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Performance_Management_Unit\2_Raw_Data\3_Public_Disclosure_Data\11_FY2021\Q3\"/>
    </mc:Choice>
  </mc:AlternateContent>
  <bookViews>
    <workbookView xWindow="0" yWindow="0" windowWidth="19200" windowHeight="6470"/>
  </bookViews>
  <sheets>
    <sheet name="PW_New_Form_FY2021_Q3" sheetId="1" r:id="rId1"/>
  </sheets>
  <definedNames>
    <definedName name="_xlnm._FilterDatabase" localSheetId="0" hidden="1">PW_New_Form_FY2021_Q3!$A$1:$DV$2315</definedName>
  </definedNames>
  <calcPr calcId="162913"/>
</workbook>
</file>

<file path=xl/calcChain.xml><?xml version="1.0" encoding="utf-8"?>
<calcChain xmlns="http://schemas.openxmlformats.org/spreadsheetml/2006/main">
  <c r="AC1177" i="1" l="1"/>
  <c r="AH1177" i="1"/>
  <c r="BS1177" i="1"/>
  <c r="BV1177" i="1"/>
  <c r="BX1177" i="1"/>
  <c r="BY1177" i="1"/>
  <c r="BZ1177" i="1"/>
  <c r="CH1177" i="1"/>
  <c r="CL1177" i="1"/>
  <c r="CM1177" i="1"/>
  <c r="CN1177" i="1"/>
  <c r="CO1177" i="1"/>
  <c r="CP1177" i="1"/>
  <c r="CZ1177" i="1"/>
  <c r="DB1177" i="1"/>
  <c r="DF1177" i="1"/>
  <c r="AC1705" i="1" l="1"/>
  <c r="AH1705" i="1"/>
  <c r="BS1705" i="1"/>
  <c r="BV1705" i="1"/>
  <c r="BX1705" i="1"/>
  <c r="BY1705" i="1"/>
  <c r="BZ1705" i="1"/>
  <c r="CH1705" i="1"/>
  <c r="CL1705" i="1"/>
  <c r="CM1705" i="1"/>
  <c r="CN1705" i="1"/>
  <c r="CP1705" i="1"/>
  <c r="CZ1705" i="1"/>
  <c r="DB1705" i="1"/>
  <c r="DF1705" i="1"/>
  <c r="AC827" i="1"/>
  <c r="AH827" i="1"/>
  <c r="BS827" i="1"/>
  <c r="BV827" i="1"/>
  <c r="BX827" i="1"/>
  <c r="BY827" i="1"/>
  <c r="BZ827" i="1"/>
  <c r="CA827" i="1"/>
  <c r="CH827" i="1"/>
  <c r="CL827" i="1"/>
  <c r="CM827" i="1"/>
  <c r="CN827" i="1"/>
  <c r="CO827" i="1"/>
  <c r="CP827" i="1"/>
  <c r="CZ827" i="1"/>
  <c r="DB827" i="1"/>
  <c r="DF827" i="1"/>
  <c r="AC457" i="1"/>
  <c r="AH457" i="1"/>
  <c r="BS457" i="1"/>
  <c r="BV457" i="1"/>
  <c r="BX457" i="1"/>
  <c r="BY457" i="1"/>
  <c r="BZ457" i="1"/>
  <c r="CH457" i="1"/>
  <c r="CL457" i="1"/>
  <c r="CM457" i="1"/>
  <c r="CN457" i="1"/>
  <c r="CO457" i="1"/>
  <c r="CP457" i="1"/>
  <c r="CZ457" i="1"/>
  <c r="DB457" i="1"/>
  <c r="DF457" i="1"/>
  <c r="AC547" i="1"/>
  <c r="AH547" i="1"/>
  <c r="BS547" i="1"/>
  <c r="BV547" i="1"/>
  <c r="BX547" i="1"/>
  <c r="BY547" i="1"/>
  <c r="BZ547" i="1"/>
  <c r="CA547" i="1"/>
  <c r="CH547" i="1"/>
  <c r="CL547" i="1"/>
  <c r="CM547" i="1"/>
  <c r="CN547" i="1"/>
  <c r="CO547" i="1"/>
  <c r="CP547" i="1"/>
  <c r="CZ547" i="1"/>
  <c r="DB547" i="1"/>
  <c r="DF547" i="1"/>
  <c r="AC794" i="1"/>
  <c r="AH794" i="1"/>
  <c r="BS794" i="1"/>
  <c r="BV794" i="1"/>
  <c r="BX794" i="1"/>
  <c r="BY794" i="1"/>
  <c r="BZ794" i="1"/>
  <c r="CH794" i="1"/>
  <c r="CL794" i="1"/>
  <c r="CM794" i="1"/>
  <c r="CN794" i="1"/>
  <c r="CO794" i="1"/>
  <c r="CP794" i="1"/>
  <c r="CZ794" i="1"/>
  <c r="DB794" i="1"/>
  <c r="DF794" i="1"/>
  <c r="AC1262" i="1"/>
  <c r="AH1262" i="1"/>
  <c r="BS1262" i="1"/>
  <c r="BV1262" i="1"/>
  <c r="BX1262" i="1"/>
  <c r="BY1262" i="1"/>
  <c r="BZ1262" i="1"/>
  <c r="CH1262" i="1"/>
  <c r="CL1262" i="1"/>
  <c r="CM1262" i="1"/>
  <c r="CN1262" i="1"/>
  <c r="CO1262" i="1"/>
  <c r="CP1262" i="1"/>
  <c r="CZ1262" i="1"/>
  <c r="DB1262" i="1"/>
  <c r="DF1262" i="1"/>
  <c r="AC1784" i="1"/>
  <c r="AH1784" i="1"/>
  <c r="BS1784" i="1"/>
  <c r="BV1784" i="1"/>
  <c r="BX1784" i="1"/>
  <c r="BY1784" i="1"/>
  <c r="BZ1784" i="1"/>
  <c r="CA1784" i="1"/>
  <c r="CH1784" i="1"/>
  <c r="CL1784" i="1"/>
  <c r="CM1784" i="1"/>
  <c r="CN1784" i="1"/>
  <c r="CP1784" i="1"/>
  <c r="CZ1784" i="1"/>
  <c r="DB1784" i="1"/>
  <c r="DF1784" i="1"/>
  <c r="AC1700" i="1"/>
  <c r="AH1700" i="1"/>
  <c r="BS1700" i="1"/>
  <c r="BV1700" i="1"/>
  <c r="BX1700" i="1"/>
  <c r="BY1700" i="1"/>
  <c r="BZ1700" i="1"/>
  <c r="CA1700" i="1"/>
  <c r="CH1700" i="1"/>
  <c r="CL1700" i="1"/>
  <c r="CM1700" i="1"/>
  <c r="CN1700" i="1"/>
  <c r="CO1700" i="1"/>
  <c r="CP1700" i="1"/>
  <c r="CZ1700" i="1"/>
  <c r="DB1700" i="1"/>
  <c r="DF1700" i="1"/>
  <c r="AC783" i="1"/>
  <c r="AH783" i="1"/>
  <c r="BS783" i="1"/>
  <c r="BV783" i="1"/>
  <c r="BX783" i="1"/>
  <c r="BY783" i="1"/>
  <c r="BZ783" i="1"/>
  <c r="CA783" i="1"/>
  <c r="CH783" i="1"/>
  <c r="CL783" i="1"/>
  <c r="CM783" i="1"/>
  <c r="CN783" i="1"/>
  <c r="CO783" i="1"/>
  <c r="CP783" i="1"/>
  <c r="CZ783" i="1"/>
  <c r="DB783" i="1"/>
  <c r="DF783" i="1"/>
  <c r="AC1116" i="1"/>
  <c r="AH1116" i="1"/>
  <c r="BS1116" i="1"/>
  <c r="BV1116" i="1"/>
  <c r="BX1116" i="1"/>
  <c r="BY1116" i="1"/>
  <c r="BZ1116" i="1"/>
  <c r="CA1116" i="1"/>
  <c r="CH1116" i="1"/>
  <c r="CL1116" i="1"/>
  <c r="CM1116" i="1"/>
  <c r="CN1116" i="1"/>
  <c r="CO1116" i="1"/>
  <c r="CP1116" i="1"/>
  <c r="CZ1116" i="1"/>
  <c r="DB1116" i="1"/>
  <c r="DF1116" i="1"/>
  <c r="AC699" i="1"/>
  <c r="AH699" i="1"/>
  <c r="BS699" i="1"/>
  <c r="BV699" i="1"/>
  <c r="BX699" i="1"/>
  <c r="BY699" i="1"/>
  <c r="BZ699" i="1"/>
  <c r="CA699" i="1"/>
  <c r="CH699" i="1"/>
  <c r="CL699" i="1"/>
  <c r="CM699" i="1"/>
  <c r="CN699" i="1"/>
  <c r="CO699" i="1"/>
  <c r="CP699" i="1"/>
  <c r="CZ699" i="1"/>
  <c r="DB699" i="1"/>
  <c r="DF699" i="1"/>
  <c r="AC1511" i="1"/>
  <c r="AH1511" i="1"/>
  <c r="BS1511" i="1"/>
  <c r="BV1511" i="1"/>
  <c r="BX1511" i="1"/>
  <c r="BY1511" i="1"/>
  <c r="BZ1511" i="1"/>
  <c r="CH1511" i="1"/>
  <c r="CL1511" i="1"/>
  <c r="CM1511" i="1"/>
  <c r="CN1511" i="1"/>
  <c r="CP1511" i="1"/>
  <c r="CZ1511" i="1"/>
  <c r="DB1511" i="1"/>
  <c r="DF1511" i="1"/>
  <c r="AC1899" i="1"/>
  <c r="AH1899" i="1"/>
  <c r="BS1899" i="1"/>
  <c r="BV1899" i="1"/>
  <c r="BX1899" i="1"/>
  <c r="BY1899" i="1"/>
  <c r="BZ1899" i="1"/>
  <c r="CH1899" i="1"/>
  <c r="CL1899" i="1"/>
  <c r="CM1899" i="1"/>
  <c r="CN1899" i="1"/>
  <c r="CP1899" i="1"/>
  <c r="CZ1899" i="1"/>
  <c r="DB1899" i="1"/>
  <c r="DF1899" i="1"/>
  <c r="AC274" i="1"/>
  <c r="AH274" i="1"/>
  <c r="BS274" i="1"/>
  <c r="BV274" i="1"/>
  <c r="BX274" i="1"/>
  <c r="BY274" i="1"/>
  <c r="BZ274" i="1"/>
  <c r="CA274" i="1"/>
  <c r="CH274" i="1"/>
  <c r="CL274" i="1"/>
  <c r="CM274" i="1"/>
  <c r="CN274" i="1"/>
  <c r="CO274" i="1"/>
  <c r="CP274" i="1"/>
  <c r="CZ274" i="1"/>
  <c r="DB274" i="1"/>
  <c r="DF274" i="1"/>
  <c r="AC1953" i="1"/>
  <c r="AH1953" i="1"/>
  <c r="BS1953" i="1"/>
  <c r="BV1953" i="1"/>
  <c r="BX1953" i="1"/>
  <c r="BY1953" i="1"/>
  <c r="BZ1953" i="1"/>
  <c r="CA1953" i="1"/>
  <c r="CH1953" i="1"/>
  <c r="CL1953" i="1"/>
  <c r="CM1953" i="1"/>
  <c r="CN1953" i="1"/>
  <c r="CO1953" i="1"/>
  <c r="CP1953" i="1"/>
  <c r="CZ1953" i="1"/>
  <c r="DB1953" i="1"/>
  <c r="DF1953" i="1"/>
  <c r="AC1563" i="1"/>
  <c r="AH1563" i="1"/>
  <c r="BS1563" i="1"/>
  <c r="BV1563" i="1"/>
  <c r="BX1563" i="1"/>
  <c r="BY1563" i="1"/>
  <c r="BZ1563" i="1"/>
  <c r="CH1563" i="1"/>
  <c r="CL1563" i="1"/>
  <c r="CM1563" i="1"/>
  <c r="CN1563" i="1"/>
  <c r="CP1563" i="1"/>
  <c r="CZ1563" i="1"/>
  <c r="DB1563" i="1"/>
  <c r="DF1563" i="1"/>
  <c r="AC484" i="1"/>
  <c r="AH484" i="1"/>
  <c r="BS484" i="1"/>
  <c r="BV484" i="1"/>
  <c r="BX484" i="1"/>
  <c r="BY484" i="1"/>
  <c r="BZ484" i="1"/>
  <c r="CH484" i="1"/>
  <c r="CL484" i="1"/>
  <c r="CM484" i="1"/>
  <c r="CN484" i="1"/>
  <c r="CO484" i="1"/>
  <c r="CP484" i="1"/>
  <c r="CZ484" i="1"/>
  <c r="DB484" i="1"/>
  <c r="DF484" i="1"/>
  <c r="AC190" i="1"/>
  <c r="AH190" i="1"/>
  <c r="BS190" i="1"/>
  <c r="BV190" i="1"/>
  <c r="BX190" i="1"/>
  <c r="BY190" i="1"/>
  <c r="BZ190" i="1"/>
  <c r="CA190" i="1"/>
  <c r="CH190" i="1"/>
  <c r="CL190" i="1"/>
  <c r="CM190" i="1"/>
  <c r="CN190" i="1"/>
  <c r="CO190" i="1"/>
  <c r="CP190" i="1"/>
  <c r="CZ190" i="1"/>
  <c r="DB190" i="1"/>
  <c r="DF190" i="1"/>
  <c r="AC331" i="1"/>
  <c r="AH331" i="1"/>
  <c r="BS331" i="1"/>
  <c r="BV331" i="1"/>
  <c r="BX331" i="1"/>
  <c r="BY331" i="1"/>
  <c r="BZ331" i="1"/>
  <c r="CA331" i="1"/>
  <c r="CH331" i="1"/>
  <c r="CL331" i="1"/>
  <c r="CM331" i="1"/>
  <c r="CN331" i="1"/>
  <c r="CO331" i="1"/>
  <c r="CP331" i="1"/>
  <c r="CZ331" i="1"/>
  <c r="DB331" i="1"/>
  <c r="DF331" i="1"/>
  <c r="AC272" i="1"/>
  <c r="AH272" i="1"/>
  <c r="BS272" i="1"/>
  <c r="BV272" i="1"/>
  <c r="BX272" i="1"/>
  <c r="BY272" i="1"/>
  <c r="BZ272" i="1"/>
  <c r="CH272" i="1"/>
  <c r="CL272" i="1"/>
  <c r="CM272" i="1"/>
  <c r="CN272" i="1"/>
  <c r="CO272" i="1"/>
  <c r="CP272" i="1"/>
  <c r="CZ272" i="1"/>
  <c r="DB272" i="1"/>
  <c r="DF272" i="1"/>
  <c r="AC1722" i="1"/>
  <c r="AH1722" i="1"/>
  <c r="BS1722" i="1"/>
  <c r="BV1722" i="1"/>
  <c r="BX1722" i="1"/>
  <c r="BY1722" i="1"/>
  <c r="BZ1722" i="1"/>
  <c r="CH1722" i="1"/>
  <c r="CL1722" i="1"/>
  <c r="CM1722" i="1"/>
  <c r="CN1722" i="1"/>
  <c r="CP1722" i="1"/>
  <c r="CZ1722" i="1"/>
  <c r="DB1722" i="1"/>
  <c r="DF1722" i="1"/>
  <c r="AC318" i="1"/>
  <c r="AH318" i="1"/>
  <c r="BS318" i="1"/>
  <c r="BV318" i="1"/>
  <c r="BX318" i="1"/>
  <c r="BY318" i="1"/>
  <c r="BZ318" i="1"/>
  <c r="CH318" i="1"/>
  <c r="CL318" i="1"/>
  <c r="CM318" i="1"/>
  <c r="CN318" i="1"/>
  <c r="CO318" i="1"/>
  <c r="CP318" i="1"/>
  <c r="CZ318" i="1"/>
  <c r="DB318" i="1"/>
  <c r="DF318" i="1"/>
  <c r="AC1164" i="1"/>
  <c r="AH1164" i="1"/>
  <c r="BS1164" i="1"/>
  <c r="BV1164" i="1"/>
  <c r="BX1164" i="1"/>
  <c r="BY1164" i="1"/>
  <c r="BZ1164" i="1"/>
  <c r="CA1164" i="1"/>
  <c r="CH1164" i="1"/>
  <c r="CL1164" i="1"/>
  <c r="CM1164" i="1"/>
  <c r="CN1164" i="1"/>
  <c r="CO1164" i="1"/>
  <c r="CP1164" i="1"/>
  <c r="CZ1164" i="1"/>
  <c r="DB1164" i="1"/>
  <c r="DF1164" i="1"/>
  <c r="AC630" i="1"/>
  <c r="AH630" i="1"/>
  <c r="BS630" i="1"/>
  <c r="BV630" i="1"/>
  <c r="BX630" i="1"/>
  <c r="BY630" i="1"/>
  <c r="BZ630" i="1"/>
  <c r="CA630" i="1"/>
  <c r="CH630" i="1"/>
  <c r="CL630" i="1"/>
  <c r="CM630" i="1"/>
  <c r="CN630" i="1"/>
  <c r="CO630" i="1"/>
  <c r="CP630" i="1"/>
  <c r="CZ630" i="1"/>
  <c r="DB630" i="1"/>
  <c r="DF630" i="1"/>
  <c r="AC1371" i="1"/>
  <c r="AH1371" i="1"/>
  <c r="BS1371" i="1"/>
  <c r="BV1371" i="1"/>
  <c r="BX1371" i="1"/>
  <c r="BY1371" i="1"/>
  <c r="BZ1371" i="1"/>
  <c r="CA1371" i="1"/>
  <c r="CH1371" i="1"/>
  <c r="CL1371" i="1"/>
  <c r="CM1371" i="1"/>
  <c r="CN1371" i="1"/>
  <c r="CO1371" i="1"/>
  <c r="CP1371" i="1"/>
  <c r="CZ1371" i="1"/>
  <c r="DB1371" i="1"/>
  <c r="DF1371" i="1"/>
  <c r="AC170" i="1"/>
  <c r="AH170" i="1"/>
  <c r="BS170" i="1"/>
  <c r="BV170" i="1"/>
  <c r="BX170" i="1"/>
  <c r="BY170" i="1"/>
  <c r="BZ170" i="1"/>
  <c r="CA170" i="1"/>
  <c r="CH170" i="1"/>
  <c r="CL170" i="1"/>
  <c r="CM170" i="1"/>
  <c r="CN170" i="1"/>
  <c r="CO170" i="1"/>
  <c r="CP170" i="1"/>
  <c r="CZ170" i="1"/>
  <c r="DB170" i="1"/>
  <c r="DF170" i="1"/>
  <c r="AC449" i="1"/>
  <c r="AH449" i="1"/>
  <c r="BS449" i="1"/>
  <c r="BV449" i="1"/>
  <c r="BX449" i="1"/>
  <c r="BY449" i="1"/>
  <c r="BZ449" i="1"/>
  <c r="CA449" i="1"/>
  <c r="CH449" i="1"/>
  <c r="CL449" i="1"/>
  <c r="CM449" i="1"/>
  <c r="CN449" i="1"/>
  <c r="CO449" i="1"/>
  <c r="CP449" i="1"/>
  <c r="CZ449" i="1"/>
  <c r="DB449" i="1"/>
  <c r="DF449" i="1"/>
  <c r="AC2166" i="1"/>
  <c r="AH2166" i="1"/>
  <c r="BS2166" i="1"/>
  <c r="BV2166" i="1"/>
  <c r="BX2166" i="1"/>
  <c r="BY2166" i="1"/>
  <c r="BZ2166" i="1"/>
  <c r="CH2166" i="1"/>
  <c r="CL2166" i="1"/>
  <c r="CM2166" i="1"/>
  <c r="CN2166" i="1"/>
  <c r="CO2166" i="1"/>
  <c r="CP2166" i="1"/>
  <c r="CZ2166" i="1"/>
  <c r="DB2166" i="1"/>
  <c r="DF2166" i="1"/>
  <c r="AC2123" i="1"/>
  <c r="AH2123" i="1"/>
  <c r="BS2123" i="1"/>
  <c r="BV2123" i="1"/>
  <c r="BX2123" i="1"/>
  <c r="BY2123" i="1"/>
  <c r="BZ2123" i="1"/>
  <c r="CA2123" i="1"/>
  <c r="CH2123" i="1"/>
  <c r="CL2123" i="1"/>
  <c r="CM2123" i="1"/>
  <c r="CN2123" i="1"/>
  <c r="CO2123" i="1"/>
  <c r="CP2123" i="1"/>
  <c r="CZ2123" i="1"/>
  <c r="DB2123" i="1"/>
  <c r="DF2123" i="1"/>
  <c r="AC1257" i="1"/>
  <c r="AH1257" i="1"/>
  <c r="BS1257" i="1"/>
  <c r="BV1257" i="1"/>
  <c r="BX1257" i="1"/>
  <c r="BY1257" i="1"/>
  <c r="BZ1257" i="1"/>
  <c r="CA1257" i="1"/>
  <c r="CH1257" i="1"/>
  <c r="CL1257" i="1"/>
  <c r="CM1257" i="1"/>
  <c r="CN1257" i="1"/>
  <c r="CO1257" i="1"/>
  <c r="CP1257" i="1"/>
  <c r="CZ1257" i="1"/>
  <c r="DB1257" i="1"/>
  <c r="DF1257" i="1"/>
  <c r="AC624" i="1"/>
  <c r="AH624" i="1"/>
  <c r="BS624" i="1"/>
  <c r="BV624" i="1"/>
  <c r="BX624" i="1"/>
  <c r="BY624" i="1"/>
  <c r="BZ624" i="1"/>
  <c r="CA624" i="1"/>
  <c r="CH624" i="1"/>
  <c r="CL624" i="1"/>
  <c r="CM624" i="1"/>
  <c r="CN624" i="1"/>
  <c r="CO624" i="1"/>
  <c r="CP624" i="1"/>
  <c r="CZ624" i="1"/>
  <c r="DB624" i="1"/>
  <c r="DF624" i="1"/>
  <c r="AC1193" i="1"/>
  <c r="AH1193" i="1"/>
  <c r="BS1193" i="1"/>
  <c r="BV1193" i="1"/>
  <c r="BX1193" i="1"/>
  <c r="BY1193" i="1"/>
  <c r="BZ1193" i="1"/>
  <c r="CH1193" i="1"/>
  <c r="CL1193" i="1"/>
  <c r="CM1193" i="1"/>
  <c r="CN1193" i="1"/>
  <c r="CP1193" i="1"/>
  <c r="CZ1193" i="1"/>
  <c r="DB1193" i="1"/>
  <c r="DF1193" i="1"/>
  <c r="AC1771" i="1"/>
  <c r="AH1771" i="1"/>
  <c r="BS1771" i="1"/>
  <c r="BV1771" i="1"/>
  <c r="BX1771" i="1"/>
  <c r="BY1771" i="1"/>
  <c r="BZ1771" i="1"/>
  <c r="CA1771" i="1"/>
  <c r="CH1771" i="1"/>
  <c r="CL1771" i="1"/>
  <c r="CM1771" i="1"/>
  <c r="CN1771" i="1"/>
  <c r="CO1771" i="1"/>
  <c r="CP1771" i="1"/>
  <c r="CZ1771" i="1"/>
  <c r="DB1771" i="1"/>
  <c r="DF1771" i="1"/>
  <c r="AC301" i="1"/>
  <c r="AH301" i="1"/>
  <c r="BS301" i="1"/>
  <c r="BV301" i="1"/>
  <c r="BX301" i="1"/>
  <c r="BY301" i="1"/>
  <c r="BZ301" i="1"/>
  <c r="CA301" i="1"/>
  <c r="CH301" i="1"/>
  <c r="CL301" i="1"/>
  <c r="CM301" i="1"/>
  <c r="CN301" i="1"/>
  <c r="CO301" i="1"/>
  <c r="CP301" i="1"/>
  <c r="CZ301" i="1"/>
  <c r="DB301" i="1"/>
  <c r="DF301" i="1"/>
  <c r="AC919" i="1"/>
  <c r="AH919" i="1"/>
  <c r="BS919" i="1"/>
  <c r="BV919" i="1"/>
  <c r="BX919" i="1"/>
  <c r="BY919" i="1"/>
  <c r="BZ919" i="1"/>
  <c r="CA919" i="1"/>
  <c r="CH919" i="1"/>
  <c r="CL919" i="1"/>
  <c r="CM919" i="1"/>
  <c r="CN919" i="1"/>
  <c r="CO919" i="1"/>
  <c r="CP919" i="1"/>
  <c r="CZ919" i="1"/>
  <c r="DB919" i="1"/>
  <c r="DF919" i="1"/>
  <c r="AC2271" i="1"/>
  <c r="AH2271" i="1"/>
  <c r="BS2271" i="1"/>
  <c r="BV2271" i="1"/>
  <c r="BX2271" i="1"/>
  <c r="BY2271" i="1"/>
  <c r="BZ2271" i="1"/>
  <c r="CH2271" i="1"/>
  <c r="CL2271" i="1"/>
  <c r="CM2271" i="1"/>
  <c r="CN2271" i="1"/>
  <c r="CO2271" i="1"/>
  <c r="CP2271" i="1"/>
  <c r="CZ2271" i="1"/>
  <c r="DB2271" i="1"/>
  <c r="DF2271" i="1"/>
  <c r="AC1172" i="1"/>
  <c r="AH1172" i="1"/>
  <c r="BS1172" i="1"/>
  <c r="BV1172" i="1"/>
  <c r="BX1172" i="1"/>
  <c r="BY1172" i="1"/>
  <c r="BZ1172" i="1"/>
  <c r="CH1172" i="1"/>
  <c r="CL1172" i="1"/>
  <c r="CM1172" i="1"/>
  <c r="CN1172" i="1"/>
  <c r="CO1172" i="1"/>
  <c r="CP1172" i="1"/>
  <c r="CZ1172" i="1"/>
  <c r="DB1172" i="1"/>
  <c r="DF1172" i="1"/>
  <c r="AC1663" i="1"/>
  <c r="AH1663" i="1"/>
  <c r="BS1663" i="1"/>
  <c r="BV1663" i="1"/>
  <c r="BX1663" i="1"/>
  <c r="BY1663" i="1"/>
  <c r="BZ1663" i="1"/>
  <c r="CA1663" i="1"/>
  <c r="CH1663" i="1"/>
  <c r="CL1663" i="1"/>
  <c r="CM1663" i="1"/>
  <c r="CN1663" i="1"/>
  <c r="CP1663" i="1"/>
  <c r="CZ1663" i="1"/>
  <c r="DB1663" i="1"/>
  <c r="DF1663" i="1"/>
  <c r="AC602" i="1"/>
  <c r="AH602" i="1"/>
  <c r="BS602" i="1"/>
  <c r="BV602" i="1"/>
  <c r="BX602" i="1"/>
  <c r="BY602" i="1"/>
  <c r="BZ602" i="1"/>
  <c r="CA602" i="1"/>
  <c r="CH602" i="1"/>
  <c r="CL602" i="1"/>
  <c r="CM602" i="1"/>
  <c r="CN602" i="1"/>
  <c r="CO602" i="1"/>
  <c r="CP602" i="1"/>
  <c r="CZ602" i="1"/>
  <c r="DB602" i="1"/>
  <c r="DF602" i="1"/>
  <c r="AC2224" i="1"/>
  <c r="AH2224" i="1"/>
  <c r="BS2224" i="1"/>
  <c r="BV2224" i="1"/>
  <c r="BX2224" i="1"/>
  <c r="BY2224" i="1"/>
  <c r="BZ2224" i="1"/>
  <c r="CH2224" i="1"/>
  <c r="CL2224" i="1"/>
  <c r="CM2224" i="1"/>
  <c r="CN2224" i="1"/>
  <c r="CO2224" i="1"/>
  <c r="CP2224" i="1"/>
  <c r="CZ2224" i="1"/>
  <c r="DB2224" i="1"/>
  <c r="DF2224" i="1"/>
  <c r="AC1270" i="1"/>
  <c r="AH1270" i="1"/>
  <c r="BS1270" i="1"/>
  <c r="BV1270" i="1"/>
  <c r="BX1270" i="1"/>
  <c r="BY1270" i="1"/>
  <c r="BZ1270" i="1"/>
  <c r="CH1270" i="1"/>
  <c r="CL1270" i="1"/>
  <c r="CM1270" i="1"/>
  <c r="CN1270" i="1"/>
  <c r="CP1270" i="1"/>
  <c r="CZ1270" i="1"/>
  <c r="DB1270" i="1"/>
  <c r="DF1270" i="1"/>
  <c r="AC339" i="1"/>
  <c r="AH339" i="1"/>
  <c r="BS339" i="1"/>
  <c r="BV339" i="1"/>
  <c r="BX339" i="1"/>
  <c r="BY339" i="1"/>
  <c r="BZ339" i="1"/>
  <c r="CA339" i="1"/>
  <c r="CH339" i="1"/>
  <c r="CL339" i="1"/>
  <c r="CM339" i="1"/>
  <c r="CN339" i="1"/>
  <c r="CO339" i="1"/>
  <c r="CP339" i="1"/>
  <c r="CZ339" i="1"/>
  <c r="DB339" i="1"/>
  <c r="DF339" i="1"/>
  <c r="AC11" i="1"/>
  <c r="AH11" i="1"/>
  <c r="BS11" i="1"/>
  <c r="BV11" i="1"/>
  <c r="BX11" i="1"/>
  <c r="BY11" i="1"/>
  <c r="BZ11" i="1"/>
  <c r="CA11" i="1"/>
  <c r="CH11" i="1"/>
  <c r="CL11" i="1"/>
  <c r="CM11" i="1"/>
  <c r="CN11" i="1"/>
  <c r="CO11" i="1"/>
  <c r="CP11" i="1"/>
  <c r="CZ11" i="1"/>
  <c r="DB11" i="1"/>
  <c r="DF11" i="1"/>
  <c r="AC438" i="1"/>
  <c r="AH438" i="1"/>
  <c r="BS438" i="1"/>
  <c r="BV438" i="1"/>
  <c r="BX438" i="1"/>
  <c r="BY438" i="1"/>
  <c r="BZ438" i="1"/>
  <c r="CH438" i="1"/>
  <c r="CL438" i="1"/>
  <c r="CM438" i="1"/>
  <c r="CN438" i="1"/>
  <c r="CO438" i="1"/>
  <c r="CP438" i="1"/>
  <c r="CZ438" i="1"/>
  <c r="DB438" i="1"/>
  <c r="DF438" i="1"/>
  <c r="AC1570" i="1"/>
  <c r="AH1570" i="1"/>
  <c r="BS1570" i="1"/>
  <c r="BV1570" i="1"/>
  <c r="BX1570" i="1"/>
  <c r="BY1570" i="1"/>
  <c r="BZ1570" i="1"/>
  <c r="CA1570" i="1"/>
  <c r="CH1570" i="1"/>
  <c r="CL1570" i="1"/>
  <c r="CM1570" i="1"/>
  <c r="CN1570" i="1"/>
  <c r="CP1570" i="1"/>
  <c r="CZ1570" i="1"/>
  <c r="DB1570" i="1"/>
  <c r="DF1570" i="1"/>
  <c r="AC1347" i="1"/>
  <c r="AH1347" i="1"/>
  <c r="BS1347" i="1"/>
  <c r="BV1347" i="1"/>
  <c r="BX1347" i="1"/>
  <c r="BY1347" i="1"/>
  <c r="BZ1347" i="1"/>
  <c r="CH1347" i="1"/>
  <c r="CL1347" i="1"/>
  <c r="CM1347" i="1"/>
  <c r="CN1347" i="1"/>
  <c r="CP1347" i="1"/>
  <c r="CZ1347" i="1"/>
  <c r="DB1347" i="1"/>
  <c r="DF1347" i="1"/>
  <c r="AC1884" i="1"/>
  <c r="AH1884" i="1"/>
  <c r="BS1884" i="1"/>
  <c r="BV1884" i="1"/>
  <c r="BX1884" i="1"/>
  <c r="BY1884" i="1"/>
  <c r="BZ1884" i="1"/>
  <c r="CA1884" i="1"/>
  <c r="CH1884" i="1"/>
  <c r="CL1884" i="1"/>
  <c r="CM1884" i="1"/>
  <c r="CN1884" i="1"/>
  <c r="CO1884" i="1"/>
  <c r="CP1884" i="1"/>
  <c r="CZ1884" i="1"/>
  <c r="DB1884" i="1"/>
  <c r="DF1884" i="1"/>
  <c r="AC770" i="1"/>
  <c r="AH770" i="1"/>
  <c r="BS770" i="1"/>
  <c r="BV770" i="1"/>
  <c r="BX770" i="1"/>
  <c r="BY770" i="1"/>
  <c r="BZ770" i="1"/>
  <c r="CA770" i="1"/>
  <c r="CH770" i="1"/>
  <c r="CL770" i="1"/>
  <c r="CM770" i="1"/>
  <c r="CN770" i="1"/>
  <c r="CO770" i="1"/>
  <c r="CP770" i="1"/>
  <c r="CZ770" i="1"/>
  <c r="DB770" i="1"/>
  <c r="DF770" i="1"/>
  <c r="AC926" i="1"/>
  <c r="AH926" i="1"/>
  <c r="BS926" i="1"/>
  <c r="BV926" i="1"/>
  <c r="BX926" i="1"/>
  <c r="BY926" i="1"/>
  <c r="BZ926" i="1"/>
  <c r="CA926" i="1"/>
  <c r="CH926" i="1"/>
  <c r="CL926" i="1"/>
  <c r="CM926" i="1"/>
  <c r="CN926" i="1"/>
  <c r="CO926" i="1"/>
  <c r="CP926" i="1"/>
  <c r="CZ926" i="1"/>
  <c r="DB926" i="1"/>
  <c r="DF926" i="1"/>
  <c r="AC2231" i="1"/>
  <c r="AH2231" i="1"/>
  <c r="BS2231" i="1"/>
  <c r="BV2231" i="1"/>
  <c r="BX2231" i="1"/>
  <c r="BY2231" i="1"/>
  <c r="BZ2231" i="1"/>
  <c r="CA2231" i="1"/>
  <c r="CH2231" i="1"/>
  <c r="CL2231" i="1"/>
  <c r="CM2231" i="1"/>
  <c r="CN2231" i="1"/>
  <c r="CO2231" i="1"/>
  <c r="CP2231" i="1"/>
  <c r="CZ2231" i="1"/>
  <c r="DB2231" i="1"/>
  <c r="DF2231" i="1"/>
  <c r="AC236" i="1"/>
  <c r="AH236" i="1"/>
  <c r="BS236" i="1"/>
  <c r="BV236" i="1"/>
  <c r="BX236" i="1"/>
  <c r="BY236" i="1"/>
  <c r="BZ236" i="1"/>
  <c r="CH236" i="1"/>
  <c r="CL236" i="1"/>
  <c r="CM236" i="1"/>
  <c r="CN236" i="1"/>
  <c r="CO236" i="1"/>
  <c r="CP236" i="1"/>
  <c r="CZ236" i="1"/>
  <c r="DB236" i="1"/>
  <c r="DF236" i="1"/>
  <c r="AC1881" i="1"/>
  <c r="AH1881" i="1"/>
  <c r="BS1881" i="1"/>
  <c r="BV1881" i="1"/>
  <c r="BX1881" i="1"/>
  <c r="BY1881" i="1"/>
  <c r="BZ1881" i="1"/>
  <c r="CH1881" i="1"/>
  <c r="CL1881" i="1"/>
  <c r="CM1881" i="1"/>
  <c r="CN1881" i="1"/>
  <c r="CP1881" i="1"/>
  <c r="CZ1881" i="1"/>
  <c r="DB1881" i="1"/>
  <c r="DF1881" i="1"/>
  <c r="AC105" i="1"/>
  <c r="AH105" i="1"/>
  <c r="BS105" i="1"/>
  <c r="BV105" i="1"/>
  <c r="BX105" i="1"/>
  <c r="BY105" i="1"/>
  <c r="BZ105" i="1"/>
  <c r="CA105" i="1"/>
  <c r="CH105" i="1"/>
  <c r="CL105" i="1"/>
  <c r="CM105" i="1"/>
  <c r="CN105" i="1"/>
  <c r="CO105" i="1"/>
  <c r="CP105" i="1"/>
  <c r="CZ105" i="1"/>
  <c r="DB105" i="1"/>
  <c r="DF105" i="1"/>
  <c r="AC1775" i="1"/>
  <c r="AH1775" i="1"/>
  <c r="BS1775" i="1"/>
  <c r="BV1775" i="1"/>
  <c r="BX1775" i="1"/>
  <c r="BY1775" i="1"/>
  <c r="BZ1775" i="1"/>
  <c r="CA1775" i="1"/>
  <c r="CH1775" i="1"/>
  <c r="CL1775" i="1"/>
  <c r="CM1775" i="1"/>
  <c r="CN1775" i="1"/>
  <c r="CO1775" i="1"/>
  <c r="CP1775" i="1"/>
  <c r="CZ1775" i="1"/>
  <c r="DB1775" i="1"/>
  <c r="DF1775" i="1"/>
  <c r="AC440" i="1"/>
  <c r="AH440" i="1"/>
  <c r="BS440" i="1"/>
  <c r="BV440" i="1"/>
  <c r="BX440" i="1"/>
  <c r="BY440" i="1"/>
  <c r="BZ440" i="1"/>
  <c r="CA440" i="1"/>
  <c r="CH440" i="1"/>
  <c r="CL440" i="1"/>
  <c r="CM440" i="1"/>
  <c r="CN440" i="1"/>
  <c r="CO440" i="1"/>
  <c r="CP440" i="1"/>
  <c r="CZ440" i="1"/>
  <c r="DB440" i="1"/>
  <c r="DF440" i="1"/>
  <c r="AC1793" i="1"/>
  <c r="AH1793" i="1"/>
  <c r="BS1793" i="1"/>
  <c r="BV1793" i="1"/>
  <c r="BX1793" i="1"/>
  <c r="BY1793" i="1"/>
  <c r="BZ1793" i="1"/>
  <c r="CH1793" i="1"/>
  <c r="CL1793" i="1"/>
  <c r="CM1793" i="1"/>
  <c r="CN1793" i="1"/>
  <c r="CO1793" i="1"/>
  <c r="CP1793" i="1"/>
  <c r="CZ1793" i="1"/>
  <c r="DB1793" i="1"/>
  <c r="DF1793" i="1"/>
  <c r="AC843" i="1"/>
  <c r="AH843" i="1"/>
  <c r="BS843" i="1"/>
  <c r="BV843" i="1"/>
  <c r="BX843" i="1"/>
  <c r="BY843" i="1"/>
  <c r="BZ843" i="1"/>
  <c r="CA843" i="1"/>
  <c r="CH843" i="1"/>
  <c r="CL843" i="1"/>
  <c r="CM843" i="1"/>
  <c r="CN843" i="1"/>
  <c r="CO843" i="1"/>
  <c r="CP843" i="1"/>
  <c r="CZ843" i="1"/>
  <c r="DB843" i="1"/>
  <c r="DF843" i="1"/>
  <c r="AC1334" i="1"/>
  <c r="AH1334" i="1"/>
  <c r="BS1334" i="1"/>
  <c r="BV1334" i="1"/>
  <c r="BX1334" i="1"/>
  <c r="BY1334" i="1"/>
  <c r="BZ1334" i="1"/>
  <c r="CA1334" i="1"/>
  <c r="CH1334" i="1"/>
  <c r="CL1334" i="1"/>
  <c r="CM1334" i="1"/>
  <c r="CN1334" i="1"/>
  <c r="CO1334" i="1"/>
  <c r="CP1334" i="1"/>
  <c r="CZ1334" i="1"/>
  <c r="DB1334" i="1"/>
  <c r="DF1334" i="1"/>
  <c r="AC1135" i="1"/>
  <c r="AH1135" i="1"/>
  <c r="BS1135" i="1"/>
  <c r="BV1135" i="1"/>
  <c r="BX1135" i="1"/>
  <c r="BY1135" i="1"/>
  <c r="BZ1135" i="1"/>
  <c r="CA1135" i="1"/>
  <c r="CH1135" i="1"/>
  <c r="CL1135" i="1"/>
  <c r="CM1135" i="1"/>
  <c r="CN1135" i="1"/>
  <c r="CO1135" i="1"/>
  <c r="CP1135" i="1"/>
  <c r="CZ1135" i="1"/>
  <c r="DB1135" i="1"/>
  <c r="DF1135" i="1"/>
  <c r="AC743" i="1"/>
  <c r="AH743" i="1"/>
  <c r="BS743" i="1"/>
  <c r="BV743" i="1"/>
  <c r="BX743" i="1"/>
  <c r="BY743" i="1"/>
  <c r="BZ743" i="1"/>
  <c r="CA743" i="1"/>
  <c r="CH743" i="1"/>
  <c r="CL743" i="1"/>
  <c r="CM743" i="1"/>
  <c r="CN743" i="1"/>
  <c r="CO743" i="1"/>
  <c r="CP743" i="1"/>
  <c r="CZ743" i="1"/>
  <c r="DB743" i="1"/>
  <c r="DF743" i="1"/>
  <c r="AC688" i="1"/>
  <c r="AH688" i="1"/>
  <c r="BS688" i="1"/>
  <c r="BV688" i="1"/>
  <c r="BX688" i="1"/>
  <c r="BY688" i="1"/>
  <c r="BZ688" i="1"/>
  <c r="CA688" i="1"/>
  <c r="CH688" i="1"/>
  <c r="CL688" i="1"/>
  <c r="CM688" i="1"/>
  <c r="CN688" i="1"/>
  <c r="CO688" i="1"/>
  <c r="CP688" i="1"/>
  <c r="CZ688" i="1"/>
  <c r="DB688" i="1"/>
  <c r="DF688" i="1"/>
  <c r="AC1557" i="1"/>
  <c r="AH1557" i="1"/>
  <c r="BS1557" i="1"/>
  <c r="BV1557" i="1"/>
  <c r="BX1557" i="1"/>
  <c r="BY1557" i="1"/>
  <c r="BZ1557" i="1"/>
  <c r="CH1557" i="1"/>
  <c r="CL1557" i="1"/>
  <c r="CM1557" i="1"/>
  <c r="CN1557" i="1"/>
  <c r="CO1557" i="1"/>
  <c r="CP1557" i="1"/>
  <c r="CZ1557" i="1"/>
  <c r="DB1557" i="1"/>
  <c r="DF1557" i="1"/>
  <c r="AC36" i="1"/>
  <c r="AH36" i="1"/>
  <c r="BS36" i="1"/>
  <c r="BV36" i="1"/>
  <c r="BX36" i="1"/>
  <c r="BY36" i="1"/>
  <c r="BZ36" i="1"/>
  <c r="CA36" i="1"/>
  <c r="CH36" i="1"/>
  <c r="CL36" i="1"/>
  <c r="CM36" i="1"/>
  <c r="CN36" i="1"/>
  <c r="CO36" i="1"/>
  <c r="CP36" i="1"/>
  <c r="CZ36" i="1"/>
  <c r="DB36" i="1"/>
  <c r="DF36" i="1"/>
  <c r="AC1481" i="1"/>
  <c r="AH1481" i="1"/>
  <c r="BS1481" i="1"/>
  <c r="BV1481" i="1"/>
  <c r="BX1481" i="1"/>
  <c r="BY1481" i="1"/>
  <c r="BZ1481" i="1"/>
  <c r="CA1481" i="1"/>
  <c r="CH1481" i="1"/>
  <c r="CL1481" i="1"/>
  <c r="CM1481" i="1"/>
  <c r="CN1481" i="1"/>
  <c r="CO1481" i="1"/>
  <c r="CP1481" i="1"/>
  <c r="CZ1481" i="1"/>
  <c r="DB1481" i="1"/>
  <c r="DF1481" i="1"/>
  <c r="AC1071" i="1"/>
  <c r="AH1071" i="1"/>
  <c r="BS1071" i="1"/>
  <c r="BV1071" i="1"/>
  <c r="BX1071" i="1"/>
  <c r="BY1071" i="1"/>
  <c r="BZ1071" i="1"/>
  <c r="CA1071" i="1"/>
  <c r="CH1071" i="1"/>
  <c r="CL1071" i="1"/>
  <c r="CM1071" i="1"/>
  <c r="CN1071" i="1"/>
  <c r="CO1071" i="1"/>
  <c r="CP1071" i="1"/>
  <c r="CZ1071" i="1"/>
  <c r="DB1071" i="1"/>
  <c r="DF1071" i="1"/>
  <c r="AC281" i="1"/>
  <c r="AH281" i="1"/>
  <c r="BS281" i="1"/>
  <c r="BV281" i="1"/>
  <c r="BX281" i="1"/>
  <c r="BY281" i="1"/>
  <c r="BZ281" i="1"/>
  <c r="CH281" i="1"/>
  <c r="CL281" i="1"/>
  <c r="CM281" i="1"/>
  <c r="CN281" i="1"/>
  <c r="CO281" i="1"/>
  <c r="CP281" i="1"/>
  <c r="CZ281" i="1"/>
  <c r="DB281" i="1"/>
  <c r="DF281" i="1"/>
  <c r="AC434" i="1"/>
  <c r="AH434" i="1"/>
  <c r="BS434" i="1"/>
  <c r="BV434" i="1"/>
  <c r="BX434" i="1"/>
  <c r="BY434" i="1"/>
  <c r="BZ434" i="1"/>
  <c r="CA434" i="1"/>
  <c r="CH434" i="1"/>
  <c r="CL434" i="1"/>
  <c r="CM434" i="1"/>
  <c r="CN434" i="1"/>
  <c r="CO434" i="1"/>
  <c r="CP434" i="1"/>
  <c r="CZ434" i="1"/>
  <c r="DB434" i="1"/>
  <c r="DF434" i="1"/>
  <c r="AC1126" i="1"/>
  <c r="AH1126" i="1"/>
  <c r="BS1126" i="1"/>
  <c r="BV1126" i="1"/>
  <c r="BX1126" i="1"/>
  <c r="BY1126" i="1"/>
  <c r="BZ1126" i="1"/>
  <c r="CA1126" i="1"/>
  <c r="CH1126" i="1"/>
  <c r="CL1126" i="1"/>
  <c r="CM1126" i="1"/>
  <c r="CN1126" i="1"/>
  <c r="CO1126" i="1"/>
  <c r="CP1126" i="1"/>
  <c r="CZ1126" i="1"/>
  <c r="DB1126" i="1"/>
  <c r="DF1126" i="1"/>
  <c r="AC1816" i="1"/>
  <c r="AH1816" i="1"/>
  <c r="BS1816" i="1"/>
  <c r="BV1816" i="1"/>
  <c r="BX1816" i="1"/>
  <c r="BY1816" i="1"/>
  <c r="BZ1816" i="1"/>
  <c r="CA1816" i="1"/>
  <c r="CH1816" i="1"/>
  <c r="CL1816" i="1"/>
  <c r="CM1816" i="1"/>
  <c r="CN1816" i="1"/>
  <c r="CO1816" i="1"/>
  <c r="CP1816" i="1"/>
  <c r="CZ1816" i="1"/>
  <c r="DB1816" i="1"/>
  <c r="DF1816" i="1"/>
  <c r="AC1886" i="1"/>
  <c r="AH1886" i="1"/>
  <c r="BS1886" i="1"/>
  <c r="BV1886" i="1"/>
  <c r="BX1886" i="1"/>
  <c r="BY1886" i="1"/>
  <c r="BZ1886" i="1"/>
  <c r="CH1886" i="1"/>
  <c r="CL1886" i="1"/>
  <c r="CM1886" i="1"/>
  <c r="CN1886" i="1"/>
  <c r="CO1886" i="1"/>
  <c r="CP1886" i="1"/>
  <c r="CZ1886" i="1"/>
  <c r="DB1886" i="1"/>
  <c r="DF1886" i="1"/>
  <c r="AC1806" i="1"/>
  <c r="AH1806" i="1"/>
  <c r="BS1806" i="1"/>
  <c r="BV1806" i="1"/>
  <c r="BX1806" i="1"/>
  <c r="BY1806" i="1"/>
  <c r="BZ1806" i="1"/>
  <c r="CA1806" i="1"/>
  <c r="CH1806" i="1"/>
  <c r="CL1806" i="1"/>
  <c r="CM1806" i="1"/>
  <c r="CN1806" i="1"/>
  <c r="CO1806" i="1"/>
  <c r="CP1806" i="1"/>
  <c r="CZ1806" i="1"/>
  <c r="DB1806" i="1"/>
  <c r="DF1806" i="1"/>
  <c r="AC1749" i="1"/>
  <c r="AH1749" i="1"/>
  <c r="BS1749" i="1"/>
  <c r="BV1749" i="1"/>
  <c r="BX1749" i="1"/>
  <c r="BY1749" i="1"/>
  <c r="BZ1749" i="1"/>
  <c r="CH1749" i="1"/>
  <c r="CL1749" i="1"/>
  <c r="CM1749" i="1"/>
  <c r="CN1749" i="1"/>
  <c r="CO1749" i="1"/>
  <c r="CP1749" i="1"/>
  <c r="CZ1749" i="1"/>
  <c r="DB1749" i="1"/>
  <c r="DF1749" i="1"/>
  <c r="AC1387" i="1"/>
  <c r="AH1387" i="1"/>
  <c r="BS1387" i="1"/>
  <c r="BV1387" i="1"/>
  <c r="BX1387" i="1"/>
  <c r="BY1387" i="1"/>
  <c r="BZ1387" i="1"/>
  <c r="CA1387" i="1"/>
  <c r="CH1387" i="1"/>
  <c r="CL1387" i="1"/>
  <c r="CM1387" i="1"/>
  <c r="CN1387" i="1"/>
  <c r="CO1387" i="1"/>
  <c r="CP1387" i="1"/>
  <c r="CZ1387" i="1"/>
  <c r="DB1387" i="1"/>
  <c r="DF1387" i="1"/>
  <c r="AC503" i="1"/>
  <c r="AH503" i="1"/>
  <c r="BS503" i="1"/>
  <c r="BV503" i="1"/>
  <c r="BX503" i="1"/>
  <c r="BY503" i="1"/>
  <c r="BZ503" i="1"/>
  <c r="CH503" i="1"/>
  <c r="CL503" i="1"/>
  <c r="CM503" i="1"/>
  <c r="CN503" i="1"/>
  <c r="CO503" i="1"/>
  <c r="CP503" i="1"/>
  <c r="CZ503" i="1"/>
  <c r="DB503" i="1"/>
  <c r="DF503" i="1"/>
  <c r="AC198" i="1"/>
  <c r="AH198" i="1"/>
  <c r="BS198" i="1"/>
  <c r="BV198" i="1"/>
  <c r="BX198" i="1"/>
  <c r="BY198" i="1"/>
  <c r="BZ198" i="1"/>
  <c r="CA198" i="1"/>
  <c r="CH198" i="1"/>
  <c r="CL198" i="1"/>
  <c r="CM198" i="1"/>
  <c r="CN198" i="1"/>
  <c r="CO198" i="1"/>
  <c r="CP198" i="1"/>
  <c r="CZ198" i="1"/>
  <c r="DB198" i="1"/>
  <c r="DF198" i="1"/>
  <c r="AC1752" i="1"/>
  <c r="AH1752" i="1"/>
  <c r="BS1752" i="1"/>
  <c r="BV1752" i="1"/>
  <c r="BX1752" i="1"/>
  <c r="BY1752" i="1"/>
  <c r="BZ1752" i="1"/>
  <c r="CH1752" i="1"/>
  <c r="CL1752" i="1"/>
  <c r="CM1752" i="1"/>
  <c r="CN1752" i="1"/>
  <c r="CP1752" i="1"/>
  <c r="CZ1752" i="1"/>
  <c r="DB1752" i="1"/>
  <c r="DF1752" i="1"/>
  <c r="AC569" i="1"/>
  <c r="AH569" i="1"/>
  <c r="BS569" i="1"/>
  <c r="BV569" i="1"/>
  <c r="BX569" i="1"/>
  <c r="BY569" i="1"/>
  <c r="BZ569" i="1"/>
  <c r="CA569" i="1"/>
  <c r="CH569" i="1"/>
  <c r="CL569" i="1"/>
  <c r="CM569" i="1"/>
  <c r="CN569" i="1"/>
  <c r="CO569" i="1"/>
  <c r="CP569" i="1"/>
  <c r="CZ569" i="1"/>
  <c r="DB569" i="1"/>
  <c r="DF569" i="1"/>
  <c r="AC1138" i="1"/>
  <c r="AH1138" i="1"/>
  <c r="BS1138" i="1"/>
  <c r="BV1138" i="1"/>
  <c r="BX1138" i="1"/>
  <c r="BY1138" i="1"/>
  <c r="BZ1138" i="1"/>
  <c r="CA1138" i="1"/>
  <c r="CH1138" i="1"/>
  <c r="CL1138" i="1"/>
  <c r="CM1138" i="1"/>
  <c r="CN1138" i="1"/>
  <c r="CO1138" i="1"/>
  <c r="CP1138" i="1"/>
  <c r="CZ1138" i="1"/>
  <c r="DB1138" i="1"/>
  <c r="DF1138" i="1"/>
  <c r="AC1282" i="1"/>
  <c r="AH1282" i="1"/>
  <c r="BS1282" i="1"/>
  <c r="BV1282" i="1"/>
  <c r="BX1282" i="1"/>
  <c r="BY1282" i="1"/>
  <c r="BZ1282" i="1"/>
  <c r="CA1282" i="1"/>
  <c r="CH1282" i="1"/>
  <c r="CL1282" i="1"/>
  <c r="CM1282" i="1"/>
  <c r="CN1282" i="1"/>
  <c r="CO1282" i="1"/>
  <c r="CP1282" i="1"/>
  <c r="CZ1282" i="1"/>
  <c r="DB1282" i="1"/>
  <c r="DF1282" i="1"/>
  <c r="AC95" i="1"/>
  <c r="AH95" i="1"/>
  <c r="BS95" i="1"/>
  <c r="BV95" i="1"/>
  <c r="BX95" i="1"/>
  <c r="BY95" i="1"/>
  <c r="BZ95" i="1"/>
  <c r="CA95" i="1"/>
  <c r="CH95" i="1"/>
  <c r="CL95" i="1"/>
  <c r="CM95" i="1"/>
  <c r="CN95" i="1"/>
  <c r="CO95" i="1"/>
  <c r="CP95" i="1"/>
  <c r="CZ95" i="1"/>
  <c r="DB95" i="1"/>
  <c r="DF95" i="1"/>
  <c r="AC1384" i="1"/>
  <c r="AH1384" i="1"/>
  <c r="BS1384" i="1"/>
  <c r="BV1384" i="1"/>
  <c r="BX1384" i="1"/>
  <c r="BY1384" i="1"/>
  <c r="BZ1384" i="1"/>
  <c r="CA1384" i="1"/>
  <c r="CH1384" i="1"/>
  <c r="CL1384" i="1"/>
  <c r="CM1384" i="1"/>
  <c r="CN1384" i="1"/>
  <c r="CO1384" i="1"/>
  <c r="CP1384" i="1"/>
  <c r="CZ1384" i="1"/>
  <c r="DB1384" i="1"/>
  <c r="DF1384" i="1"/>
  <c r="AC765" i="1"/>
  <c r="AH765" i="1"/>
  <c r="BS765" i="1"/>
  <c r="BV765" i="1"/>
  <c r="BX765" i="1"/>
  <c r="BY765" i="1"/>
  <c r="BZ765" i="1"/>
  <c r="CA765" i="1"/>
  <c r="CH765" i="1"/>
  <c r="CL765" i="1"/>
  <c r="CM765" i="1"/>
  <c r="CN765" i="1"/>
  <c r="CO765" i="1"/>
  <c r="CP765" i="1"/>
  <c r="CZ765" i="1"/>
  <c r="DB765" i="1"/>
  <c r="DF765" i="1"/>
  <c r="AC2171" i="1"/>
  <c r="AH2171" i="1"/>
  <c r="BS2171" i="1"/>
  <c r="BV2171" i="1"/>
  <c r="BX2171" i="1"/>
  <c r="BY2171" i="1"/>
  <c r="BZ2171" i="1"/>
  <c r="CA2171" i="1"/>
  <c r="CH2171" i="1"/>
  <c r="CL2171" i="1"/>
  <c r="CM2171" i="1"/>
  <c r="CN2171" i="1"/>
  <c r="CO2171" i="1"/>
  <c r="CP2171" i="1"/>
  <c r="CZ2171" i="1"/>
  <c r="DB2171" i="1"/>
  <c r="DF2171" i="1"/>
  <c r="AC1433" i="1"/>
  <c r="AH1433" i="1"/>
  <c r="BS1433" i="1"/>
  <c r="BV1433" i="1"/>
  <c r="BX1433" i="1"/>
  <c r="BY1433" i="1"/>
  <c r="BZ1433" i="1"/>
  <c r="CA1433" i="1"/>
  <c r="CH1433" i="1"/>
  <c r="CL1433" i="1"/>
  <c r="CM1433" i="1"/>
  <c r="CN1433" i="1"/>
  <c r="CO1433" i="1"/>
  <c r="CP1433" i="1"/>
  <c r="CZ1433" i="1"/>
  <c r="DB1433" i="1"/>
  <c r="DF1433" i="1"/>
  <c r="AC571" i="1"/>
  <c r="AH571" i="1"/>
  <c r="BS571" i="1"/>
  <c r="BV571" i="1"/>
  <c r="BX571" i="1"/>
  <c r="BY571" i="1"/>
  <c r="BZ571" i="1"/>
  <c r="CA571" i="1"/>
  <c r="CH571" i="1"/>
  <c r="CL571" i="1"/>
  <c r="CM571" i="1"/>
  <c r="CN571" i="1"/>
  <c r="CO571" i="1"/>
  <c r="CP571" i="1"/>
  <c r="CZ571" i="1"/>
  <c r="DB571" i="1"/>
  <c r="DF571" i="1"/>
  <c r="AC270" i="1"/>
  <c r="AH270" i="1"/>
  <c r="BS270" i="1"/>
  <c r="BV270" i="1"/>
  <c r="BX270" i="1"/>
  <c r="BY270" i="1"/>
  <c r="BZ270" i="1"/>
  <c r="CH270" i="1"/>
  <c r="CL270" i="1"/>
  <c r="CM270" i="1"/>
  <c r="CN270" i="1"/>
  <c r="CO270" i="1"/>
  <c r="CP270" i="1"/>
  <c r="CZ270" i="1"/>
  <c r="DB270" i="1"/>
  <c r="DF270" i="1"/>
  <c r="AC1146" i="1"/>
  <c r="AH1146" i="1"/>
  <c r="BS1146" i="1"/>
  <c r="BV1146" i="1"/>
  <c r="BX1146" i="1"/>
  <c r="BY1146" i="1"/>
  <c r="BZ1146" i="1"/>
  <c r="CA1146" i="1"/>
  <c r="CH1146" i="1"/>
  <c r="CL1146" i="1"/>
  <c r="CM1146" i="1"/>
  <c r="CN1146" i="1"/>
  <c r="CO1146" i="1"/>
  <c r="CP1146" i="1"/>
  <c r="CZ1146" i="1"/>
  <c r="DB1146" i="1"/>
  <c r="DF1146" i="1"/>
  <c r="AC473" i="1"/>
  <c r="AH473" i="1"/>
  <c r="BS473" i="1"/>
  <c r="BV473" i="1"/>
  <c r="BX473" i="1"/>
  <c r="BY473" i="1"/>
  <c r="BZ473" i="1"/>
  <c r="CA473" i="1"/>
  <c r="CH473" i="1"/>
  <c r="CL473" i="1"/>
  <c r="CM473" i="1"/>
  <c r="CN473" i="1"/>
  <c r="CO473" i="1"/>
  <c r="CP473" i="1"/>
  <c r="CZ473" i="1"/>
  <c r="DB473" i="1"/>
  <c r="DF473" i="1"/>
  <c r="AC721" i="1"/>
  <c r="AH721" i="1"/>
  <c r="BS721" i="1"/>
  <c r="BV721" i="1"/>
  <c r="BX721" i="1"/>
  <c r="BY721" i="1"/>
  <c r="BZ721" i="1"/>
  <c r="CA721" i="1"/>
  <c r="CH721" i="1"/>
  <c r="CL721" i="1"/>
  <c r="CM721" i="1"/>
  <c r="CN721" i="1"/>
  <c r="CO721" i="1"/>
  <c r="CP721" i="1"/>
  <c r="CZ721" i="1"/>
  <c r="DB721" i="1"/>
  <c r="DF721" i="1"/>
  <c r="AC1785" i="1"/>
  <c r="AH1785" i="1"/>
  <c r="BS1785" i="1"/>
  <c r="BV1785" i="1"/>
  <c r="BX1785" i="1"/>
  <c r="BY1785" i="1"/>
  <c r="BZ1785" i="1"/>
  <c r="CH1785" i="1"/>
  <c r="CL1785" i="1"/>
  <c r="CM1785" i="1"/>
  <c r="CN1785" i="1"/>
  <c r="CO1785" i="1"/>
  <c r="CP1785" i="1"/>
  <c r="CZ1785" i="1"/>
  <c r="DB1785" i="1"/>
  <c r="DF1785" i="1"/>
  <c r="AC541" i="1"/>
  <c r="AH541" i="1"/>
  <c r="BS541" i="1"/>
  <c r="BV541" i="1"/>
  <c r="BX541" i="1"/>
  <c r="BY541" i="1"/>
  <c r="BZ541" i="1"/>
  <c r="CA541" i="1"/>
  <c r="CH541" i="1"/>
  <c r="CL541" i="1"/>
  <c r="CM541" i="1"/>
  <c r="CN541" i="1"/>
  <c r="CO541" i="1"/>
  <c r="CP541" i="1"/>
  <c r="CZ541" i="1"/>
  <c r="DB541" i="1"/>
  <c r="DF541" i="1"/>
  <c r="AC249" i="1"/>
  <c r="AH249" i="1"/>
  <c r="BS249" i="1"/>
  <c r="BV249" i="1"/>
  <c r="BX249" i="1"/>
  <c r="BY249" i="1"/>
  <c r="BZ249" i="1"/>
  <c r="CA249" i="1"/>
  <c r="CH249" i="1"/>
  <c r="CL249" i="1"/>
  <c r="CM249" i="1"/>
  <c r="CN249" i="1"/>
  <c r="CO249" i="1"/>
  <c r="CP249" i="1"/>
  <c r="CZ249" i="1"/>
  <c r="DB249" i="1"/>
  <c r="DF249" i="1"/>
  <c r="AC1078" i="1"/>
  <c r="AH1078" i="1"/>
  <c r="BS1078" i="1"/>
  <c r="BV1078" i="1"/>
  <c r="BX1078" i="1"/>
  <c r="BY1078" i="1"/>
  <c r="BZ1078" i="1"/>
  <c r="CH1078" i="1"/>
  <c r="CL1078" i="1"/>
  <c r="CM1078" i="1"/>
  <c r="CN1078" i="1"/>
  <c r="CO1078" i="1"/>
  <c r="CP1078" i="1"/>
  <c r="CZ1078" i="1"/>
  <c r="DB1078" i="1"/>
  <c r="DF1078" i="1"/>
  <c r="AC2100" i="1"/>
  <c r="AH2100" i="1"/>
  <c r="BS2100" i="1"/>
  <c r="BV2100" i="1"/>
  <c r="BX2100" i="1"/>
  <c r="BY2100" i="1"/>
  <c r="BZ2100" i="1"/>
  <c r="CA2100" i="1"/>
  <c r="CH2100" i="1"/>
  <c r="CL2100" i="1"/>
  <c r="CM2100" i="1"/>
  <c r="CN2100" i="1"/>
  <c r="CO2100" i="1"/>
  <c r="CP2100" i="1"/>
  <c r="CZ2100" i="1"/>
  <c r="DB2100" i="1"/>
  <c r="DF2100" i="1"/>
  <c r="AC342" i="1"/>
  <c r="AH342" i="1"/>
  <c r="BS342" i="1"/>
  <c r="BV342" i="1"/>
  <c r="BX342" i="1"/>
  <c r="BY342" i="1"/>
  <c r="BZ342" i="1"/>
  <c r="CA342" i="1"/>
  <c r="CH342" i="1"/>
  <c r="CL342" i="1"/>
  <c r="CM342" i="1"/>
  <c r="CN342" i="1"/>
  <c r="CO342" i="1"/>
  <c r="CP342" i="1"/>
  <c r="CZ342" i="1"/>
  <c r="DB342" i="1"/>
  <c r="DF342" i="1"/>
  <c r="AC461" i="1"/>
  <c r="AH461" i="1"/>
  <c r="BS461" i="1"/>
  <c r="BV461" i="1"/>
  <c r="BX461" i="1"/>
  <c r="BY461" i="1"/>
  <c r="BZ461" i="1"/>
  <c r="CH461" i="1"/>
  <c r="CL461" i="1"/>
  <c r="CM461" i="1"/>
  <c r="CN461" i="1"/>
  <c r="CO461" i="1"/>
  <c r="CP461" i="1"/>
  <c r="CZ461" i="1"/>
  <c r="DB461" i="1"/>
  <c r="DF461" i="1"/>
  <c r="AC1701" i="1"/>
  <c r="AH1701" i="1"/>
  <c r="BS1701" i="1"/>
  <c r="BV1701" i="1"/>
  <c r="BX1701" i="1"/>
  <c r="BY1701" i="1"/>
  <c r="BZ1701" i="1"/>
  <c r="CH1701" i="1"/>
  <c r="CL1701" i="1"/>
  <c r="CM1701" i="1"/>
  <c r="CN1701" i="1"/>
  <c r="CO1701" i="1"/>
  <c r="CP1701" i="1"/>
  <c r="CZ1701" i="1"/>
  <c r="DB1701" i="1"/>
  <c r="DF1701" i="1"/>
  <c r="AC726" i="1"/>
  <c r="AH726" i="1"/>
  <c r="BS726" i="1"/>
  <c r="BV726" i="1"/>
  <c r="BX726" i="1"/>
  <c r="BY726" i="1"/>
  <c r="BZ726" i="1"/>
  <c r="CA726" i="1"/>
  <c r="CH726" i="1"/>
  <c r="CL726" i="1"/>
  <c r="CM726" i="1"/>
  <c r="CN726" i="1"/>
  <c r="CO726" i="1"/>
  <c r="CP726" i="1"/>
  <c r="CZ726" i="1"/>
  <c r="DB726" i="1"/>
  <c r="DF726" i="1"/>
  <c r="AC697" i="1"/>
  <c r="AH697" i="1"/>
  <c r="BS697" i="1"/>
  <c r="BV697" i="1"/>
  <c r="BX697" i="1"/>
  <c r="BY697" i="1"/>
  <c r="BZ697" i="1"/>
  <c r="CA697" i="1"/>
  <c r="CH697" i="1"/>
  <c r="CL697" i="1"/>
  <c r="CM697" i="1"/>
  <c r="CN697" i="1"/>
  <c r="CO697" i="1"/>
  <c r="CP697" i="1"/>
  <c r="CZ697" i="1"/>
  <c r="DB697" i="1"/>
  <c r="DF697" i="1"/>
  <c r="AC308" i="1"/>
  <c r="AH308" i="1"/>
  <c r="BS308" i="1"/>
  <c r="BV308" i="1"/>
  <c r="BX308" i="1"/>
  <c r="BY308" i="1"/>
  <c r="BZ308" i="1"/>
  <c r="CH308" i="1"/>
  <c r="CL308" i="1"/>
  <c r="CM308" i="1"/>
  <c r="CN308" i="1"/>
  <c r="CO308" i="1"/>
  <c r="CP308" i="1"/>
  <c r="CZ308" i="1"/>
  <c r="DB308" i="1"/>
  <c r="DF308" i="1"/>
  <c r="AC806" i="1"/>
  <c r="AH806" i="1"/>
  <c r="BS806" i="1"/>
  <c r="BV806" i="1"/>
  <c r="BX806" i="1"/>
  <c r="BY806" i="1"/>
  <c r="BZ806" i="1"/>
  <c r="CH806" i="1"/>
  <c r="CL806" i="1"/>
  <c r="CM806" i="1"/>
  <c r="CN806" i="1"/>
  <c r="CO806" i="1"/>
  <c r="CP806" i="1"/>
  <c r="CZ806" i="1"/>
  <c r="DB806" i="1"/>
  <c r="DF806" i="1"/>
  <c r="AC1489" i="1"/>
  <c r="AH1489" i="1"/>
  <c r="BS1489" i="1"/>
  <c r="BV1489" i="1"/>
  <c r="BX1489" i="1"/>
  <c r="BY1489" i="1"/>
  <c r="BZ1489" i="1"/>
  <c r="CA1489" i="1"/>
  <c r="CH1489" i="1"/>
  <c r="CL1489" i="1"/>
  <c r="CM1489" i="1"/>
  <c r="CN1489" i="1"/>
  <c r="CO1489" i="1"/>
  <c r="CP1489" i="1"/>
  <c r="CZ1489" i="1"/>
  <c r="DB1489" i="1"/>
  <c r="DF1489" i="1"/>
  <c r="AC2029" i="1"/>
  <c r="AH2029" i="1"/>
  <c r="BS2029" i="1"/>
  <c r="BV2029" i="1"/>
  <c r="BX2029" i="1"/>
  <c r="BY2029" i="1"/>
  <c r="BZ2029" i="1"/>
  <c r="CA2029" i="1"/>
  <c r="CH2029" i="1"/>
  <c r="CL2029" i="1"/>
  <c r="CM2029" i="1"/>
  <c r="CN2029" i="1"/>
  <c r="CO2029" i="1"/>
  <c r="CP2029" i="1"/>
  <c r="CZ2029" i="1"/>
  <c r="DB2029" i="1"/>
  <c r="DF2029" i="1"/>
  <c r="AC499" i="1"/>
  <c r="AH499" i="1"/>
  <c r="BS499" i="1"/>
  <c r="BV499" i="1"/>
  <c r="BX499" i="1"/>
  <c r="BY499" i="1"/>
  <c r="BZ499" i="1"/>
  <c r="CA499" i="1"/>
  <c r="CH499" i="1"/>
  <c r="CL499" i="1"/>
  <c r="CM499" i="1"/>
  <c r="CN499" i="1"/>
  <c r="CO499" i="1"/>
  <c r="CP499" i="1"/>
  <c r="CZ499" i="1"/>
  <c r="DB499" i="1"/>
  <c r="DF499" i="1"/>
  <c r="AC1664" i="1"/>
  <c r="AH1664" i="1"/>
  <c r="BS1664" i="1"/>
  <c r="BV1664" i="1"/>
  <c r="BX1664" i="1"/>
  <c r="BY1664" i="1"/>
  <c r="BZ1664" i="1"/>
  <c r="CA1664" i="1"/>
  <c r="CH1664" i="1"/>
  <c r="CL1664" i="1"/>
  <c r="CM1664" i="1"/>
  <c r="CN1664" i="1"/>
  <c r="CO1664" i="1"/>
  <c r="CP1664" i="1"/>
  <c r="CZ1664" i="1"/>
  <c r="DB1664" i="1"/>
  <c r="DF1664" i="1"/>
  <c r="AC1679" i="1"/>
  <c r="AH1679" i="1"/>
  <c r="BS1679" i="1"/>
  <c r="BV1679" i="1"/>
  <c r="BX1679" i="1"/>
  <c r="BY1679" i="1"/>
  <c r="BZ1679" i="1"/>
  <c r="CA1679" i="1"/>
  <c r="CH1679" i="1"/>
  <c r="CL1679" i="1"/>
  <c r="CM1679" i="1"/>
  <c r="CN1679" i="1"/>
  <c r="CP1679" i="1"/>
  <c r="CZ1679" i="1"/>
  <c r="DB1679" i="1"/>
  <c r="DF1679" i="1"/>
  <c r="AC1828" i="1"/>
  <c r="AH1828" i="1"/>
  <c r="BS1828" i="1"/>
  <c r="BV1828" i="1"/>
  <c r="BX1828" i="1"/>
  <c r="BY1828" i="1"/>
  <c r="BZ1828" i="1"/>
  <c r="CH1828" i="1"/>
  <c r="CL1828" i="1"/>
  <c r="CM1828" i="1"/>
  <c r="CN1828" i="1"/>
  <c r="CP1828" i="1"/>
  <c r="CZ1828" i="1"/>
  <c r="DB1828" i="1"/>
  <c r="DF1828" i="1"/>
  <c r="AC213" i="1"/>
  <c r="AH213" i="1"/>
  <c r="BS213" i="1"/>
  <c r="BV213" i="1"/>
  <c r="BX213" i="1"/>
  <c r="BY213" i="1"/>
  <c r="BZ213" i="1"/>
  <c r="CA213" i="1"/>
  <c r="CH213" i="1"/>
  <c r="CL213" i="1"/>
  <c r="CM213" i="1"/>
  <c r="CN213" i="1"/>
  <c r="CO213" i="1"/>
  <c r="CP213" i="1"/>
  <c r="CZ213" i="1"/>
  <c r="DB213" i="1"/>
  <c r="DF213" i="1"/>
  <c r="AC2240" i="1"/>
  <c r="AH2240" i="1"/>
  <c r="BS2240" i="1"/>
  <c r="BV2240" i="1"/>
  <c r="BX2240" i="1"/>
  <c r="BY2240" i="1"/>
  <c r="BZ2240" i="1"/>
  <c r="CA2240" i="1"/>
  <c r="CH2240" i="1"/>
  <c r="CL2240" i="1"/>
  <c r="CM2240" i="1"/>
  <c r="CN2240" i="1"/>
  <c r="CO2240" i="1"/>
  <c r="CP2240" i="1"/>
  <c r="CZ2240" i="1"/>
  <c r="DB2240" i="1"/>
  <c r="DF2240" i="1"/>
  <c r="AC1289" i="1"/>
  <c r="AH1289" i="1"/>
  <c r="BS1289" i="1"/>
  <c r="BV1289" i="1"/>
  <c r="BX1289" i="1"/>
  <c r="BY1289" i="1"/>
  <c r="BZ1289" i="1"/>
  <c r="CA1289" i="1"/>
  <c r="CH1289" i="1"/>
  <c r="CL1289" i="1"/>
  <c r="CM1289" i="1"/>
  <c r="CN1289" i="1"/>
  <c r="CO1289" i="1"/>
  <c r="CP1289" i="1"/>
  <c r="CZ1289" i="1"/>
  <c r="DB1289" i="1"/>
  <c r="DF1289" i="1"/>
  <c r="AC1694" i="1"/>
  <c r="AH1694" i="1"/>
  <c r="BS1694" i="1"/>
  <c r="BV1694" i="1"/>
  <c r="BX1694" i="1"/>
  <c r="BY1694" i="1"/>
  <c r="BZ1694" i="1"/>
  <c r="CH1694" i="1"/>
  <c r="CL1694" i="1"/>
  <c r="CM1694" i="1"/>
  <c r="CN1694" i="1"/>
  <c r="CP1694" i="1"/>
  <c r="CZ1694" i="1"/>
  <c r="DB1694" i="1"/>
  <c r="DF1694" i="1"/>
  <c r="AC2028" i="1"/>
  <c r="AH2028" i="1"/>
  <c r="BS2028" i="1"/>
  <c r="BV2028" i="1"/>
  <c r="BX2028" i="1"/>
  <c r="BY2028" i="1"/>
  <c r="BZ2028" i="1"/>
  <c r="CA2028" i="1"/>
  <c r="CH2028" i="1"/>
  <c r="CL2028" i="1"/>
  <c r="CM2028" i="1"/>
  <c r="CN2028" i="1"/>
  <c r="CO2028" i="1"/>
  <c r="CP2028" i="1"/>
  <c r="CZ2028" i="1"/>
  <c r="DB2028" i="1"/>
  <c r="DF2028" i="1"/>
  <c r="AC1904" i="1"/>
  <c r="AH1904" i="1"/>
  <c r="BS1904" i="1"/>
  <c r="BV1904" i="1"/>
  <c r="BX1904" i="1"/>
  <c r="BY1904" i="1"/>
  <c r="BZ1904" i="1"/>
  <c r="CA1904" i="1"/>
  <c r="CH1904" i="1"/>
  <c r="CL1904" i="1"/>
  <c r="CM1904" i="1"/>
  <c r="CN1904" i="1"/>
  <c r="CO1904" i="1"/>
  <c r="CP1904" i="1"/>
  <c r="CZ1904" i="1"/>
  <c r="DB1904" i="1"/>
  <c r="DF1904" i="1"/>
  <c r="AC1108" i="1"/>
  <c r="AH1108" i="1"/>
  <c r="BS1108" i="1"/>
  <c r="BV1108" i="1"/>
  <c r="BX1108" i="1"/>
  <c r="BY1108" i="1"/>
  <c r="BZ1108" i="1"/>
  <c r="CA1108" i="1"/>
  <c r="CH1108" i="1"/>
  <c r="CL1108" i="1"/>
  <c r="CM1108" i="1"/>
  <c r="CN1108" i="1"/>
  <c r="CO1108" i="1"/>
  <c r="CP1108" i="1"/>
  <c r="CZ1108" i="1"/>
  <c r="DB1108" i="1"/>
  <c r="DF1108" i="1"/>
  <c r="AC1621" i="1"/>
  <c r="AH1621" i="1"/>
  <c r="BS1621" i="1"/>
  <c r="BV1621" i="1"/>
  <c r="BX1621" i="1"/>
  <c r="BY1621" i="1"/>
  <c r="BZ1621" i="1"/>
  <c r="CH1621" i="1"/>
  <c r="CL1621" i="1"/>
  <c r="CM1621" i="1"/>
  <c r="CN1621" i="1"/>
  <c r="CO1621" i="1"/>
  <c r="CP1621" i="1"/>
  <c r="CZ1621" i="1"/>
  <c r="DB1621" i="1"/>
  <c r="DF1621" i="1"/>
  <c r="AC641" i="1"/>
  <c r="AH641" i="1"/>
  <c r="BS641" i="1"/>
  <c r="BV641" i="1"/>
  <c r="BX641" i="1"/>
  <c r="BY641" i="1"/>
  <c r="BZ641" i="1"/>
  <c r="CA641" i="1"/>
  <c r="CH641" i="1"/>
  <c r="CL641" i="1"/>
  <c r="CM641" i="1"/>
  <c r="CN641" i="1"/>
  <c r="CO641" i="1"/>
  <c r="CP641" i="1"/>
  <c r="CZ641" i="1"/>
  <c r="DB641" i="1"/>
  <c r="DF641" i="1"/>
  <c r="AC248" i="1"/>
  <c r="AH248" i="1"/>
  <c r="BS248" i="1"/>
  <c r="BV248" i="1"/>
  <c r="BX248" i="1"/>
  <c r="BY248" i="1"/>
  <c r="BZ248" i="1"/>
  <c r="CA248" i="1"/>
  <c r="CH248" i="1"/>
  <c r="CL248" i="1"/>
  <c r="CM248" i="1"/>
  <c r="CN248" i="1"/>
  <c r="CO248" i="1"/>
  <c r="CP248" i="1"/>
  <c r="CZ248" i="1"/>
  <c r="DB248" i="1"/>
  <c r="DF248" i="1"/>
  <c r="AC651" i="1"/>
  <c r="AH651" i="1"/>
  <c r="BS651" i="1"/>
  <c r="BV651" i="1"/>
  <c r="BX651" i="1"/>
  <c r="BY651" i="1"/>
  <c r="BZ651" i="1"/>
  <c r="CA651" i="1"/>
  <c r="CH651" i="1"/>
  <c r="CL651" i="1"/>
  <c r="CM651" i="1"/>
  <c r="CN651" i="1"/>
  <c r="CO651" i="1"/>
  <c r="CP651" i="1"/>
  <c r="CZ651" i="1"/>
  <c r="DB651" i="1"/>
  <c r="DF651" i="1"/>
  <c r="AC2161" i="1"/>
  <c r="AH2161" i="1"/>
  <c r="BS2161" i="1"/>
  <c r="BV2161" i="1"/>
  <c r="BX2161" i="1"/>
  <c r="BY2161" i="1"/>
  <c r="BZ2161" i="1"/>
  <c r="CH2161" i="1"/>
  <c r="CL2161" i="1"/>
  <c r="CM2161" i="1"/>
  <c r="CN2161" i="1"/>
  <c r="CO2161" i="1"/>
  <c r="CP2161" i="1"/>
  <c r="CZ2161" i="1"/>
  <c r="DB2161" i="1"/>
  <c r="DF2161" i="1"/>
  <c r="AC1873" i="1"/>
  <c r="AH1873" i="1"/>
  <c r="BS1873" i="1"/>
  <c r="BV1873" i="1"/>
  <c r="BX1873" i="1"/>
  <c r="BY1873" i="1"/>
  <c r="BZ1873" i="1"/>
  <c r="CH1873" i="1"/>
  <c r="CL1873" i="1"/>
  <c r="CM1873" i="1"/>
  <c r="CN1873" i="1"/>
  <c r="CP1873" i="1"/>
  <c r="CZ1873" i="1"/>
  <c r="DB1873" i="1"/>
  <c r="DF1873" i="1"/>
  <c r="AC1666" i="1"/>
  <c r="AH1666" i="1"/>
  <c r="BS1666" i="1"/>
  <c r="BV1666" i="1"/>
  <c r="BX1666" i="1"/>
  <c r="BY1666" i="1"/>
  <c r="BZ1666" i="1"/>
  <c r="CA1666" i="1"/>
  <c r="CH1666" i="1"/>
  <c r="CL1666" i="1"/>
  <c r="CM1666" i="1"/>
  <c r="CN1666" i="1"/>
  <c r="CP1666" i="1"/>
  <c r="CZ1666" i="1"/>
  <c r="DB1666" i="1"/>
  <c r="DF1666" i="1"/>
  <c r="AC1863" i="1"/>
  <c r="AH1863" i="1"/>
  <c r="BS1863" i="1"/>
  <c r="BV1863" i="1"/>
  <c r="BX1863" i="1"/>
  <c r="BY1863" i="1"/>
  <c r="BZ1863" i="1"/>
  <c r="CA1863" i="1"/>
  <c r="CH1863" i="1"/>
  <c r="CL1863" i="1"/>
  <c r="CM1863" i="1"/>
  <c r="CN1863" i="1"/>
  <c r="CO1863" i="1"/>
  <c r="CP1863" i="1"/>
  <c r="CZ1863" i="1"/>
  <c r="DB1863" i="1"/>
  <c r="DF1863" i="1"/>
  <c r="AC1914" i="1"/>
  <c r="AH1914" i="1"/>
  <c r="BS1914" i="1"/>
  <c r="BV1914" i="1"/>
  <c r="BX1914" i="1"/>
  <c r="BY1914" i="1"/>
  <c r="BZ1914" i="1"/>
  <c r="CA1914" i="1"/>
  <c r="CH1914" i="1"/>
  <c r="CL1914" i="1"/>
  <c r="CM1914" i="1"/>
  <c r="CN1914" i="1"/>
  <c r="CO1914" i="1"/>
  <c r="CP1914" i="1"/>
  <c r="CZ1914" i="1"/>
  <c r="DB1914" i="1"/>
  <c r="DF1914" i="1"/>
  <c r="AC2046" i="1"/>
  <c r="AH2046" i="1"/>
  <c r="BS2046" i="1"/>
  <c r="BV2046" i="1"/>
  <c r="BX2046" i="1"/>
  <c r="BY2046" i="1"/>
  <c r="BZ2046" i="1"/>
  <c r="CH2046" i="1"/>
  <c r="CL2046" i="1"/>
  <c r="CM2046" i="1"/>
  <c r="CN2046" i="1"/>
  <c r="CO2046" i="1"/>
  <c r="CP2046" i="1"/>
  <c r="CZ2046" i="1"/>
  <c r="DB2046" i="1"/>
  <c r="DF2046" i="1"/>
  <c r="AC1923" i="1"/>
  <c r="AH1923" i="1"/>
  <c r="BS1923" i="1"/>
  <c r="BV1923" i="1"/>
  <c r="BX1923" i="1"/>
  <c r="BY1923" i="1"/>
  <c r="BZ1923" i="1"/>
  <c r="CA1923" i="1"/>
  <c r="CH1923" i="1"/>
  <c r="CL1923" i="1"/>
  <c r="CM1923" i="1"/>
  <c r="CN1923" i="1"/>
  <c r="CO1923" i="1"/>
  <c r="CP1923" i="1"/>
  <c r="CZ1923" i="1"/>
  <c r="DB1923" i="1"/>
  <c r="DF1923" i="1"/>
  <c r="AC1830" i="1"/>
  <c r="AH1830" i="1"/>
  <c r="BS1830" i="1"/>
  <c r="BV1830" i="1"/>
  <c r="BX1830" i="1"/>
  <c r="BY1830" i="1"/>
  <c r="BZ1830" i="1"/>
  <c r="CA1830" i="1"/>
  <c r="CH1830" i="1"/>
  <c r="CL1830" i="1"/>
  <c r="CM1830" i="1"/>
  <c r="CN1830" i="1"/>
  <c r="CO1830" i="1"/>
  <c r="CP1830" i="1"/>
  <c r="CZ1830" i="1"/>
  <c r="DB1830" i="1"/>
  <c r="DF1830" i="1"/>
  <c r="AC967" i="1"/>
  <c r="AH967" i="1"/>
  <c r="BS967" i="1"/>
  <c r="BV967" i="1"/>
  <c r="BX967" i="1"/>
  <c r="BY967" i="1"/>
  <c r="BZ967" i="1"/>
  <c r="CA967" i="1"/>
  <c r="CH967" i="1"/>
  <c r="CL967" i="1"/>
  <c r="CM967" i="1"/>
  <c r="CN967" i="1"/>
  <c r="CO967" i="1"/>
  <c r="CP967" i="1"/>
  <c r="CZ967" i="1"/>
  <c r="DB967" i="1"/>
  <c r="DF967" i="1"/>
  <c r="AC489" i="1"/>
  <c r="AH489" i="1"/>
  <c r="BS489" i="1"/>
  <c r="BV489" i="1"/>
  <c r="BX489" i="1"/>
  <c r="BY489" i="1"/>
  <c r="BZ489" i="1"/>
  <c r="CH489" i="1"/>
  <c r="CL489" i="1"/>
  <c r="CM489" i="1"/>
  <c r="CN489" i="1"/>
  <c r="CO489" i="1"/>
  <c r="CP489" i="1"/>
  <c r="CZ489" i="1"/>
  <c r="DB489" i="1"/>
  <c r="DF489" i="1"/>
  <c r="AC878" i="1"/>
  <c r="AH878" i="1"/>
  <c r="BS878" i="1"/>
  <c r="BV878" i="1"/>
  <c r="BX878" i="1"/>
  <c r="BY878" i="1"/>
  <c r="BZ878" i="1"/>
  <c r="CH878" i="1"/>
  <c r="CL878" i="1"/>
  <c r="CM878" i="1"/>
  <c r="CN878" i="1"/>
  <c r="CO878" i="1"/>
  <c r="CP878" i="1"/>
  <c r="CZ878" i="1"/>
  <c r="DB878" i="1"/>
  <c r="DF878" i="1"/>
  <c r="AC1007" i="1"/>
  <c r="AH1007" i="1"/>
  <c r="BS1007" i="1"/>
  <c r="BV1007" i="1"/>
  <c r="BX1007" i="1"/>
  <c r="BY1007" i="1"/>
  <c r="BZ1007" i="1"/>
  <c r="CH1007" i="1"/>
  <c r="CL1007" i="1"/>
  <c r="CM1007" i="1"/>
  <c r="CN1007" i="1"/>
  <c r="CO1007" i="1"/>
  <c r="CP1007" i="1"/>
  <c r="CZ1007" i="1"/>
  <c r="DB1007" i="1"/>
  <c r="DF1007" i="1"/>
  <c r="AC200" i="1"/>
  <c r="AH200" i="1"/>
  <c r="BS200" i="1"/>
  <c r="BV200" i="1"/>
  <c r="BX200" i="1"/>
  <c r="BY200" i="1"/>
  <c r="BZ200" i="1"/>
  <c r="CA200" i="1"/>
  <c r="CH200" i="1"/>
  <c r="CL200" i="1"/>
  <c r="CM200" i="1"/>
  <c r="CN200" i="1"/>
  <c r="CO200" i="1"/>
  <c r="CP200" i="1"/>
  <c r="CZ200" i="1"/>
  <c r="DB200" i="1"/>
  <c r="DF200" i="1"/>
  <c r="AC445" i="1"/>
  <c r="AH445" i="1"/>
  <c r="BS445" i="1"/>
  <c r="BV445" i="1"/>
  <c r="BX445" i="1"/>
  <c r="BY445" i="1"/>
  <c r="BZ445" i="1"/>
  <c r="CH445" i="1"/>
  <c r="CL445" i="1"/>
  <c r="CM445" i="1"/>
  <c r="CN445" i="1"/>
  <c r="CO445" i="1"/>
  <c r="CP445" i="1"/>
  <c r="CZ445" i="1"/>
  <c r="DB445" i="1"/>
  <c r="DF445" i="1"/>
  <c r="AC470" i="1"/>
  <c r="AH470" i="1"/>
  <c r="BS470" i="1"/>
  <c r="BV470" i="1"/>
  <c r="BX470" i="1"/>
  <c r="BY470" i="1"/>
  <c r="BZ470" i="1"/>
  <c r="CH470" i="1"/>
  <c r="CL470" i="1"/>
  <c r="CM470" i="1"/>
  <c r="CN470" i="1"/>
  <c r="CO470" i="1"/>
  <c r="CP470" i="1"/>
  <c r="CZ470" i="1"/>
  <c r="DB470" i="1"/>
  <c r="DF470" i="1"/>
  <c r="AC1240" i="1"/>
  <c r="AH1240" i="1"/>
  <c r="BS1240" i="1"/>
  <c r="BV1240" i="1"/>
  <c r="BX1240" i="1"/>
  <c r="BY1240" i="1"/>
  <c r="BZ1240" i="1"/>
  <c r="CH1240" i="1"/>
  <c r="CL1240" i="1"/>
  <c r="CM1240" i="1"/>
  <c r="CN1240" i="1"/>
  <c r="CO1240" i="1"/>
  <c r="CP1240" i="1"/>
  <c r="CZ1240" i="1"/>
  <c r="DB1240" i="1"/>
  <c r="DF1240" i="1"/>
  <c r="AC1281" i="1"/>
  <c r="AH1281" i="1"/>
  <c r="BS1281" i="1"/>
  <c r="BV1281" i="1"/>
  <c r="BX1281" i="1"/>
  <c r="BY1281" i="1"/>
  <c r="BZ1281" i="1"/>
  <c r="CA1281" i="1"/>
  <c r="CH1281" i="1"/>
  <c r="CL1281" i="1"/>
  <c r="CM1281" i="1"/>
  <c r="CN1281" i="1"/>
  <c r="CO1281" i="1"/>
  <c r="CP1281" i="1"/>
  <c r="CZ1281" i="1"/>
  <c r="DB1281" i="1"/>
  <c r="DF1281" i="1"/>
  <c r="AC111" i="1"/>
  <c r="AH111" i="1"/>
  <c r="BS111" i="1"/>
  <c r="BV111" i="1"/>
  <c r="BX111" i="1"/>
  <c r="BY111" i="1"/>
  <c r="BZ111" i="1"/>
  <c r="CA111" i="1"/>
  <c r="CH111" i="1"/>
  <c r="CL111" i="1"/>
  <c r="CM111" i="1"/>
  <c r="CN111" i="1"/>
  <c r="CO111" i="1"/>
  <c r="CP111" i="1"/>
  <c r="CZ111" i="1"/>
  <c r="DB111" i="1"/>
  <c r="DF111" i="1"/>
  <c r="AC1375" i="1"/>
  <c r="AH1375" i="1"/>
  <c r="BS1375" i="1"/>
  <c r="BV1375" i="1"/>
  <c r="BX1375" i="1"/>
  <c r="BY1375" i="1"/>
  <c r="BZ1375" i="1"/>
  <c r="CH1375" i="1"/>
  <c r="CL1375" i="1"/>
  <c r="CM1375" i="1"/>
  <c r="CN1375" i="1"/>
  <c r="CO1375" i="1"/>
  <c r="CP1375" i="1"/>
  <c r="CZ1375" i="1"/>
  <c r="DB1375" i="1"/>
  <c r="DF1375" i="1"/>
  <c r="AC2109" i="1"/>
  <c r="AH2109" i="1"/>
  <c r="BS2109" i="1"/>
  <c r="BV2109" i="1"/>
  <c r="BX2109" i="1"/>
  <c r="BY2109" i="1"/>
  <c r="BZ2109" i="1"/>
  <c r="CH2109" i="1"/>
  <c r="CL2109" i="1"/>
  <c r="CM2109" i="1"/>
  <c r="CN2109" i="1"/>
  <c r="CO2109" i="1"/>
  <c r="CP2109" i="1"/>
  <c r="CZ2109" i="1"/>
  <c r="DB2109" i="1"/>
  <c r="DF2109" i="1"/>
  <c r="AC2255" i="1"/>
  <c r="AH2255" i="1"/>
  <c r="BS2255" i="1"/>
  <c r="BV2255" i="1"/>
  <c r="BX2255" i="1"/>
  <c r="BY2255" i="1"/>
  <c r="BZ2255" i="1"/>
  <c r="CA2255" i="1"/>
  <c r="CH2255" i="1"/>
  <c r="CL2255" i="1"/>
  <c r="CM2255" i="1"/>
  <c r="CN2255" i="1"/>
  <c r="CO2255" i="1"/>
  <c r="CP2255" i="1"/>
  <c r="CZ2255" i="1"/>
  <c r="DB2255" i="1"/>
  <c r="DF2255" i="1"/>
  <c r="AC639" i="1"/>
  <c r="AH639" i="1"/>
  <c r="BS639" i="1"/>
  <c r="BV639" i="1"/>
  <c r="BX639" i="1"/>
  <c r="BY639" i="1"/>
  <c r="BZ639" i="1"/>
  <c r="CA639" i="1"/>
  <c r="CH639" i="1"/>
  <c r="CL639" i="1"/>
  <c r="CM639" i="1"/>
  <c r="CN639" i="1"/>
  <c r="CO639" i="1"/>
  <c r="CP639" i="1"/>
  <c r="CZ639" i="1"/>
  <c r="DB639" i="1"/>
  <c r="DF639" i="1"/>
  <c r="AC2132" i="1"/>
  <c r="AH2132" i="1"/>
  <c r="BS2132" i="1"/>
  <c r="BV2132" i="1"/>
  <c r="BX2132" i="1"/>
  <c r="BY2132" i="1"/>
  <c r="BZ2132" i="1"/>
  <c r="CH2132" i="1"/>
  <c r="CL2132" i="1"/>
  <c r="CM2132" i="1"/>
  <c r="CN2132" i="1"/>
  <c r="CO2132" i="1"/>
  <c r="CP2132" i="1"/>
  <c r="CZ2132" i="1"/>
  <c r="DB2132" i="1"/>
  <c r="DF2132" i="1"/>
  <c r="AC82" i="1"/>
  <c r="AH82" i="1"/>
  <c r="BS82" i="1"/>
  <c r="BV82" i="1"/>
  <c r="BX82" i="1"/>
  <c r="BY82" i="1"/>
  <c r="BZ82" i="1"/>
  <c r="CH82" i="1"/>
  <c r="CL82" i="1"/>
  <c r="CM82" i="1"/>
  <c r="CN82" i="1"/>
  <c r="CO82" i="1"/>
  <c r="CP82" i="1"/>
  <c r="CZ82" i="1"/>
  <c r="DB82" i="1"/>
  <c r="DF82" i="1"/>
  <c r="AC1644" i="1"/>
  <c r="AH1644" i="1"/>
  <c r="BS1644" i="1"/>
  <c r="BV1644" i="1"/>
  <c r="BX1644" i="1"/>
  <c r="BY1644" i="1"/>
  <c r="BZ1644" i="1"/>
  <c r="CA1644" i="1"/>
  <c r="CH1644" i="1"/>
  <c r="CL1644" i="1"/>
  <c r="CM1644" i="1"/>
  <c r="CN1644" i="1"/>
  <c r="CO1644" i="1"/>
  <c r="CP1644" i="1"/>
  <c r="CZ1644" i="1"/>
  <c r="DB1644" i="1"/>
  <c r="DF1644" i="1"/>
  <c r="AC1383" i="1"/>
  <c r="AH1383" i="1"/>
  <c r="BS1383" i="1"/>
  <c r="BV1383" i="1"/>
  <c r="BX1383" i="1"/>
  <c r="BY1383" i="1"/>
  <c r="BZ1383" i="1"/>
  <c r="CA1383" i="1"/>
  <c r="CH1383" i="1"/>
  <c r="CL1383" i="1"/>
  <c r="CM1383" i="1"/>
  <c r="CN1383" i="1"/>
  <c r="CO1383" i="1"/>
  <c r="CP1383" i="1"/>
  <c r="CZ1383" i="1"/>
  <c r="DB1383" i="1"/>
  <c r="DF1383" i="1"/>
  <c r="AC626" i="1"/>
  <c r="AH626" i="1"/>
  <c r="BS626" i="1"/>
  <c r="BV626" i="1"/>
  <c r="BX626" i="1"/>
  <c r="BY626" i="1"/>
  <c r="BZ626" i="1"/>
  <c r="CA626" i="1"/>
  <c r="CH626" i="1"/>
  <c r="CL626" i="1"/>
  <c r="CM626" i="1"/>
  <c r="CN626" i="1"/>
  <c r="CO626" i="1"/>
  <c r="CP626" i="1"/>
  <c r="CZ626" i="1"/>
  <c r="DB626" i="1"/>
  <c r="DF626" i="1"/>
  <c r="AC1798" i="1"/>
  <c r="AH1798" i="1"/>
  <c r="BS1798" i="1"/>
  <c r="BV1798" i="1"/>
  <c r="BX1798" i="1"/>
  <c r="BY1798" i="1"/>
  <c r="BZ1798" i="1"/>
  <c r="CA1798" i="1"/>
  <c r="CH1798" i="1"/>
  <c r="CL1798" i="1"/>
  <c r="CM1798" i="1"/>
  <c r="CN1798" i="1"/>
  <c r="CO1798" i="1"/>
  <c r="CP1798" i="1"/>
  <c r="CZ1798" i="1"/>
  <c r="DB1798" i="1"/>
  <c r="DF1798" i="1"/>
  <c r="AC2303" i="1"/>
  <c r="AH2303" i="1"/>
  <c r="BS2303" i="1"/>
  <c r="BV2303" i="1"/>
  <c r="BX2303" i="1"/>
  <c r="BY2303" i="1"/>
  <c r="BZ2303" i="1"/>
  <c r="CA2303" i="1"/>
  <c r="CH2303" i="1"/>
  <c r="CL2303" i="1"/>
  <c r="CM2303" i="1"/>
  <c r="CN2303" i="1"/>
  <c r="CO2303" i="1"/>
  <c r="CP2303" i="1"/>
  <c r="CZ2303" i="1"/>
  <c r="DB2303" i="1"/>
  <c r="DF2303" i="1"/>
  <c r="AC1670" i="1"/>
  <c r="AH1670" i="1"/>
  <c r="BS1670" i="1"/>
  <c r="BV1670" i="1"/>
  <c r="BX1670" i="1"/>
  <c r="BY1670" i="1"/>
  <c r="BZ1670" i="1"/>
  <c r="CA1670" i="1"/>
  <c r="CH1670" i="1"/>
  <c r="CL1670" i="1"/>
  <c r="CM1670" i="1"/>
  <c r="CN1670" i="1"/>
  <c r="CP1670" i="1"/>
  <c r="CZ1670" i="1"/>
  <c r="DB1670" i="1"/>
  <c r="DF1670" i="1"/>
  <c r="AC1304" i="1"/>
  <c r="AH1304" i="1"/>
  <c r="BS1304" i="1"/>
  <c r="BV1304" i="1"/>
  <c r="BX1304" i="1"/>
  <c r="BY1304" i="1"/>
  <c r="BZ1304" i="1"/>
  <c r="CH1304" i="1"/>
  <c r="CL1304" i="1"/>
  <c r="CM1304" i="1"/>
  <c r="CN1304" i="1"/>
  <c r="CO1304" i="1"/>
  <c r="CP1304" i="1"/>
  <c r="CZ1304" i="1"/>
  <c r="DB1304" i="1"/>
  <c r="DF1304" i="1"/>
  <c r="AC483" i="1"/>
  <c r="AH483" i="1"/>
  <c r="BS483" i="1"/>
  <c r="BV483" i="1"/>
  <c r="BX483" i="1"/>
  <c r="BY483" i="1"/>
  <c r="BZ483" i="1"/>
  <c r="CA483" i="1"/>
  <c r="CH483" i="1"/>
  <c r="CL483" i="1"/>
  <c r="CM483" i="1"/>
  <c r="CN483" i="1"/>
  <c r="CO483" i="1"/>
  <c r="CP483" i="1"/>
  <c r="CZ483" i="1"/>
  <c r="DB483" i="1"/>
  <c r="DF483" i="1"/>
  <c r="AC893" i="1"/>
  <c r="AH893" i="1"/>
  <c r="BS893" i="1"/>
  <c r="BV893" i="1"/>
  <c r="BX893" i="1"/>
  <c r="BY893" i="1"/>
  <c r="BZ893" i="1"/>
  <c r="CA893" i="1"/>
  <c r="CH893" i="1"/>
  <c r="CL893" i="1"/>
  <c r="CM893" i="1"/>
  <c r="CN893" i="1"/>
  <c r="CO893" i="1"/>
  <c r="CP893" i="1"/>
  <c r="CZ893" i="1"/>
  <c r="DB893" i="1"/>
  <c r="DF893" i="1"/>
  <c r="AC2129" i="1"/>
  <c r="AH2129" i="1"/>
  <c r="BS2129" i="1"/>
  <c r="BV2129" i="1"/>
  <c r="BX2129" i="1"/>
  <c r="BY2129" i="1"/>
  <c r="BZ2129" i="1"/>
  <c r="CA2129" i="1"/>
  <c r="CH2129" i="1"/>
  <c r="CL2129" i="1"/>
  <c r="CM2129" i="1"/>
  <c r="CN2129" i="1"/>
  <c r="CO2129" i="1"/>
  <c r="CP2129" i="1"/>
  <c r="CZ2129" i="1"/>
  <c r="DB2129" i="1"/>
  <c r="DF2129" i="1"/>
  <c r="AC948" i="1"/>
  <c r="AH948" i="1"/>
  <c r="BS948" i="1"/>
  <c r="BV948" i="1"/>
  <c r="BX948" i="1"/>
  <c r="BY948" i="1"/>
  <c r="BZ948" i="1"/>
  <c r="CH948" i="1"/>
  <c r="CL948" i="1"/>
  <c r="CM948" i="1"/>
  <c r="CN948" i="1"/>
  <c r="CO948" i="1"/>
  <c r="CP948" i="1"/>
  <c r="CZ948" i="1"/>
  <c r="DB948" i="1"/>
  <c r="DF948" i="1"/>
  <c r="AC551" i="1"/>
  <c r="AH551" i="1"/>
  <c r="BS551" i="1"/>
  <c r="BV551" i="1"/>
  <c r="BX551" i="1"/>
  <c r="BY551" i="1"/>
  <c r="BZ551" i="1"/>
  <c r="CH551" i="1"/>
  <c r="CL551" i="1"/>
  <c r="CM551" i="1"/>
  <c r="CN551" i="1"/>
  <c r="CO551" i="1"/>
  <c r="CP551" i="1"/>
  <c r="CZ551" i="1"/>
  <c r="DB551" i="1"/>
  <c r="DF551" i="1"/>
  <c r="AC422" i="1"/>
  <c r="AH422" i="1"/>
  <c r="BS422" i="1"/>
  <c r="BV422" i="1"/>
  <c r="BX422" i="1"/>
  <c r="BY422" i="1"/>
  <c r="BZ422" i="1"/>
  <c r="CA422" i="1"/>
  <c r="CH422" i="1"/>
  <c r="CL422" i="1"/>
  <c r="CM422" i="1"/>
  <c r="CN422" i="1"/>
  <c r="CO422" i="1"/>
  <c r="CP422" i="1"/>
  <c r="CZ422" i="1"/>
  <c r="DB422" i="1"/>
  <c r="DF422" i="1"/>
  <c r="AC214" i="1"/>
  <c r="AH214" i="1"/>
  <c r="BS214" i="1"/>
  <c r="BV214" i="1"/>
  <c r="BX214" i="1"/>
  <c r="BY214" i="1"/>
  <c r="BZ214" i="1"/>
  <c r="CA214" i="1"/>
  <c r="CH214" i="1"/>
  <c r="CL214" i="1"/>
  <c r="CM214" i="1"/>
  <c r="CN214" i="1"/>
  <c r="CO214" i="1"/>
  <c r="CP214" i="1"/>
  <c r="CZ214" i="1"/>
  <c r="DB214" i="1"/>
  <c r="DF214" i="1"/>
  <c r="AC1521" i="1"/>
  <c r="AH1521" i="1"/>
  <c r="BS1521" i="1"/>
  <c r="BV1521" i="1"/>
  <c r="BX1521" i="1"/>
  <c r="BY1521" i="1"/>
  <c r="BZ1521" i="1"/>
  <c r="CA1521" i="1"/>
  <c r="CH1521" i="1"/>
  <c r="CL1521" i="1"/>
  <c r="CM1521" i="1"/>
  <c r="CN1521" i="1"/>
  <c r="CP1521" i="1"/>
  <c r="CZ1521" i="1"/>
  <c r="DB1521" i="1"/>
  <c r="DF1521" i="1"/>
  <c r="AC1497" i="1"/>
  <c r="AH1497" i="1"/>
  <c r="BS1497" i="1"/>
  <c r="BV1497" i="1"/>
  <c r="BX1497" i="1"/>
  <c r="BY1497" i="1"/>
  <c r="BZ1497" i="1"/>
  <c r="CH1497" i="1"/>
  <c r="CL1497" i="1"/>
  <c r="CM1497" i="1"/>
  <c r="CN1497" i="1"/>
  <c r="CP1497" i="1"/>
  <c r="CZ1497" i="1"/>
  <c r="DB1497" i="1"/>
  <c r="DF1497" i="1"/>
  <c r="AC1955" i="1"/>
  <c r="AH1955" i="1"/>
  <c r="BS1955" i="1"/>
  <c r="BV1955" i="1"/>
  <c r="BX1955" i="1"/>
  <c r="BY1955" i="1"/>
  <c r="BZ1955" i="1"/>
  <c r="CA1955" i="1"/>
  <c r="CH1955" i="1"/>
  <c r="CL1955" i="1"/>
  <c r="CM1955" i="1"/>
  <c r="CN1955" i="1"/>
  <c r="CO1955" i="1"/>
  <c r="CP1955" i="1"/>
  <c r="CZ1955" i="1"/>
  <c r="DB1955" i="1"/>
  <c r="DF1955" i="1"/>
  <c r="AC113" i="1"/>
  <c r="AH113" i="1"/>
  <c r="BS113" i="1"/>
  <c r="BV113" i="1"/>
  <c r="BX113" i="1"/>
  <c r="BY113" i="1"/>
  <c r="BZ113" i="1"/>
  <c r="CA113" i="1"/>
  <c r="CH113" i="1"/>
  <c r="CL113" i="1"/>
  <c r="CM113" i="1"/>
  <c r="CN113" i="1"/>
  <c r="CO113" i="1"/>
  <c r="CP113" i="1"/>
  <c r="CZ113" i="1"/>
  <c r="DB113" i="1"/>
  <c r="DF113" i="1"/>
  <c r="AC2305" i="1"/>
  <c r="AH2305" i="1"/>
  <c r="BS2305" i="1"/>
  <c r="BV2305" i="1"/>
  <c r="BX2305" i="1"/>
  <c r="BY2305" i="1"/>
  <c r="BZ2305" i="1"/>
  <c r="CA2305" i="1"/>
  <c r="CH2305" i="1"/>
  <c r="CL2305" i="1"/>
  <c r="CM2305" i="1"/>
  <c r="CN2305" i="1"/>
  <c r="CO2305" i="1"/>
  <c r="CP2305" i="1"/>
  <c r="CZ2305" i="1"/>
  <c r="DB2305" i="1"/>
  <c r="DF2305" i="1"/>
  <c r="AC1580" i="1"/>
  <c r="AH1580" i="1"/>
  <c r="BS1580" i="1"/>
  <c r="BV1580" i="1"/>
  <c r="BX1580" i="1"/>
  <c r="BY1580" i="1"/>
  <c r="BZ1580" i="1"/>
  <c r="CH1580" i="1"/>
  <c r="CL1580" i="1"/>
  <c r="CM1580" i="1"/>
  <c r="CN1580" i="1"/>
  <c r="CO1580" i="1"/>
  <c r="CP1580" i="1"/>
  <c r="CZ1580" i="1"/>
  <c r="DB1580" i="1"/>
  <c r="DF1580" i="1"/>
  <c r="AC1689" i="1"/>
  <c r="AH1689" i="1"/>
  <c r="BS1689" i="1"/>
  <c r="BV1689" i="1"/>
  <c r="BX1689" i="1"/>
  <c r="BY1689" i="1"/>
  <c r="BZ1689" i="1"/>
  <c r="CH1689" i="1"/>
  <c r="CL1689" i="1"/>
  <c r="CM1689" i="1"/>
  <c r="CN1689" i="1"/>
  <c r="CO1689" i="1"/>
  <c r="CP1689" i="1"/>
  <c r="CZ1689" i="1"/>
  <c r="DB1689" i="1"/>
  <c r="DF1689" i="1"/>
  <c r="AC1529" i="1"/>
  <c r="AH1529" i="1"/>
  <c r="BS1529" i="1"/>
  <c r="BV1529" i="1"/>
  <c r="BX1529" i="1"/>
  <c r="BY1529" i="1"/>
  <c r="BZ1529" i="1"/>
  <c r="CA1529" i="1"/>
  <c r="CH1529" i="1"/>
  <c r="CL1529" i="1"/>
  <c r="CM1529" i="1"/>
  <c r="CN1529" i="1"/>
  <c r="CO1529" i="1"/>
  <c r="CP1529" i="1"/>
  <c r="CZ1529" i="1"/>
  <c r="DB1529" i="1"/>
  <c r="DF1529" i="1"/>
  <c r="AC1636" i="1"/>
  <c r="AH1636" i="1"/>
  <c r="BS1636" i="1"/>
  <c r="BV1636" i="1"/>
  <c r="BX1636" i="1"/>
  <c r="BY1636" i="1"/>
  <c r="BZ1636" i="1"/>
  <c r="CH1636" i="1"/>
  <c r="CL1636" i="1"/>
  <c r="CM1636" i="1"/>
  <c r="CN1636" i="1"/>
  <c r="CO1636" i="1"/>
  <c r="CP1636" i="1"/>
  <c r="CZ1636" i="1"/>
  <c r="DB1636" i="1"/>
  <c r="DF1636" i="1"/>
  <c r="AC394" i="1"/>
  <c r="AH394" i="1"/>
  <c r="BS394" i="1"/>
  <c r="BV394" i="1"/>
  <c r="BX394" i="1"/>
  <c r="BY394" i="1"/>
  <c r="BZ394" i="1"/>
  <c r="CA394" i="1"/>
  <c r="CH394" i="1"/>
  <c r="CL394" i="1"/>
  <c r="CM394" i="1"/>
  <c r="CN394" i="1"/>
  <c r="CO394" i="1"/>
  <c r="CP394" i="1"/>
  <c r="CZ394" i="1"/>
  <c r="DB394" i="1"/>
  <c r="DF394" i="1"/>
  <c r="AC643" i="1"/>
  <c r="AH643" i="1"/>
  <c r="BS643" i="1"/>
  <c r="BV643" i="1"/>
  <c r="BX643" i="1"/>
  <c r="BY643" i="1"/>
  <c r="BZ643" i="1"/>
  <c r="CA643" i="1"/>
  <c r="CH643" i="1"/>
  <c r="CL643" i="1"/>
  <c r="CM643" i="1"/>
  <c r="CN643" i="1"/>
  <c r="CO643" i="1"/>
  <c r="CP643" i="1"/>
  <c r="CZ643" i="1"/>
  <c r="DB643" i="1"/>
  <c r="DF643" i="1"/>
  <c r="AC1984" i="1"/>
  <c r="AH1984" i="1"/>
  <c r="BS1984" i="1"/>
  <c r="BV1984" i="1"/>
  <c r="BX1984" i="1"/>
  <c r="BY1984" i="1"/>
  <c r="BZ1984" i="1"/>
  <c r="CH1984" i="1"/>
  <c r="CL1984" i="1"/>
  <c r="CM1984" i="1"/>
  <c r="CN1984" i="1"/>
  <c r="CO1984" i="1"/>
  <c r="CP1984" i="1"/>
  <c r="CZ1984" i="1"/>
  <c r="DB1984" i="1"/>
  <c r="DF1984" i="1"/>
  <c r="AC116" i="1"/>
  <c r="AH116" i="1"/>
  <c r="BS116" i="1"/>
  <c r="BV116" i="1"/>
  <c r="BX116" i="1"/>
  <c r="BY116" i="1"/>
  <c r="BZ116" i="1"/>
  <c r="CA116" i="1"/>
  <c r="CH116" i="1"/>
  <c r="CL116" i="1"/>
  <c r="CM116" i="1"/>
  <c r="CN116" i="1"/>
  <c r="CO116" i="1"/>
  <c r="CP116" i="1"/>
  <c r="CZ116" i="1"/>
  <c r="DB116" i="1"/>
  <c r="DF116" i="1"/>
  <c r="AC2103" i="1"/>
  <c r="AH2103" i="1"/>
  <c r="BS2103" i="1"/>
  <c r="BV2103" i="1"/>
  <c r="BX2103" i="1"/>
  <c r="BY2103" i="1"/>
  <c r="BZ2103" i="1"/>
  <c r="CH2103" i="1"/>
  <c r="CL2103" i="1"/>
  <c r="CM2103" i="1"/>
  <c r="CN2103" i="1"/>
  <c r="CO2103" i="1"/>
  <c r="CP2103" i="1"/>
  <c r="CZ2103" i="1"/>
  <c r="DB2103" i="1"/>
  <c r="DF2103" i="1"/>
  <c r="AC1534" i="1"/>
  <c r="AH1534" i="1"/>
  <c r="BS1534" i="1"/>
  <c r="BV1534" i="1"/>
  <c r="BX1534" i="1"/>
  <c r="BY1534" i="1"/>
  <c r="BZ1534" i="1"/>
  <c r="CA1534" i="1"/>
  <c r="CH1534" i="1"/>
  <c r="CL1534" i="1"/>
  <c r="CM1534" i="1"/>
  <c r="CN1534" i="1"/>
  <c r="CP1534" i="1"/>
  <c r="CZ1534" i="1"/>
  <c r="DB1534" i="1"/>
  <c r="DF1534" i="1"/>
  <c r="AC1703" i="1"/>
  <c r="AH1703" i="1"/>
  <c r="BS1703" i="1"/>
  <c r="BV1703" i="1"/>
  <c r="BX1703" i="1"/>
  <c r="BY1703" i="1"/>
  <c r="BZ1703" i="1"/>
  <c r="CH1703" i="1"/>
  <c r="CL1703" i="1"/>
  <c r="CM1703" i="1"/>
  <c r="CN1703" i="1"/>
  <c r="CP1703" i="1"/>
  <c r="CZ1703" i="1"/>
  <c r="DB1703" i="1"/>
  <c r="DF1703" i="1"/>
  <c r="AC328" i="1"/>
  <c r="AH328" i="1"/>
  <c r="BS328" i="1"/>
  <c r="BV328" i="1"/>
  <c r="BX328" i="1"/>
  <c r="BY328" i="1"/>
  <c r="BZ328" i="1"/>
  <c r="CA328" i="1"/>
  <c r="CH328" i="1"/>
  <c r="CL328" i="1"/>
  <c r="CM328" i="1"/>
  <c r="CN328" i="1"/>
  <c r="CO328" i="1"/>
  <c r="CP328" i="1"/>
  <c r="CZ328" i="1"/>
  <c r="DB328" i="1"/>
  <c r="DF328" i="1"/>
  <c r="AC2141" i="1"/>
  <c r="AH2141" i="1"/>
  <c r="BS2141" i="1"/>
  <c r="BV2141" i="1"/>
  <c r="BX2141" i="1"/>
  <c r="BY2141" i="1"/>
  <c r="BZ2141" i="1"/>
  <c r="CA2141" i="1"/>
  <c r="CH2141" i="1"/>
  <c r="CL2141" i="1"/>
  <c r="CM2141" i="1"/>
  <c r="CN2141" i="1"/>
  <c r="CO2141" i="1"/>
  <c r="CP2141" i="1"/>
  <c r="CZ2141" i="1"/>
  <c r="DB2141" i="1"/>
  <c r="DF2141" i="1"/>
  <c r="AC966" i="1"/>
  <c r="AH966" i="1"/>
  <c r="BS966" i="1"/>
  <c r="BV966" i="1"/>
  <c r="BX966" i="1"/>
  <c r="BY966" i="1"/>
  <c r="BZ966" i="1"/>
  <c r="CA966" i="1"/>
  <c r="CH966" i="1"/>
  <c r="CL966" i="1"/>
  <c r="CM966" i="1"/>
  <c r="CN966" i="1"/>
  <c r="CO966" i="1"/>
  <c r="CP966" i="1"/>
  <c r="CZ966" i="1"/>
  <c r="DB966" i="1"/>
  <c r="DF966" i="1"/>
  <c r="AC920" i="1"/>
  <c r="AH920" i="1"/>
  <c r="BS920" i="1"/>
  <c r="BV920" i="1"/>
  <c r="BX920" i="1"/>
  <c r="BY920" i="1"/>
  <c r="BZ920" i="1"/>
  <c r="CH920" i="1"/>
  <c r="CL920" i="1"/>
  <c r="CM920" i="1"/>
  <c r="CN920" i="1"/>
  <c r="CO920" i="1"/>
  <c r="CP920" i="1"/>
  <c r="CZ920" i="1"/>
  <c r="DB920" i="1"/>
  <c r="DF920" i="1"/>
  <c r="AC257" i="1"/>
  <c r="AH257" i="1"/>
  <c r="BS257" i="1"/>
  <c r="BV257" i="1"/>
  <c r="BX257" i="1"/>
  <c r="BY257" i="1"/>
  <c r="BZ257" i="1"/>
  <c r="CH257" i="1"/>
  <c r="CL257" i="1"/>
  <c r="CM257" i="1"/>
  <c r="CN257" i="1"/>
  <c r="CO257" i="1"/>
  <c r="CP257" i="1"/>
  <c r="CZ257" i="1"/>
  <c r="DB257" i="1"/>
  <c r="DF257" i="1"/>
  <c r="AC444" i="1"/>
  <c r="AH444" i="1"/>
  <c r="BS444" i="1"/>
  <c r="BV444" i="1"/>
  <c r="BX444" i="1"/>
  <c r="BY444" i="1"/>
  <c r="BZ444" i="1"/>
  <c r="CA444" i="1"/>
  <c r="CH444" i="1"/>
  <c r="CL444" i="1"/>
  <c r="CM444" i="1"/>
  <c r="CN444" i="1"/>
  <c r="CO444" i="1"/>
  <c r="CP444" i="1"/>
  <c r="CZ444" i="1"/>
  <c r="DB444" i="1"/>
  <c r="DF444" i="1"/>
  <c r="AC914" i="1"/>
  <c r="AH914" i="1"/>
  <c r="BS914" i="1"/>
  <c r="BV914" i="1"/>
  <c r="BX914" i="1"/>
  <c r="BY914" i="1"/>
  <c r="BZ914" i="1"/>
  <c r="CA914" i="1"/>
  <c r="CH914" i="1"/>
  <c r="CL914" i="1"/>
  <c r="CM914" i="1"/>
  <c r="CN914" i="1"/>
  <c r="CO914" i="1"/>
  <c r="CP914" i="1"/>
  <c r="CZ914" i="1"/>
  <c r="DB914" i="1"/>
  <c r="DF914" i="1"/>
  <c r="AC417" i="1"/>
  <c r="AH417" i="1"/>
  <c r="BS417" i="1"/>
  <c r="BV417" i="1"/>
  <c r="BX417" i="1"/>
  <c r="BY417" i="1"/>
  <c r="BZ417" i="1"/>
  <c r="CA417" i="1"/>
  <c r="CH417" i="1"/>
  <c r="CL417" i="1"/>
  <c r="CM417" i="1"/>
  <c r="CN417" i="1"/>
  <c r="CO417" i="1"/>
  <c r="CP417" i="1"/>
  <c r="CZ417" i="1"/>
  <c r="DB417" i="1"/>
  <c r="DF417" i="1"/>
  <c r="AC327" i="1"/>
  <c r="AH327" i="1"/>
  <c r="BS327" i="1"/>
  <c r="BV327" i="1"/>
  <c r="BX327" i="1"/>
  <c r="BY327" i="1"/>
  <c r="BZ327" i="1"/>
  <c r="CH327" i="1"/>
  <c r="CL327" i="1"/>
  <c r="CM327" i="1"/>
  <c r="CN327" i="1"/>
  <c r="CO327" i="1"/>
  <c r="CP327" i="1"/>
  <c r="CZ327" i="1"/>
  <c r="DB327" i="1"/>
  <c r="DF327" i="1"/>
  <c r="AC1056" i="1"/>
  <c r="AH1056" i="1"/>
  <c r="BS1056" i="1"/>
  <c r="BV1056" i="1"/>
  <c r="BX1056" i="1"/>
  <c r="BY1056" i="1"/>
  <c r="BZ1056" i="1"/>
  <c r="CA1056" i="1"/>
  <c r="CH1056" i="1"/>
  <c r="CL1056" i="1"/>
  <c r="CM1056" i="1"/>
  <c r="CN1056" i="1"/>
  <c r="CO1056" i="1"/>
  <c r="CP1056" i="1"/>
  <c r="CZ1056" i="1"/>
  <c r="DB1056" i="1"/>
  <c r="DF1056" i="1"/>
  <c r="AC1625" i="1"/>
  <c r="AH1625" i="1"/>
  <c r="BS1625" i="1"/>
  <c r="BV1625" i="1"/>
  <c r="BX1625" i="1"/>
  <c r="BY1625" i="1"/>
  <c r="BZ1625" i="1"/>
  <c r="CH1625" i="1"/>
  <c r="CL1625" i="1"/>
  <c r="CM1625" i="1"/>
  <c r="CN1625" i="1"/>
  <c r="CO1625" i="1"/>
  <c r="CP1625" i="1"/>
  <c r="CZ1625" i="1"/>
  <c r="DB1625" i="1"/>
  <c r="DF1625" i="1"/>
  <c r="AC1837" i="1"/>
  <c r="AH1837" i="1"/>
  <c r="BS1837" i="1"/>
  <c r="BV1837" i="1"/>
  <c r="BX1837" i="1"/>
  <c r="BY1837" i="1"/>
  <c r="BZ1837" i="1"/>
  <c r="CH1837" i="1"/>
  <c r="CL1837" i="1"/>
  <c r="CM1837" i="1"/>
  <c r="CN1837" i="1"/>
  <c r="CO1837" i="1"/>
  <c r="CP1837" i="1"/>
  <c r="CZ1837" i="1"/>
  <c r="DB1837" i="1"/>
  <c r="DF1837" i="1"/>
  <c r="AC854" i="1"/>
  <c r="AH854" i="1"/>
  <c r="BS854" i="1"/>
  <c r="BV854" i="1"/>
  <c r="BX854" i="1"/>
  <c r="BY854" i="1"/>
  <c r="BZ854" i="1"/>
  <c r="CH854" i="1"/>
  <c r="CL854" i="1"/>
  <c r="CM854" i="1"/>
  <c r="CN854" i="1"/>
  <c r="CO854" i="1"/>
  <c r="CP854" i="1"/>
  <c r="CZ854" i="1"/>
  <c r="DB854" i="1"/>
  <c r="DF854" i="1"/>
  <c r="AC2218" i="1"/>
  <c r="AH2218" i="1"/>
  <c r="BS2218" i="1"/>
  <c r="BV2218" i="1"/>
  <c r="BX2218" i="1"/>
  <c r="BY2218" i="1"/>
  <c r="BZ2218" i="1"/>
  <c r="CA2218" i="1"/>
  <c r="CH2218" i="1"/>
  <c r="CL2218" i="1"/>
  <c r="CM2218" i="1"/>
  <c r="CN2218" i="1"/>
  <c r="CO2218" i="1"/>
  <c r="CP2218" i="1"/>
  <c r="CZ2218" i="1"/>
  <c r="DB2218" i="1"/>
  <c r="DF2218" i="1"/>
  <c r="AC1050" i="1"/>
  <c r="AH1050" i="1"/>
  <c r="BS1050" i="1"/>
  <c r="BV1050" i="1"/>
  <c r="BX1050" i="1"/>
  <c r="BY1050" i="1"/>
  <c r="BZ1050" i="1"/>
  <c r="CA1050" i="1"/>
  <c r="CH1050" i="1"/>
  <c r="CL1050" i="1"/>
  <c r="CM1050" i="1"/>
  <c r="CN1050" i="1"/>
  <c r="CO1050" i="1"/>
  <c r="CP1050" i="1"/>
  <c r="CZ1050" i="1"/>
  <c r="DB1050" i="1"/>
  <c r="DF1050" i="1"/>
  <c r="AC1066" i="1"/>
  <c r="AH1066" i="1"/>
  <c r="BS1066" i="1"/>
  <c r="BV1066" i="1"/>
  <c r="BX1066" i="1"/>
  <c r="BY1066" i="1"/>
  <c r="BZ1066" i="1"/>
  <c r="CA1066" i="1"/>
  <c r="CH1066" i="1"/>
  <c r="CL1066" i="1"/>
  <c r="CM1066" i="1"/>
  <c r="CN1066" i="1"/>
  <c r="CO1066" i="1"/>
  <c r="CP1066" i="1"/>
  <c r="CZ1066" i="1"/>
  <c r="DB1066" i="1"/>
  <c r="DF1066" i="1"/>
  <c r="AC1548" i="1"/>
  <c r="AH1548" i="1"/>
  <c r="BS1548" i="1"/>
  <c r="BV1548" i="1"/>
  <c r="BX1548" i="1"/>
  <c r="BY1548" i="1"/>
  <c r="BZ1548" i="1"/>
  <c r="CA1548" i="1"/>
  <c r="CH1548" i="1"/>
  <c r="CL1548" i="1"/>
  <c r="CM1548" i="1"/>
  <c r="CN1548" i="1"/>
  <c r="CO1548" i="1"/>
  <c r="CP1548" i="1"/>
  <c r="CZ1548" i="1"/>
  <c r="DB1548" i="1"/>
  <c r="DF1548" i="1"/>
  <c r="AC1219" i="1"/>
  <c r="AH1219" i="1"/>
  <c r="BS1219" i="1"/>
  <c r="BV1219" i="1"/>
  <c r="BX1219" i="1"/>
  <c r="BY1219" i="1"/>
  <c r="BZ1219" i="1"/>
  <c r="CH1219" i="1"/>
  <c r="CL1219" i="1"/>
  <c r="CM1219" i="1"/>
  <c r="CN1219" i="1"/>
  <c r="CO1219" i="1"/>
  <c r="CP1219" i="1"/>
  <c r="CZ1219" i="1"/>
  <c r="DB1219" i="1"/>
  <c r="DF1219" i="1"/>
  <c r="AC2108" i="1"/>
  <c r="AH2108" i="1"/>
  <c r="BS2108" i="1"/>
  <c r="BV2108" i="1"/>
  <c r="BX2108" i="1"/>
  <c r="BY2108" i="1"/>
  <c r="BZ2108" i="1"/>
  <c r="CH2108" i="1"/>
  <c r="CL2108" i="1"/>
  <c r="CM2108" i="1"/>
  <c r="CN2108" i="1"/>
  <c r="CP2108" i="1"/>
  <c r="CZ2108" i="1"/>
  <c r="DB2108" i="1"/>
  <c r="DF2108" i="1"/>
  <c r="AC362" i="1"/>
  <c r="AH362" i="1"/>
  <c r="BS362" i="1"/>
  <c r="BV362" i="1"/>
  <c r="BX362" i="1"/>
  <c r="BY362" i="1"/>
  <c r="BZ362" i="1"/>
  <c r="CA362" i="1"/>
  <c r="CH362" i="1"/>
  <c r="CL362" i="1"/>
  <c r="CM362" i="1"/>
  <c r="CN362" i="1"/>
  <c r="CO362" i="1"/>
  <c r="CP362" i="1"/>
  <c r="CZ362" i="1"/>
  <c r="DB362" i="1"/>
  <c r="DF362" i="1"/>
  <c r="AC1479" i="1"/>
  <c r="AH1479" i="1"/>
  <c r="BS1479" i="1"/>
  <c r="BV1479" i="1"/>
  <c r="BX1479" i="1"/>
  <c r="BY1479" i="1"/>
  <c r="BZ1479" i="1"/>
  <c r="CA1479" i="1"/>
  <c r="CH1479" i="1"/>
  <c r="CL1479" i="1"/>
  <c r="CM1479" i="1"/>
  <c r="CN1479" i="1"/>
  <c r="CO1479" i="1"/>
  <c r="CP1479" i="1"/>
  <c r="CZ1479" i="1"/>
  <c r="DB1479" i="1"/>
  <c r="DF1479" i="1"/>
  <c r="AC2106" i="1"/>
  <c r="AH2106" i="1"/>
  <c r="BS2106" i="1"/>
  <c r="BV2106" i="1"/>
  <c r="BX2106" i="1"/>
  <c r="BY2106" i="1"/>
  <c r="BZ2106" i="1"/>
  <c r="CH2106" i="1"/>
  <c r="CL2106" i="1"/>
  <c r="CM2106" i="1"/>
  <c r="CN2106" i="1"/>
  <c r="CO2106" i="1"/>
  <c r="CP2106" i="1"/>
  <c r="CZ2106" i="1"/>
  <c r="DB2106" i="1"/>
  <c r="DF2106" i="1"/>
  <c r="AC1465" i="1"/>
  <c r="AH1465" i="1"/>
  <c r="BS1465" i="1"/>
  <c r="BV1465" i="1"/>
  <c r="BX1465" i="1"/>
  <c r="BY1465" i="1"/>
  <c r="BZ1465" i="1"/>
  <c r="CA1465" i="1"/>
  <c r="CH1465" i="1"/>
  <c r="CL1465" i="1"/>
  <c r="CM1465" i="1"/>
  <c r="CN1465" i="1"/>
  <c r="CP1465" i="1"/>
  <c r="CZ1465" i="1"/>
  <c r="DB1465" i="1"/>
  <c r="DF1465" i="1"/>
  <c r="AC1405" i="1"/>
  <c r="AH1405" i="1"/>
  <c r="BS1405" i="1"/>
  <c r="BV1405" i="1"/>
  <c r="BX1405" i="1"/>
  <c r="BY1405" i="1"/>
  <c r="BZ1405" i="1"/>
  <c r="CA1405" i="1"/>
  <c r="CH1405" i="1"/>
  <c r="CL1405" i="1"/>
  <c r="CM1405" i="1"/>
  <c r="CN1405" i="1"/>
  <c r="CO1405" i="1"/>
  <c r="CP1405" i="1"/>
  <c r="CZ1405" i="1"/>
  <c r="DB1405" i="1"/>
  <c r="DF1405" i="1"/>
  <c r="AC2252" i="1"/>
  <c r="AH2252" i="1"/>
  <c r="BS2252" i="1"/>
  <c r="BV2252" i="1"/>
  <c r="BX2252" i="1"/>
  <c r="BY2252" i="1"/>
  <c r="BZ2252" i="1"/>
  <c r="CA2252" i="1"/>
  <c r="CH2252" i="1"/>
  <c r="CL2252" i="1"/>
  <c r="CM2252" i="1"/>
  <c r="CN2252" i="1"/>
  <c r="CO2252" i="1"/>
  <c r="CP2252" i="1"/>
  <c r="CZ2252" i="1"/>
  <c r="DB2252" i="1"/>
  <c r="DF2252" i="1"/>
  <c r="AC880" i="1"/>
  <c r="AH880" i="1"/>
  <c r="BS880" i="1"/>
  <c r="BV880" i="1"/>
  <c r="BX880" i="1"/>
  <c r="BY880" i="1"/>
  <c r="BZ880" i="1"/>
  <c r="CA880" i="1"/>
  <c r="CH880" i="1"/>
  <c r="CL880" i="1"/>
  <c r="CM880" i="1"/>
  <c r="CN880" i="1"/>
  <c r="CO880" i="1"/>
  <c r="CP880" i="1"/>
  <c r="CZ880" i="1"/>
  <c r="DB880" i="1"/>
  <c r="DF880" i="1"/>
  <c r="AC996" i="1"/>
  <c r="AH996" i="1"/>
  <c r="BS996" i="1"/>
  <c r="BV996" i="1"/>
  <c r="BX996" i="1"/>
  <c r="BY996" i="1"/>
  <c r="BZ996" i="1"/>
  <c r="CA996" i="1"/>
  <c r="CH996" i="1"/>
  <c r="CL996" i="1"/>
  <c r="CM996" i="1"/>
  <c r="CN996" i="1"/>
  <c r="CO996" i="1"/>
  <c r="CP996" i="1"/>
  <c r="CZ996" i="1"/>
  <c r="DB996" i="1"/>
  <c r="DF996" i="1"/>
  <c r="AC1043" i="1"/>
  <c r="AH1043" i="1"/>
  <c r="BS1043" i="1"/>
  <c r="BV1043" i="1"/>
  <c r="BX1043" i="1"/>
  <c r="BY1043" i="1"/>
  <c r="BZ1043" i="1"/>
  <c r="CA1043" i="1"/>
  <c r="CH1043" i="1"/>
  <c r="CL1043" i="1"/>
  <c r="CM1043" i="1"/>
  <c r="CN1043" i="1"/>
  <c r="CO1043" i="1"/>
  <c r="CP1043" i="1"/>
  <c r="CZ1043" i="1"/>
  <c r="DB1043" i="1"/>
  <c r="DF1043" i="1"/>
  <c r="AC1326" i="1"/>
  <c r="AH1326" i="1"/>
  <c r="BS1326" i="1"/>
  <c r="BV1326" i="1"/>
  <c r="BX1326" i="1"/>
  <c r="BY1326" i="1"/>
  <c r="BZ1326" i="1"/>
  <c r="CA1326" i="1"/>
  <c r="CH1326" i="1"/>
  <c r="CL1326" i="1"/>
  <c r="CM1326" i="1"/>
  <c r="CN1326" i="1"/>
  <c r="CO1326" i="1"/>
  <c r="CP1326" i="1"/>
  <c r="CZ1326" i="1"/>
  <c r="DB1326" i="1"/>
  <c r="DF1326" i="1"/>
  <c r="AC1292" i="1"/>
  <c r="AH1292" i="1"/>
  <c r="BS1292" i="1"/>
  <c r="BV1292" i="1"/>
  <c r="BX1292" i="1"/>
  <c r="BY1292" i="1"/>
  <c r="BZ1292" i="1"/>
  <c r="CA1292" i="1"/>
  <c r="CH1292" i="1"/>
  <c r="CL1292" i="1"/>
  <c r="CM1292" i="1"/>
  <c r="CN1292" i="1"/>
  <c r="CP1292" i="1"/>
  <c r="CZ1292" i="1"/>
  <c r="DB1292" i="1"/>
  <c r="DF1292" i="1"/>
  <c r="AC17" i="1"/>
  <c r="AH17" i="1"/>
  <c r="BS17" i="1"/>
  <c r="BV17" i="1"/>
  <c r="BX17" i="1"/>
  <c r="BY17" i="1"/>
  <c r="BZ17" i="1"/>
  <c r="CA17" i="1"/>
  <c r="CH17" i="1"/>
  <c r="CL17" i="1"/>
  <c r="CM17" i="1"/>
  <c r="CN17" i="1"/>
  <c r="CO17" i="1"/>
  <c r="CP17" i="1"/>
  <c r="CZ17" i="1"/>
  <c r="DB17" i="1"/>
  <c r="DF17" i="1"/>
  <c r="AC110" i="1"/>
  <c r="AH110" i="1"/>
  <c r="BS110" i="1"/>
  <c r="BV110" i="1"/>
  <c r="BX110" i="1"/>
  <c r="BY110" i="1"/>
  <c r="BZ110" i="1"/>
  <c r="CH110" i="1"/>
  <c r="CL110" i="1"/>
  <c r="CM110" i="1"/>
  <c r="CN110" i="1"/>
  <c r="CO110" i="1"/>
  <c r="CP110" i="1"/>
  <c r="CZ110" i="1"/>
  <c r="DB110" i="1"/>
  <c r="DF110" i="1"/>
  <c r="AC1136" i="1"/>
  <c r="AH1136" i="1"/>
  <c r="BS1136" i="1"/>
  <c r="BV1136" i="1"/>
  <c r="BX1136" i="1"/>
  <c r="BY1136" i="1"/>
  <c r="BZ1136" i="1"/>
  <c r="CA1136" i="1"/>
  <c r="CH1136" i="1"/>
  <c r="CL1136" i="1"/>
  <c r="CM1136" i="1"/>
  <c r="CN1136" i="1"/>
  <c r="CO1136" i="1"/>
  <c r="CP1136" i="1"/>
  <c r="CZ1136" i="1"/>
  <c r="DB1136" i="1"/>
  <c r="DF1136" i="1"/>
  <c r="AC1628" i="1"/>
  <c r="AH1628" i="1"/>
  <c r="BS1628" i="1"/>
  <c r="BV1628" i="1"/>
  <c r="BX1628" i="1"/>
  <c r="BY1628" i="1"/>
  <c r="BZ1628" i="1"/>
  <c r="CH1628" i="1"/>
  <c r="CL1628" i="1"/>
  <c r="CM1628" i="1"/>
  <c r="CN1628" i="1"/>
  <c r="CO1628" i="1"/>
  <c r="CP1628" i="1"/>
  <c r="CZ1628" i="1"/>
  <c r="DB1628" i="1"/>
  <c r="DF1628" i="1"/>
  <c r="AC979" i="1"/>
  <c r="AH979" i="1"/>
  <c r="BS979" i="1"/>
  <c r="BV979" i="1"/>
  <c r="BX979" i="1"/>
  <c r="BY979" i="1"/>
  <c r="BZ979" i="1"/>
  <c r="CA979" i="1"/>
  <c r="CH979" i="1"/>
  <c r="CL979" i="1"/>
  <c r="CM979" i="1"/>
  <c r="CN979" i="1"/>
  <c r="CO979" i="1"/>
  <c r="CP979" i="1"/>
  <c r="CZ979" i="1"/>
  <c r="DB979" i="1"/>
  <c r="DF979" i="1"/>
  <c r="AC1660" i="1"/>
  <c r="AH1660" i="1"/>
  <c r="BS1660" i="1"/>
  <c r="BV1660" i="1"/>
  <c r="BX1660" i="1"/>
  <c r="BY1660" i="1"/>
  <c r="BZ1660" i="1"/>
  <c r="CH1660" i="1"/>
  <c r="CL1660" i="1"/>
  <c r="CM1660" i="1"/>
  <c r="CN1660" i="1"/>
  <c r="CP1660" i="1"/>
  <c r="CZ1660" i="1"/>
  <c r="DB1660" i="1"/>
  <c r="DF1660" i="1"/>
  <c r="AC579" i="1"/>
  <c r="AH579" i="1"/>
  <c r="BS579" i="1"/>
  <c r="BV579" i="1"/>
  <c r="BX579" i="1"/>
  <c r="BY579" i="1"/>
  <c r="BZ579" i="1"/>
  <c r="CA579" i="1"/>
  <c r="CH579" i="1"/>
  <c r="CL579" i="1"/>
  <c r="CM579" i="1"/>
  <c r="CN579" i="1"/>
  <c r="CO579" i="1"/>
  <c r="CP579" i="1"/>
  <c r="CZ579" i="1"/>
  <c r="DB579" i="1"/>
  <c r="DF579" i="1"/>
  <c r="AC2136" i="1"/>
  <c r="AH2136" i="1"/>
  <c r="BS2136" i="1"/>
  <c r="BV2136" i="1"/>
  <c r="BX2136" i="1"/>
  <c r="BY2136" i="1"/>
  <c r="BZ2136" i="1"/>
  <c r="CH2136" i="1"/>
  <c r="CL2136" i="1"/>
  <c r="CM2136" i="1"/>
  <c r="CN2136" i="1"/>
  <c r="CO2136" i="1"/>
  <c r="CP2136" i="1"/>
  <c r="CZ2136" i="1"/>
  <c r="DB2136" i="1"/>
  <c r="DF2136" i="1"/>
  <c r="AC1167" i="1"/>
  <c r="AH1167" i="1"/>
  <c r="BS1167" i="1"/>
  <c r="BV1167" i="1"/>
  <c r="BX1167" i="1"/>
  <c r="BY1167" i="1"/>
  <c r="BZ1167" i="1"/>
  <c r="CH1167" i="1"/>
  <c r="CL1167" i="1"/>
  <c r="CM1167" i="1"/>
  <c r="CN1167" i="1"/>
  <c r="CO1167" i="1"/>
  <c r="CP1167" i="1"/>
  <c r="CZ1167" i="1"/>
  <c r="DB1167" i="1"/>
  <c r="DF1167" i="1"/>
  <c r="AC540" i="1"/>
  <c r="AH540" i="1"/>
  <c r="BS540" i="1"/>
  <c r="BV540" i="1"/>
  <c r="BX540" i="1"/>
  <c r="BY540" i="1"/>
  <c r="BZ540" i="1"/>
  <c r="CA540" i="1"/>
  <c r="CH540" i="1"/>
  <c r="CL540" i="1"/>
  <c r="CM540" i="1"/>
  <c r="CN540" i="1"/>
  <c r="CO540" i="1"/>
  <c r="CP540" i="1"/>
  <c r="CZ540" i="1"/>
  <c r="DB540" i="1"/>
  <c r="DF540" i="1"/>
  <c r="AC1473" i="1"/>
  <c r="AH1473" i="1"/>
  <c r="BS1473" i="1"/>
  <c r="BV1473" i="1"/>
  <c r="BX1473" i="1"/>
  <c r="BY1473" i="1"/>
  <c r="BZ1473" i="1"/>
  <c r="CA1473" i="1"/>
  <c r="CH1473" i="1"/>
  <c r="CL1473" i="1"/>
  <c r="CM1473" i="1"/>
  <c r="CN1473" i="1"/>
  <c r="CO1473" i="1"/>
  <c r="CP1473" i="1"/>
  <c r="CZ1473" i="1"/>
  <c r="DB1473" i="1"/>
  <c r="DF1473" i="1"/>
  <c r="AC646" i="1"/>
  <c r="AH646" i="1"/>
  <c r="BS646" i="1"/>
  <c r="BV646" i="1"/>
  <c r="BX646" i="1"/>
  <c r="BY646" i="1"/>
  <c r="BZ646" i="1"/>
  <c r="CA646" i="1"/>
  <c r="CH646" i="1"/>
  <c r="CL646" i="1"/>
  <c r="CM646" i="1"/>
  <c r="CN646" i="1"/>
  <c r="CO646" i="1"/>
  <c r="CP646" i="1"/>
  <c r="CZ646" i="1"/>
  <c r="DB646" i="1"/>
  <c r="DF646" i="1"/>
  <c r="AC1484" i="1"/>
  <c r="AH1484" i="1"/>
  <c r="BS1484" i="1"/>
  <c r="BV1484" i="1"/>
  <c r="BX1484" i="1"/>
  <c r="BY1484" i="1"/>
  <c r="BZ1484" i="1"/>
  <c r="CA1484" i="1"/>
  <c r="CH1484" i="1"/>
  <c r="CL1484" i="1"/>
  <c r="CM1484" i="1"/>
  <c r="CN1484" i="1"/>
  <c r="CO1484" i="1"/>
  <c r="CP1484" i="1"/>
  <c r="CZ1484" i="1"/>
  <c r="DB1484" i="1"/>
  <c r="DF1484" i="1"/>
  <c r="AC1576" i="1"/>
  <c r="AH1576" i="1"/>
  <c r="BS1576" i="1"/>
  <c r="BV1576" i="1"/>
  <c r="BX1576" i="1"/>
  <c r="BY1576" i="1"/>
  <c r="BZ1576" i="1"/>
  <c r="CH1576" i="1"/>
  <c r="CL1576" i="1"/>
  <c r="CM1576" i="1"/>
  <c r="CN1576" i="1"/>
  <c r="CO1576" i="1"/>
  <c r="CP1576" i="1"/>
  <c r="CZ1576" i="1"/>
  <c r="DB1576" i="1"/>
  <c r="DF1576" i="1"/>
  <c r="AC611" i="1"/>
  <c r="AH611" i="1"/>
  <c r="BS611" i="1"/>
  <c r="BV611" i="1"/>
  <c r="BX611" i="1"/>
  <c r="BY611" i="1"/>
  <c r="BZ611" i="1"/>
  <c r="CA611" i="1"/>
  <c r="CH611" i="1"/>
  <c r="CL611" i="1"/>
  <c r="CM611" i="1"/>
  <c r="CN611" i="1"/>
  <c r="CO611" i="1"/>
  <c r="CP611" i="1"/>
  <c r="CZ611" i="1"/>
  <c r="DB611" i="1"/>
  <c r="DF611" i="1"/>
  <c r="AC2248" i="1"/>
  <c r="AH2248" i="1"/>
  <c r="BS2248" i="1"/>
  <c r="BV2248" i="1"/>
  <c r="BX2248" i="1"/>
  <c r="BY2248" i="1"/>
  <c r="BZ2248" i="1"/>
  <c r="CA2248" i="1"/>
  <c r="CH2248" i="1"/>
  <c r="CL2248" i="1"/>
  <c r="CM2248" i="1"/>
  <c r="CN2248" i="1"/>
  <c r="CO2248" i="1"/>
  <c r="CP2248" i="1"/>
  <c r="CZ2248" i="1"/>
  <c r="DB2248" i="1"/>
  <c r="DF2248" i="1"/>
  <c r="AC1686" i="1"/>
  <c r="AH1686" i="1"/>
  <c r="BS1686" i="1"/>
  <c r="BV1686" i="1"/>
  <c r="BX1686" i="1"/>
  <c r="BY1686" i="1"/>
  <c r="BZ1686" i="1"/>
  <c r="CH1686" i="1"/>
  <c r="CL1686" i="1"/>
  <c r="CM1686" i="1"/>
  <c r="CN1686" i="1"/>
  <c r="CO1686" i="1"/>
  <c r="CP1686" i="1"/>
  <c r="CZ1686" i="1"/>
  <c r="DB1686" i="1"/>
  <c r="DF1686" i="1"/>
  <c r="AC722" i="1"/>
  <c r="AH722" i="1"/>
  <c r="BS722" i="1"/>
  <c r="BV722" i="1"/>
  <c r="BX722" i="1"/>
  <c r="BY722" i="1"/>
  <c r="BZ722" i="1"/>
  <c r="CA722" i="1"/>
  <c r="CH722" i="1"/>
  <c r="CL722" i="1"/>
  <c r="CM722" i="1"/>
  <c r="CN722" i="1"/>
  <c r="CO722" i="1"/>
  <c r="CP722" i="1"/>
  <c r="CZ722" i="1"/>
  <c r="DB722" i="1"/>
  <c r="DF722" i="1"/>
  <c r="AC1995" i="1"/>
  <c r="AH1995" i="1"/>
  <c r="BS1995" i="1"/>
  <c r="BV1995" i="1"/>
  <c r="BX1995" i="1"/>
  <c r="BY1995" i="1"/>
  <c r="BZ1995" i="1"/>
  <c r="CA1995" i="1"/>
  <c r="CH1995" i="1"/>
  <c r="CL1995" i="1"/>
  <c r="CM1995" i="1"/>
  <c r="CN1995" i="1"/>
  <c r="CO1995" i="1"/>
  <c r="CP1995" i="1"/>
  <c r="CZ1995" i="1"/>
  <c r="DB1995" i="1"/>
  <c r="DF1995" i="1"/>
  <c r="AC1508" i="1"/>
  <c r="AH1508" i="1"/>
  <c r="BS1508" i="1"/>
  <c r="BV1508" i="1"/>
  <c r="BX1508" i="1"/>
  <c r="BY1508" i="1"/>
  <c r="BZ1508" i="1"/>
  <c r="CH1508" i="1"/>
  <c r="CL1508" i="1"/>
  <c r="CM1508" i="1"/>
  <c r="CN1508" i="1"/>
  <c r="CO1508" i="1"/>
  <c r="CP1508" i="1"/>
  <c r="CZ1508" i="1"/>
  <c r="DB1508" i="1"/>
  <c r="DF1508" i="1"/>
  <c r="AC1390" i="1"/>
  <c r="AH1390" i="1"/>
  <c r="BS1390" i="1"/>
  <c r="BV1390" i="1"/>
  <c r="BX1390" i="1"/>
  <c r="BY1390" i="1"/>
  <c r="BZ1390" i="1"/>
  <c r="CA1390" i="1"/>
  <c r="CH1390" i="1"/>
  <c r="CL1390" i="1"/>
  <c r="CM1390" i="1"/>
  <c r="CN1390" i="1"/>
  <c r="CO1390" i="1"/>
  <c r="CP1390" i="1"/>
  <c r="CZ1390" i="1"/>
  <c r="DB1390" i="1"/>
  <c r="DF1390" i="1"/>
  <c r="AC1012" i="1"/>
  <c r="AH1012" i="1"/>
  <c r="BS1012" i="1"/>
  <c r="BV1012" i="1"/>
  <c r="BX1012" i="1"/>
  <c r="BY1012" i="1"/>
  <c r="BZ1012" i="1"/>
  <c r="CA1012" i="1"/>
  <c r="CH1012" i="1"/>
  <c r="CL1012" i="1"/>
  <c r="CM1012" i="1"/>
  <c r="CN1012" i="1"/>
  <c r="CO1012" i="1"/>
  <c r="CP1012" i="1"/>
  <c r="CZ1012" i="1"/>
  <c r="DB1012" i="1"/>
  <c r="DF1012" i="1"/>
  <c r="AC2209" i="1"/>
  <c r="AH2209" i="1"/>
  <c r="BS2209" i="1"/>
  <c r="BV2209" i="1"/>
  <c r="BX2209" i="1"/>
  <c r="BY2209" i="1"/>
  <c r="BZ2209" i="1"/>
  <c r="CA2209" i="1"/>
  <c r="CH2209" i="1"/>
  <c r="CL2209" i="1"/>
  <c r="CM2209" i="1"/>
  <c r="CN2209" i="1"/>
  <c r="CO2209" i="1"/>
  <c r="CP2209" i="1"/>
  <c r="CZ2209" i="1"/>
  <c r="DB2209" i="1"/>
  <c r="DF2209" i="1"/>
  <c r="AC1459" i="1"/>
  <c r="AH1459" i="1"/>
  <c r="BS1459" i="1"/>
  <c r="BV1459" i="1"/>
  <c r="BX1459" i="1"/>
  <c r="BY1459" i="1"/>
  <c r="BZ1459" i="1"/>
  <c r="CA1459" i="1"/>
  <c r="CH1459" i="1"/>
  <c r="CL1459" i="1"/>
  <c r="CM1459" i="1"/>
  <c r="CN1459" i="1"/>
  <c r="CP1459" i="1"/>
  <c r="CZ1459" i="1"/>
  <c r="DB1459" i="1"/>
  <c r="DF1459" i="1"/>
  <c r="AC1438" i="1"/>
  <c r="AH1438" i="1"/>
  <c r="BS1438" i="1"/>
  <c r="BV1438" i="1"/>
  <c r="BX1438" i="1"/>
  <c r="BY1438" i="1"/>
  <c r="BZ1438" i="1"/>
  <c r="CH1438" i="1"/>
  <c r="CL1438" i="1"/>
  <c r="CM1438" i="1"/>
  <c r="CN1438" i="1"/>
  <c r="CP1438" i="1"/>
  <c r="CZ1438" i="1"/>
  <c r="DB1438" i="1"/>
  <c r="DF1438" i="1"/>
  <c r="AC2073" i="1"/>
  <c r="AH2073" i="1"/>
  <c r="BS2073" i="1"/>
  <c r="BV2073" i="1"/>
  <c r="BX2073" i="1"/>
  <c r="BY2073" i="1"/>
  <c r="BZ2073" i="1"/>
  <c r="CA2073" i="1"/>
  <c r="CH2073" i="1"/>
  <c r="CL2073" i="1"/>
  <c r="CM2073" i="1"/>
  <c r="CN2073" i="1"/>
  <c r="CO2073" i="1"/>
  <c r="CP2073" i="1"/>
  <c r="CZ2073" i="1"/>
  <c r="DB2073" i="1"/>
  <c r="DF2073" i="1"/>
  <c r="AC2273" i="1"/>
  <c r="AH2273" i="1"/>
  <c r="BS2273" i="1"/>
  <c r="BV2273" i="1"/>
  <c r="BX2273" i="1"/>
  <c r="BY2273" i="1"/>
  <c r="BZ2273" i="1"/>
  <c r="CA2273" i="1"/>
  <c r="CH2273" i="1"/>
  <c r="CL2273" i="1"/>
  <c r="CM2273" i="1"/>
  <c r="CN2273" i="1"/>
  <c r="CO2273" i="1"/>
  <c r="CP2273" i="1"/>
  <c r="CZ2273" i="1"/>
  <c r="DB2273" i="1"/>
  <c r="DF2273" i="1"/>
  <c r="AC1928" i="1"/>
  <c r="AH1928" i="1"/>
  <c r="BS1928" i="1"/>
  <c r="BV1928" i="1"/>
  <c r="BX1928" i="1"/>
  <c r="BY1928" i="1"/>
  <c r="BZ1928" i="1"/>
  <c r="CH1928" i="1"/>
  <c r="CL1928" i="1"/>
  <c r="CM1928" i="1"/>
  <c r="CN1928" i="1"/>
  <c r="CO1928" i="1"/>
  <c r="CP1928" i="1"/>
  <c r="CZ1928" i="1"/>
  <c r="DB1928" i="1"/>
  <c r="DF1928" i="1"/>
  <c r="AC1139" i="1"/>
  <c r="AH1139" i="1"/>
  <c r="BS1139" i="1"/>
  <c r="BV1139" i="1"/>
  <c r="BX1139" i="1"/>
  <c r="BY1139" i="1"/>
  <c r="BZ1139" i="1"/>
  <c r="CA1139" i="1"/>
  <c r="CH1139" i="1"/>
  <c r="CL1139" i="1"/>
  <c r="CM1139" i="1"/>
  <c r="CN1139" i="1"/>
  <c r="CO1139" i="1"/>
  <c r="CP1139" i="1"/>
  <c r="CZ1139" i="1"/>
  <c r="DB1139" i="1"/>
  <c r="DF1139" i="1"/>
  <c r="AC1089" i="1"/>
  <c r="AH1089" i="1"/>
  <c r="BS1089" i="1"/>
  <c r="BV1089" i="1"/>
  <c r="BX1089" i="1"/>
  <c r="BY1089" i="1"/>
  <c r="BZ1089" i="1"/>
  <c r="CH1089" i="1"/>
  <c r="CL1089" i="1"/>
  <c r="CM1089" i="1"/>
  <c r="CN1089" i="1"/>
  <c r="CO1089" i="1"/>
  <c r="CP1089" i="1"/>
  <c r="CZ1089" i="1"/>
  <c r="DB1089" i="1"/>
  <c r="DF1089" i="1"/>
  <c r="AC2055" i="1"/>
  <c r="AH2055" i="1"/>
  <c r="BS2055" i="1"/>
  <c r="BV2055" i="1"/>
  <c r="BX2055" i="1"/>
  <c r="BY2055" i="1"/>
  <c r="BZ2055" i="1"/>
  <c r="CA2055" i="1"/>
  <c r="CH2055" i="1"/>
  <c r="CL2055" i="1"/>
  <c r="CM2055" i="1"/>
  <c r="CN2055" i="1"/>
  <c r="CO2055" i="1"/>
  <c r="CP2055" i="1"/>
  <c r="CZ2055" i="1"/>
  <c r="DB2055" i="1"/>
  <c r="DF2055" i="1"/>
  <c r="AC713" i="1"/>
  <c r="AH713" i="1"/>
  <c r="BS713" i="1"/>
  <c r="BV713" i="1"/>
  <c r="BX713" i="1"/>
  <c r="BY713" i="1"/>
  <c r="BZ713" i="1"/>
  <c r="CH713" i="1"/>
  <c r="CL713" i="1"/>
  <c r="CM713" i="1"/>
  <c r="CN713" i="1"/>
  <c r="CO713" i="1"/>
  <c r="CP713" i="1"/>
  <c r="CZ713" i="1"/>
  <c r="DB713" i="1"/>
  <c r="DF713" i="1"/>
  <c r="AC151" i="1"/>
  <c r="AH151" i="1"/>
  <c r="BS151" i="1"/>
  <c r="BV151" i="1"/>
  <c r="BX151" i="1"/>
  <c r="BY151" i="1"/>
  <c r="BZ151" i="1"/>
  <c r="CA151" i="1"/>
  <c r="CH151" i="1"/>
  <c r="CL151" i="1"/>
  <c r="CM151" i="1"/>
  <c r="CN151" i="1"/>
  <c r="CO151" i="1"/>
  <c r="CP151" i="1"/>
  <c r="CZ151" i="1"/>
  <c r="DB151" i="1"/>
  <c r="DF151" i="1"/>
  <c r="AC510" i="1"/>
  <c r="AH510" i="1"/>
  <c r="BS510" i="1"/>
  <c r="BV510" i="1"/>
  <c r="BX510" i="1"/>
  <c r="BY510" i="1"/>
  <c r="BZ510" i="1"/>
  <c r="CA510" i="1"/>
  <c r="CH510" i="1"/>
  <c r="CL510" i="1"/>
  <c r="CM510" i="1"/>
  <c r="CN510" i="1"/>
  <c r="CO510" i="1"/>
  <c r="CP510" i="1"/>
  <c r="CZ510" i="1"/>
  <c r="DB510" i="1"/>
  <c r="DF510" i="1"/>
  <c r="AC1141" i="1"/>
  <c r="AH1141" i="1"/>
  <c r="BS1141" i="1"/>
  <c r="BV1141" i="1"/>
  <c r="BX1141" i="1"/>
  <c r="BY1141" i="1"/>
  <c r="BZ1141" i="1"/>
  <c r="CA1141" i="1"/>
  <c r="CH1141" i="1"/>
  <c r="CL1141" i="1"/>
  <c r="CM1141" i="1"/>
  <c r="CN1141" i="1"/>
  <c r="CO1141" i="1"/>
  <c r="CP1141" i="1"/>
  <c r="CZ1141" i="1"/>
  <c r="DB1141" i="1"/>
  <c r="DF1141" i="1"/>
  <c r="AC373" i="1"/>
  <c r="AH373" i="1"/>
  <c r="BS373" i="1"/>
  <c r="BV373" i="1"/>
  <c r="BX373" i="1"/>
  <c r="BY373" i="1"/>
  <c r="BZ373" i="1"/>
  <c r="CH373" i="1"/>
  <c r="CL373" i="1"/>
  <c r="CM373" i="1"/>
  <c r="CN373" i="1"/>
  <c r="CO373" i="1"/>
  <c r="CP373" i="1"/>
  <c r="CZ373" i="1"/>
  <c r="DB373" i="1"/>
  <c r="DF373" i="1"/>
  <c r="AC1418" i="1"/>
  <c r="AH1418" i="1"/>
  <c r="BS1418" i="1"/>
  <c r="BV1418" i="1"/>
  <c r="BX1418" i="1"/>
  <c r="BY1418" i="1"/>
  <c r="BZ1418" i="1"/>
  <c r="CA1418" i="1"/>
  <c r="CH1418" i="1"/>
  <c r="CL1418" i="1"/>
  <c r="CM1418" i="1"/>
  <c r="CN1418" i="1"/>
  <c r="CO1418" i="1"/>
  <c r="CP1418" i="1"/>
  <c r="CZ1418" i="1"/>
  <c r="DB1418" i="1"/>
  <c r="DF1418" i="1"/>
  <c r="AC830" i="1"/>
  <c r="AH830" i="1"/>
  <c r="BS830" i="1"/>
  <c r="BV830" i="1"/>
  <c r="BX830" i="1"/>
  <c r="BY830" i="1"/>
  <c r="BZ830" i="1"/>
  <c r="CA830" i="1"/>
  <c r="CH830" i="1"/>
  <c r="CL830" i="1"/>
  <c r="CM830" i="1"/>
  <c r="CN830" i="1"/>
  <c r="CO830" i="1"/>
  <c r="CP830" i="1"/>
  <c r="CZ830" i="1"/>
  <c r="DB830" i="1"/>
  <c r="DF830" i="1"/>
  <c r="AC1967" i="1"/>
  <c r="AH1967" i="1"/>
  <c r="BS1967" i="1"/>
  <c r="BV1967" i="1"/>
  <c r="BX1967" i="1"/>
  <c r="BY1967" i="1"/>
  <c r="BZ1967" i="1"/>
  <c r="CH1967" i="1"/>
  <c r="CL1967" i="1"/>
  <c r="CM1967" i="1"/>
  <c r="CN1967" i="1"/>
  <c r="CO1967" i="1"/>
  <c r="CP1967" i="1"/>
  <c r="CZ1967" i="1"/>
  <c r="DB1967" i="1"/>
  <c r="DF1967" i="1"/>
  <c r="AC790" i="1"/>
  <c r="AH790" i="1"/>
  <c r="BS790" i="1"/>
  <c r="BV790" i="1"/>
  <c r="BX790" i="1"/>
  <c r="BY790" i="1"/>
  <c r="BZ790" i="1"/>
  <c r="CH790" i="1"/>
  <c r="CL790" i="1"/>
  <c r="CM790" i="1"/>
  <c r="CN790" i="1"/>
  <c r="CO790" i="1"/>
  <c r="CP790" i="1"/>
  <c r="CZ790" i="1"/>
  <c r="DB790" i="1"/>
  <c r="DF790" i="1"/>
  <c r="AC1993" i="1"/>
  <c r="AH1993" i="1"/>
  <c r="BS1993" i="1"/>
  <c r="BV1993" i="1"/>
  <c r="BX1993" i="1"/>
  <c r="BY1993" i="1"/>
  <c r="BZ1993" i="1"/>
  <c r="CH1993" i="1"/>
  <c r="CL1993" i="1"/>
  <c r="CM1993" i="1"/>
  <c r="CN1993" i="1"/>
  <c r="CP1993" i="1"/>
  <c r="CZ1993" i="1"/>
  <c r="DB1993" i="1"/>
  <c r="DF1993" i="1"/>
  <c r="AC2249" i="1"/>
  <c r="AH2249" i="1"/>
  <c r="BS2249" i="1"/>
  <c r="BV2249" i="1"/>
  <c r="BX2249" i="1"/>
  <c r="BY2249" i="1"/>
  <c r="BZ2249" i="1"/>
  <c r="CA2249" i="1"/>
  <c r="CH2249" i="1"/>
  <c r="CL2249" i="1"/>
  <c r="CM2249" i="1"/>
  <c r="CN2249" i="1"/>
  <c r="CO2249" i="1"/>
  <c r="CP2249" i="1"/>
  <c r="CZ2249" i="1"/>
  <c r="DB2249" i="1"/>
  <c r="DF2249" i="1"/>
  <c r="AC1732" i="1"/>
  <c r="AH1732" i="1"/>
  <c r="BS1732" i="1"/>
  <c r="BV1732" i="1"/>
  <c r="BX1732" i="1"/>
  <c r="BY1732" i="1"/>
  <c r="BZ1732" i="1"/>
  <c r="CH1732" i="1"/>
  <c r="CL1732" i="1"/>
  <c r="CM1732" i="1"/>
  <c r="CN1732" i="1"/>
  <c r="CO1732" i="1"/>
  <c r="CP1732" i="1"/>
  <c r="CZ1732" i="1"/>
  <c r="DB1732" i="1"/>
  <c r="DF1732" i="1"/>
  <c r="AC1220" i="1"/>
  <c r="AH1220" i="1"/>
  <c r="BS1220" i="1"/>
  <c r="BV1220" i="1"/>
  <c r="BX1220" i="1"/>
  <c r="BY1220" i="1"/>
  <c r="BZ1220" i="1"/>
  <c r="CA1220" i="1"/>
  <c r="CH1220" i="1"/>
  <c r="CL1220" i="1"/>
  <c r="CM1220" i="1"/>
  <c r="CN1220" i="1"/>
  <c r="CO1220" i="1"/>
  <c r="CP1220" i="1"/>
  <c r="CZ1220" i="1"/>
  <c r="DB1220" i="1"/>
  <c r="DF1220" i="1"/>
  <c r="AC519" i="1"/>
  <c r="AH519" i="1"/>
  <c r="BS519" i="1"/>
  <c r="BV519" i="1"/>
  <c r="BX519" i="1"/>
  <c r="BY519" i="1"/>
  <c r="BZ519" i="1"/>
  <c r="CA519" i="1"/>
  <c r="CH519" i="1"/>
  <c r="CL519" i="1"/>
  <c r="CM519" i="1"/>
  <c r="CN519" i="1"/>
  <c r="CO519" i="1"/>
  <c r="CP519" i="1"/>
  <c r="CZ519" i="1"/>
  <c r="DB519" i="1"/>
  <c r="DF519" i="1"/>
  <c r="AC350" i="1"/>
  <c r="AH350" i="1"/>
  <c r="BS350" i="1"/>
  <c r="BV350" i="1"/>
  <c r="BX350" i="1"/>
  <c r="BY350" i="1"/>
  <c r="BZ350" i="1"/>
  <c r="CA350" i="1"/>
  <c r="CH350" i="1"/>
  <c r="CL350" i="1"/>
  <c r="CM350" i="1"/>
  <c r="CN350" i="1"/>
  <c r="CO350" i="1"/>
  <c r="CP350" i="1"/>
  <c r="CZ350" i="1"/>
  <c r="DB350" i="1"/>
  <c r="DF350" i="1"/>
  <c r="AC1185" i="1"/>
  <c r="AH1185" i="1"/>
  <c r="BS1185" i="1"/>
  <c r="BV1185" i="1"/>
  <c r="BX1185" i="1"/>
  <c r="BY1185" i="1"/>
  <c r="BZ1185" i="1"/>
  <c r="CA1185" i="1"/>
  <c r="CH1185" i="1"/>
  <c r="CL1185" i="1"/>
  <c r="CM1185" i="1"/>
  <c r="CN1185" i="1"/>
  <c r="CO1185" i="1"/>
  <c r="CP1185" i="1"/>
  <c r="CZ1185" i="1"/>
  <c r="DB1185" i="1"/>
  <c r="DF1185" i="1"/>
  <c r="AC94" i="1"/>
  <c r="AH94" i="1"/>
  <c r="BS94" i="1"/>
  <c r="BV94" i="1"/>
  <c r="BX94" i="1"/>
  <c r="BY94" i="1"/>
  <c r="BZ94" i="1"/>
  <c r="CA94" i="1"/>
  <c r="CH94" i="1"/>
  <c r="CL94" i="1"/>
  <c r="CM94" i="1"/>
  <c r="CN94" i="1"/>
  <c r="CO94" i="1"/>
  <c r="CP94" i="1"/>
  <c r="CZ94" i="1"/>
  <c r="DB94" i="1"/>
  <c r="DF94" i="1"/>
  <c r="AC1959" i="1"/>
  <c r="AH1959" i="1"/>
  <c r="BS1959" i="1"/>
  <c r="BV1959" i="1"/>
  <c r="BX1959" i="1"/>
  <c r="BY1959" i="1"/>
  <c r="BZ1959" i="1"/>
  <c r="CA1959" i="1"/>
  <c r="CH1959" i="1"/>
  <c r="CL1959" i="1"/>
  <c r="CM1959" i="1"/>
  <c r="CN1959" i="1"/>
  <c r="CO1959" i="1"/>
  <c r="CP1959" i="1"/>
  <c r="CZ1959" i="1"/>
  <c r="DB1959" i="1"/>
  <c r="DF1959" i="1"/>
  <c r="AC1404" i="1"/>
  <c r="AH1404" i="1"/>
  <c r="BS1404" i="1"/>
  <c r="BV1404" i="1"/>
  <c r="BX1404" i="1"/>
  <c r="BY1404" i="1"/>
  <c r="BZ1404" i="1"/>
  <c r="CA1404" i="1"/>
  <c r="CH1404" i="1"/>
  <c r="CL1404" i="1"/>
  <c r="CM1404" i="1"/>
  <c r="CN1404" i="1"/>
  <c r="CO1404" i="1"/>
  <c r="CP1404" i="1"/>
  <c r="CZ1404" i="1"/>
  <c r="DB1404" i="1"/>
  <c r="DF1404" i="1"/>
  <c r="AC1897" i="1"/>
  <c r="AH1897" i="1"/>
  <c r="BS1897" i="1"/>
  <c r="BV1897" i="1"/>
  <c r="BX1897" i="1"/>
  <c r="BY1897" i="1"/>
  <c r="BZ1897" i="1"/>
  <c r="CH1897" i="1"/>
  <c r="CL1897" i="1"/>
  <c r="CM1897" i="1"/>
  <c r="CN1897" i="1"/>
  <c r="CO1897" i="1"/>
  <c r="CP1897" i="1"/>
  <c r="CZ1897" i="1"/>
  <c r="DB1897" i="1"/>
  <c r="DF1897" i="1"/>
  <c r="AC1298" i="1"/>
  <c r="AH1298" i="1"/>
  <c r="BS1298" i="1"/>
  <c r="BV1298" i="1"/>
  <c r="BX1298" i="1"/>
  <c r="BY1298" i="1"/>
  <c r="BZ1298" i="1"/>
  <c r="CA1298" i="1"/>
  <c r="CH1298" i="1"/>
  <c r="CL1298" i="1"/>
  <c r="CM1298" i="1"/>
  <c r="CN1298" i="1"/>
  <c r="CO1298" i="1"/>
  <c r="CP1298" i="1"/>
  <c r="CZ1298" i="1"/>
  <c r="DB1298" i="1"/>
  <c r="DF1298" i="1"/>
  <c r="AC1450" i="1"/>
  <c r="AH1450" i="1"/>
  <c r="BS1450" i="1"/>
  <c r="BV1450" i="1"/>
  <c r="BX1450" i="1"/>
  <c r="BY1450" i="1"/>
  <c r="BZ1450" i="1"/>
  <c r="CH1450" i="1"/>
  <c r="CL1450" i="1"/>
  <c r="CM1450" i="1"/>
  <c r="CN1450" i="1"/>
  <c r="CO1450" i="1"/>
  <c r="CP1450" i="1"/>
  <c r="CZ1450" i="1"/>
  <c r="DB1450" i="1"/>
  <c r="DF1450" i="1"/>
  <c r="AC2229" i="1"/>
  <c r="AH2229" i="1"/>
  <c r="BS2229" i="1"/>
  <c r="BV2229" i="1"/>
  <c r="BX2229" i="1"/>
  <c r="BY2229" i="1"/>
  <c r="BZ2229" i="1"/>
  <c r="CA2229" i="1"/>
  <c r="CH2229" i="1"/>
  <c r="CL2229" i="1"/>
  <c r="CM2229" i="1"/>
  <c r="CN2229" i="1"/>
  <c r="CO2229" i="1"/>
  <c r="CP2229" i="1"/>
  <c r="CZ2229" i="1"/>
  <c r="DB2229" i="1"/>
  <c r="DF2229" i="1"/>
  <c r="AC1103" i="1"/>
  <c r="AH1103" i="1"/>
  <c r="BS1103" i="1"/>
  <c r="BV1103" i="1"/>
  <c r="BX1103" i="1"/>
  <c r="BY1103" i="1"/>
  <c r="BZ1103" i="1"/>
  <c r="CA1103" i="1"/>
  <c r="CH1103" i="1"/>
  <c r="CL1103" i="1"/>
  <c r="CM1103" i="1"/>
  <c r="CN1103" i="1"/>
  <c r="CO1103" i="1"/>
  <c r="CP1103" i="1"/>
  <c r="CZ1103" i="1"/>
  <c r="DB1103" i="1"/>
  <c r="DF1103" i="1"/>
  <c r="AC610" i="1"/>
  <c r="AH610" i="1"/>
  <c r="BS610" i="1"/>
  <c r="BV610" i="1"/>
  <c r="BX610" i="1"/>
  <c r="BY610" i="1"/>
  <c r="BZ610" i="1"/>
  <c r="CA610" i="1"/>
  <c r="CH610" i="1"/>
  <c r="CL610" i="1"/>
  <c r="CM610" i="1"/>
  <c r="CN610" i="1"/>
  <c r="CO610" i="1"/>
  <c r="CP610" i="1"/>
  <c r="CZ610" i="1"/>
  <c r="DB610" i="1"/>
  <c r="DF610" i="1"/>
  <c r="AC1619" i="1"/>
  <c r="AH1619" i="1"/>
  <c r="BS1619" i="1"/>
  <c r="BV1619" i="1"/>
  <c r="BX1619" i="1"/>
  <c r="BY1619" i="1"/>
  <c r="BZ1619" i="1"/>
  <c r="CA1619" i="1"/>
  <c r="CH1619" i="1"/>
  <c r="CL1619" i="1"/>
  <c r="CM1619" i="1"/>
  <c r="CN1619" i="1"/>
  <c r="CO1619" i="1"/>
  <c r="CP1619" i="1"/>
  <c r="CZ1619" i="1"/>
  <c r="DB1619" i="1"/>
  <c r="DF1619" i="1"/>
  <c r="AC916" i="1"/>
  <c r="AH916" i="1"/>
  <c r="BS916" i="1"/>
  <c r="BV916" i="1"/>
  <c r="BX916" i="1"/>
  <c r="BY916" i="1"/>
  <c r="BZ916" i="1"/>
  <c r="CH916" i="1"/>
  <c r="CL916" i="1"/>
  <c r="CM916" i="1"/>
  <c r="CN916" i="1"/>
  <c r="CO916" i="1"/>
  <c r="CP916" i="1"/>
  <c r="CZ916" i="1"/>
  <c r="DB916" i="1"/>
  <c r="DF916" i="1"/>
  <c r="AC2072" i="1"/>
  <c r="AH2072" i="1"/>
  <c r="BS2072" i="1"/>
  <c r="BV2072" i="1"/>
  <c r="BX2072" i="1"/>
  <c r="BY2072" i="1"/>
  <c r="BZ2072" i="1"/>
  <c r="CA2072" i="1"/>
  <c r="CH2072" i="1"/>
  <c r="CL2072" i="1"/>
  <c r="CM2072" i="1"/>
  <c r="CN2072" i="1"/>
  <c r="CO2072" i="1"/>
  <c r="CP2072" i="1"/>
  <c r="CZ2072" i="1"/>
  <c r="DB2072" i="1"/>
  <c r="DF2072" i="1"/>
  <c r="AC1097" i="1"/>
  <c r="AH1097" i="1"/>
  <c r="BS1097" i="1"/>
  <c r="BV1097" i="1"/>
  <c r="BX1097" i="1"/>
  <c r="BY1097" i="1"/>
  <c r="BZ1097" i="1"/>
  <c r="CA1097" i="1"/>
  <c r="CH1097" i="1"/>
  <c r="CL1097" i="1"/>
  <c r="CM1097" i="1"/>
  <c r="CN1097" i="1"/>
  <c r="CO1097" i="1"/>
  <c r="CP1097" i="1"/>
  <c r="CZ1097" i="1"/>
  <c r="DB1097" i="1"/>
  <c r="DF1097" i="1"/>
  <c r="AC2076" i="1"/>
  <c r="AH2076" i="1"/>
  <c r="BS2076" i="1"/>
  <c r="BV2076" i="1"/>
  <c r="BX2076" i="1"/>
  <c r="BY2076" i="1"/>
  <c r="BZ2076" i="1"/>
  <c r="CA2076" i="1"/>
  <c r="CH2076" i="1"/>
  <c r="CL2076" i="1"/>
  <c r="CM2076" i="1"/>
  <c r="CN2076" i="1"/>
  <c r="CO2076" i="1"/>
  <c r="CP2076" i="1"/>
  <c r="CZ2076" i="1"/>
  <c r="DB2076" i="1"/>
  <c r="DF2076" i="1"/>
  <c r="AC233" i="1"/>
  <c r="AH233" i="1"/>
  <c r="BS233" i="1"/>
  <c r="BV233" i="1"/>
  <c r="BX233" i="1"/>
  <c r="BY233" i="1"/>
  <c r="BZ233" i="1"/>
  <c r="CA233" i="1"/>
  <c r="CH233" i="1"/>
  <c r="CL233" i="1"/>
  <c r="CM233" i="1"/>
  <c r="CN233" i="1"/>
  <c r="CO233" i="1"/>
  <c r="CP233" i="1"/>
  <c r="CZ233" i="1"/>
  <c r="DB233" i="1"/>
  <c r="DF233" i="1"/>
  <c r="AC1492" i="1"/>
  <c r="AH1492" i="1"/>
  <c r="BS1492" i="1"/>
  <c r="BV1492" i="1"/>
  <c r="BX1492" i="1"/>
  <c r="BY1492" i="1"/>
  <c r="BZ1492" i="1"/>
  <c r="CA1492" i="1"/>
  <c r="CH1492" i="1"/>
  <c r="CL1492" i="1"/>
  <c r="CM1492" i="1"/>
  <c r="CN1492" i="1"/>
  <c r="CO1492" i="1"/>
  <c r="CP1492" i="1"/>
  <c r="CZ1492" i="1"/>
  <c r="DB1492" i="1"/>
  <c r="DF1492" i="1"/>
  <c r="AC1419" i="1"/>
  <c r="AH1419" i="1"/>
  <c r="BS1419" i="1"/>
  <c r="BV1419" i="1"/>
  <c r="BX1419" i="1"/>
  <c r="BY1419" i="1"/>
  <c r="BZ1419" i="1"/>
  <c r="CH1419" i="1"/>
  <c r="CL1419" i="1"/>
  <c r="CM1419" i="1"/>
  <c r="CN1419" i="1"/>
  <c r="CO1419" i="1"/>
  <c r="CP1419" i="1"/>
  <c r="CZ1419" i="1"/>
  <c r="DB1419" i="1"/>
  <c r="DF1419" i="1"/>
  <c r="AC1575" i="1"/>
  <c r="AH1575" i="1"/>
  <c r="BS1575" i="1"/>
  <c r="BV1575" i="1"/>
  <c r="BX1575" i="1"/>
  <c r="BY1575" i="1"/>
  <c r="BZ1575" i="1"/>
  <c r="CH1575" i="1"/>
  <c r="CL1575" i="1"/>
  <c r="CM1575" i="1"/>
  <c r="CN1575" i="1"/>
  <c r="CO1575" i="1"/>
  <c r="CP1575" i="1"/>
  <c r="CZ1575" i="1"/>
  <c r="DB1575" i="1"/>
  <c r="DF1575" i="1"/>
  <c r="AC733" i="1"/>
  <c r="AH733" i="1"/>
  <c r="BS733" i="1"/>
  <c r="BV733" i="1"/>
  <c r="BX733" i="1"/>
  <c r="BY733" i="1"/>
  <c r="BZ733" i="1"/>
  <c r="CA733" i="1"/>
  <c r="CH733" i="1"/>
  <c r="CL733" i="1"/>
  <c r="CM733" i="1"/>
  <c r="CN733" i="1"/>
  <c r="CO733" i="1"/>
  <c r="CP733" i="1"/>
  <c r="CZ733" i="1"/>
  <c r="DB733" i="1"/>
  <c r="DF733" i="1"/>
  <c r="AC1216" i="1"/>
  <c r="AH1216" i="1"/>
  <c r="BS1216" i="1"/>
  <c r="BV1216" i="1"/>
  <c r="BX1216" i="1"/>
  <c r="BY1216" i="1"/>
  <c r="BZ1216" i="1"/>
  <c r="CH1216" i="1"/>
  <c r="CL1216" i="1"/>
  <c r="CM1216" i="1"/>
  <c r="CN1216" i="1"/>
  <c r="CO1216" i="1"/>
  <c r="CP1216" i="1"/>
  <c r="CZ1216" i="1"/>
  <c r="DB1216" i="1"/>
  <c r="DF1216" i="1"/>
  <c r="AC1368" i="1"/>
  <c r="AH1368" i="1"/>
  <c r="BS1368" i="1"/>
  <c r="BV1368" i="1"/>
  <c r="BX1368" i="1"/>
  <c r="BY1368" i="1"/>
  <c r="BZ1368" i="1"/>
  <c r="CH1368" i="1"/>
  <c r="CL1368" i="1"/>
  <c r="CM1368" i="1"/>
  <c r="CN1368" i="1"/>
  <c r="CO1368" i="1"/>
  <c r="CP1368" i="1"/>
  <c r="CZ1368" i="1"/>
  <c r="DB1368" i="1"/>
  <c r="DF1368" i="1"/>
  <c r="AC576" i="1"/>
  <c r="AH576" i="1"/>
  <c r="BS576" i="1"/>
  <c r="BV576" i="1"/>
  <c r="BX576" i="1"/>
  <c r="BY576" i="1"/>
  <c r="BZ576" i="1"/>
  <c r="CA576" i="1"/>
  <c r="CH576" i="1"/>
  <c r="CL576" i="1"/>
  <c r="CM576" i="1"/>
  <c r="CN576" i="1"/>
  <c r="CO576" i="1"/>
  <c r="CP576" i="1"/>
  <c r="CZ576" i="1"/>
  <c r="DB576" i="1"/>
  <c r="DF576" i="1"/>
  <c r="AC1180" i="1"/>
  <c r="AH1180" i="1"/>
  <c r="BS1180" i="1"/>
  <c r="BV1180" i="1"/>
  <c r="BX1180" i="1"/>
  <c r="BY1180" i="1"/>
  <c r="BZ1180" i="1"/>
  <c r="CA1180" i="1"/>
  <c r="CH1180" i="1"/>
  <c r="CL1180" i="1"/>
  <c r="CM1180" i="1"/>
  <c r="CN1180" i="1"/>
  <c r="CO1180" i="1"/>
  <c r="CP1180" i="1"/>
  <c r="CZ1180" i="1"/>
  <c r="DB1180" i="1"/>
  <c r="DF1180" i="1"/>
  <c r="AC1386" i="1"/>
  <c r="AH1386" i="1"/>
  <c r="BS1386" i="1"/>
  <c r="BV1386" i="1"/>
  <c r="BX1386" i="1"/>
  <c r="BY1386" i="1"/>
  <c r="BZ1386" i="1"/>
  <c r="CH1386" i="1"/>
  <c r="CL1386" i="1"/>
  <c r="CM1386" i="1"/>
  <c r="CN1386" i="1"/>
  <c r="CO1386" i="1"/>
  <c r="CP1386" i="1"/>
  <c r="CZ1386" i="1"/>
  <c r="DB1386" i="1"/>
  <c r="DF1386" i="1"/>
  <c r="AC70" i="1"/>
  <c r="AH70" i="1"/>
  <c r="BS70" i="1"/>
  <c r="BV70" i="1"/>
  <c r="BX70" i="1"/>
  <c r="BY70" i="1"/>
  <c r="BZ70" i="1"/>
  <c r="CH70" i="1"/>
  <c r="CL70" i="1"/>
  <c r="CM70" i="1"/>
  <c r="CN70" i="1"/>
  <c r="CO70" i="1"/>
  <c r="CP70" i="1"/>
  <c r="CZ70" i="1"/>
  <c r="DB70" i="1"/>
  <c r="DF70" i="1"/>
  <c r="AC185" i="1"/>
  <c r="AH185" i="1"/>
  <c r="BS185" i="1"/>
  <c r="BV185" i="1"/>
  <c r="BX185" i="1"/>
  <c r="BY185" i="1"/>
  <c r="BZ185" i="1"/>
  <c r="CA185" i="1"/>
  <c r="CH185" i="1"/>
  <c r="CL185" i="1"/>
  <c r="CM185" i="1"/>
  <c r="CN185" i="1"/>
  <c r="CO185" i="1"/>
  <c r="CP185" i="1"/>
  <c r="CZ185" i="1"/>
  <c r="DB185" i="1"/>
  <c r="DF185" i="1"/>
  <c r="AC237" i="1"/>
  <c r="AH237" i="1"/>
  <c r="BS237" i="1"/>
  <c r="BV237" i="1"/>
  <c r="BX237" i="1"/>
  <c r="BY237" i="1"/>
  <c r="BZ237" i="1"/>
  <c r="CH237" i="1"/>
  <c r="CL237" i="1"/>
  <c r="CM237" i="1"/>
  <c r="CN237" i="1"/>
  <c r="CO237" i="1"/>
  <c r="CP237" i="1"/>
  <c r="CZ237" i="1"/>
  <c r="DB237" i="1"/>
  <c r="DF237" i="1"/>
  <c r="AC1302" i="1"/>
  <c r="AH1302" i="1"/>
  <c r="BS1302" i="1"/>
  <c r="BV1302" i="1"/>
  <c r="BX1302" i="1"/>
  <c r="BY1302" i="1"/>
  <c r="BZ1302" i="1"/>
  <c r="CH1302" i="1"/>
  <c r="CL1302" i="1"/>
  <c r="CM1302" i="1"/>
  <c r="CN1302" i="1"/>
  <c r="CO1302" i="1"/>
  <c r="CP1302" i="1"/>
  <c r="CZ1302" i="1"/>
  <c r="DB1302" i="1"/>
  <c r="DF1302" i="1"/>
  <c r="AC132" i="1"/>
  <c r="AH132" i="1"/>
  <c r="BS132" i="1"/>
  <c r="BV132" i="1"/>
  <c r="BX132" i="1"/>
  <c r="BY132" i="1"/>
  <c r="BZ132" i="1"/>
  <c r="CA132" i="1"/>
  <c r="CH132" i="1"/>
  <c r="CL132" i="1"/>
  <c r="CM132" i="1"/>
  <c r="CN132" i="1"/>
  <c r="CO132" i="1"/>
  <c r="CP132" i="1"/>
  <c r="CZ132" i="1"/>
  <c r="DB132" i="1"/>
  <c r="DF132" i="1"/>
  <c r="AC2202" i="1"/>
  <c r="AH2202" i="1"/>
  <c r="BS2202" i="1"/>
  <c r="BV2202" i="1"/>
  <c r="BX2202" i="1"/>
  <c r="BY2202" i="1"/>
  <c r="BZ2202" i="1"/>
  <c r="CH2202" i="1"/>
  <c r="CL2202" i="1"/>
  <c r="CM2202" i="1"/>
  <c r="CN2202" i="1"/>
  <c r="CO2202" i="1"/>
  <c r="CP2202" i="1"/>
  <c r="CZ2202" i="1"/>
  <c r="DB2202" i="1"/>
  <c r="DF2202" i="1"/>
  <c r="AC1131" i="1"/>
  <c r="AH1131" i="1"/>
  <c r="BS1131" i="1"/>
  <c r="BV1131" i="1"/>
  <c r="BX1131" i="1"/>
  <c r="BY1131" i="1"/>
  <c r="BZ1131" i="1"/>
  <c r="CA1131" i="1"/>
  <c r="CH1131" i="1"/>
  <c r="CL1131" i="1"/>
  <c r="CM1131" i="1"/>
  <c r="CN1131" i="1"/>
  <c r="CO1131" i="1"/>
  <c r="CP1131" i="1"/>
  <c r="CZ1131" i="1"/>
  <c r="DB1131" i="1"/>
  <c r="DF1131" i="1"/>
  <c r="AC1377" i="1"/>
  <c r="AH1377" i="1"/>
  <c r="BS1377" i="1"/>
  <c r="BV1377" i="1"/>
  <c r="BX1377" i="1"/>
  <c r="BY1377" i="1"/>
  <c r="BZ1377" i="1"/>
  <c r="CA1377" i="1"/>
  <c r="CH1377" i="1"/>
  <c r="CL1377" i="1"/>
  <c r="CM1377" i="1"/>
  <c r="CN1377" i="1"/>
  <c r="CO1377" i="1"/>
  <c r="CP1377" i="1"/>
  <c r="CZ1377" i="1"/>
  <c r="DB1377" i="1"/>
  <c r="DF1377" i="1"/>
  <c r="AC1704" i="1"/>
  <c r="AH1704" i="1"/>
  <c r="BS1704" i="1"/>
  <c r="BV1704" i="1"/>
  <c r="BX1704" i="1"/>
  <c r="BY1704" i="1"/>
  <c r="BZ1704" i="1"/>
  <c r="CA1704" i="1"/>
  <c r="CH1704" i="1"/>
  <c r="CL1704" i="1"/>
  <c r="CM1704" i="1"/>
  <c r="CN1704" i="1"/>
  <c r="CO1704" i="1"/>
  <c r="CP1704" i="1"/>
  <c r="CZ1704" i="1"/>
  <c r="DB1704" i="1"/>
  <c r="DF1704" i="1"/>
  <c r="AC1399" i="1"/>
  <c r="AH1399" i="1"/>
  <c r="BS1399" i="1"/>
  <c r="BV1399" i="1"/>
  <c r="BX1399" i="1"/>
  <c r="BY1399" i="1"/>
  <c r="BZ1399" i="1"/>
  <c r="CA1399" i="1"/>
  <c r="CH1399" i="1"/>
  <c r="CL1399" i="1"/>
  <c r="CM1399" i="1"/>
  <c r="CN1399" i="1"/>
  <c r="CO1399" i="1"/>
  <c r="CP1399" i="1"/>
  <c r="CZ1399" i="1"/>
  <c r="DB1399" i="1"/>
  <c r="DF1399" i="1"/>
  <c r="AC2281" i="1"/>
  <c r="AH2281" i="1"/>
  <c r="BS2281" i="1"/>
  <c r="BV2281" i="1"/>
  <c r="BX2281" i="1"/>
  <c r="BY2281" i="1"/>
  <c r="BZ2281" i="1"/>
  <c r="CA2281" i="1"/>
  <c r="CH2281" i="1"/>
  <c r="CL2281" i="1"/>
  <c r="CM2281" i="1"/>
  <c r="CN2281" i="1"/>
  <c r="CO2281" i="1"/>
  <c r="CP2281" i="1"/>
  <c r="CZ2281" i="1"/>
  <c r="DB2281" i="1"/>
  <c r="DF2281" i="1"/>
  <c r="AC2189" i="1"/>
  <c r="AH2189" i="1"/>
  <c r="BS2189" i="1"/>
  <c r="BV2189" i="1"/>
  <c r="BX2189" i="1"/>
  <c r="BY2189" i="1"/>
  <c r="BZ2189" i="1"/>
  <c r="CA2189" i="1"/>
  <c r="CH2189" i="1"/>
  <c r="CL2189" i="1"/>
  <c r="CM2189" i="1"/>
  <c r="CN2189" i="1"/>
  <c r="CO2189" i="1"/>
  <c r="CP2189" i="1"/>
  <c r="CZ2189" i="1"/>
  <c r="DB2189" i="1"/>
  <c r="DF2189" i="1"/>
  <c r="AC399" i="1"/>
  <c r="AH399" i="1"/>
  <c r="BS399" i="1"/>
  <c r="BV399" i="1"/>
  <c r="BX399" i="1"/>
  <c r="BY399" i="1"/>
  <c r="BZ399" i="1"/>
  <c r="CA399" i="1"/>
  <c r="CH399" i="1"/>
  <c r="CL399" i="1"/>
  <c r="CM399" i="1"/>
  <c r="CN399" i="1"/>
  <c r="CO399" i="1"/>
  <c r="CP399" i="1"/>
  <c r="CZ399" i="1"/>
  <c r="DB399" i="1"/>
  <c r="DF399" i="1"/>
  <c r="AC1865" i="1"/>
  <c r="AH1865" i="1"/>
  <c r="BS1865" i="1"/>
  <c r="BV1865" i="1"/>
  <c r="BX1865" i="1"/>
  <c r="BY1865" i="1"/>
  <c r="BZ1865" i="1"/>
  <c r="CA1865" i="1"/>
  <c r="CH1865" i="1"/>
  <c r="CL1865" i="1"/>
  <c r="CM1865" i="1"/>
  <c r="CN1865" i="1"/>
  <c r="CO1865" i="1"/>
  <c r="CP1865" i="1"/>
  <c r="CZ1865" i="1"/>
  <c r="DB1865" i="1"/>
  <c r="DF1865" i="1"/>
  <c r="AC691" i="1"/>
  <c r="AH691" i="1"/>
  <c r="BS691" i="1"/>
  <c r="BV691" i="1"/>
  <c r="BX691" i="1"/>
  <c r="BY691" i="1"/>
  <c r="BZ691" i="1"/>
  <c r="CA691" i="1"/>
  <c r="CH691" i="1"/>
  <c r="CL691" i="1"/>
  <c r="CM691" i="1"/>
  <c r="CN691" i="1"/>
  <c r="CO691" i="1"/>
  <c r="CP691" i="1"/>
  <c r="CZ691" i="1"/>
  <c r="DB691" i="1"/>
  <c r="DF691" i="1"/>
  <c r="AC792" i="1"/>
  <c r="AH792" i="1"/>
  <c r="BS792" i="1"/>
  <c r="BV792" i="1"/>
  <c r="BX792" i="1"/>
  <c r="BY792" i="1"/>
  <c r="BZ792" i="1"/>
  <c r="CH792" i="1"/>
  <c r="CL792" i="1"/>
  <c r="CM792" i="1"/>
  <c r="CN792" i="1"/>
  <c r="CO792" i="1"/>
  <c r="CP792" i="1"/>
  <c r="CZ792" i="1"/>
  <c r="DB792" i="1"/>
  <c r="DF792" i="1"/>
  <c r="AC1341" i="1"/>
  <c r="AH1341" i="1"/>
  <c r="BS1341" i="1"/>
  <c r="BV1341" i="1"/>
  <c r="BX1341" i="1"/>
  <c r="BY1341" i="1"/>
  <c r="BZ1341" i="1"/>
  <c r="CH1341" i="1"/>
  <c r="CL1341" i="1"/>
  <c r="CM1341" i="1"/>
  <c r="CN1341" i="1"/>
  <c r="CO1341" i="1"/>
  <c r="CP1341" i="1"/>
  <c r="CZ1341" i="1"/>
  <c r="DB1341" i="1"/>
  <c r="DF1341" i="1"/>
  <c r="AC210" i="1"/>
  <c r="AH210" i="1"/>
  <c r="BS210" i="1"/>
  <c r="BV210" i="1"/>
  <c r="BX210" i="1"/>
  <c r="BY210" i="1"/>
  <c r="BZ210" i="1"/>
  <c r="CA210" i="1"/>
  <c r="CH210" i="1"/>
  <c r="CL210" i="1"/>
  <c r="CM210" i="1"/>
  <c r="CN210" i="1"/>
  <c r="CO210" i="1"/>
  <c r="CP210" i="1"/>
  <c r="CZ210" i="1"/>
  <c r="DB210" i="1"/>
  <c r="DF210" i="1"/>
  <c r="AC61" i="1"/>
  <c r="AH61" i="1"/>
  <c r="BS61" i="1"/>
  <c r="BV61" i="1"/>
  <c r="BX61" i="1"/>
  <c r="BY61" i="1"/>
  <c r="BZ61" i="1"/>
  <c r="CA61" i="1"/>
  <c r="CH61" i="1"/>
  <c r="CL61" i="1"/>
  <c r="CM61" i="1"/>
  <c r="CN61" i="1"/>
  <c r="CO61" i="1"/>
  <c r="CP61" i="1"/>
  <c r="CZ61" i="1"/>
  <c r="DB61" i="1"/>
  <c r="DF61" i="1"/>
  <c r="AC2264" i="1"/>
  <c r="AH2264" i="1"/>
  <c r="BS2264" i="1"/>
  <c r="BV2264" i="1"/>
  <c r="BX2264" i="1"/>
  <c r="BY2264" i="1"/>
  <c r="BZ2264" i="1"/>
  <c r="CH2264" i="1"/>
  <c r="CL2264" i="1"/>
  <c r="CM2264" i="1"/>
  <c r="CN2264" i="1"/>
  <c r="CO2264" i="1"/>
  <c r="CP2264" i="1"/>
  <c r="CZ2264" i="1"/>
  <c r="DB2264" i="1"/>
  <c r="DF2264" i="1"/>
  <c r="AC2283" i="1"/>
  <c r="AH2283" i="1"/>
  <c r="BS2283" i="1"/>
  <c r="BV2283" i="1"/>
  <c r="BX2283" i="1"/>
  <c r="BY2283" i="1"/>
  <c r="BZ2283" i="1"/>
  <c r="CA2283" i="1"/>
  <c r="CH2283" i="1"/>
  <c r="CL2283" i="1"/>
  <c r="CM2283" i="1"/>
  <c r="CN2283" i="1"/>
  <c r="CO2283" i="1"/>
  <c r="CP2283" i="1"/>
  <c r="CZ2283" i="1"/>
  <c r="DB2283" i="1"/>
  <c r="DF2283" i="1"/>
  <c r="AC1813" i="1"/>
  <c r="AH1813" i="1"/>
  <c r="BS1813" i="1"/>
  <c r="BV1813" i="1"/>
  <c r="BX1813" i="1"/>
  <c r="BY1813" i="1"/>
  <c r="BZ1813" i="1"/>
  <c r="CA1813" i="1"/>
  <c r="CH1813" i="1"/>
  <c r="CL1813" i="1"/>
  <c r="CM1813" i="1"/>
  <c r="CN1813" i="1"/>
  <c r="CO1813" i="1"/>
  <c r="CP1813" i="1"/>
  <c r="CZ1813" i="1"/>
  <c r="DB1813" i="1"/>
  <c r="DF1813" i="1"/>
  <c r="AC1574" i="1"/>
  <c r="AH1574" i="1"/>
  <c r="BS1574" i="1"/>
  <c r="BV1574" i="1"/>
  <c r="BX1574" i="1"/>
  <c r="BY1574" i="1"/>
  <c r="BZ1574" i="1"/>
  <c r="CA1574" i="1"/>
  <c r="CH1574" i="1"/>
  <c r="CL1574" i="1"/>
  <c r="CM1574" i="1"/>
  <c r="CN1574" i="1"/>
  <c r="CO1574" i="1"/>
  <c r="CP1574" i="1"/>
  <c r="CZ1574" i="1"/>
  <c r="DB1574" i="1"/>
  <c r="DF1574" i="1"/>
  <c r="AC554" i="1"/>
  <c r="AH554" i="1"/>
  <c r="BS554" i="1"/>
  <c r="BV554" i="1"/>
  <c r="BX554" i="1"/>
  <c r="BY554" i="1"/>
  <c r="BZ554" i="1"/>
  <c r="CH554" i="1"/>
  <c r="CL554" i="1"/>
  <c r="CM554" i="1"/>
  <c r="CN554" i="1"/>
  <c r="CO554" i="1"/>
  <c r="CP554" i="1"/>
  <c r="CZ554" i="1"/>
  <c r="DB554" i="1"/>
  <c r="DF554" i="1"/>
  <c r="AC306" i="1"/>
  <c r="AH306" i="1"/>
  <c r="BS306" i="1"/>
  <c r="BV306" i="1"/>
  <c r="BX306" i="1"/>
  <c r="BY306" i="1"/>
  <c r="BZ306" i="1"/>
  <c r="CA306" i="1"/>
  <c r="CH306" i="1"/>
  <c r="CL306" i="1"/>
  <c r="CM306" i="1"/>
  <c r="CN306" i="1"/>
  <c r="CO306" i="1"/>
  <c r="CP306" i="1"/>
  <c r="CZ306" i="1"/>
  <c r="DB306" i="1"/>
  <c r="DF306" i="1"/>
  <c r="AC1750" i="1"/>
  <c r="AH1750" i="1"/>
  <c r="BS1750" i="1"/>
  <c r="BV1750" i="1"/>
  <c r="BX1750" i="1"/>
  <c r="BY1750" i="1"/>
  <c r="BZ1750" i="1"/>
  <c r="CA1750" i="1"/>
  <c r="CH1750" i="1"/>
  <c r="CL1750" i="1"/>
  <c r="CM1750" i="1"/>
  <c r="CN1750" i="1"/>
  <c r="CO1750" i="1"/>
  <c r="CP1750" i="1"/>
  <c r="CZ1750" i="1"/>
  <c r="DB1750" i="1"/>
  <c r="DF1750" i="1"/>
  <c r="AC932" i="1"/>
  <c r="AH932" i="1"/>
  <c r="BS932" i="1"/>
  <c r="BV932" i="1"/>
  <c r="BX932" i="1"/>
  <c r="BY932" i="1"/>
  <c r="BZ932" i="1"/>
  <c r="CA932" i="1"/>
  <c r="CH932" i="1"/>
  <c r="CL932" i="1"/>
  <c r="CM932" i="1"/>
  <c r="CN932" i="1"/>
  <c r="CO932" i="1"/>
  <c r="CP932" i="1"/>
  <c r="CZ932" i="1"/>
  <c r="DB932" i="1"/>
  <c r="DF932" i="1"/>
  <c r="AC97" i="1"/>
  <c r="AH97" i="1"/>
  <c r="BS97" i="1"/>
  <c r="BV97" i="1"/>
  <c r="BX97" i="1"/>
  <c r="BY97" i="1"/>
  <c r="BZ97" i="1"/>
  <c r="CA97" i="1"/>
  <c r="CH97" i="1"/>
  <c r="CL97" i="1"/>
  <c r="CM97" i="1"/>
  <c r="CN97" i="1"/>
  <c r="CO97" i="1"/>
  <c r="CP97" i="1"/>
  <c r="CZ97" i="1"/>
  <c r="DB97" i="1"/>
  <c r="DF97" i="1"/>
  <c r="AC2205" i="1"/>
  <c r="AH2205" i="1"/>
  <c r="BS2205" i="1"/>
  <c r="BV2205" i="1"/>
  <c r="BX2205" i="1"/>
  <c r="BY2205" i="1"/>
  <c r="BZ2205" i="1"/>
  <c r="CH2205" i="1"/>
  <c r="CL2205" i="1"/>
  <c r="CM2205" i="1"/>
  <c r="CN2205" i="1"/>
  <c r="CP2205" i="1"/>
  <c r="CZ2205" i="1"/>
  <c r="DB2205" i="1"/>
  <c r="DF2205" i="1"/>
  <c r="AC2176" i="1"/>
  <c r="AH2176" i="1"/>
  <c r="BS2176" i="1"/>
  <c r="BV2176" i="1"/>
  <c r="BX2176" i="1"/>
  <c r="BY2176" i="1"/>
  <c r="BZ2176" i="1"/>
  <c r="CH2176" i="1"/>
  <c r="CL2176" i="1"/>
  <c r="CM2176" i="1"/>
  <c r="CN2176" i="1"/>
  <c r="CO2176" i="1"/>
  <c r="CP2176" i="1"/>
  <c r="CZ2176" i="1"/>
  <c r="DB2176" i="1"/>
  <c r="DF2176" i="1"/>
  <c r="AC2088" i="1"/>
  <c r="AH2088" i="1"/>
  <c r="BS2088" i="1"/>
  <c r="BV2088" i="1"/>
  <c r="BX2088" i="1"/>
  <c r="BY2088" i="1"/>
  <c r="BZ2088" i="1"/>
  <c r="CH2088" i="1"/>
  <c r="CL2088" i="1"/>
  <c r="CM2088" i="1"/>
  <c r="CN2088" i="1"/>
  <c r="CO2088" i="1"/>
  <c r="CP2088" i="1"/>
  <c r="CZ2088" i="1"/>
  <c r="DB2088" i="1"/>
  <c r="DF2088" i="1"/>
  <c r="AC1543" i="1"/>
  <c r="AH1543" i="1"/>
  <c r="BS1543" i="1"/>
  <c r="BV1543" i="1"/>
  <c r="BX1543" i="1"/>
  <c r="BY1543" i="1"/>
  <c r="BZ1543" i="1"/>
  <c r="CA1543" i="1"/>
  <c r="CH1543" i="1"/>
  <c r="CL1543" i="1"/>
  <c r="CM1543" i="1"/>
  <c r="CN1543" i="1"/>
  <c r="CO1543" i="1"/>
  <c r="CP1543" i="1"/>
  <c r="CZ1543" i="1"/>
  <c r="DB1543" i="1"/>
  <c r="DF1543" i="1"/>
  <c r="AC2268" i="1"/>
  <c r="AH2268" i="1"/>
  <c r="BS2268" i="1"/>
  <c r="BV2268" i="1"/>
  <c r="BX2268" i="1"/>
  <c r="BY2268" i="1"/>
  <c r="BZ2268" i="1"/>
  <c r="CA2268" i="1"/>
  <c r="CH2268" i="1"/>
  <c r="CL2268" i="1"/>
  <c r="CM2268" i="1"/>
  <c r="CN2268" i="1"/>
  <c r="CO2268" i="1"/>
  <c r="CP2268" i="1"/>
  <c r="CZ2268" i="1"/>
  <c r="DB2268" i="1"/>
  <c r="DF2268" i="1"/>
  <c r="AC677" i="1"/>
  <c r="AH677" i="1"/>
  <c r="BS677" i="1"/>
  <c r="BV677" i="1"/>
  <c r="BX677" i="1"/>
  <c r="BY677" i="1"/>
  <c r="BZ677" i="1"/>
  <c r="CA677" i="1"/>
  <c r="CH677" i="1"/>
  <c r="CL677" i="1"/>
  <c r="CM677" i="1"/>
  <c r="CN677" i="1"/>
  <c r="CO677" i="1"/>
  <c r="CP677" i="1"/>
  <c r="CZ677" i="1"/>
  <c r="DB677" i="1"/>
  <c r="DF677" i="1"/>
  <c r="AC1815" i="1"/>
  <c r="AH1815" i="1"/>
  <c r="BS1815" i="1"/>
  <c r="BV1815" i="1"/>
  <c r="BX1815" i="1"/>
  <c r="BY1815" i="1"/>
  <c r="BZ1815" i="1"/>
  <c r="CH1815" i="1"/>
  <c r="CL1815" i="1"/>
  <c r="CM1815" i="1"/>
  <c r="CN1815" i="1"/>
  <c r="CO1815" i="1"/>
  <c r="CP1815" i="1"/>
  <c r="CZ1815" i="1"/>
  <c r="DB1815" i="1"/>
  <c r="DF1815" i="1"/>
  <c r="AC323" i="1"/>
  <c r="AH323" i="1"/>
  <c r="BS323" i="1"/>
  <c r="BV323" i="1"/>
  <c r="BX323" i="1"/>
  <c r="BY323" i="1"/>
  <c r="BZ323" i="1"/>
  <c r="CH323" i="1"/>
  <c r="CL323" i="1"/>
  <c r="CM323" i="1"/>
  <c r="CN323" i="1"/>
  <c r="CO323" i="1"/>
  <c r="CP323" i="1"/>
  <c r="CZ323" i="1"/>
  <c r="DB323" i="1"/>
  <c r="DF323" i="1"/>
  <c r="AC273" i="1"/>
  <c r="AH273" i="1"/>
  <c r="BS273" i="1"/>
  <c r="BV273" i="1"/>
  <c r="BX273" i="1"/>
  <c r="BY273" i="1"/>
  <c r="BZ273" i="1"/>
  <c r="CA273" i="1"/>
  <c r="CH273" i="1"/>
  <c r="CL273" i="1"/>
  <c r="CM273" i="1"/>
  <c r="CN273" i="1"/>
  <c r="CO273" i="1"/>
  <c r="CP273" i="1"/>
  <c r="CZ273" i="1"/>
  <c r="DB273" i="1"/>
  <c r="DF273" i="1"/>
  <c r="AC2004" i="1"/>
  <c r="AH2004" i="1"/>
  <c r="BS2004" i="1"/>
  <c r="BV2004" i="1"/>
  <c r="BX2004" i="1"/>
  <c r="BY2004" i="1"/>
  <c r="BZ2004" i="1"/>
  <c r="CA2004" i="1"/>
  <c r="CH2004" i="1"/>
  <c r="CL2004" i="1"/>
  <c r="CM2004" i="1"/>
  <c r="CN2004" i="1"/>
  <c r="CO2004" i="1"/>
  <c r="CP2004" i="1"/>
  <c r="CZ2004" i="1"/>
  <c r="DB2004" i="1"/>
  <c r="DF2004" i="1"/>
  <c r="AC1879" i="1"/>
  <c r="AH1879" i="1"/>
  <c r="BS1879" i="1"/>
  <c r="BV1879" i="1"/>
  <c r="BX1879" i="1"/>
  <c r="BY1879" i="1"/>
  <c r="BZ1879" i="1"/>
  <c r="CH1879" i="1"/>
  <c r="CL1879" i="1"/>
  <c r="CM1879" i="1"/>
  <c r="CN1879" i="1"/>
  <c r="CO1879" i="1"/>
  <c r="CP1879" i="1"/>
  <c r="CZ1879" i="1"/>
  <c r="DB1879" i="1"/>
  <c r="DF1879" i="1"/>
  <c r="AC915" i="1"/>
  <c r="AH915" i="1"/>
  <c r="BS915" i="1"/>
  <c r="BV915" i="1"/>
  <c r="BX915" i="1"/>
  <c r="BY915" i="1"/>
  <c r="BZ915" i="1"/>
  <c r="CH915" i="1"/>
  <c r="CL915" i="1"/>
  <c r="CM915" i="1"/>
  <c r="CN915" i="1"/>
  <c r="CO915" i="1"/>
  <c r="CP915" i="1"/>
  <c r="CZ915" i="1"/>
  <c r="DB915" i="1"/>
  <c r="DF915" i="1"/>
  <c r="AC745" i="1"/>
  <c r="AH745" i="1"/>
  <c r="BS745" i="1"/>
  <c r="BV745" i="1"/>
  <c r="BX745" i="1"/>
  <c r="BY745" i="1"/>
  <c r="BZ745" i="1"/>
  <c r="CA745" i="1"/>
  <c r="CH745" i="1"/>
  <c r="CL745" i="1"/>
  <c r="CM745" i="1"/>
  <c r="CN745" i="1"/>
  <c r="CO745" i="1"/>
  <c r="CP745" i="1"/>
  <c r="CZ745" i="1"/>
  <c r="DB745" i="1"/>
  <c r="DF745" i="1"/>
  <c r="AC632" i="1"/>
  <c r="AH632" i="1"/>
  <c r="BS632" i="1"/>
  <c r="BV632" i="1"/>
  <c r="BX632" i="1"/>
  <c r="BY632" i="1"/>
  <c r="BZ632" i="1"/>
  <c r="CA632" i="1"/>
  <c r="CH632" i="1"/>
  <c r="CL632" i="1"/>
  <c r="CM632" i="1"/>
  <c r="CN632" i="1"/>
  <c r="CO632" i="1"/>
  <c r="CP632" i="1"/>
  <c r="CZ632" i="1"/>
  <c r="DB632" i="1"/>
  <c r="DF632" i="1"/>
  <c r="AC136" i="1"/>
  <c r="AH136" i="1"/>
  <c r="BS136" i="1"/>
  <c r="BV136" i="1"/>
  <c r="BX136" i="1"/>
  <c r="BY136" i="1"/>
  <c r="BZ136" i="1"/>
  <c r="CA136" i="1"/>
  <c r="CH136" i="1"/>
  <c r="CL136" i="1"/>
  <c r="CM136" i="1"/>
  <c r="CN136" i="1"/>
  <c r="CO136" i="1"/>
  <c r="CP136" i="1"/>
  <c r="CZ136" i="1"/>
  <c r="DB136" i="1"/>
  <c r="DF136" i="1"/>
  <c r="AC1892" i="1"/>
  <c r="AH1892" i="1"/>
  <c r="BS1892" i="1"/>
  <c r="BV1892" i="1"/>
  <c r="BX1892" i="1"/>
  <c r="BY1892" i="1"/>
  <c r="BZ1892" i="1"/>
  <c r="CH1892" i="1"/>
  <c r="CL1892" i="1"/>
  <c r="CM1892" i="1"/>
  <c r="CN1892" i="1"/>
  <c r="CP1892" i="1"/>
  <c r="CZ1892" i="1"/>
  <c r="DB1892" i="1"/>
  <c r="DF1892" i="1"/>
  <c r="AC250" i="1"/>
  <c r="AH250" i="1"/>
  <c r="BS250" i="1"/>
  <c r="BV250" i="1"/>
  <c r="BX250" i="1"/>
  <c r="BY250" i="1"/>
  <c r="BZ250" i="1"/>
  <c r="CA250" i="1"/>
  <c r="CH250" i="1"/>
  <c r="CL250" i="1"/>
  <c r="CM250" i="1"/>
  <c r="CN250" i="1"/>
  <c r="CO250" i="1"/>
  <c r="CP250" i="1"/>
  <c r="CZ250" i="1"/>
  <c r="DB250" i="1"/>
  <c r="DF250" i="1"/>
  <c r="AC2155" i="1"/>
  <c r="AH2155" i="1"/>
  <c r="BS2155" i="1"/>
  <c r="BV2155" i="1"/>
  <c r="BX2155" i="1"/>
  <c r="BY2155" i="1"/>
  <c r="BZ2155" i="1"/>
  <c r="CH2155" i="1"/>
  <c r="CL2155" i="1"/>
  <c r="CM2155" i="1"/>
  <c r="CN2155" i="1"/>
  <c r="CO2155" i="1"/>
  <c r="CP2155" i="1"/>
  <c r="CZ2155" i="1"/>
  <c r="DB2155" i="1"/>
  <c r="DF2155" i="1"/>
  <c r="AC631" i="1"/>
  <c r="AH631" i="1"/>
  <c r="BS631" i="1"/>
  <c r="BV631" i="1"/>
  <c r="BX631" i="1"/>
  <c r="BY631" i="1"/>
  <c r="BZ631" i="1"/>
  <c r="CA631" i="1"/>
  <c r="CH631" i="1"/>
  <c r="CL631" i="1"/>
  <c r="CM631" i="1"/>
  <c r="CN631" i="1"/>
  <c r="CO631" i="1"/>
  <c r="CP631" i="1"/>
  <c r="CZ631" i="1"/>
  <c r="DB631" i="1"/>
  <c r="DF631" i="1"/>
  <c r="AC131" i="1"/>
  <c r="AH131" i="1"/>
  <c r="BS131" i="1"/>
  <c r="BV131" i="1"/>
  <c r="BX131" i="1"/>
  <c r="BY131" i="1"/>
  <c r="BZ131" i="1"/>
  <c r="CA131" i="1"/>
  <c r="CH131" i="1"/>
  <c r="CL131" i="1"/>
  <c r="CM131" i="1"/>
  <c r="CN131" i="1"/>
  <c r="CO131" i="1"/>
  <c r="CP131" i="1"/>
  <c r="CZ131" i="1"/>
  <c r="DB131" i="1"/>
  <c r="DF131" i="1"/>
  <c r="AC1601" i="1"/>
  <c r="AH1601" i="1"/>
  <c r="BS1601" i="1"/>
  <c r="BV1601" i="1"/>
  <c r="BX1601" i="1"/>
  <c r="BY1601" i="1"/>
  <c r="BZ1601" i="1"/>
  <c r="CA1601" i="1"/>
  <c r="CH1601" i="1"/>
  <c r="CL1601" i="1"/>
  <c r="CM1601" i="1"/>
  <c r="CN1601" i="1"/>
  <c r="CO1601" i="1"/>
  <c r="CP1601" i="1"/>
  <c r="CZ1601" i="1"/>
  <c r="DB1601" i="1"/>
  <c r="DF1601" i="1"/>
  <c r="AC836" i="1"/>
  <c r="AH836" i="1"/>
  <c r="BS836" i="1"/>
  <c r="BV836" i="1"/>
  <c r="BX836" i="1"/>
  <c r="BY836" i="1"/>
  <c r="BZ836" i="1"/>
  <c r="CA836" i="1"/>
  <c r="CH836" i="1"/>
  <c r="CL836" i="1"/>
  <c r="CM836" i="1"/>
  <c r="CN836" i="1"/>
  <c r="CO836" i="1"/>
  <c r="CP836" i="1"/>
  <c r="CZ836" i="1"/>
  <c r="DB836" i="1"/>
  <c r="DF836" i="1"/>
  <c r="AC2050" i="1"/>
  <c r="AH2050" i="1"/>
  <c r="BS2050" i="1"/>
  <c r="BV2050" i="1"/>
  <c r="BX2050" i="1"/>
  <c r="BY2050" i="1"/>
  <c r="BZ2050" i="1"/>
  <c r="CH2050" i="1"/>
  <c r="CL2050" i="1"/>
  <c r="CM2050" i="1"/>
  <c r="CN2050" i="1"/>
  <c r="CO2050" i="1"/>
  <c r="CP2050" i="1"/>
  <c r="CZ2050" i="1"/>
  <c r="DB2050" i="1"/>
  <c r="DF2050" i="1"/>
  <c r="AC690" i="1"/>
  <c r="AH690" i="1"/>
  <c r="BS690" i="1"/>
  <c r="BV690" i="1"/>
  <c r="BX690" i="1"/>
  <c r="BY690" i="1"/>
  <c r="BZ690" i="1"/>
  <c r="CA690" i="1"/>
  <c r="CH690" i="1"/>
  <c r="CL690" i="1"/>
  <c r="CM690" i="1"/>
  <c r="CN690" i="1"/>
  <c r="CO690" i="1"/>
  <c r="CP690" i="1"/>
  <c r="CZ690" i="1"/>
  <c r="DB690" i="1"/>
  <c r="DF690" i="1"/>
  <c r="AC797" i="1"/>
  <c r="AH797" i="1"/>
  <c r="BS797" i="1"/>
  <c r="BV797" i="1"/>
  <c r="BX797" i="1"/>
  <c r="BY797" i="1"/>
  <c r="BZ797" i="1"/>
  <c r="CH797" i="1"/>
  <c r="CL797" i="1"/>
  <c r="CM797" i="1"/>
  <c r="CN797" i="1"/>
  <c r="CO797" i="1"/>
  <c r="CP797" i="1"/>
  <c r="CZ797" i="1"/>
  <c r="DB797" i="1"/>
  <c r="DF797" i="1"/>
  <c r="AC427" i="1"/>
  <c r="AH427" i="1"/>
  <c r="BS427" i="1"/>
  <c r="BV427" i="1"/>
  <c r="BX427" i="1"/>
  <c r="BY427" i="1"/>
  <c r="BZ427" i="1"/>
  <c r="CA427" i="1"/>
  <c r="CH427" i="1"/>
  <c r="CL427" i="1"/>
  <c r="CM427" i="1"/>
  <c r="CN427" i="1"/>
  <c r="CO427" i="1"/>
  <c r="CP427" i="1"/>
  <c r="CZ427" i="1"/>
  <c r="DB427" i="1"/>
  <c r="DF427" i="1"/>
  <c r="AC883" i="1"/>
  <c r="AH883" i="1"/>
  <c r="BS883" i="1"/>
  <c r="BV883" i="1"/>
  <c r="BX883" i="1"/>
  <c r="BY883" i="1"/>
  <c r="BZ883" i="1"/>
  <c r="CA883" i="1"/>
  <c r="CH883" i="1"/>
  <c r="CL883" i="1"/>
  <c r="CM883" i="1"/>
  <c r="CN883" i="1"/>
  <c r="CO883" i="1"/>
  <c r="CP883" i="1"/>
  <c r="CZ883" i="1"/>
  <c r="DB883" i="1"/>
  <c r="DF883" i="1"/>
  <c r="AC1532" i="1"/>
  <c r="AH1532" i="1"/>
  <c r="BS1532" i="1"/>
  <c r="BV1532" i="1"/>
  <c r="BX1532" i="1"/>
  <c r="BY1532" i="1"/>
  <c r="BZ1532" i="1"/>
  <c r="CA1532" i="1"/>
  <c r="CH1532" i="1"/>
  <c r="CL1532" i="1"/>
  <c r="CM1532" i="1"/>
  <c r="CN1532" i="1"/>
  <c r="CP1532" i="1"/>
  <c r="CZ1532" i="1"/>
  <c r="DB1532" i="1"/>
  <c r="DF1532" i="1"/>
  <c r="AC1560" i="1"/>
  <c r="AH1560" i="1"/>
  <c r="BS1560" i="1"/>
  <c r="BV1560" i="1"/>
  <c r="BX1560" i="1"/>
  <c r="BY1560" i="1"/>
  <c r="BZ1560" i="1"/>
  <c r="CA1560" i="1"/>
  <c r="CH1560" i="1"/>
  <c r="CL1560" i="1"/>
  <c r="CM1560" i="1"/>
  <c r="CN1560" i="1"/>
  <c r="CO1560" i="1"/>
  <c r="CP1560" i="1"/>
  <c r="CZ1560" i="1"/>
  <c r="DB1560" i="1"/>
  <c r="DF1560" i="1"/>
  <c r="AC1063" i="1"/>
  <c r="AH1063" i="1"/>
  <c r="BS1063" i="1"/>
  <c r="BV1063" i="1"/>
  <c r="BX1063" i="1"/>
  <c r="BY1063" i="1"/>
  <c r="BZ1063" i="1"/>
  <c r="CA1063" i="1"/>
  <c r="CH1063" i="1"/>
  <c r="CL1063" i="1"/>
  <c r="CM1063" i="1"/>
  <c r="CN1063" i="1"/>
  <c r="CO1063" i="1"/>
  <c r="CP1063" i="1"/>
  <c r="CZ1063" i="1"/>
  <c r="DB1063" i="1"/>
  <c r="DF1063" i="1"/>
  <c r="AC1677" i="1"/>
  <c r="AH1677" i="1"/>
  <c r="BS1677" i="1"/>
  <c r="BV1677" i="1"/>
  <c r="BX1677" i="1"/>
  <c r="BY1677" i="1"/>
  <c r="BZ1677" i="1"/>
  <c r="CA1677" i="1"/>
  <c r="CH1677" i="1"/>
  <c r="CL1677" i="1"/>
  <c r="CM1677" i="1"/>
  <c r="CN1677" i="1"/>
  <c r="CP1677" i="1"/>
  <c r="CZ1677" i="1"/>
  <c r="DB1677" i="1"/>
  <c r="DF1677" i="1"/>
  <c r="AC813" i="1"/>
  <c r="AH813" i="1"/>
  <c r="BS813" i="1"/>
  <c r="BV813" i="1"/>
  <c r="BX813" i="1"/>
  <c r="BY813" i="1"/>
  <c r="BZ813" i="1"/>
  <c r="CH813" i="1"/>
  <c r="CL813" i="1"/>
  <c r="CM813" i="1"/>
  <c r="CN813" i="1"/>
  <c r="CO813" i="1"/>
  <c r="CP813" i="1"/>
  <c r="CZ813" i="1"/>
  <c r="DB813" i="1"/>
  <c r="DF813" i="1"/>
  <c r="AC152" i="1"/>
  <c r="AH152" i="1"/>
  <c r="BS152" i="1"/>
  <c r="BV152" i="1"/>
  <c r="BX152" i="1"/>
  <c r="BY152" i="1"/>
  <c r="BZ152" i="1"/>
  <c r="CA152" i="1"/>
  <c r="CH152" i="1"/>
  <c r="CL152" i="1"/>
  <c r="CM152" i="1"/>
  <c r="CN152" i="1"/>
  <c r="CO152" i="1"/>
  <c r="CP152" i="1"/>
  <c r="CZ152" i="1"/>
  <c r="DB152" i="1"/>
  <c r="DF152" i="1"/>
  <c r="AC606" i="1"/>
  <c r="AH606" i="1"/>
  <c r="BS606" i="1"/>
  <c r="BV606" i="1"/>
  <c r="BX606" i="1"/>
  <c r="BY606" i="1"/>
  <c r="BZ606" i="1"/>
  <c r="CA606" i="1"/>
  <c r="CH606" i="1"/>
  <c r="CL606" i="1"/>
  <c r="CM606" i="1"/>
  <c r="CN606" i="1"/>
  <c r="CO606" i="1"/>
  <c r="CP606" i="1"/>
  <c r="CZ606" i="1"/>
  <c r="DB606" i="1"/>
  <c r="DF606" i="1"/>
  <c r="AC1186" i="1"/>
  <c r="AH1186" i="1"/>
  <c r="BS1186" i="1"/>
  <c r="BV1186" i="1"/>
  <c r="BX1186" i="1"/>
  <c r="BY1186" i="1"/>
  <c r="BZ1186" i="1"/>
  <c r="CH1186" i="1"/>
  <c r="CL1186" i="1"/>
  <c r="CM1186" i="1"/>
  <c r="CN1186" i="1"/>
  <c r="CO1186" i="1"/>
  <c r="CP1186" i="1"/>
  <c r="CZ1186" i="1"/>
  <c r="DB1186" i="1"/>
  <c r="DF1186" i="1"/>
  <c r="AC150" i="1"/>
  <c r="AH150" i="1"/>
  <c r="BS150" i="1"/>
  <c r="BV150" i="1"/>
  <c r="BX150" i="1"/>
  <c r="BY150" i="1"/>
  <c r="BZ150" i="1"/>
  <c r="CA150" i="1"/>
  <c r="CH150" i="1"/>
  <c r="CL150" i="1"/>
  <c r="CM150" i="1"/>
  <c r="CN150" i="1"/>
  <c r="CO150" i="1"/>
  <c r="CP150" i="1"/>
  <c r="CZ150" i="1"/>
  <c r="DB150" i="1"/>
  <c r="DF150" i="1"/>
  <c r="AC360" i="1"/>
  <c r="AH360" i="1"/>
  <c r="BS360" i="1"/>
  <c r="BV360" i="1"/>
  <c r="BX360" i="1"/>
  <c r="BY360" i="1"/>
  <c r="BZ360" i="1"/>
  <c r="CH360" i="1"/>
  <c r="CL360" i="1"/>
  <c r="CM360" i="1"/>
  <c r="CN360" i="1"/>
  <c r="CO360" i="1"/>
  <c r="CP360" i="1"/>
  <c r="CZ360" i="1"/>
  <c r="DB360" i="1"/>
  <c r="DF360" i="1"/>
  <c r="AC1245" i="1"/>
  <c r="AH1245" i="1"/>
  <c r="BS1245" i="1"/>
  <c r="BV1245" i="1"/>
  <c r="BX1245" i="1"/>
  <c r="BY1245" i="1"/>
  <c r="BZ1245" i="1"/>
  <c r="CA1245" i="1"/>
  <c r="CH1245" i="1"/>
  <c r="CL1245" i="1"/>
  <c r="CM1245" i="1"/>
  <c r="CN1245" i="1"/>
  <c r="CO1245" i="1"/>
  <c r="CP1245" i="1"/>
  <c r="CZ1245" i="1"/>
  <c r="DB1245" i="1"/>
  <c r="DF1245" i="1"/>
  <c r="AC847" i="1"/>
  <c r="AH847" i="1"/>
  <c r="BS847" i="1"/>
  <c r="BV847" i="1"/>
  <c r="BX847" i="1"/>
  <c r="BY847" i="1"/>
  <c r="BZ847" i="1"/>
  <c r="CA847" i="1"/>
  <c r="CH847" i="1"/>
  <c r="CL847" i="1"/>
  <c r="CM847" i="1"/>
  <c r="CN847" i="1"/>
  <c r="CO847" i="1"/>
  <c r="CP847" i="1"/>
  <c r="CZ847" i="1"/>
  <c r="DB847" i="1"/>
  <c r="DF847" i="1"/>
  <c r="AC336" i="1"/>
  <c r="AH336" i="1"/>
  <c r="BS336" i="1"/>
  <c r="BV336" i="1"/>
  <c r="BX336" i="1"/>
  <c r="BY336" i="1"/>
  <c r="BZ336" i="1"/>
  <c r="CH336" i="1"/>
  <c r="CL336" i="1"/>
  <c r="CM336" i="1"/>
  <c r="CN336" i="1"/>
  <c r="CO336" i="1"/>
  <c r="CP336" i="1"/>
  <c r="CZ336" i="1"/>
  <c r="DB336" i="1"/>
  <c r="DF336" i="1"/>
  <c r="AC262" i="1"/>
  <c r="AH262" i="1"/>
  <c r="BS262" i="1"/>
  <c r="BV262" i="1"/>
  <c r="BX262" i="1"/>
  <c r="BY262" i="1"/>
  <c r="BZ262" i="1"/>
  <c r="CH262" i="1"/>
  <c r="CL262" i="1"/>
  <c r="CM262" i="1"/>
  <c r="CN262" i="1"/>
  <c r="CO262" i="1"/>
  <c r="CP262" i="1"/>
  <c r="CZ262" i="1"/>
  <c r="DB262" i="1"/>
  <c r="DF262" i="1"/>
  <c r="AC762" i="1"/>
  <c r="AH762" i="1"/>
  <c r="BS762" i="1"/>
  <c r="BV762" i="1"/>
  <c r="BX762" i="1"/>
  <c r="BY762" i="1"/>
  <c r="BZ762" i="1"/>
  <c r="CA762" i="1"/>
  <c r="CH762" i="1"/>
  <c r="CL762" i="1"/>
  <c r="CM762" i="1"/>
  <c r="CN762" i="1"/>
  <c r="CO762" i="1"/>
  <c r="CP762" i="1"/>
  <c r="CZ762" i="1"/>
  <c r="DB762" i="1"/>
  <c r="DF762" i="1"/>
  <c r="AC1668" i="1"/>
  <c r="AH1668" i="1"/>
  <c r="BS1668" i="1"/>
  <c r="BV1668" i="1"/>
  <c r="BX1668" i="1"/>
  <c r="BY1668" i="1"/>
  <c r="BZ1668" i="1"/>
  <c r="CA1668" i="1"/>
  <c r="CH1668" i="1"/>
  <c r="CL1668" i="1"/>
  <c r="CM1668" i="1"/>
  <c r="CN1668" i="1"/>
  <c r="CP1668" i="1"/>
  <c r="CZ1668" i="1"/>
  <c r="DB1668" i="1"/>
  <c r="DF1668" i="1"/>
  <c r="AC808" i="1"/>
  <c r="AH808" i="1"/>
  <c r="BS808" i="1"/>
  <c r="BV808" i="1"/>
  <c r="BX808" i="1"/>
  <c r="BY808" i="1"/>
  <c r="BZ808" i="1"/>
  <c r="CH808" i="1"/>
  <c r="CL808" i="1"/>
  <c r="CM808" i="1"/>
  <c r="CN808" i="1"/>
  <c r="CO808" i="1"/>
  <c r="CP808" i="1"/>
  <c r="CZ808" i="1"/>
  <c r="DB808" i="1"/>
  <c r="DF808" i="1"/>
  <c r="AC1413" i="1"/>
  <c r="AH1413" i="1"/>
  <c r="BS1413" i="1"/>
  <c r="BV1413" i="1"/>
  <c r="BX1413" i="1"/>
  <c r="BY1413" i="1"/>
  <c r="BZ1413" i="1"/>
  <c r="CA1413" i="1"/>
  <c r="CH1413" i="1"/>
  <c r="CL1413" i="1"/>
  <c r="CM1413" i="1"/>
  <c r="CN1413" i="1"/>
  <c r="CO1413" i="1"/>
  <c r="CP1413" i="1"/>
  <c r="CZ1413" i="1"/>
  <c r="DB1413" i="1"/>
  <c r="DF1413" i="1"/>
  <c r="AC768" i="1"/>
  <c r="AH768" i="1"/>
  <c r="BS768" i="1"/>
  <c r="BV768" i="1"/>
  <c r="BX768" i="1"/>
  <c r="BY768" i="1"/>
  <c r="BZ768" i="1"/>
  <c r="CA768" i="1"/>
  <c r="CH768" i="1"/>
  <c r="CL768" i="1"/>
  <c r="CM768" i="1"/>
  <c r="CN768" i="1"/>
  <c r="CO768" i="1"/>
  <c r="CP768" i="1"/>
  <c r="CZ768" i="1"/>
  <c r="DB768" i="1"/>
  <c r="DF768" i="1"/>
  <c r="AC1495" i="1"/>
  <c r="AH1495" i="1"/>
  <c r="BS1495" i="1"/>
  <c r="BV1495" i="1"/>
  <c r="BX1495" i="1"/>
  <c r="BY1495" i="1"/>
  <c r="BZ1495" i="1"/>
  <c r="CA1495" i="1"/>
  <c r="CH1495" i="1"/>
  <c r="CL1495" i="1"/>
  <c r="CM1495" i="1"/>
  <c r="CN1495" i="1"/>
  <c r="CO1495" i="1"/>
  <c r="CP1495" i="1"/>
  <c r="CZ1495" i="1"/>
  <c r="DB1495" i="1"/>
  <c r="DF1495" i="1"/>
  <c r="AC1961" i="1"/>
  <c r="AH1961" i="1"/>
  <c r="BS1961" i="1"/>
  <c r="BV1961" i="1"/>
  <c r="BX1961" i="1"/>
  <c r="BY1961" i="1"/>
  <c r="BZ1961" i="1"/>
  <c r="CH1961" i="1"/>
  <c r="CL1961" i="1"/>
  <c r="CM1961" i="1"/>
  <c r="CN1961" i="1"/>
  <c r="CO1961" i="1"/>
  <c r="CP1961" i="1"/>
  <c r="CZ1961" i="1"/>
  <c r="DB1961" i="1"/>
  <c r="DF1961" i="1"/>
  <c r="AC1747" i="1"/>
  <c r="AH1747" i="1"/>
  <c r="BS1747" i="1"/>
  <c r="BV1747" i="1"/>
  <c r="BX1747" i="1"/>
  <c r="BY1747" i="1"/>
  <c r="BZ1747" i="1"/>
  <c r="CA1747" i="1"/>
  <c r="CH1747" i="1"/>
  <c r="CL1747" i="1"/>
  <c r="CM1747" i="1"/>
  <c r="CN1747" i="1"/>
  <c r="CO1747" i="1"/>
  <c r="CP1747" i="1"/>
  <c r="CZ1747" i="1"/>
  <c r="DB1747" i="1"/>
  <c r="DF1747" i="1"/>
  <c r="AC562" i="1"/>
  <c r="AH562" i="1"/>
  <c r="BS562" i="1"/>
  <c r="BV562" i="1"/>
  <c r="BX562" i="1"/>
  <c r="BY562" i="1"/>
  <c r="BZ562" i="1"/>
  <c r="CA562" i="1"/>
  <c r="CH562" i="1"/>
  <c r="CL562" i="1"/>
  <c r="CM562" i="1"/>
  <c r="CN562" i="1"/>
  <c r="CO562" i="1"/>
  <c r="CP562" i="1"/>
  <c r="CZ562" i="1"/>
  <c r="DB562" i="1"/>
  <c r="DF562" i="1"/>
  <c r="AC142" i="1"/>
  <c r="AH142" i="1"/>
  <c r="BS142" i="1"/>
  <c r="BV142" i="1"/>
  <c r="BX142" i="1"/>
  <c r="BY142" i="1"/>
  <c r="BZ142" i="1"/>
  <c r="CA142" i="1"/>
  <c r="CH142" i="1"/>
  <c r="CL142" i="1"/>
  <c r="CM142" i="1"/>
  <c r="CN142" i="1"/>
  <c r="CO142" i="1"/>
  <c r="CP142" i="1"/>
  <c r="CZ142" i="1"/>
  <c r="DB142" i="1"/>
  <c r="DF142" i="1"/>
  <c r="AC1203" i="1"/>
  <c r="AH1203" i="1"/>
  <c r="BS1203" i="1"/>
  <c r="BV1203" i="1"/>
  <c r="BX1203" i="1"/>
  <c r="BY1203" i="1"/>
  <c r="BZ1203" i="1"/>
  <c r="CH1203" i="1"/>
  <c r="CL1203" i="1"/>
  <c r="CM1203" i="1"/>
  <c r="CN1203" i="1"/>
  <c r="CO1203" i="1"/>
  <c r="CP1203" i="1"/>
  <c r="CZ1203" i="1"/>
  <c r="DB1203" i="1"/>
  <c r="DF1203" i="1"/>
  <c r="AC1698" i="1"/>
  <c r="AH1698" i="1"/>
  <c r="BS1698" i="1"/>
  <c r="BV1698" i="1"/>
  <c r="BX1698" i="1"/>
  <c r="BY1698" i="1"/>
  <c r="BZ1698" i="1"/>
  <c r="CH1698" i="1"/>
  <c r="CL1698" i="1"/>
  <c r="CM1698" i="1"/>
  <c r="CN1698" i="1"/>
  <c r="CO1698" i="1"/>
  <c r="CP1698" i="1"/>
  <c r="CZ1698" i="1"/>
  <c r="DB1698" i="1"/>
  <c r="DF1698" i="1"/>
  <c r="AC1493" i="1"/>
  <c r="AH1493" i="1"/>
  <c r="BS1493" i="1"/>
  <c r="BV1493" i="1"/>
  <c r="BX1493" i="1"/>
  <c r="BY1493" i="1"/>
  <c r="BZ1493" i="1"/>
  <c r="CA1493" i="1"/>
  <c r="CH1493" i="1"/>
  <c r="CL1493" i="1"/>
  <c r="CM1493" i="1"/>
  <c r="CN1493" i="1"/>
  <c r="CO1493" i="1"/>
  <c r="CP1493" i="1"/>
  <c r="CZ1493" i="1"/>
  <c r="DB1493" i="1"/>
  <c r="DF1493" i="1"/>
  <c r="AC181" i="1"/>
  <c r="AH181" i="1"/>
  <c r="BS181" i="1"/>
  <c r="BV181" i="1"/>
  <c r="BX181" i="1"/>
  <c r="BY181" i="1"/>
  <c r="BZ181" i="1"/>
  <c r="CH181" i="1"/>
  <c r="CL181" i="1"/>
  <c r="CM181" i="1"/>
  <c r="CN181" i="1"/>
  <c r="CO181" i="1"/>
  <c r="CP181" i="1"/>
  <c r="CZ181" i="1"/>
  <c r="DB181" i="1"/>
  <c r="DF181" i="1"/>
  <c r="AC616" i="1"/>
  <c r="AH616" i="1"/>
  <c r="BS616" i="1"/>
  <c r="BV616" i="1"/>
  <c r="BX616" i="1"/>
  <c r="BY616" i="1"/>
  <c r="BZ616" i="1"/>
  <c r="CA616" i="1"/>
  <c r="CH616" i="1"/>
  <c r="CL616" i="1"/>
  <c r="CM616" i="1"/>
  <c r="CN616" i="1"/>
  <c r="CO616" i="1"/>
  <c r="CP616" i="1"/>
  <c r="CZ616" i="1"/>
  <c r="DB616" i="1"/>
  <c r="DF616" i="1"/>
  <c r="AC267" i="1"/>
  <c r="AH267" i="1"/>
  <c r="BS267" i="1"/>
  <c r="BV267" i="1"/>
  <c r="BX267" i="1"/>
  <c r="BY267" i="1"/>
  <c r="BZ267" i="1"/>
  <c r="CA267" i="1"/>
  <c r="CH267" i="1"/>
  <c r="CL267" i="1"/>
  <c r="CM267" i="1"/>
  <c r="CN267" i="1"/>
  <c r="CO267" i="1"/>
  <c r="CP267" i="1"/>
  <c r="CZ267" i="1"/>
  <c r="DB267" i="1"/>
  <c r="DF267" i="1"/>
  <c r="AC1895" i="1"/>
  <c r="AH1895" i="1"/>
  <c r="BS1895" i="1"/>
  <c r="BV1895" i="1"/>
  <c r="BX1895" i="1"/>
  <c r="BY1895" i="1"/>
  <c r="BZ1895" i="1"/>
  <c r="CH1895" i="1"/>
  <c r="CL1895" i="1"/>
  <c r="CM1895" i="1"/>
  <c r="CN1895" i="1"/>
  <c r="CO1895" i="1"/>
  <c r="CP1895" i="1"/>
  <c r="CZ1895" i="1"/>
  <c r="DB1895" i="1"/>
  <c r="DF1895" i="1"/>
  <c r="AC1541" i="1"/>
  <c r="AH1541" i="1"/>
  <c r="BS1541" i="1"/>
  <c r="BV1541" i="1"/>
  <c r="BX1541" i="1"/>
  <c r="BY1541" i="1"/>
  <c r="BZ1541" i="1"/>
  <c r="CH1541" i="1"/>
  <c r="CL1541" i="1"/>
  <c r="CM1541" i="1"/>
  <c r="CN1541" i="1"/>
  <c r="CO1541" i="1"/>
  <c r="CP1541" i="1"/>
  <c r="CZ1541" i="1"/>
  <c r="DB1541" i="1"/>
  <c r="DF1541" i="1"/>
  <c r="AC2274" i="1"/>
  <c r="AH2274" i="1"/>
  <c r="BS2274" i="1"/>
  <c r="BV2274" i="1"/>
  <c r="BX2274" i="1"/>
  <c r="BY2274" i="1"/>
  <c r="BZ2274" i="1"/>
  <c r="CA2274" i="1"/>
  <c r="CH2274" i="1"/>
  <c r="CL2274" i="1"/>
  <c r="CM2274" i="1"/>
  <c r="CN2274" i="1"/>
  <c r="CO2274" i="1"/>
  <c r="CP2274" i="1"/>
  <c r="CZ2274" i="1"/>
  <c r="DB2274" i="1"/>
  <c r="DF2274" i="1"/>
  <c r="AC727" i="1"/>
  <c r="AH727" i="1"/>
  <c r="BS727" i="1"/>
  <c r="BV727" i="1"/>
  <c r="BX727" i="1"/>
  <c r="BY727" i="1"/>
  <c r="BZ727" i="1"/>
  <c r="CA727" i="1"/>
  <c r="CH727" i="1"/>
  <c r="CL727" i="1"/>
  <c r="CM727" i="1"/>
  <c r="CN727" i="1"/>
  <c r="CO727" i="1"/>
  <c r="CP727" i="1"/>
  <c r="CZ727" i="1"/>
  <c r="DB727" i="1"/>
  <c r="DF727" i="1"/>
  <c r="AC1353" i="1"/>
  <c r="AH1353" i="1"/>
  <c r="BS1353" i="1"/>
  <c r="BV1353" i="1"/>
  <c r="BX1353" i="1"/>
  <c r="BY1353" i="1"/>
  <c r="BZ1353" i="1"/>
  <c r="CH1353" i="1"/>
  <c r="CL1353" i="1"/>
  <c r="CM1353" i="1"/>
  <c r="CN1353" i="1"/>
  <c r="CO1353" i="1"/>
  <c r="CP1353" i="1"/>
  <c r="CZ1353" i="1"/>
  <c r="DB1353" i="1"/>
  <c r="DF1353" i="1"/>
  <c r="AC1454" i="1"/>
  <c r="AH1454" i="1"/>
  <c r="BS1454" i="1"/>
  <c r="BV1454" i="1"/>
  <c r="BX1454" i="1"/>
  <c r="BY1454" i="1"/>
  <c r="BZ1454" i="1"/>
  <c r="CA1454" i="1"/>
  <c r="CH1454" i="1"/>
  <c r="CL1454" i="1"/>
  <c r="CM1454" i="1"/>
  <c r="CN1454" i="1"/>
  <c r="CO1454" i="1"/>
  <c r="CP1454" i="1"/>
  <c r="CZ1454" i="1"/>
  <c r="DB1454" i="1"/>
  <c r="DF1454" i="1"/>
  <c r="AC884" i="1"/>
  <c r="AH884" i="1"/>
  <c r="BS884" i="1"/>
  <c r="BV884" i="1"/>
  <c r="BX884" i="1"/>
  <c r="BY884" i="1"/>
  <c r="BZ884" i="1"/>
  <c r="CH884" i="1"/>
  <c r="CL884" i="1"/>
  <c r="CM884" i="1"/>
  <c r="CN884" i="1"/>
  <c r="CO884" i="1"/>
  <c r="CP884" i="1"/>
  <c r="CZ884" i="1"/>
  <c r="DB884" i="1"/>
  <c r="DF884" i="1"/>
  <c r="AC2075" i="1"/>
  <c r="AH2075" i="1"/>
  <c r="BS2075" i="1"/>
  <c r="BV2075" i="1"/>
  <c r="BX2075" i="1"/>
  <c r="BY2075" i="1"/>
  <c r="BZ2075" i="1"/>
  <c r="CH2075" i="1"/>
  <c r="CL2075" i="1"/>
  <c r="CM2075" i="1"/>
  <c r="CN2075" i="1"/>
  <c r="CO2075" i="1"/>
  <c r="CP2075" i="1"/>
  <c r="CZ2075" i="1"/>
  <c r="DB2075" i="1"/>
  <c r="DF2075" i="1"/>
  <c r="AC929" i="1"/>
  <c r="AH929" i="1"/>
  <c r="BS929" i="1"/>
  <c r="BV929" i="1"/>
  <c r="BX929" i="1"/>
  <c r="BY929" i="1"/>
  <c r="BZ929" i="1"/>
  <c r="CA929" i="1"/>
  <c r="CH929" i="1"/>
  <c r="CL929" i="1"/>
  <c r="CM929" i="1"/>
  <c r="CN929" i="1"/>
  <c r="CO929" i="1"/>
  <c r="CP929" i="1"/>
  <c r="CZ929" i="1"/>
  <c r="DB929" i="1"/>
  <c r="DF929" i="1"/>
  <c r="AC851" i="1"/>
  <c r="AH851" i="1"/>
  <c r="BS851" i="1"/>
  <c r="BV851" i="1"/>
  <c r="BX851" i="1"/>
  <c r="BY851" i="1"/>
  <c r="BZ851" i="1"/>
  <c r="CA851" i="1"/>
  <c r="CH851" i="1"/>
  <c r="CL851" i="1"/>
  <c r="CM851" i="1"/>
  <c r="CN851" i="1"/>
  <c r="CO851" i="1"/>
  <c r="CP851" i="1"/>
  <c r="CZ851" i="1"/>
  <c r="DB851" i="1"/>
  <c r="DF851" i="1"/>
  <c r="AC74" i="1"/>
  <c r="AH74" i="1"/>
  <c r="BS74" i="1"/>
  <c r="BV74" i="1"/>
  <c r="BX74" i="1"/>
  <c r="BY74" i="1"/>
  <c r="BZ74" i="1"/>
  <c r="CA74" i="1"/>
  <c r="CH74" i="1"/>
  <c r="CL74" i="1"/>
  <c r="CM74" i="1"/>
  <c r="CN74" i="1"/>
  <c r="CO74" i="1"/>
  <c r="CP74" i="1"/>
  <c r="CZ74" i="1"/>
  <c r="DB74" i="1"/>
  <c r="DF74" i="1"/>
  <c r="AC392" i="1"/>
  <c r="AH392" i="1"/>
  <c r="BS392" i="1"/>
  <c r="BV392" i="1"/>
  <c r="BX392" i="1"/>
  <c r="BY392" i="1"/>
  <c r="BZ392" i="1"/>
  <c r="CH392" i="1"/>
  <c r="CL392" i="1"/>
  <c r="CM392" i="1"/>
  <c r="CN392" i="1"/>
  <c r="CO392" i="1"/>
  <c r="CP392" i="1"/>
  <c r="CZ392" i="1"/>
  <c r="DB392" i="1"/>
  <c r="DF392" i="1"/>
  <c r="AC1568" i="1"/>
  <c r="AH1568" i="1"/>
  <c r="BS1568" i="1"/>
  <c r="BV1568" i="1"/>
  <c r="BX1568" i="1"/>
  <c r="BY1568" i="1"/>
  <c r="BZ1568" i="1"/>
  <c r="CA1568" i="1"/>
  <c r="CH1568" i="1"/>
  <c r="CL1568" i="1"/>
  <c r="CM1568" i="1"/>
  <c r="CN1568" i="1"/>
  <c r="CO1568" i="1"/>
  <c r="CP1568" i="1"/>
  <c r="CZ1568" i="1"/>
  <c r="DB1568" i="1"/>
  <c r="DF1568" i="1"/>
  <c r="AC905" i="1"/>
  <c r="AH905" i="1"/>
  <c r="BS905" i="1"/>
  <c r="BV905" i="1"/>
  <c r="BX905" i="1"/>
  <c r="BY905" i="1"/>
  <c r="BZ905" i="1"/>
  <c r="CA905" i="1"/>
  <c r="CH905" i="1"/>
  <c r="CL905" i="1"/>
  <c r="CM905" i="1"/>
  <c r="CN905" i="1"/>
  <c r="CO905" i="1"/>
  <c r="CP905" i="1"/>
  <c r="CZ905" i="1"/>
  <c r="DB905" i="1"/>
  <c r="DF905" i="1"/>
  <c r="AC194" i="1"/>
  <c r="AH194" i="1"/>
  <c r="BS194" i="1"/>
  <c r="BV194" i="1"/>
  <c r="BX194" i="1"/>
  <c r="BY194" i="1"/>
  <c r="BZ194" i="1"/>
  <c r="CA194" i="1"/>
  <c r="CH194" i="1"/>
  <c r="CL194" i="1"/>
  <c r="CM194" i="1"/>
  <c r="CN194" i="1"/>
  <c r="CO194" i="1"/>
  <c r="CP194" i="1"/>
  <c r="CZ194" i="1"/>
  <c r="DB194" i="1"/>
  <c r="DF194" i="1"/>
  <c r="AC26" i="1"/>
  <c r="AH26" i="1"/>
  <c r="BS26" i="1"/>
  <c r="BV26" i="1"/>
  <c r="BX26" i="1"/>
  <c r="BY26" i="1"/>
  <c r="BZ26" i="1"/>
  <c r="CA26" i="1"/>
  <c r="CH26" i="1"/>
  <c r="CL26" i="1"/>
  <c r="CM26" i="1"/>
  <c r="CN26" i="1"/>
  <c r="CO26" i="1"/>
  <c r="CP26" i="1"/>
  <c r="CZ26" i="1"/>
  <c r="DB26" i="1"/>
  <c r="DF26" i="1"/>
  <c r="AC225" i="1"/>
  <c r="AH225" i="1"/>
  <c r="BS225" i="1"/>
  <c r="BV225" i="1"/>
  <c r="BX225" i="1"/>
  <c r="BY225" i="1"/>
  <c r="BZ225" i="1"/>
  <c r="CH225" i="1"/>
  <c r="CL225" i="1"/>
  <c r="CM225" i="1"/>
  <c r="CN225" i="1"/>
  <c r="CO225" i="1"/>
  <c r="CP225" i="1"/>
  <c r="CZ225" i="1"/>
  <c r="DB225" i="1"/>
  <c r="DF225" i="1"/>
  <c r="AC1225" i="1"/>
  <c r="AH1225" i="1"/>
  <c r="BS1225" i="1"/>
  <c r="BV1225" i="1"/>
  <c r="BX1225" i="1"/>
  <c r="BY1225" i="1"/>
  <c r="BZ1225" i="1"/>
  <c r="CH1225" i="1"/>
  <c r="CL1225" i="1"/>
  <c r="CM1225" i="1"/>
  <c r="CN1225" i="1"/>
  <c r="CO1225" i="1"/>
  <c r="CP1225" i="1"/>
  <c r="CZ1225" i="1"/>
  <c r="DB1225" i="1"/>
  <c r="DF1225" i="1"/>
  <c r="AC338" i="1"/>
  <c r="AH338" i="1"/>
  <c r="BS338" i="1"/>
  <c r="BV338" i="1"/>
  <c r="BX338" i="1"/>
  <c r="BY338" i="1"/>
  <c r="BZ338" i="1"/>
  <c r="CH338" i="1"/>
  <c r="CL338" i="1"/>
  <c r="CM338" i="1"/>
  <c r="CN338" i="1"/>
  <c r="CO338" i="1"/>
  <c r="CP338" i="1"/>
  <c r="CZ338" i="1"/>
  <c r="DB338" i="1"/>
  <c r="DF338" i="1"/>
  <c r="AC176" i="1"/>
  <c r="AH176" i="1"/>
  <c r="BS176" i="1"/>
  <c r="BV176" i="1"/>
  <c r="BX176" i="1"/>
  <c r="BY176" i="1"/>
  <c r="BZ176" i="1"/>
  <c r="CA176" i="1"/>
  <c r="CH176" i="1"/>
  <c r="CL176" i="1"/>
  <c r="CM176" i="1"/>
  <c r="CN176" i="1"/>
  <c r="CO176" i="1"/>
  <c r="CP176" i="1"/>
  <c r="CZ176" i="1"/>
  <c r="DB176" i="1"/>
  <c r="DF176" i="1"/>
  <c r="AC202" i="1"/>
  <c r="AH202" i="1"/>
  <c r="BS202" i="1"/>
  <c r="BV202" i="1"/>
  <c r="BX202" i="1"/>
  <c r="BY202" i="1"/>
  <c r="BZ202" i="1"/>
  <c r="CA202" i="1"/>
  <c r="CH202" i="1"/>
  <c r="CL202" i="1"/>
  <c r="CM202" i="1"/>
  <c r="CN202" i="1"/>
  <c r="CO202" i="1"/>
  <c r="CP202" i="1"/>
  <c r="CZ202" i="1"/>
  <c r="DB202" i="1"/>
  <c r="DF202" i="1"/>
  <c r="AC172" i="1"/>
  <c r="AH172" i="1"/>
  <c r="BS172" i="1"/>
  <c r="BV172" i="1"/>
  <c r="BX172" i="1"/>
  <c r="BY172" i="1"/>
  <c r="BZ172" i="1"/>
  <c r="CA172" i="1"/>
  <c r="CH172" i="1"/>
  <c r="CL172" i="1"/>
  <c r="CM172" i="1"/>
  <c r="CN172" i="1"/>
  <c r="CO172" i="1"/>
  <c r="CP172" i="1"/>
  <c r="CZ172" i="1"/>
  <c r="DB172" i="1"/>
  <c r="DF172" i="1"/>
  <c r="AC528" i="1"/>
  <c r="AH528" i="1"/>
  <c r="BS528" i="1"/>
  <c r="BV528" i="1"/>
  <c r="BX528" i="1"/>
  <c r="BY528" i="1"/>
  <c r="BZ528" i="1"/>
  <c r="CH528" i="1"/>
  <c r="CL528" i="1"/>
  <c r="CM528" i="1"/>
  <c r="CN528" i="1"/>
  <c r="CO528" i="1"/>
  <c r="CP528" i="1"/>
  <c r="CZ528" i="1"/>
  <c r="DB528" i="1"/>
  <c r="DF528" i="1"/>
  <c r="AC412" i="1"/>
  <c r="AH412" i="1"/>
  <c r="BS412" i="1"/>
  <c r="BV412" i="1"/>
  <c r="BX412" i="1"/>
  <c r="BY412" i="1"/>
  <c r="BZ412" i="1"/>
  <c r="CA412" i="1"/>
  <c r="CH412" i="1"/>
  <c r="CL412" i="1"/>
  <c r="CM412" i="1"/>
  <c r="CN412" i="1"/>
  <c r="CO412" i="1"/>
  <c r="CP412" i="1"/>
  <c r="CZ412" i="1"/>
  <c r="DB412" i="1"/>
  <c r="DF412" i="1"/>
  <c r="AC684" i="1"/>
  <c r="AH684" i="1"/>
  <c r="BS684" i="1"/>
  <c r="BV684" i="1"/>
  <c r="BX684" i="1"/>
  <c r="BY684" i="1"/>
  <c r="BZ684" i="1"/>
  <c r="CA684" i="1"/>
  <c r="CH684" i="1"/>
  <c r="CL684" i="1"/>
  <c r="CM684" i="1"/>
  <c r="CN684" i="1"/>
  <c r="CO684" i="1"/>
  <c r="CP684" i="1"/>
  <c r="CZ684" i="1"/>
  <c r="DB684" i="1"/>
  <c r="DF684" i="1"/>
  <c r="AC403" i="1"/>
  <c r="AH403" i="1"/>
  <c r="BS403" i="1"/>
  <c r="BV403" i="1"/>
  <c r="BX403" i="1"/>
  <c r="BY403" i="1"/>
  <c r="BZ403" i="1"/>
  <c r="CH403" i="1"/>
  <c r="CL403" i="1"/>
  <c r="CM403" i="1"/>
  <c r="CN403" i="1"/>
  <c r="CO403" i="1"/>
  <c r="CP403" i="1"/>
  <c r="CZ403" i="1"/>
  <c r="DB403" i="1"/>
  <c r="DF403" i="1"/>
  <c r="AC1649" i="1"/>
  <c r="AH1649" i="1"/>
  <c r="BS1649" i="1"/>
  <c r="BV1649" i="1"/>
  <c r="BX1649" i="1"/>
  <c r="BY1649" i="1"/>
  <c r="BZ1649" i="1"/>
  <c r="CH1649" i="1"/>
  <c r="CL1649" i="1"/>
  <c r="CM1649" i="1"/>
  <c r="CN1649" i="1"/>
  <c r="CO1649" i="1"/>
  <c r="CP1649" i="1"/>
  <c r="CZ1649" i="1"/>
  <c r="DB1649" i="1"/>
  <c r="DF1649" i="1"/>
  <c r="AC1565" i="1"/>
  <c r="AH1565" i="1"/>
  <c r="BS1565" i="1"/>
  <c r="BV1565" i="1"/>
  <c r="BX1565" i="1"/>
  <c r="BY1565" i="1"/>
  <c r="BZ1565" i="1"/>
  <c r="CH1565" i="1"/>
  <c r="CL1565" i="1"/>
  <c r="CM1565" i="1"/>
  <c r="CN1565" i="1"/>
  <c r="CO1565" i="1"/>
  <c r="CP1565" i="1"/>
  <c r="CZ1565" i="1"/>
  <c r="DB1565" i="1"/>
  <c r="DF1565" i="1"/>
  <c r="AC1004" i="1"/>
  <c r="AH1004" i="1"/>
  <c r="BS1004" i="1"/>
  <c r="BV1004" i="1"/>
  <c r="BX1004" i="1"/>
  <c r="BY1004" i="1"/>
  <c r="BZ1004" i="1"/>
  <c r="CA1004" i="1"/>
  <c r="CH1004" i="1"/>
  <c r="CL1004" i="1"/>
  <c r="CM1004" i="1"/>
  <c r="CN1004" i="1"/>
  <c r="CO1004" i="1"/>
  <c r="CP1004" i="1"/>
  <c r="CZ1004" i="1"/>
  <c r="DB1004" i="1"/>
  <c r="DF1004" i="1"/>
  <c r="AC1366" i="1"/>
  <c r="AH1366" i="1"/>
  <c r="BS1366" i="1"/>
  <c r="BV1366" i="1"/>
  <c r="BX1366" i="1"/>
  <c r="BY1366" i="1"/>
  <c r="BZ1366" i="1"/>
  <c r="CA1366" i="1"/>
  <c r="CH1366" i="1"/>
  <c r="CL1366" i="1"/>
  <c r="CM1366" i="1"/>
  <c r="CN1366" i="1"/>
  <c r="CO1366" i="1"/>
  <c r="CP1366" i="1"/>
  <c r="CZ1366" i="1"/>
  <c r="DB1366" i="1"/>
  <c r="DF1366" i="1"/>
  <c r="AC1767" i="1"/>
  <c r="AH1767" i="1"/>
  <c r="BS1767" i="1"/>
  <c r="BV1767" i="1"/>
  <c r="BX1767" i="1"/>
  <c r="BY1767" i="1"/>
  <c r="BZ1767" i="1"/>
  <c r="CH1767" i="1"/>
  <c r="CL1767" i="1"/>
  <c r="CM1767" i="1"/>
  <c r="CN1767" i="1"/>
  <c r="CO1767" i="1"/>
  <c r="CP1767" i="1"/>
  <c r="CZ1767" i="1"/>
  <c r="DB1767" i="1"/>
  <c r="DF1767" i="1"/>
  <c r="AC1055" i="1"/>
  <c r="AH1055" i="1"/>
  <c r="BS1055" i="1"/>
  <c r="BV1055" i="1"/>
  <c r="BX1055" i="1"/>
  <c r="BY1055" i="1"/>
  <c r="BZ1055" i="1"/>
  <c r="CA1055" i="1"/>
  <c r="CH1055" i="1"/>
  <c r="CL1055" i="1"/>
  <c r="CM1055" i="1"/>
  <c r="CN1055" i="1"/>
  <c r="CO1055" i="1"/>
  <c r="CP1055" i="1"/>
  <c r="CZ1055" i="1"/>
  <c r="DB1055" i="1"/>
  <c r="DF1055" i="1"/>
  <c r="AC121" i="1"/>
  <c r="AH121" i="1"/>
  <c r="BS121" i="1"/>
  <c r="BV121" i="1"/>
  <c r="BX121" i="1"/>
  <c r="BY121" i="1"/>
  <c r="BZ121" i="1"/>
  <c r="CH121" i="1"/>
  <c r="CL121" i="1"/>
  <c r="CM121" i="1"/>
  <c r="CN121" i="1"/>
  <c r="CO121" i="1"/>
  <c r="CP121" i="1"/>
  <c r="CZ121" i="1"/>
  <c r="DB121" i="1"/>
  <c r="DF121" i="1"/>
  <c r="AC823" i="1"/>
  <c r="AH823" i="1"/>
  <c r="BS823" i="1"/>
  <c r="BV823" i="1"/>
  <c r="BX823" i="1"/>
  <c r="BY823" i="1"/>
  <c r="BZ823" i="1"/>
  <c r="CH823" i="1"/>
  <c r="CL823" i="1"/>
  <c r="CM823" i="1"/>
  <c r="CN823" i="1"/>
  <c r="CO823" i="1"/>
  <c r="CP823" i="1"/>
  <c r="CZ823" i="1"/>
  <c r="DB823" i="1"/>
  <c r="DF823" i="1"/>
  <c r="AC385" i="1"/>
  <c r="AH385" i="1"/>
  <c r="BS385" i="1"/>
  <c r="BV385" i="1"/>
  <c r="BX385" i="1"/>
  <c r="BY385" i="1"/>
  <c r="BZ385" i="1"/>
  <c r="CH385" i="1"/>
  <c r="CL385" i="1"/>
  <c r="CM385" i="1"/>
  <c r="CN385" i="1"/>
  <c r="CO385" i="1"/>
  <c r="CP385" i="1"/>
  <c r="CZ385" i="1"/>
  <c r="DB385" i="1"/>
  <c r="DF385" i="1"/>
  <c r="AC648" i="1"/>
  <c r="AH648" i="1"/>
  <c r="BS648" i="1"/>
  <c r="BV648" i="1"/>
  <c r="BX648" i="1"/>
  <c r="BY648" i="1"/>
  <c r="BZ648" i="1"/>
  <c r="CA648" i="1"/>
  <c r="CH648" i="1"/>
  <c r="CL648" i="1"/>
  <c r="CM648" i="1"/>
  <c r="CN648" i="1"/>
  <c r="CO648" i="1"/>
  <c r="CP648" i="1"/>
  <c r="CZ648" i="1"/>
  <c r="DB648" i="1"/>
  <c r="DF648" i="1"/>
  <c r="AC1809" i="1"/>
  <c r="AH1809" i="1"/>
  <c r="BS1809" i="1"/>
  <c r="BV1809" i="1"/>
  <c r="BX1809" i="1"/>
  <c r="BY1809" i="1"/>
  <c r="BZ1809" i="1"/>
  <c r="CH1809" i="1"/>
  <c r="CL1809" i="1"/>
  <c r="CM1809" i="1"/>
  <c r="CN1809" i="1"/>
  <c r="CO1809" i="1"/>
  <c r="CP1809" i="1"/>
  <c r="CZ1809" i="1"/>
  <c r="DB1809" i="1"/>
  <c r="DF1809" i="1"/>
  <c r="AC1690" i="1"/>
  <c r="AH1690" i="1"/>
  <c r="BS1690" i="1"/>
  <c r="BV1690" i="1"/>
  <c r="BX1690" i="1"/>
  <c r="BY1690" i="1"/>
  <c r="BZ1690" i="1"/>
  <c r="CA1690" i="1"/>
  <c r="CH1690" i="1"/>
  <c r="CL1690" i="1"/>
  <c r="CM1690" i="1"/>
  <c r="CN1690" i="1"/>
  <c r="CO1690" i="1"/>
  <c r="CP1690" i="1"/>
  <c r="CZ1690" i="1"/>
  <c r="DB1690" i="1"/>
  <c r="DF1690" i="1"/>
  <c r="AC1035" i="1"/>
  <c r="AH1035" i="1"/>
  <c r="BS1035" i="1"/>
  <c r="BV1035" i="1"/>
  <c r="BX1035" i="1"/>
  <c r="BY1035" i="1"/>
  <c r="BZ1035" i="1"/>
  <c r="CA1035" i="1"/>
  <c r="CH1035" i="1"/>
  <c r="CL1035" i="1"/>
  <c r="CM1035" i="1"/>
  <c r="CN1035" i="1"/>
  <c r="CO1035" i="1"/>
  <c r="CP1035" i="1"/>
  <c r="CZ1035" i="1"/>
  <c r="DB1035" i="1"/>
  <c r="DF1035" i="1"/>
  <c r="AC175" i="1"/>
  <c r="AH175" i="1"/>
  <c r="BS175" i="1"/>
  <c r="BV175" i="1"/>
  <c r="BX175" i="1"/>
  <c r="BY175" i="1"/>
  <c r="BZ175" i="1"/>
  <c r="CH175" i="1"/>
  <c r="CL175" i="1"/>
  <c r="CM175" i="1"/>
  <c r="CN175" i="1"/>
  <c r="CO175" i="1"/>
  <c r="CP175" i="1"/>
  <c r="CZ175" i="1"/>
  <c r="DB175" i="1"/>
  <c r="DF175" i="1"/>
  <c r="AC2149" i="1"/>
  <c r="AH2149" i="1"/>
  <c r="BS2149" i="1"/>
  <c r="BV2149" i="1"/>
  <c r="BX2149" i="1"/>
  <c r="BY2149" i="1"/>
  <c r="BZ2149" i="1"/>
  <c r="CA2149" i="1"/>
  <c r="CH2149" i="1"/>
  <c r="CL2149" i="1"/>
  <c r="CM2149" i="1"/>
  <c r="CN2149" i="1"/>
  <c r="CO2149" i="1"/>
  <c r="CP2149" i="1"/>
  <c r="CZ2149" i="1"/>
  <c r="DB2149" i="1"/>
  <c r="DF2149" i="1"/>
  <c r="AC605" i="1"/>
  <c r="AH605" i="1"/>
  <c r="BS605" i="1"/>
  <c r="BV605" i="1"/>
  <c r="BX605" i="1"/>
  <c r="BY605" i="1"/>
  <c r="BZ605" i="1"/>
  <c r="CA605" i="1"/>
  <c r="CH605" i="1"/>
  <c r="CL605" i="1"/>
  <c r="CM605" i="1"/>
  <c r="CN605" i="1"/>
  <c r="CO605" i="1"/>
  <c r="CP605" i="1"/>
  <c r="CZ605" i="1"/>
  <c r="DB605" i="1"/>
  <c r="DF605" i="1"/>
  <c r="AC1983" i="1"/>
  <c r="AH1983" i="1"/>
  <c r="BS1983" i="1"/>
  <c r="BV1983" i="1"/>
  <c r="BX1983" i="1"/>
  <c r="BY1983" i="1"/>
  <c r="BZ1983" i="1"/>
  <c r="CH1983" i="1"/>
  <c r="CL1983" i="1"/>
  <c r="CM1983" i="1"/>
  <c r="CN1983" i="1"/>
  <c r="CP1983" i="1"/>
  <c r="CZ1983" i="1"/>
  <c r="DB1983" i="1"/>
  <c r="DF1983" i="1"/>
  <c r="AC239" i="1"/>
  <c r="AH239" i="1"/>
  <c r="BS239" i="1"/>
  <c r="BV239" i="1"/>
  <c r="BX239" i="1"/>
  <c r="BY239" i="1"/>
  <c r="BZ239" i="1"/>
  <c r="CH239" i="1"/>
  <c r="CL239" i="1"/>
  <c r="CM239" i="1"/>
  <c r="CN239" i="1"/>
  <c r="CO239" i="1"/>
  <c r="CP239" i="1"/>
  <c r="CZ239" i="1"/>
  <c r="DB239" i="1"/>
  <c r="DF239" i="1"/>
  <c r="AC2071" i="1"/>
  <c r="AH2071" i="1"/>
  <c r="BS2071" i="1"/>
  <c r="BV2071" i="1"/>
  <c r="BX2071" i="1"/>
  <c r="BY2071" i="1"/>
  <c r="BZ2071" i="1"/>
  <c r="CH2071" i="1"/>
  <c r="CL2071" i="1"/>
  <c r="CM2071" i="1"/>
  <c r="CN2071" i="1"/>
  <c r="CO2071" i="1"/>
  <c r="CP2071" i="1"/>
  <c r="CZ2071" i="1"/>
  <c r="DB2071" i="1"/>
  <c r="DF2071" i="1"/>
  <c r="AC1168" i="1"/>
  <c r="AH1168" i="1"/>
  <c r="BS1168" i="1"/>
  <c r="BV1168" i="1"/>
  <c r="BX1168" i="1"/>
  <c r="BY1168" i="1"/>
  <c r="BZ1168" i="1"/>
  <c r="CH1168" i="1"/>
  <c r="CL1168" i="1"/>
  <c r="CM1168" i="1"/>
  <c r="CN1168" i="1"/>
  <c r="CO1168" i="1"/>
  <c r="CP1168" i="1"/>
  <c r="CZ1168" i="1"/>
  <c r="DB1168" i="1"/>
  <c r="DF1168" i="1"/>
  <c r="AC221" i="1"/>
  <c r="AH221" i="1"/>
  <c r="BS221" i="1"/>
  <c r="BV221" i="1"/>
  <c r="BX221" i="1"/>
  <c r="BY221" i="1"/>
  <c r="BZ221" i="1"/>
  <c r="CH221" i="1"/>
  <c r="CL221" i="1"/>
  <c r="CM221" i="1"/>
  <c r="CN221" i="1"/>
  <c r="CO221" i="1"/>
  <c r="CP221" i="1"/>
  <c r="CZ221" i="1"/>
  <c r="DB221" i="1"/>
  <c r="DF221" i="1"/>
  <c r="AC496" i="1"/>
  <c r="AH496" i="1"/>
  <c r="BS496" i="1"/>
  <c r="BV496" i="1"/>
  <c r="BX496" i="1"/>
  <c r="BY496" i="1"/>
  <c r="BZ496" i="1"/>
  <c r="CA496" i="1"/>
  <c r="CH496" i="1"/>
  <c r="CL496" i="1"/>
  <c r="CM496" i="1"/>
  <c r="CN496" i="1"/>
  <c r="CO496" i="1"/>
  <c r="CP496" i="1"/>
  <c r="CZ496" i="1"/>
  <c r="DB496" i="1"/>
  <c r="DF496" i="1"/>
  <c r="AC897" i="1"/>
  <c r="AH897" i="1"/>
  <c r="BS897" i="1"/>
  <c r="BV897" i="1"/>
  <c r="BX897" i="1"/>
  <c r="BY897" i="1"/>
  <c r="BZ897" i="1"/>
  <c r="CA897" i="1"/>
  <c r="CH897" i="1"/>
  <c r="CL897" i="1"/>
  <c r="CM897" i="1"/>
  <c r="CN897" i="1"/>
  <c r="CO897" i="1"/>
  <c r="CP897" i="1"/>
  <c r="CZ897" i="1"/>
  <c r="DB897" i="1"/>
  <c r="DF897" i="1"/>
  <c r="AC1746" i="1"/>
  <c r="AH1746" i="1"/>
  <c r="BS1746" i="1"/>
  <c r="BV1746" i="1"/>
  <c r="BX1746" i="1"/>
  <c r="BY1746" i="1"/>
  <c r="BZ1746" i="1"/>
  <c r="CA1746" i="1"/>
  <c r="CH1746" i="1"/>
  <c r="CL1746" i="1"/>
  <c r="CM1746" i="1"/>
  <c r="CN1746" i="1"/>
  <c r="CO1746" i="1"/>
  <c r="CP1746" i="1"/>
  <c r="CZ1746" i="1"/>
  <c r="DB1746" i="1"/>
  <c r="DF1746" i="1"/>
  <c r="AC2204" i="1"/>
  <c r="AH2204" i="1"/>
  <c r="BS2204" i="1"/>
  <c r="BV2204" i="1"/>
  <c r="BX2204" i="1"/>
  <c r="BY2204" i="1"/>
  <c r="BZ2204" i="1"/>
  <c r="CH2204" i="1"/>
  <c r="CL2204" i="1"/>
  <c r="CM2204" i="1"/>
  <c r="CN2204" i="1"/>
  <c r="CO2204" i="1"/>
  <c r="CP2204" i="1"/>
  <c r="CZ2204" i="1"/>
  <c r="DB2204" i="1"/>
  <c r="DF2204" i="1"/>
  <c r="AC1836" i="1"/>
  <c r="AH1836" i="1"/>
  <c r="BS1836" i="1"/>
  <c r="BV1836" i="1"/>
  <c r="BX1836" i="1"/>
  <c r="BY1836" i="1"/>
  <c r="BZ1836" i="1"/>
  <c r="CA1836" i="1"/>
  <c r="CH1836" i="1"/>
  <c r="CL1836" i="1"/>
  <c r="CM1836" i="1"/>
  <c r="CN1836" i="1"/>
  <c r="CO1836" i="1"/>
  <c r="CP1836" i="1"/>
  <c r="CZ1836" i="1"/>
  <c r="DB1836" i="1"/>
  <c r="DF1836" i="1"/>
  <c r="AC1400" i="1"/>
  <c r="AH1400" i="1"/>
  <c r="BS1400" i="1"/>
  <c r="BV1400" i="1"/>
  <c r="BX1400" i="1"/>
  <c r="BY1400" i="1"/>
  <c r="BZ1400" i="1"/>
  <c r="CH1400" i="1"/>
  <c r="CL1400" i="1"/>
  <c r="CM1400" i="1"/>
  <c r="CN1400" i="1"/>
  <c r="CO1400" i="1"/>
  <c r="CP1400" i="1"/>
  <c r="CZ1400" i="1"/>
  <c r="DB1400" i="1"/>
  <c r="DF1400" i="1"/>
  <c r="AC25" i="1"/>
  <c r="AH25" i="1"/>
  <c r="BS25" i="1"/>
  <c r="BV25" i="1"/>
  <c r="BX25" i="1"/>
  <c r="BY25" i="1"/>
  <c r="BZ25" i="1"/>
  <c r="CA25" i="1"/>
  <c r="CH25" i="1"/>
  <c r="CL25" i="1"/>
  <c r="CM25" i="1"/>
  <c r="CN25" i="1"/>
  <c r="CO25" i="1"/>
  <c r="CP25" i="1"/>
  <c r="CZ25" i="1"/>
  <c r="DB25" i="1"/>
  <c r="DF25" i="1"/>
  <c r="AC771" i="1"/>
  <c r="AH771" i="1"/>
  <c r="BS771" i="1"/>
  <c r="BV771" i="1"/>
  <c r="BX771" i="1"/>
  <c r="BY771" i="1"/>
  <c r="BZ771" i="1"/>
  <c r="CH771" i="1"/>
  <c r="CL771" i="1"/>
  <c r="CM771" i="1"/>
  <c r="CN771" i="1"/>
  <c r="CO771" i="1"/>
  <c r="CP771" i="1"/>
  <c r="CZ771" i="1"/>
  <c r="DB771" i="1"/>
  <c r="DF771" i="1"/>
  <c r="AC560" i="1"/>
  <c r="AH560" i="1"/>
  <c r="BS560" i="1"/>
  <c r="BV560" i="1"/>
  <c r="BX560" i="1"/>
  <c r="BY560" i="1"/>
  <c r="BZ560" i="1"/>
  <c r="CA560" i="1"/>
  <c r="CH560" i="1"/>
  <c r="CL560" i="1"/>
  <c r="CM560" i="1"/>
  <c r="CN560" i="1"/>
  <c r="CO560" i="1"/>
  <c r="CP560" i="1"/>
  <c r="CZ560" i="1"/>
  <c r="DB560" i="1"/>
  <c r="DF560" i="1"/>
  <c r="AC2263" i="1"/>
  <c r="AH2263" i="1"/>
  <c r="BS2263" i="1"/>
  <c r="BV2263" i="1"/>
  <c r="BX2263" i="1"/>
  <c r="BY2263" i="1"/>
  <c r="BZ2263" i="1"/>
  <c r="CA2263" i="1"/>
  <c r="CH2263" i="1"/>
  <c r="CL2263" i="1"/>
  <c r="CM2263" i="1"/>
  <c r="CN2263" i="1"/>
  <c r="CO2263" i="1"/>
  <c r="CP2263" i="1"/>
  <c r="CZ2263" i="1"/>
  <c r="DB2263" i="1"/>
  <c r="DF2263" i="1"/>
  <c r="AC1161" i="1"/>
  <c r="AH1161" i="1"/>
  <c r="BS1161" i="1"/>
  <c r="BV1161" i="1"/>
  <c r="BX1161" i="1"/>
  <c r="BY1161" i="1"/>
  <c r="BZ1161" i="1"/>
  <c r="CA1161" i="1"/>
  <c r="CH1161" i="1"/>
  <c r="CL1161" i="1"/>
  <c r="CM1161" i="1"/>
  <c r="CN1161" i="1"/>
  <c r="CO1161" i="1"/>
  <c r="CP1161" i="1"/>
  <c r="CZ1161" i="1"/>
  <c r="DB1161" i="1"/>
  <c r="DF1161" i="1"/>
  <c r="AC240" i="1"/>
  <c r="AH240" i="1"/>
  <c r="BS240" i="1"/>
  <c r="BV240" i="1"/>
  <c r="BX240" i="1"/>
  <c r="BY240" i="1"/>
  <c r="BZ240" i="1"/>
  <c r="CH240" i="1"/>
  <c r="CL240" i="1"/>
  <c r="CM240" i="1"/>
  <c r="CN240" i="1"/>
  <c r="CO240" i="1"/>
  <c r="CP240" i="1"/>
  <c r="CZ240" i="1"/>
  <c r="DB240" i="1"/>
  <c r="DF240" i="1"/>
  <c r="AC2257" i="1"/>
  <c r="AH2257" i="1"/>
  <c r="BS2257" i="1"/>
  <c r="BV2257" i="1"/>
  <c r="BX2257" i="1"/>
  <c r="BY2257" i="1"/>
  <c r="BZ2257" i="1"/>
  <c r="CA2257" i="1"/>
  <c r="CH2257" i="1"/>
  <c r="CL2257" i="1"/>
  <c r="CM2257" i="1"/>
  <c r="CN2257" i="1"/>
  <c r="CO2257" i="1"/>
  <c r="CP2257" i="1"/>
  <c r="CZ2257" i="1"/>
  <c r="DB2257" i="1"/>
  <c r="DF2257" i="1"/>
  <c r="AC1313" i="1"/>
  <c r="AH1313" i="1"/>
  <c r="BS1313" i="1"/>
  <c r="BV1313" i="1"/>
  <c r="BX1313" i="1"/>
  <c r="BY1313" i="1"/>
  <c r="BZ1313" i="1"/>
  <c r="CA1313" i="1"/>
  <c r="CH1313" i="1"/>
  <c r="CL1313" i="1"/>
  <c r="CM1313" i="1"/>
  <c r="CN1313" i="1"/>
  <c r="CO1313" i="1"/>
  <c r="CP1313" i="1"/>
  <c r="CZ1313" i="1"/>
  <c r="DB1313" i="1"/>
  <c r="DF1313" i="1"/>
  <c r="AC2172" i="1"/>
  <c r="AH2172" i="1"/>
  <c r="BS2172" i="1"/>
  <c r="BV2172" i="1"/>
  <c r="BX2172" i="1"/>
  <c r="BY2172" i="1"/>
  <c r="BZ2172" i="1"/>
  <c r="CH2172" i="1"/>
  <c r="CL2172" i="1"/>
  <c r="CM2172" i="1"/>
  <c r="CN2172" i="1"/>
  <c r="CO2172" i="1"/>
  <c r="CP2172" i="1"/>
  <c r="CZ2172" i="1"/>
  <c r="DB2172" i="1"/>
  <c r="DF2172" i="1"/>
  <c r="AC1990" i="1"/>
  <c r="AH1990" i="1"/>
  <c r="BS1990" i="1"/>
  <c r="BV1990" i="1"/>
  <c r="BX1990" i="1"/>
  <c r="BY1990" i="1"/>
  <c r="BZ1990" i="1"/>
  <c r="CA1990" i="1"/>
  <c r="CH1990" i="1"/>
  <c r="CL1990" i="1"/>
  <c r="CM1990" i="1"/>
  <c r="CN1990" i="1"/>
  <c r="CO1990" i="1"/>
  <c r="CP1990" i="1"/>
  <c r="CZ1990" i="1"/>
  <c r="DB1990" i="1"/>
  <c r="DF1990" i="1"/>
  <c r="AC1558" i="1"/>
  <c r="AH1558" i="1"/>
  <c r="BS1558" i="1"/>
  <c r="BV1558" i="1"/>
  <c r="BX1558" i="1"/>
  <c r="BY1558" i="1"/>
  <c r="BZ1558" i="1"/>
  <c r="CH1558" i="1"/>
  <c r="CL1558" i="1"/>
  <c r="CM1558" i="1"/>
  <c r="CN1558" i="1"/>
  <c r="CO1558" i="1"/>
  <c r="CP1558" i="1"/>
  <c r="CZ1558" i="1"/>
  <c r="DB1558" i="1"/>
  <c r="DF1558" i="1"/>
  <c r="AC755" i="1"/>
  <c r="AH755" i="1"/>
  <c r="BS755" i="1"/>
  <c r="BV755" i="1"/>
  <c r="BX755" i="1"/>
  <c r="BY755" i="1"/>
  <c r="BZ755" i="1"/>
  <c r="CH755" i="1"/>
  <c r="CL755" i="1"/>
  <c r="CM755" i="1"/>
  <c r="CN755" i="1"/>
  <c r="CO755" i="1"/>
  <c r="CP755" i="1"/>
  <c r="CZ755" i="1"/>
  <c r="DB755" i="1"/>
  <c r="DF755" i="1"/>
  <c r="AC840" i="1"/>
  <c r="AH840" i="1"/>
  <c r="BS840" i="1"/>
  <c r="BV840" i="1"/>
  <c r="BX840" i="1"/>
  <c r="BY840" i="1"/>
  <c r="BZ840" i="1"/>
  <c r="CA840" i="1"/>
  <c r="CH840" i="1"/>
  <c r="CL840" i="1"/>
  <c r="CM840" i="1"/>
  <c r="CN840" i="1"/>
  <c r="CO840" i="1"/>
  <c r="CP840" i="1"/>
  <c r="CZ840" i="1"/>
  <c r="DB840" i="1"/>
  <c r="DF840" i="1"/>
  <c r="AC1431" i="1"/>
  <c r="AH1431" i="1"/>
  <c r="BS1431" i="1"/>
  <c r="BV1431" i="1"/>
  <c r="BX1431" i="1"/>
  <c r="BY1431" i="1"/>
  <c r="BZ1431" i="1"/>
  <c r="CA1431" i="1"/>
  <c r="CH1431" i="1"/>
  <c r="CL1431" i="1"/>
  <c r="CM1431" i="1"/>
  <c r="CN1431" i="1"/>
  <c r="CO1431" i="1"/>
  <c r="CP1431" i="1"/>
  <c r="CZ1431" i="1"/>
  <c r="DB1431" i="1"/>
  <c r="DF1431" i="1"/>
  <c r="AC1157" i="1"/>
  <c r="AH1157" i="1"/>
  <c r="BS1157" i="1"/>
  <c r="BV1157" i="1"/>
  <c r="BX1157" i="1"/>
  <c r="BY1157" i="1"/>
  <c r="BZ1157" i="1"/>
  <c r="CA1157" i="1"/>
  <c r="CH1157" i="1"/>
  <c r="CL1157" i="1"/>
  <c r="CM1157" i="1"/>
  <c r="CN1157" i="1"/>
  <c r="CO1157" i="1"/>
  <c r="CP1157" i="1"/>
  <c r="CZ1157" i="1"/>
  <c r="DB1157" i="1"/>
  <c r="DF1157" i="1"/>
  <c r="AC898" i="1"/>
  <c r="AH898" i="1"/>
  <c r="BS898" i="1"/>
  <c r="BV898" i="1"/>
  <c r="BX898" i="1"/>
  <c r="BY898" i="1"/>
  <c r="BZ898" i="1"/>
  <c r="CH898" i="1"/>
  <c r="CL898" i="1"/>
  <c r="CM898" i="1"/>
  <c r="CN898" i="1"/>
  <c r="CO898" i="1"/>
  <c r="CP898" i="1"/>
  <c r="CZ898" i="1"/>
  <c r="DB898" i="1"/>
  <c r="DF898" i="1"/>
  <c r="AC747" i="1"/>
  <c r="AH747" i="1"/>
  <c r="BS747" i="1"/>
  <c r="BV747" i="1"/>
  <c r="BX747" i="1"/>
  <c r="BY747" i="1"/>
  <c r="BZ747" i="1"/>
  <c r="CA747" i="1"/>
  <c r="CH747" i="1"/>
  <c r="CL747" i="1"/>
  <c r="CM747" i="1"/>
  <c r="CN747" i="1"/>
  <c r="CO747" i="1"/>
  <c r="CP747" i="1"/>
  <c r="CZ747" i="1"/>
  <c r="DB747" i="1"/>
  <c r="DF747" i="1"/>
  <c r="AC1952" i="1"/>
  <c r="AH1952" i="1"/>
  <c r="BS1952" i="1"/>
  <c r="BV1952" i="1"/>
  <c r="BX1952" i="1"/>
  <c r="BY1952" i="1"/>
  <c r="BZ1952" i="1"/>
  <c r="CH1952" i="1"/>
  <c r="CL1952" i="1"/>
  <c r="CM1952" i="1"/>
  <c r="CN1952" i="1"/>
  <c r="CO1952" i="1"/>
  <c r="CP1952" i="1"/>
  <c r="CZ1952" i="1"/>
  <c r="DB1952" i="1"/>
  <c r="DF1952" i="1"/>
  <c r="AC653" i="1"/>
  <c r="AH653" i="1"/>
  <c r="BS653" i="1"/>
  <c r="BV653" i="1"/>
  <c r="BX653" i="1"/>
  <c r="BY653" i="1"/>
  <c r="BZ653" i="1"/>
  <c r="CH653" i="1"/>
  <c r="CL653" i="1"/>
  <c r="CM653" i="1"/>
  <c r="CN653" i="1"/>
  <c r="CO653" i="1"/>
  <c r="CP653" i="1"/>
  <c r="CZ653" i="1"/>
  <c r="DB653" i="1"/>
  <c r="DF653" i="1"/>
  <c r="AC1835" i="1"/>
  <c r="AH1835" i="1"/>
  <c r="BS1835" i="1"/>
  <c r="BV1835" i="1"/>
  <c r="BX1835" i="1"/>
  <c r="BY1835" i="1"/>
  <c r="BZ1835" i="1"/>
  <c r="CA1835" i="1"/>
  <c r="CH1835" i="1"/>
  <c r="CL1835" i="1"/>
  <c r="CM1835" i="1"/>
  <c r="CN1835" i="1"/>
  <c r="CO1835" i="1"/>
  <c r="CP1835" i="1"/>
  <c r="CZ1835" i="1"/>
  <c r="DB1835" i="1"/>
  <c r="DF1835" i="1"/>
  <c r="AC1581" i="1"/>
  <c r="AH1581" i="1"/>
  <c r="BS1581" i="1"/>
  <c r="BV1581" i="1"/>
  <c r="BX1581" i="1"/>
  <c r="BY1581" i="1"/>
  <c r="BZ1581" i="1"/>
  <c r="CH1581" i="1"/>
  <c r="CL1581" i="1"/>
  <c r="CM1581" i="1"/>
  <c r="CN1581" i="1"/>
  <c r="CO1581" i="1"/>
  <c r="CP1581" i="1"/>
  <c r="CZ1581" i="1"/>
  <c r="DB1581" i="1"/>
  <c r="DF1581" i="1"/>
  <c r="AC458" i="1"/>
  <c r="AH458" i="1"/>
  <c r="BS458" i="1"/>
  <c r="BV458" i="1"/>
  <c r="BX458" i="1"/>
  <c r="BY458" i="1"/>
  <c r="BZ458" i="1"/>
  <c r="CA458" i="1"/>
  <c r="CH458" i="1"/>
  <c r="CL458" i="1"/>
  <c r="CM458" i="1"/>
  <c r="CN458" i="1"/>
  <c r="CO458" i="1"/>
  <c r="CP458" i="1"/>
  <c r="CZ458" i="1"/>
  <c r="DB458" i="1"/>
  <c r="DF458" i="1"/>
  <c r="AC2042" i="1"/>
  <c r="AH2042" i="1"/>
  <c r="BS2042" i="1"/>
  <c r="BV2042" i="1"/>
  <c r="BX2042" i="1"/>
  <c r="BY2042" i="1"/>
  <c r="BZ2042" i="1"/>
  <c r="CA2042" i="1"/>
  <c r="CH2042" i="1"/>
  <c r="CL2042" i="1"/>
  <c r="CM2042" i="1"/>
  <c r="CN2042" i="1"/>
  <c r="CO2042" i="1"/>
  <c r="CP2042" i="1"/>
  <c r="CZ2042" i="1"/>
  <c r="DB2042" i="1"/>
  <c r="DF2042" i="1"/>
  <c r="AC520" i="1"/>
  <c r="AH520" i="1"/>
  <c r="BS520" i="1"/>
  <c r="BV520" i="1"/>
  <c r="BX520" i="1"/>
  <c r="BY520" i="1"/>
  <c r="BZ520" i="1"/>
  <c r="CA520" i="1"/>
  <c r="CH520" i="1"/>
  <c r="CL520" i="1"/>
  <c r="CM520" i="1"/>
  <c r="CN520" i="1"/>
  <c r="CO520" i="1"/>
  <c r="CP520" i="1"/>
  <c r="CZ520" i="1"/>
  <c r="DB520" i="1"/>
  <c r="DF520" i="1"/>
  <c r="AC1444" i="1"/>
  <c r="AH1444" i="1"/>
  <c r="BS1444" i="1"/>
  <c r="BV1444" i="1"/>
  <c r="BX1444" i="1"/>
  <c r="BY1444" i="1"/>
  <c r="BZ1444" i="1"/>
  <c r="CH1444" i="1"/>
  <c r="CL1444" i="1"/>
  <c r="CM1444" i="1"/>
  <c r="CN1444" i="1"/>
  <c r="CO1444" i="1"/>
  <c r="CP1444" i="1"/>
  <c r="CZ1444" i="1"/>
  <c r="DB1444" i="1"/>
  <c r="DF1444" i="1"/>
  <c r="AC529" i="1"/>
  <c r="AH529" i="1"/>
  <c r="BS529" i="1"/>
  <c r="BV529" i="1"/>
  <c r="BX529" i="1"/>
  <c r="BY529" i="1"/>
  <c r="BZ529" i="1"/>
  <c r="CH529" i="1"/>
  <c r="CL529" i="1"/>
  <c r="CM529" i="1"/>
  <c r="CN529" i="1"/>
  <c r="CO529" i="1"/>
  <c r="CP529" i="1"/>
  <c r="CZ529" i="1"/>
  <c r="DB529" i="1"/>
  <c r="DF529" i="1"/>
  <c r="AC1439" i="1"/>
  <c r="AH1439" i="1"/>
  <c r="BS1439" i="1"/>
  <c r="BV1439" i="1"/>
  <c r="BX1439" i="1"/>
  <c r="BY1439" i="1"/>
  <c r="BZ1439" i="1"/>
  <c r="CA1439" i="1"/>
  <c r="CH1439" i="1"/>
  <c r="CL1439" i="1"/>
  <c r="CM1439" i="1"/>
  <c r="CN1439" i="1"/>
  <c r="CO1439" i="1"/>
  <c r="CP1439" i="1"/>
  <c r="CZ1439" i="1"/>
  <c r="DB1439" i="1"/>
  <c r="DF1439" i="1"/>
  <c r="AC1538" i="1"/>
  <c r="AH1538" i="1"/>
  <c r="BS1538" i="1"/>
  <c r="BV1538" i="1"/>
  <c r="BX1538" i="1"/>
  <c r="BY1538" i="1"/>
  <c r="BZ1538" i="1"/>
  <c r="CA1538" i="1"/>
  <c r="CH1538" i="1"/>
  <c r="CL1538" i="1"/>
  <c r="CM1538" i="1"/>
  <c r="CN1538" i="1"/>
  <c r="CO1538" i="1"/>
  <c r="CP1538" i="1"/>
  <c r="CZ1538" i="1"/>
  <c r="DB1538" i="1"/>
  <c r="DF1538" i="1"/>
  <c r="AC193" i="1"/>
  <c r="AH193" i="1"/>
  <c r="BS193" i="1"/>
  <c r="BV193" i="1"/>
  <c r="BX193" i="1"/>
  <c r="BY193" i="1"/>
  <c r="BZ193" i="1"/>
  <c r="CA193" i="1"/>
  <c r="CH193" i="1"/>
  <c r="CL193" i="1"/>
  <c r="CM193" i="1"/>
  <c r="CN193" i="1"/>
  <c r="CO193" i="1"/>
  <c r="CP193" i="1"/>
  <c r="CZ193" i="1"/>
  <c r="DB193" i="1"/>
  <c r="DF193" i="1"/>
  <c r="AC2233" i="1"/>
  <c r="AH2233" i="1"/>
  <c r="BS2233" i="1"/>
  <c r="BV2233" i="1"/>
  <c r="BX2233" i="1"/>
  <c r="BY2233" i="1"/>
  <c r="BZ2233" i="1"/>
  <c r="CA2233" i="1"/>
  <c r="CH2233" i="1"/>
  <c r="CL2233" i="1"/>
  <c r="CM2233" i="1"/>
  <c r="CN2233" i="1"/>
  <c r="CO2233" i="1"/>
  <c r="CP2233" i="1"/>
  <c r="CZ2233" i="1"/>
  <c r="DB2233" i="1"/>
  <c r="DF2233" i="1"/>
  <c r="AC448" i="1"/>
  <c r="AH448" i="1"/>
  <c r="BS448" i="1"/>
  <c r="BV448" i="1"/>
  <c r="BX448" i="1"/>
  <c r="BY448" i="1"/>
  <c r="BZ448" i="1"/>
  <c r="CA448" i="1"/>
  <c r="CH448" i="1"/>
  <c r="CL448" i="1"/>
  <c r="CM448" i="1"/>
  <c r="CN448" i="1"/>
  <c r="CO448" i="1"/>
  <c r="CP448" i="1"/>
  <c r="CZ448" i="1"/>
  <c r="DB448" i="1"/>
  <c r="DF448" i="1"/>
  <c r="AC1364" i="1"/>
  <c r="AH1364" i="1"/>
  <c r="BS1364" i="1"/>
  <c r="BV1364" i="1"/>
  <c r="BX1364" i="1"/>
  <c r="BY1364" i="1"/>
  <c r="BZ1364" i="1"/>
  <c r="CA1364" i="1"/>
  <c r="CH1364" i="1"/>
  <c r="CL1364" i="1"/>
  <c r="CM1364" i="1"/>
  <c r="CN1364" i="1"/>
  <c r="CO1364" i="1"/>
  <c r="CP1364" i="1"/>
  <c r="CZ1364" i="1"/>
  <c r="DB1364" i="1"/>
  <c r="DF1364" i="1"/>
  <c r="AC177" i="1"/>
  <c r="AH177" i="1"/>
  <c r="BS177" i="1"/>
  <c r="BV177" i="1"/>
  <c r="BX177" i="1"/>
  <c r="BY177" i="1"/>
  <c r="BZ177" i="1"/>
  <c r="CA177" i="1"/>
  <c r="CH177" i="1"/>
  <c r="CL177" i="1"/>
  <c r="CM177" i="1"/>
  <c r="CN177" i="1"/>
  <c r="CO177" i="1"/>
  <c r="CP177" i="1"/>
  <c r="CZ177" i="1"/>
  <c r="DB177" i="1"/>
  <c r="DF177" i="1"/>
  <c r="AC1494" i="1"/>
  <c r="AH1494" i="1"/>
  <c r="BS1494" i="1"/>
  <c r="BV1494" i="1"/>
  <c r="BX1494" i="1"/>
  <c r="BY1494" i="1"/>
  <c r="BZ1494" i="1"/>
  <c r="CA1494" i="1"/>
  <c r="CH1494" i="1"/>
  <c r="CL1494" i="1"/>
  <c r="CM1494" i="1"/>
  <c r="CN1494" i="1"/>
  <c r="CO1494" i="1"/>
  <c r="CP1494" i="1"/>
  <c r="CZ1494" i="1"/>
  <c r="DB1494" i="1"/>
  <c r="DF1494" i="1"/>
  <c r="AC1323" i="1"/>
  <c r="AH1323" i="1"/>
  <c r="BS1323" i="1"/>
  <c r="BV1323" i="1"/>
  <c r="BX1323" i="1"/>
  <c r="BY1323" i="1"/>
  <c r="BZ1323" i="1"/>
  <c r="CH1323" i="1"/>
  <c r="CL1323" i="1"/>
  <c r="CM1323" i="1"/>
  <c r="CN1323" i="1"/>
  <c r="CO1323" i="1"/>
  <c r="CP1323" i="1"/>
  <c r="CZ1323" i="1"/>
  <c r="DB1323" i="1"/>
  <c r="DF1323" i="1"/>
  <c r="AC700" i="1"/>
  <c r="AH700" i="1"/>
  <c r="BS700" i="1"/>
  <c r="BV700" i="1"/>
  <c r="BX700" i="1"/>
  <c r="BY700" i="1"/>
  <c r="BZ700" i="1"/>
  <c r="CA700" i="1"/>
  <c r="CH700" i="1"/>
  <c r="CL700" i="1"/>
  <c r="CM700" i="1"/>
  <c r="CN700" i="1"/>
  <c r="CO700" i="1"/>
  <c r="CP700" i="1"/>
  <c r="CZ700" i="1"/>
  <c r="DB700" i="1"/>
  <c r="DF700" i="1"/>
  <c r="AC502" i="1"/>
  <c r="AH502" i="1"/>
  <c r="BS502" i="1"/>
  <c r="BV502" i="1"/>
  <c r="BX502" i="1"/>
  <c r="BY502" i="1"/>
  <c r="BZ502" i="1"/>
  <c r="CH502" i="1"/>
  <c r="CL502" i="1"/>
  <c r="CM502" i="1"/>
  <c r="CN502" i="1"/>
  <c r="CO502" i="1"/>
  <c r="CP502" i="1"/>
  <c r="CZ502" i="1"/>
  <c r="DB502" i="1"/>
  <c r="DF502" i="1"/>
  <c r="AC781" i="1"/>
  <c r="AH781" i="1"/>
  <c r="BS781" i="1"/>
  <c r="BV781" i="1"/>
  <c r="BX781" i="1"/>
  <c r="BY781" i="1"/>
  <c r="BZ781" i="1"/>
  <c r="CA781" i="1"/>
  <c r="CH781" i="1"/>
  <c r="CL781" i="1"/>
  <c r="CM781" i="1"/>
  <c r="CN781" i="1"/>
  <c r="CO781" i="1"/>
  <c r="CP781" i="1"/>
  <c r="CZ781" i="1"/>
  <c r="DB781" i="1"/>
  <c r="DF781" i="1"/>
  <c r="AC1162" i="1"/>
  <c r="AH1162" i="1"/>
  <c r="BS1162" i="1"/>
  <c r="BV1162" i="1"/>
  <c r="BX1162" i="1"/>
  <c r="BY1162" i="1"/>
  <c r="BZ1162" i="1"/>
  <c r="CA1162" i="1"/>
  <c r="CH1162" i="1"/>
  <c r="CL1162" i="1"/>
  <c r="CM1162" i="1"/>
  <c r="CN1162" i="1"/>
  <c r="CO1162" i="1"/>
  <c r="CP1162" i="1"/>
  <c r="CZ1162" i="1"/>
  <c r="DB1162" i="1"/>
  <c r="DF1162" i="1"/>
  <c r="AC1397" i="1"/>
  <c r="AH1397" i="1"/>
  <c r="BS1397" i="1"/>
  <c r="BV1397" i="1"/>
  <c r="BX1397" i="1"/>
  <c r="BY1397" i="1"/>
  <c r="BZ1397" i="1"/>
  <c r="CH1397" i="1"/>
  <c r="CL1397" i="1"/>
  <c r="CM1397" i="1"/>
  <c r="CN1397" i="1"/>
  <c r="CO1397" i="1"/>
  <c r="CP1397" i="1"/>
  <c r="CZ1397" i="1"/>
  <c r="DB1397" i="1"/>
  <c r="DF1397" i="1"/>
  <c r="AC171" i="1"/>
  <c r="AH171" i="1"/>
  <c r="BS171" i="1"/>
  <c r="BV171" i="1"/>
  <c r="BX171" i="1"/>
  <c r="BY171" i="1"/>
  <c r="BZ171" i="1"/>
  <c r="CA171" i="1"/>
  <c r="CH171" i="1"/>
  <c r="CL171" i="1"/>
  <c r="CM171" i="1"/>
  <c r="CN171" i="1"/>
  <c r="CO171" i="1"/>
  <c r="CP171" i="1"/>
  <c r="CZ171" i="1"/>
  <c r="DB171" i="1"/>
  <c r="DF171" i="1"/>
  <c r="AC300" i="1"/>
  <c r="AH300" i="1"/>
  <c r="BS300" i="1"/>
  <c r="BV300" i="1"/>
  <c r="BX300" i="1"/>
  <c r="BY300" i="1"/>
  <c r="BZ300" i="1"/>
  <c r="CA300" i="1"/>
  <c r="CH300" i="1"/>
  <c r="CL300" i="1"/>
  <c r="CM300" i="1"/>
  <c r="CN300" i="1"/>
  <c r="CO300" i="1"/>
  <c r="CP300" i="1"/>
  <c r="CZ300" i="1"/>
  <c r="DB300" i="1"/>
  <c r="DF300" i="1"/>
  <c r="AC332" i="1"/>
  <c r="AH332" i="1"/>
  <c r="BS332" i="1"/>
  <c r="BV332" i="1"/>
  <c r="BX332" i="1"/>
  <c r="BY332" i="1"/>
  <c r="BZ332" i="1"/>
  <c r="CH332" i="1"/>
  <c r="CL332" i="1"/>
  <c r="CM332" i="1"/>
  <c r="CN332" i="1"/>
  <c r="CO332" i="1"/>
  <c r="CP332" i="1"/>
  <c r="CZ332" i="1"/>
  <c r="DB332" i="1"/>
  <c r="DF332" i="1"/>
  <c r="AC2113" i="1"/>
  <c r="AH2113" i="1"/>
  <c r="BS2113" i="1"/>
  <c r="BV2113" i="1"/>
  <c r="BX2113" i="1"/>
  <c r="BY2113" i="1"/>
  <c r="BZ2113" i="1"/>
  <c r="CA2113" i="1"/>
  <c r="CH2113" i="1"/>
  <c r="CL2113" i="1"/>
  <c r="CM2113" i="1"/>
  <c r="CN2113" i="1"/>
  <c r="CO2113" i="1"/>
  <c r="CP2113" i="1"/>
  <c r="CZ2113" i="1"/>
  <c r="DB2113" i="1"/>
  <c r="DF2113" i="1"/>
  <c r="AC701" i="1"/>
  <c r="AH701" i="1"/>
  <c r="BS701" i="1"/>
  <c r="BV701" i="1"/>
  <c r="BX701" i="1"/>
  <c r="BY701" i="1"/>
  <c r="BZ701" i="1"/>
  <c r="CA701" i="1"/>
  <c r="CH701" i="1"/>
  <c r="CL701" i="1"/>
  <c r="CM701" i="1"/>
  <c r="CN701" i="1"/>
  <c r="CO701" i="1"/>
  <c r="CP701" i="1"/>
  <c r="CZ701" i="1"/>
  <c r="DB701" i="1"/>
  <c r="DF701" i="1"/>
  <c r="AC1175" i="1"/>
  <c r="AH1175" i="1"/>
  <c r="BS1175" i="1"/>
  <c r="BV1175" i="1"/>
  <c r="BX1175" i="1"/>
  <c r="BY1175" i="1"/>
  <c r="BZ1175" i="1"/>
  <c r="CH1175" i="1"/>
  <c r="CL1175" i="1"/>
  <c r="CM1175" i="1"/>
  <c r="CN1175" i="1"/>
  <c r="CO1175" i="1"/>
  <c r="CP1175" i="1"/>
  <c r="CZ1175" i="1"/>
  <c r="DB1175" i="1"/>
  <c r="DF1175" i="1"/>
  <c r="AC572" i="1"/>
  <c r="AH572" i="1"/>
  <c r="BS572" i="1"/>
  <c r="BV572" i="1"/>
  <c r="BX572" i="1"/>
  <c r="BY572" i="1"/>
  <c r="BZ572" i="1"/>
  <c r="CA572" i="1"/>
  <c r="CH572" i="1"/>
  <c r="CL572" i="1"/>
  <c r="CM572" i="1"/>
  <c r="CN572" i="1"/>
  <c r="CO572" i="1"/>
  <c r="CP572" i="1"/>
  <c r="CZ572" i="1"/>
  <c r="DB572" i="1"/>
  <c r="DF572" i="1"/>
  <c r="AC1320" i="1"/>
  <c r="AH1320" i="1"/>
  <c r="BS1320" i="1"/>
  <c r="BV1320" i="1"/>
  <c r="BX1320" i="1"/>
  <c r="BY1320" i="1"/>
  <c r="BZ1320" i="1"/>
  <c r="CH1320" i="1"/>
  <c r="CL1320" i="1"/>
  <c r="CM1320" i="1"/>
  <c r="CN1320" i="1"/>
  <c r="CP1320" i="1"/>
  <c r="CZ1320" i="1"/>
  <c r="DB1320" i="1"/>
  <c r="DF1320" i="1"/>
  <c r="AC8" i="1"/>
  <c r="AH8" i="1"/>
  <c r="BS8" i="1"/>
  <c r="BV8" i="1"/>
  <c r="BX8" i="1"/>
  <c r="BY8" i="1"/>
  <c r="BZ8" i="1"/>
  <c r="CA8" i="1"/>
  <c r="CH8" i="1"/>
  <c r="CL8" i="1"/>
  <c r="CM8" i="1"/>
  <c r="CN8" i="1"/>
  <c r="CO8" i="1"/>
  <c r="CP8" i="1"/>
  <c r="CZ8" i="1"/>
  <c r="DB8" i="1"/>
  <c r="DF8" i="1"/>
  <c r="AC597" i="1"/>
  <c r="AH597" i="1"/>
  <c r="BS597" i="1"/>
  <c r="BV597" i="1"/>
  <c r="BX597" i="1"/>
  <c r="BY597" i="1"/>
  <c r="BZ597" i="1"/>
  <c r="CH597" i="1"/>
  <c r="CL597" i="1"/>
  <c r="CM597" i="1"/>
  <c r="CN597" i="1"/>
  <c r="CO597" i="1"/>
  <c r="CP597" i="1"/>
  <c r="CZ597" i="1"/>
  <c r="DB597" i="1"/>
  <c r="DF597" i="1"/>
  <c r="AC518" i="1"/>
  <c r="AH518" i="1"/>
  <c r="BS518" i="1"/>
  <c r="BV518" i="1"/>
  <c r="BX518" i="1"/>
  <c r="BY518" i="1"/>
  <c r="BZ518" i="1"/>
  <c r="CH518" i="1"/>
  <c r="CL518" i="1"/>
  <c r="CM518" i="1"/>
  <c r="CN518" i="1"/>
  <c r="CO518" i="1"/>
  <c r="CP518" i="1"/>
  <c r="CZ518" i="1"/>
  <c r="DB518" i="1"/>
  <c r="DF518" i="1"/>
  <c r="AC2048" i="1"/>
  <c r="AH2048" i="1"/>
  <c r="BS2048" i="1"/>
  <c r="BV2048" i="1"/>
  <c r="BX2048" i="1"/>
  <c r="BY2048" i="1"/>
  <c r="BZ2048" i="1"/>
  <c r="CH2048" i="1"/>
  <c r="CL2048" i="1"/>
  <c r="CM2048" i="1"/>
  <c r="CN2048" i="1"/>
  <c r="CO2048" i="1"/>
  <c r="CP2048" i="1"/>
  <c r="CZ2048" i="1"/>
  <c r="DB2048" i="1"/>
  <c r="DF2048" i="1"/>
  <c r="AC1588" i="1"/>
  <c r="AH1588" i="1"/>
  <c r="BS1588" i="1"/>
  <c r="BV1588" i="1"/>
  <c r="BX1588" i="1"/>
  <c r="BY1588" i="1"/>
  <c r="BZ1588" i="1"/>
  <c r="CA1588" i="1"/>
  <c r="CH1588" i="1"/>
  <c r="CL1588" i="1"/>
  <c r="CM1588" i="1"/>
  <c r="CN1588" i="1"/>
  <c r="CO1588" i="1"/>
  <c r="CP1588" i="1"/>
  <c r="CZ1588" i="1"/>
  <c r="DB1588" i="1"/>
  <c r="DF1588" i="1"/>
  <c r="AC902" i="1"/>
  <c r="AH902" i="1"/>
  <c r="BS902" i="1"/>
  <c r="BV902" i="1"/>
  <c r="BX902" i="1"/>
  <c r="BY902" i="1"/>
  <c r="BZ902" i="1"/>
  <c r="CA902" i="1"/>
  <c r="CH902" i="1"/>
  <c r="CL902" i="1"/>
  <c r="CM902" i="1"/>
  <c r="CN902" i="1"/>
  <c r="CO902" i="1"/>
  <c r="CP902" i="1"/>
  <c r="CZ902" i="1"/>
  <c r="DB902" i="1"/>
  <c r="DF902" i="1"/>
  <c r="AC471" i="1"/>
  <c r="AH471" i="1"/>
  <c r="BS471" i="1"/>
  <c r="BV471" i="1"/>
  <c r="BX471" i="1"/>
  <c r="BY471" i="1"/>
  <c r="BZ471" i="1"/>
  <c r="CA471" i="1"/>
  <c r="CH471" i="1"/>
  <c r="CL471" i="1"/>
  <c r="CM471" i="1"/>
  <c r="CN471" i="1"/>
  <c r="CO471" i="1"/>
  <c r="CP471" i="1"/>
  <c r="CZ471" i="1"/>
  <c r="DB471" i="1"/>
  <c r="DF471" i="1"/>
  <c r="AC1778" i="1"/>
  <c r="AH1778" i="1"/>
  <c r="BS1778" i="1"/>
  <c r="BV1778" i="1"/>
  <c r="BX1778" i="1"/>
  <c r="BY1778" i="1"/>
  <c r="BZ1778" i="1"/>
  <c r="CH1778" i="1"/>
  <c r="CL1778" i="1"/>
  <c r="CM1778" i="1"/>
  <c r="CN1778" i="1"/>
  <c r="CO1778" i="1"/>
  <c r="CP1778" i="1"/>
  <c r="CZ1778" i="1"/>
  <c r="DB1778" i="1"/>
  <c r="DF1778" i="1"/>
  <c r="AC1252" i="1"/>
  <c r="AH1252" i="1"/>
  <c r="BS1252" i="1"/>
  <c r="BV1252" i="1"/>
  <c r="BX1252" i="1"/>
  <c r="BY1252" i="1"/>
  <c r="BZ1252" i="1"/>
  <c r="CA1252" i="1"/>
  <c r="CH1252" i="1"/>
  <c r="CL1252" i="1"/>
  <c r="CM1252" i="1"/>
  <c r="CN1252" i="1"/>
  <c r="CO1252" i="1"/>
  <c r="CP1252" i="1"/>
  <c r="CZ1252" i="1"/>
  <c r="DB1252" i="1"/>
  <c r="DF1252" i="1"/>
  <c r="AC2304" i="1"/>
  <c r="AH2304" i="1"/>
  <c r="BS2304" i="1"/>
  <c r="BV2304" i="1"/>
  <c r="BX2304" i="1"/>
  <c r="BY2304" i="1"/>
  <c r="BZ2304" i="1"/>
  <c r="CA2304" i="1"/>
  <c r="CH2304" i="1"/>
  <c r="CL2304" i="1"/>
  <c r="CM2304" i="1"/>
  <c r="CN2304" i="1"/>
  <c r="CO2304" i="1"/>
  <c r="CP2304" i="1"/>
  <c r="CZ2304" i="1"/>
  <c r="DB2304" i="1"/>
  <c r="DF2304" i="1"/>
  <c r="AC359" i="1"/>
  <c r="AH359" i="1"/>
  <c r="BS359" i="1"/>
  <c r="BV359" i="1"/>
  <c r="BX359" i="1"/>
  <c r="BY359" i="1"/>
  <c r="BZ359" i="1"/>
  <c r="CA359" i="1"/>
  <c r="CH359" i="1"/>
  <c r="CL359" i="1"/>
  <c r="CM359" i="1"/>
  <c r="CN359" i="1"/>
  <c r="CO359" i="1"/>
  <c r="CP359" i="1"/>
  <c r="CZ359" i="1"/>
  <c r="DB359" i="1"/>
  <c r="DF359" i="1"/>
  <c r="AC1667" i="1"/>
  <c r="AH1667" i="1"/>
  <c r="BS1667" i="1"/>
  <c r="BV1667" i="1"/>
  <c r="BX1667" i="1"/>
  <c r="BY1667" i="1"/>
  <c r="BZ1667" i="1"/>
  <c r="CA1667" i="1"/>
  <c r="CH1667" i="1"/>
  <c r="CL1667" i="1"/>
  <c r="CM1667" i="1"/>
  <c r="CN1667" i="1"/>
  <c r="CP1667" i="1"/>
  <c r="CZ1667" i="1"/>
  <c r="DB1667" i="1"/>
  <c r="DF1667" i="1"/>
  <c r="AC46" i="1"/>
  <c r="AH46" i="1"/>
  <c r="BS46" i="1"/>
  <c r="BV46" i="1"/>
  <c r="BX46" i="1"/>
  <c r="BY46" i="1"/>
  <c r="BZ46" i="1"/>
  <c r="CA46" i="1"/>
  <c r="CH46" i="1"/>
  <c r="CL46" i="1"/>
  <c r="CM46" i="1"/>
  <c r="CN46" i="1"/>
  <c r="CO46" i="1"/>
  <c r="CP46" i="1"/>
  <c r="CZ46" i="1"/>
  <c r="DB46" i="1"/>
  <c r="DF46" i="1"/>
  <c r="AC1354" i="1"/>
  <c r="AH1354" i="1"/>
  <c r="BS1354" i="1"/>
  <c r="BV1354" i="1"/>
  <c r="BX1354" i="1"/>
  <c r="BY1354" i="1"/>
  <c r="BZ1354" i="1"/>
  <c r="CH1354" i="1"/>
  <c r="CL1354" i="1"/>
  <c r="CM1354" i="1"/>
  <c r="CN1354" i="1"/>
  <c r="CP1354" i="1"/>
  <c r="CZ1354" i="1"/>
  <c r="DB1354" i="1"/>
  <c r="DF1354" i="1"/>
  <c r="AC1104" i="1"/>
  <c r="AH1104" i="1"/>
  <c r="BS1104" i="1"/>
  <c r="BV1104" i="1"/>
  <c r="BX1104" i="1"/>
  <c r="BY1104" i="1"/>
  <c r="BZ1104" i="1"/>
  <c r="CA1104" i="1"/>
  <c r="CH1104" i="1"/>
  <c r="CL1104" i="1"/>
  <c r="CM1104" i="1"/>
  <c r="CN1104" i="1"/>
  <c r="CO1104" i="1"/>
  <c r="CP1104" i="1"/>
  <c r="CZ1104" i="1"/>
  <c r="DB1104" i="1"/>
  <c r="DF1104" i="1"/>
  <c r="AC872" i="1"/>
  <c r="AH872" i="1"/>
  <c r="BS872" i="1"/>
  <c r="BV872" i="1"/>
  <c r="BX872" i="1"/>
  <c r="BY872" i="1"/>
  <c r="BZ872" i="1"/>
  <c r="CA872" i="1"/>
  <c r="CH872" i="1"/>
  <c r="CL872" i="1"/>
  <c r="CM872" i="1"/>
  <c r="CN872" i="1"/>
  <c r="CO872" i="1"/>
  <c r="CP872" i="1"/>
  <c r="CZ872" i="1"/>
  <c r="DB872" i="1"/>
  <c r="DF872" i="1"/>
  <c r="AC155" i="1"/>
  <c r="AH155" i="1"/>
  <c r="BS155" i="1"/>
  <c r="BV155" i="1"/>
  <c r="BX155" i="1"/>
  <c r="BY155" i="1"/>
  <c r="BZ155" i="1"/>
  <c r="CA155" i="1"/>
  <c r="CH155" i="1"/>
  <c r="CL155" i="1"/>
  <c r="CM155" i="1"/>
  <c r="CN155" i="1"/>
  <c r="CO155" i="1"/>
  <c r="CP155" i="1"/>
  <c r="CZ155" i="1"/>
  <c r="DB155" i="1"/>
  <c r="DF155" i="1"/>
  <c r="AC246" i="1"/>
  <c r="AH246" i="1"/>
  <c r="BS246" i="1"/>
  <c r="BV246" i="1"/>
  <c r="BX246" i="1"/>
  <c r="BY246" i="1"/>
  <c r="BZ246" i="1"/>
  <c r="CA246" i="1"/>
  <c r="CH246" i="1"/>
  <c r="CL246" i="1"/>
  <c r="CM246" i="1"/>
  <c r="CN246" i="1"/>
  <c r="CO246" i="1"/>
  <c r="CP246" i="1"/>
  <c r="CZ246" i="1"/>
  <c r="DB246" i="1"/>
  <c r="DF246" i="1"/>
  <c r="AC22" i="1"/>
  <c r="AH22" i="1"/>
  <c r="BS22" i="1"/>
  <c r="BV22" i="1"/>
  <c r="BX22" i="1"/>
  <c r="BY22" i="1"/>
  <c r="BZ22" i="1"/>
  <c r="CA22" i="1"/>
  <c r="CH22" i="1"/>
  <c r="CL22" i="1"/>
  <c r="CM22" i="1"/>
  <c r="CN22" i="1"/>
  <c r="CO22" i="1"/>
  <c r="CP22" i="1"/>
  <c r="CZ22" i="1"/>
  <c r="DB22" i="1"/>
  <c r="DF22" i="1"/>
  <c r="AC1448" i="1"/>
  <c r="AH1448" i="1"/>
  <c r="BS1448" i="1"/>
  <c r="BV1448" i="1"/>
  <c r="BX1448" i="1"/>
  <c r="BY1448" i="1"/>
  <c r="BZ1448" i="1"/>
  <c r="CH1448" i="1"/>
  <c r="CL1448" i="1"/>
  <c r="CM1448" i="1"/>
  <c r="CN1448" i="1"/>
  <c r="CO1448" i="1"/>
  <c r="CP1448" i="1"/>
  <c r="CZ1448" i="1"/>
  <c r="DB1448" i="1"/>
  <c r="DF1448" i="1"/>
  <c r="AC1782" i="1"/>
  <c r="AH1782" i="1"/>
  <c r="BS1782" i="1"/>
  <c r="BV1782" i="1"/>
  <c r="BX1782" i="1"/>
  <c r="BY1782" i="1"/>
  <c r="BZ1782" i="1"/>
  <c r="CH1782" i="1"/>
  <c r="CL1782" i="1"/>
  <c r="CM1782" i="1"/>
  <c r="CN1782" i="1"/>
  <c r="CO1782" i="1"/>
  <c r="CP1782" i="1"/>
  <c r="CZ1782" i="1"/>
  <c r="DB1782" i="1"/>
  <c r="DF1782" i="1"/>
  <c r="AC1616" i="1"/>
  <c r="AH1616" i="1"/>
  <c r="BS1616" i="1"/>
  <c r="BV1616" i="1"/>
  <c r="BX1616" i="1"/>
  <c r="BY1616" i="1"/>
  <c r="BZ1616" i="1"/>
  <c r="CH1616" i="1"/>
  <c r="CL1616" i="1"/>
  <c r="CM1616" i="1"/>
  <c r="CN1616" i="1"/>
  <c r="CO1616" i="1"/>
  <c r="CP1616" i="1"/>
  <c r="CZ1616" i="1"/>
  <c r="DB1616" i="1"/>
  <c r="DF1616" i="1"/>
  <c r="AC184" i="1"/>
  <c r="AH184" i="1"/>
  <c r="BS184" i="1"/>
  <c r="BV184" i="1"/>
  <c r="BX184" i="1"/>
  <c r="BY184" i="1"/>
  <c r="BZ184" i="1"/>
  <c r="CA184" i="1"/>
  <c r="CH184" i="1"/>
  <c r="CL184" i="1"/>
  <c r="CM184" i="1"/>
  <c r="CN184" i="1"/>
  <c r="CO184" i="1"/>
  <c r="CP184" i="1"/>
  <c r="CZ184" i="1"/>
  <c r="DB184" i="1"/>
  <c r="DF184" i="1"/>
  <c r="AC196" i="1"/>
  <c r="AH196" i="1"/>
  <c r="BS196" i="1"/>
  <c r="BV196" i="1"/>
  <c r="BX196" i="1"/>
  <c r="BY196" i="1"/>
  <c r="BZ196" i="1"/>
  <c r="CA196" i="1"/>
  <c r="CH196" i="1"/>
  <c r="CL196" i="1"/>
  <c r="CM196" i="1"/>
  <c r="CN196" i="1"/>
  <c r="CO196" i="1"/>
  <c r="CP196" i="1"/>
  <c r="CZ196" i="1"/>
  <c r="DB196" i="1"/>
  <c r="DF196" i="1"/>
  <c r="AC810" i="1"/>
  <c r="AH810" i="1"/>
  <c r="BS810" i="1"/>
  <c r="BV810" i="1"/>
  <c r="BX810" i="1"/>
  <c r="BY810" i="1"/>
  <c r="BZ810" i="1"/>
  <c r="CH810" i="1"/>
  <c r="CL810" i="1"/>
  <c r="CM810" i="1"/>
  <c r="CN810" i="1"/>
  <c r="CO810" i="1"/>
  <c r="CP810" i="1"/>
  <c r="CZ810" i="1"/>
  <c r="DB810" i="1"/>
  <c r="DF810" i="1"/>
  <c r="AC933" i="1"/>
  <c r="AH933" i="1"/>
  <c r="BS933" i="1"/>
  <c r="BV933" i="1"/>
  <c r="BX933" i="1"/>
  <c r="BY933" i="1"/>
  <c r="BZ933" i="1"/>
  <c r="CA933" i="1"/>
  <c r="CH933" i="1"/>
  <c r="CL933" i="1"/>
  <c r="CM933" i="1"/>
  <c r="CN933" i="1"/>
  <c r="CO933" i="1"/>
  <c r="CP933" i="1"/>
  <c r="CZ933" i="1"/>
  <c r="DB933" i="1"/>
  <c r="DF933" i="1"/>
  <c r="AC1415" i="1"/>
  <c r="AH1415" i="1"/>
  <c r="BS1415" i="1"/>
  <c r="BV1415" i="1"/>
  <c r="BX1415" i="1"/>
  <c r="BY1415" i="1"/>
  <c r="BZ1415" i="1"/>
  <c r="CH1415" i="1"/>
  <c r="CL1415" i="1"/>
  <c r="CM1415" i="1"/>
  <c r="CN1415" i="1"/>
  <c r="CO1415" i="1"/>
  <c r="CP1415" i="1"/>
  <c r="CZ1415" i="1"/>
  <c r="DB1415" i="1"/>
  <c r="DF1415" i="1"/>
  <c r="AC2179" i="1"/>
  <c r="AH2179" i="1"/>
  <c r="BS2179" i="1"/>
  <c r="BV2179" i="1"/>
  <c r="BX2179" i="1"/>
  <c r="BY2179" i="1"/>
  <c r="BZ2179" i="1"/>
  <c r="CH2179" i="1"/>
  <c r="CL2179" i="1"/>
  <c r="CM2179" i="1"/>
  <c r="CN2179" i="1"/>
  <c r="CO2179" i="1"/>
  <c r="CP2179" i="1"/>
  <c r="CZ2179" i="1"/>
  <c r="DB2179" i="1"/>
  <c r="DF2179" i="1"/>
  <c r="AC2051" i="1"/>
  <c r="AH2051" i="1"/>
  <c r="BS2051" i="1"/>
  <c r="BV2051" i="1"/>
  <c r="BX2051" i="1"/>
  <c r="BY2051" i="1"/>
  <c r="BZ2051" i="1"/>
  <c r="CA2051" i="1"/>
  <c r="CH2051" i="1"/>
  <c r="CL2051" i="1"/>
  <c r="CM2051" i="1"/>
  <c r="CN2051" i="1"/>
  <c r="CO2051" i="1"/>
  <c r="CP2051" i="1"/>
  <c r="CZ2051" i="1"/>
  <c r="DB2051" i="1"/>
  <c r="DF2051" i="1"/>
  <c r="AC1966" i="1"/>
  <c r="AH1966" i="1"/>
  <c r="BS1966" i="1"/>
  <c r="BV1966" i="1"/>
  <c r="BX1966" i="1"/>
  <c r="BY1966" i="1"/>
  <c r="BZ1966" i="1"/>
  <c r="CA1966" i="1"/>
  <c r="CH1966" i="1"/>
  <c r="CL1966" i="1"/>
  <c r="CM1966" i="1"/>
  <c r="CN1966" i="1"/>
  <c r="CO1966" i="1"/>
  <c r="CP1966" i="1"/>
  <c r="CZ1966" i="1"/>
  <c r="DB1966" i="1"/>
  <c r="DF1966" i="1"/>
  <c r="AC148" i="1"/>
  <c r="AH148" i="1"/>
  <c r="BS148" i="1"/>
  <c r="BV148" i="1"/>
  <c r="BX148" i="1"/>
  <c r="BY148" i="1"/>
  <c r="BZ148" i="1"/>
  <c r="CA148" i="1"/>
  <c r="CH148" i="1"/>
  <c r="CL148" i="1"/>
  <c r="CM148" i="1"/>
  <c r="CN148" i="1"/>
  <c r="CO148" i="1"/>
  <c r="CP148" i="1"/>
  <c r="CZ148" i="1"/>
  <c r="DB148" i="1"/>
  <c r="DF148" i="1"/>
  <c r="AC750" i="1"/>
  <c r="AH750" i="1"/>
  <c r="BS750" i="1"/>
  <c r="BV750" i="1"/>
  <c r="BX750" i="1"/>
  <c r="BY750" i="1"/>
  <c r="BZ750" i="1"/>
  <c r="CA750" i="1"/>
  <c r="CH750" i="1"/>
  <c r="CL750" i="1"/>
  <c r="CM750" i="1"/>
  <c r="CN750" i="1"/>
  <c r="CO750" i="1"/>
  <c r="CP750" i="1"/>
  <c r="CZ750" i="1"/>
  <c r="DB750" i="1"/>
  <c r="DF750" i="1"/>
  <c r="AC1564" i="1"/>
  <c r="AH1564" i="1"/>
  <c r="BS1564" i="1"/>
  <c r="BV1564" i="1"/>
  <c r="BY1564" i="1"/>
  <c r="BZ1564" i="1"/>
  <c r="CA1564" i="1"/>
  <c r="CH1564" i="1"/>
  <c r="CL1564" i="1"/>
  <c r="CM1564" i="1"/>
  <c r="CN1564" i="1"/>
  <c r="CO1564" i="1"/>
  <c r="CP1564" i="1"/>
  <c r="CZ1564" i="1"/>
  <c r="DB1564" i="1"/>
  <c r="DF1564" i="1"/>
  <c r="AC2199" i="1"/>
  <c r="AH2199" i="1"/>
  <c r="BS2199" i="1"/>
  <c r="BV2199" i="1"/>
  <c r="BX2199" i="1"/>
  <c r="BY2199" i="1"/>
  <c r="BZ2199" i="1"/>
  <c r="CA2199" i="1"/>
  <c r="CH2199" i="1"/>
  <c r="CL2199" i="1"/>
  <c r="CM2199" i="1"/>
  <c r="CN2199" i="1"/>
  <c r="CO2199" i="1"/>
  <c r="CP2199" i="1"/>
  <c r="CZ2199" i="1"/>
  <c r="DB2199" i="1"/>
  <c r="DF2199" i="1"/>
  <c r="AC1456" i="1"/>
  <c r="AH1456" i="1"/>
  <c r="BS1456" i="1"/>
  <c r="BV1456" i="1"/>
  <c r="BX1456" i="1"/>
  <c r="BY1456" i="1"/>
  <c r="BZ1456" i="1"/>
  <c r="CH1456" i="1"/>
  <c r="CL1456" i="1"/>
  <c r="CM1456" i="1"/>
  <c r="CN1456" i="1"/>
  <c r="CO1456" i="1"/>
  <c r="CP1456" i="1"/>
  <c r="CZ1456" i="1"/>
  <c r="DB1456" i="1"/>
  <c r="DF1456" i="1"/>
  <c r="AC1485" i="1"/>
  <c r="AH1485" i="1"/>
  <c r="BS1485" i="1"/>
  <c r="BV1485" i="1"/>
  <c r="BX1485" i="1"/>
  <c r="BY1485" i="1"/>
  <c r="BZ1485" i="1"/>
  <c r="CA1485" i="1"/>
  <c r="CH1485" i="1"/>
  <c r="CL1485" i="1"/>
  <c r="CM1485" i="1"/>
  <c r="CN1485" i="1"/>
  <c r="CO1485" i="1"/>
  <c r="CP1485" i="1"/>
  <c r="CZ1485" i="1"/>
  <c r="DB1485" i="1"/>
  <c r="DF1485" i="1"/>
  <c r="AC1745" i="1"/>
  <c r="AH1745" i="1"/>
  <c r="BS1745" i="1"/>
  <c r="BV1745" i="1"/>
  <c r="BX1745" i="1"/>
  <c r="BY1745" i="1"/>
  <c r="BZ1745" i="1"/>
  <c r="CA1745" i="1"/>
  <c r="CH1745" i="1"/>
  <c r="CL1745" i="1"/>
  <c r="CM1745" i="1"/>
  <c r="CN1745" i="1"/>
  <c r="CO1745" i="1"/>
  <c r="CP1745" i="1"/>
  <c r="CZ1745" i="1"/>
  <c r="DB1745" i="1"/>
  <c r="DF1745" i="1"/>
  <c r="AC740" i="1"/>
  <c r="AH740" i="1"/>
  <c r="BS740" i="1"/>
  <c r="BV740" i="1"/>
  <c r="BX740" i="1"/>
  <c r="BY740" i="1"/>
  <c r="BZ740" i="1"/>
  <c r="CA740" i="1"/>
  <c r="CH740" i="1"/>
  <c r="CL740" i="1"/>
  <c r="CM740" i="1"/>
  <c r="CN740" i="1"/>
  <c r="CO740" i="1"/>
  <c r="CP740" i="1"/>
  <c r="CZ740" i="1"/>
  <c r="DB740" i="1"/>
  <c r="DF740" i="1"/>
  <c r="AC1090" i="1"/>
  <c r="AH1090" i="1"/>
  <c r="BS1090" i="1"/>
  <c r="BV1090" i="1"/>
  <c r="BX1090" i="1"/>
  <c r="BY1090" i="1"/>
  <c r="BZ1090" i="1"/>
  <c r="CA1090" i="1"/>
  <c r="CH1090" i="1"/>
  <c r="CL1090" i="1"/>
  <c r="CM1090" i="1"/>
  <c r="CN1090" i="1"/>
  <c r="CO1090" i="1"/>
  <c r="CP1090" i="1"/>
  <c r="CZ1090" i="1"/>
  <c r="DB1090" i="1"/>
  <c r="DF1090" i="1"/>
  <c r="AC450" i="1"/>
  <c r="AH450" i="1"/>
  <c r="BS450" i="1"/>
  <c r="BV450" i="1"/>
  <c r="BX450" i="1"/>
  <c r="BY450" i="1"/>
  <c r="BZ450" i="1"/>
  <c r="CA450" i="1"/>
  <c r="CH450" i="1"/>
  <c r="CL450" i="1"/>
  <c r="CM450" i="1"/>
  <c r="CN450" i="1"/>
  <c r="CO450" i="1"/>
  <c r="CP450" i="1"/>
  <c r="CZ450" i="1"/>
  <c r="DB450" i="1"/>
  <c r="DF450" i="1"/>
  <c r="AC1462" i="1"/>
  <c r="AH1462" i="1"/>
  <c r="BS1462" i="1"/>
  <c r="BV1462" i="1"/>
  <c r="BX1462" i="1"/>
  <c r="BY1462" i="1"/>
  <c r="BZ1462" i="1"/>
  <c r="CA1462" i="1"/>
  <c r="CH1462" i="1"/>
  <c r="CL1462" i="1"/>
  <c r="CM1462" i="1"/>
  <c r="CN1462" i="1"/>
  <c r="CP1462" i="1"/>
  <c r="CZ1462" i="1"/>
  <c r="DB1462" i="1"/>
  <c r="DF1462" i="1"/>
  <c r="AC1742" i="1"/>
  <c r="AH1742" i="1"/>
  <c r="BS1742" i="1"/>
  <c r="BV1742" i="1"/>
  <c r="BX1742" i="1"/>
  <c r="BY1742" i="1"/>
  <c r="BZ1742" i="1"/>
  <c r="CH1742" i="1"/>
  <c r="CL1742" i="1"/>
  <c r="CM1742" i="1"/>
  <c r="CN1742" i="1"/>
  <c r="CO1742" i="1"/>
  <c r="CP1742" i="1"/>
  <c r="CZ1742" i="1"/>
  <c r="DB1742" i="1"/>
  <c r="DF1742" i="1"/>
  <c r="AC2067" i="1"/>
  <c r="AH2067" i="1"/>
  <c r="BS2067" i="1"/>
  <c r="BV2067" i="1"/>
  <c r="BX2067" i="1"/>
  <c r="BY2067" i="1"/>
  <c r="BZ2067" i="1"/>
  <c r="CA2067" i="1"/>
  <c r="CH2067" i="1"/>
  <c r="CL2067" i="1"/>
  <c r="CM2067" i="1"/>
  <c r="CN2067" i="1"/>
  <c r="CO2067" i="1"/>
  <c r="CP2067" i="1"/>
  <c r="CZ2067" i="1"/>
  <c r="DB2067" i="1"/>
  <c r="DF2067" i="1"/>
  <c r="AC2295" i="1"/>
  <c r="AH2295" i="1"/>
  <c r="BS2295" i="1"/>
  <c r="BV2295" i="1"/>
  <c r="BX2295" i="1"/>
  <c r="BY2295" i="1"/>
  <c r="BZ2295" i="1"/>
  <c r="CA2295" i="1"/>
  <c r="CH2295" i="1"/>
  <c r="CL2295" i="1"/>
  <c r="CM2295" i="1"/>
  <c r="CN2295" i="1"/>
  <c r="CO2295" i="1"/>
  <c r="CP2295" i="1"/>
  <c r="CZ2295" i="1"/>
  <c r="DB2295" i="1"/>
  <c r="DF2295" i="1"/>
  <c r="AC601" i="1"/>
  <c r="AH601" i="1"/>
  <c r="BS601" i="1"/>
  <c r="BV601" i="1"/>
  <c r="BX601" i="1"/>
  <c r="BY601" i="1"/>
  <c r="BZ601" i="1"/>
  <c r="CA601" i="1"/>
  <c r="CH601" i="1"/>
  <c r="CL601" i="1"/>
  <c r="CM601" i="1"/>
  <c r="CN601" i="1"/>
  <c r="CO601" i="1"/>
  <c r="CP601" i="1"/>
  <c r="CZ601" i="1"/>
  <c r="DB601" i="1"/>
  <c r="DF601" i="1"/>
  <c r="AC1584" i="1"/>
  <c r="AH1584" i="1"/>
  <c r="BS1584" i="1"/>
  <c r="BV1584" i="1"/>
  <c r="BX1584" i="1"/>
  <c r="BY1584" i="1"/>
  <c r="BZ1584" i="1"/>
  <c r="CA1584" i="1"/>
  <c r="CH1584" i="1"/>
  <c r="CL1584" i="1"/>
  <c r="CM1584" i="1"/>
  <c r="CN1584" i="1"/>
  <c r="CO1584" i="1"/>
  <c r="CP1584" i="1"/>
  <c r="CZ1584" i="1"/>
  <c r="DB1584" i="1"/>
  <c r="DF1584" i="1"/>
  <c r="AC1107" i="1"/>
  <c r="AH1107" i="1"/>
  <c r="BS1107" i="1"/>
  <c r="BV1107" i="1"/>
  <c r="BX1107" i="1"/>
  <c r="BY1107" i="1"/>
  <c r="BZ1107" i="1"/>
  <c r="CA1107" i="1"/>
  <c r="CH1107" i="1"/>
  <c r="CL1107" i="1"/>
  <c r="CM1107" i="1"/>
  <c r="CN1107" i="1"/>
  <c r="CO1107" i="1"/>
  <c r="CP1107" i="1"/>
  <c r="CZ1107" i="1"/>
  <c r="DB1107" i="1"/>
  <c r="DF1107" i="1"/>
  <c r="AC2133" i="1"/>
  <c r="AH2133" i="1"/>
  <c r="BS2133" i="1"/>
  <c r="BV2133" i="1"/>
  <c r="BX2133" i="1"/>
  <c r="BY2133" i="1"/>
  <c r="BZ2133" i="1"/>
  <c r="CA2133" i="1"/>
  <c r="CH2133" i="1"/>
  <c r="CL2133" i="1"/>
  <c r="CM2133" i="1"/>
  <c r="CN2133" i="1"/>
  <c r="CO2133" i="1"/>
  <c r="CP2133" i="1"/>
  <c r="CZ2133" i="1"/>
  <c r="DB2133" i="1"/>
  <c r="DF2133" i="1"/>
  <c r="AC1396" i="1"/>
  <c r="AH1396" i="1"/>
  <c r="BS1396" i="1"/>
  <c r="BV1396" i="1"/>
  <c r="BX1396" i="1"/>
  <c r="BY1396" i="1"/>
  <c r="BZ1396" i="1"/>
  <c r="CA1396" i="1"/>
  <c r="CH1396" i="1"/>
  <c r="CL1396" i="1"/>
  <c r="CM1396" i="1"/>
  <c r="CN1396" i="1"/>
  <c r="CO1396" i="1"/>
  <c r="CP1396" i="1"/>
  <c r="CZ1396" i="1"/>
  <c r="DB1396" i="1"/>
  <c r="DF1396" i="1"/>
  <c r="AC1972" i="1"/>
  <c r="AH1972" i="1"/>
  <c r="BS1972" i="1"/>
  <c r="BV1972" i="1"/>
  <c r="BX1972" i="1"/>
  <c r="BY1972" i="1"/>
  <c r="BZ1972" i="1"/>
  <c r="CA1972" i="1"/>
  <c r="CH1972" i="1"/>
  <c r="CL1972" i="1"/>
  <c r="CM1972" i="1"/>
  <c r="CN1972" i="1"/>
  <c r="CO1972" i="1"/>
  <c r="CP1972" i="1"/>
  <c r="CZ1972" i="1"/>
  <c r="DB1972" i="1"/>
  <c r="DF1972" i="1"/>
  <c r="AC1297" i="1"/>
  <c r="AH1297" i="1"/>
  <c r="BS1297" i="1"/>
  <c r="BV1297" i="1"/>
  <c r="BX1297" i="1"/>
  <c r="BY1297" i="1"/>
  <c r="BZ1297" i="1"/>
  <c r="CH1297" i="1"/>
  <c r="CL1297" i="1"/>
  <c r="CM1297" i="1"/>
  <c r="CN1297" i="1"/>
  <c r="CO1297" i="1"/>
  <c r="CP1297" i="1"/>
  <c r="CZ1297" i="1"/>
  <c r="DB1297" i="1"/>
  <c r="DF1297" i="1"/>
  <c r="AC1256" i="1"/>
  <c r="AH1256" i="1"/>
  <c r="BS1256" i="1"/>
  <c r="BV1256" i="1"/>
  <c r="BX1256" i="1"/>
  <c r="BY1256" i="1"/>
  <c r="BZ1256" i="1"/>
  <c r="CA1256" i="1"/>
  <c r="CH1256" i="1"/>
  <c r="CL1256" i="1"/>
  <c r="CM1256" i="1"/>
  <c r="CN1256" i="1"/>
  <c r="CO1256" i="1"/>
  <c r="CP1256" i="1"/>
  <c r="CZ1256" i="1"/>
  <c r="DB1256" i="1"/>
  <c r="DF1256" i="1"/>
  <c r="AC981" i="1"/>
  <c r="AH981" i="1"/>
  <c r="BS981" i="1"/>
  <c r="BV981" i="1"/>
  <c r="BX981" i="1"/>
  <c r="BY981" i="1"/>
  <c r="BZ981" i="1"/>
  <c r="CA981" i="1"/>
  <c r="CH981" i="1"/>
  <c r="CL981" i="1"/>
  <c r="CM981" i="1"/>
  <c r="CN981" i="1"/>
  <c r="CO981" i="1"/>
  <c r="CP981" i="1"/>
  <c r="CZ981" i="1"/>
  <c r="DB981" i="1"/>
  <c r="DF981" i="1"/>
  <c r="AC1365" i="1"/>
  <c r="AH1365" i="1"/>
  <c r="BS1365" i="1"/>
  <c r="BV1365" i="1"/>
  <c r="BX1365" i="1"/>
  <c r="BY1365" i="1"/>
  <c r="BZ1365" i="1"/>
  <c r="CA1365" i="1"/>
  <c r="CH1365" i="1"/>
  <c r="CL1365" i="1"/>
  <c r="CM1365" i="1"/>
  <c r="CN1365" i="1"/>
  <c r="CO1365" i="1"/>
  <c r="CP1365" i="1"/>
  <c r="CZ1365" i="1"/>
  <c r="DB1365" i="1"/>
  <c r="DF1365" i="1"/>
  <c r="AC1187" i="1"/>
  <c r="AH1187" i="1"/>
  <c r="BS1187" i="1"/>
  <c r="BV1187" i="1"/>
  <c r="BX1187" i="1"/>
  <c r="BY1187" i="1"/>
  <c r="BZ1187" i="1"/>
  <c r="CA1187" i="1"/>
  <c r="CH1187" i="1"/>
  <c r="CL1187" i="1"/>
  <c r="CM1187" i="1"/>
  <c r="CN1187" i="1"/>
  <c r="CO1187" i="1"/>
  <c r="CP1187" i="1"/>
  <c r="CZ1187" i="1"/>
  <c r="DB1187" i="1"/>
  <c r="DF1187" i="1"/>
  <c r="AC625" i="1"/>
  <c r="AH625" i="1"/>
  <c r="BS625" i="1"/>
  <c r="BV625" i="1"/>
  <c r="BX625" i="1"/>
  <c r="BY625" i="1"/>
  <c r="BZ625" i="1"/>
  <c r="CA625" i="1"/>
  <c r="CH625" i="1"/>
  <c r="CL625" i="1"/>
  <c r="CM625" i="1"/>
  <c r="CN625" i="1"/>
  <c r="CO625" i="1"/>
  <c r="CP625" i="1"/>
  <c r="CZ625" i="1"/>
  <c r="DB625" i="1"/>
  <c r="DF625" i="1"/>
  <c r="AC49" i="1"/>
  <c r="AH49" i="1"/>
  <c r="BS49" i="1"/>
  <c r="BV49" i="1"/>
  <c r="BX49" i="1"/>
  <c r="BY49" i="1"/>
  <c r="BZ49" i="1"/>
  <c r="CA49" i="1"/>
  <c r="CH49" i="1"/>
  <c r="CL49" i="1"/>
  <c r="CM49" i="1"/>
  <c r="CN49" i="1"/>
  <c r="CO49" i="1"/>
  <c r="CP49" i="1"/>
  <c r="CZ49" i="1"/>
  <c r="DB49" i="1"/>
  <c r="DF49" i="1"/>
  <c r="AC2080" i="1"/>
  <c r="AH2080" i="1"/>
  <c r="BS2080" i="1"/>
  <c r="BV2080" i="1"/>
  <c r="BX2080" i="1"/>
  <c r="BY2080" i="1"/>
  <c r="BZ2080" i="1"/>
  <c r="CH2080" i="1"/>
  <c r="CL2080" i="1"/>
  <c r="CM2080" i="1"/>
  <c r="CN2080" i="1"/>
  <c r="CO2080" i="1"/>
  <c r="CP2080" i="1"/>
  <c r="CZ2080" i="1"/>
  <c r="DB2080" i="1"/>
  <c r="DF2080" i="1"/>
  <c r="AC556" i="1"/>
  <c r="AH556" i="1"/>
  <c r="BS556" i="1"/>
  <c r="BV556" i="1"/>
  <c r="BX556" i="1"/>
  <c r="BY556" i="1"/>
  <c r="BZ556" i="1"/>
  <c r="CH556" i="1"/>
  <c r="CL556" i="1"/>
  <c r="CM556" i="1"/>
  <c r="CN556" i="1"/>
  <c r="CO556" i="1"/>
  <c r="CP556" i="1"/>
  <c r="CZ556" i="1"/>
  <c r="DB556" i="1"/>
  <c r="DF556" i="1"/>
  <c r="AC1631" i="1"/>
  <c r="AH1631" i="1"/>
  <c r="BS1631" i="1"/>
  <c r="BV1631" i="1"/>
  <c r="BX1631" i="1"/>
  <c r="BY1631" i="1"/>
  <c r="BZ1631" i="1"/>
  <c r="CA1631" i="1"/>
  <c r="CH1631" i="1"/>
  <c r="CL1631" i="1"/>
  <c r="CM1631" i="1"/>
  <c r="CN1631" i="1"/>
  <c r="CO1631" i="1"/>
  <c r="CP1631" i="1"/>
  <c r="CZ1631" i="1"/>
  <c r="DB1631" i="1"/>
  <c r="DF1631" i="1"/>
  <c r="AC2313" i="1"/>
  <c r="AH2313" i="1"/>
  <c r="BS2313" i="1"/>
  <c r="BV2313" i="1"/>
  <c r="BX2313" i="1"/>
  <c r="BY2313" i="1"/>
  <c r="BZ2313" i="1"/>
  <c r="CA2313" i="1"/>
  <c r="CH2313" i="1"/>
  <c r="CL2313" i="1"/>
  <c r="CM2313" i="1"/>
  <c r="CN2313" i="1"/>
  <c r="CO2313" i="1"/>
  <c r="CP2313" i="1"/>
  <c r="CZ2313" i="1"/>
  <c r="DB2313" i="1"/>
  <c r="DF2313" i="1"/>
  <c r="AC507" i="1"/>
  <c r="AH507" i="1"/>
  <c r="BS507" i="1"/>
  <c r="BV507" i="1"/>
  <c r="BX507" i="1"/>
  <c r="BY507" i="1"/>
  <c r="BZ507" i="1"/>
  <c r="CA507" i="1"/>
  <c r="CH507" i="1"/>
  <c r="CL507" i="1"/>
  <c r="CM507" i="1"/>
  <c r="CN507" i="1"/>
  <c r="CO507" i="1"/>
  <c r="CP507" i="1"/>
  <c r="CZ507" i="1"/>
  <c r="DB507" i="1"/>
  <c r="DF507" i="1"/>
  <c r="AC242" i="1"/>
  <c r="AH242" i="1"/>
  <c r="BS242" i="1"/>
  <c r="BV242" i="1"/>
  <c r="BX242" i="1"/>
  <c r="BY242" i="1"/>
  <c r="BZ242" i="1"/>
  <c r="CA242" i="1"/>
  <c r="CH242" i="1"/>
  <c r="CL242" i="1"/>
  <c r="CM242" i="1"/>
  <c r="CN242" i="1"/>
  <c r="CO242" i="1"/>
  <c r="CP242" i="1"/>
  <c r="CZ242" i="1"/>
  <c r="DB242" i="1"/>
  <c r="DF242" i="1"/>
  <c r="AC386" i="1"/>
  <c r="AH386" i="1"/>
  <c r="BS386" i="1"/>
  <c r="BV386" i="1"/>
  <c r="BX386" i="1"/>
  <c r="BY386" i="1"/>
  <c r="BZ386" i="1"/>
  <c r="CA386" i="1"/>
  <c r="CH386" i="1"/>
  <c r="CL386" i="1"/>
  <c r="CM386" i="1"/>
  <c r="CN386" i="1"/>
  <c r="CO386" i="1"/>
  <c r="CP386" i="1"/>
  <c r="CZ386" i="1"/>
  <c r="DB386" i="1"/>
  <c r="DF386" i="1"/>
  <c r="AC2112" i="1"/>
  <c r="AH2112" i="1"/>
  <c r="BS2112" i="1"/>
  <c r="BV2112" i="1"/>
  <c r="BX2112" i="1"/>
  <c r="BY2112" i="1"/>
  <c r="BZ2112" i="1"/>
  <c r="CA2112" i="1"/>
  <c r="CH2112" i="1"/>
  <c r="CL2112" i="1"/>
  <c r="CM2112" i="1"/>
  <c r="CN2112" i="1"/>
  <c r="CO2112" i="1"/>
  <c r="CP2112" i="1"/>
  <c r="CZ2112" i="1"/>
  <c r="DB2112" i="1"/>
  <c r="DF2112" i="1"/>
  <c r="AC2094" i="1"/>
  <c r="AH2094" i="1"/>
  <c r="BS2094" i="1"/>
  <c r="BV2094" i="1"/>
  <c r="BX2094" i="1"/>
  <c r="BY2094" i="1"/>
  <c r="BZ2094" i="1"/>
  <c r="CA2094" i="1"/>
  <c r="CH2094" i="1"/>
  <c r="CL2094" i="1"/>
  <c r="CM2094" i="1"/>
  <c r="CN2094" i="1"/>
  <c r="CO2094" i="1"/>
  <c r="CP2094" i="1"/>
  <c r="CZ2094" i="1"/>
  <c r="DB2094" i="1"/>
  <c r="DF2094" i="1"/>
  <c r="AC481" i="1"/>
  <c r="AH481" i="1"/>
  <c r="BS481" i="1"/>
  <c r="BV481" i="1"/>
  <c r="BX481" i="1"/>
  <c r="BY481" i="1"/>
  <c r="BZ481" i="1"/>
  <c r="CH481" i="1"/>
  <c r="CL481" i="1"/>
  <c r="CM481" i="1"/>
  <c r="CN481" i="1"/>
  <c r="CO481" i="1"/>
  <c r="CP481" i="1"/>
  <c r="CZ481" i="1"/>
  <c r="DB481" i="1"/>
  <c r="DF481" i="1"/>
  <c r="AC1651" i="1"/>
  <c r="AH1651" i="1"/>
  <c r="BS1651" i="1"/>
  <c r="BV1651" i="1"/>
  <c r="BX1651" i="1"/>
  <c r="BY1651" i="1"/>
  <c r="BZ1651" i="1"/>
  <c r="CH1651" i="1"/>
  <c r="CL1651" i="1"/>
  <c r="CM1651" i="1"/>
  <c r="CN1651" i="1"/>
  <c r="CO1651" i="1"/>
  <c r="CP1651" i="1"/>
  <c r="CZ1651" i="1"/>
  <c r="DB1651" i="1"/>
  <c r="DF1651" i="1"/>
  <c r="AC704" i="1"/>
  <c r="AH704" i="1"/>
  <c r="BS704" i="1"/>
  <c r="BV704" i="1"/>
  <c r="BX704" i="1"/>
  <c r="BY704" i="1"/>
  <c r="BZ704" i="1"/>
  <c r="CA704" i="1"/>
  <c r="CH704" i="1"/>
  <c r="CL704" i="1"/>
  <c r="CM704" i="1"/>
  <c r="CN704" i="1"/>
  <c r="CO704" i="1"/>
  <c r="CP704" i="1"/>
  <c r="CZ704" i="1"/>
  <c r="DB704" i="1"/>
  <c r="DF704" i="1"/>
  <c r="AC1709" i="1"/>
  <c r="AH1709" i="1"/>
  <c r="BS1709" i="1"/>
  <c r="BV1709" i="1"/>
  <c r="BX1709" i="1"/>
  <c r="BY1709" i="1"/>
  <c r="BZ1709" i="1"/>
  <c r="CH1709" i="1"/>
  <c r="CL1709" i="1"/>
  <c r="CM1709" i="1"/>
  <c r="CN1709" i="1"/>
  <c r="CO1709" i="1"/>
  <c r="CP1709" i="1"/>
  <c r="CZ1709" i="1"/>
  <c r="DB1709" i="1"/>
  <c r="DF1709" i="1"/>
  <c r="AC165" i="1"/>
  <c r="AH165" i="1"/>
  <c r="BS165" i="1"/>
  <c r="BV165" i="1"/>
  <c r="BX165" i="1"/>
  <c r="BY165" i="1"/>
  <c r="BZ165" i="1"/>
  <c r="CA165" i="1"/>
  <c r="CH165" i="1"/>
  <c r="CL165" i="1"/>
  <c r="CM165" i="1"/>
  <c r="CN165" i="1"/>
  <c r="CO165" i="1"/>
  <c r="CP165" i="1"/>
  <c r="CZ165" i="1"/>
  <c r="DB165" i="1"/>
  <c r="DF165" i="1"/>
  <c r="AC2288" i="1"/>
  <c r="AH2288" i="1"/>
  <c r="BS2288" i="1"/>
  <c r="BV2288" i="1"/>
  <c r="BX2288" i="1"/>
  <c r="BY2288" i="1"/>
  <c r="BZ2288" i="1"/>
  <c r="CA2288" i="1"/>
  <c r="CH2288" i="1"/>
  <c r="CL2288" i="1"/>
  <c r="CM2288" i="1"/>
  <c r="CN2288" i="1"/>
  <c r="CO2288" i="1"/>
  <c r="CP2288" i="1"/>
  <c r="CZ2288" i="1"/>
  <c r="DB2288" i="1"/>
  <c r="DF2288" i="1"/>
  <c r="AC1351" i="1"/>
  <c r="AH1351" i="1"/>
  <c r="BS1351" i="1"/>
  <c r="BV1351" i="1"/>
  <c r="BX1351" i="1"/>
  <c r="BY1351" i="1"/>
  <c r="BZ1351" i="1"/>
  <c r="CA1351" i="1"/>
  <c r="CH1351" i="1"/>
  <c r="CL1351" i="1"/>
  <c r="CM1351" i="1"/>
  <c r="CN1351" i="1"/>
  <c r="CO1351" i="1"/>
  <c r="CP1351" i="1"/>
  <c r="CZ1351" i="1"/>
  <c r="DB1351" i="1"/>
  <c r="DF1351" i="1"/>
  <c r="AC2234" i="1"/>
  <c r="AH2234" i="1"/>
  <c r="BS2234" i="1"/>
  <c r="BV2234" i="1"/>
  <c r="BX2234" i="1"/>
  <c r="BY2234" i="1"/>
  <c r="BZ2234" i="1"/>
  <c r="CA2234" i="1"/>
  <c r="CH2234" i="1"/>
  <c r="CL2234" i="1"/>
  <c r="CM2234" i="1"/>
  <c r="CN2234" i="1"/>
  <c r="CO2234" i="1"/>
  <c r="CP2234" i="1"/>
  <c r="CZ2234" i="1"/>
  <c r="DB2234" i="1"/>
  <c r="DF2234" i="1"/>
  <c r="AC1085" i="1"/>
  <c r="AH1085" i="1"/>
  <c r="BS1085" i="1"/>
  <c r="BV1085" i="1"/>
  <c r="BX1085" i="1"/>
  <c r="BY1085" i="1"/>
  <c r="BZ1085" i="1"/>
  <c r="CH1085" i="1"/>
  <c r="CL1085" i="1"/>
  <c r="CM1085" i="1"/>
  <c r="CN1085" i="1"/>
  <c r="CO1085" i="1"/>
  <c r="CP1085" i="1"/>
  <c r="CZ1085" i="1"/>
  <c r="DB1085" i="1"/>
  <c r="DF1085" i="1"/>
  <c r="AC62" i="1"/>
  <c r="AH62" i="1"/>
  <c r="BS62" i="1"/>
  <c r="BV62" i="1"/>
  <c r="BX62" i="1"/>
  <c r="BY62" i="1"/>
  <c r="BZ62" i="1"/>
  <c r="CA62" i="1"/>
  <c r="CH62" i="1"/>
  <c r="CL62" i="1"/>
  <c r="CM62" i="1"/>
  <c r="CN62" i="1"/>
  <c r="CO62" i="1"/>
  <c r="CP62" i="1"/>
  <c r="CZ62" i="1"/>
  <c r="DB62" i="1"/>
  <c r="DF62" i="1"/>
  <c r="AC2280" i="1"/>
  <c r="AH2280" i="1"/>
  <c r="BS2280" i="1"/>
  <c r="BV2280" i="1"/>
  <c r="BX2280" i="1"/>
  <c r="BY2280" i="1"/>
  <c r="BZ2280" i="1"/>
  <c r="CA2280" i="1"/>
  <c r="CH2280" i="1"/>
  <c r="CL2280" i="1"/>
  <c r="CM2280" i="1"/>
  <c r="CN2280" i="1"/>
  <c r="CO2280" i="1"/>
  <c r="CP2280" i="1"/>
  <c r="CZ2280" i="1"/>
  <c r="DB2280" i="1"/>
  <c r="DF2280" i="1"/>
  <c r="AC478" i="1"/>
  <c r="AH478" i="1"/>
  <c r="BS478" i="1"/>
  <c r="BV478" i="1"/>
  <c r="BX478" i="1"/>
  <c r="BY478" i="1"/>
  <c r="BZ478" i="1"/>
  <c r="CA478" i="1"/>
  <c r="CH478" i="1"/>
  <c r="CL478" i="1"/>
  <c r="CM478" i="1"/>
  <c r="CN478" i="1"/>
  <c r="CO478" i="1"/>
  <c r="CP478" i="1"/>
  <c r="CZ478" i="1"/>
  <c r="DB478" i="1"/>
  <c r="DF478" i="1"/>
  <c r="AC179" i="1"/>
  <c r="AH179" i="1"/>
  <c r="BS179" i="1"/>
  <c r="BV179" i="1"/>
  <c r="BX179" i="1"/>
  <c r="BY179" i="1"/>
  <c r="BZ179" i="1"/>
  <c r="CA179" i="1"/>
  <c r="CH179" i="1"/>
  <c r="CL179" i="1"/>
  <c r="CM179" i="1"/>
  <c r="CN179" i="1"/>
  <c r="CO179" i="1"/>
  <c r="CP179" i="1"/>
  <c r="CZ179" i="1"/>
  <c r="DB179" i="1"/>
  <c r="DF179" i="1"/>
  <c r="AC102" i="1"/>
  <c r="AH102" i="1"/>
  <c r="BS102" i="1"/>
  <c r="BV102" i="1"/>
  <c r="BX102" i="1"/>
  <c r="BY102" i="1"/>
  <c r="BZ102" i="1"/>
  <c r="CA102" i="1"/>
  <c r="CH102" i="1"/>
  <c r="CL102" i="1"/>
  <c r="CM102" i="1"/>
  <c r="CN102" i="1"/>
  <c r="CO102" i="1"/>
  <c r="CP102" i="1"/>
  <c r="CZ102" i="1"/>
  <c r="DB102" i="1"/>
  <c r="DF102" i="1"/>
  <c r="AC1820" i="1"/>
  <c r="AH1820" i="1"/>
  <c r="BS1820" i="1"/>
  <c r="BV1820" i="1"/>
  <c r="BX1820" i="1"/>
  <c r="BY1820" i="1"/>
  <c r="BZ1820" i="1"/>
  <c r="CA1820" i="1"/>
  <c r="CH1820" i="1"/>
  <c r="CL1820" i="1"/>
  <c r="CM1820" i="1"/>
  <c r="CN1820" i="1"/>
  <c r="CO1820" i="1"/>
  <c r="CP1820" i="1"/>
  <c r="CZ1820" i="1"/>
  <c r="DB1820" i="1"/>
  <c r="DF1820" i="1"/>
  <c r="AC1596" i="1"/>
  <c r="AH1596" i="1"/>
  <c r="BS1596" i="1"/>
  <c r="BV1596" i="1"/>
  <c r="BX1596" i="1"/>
  <c r="BY1596" i="1"/>
  <c r="BZ1596" i="1"/>
  <c r="CH1596" i="1"/>
  <c r="CL1596" i="1"/>
  <c r="CM1596" i="1"/>
  <c r="CN1596" i="1"/>
  <c r="CP1596" i="1"/>
  <c r="CZ1596" i="1"/>
  <c r="DB1596" i="1"/>
  <c r="DF1596" i="1"/>
  <c r="AC1311" i="1"/>
  <c r="AH1311" i="1"/>
  <c r="BS1311" i="1"/>
  <c r="BV1311" i="1"/>
  <c r="BX1311" i="1"/>
  <c r="BY1311" i="1"/>
  <c r="BZ1311" i="1"/>
  <c r="CA1311" i="1"/>
  <c r="CH1311" i="1"/>
  <c r="CL1311" i="1"/>
  <c r="CM1311" i="1"/>
  <c r="CN1311" i="1"/>
  <c r="CO1311" i="1"/>
  <c r="CP1311" i="1"/>
  <c r="CZ1311" i="1"/>
  <c r="DB1311" i="1"/>
  <c r="DF1311" i="1"/>
  <c r="AC2023" i="1"/>
  <c r="AH2023" i="1"/>
  <c r="BS2023" i="1"/>
  <c r="BV2023" i="1"/>
  <c r="BX2023" i="1"/>
  <c r="BY2023" i="1"/>
  <c r="BZ2023" i="1"/>
  <c r="CH2023" i="1"/>
  <c r="CL2023" i="1"/>
  <c r="CM2023" i="1"/>
  <c r="CN2023" i="1"/>
  <c r="CO2023" i="1"/>
  <c r="CP2023" i="1"/>
  <c r="CZ2023" i="1"/>
  <c r="DB2023" i="1"/>
  <c r="DF2023" i="1"/>
  <c r="AC71" i="1"/>
  <c r="AH71" i="1"/>
  <c r="BS71" i="1"/>
  <c r="BV71" i="1"/>
  <c r="BX71" i="1"/>
  <c r="BY71" i="1"/>
  <c r="BZ71" i="1"/>
  <c r="CH71" i="1"/>
  <c r="CL71" i="1"/>
  <c r="CM71" i="1"/>
  <c r="CN71" i="1"/>
  <c r="CO71" i="1"/>
  <c r="CP71" i="1"/>
  <c r="CZ71" i="1"/>
  <c r="DB71" i="1"/>
  <c r="DF71" i="1"/>
  <c r="AC805" i="1"/>
  <c r="AH805" i="1"/>
  <c r="BS805" i="1"/>
  <c r="BV805" i="1"/>
  <c r="BX805" i="1"/>
  <c r="BY805" i="1"/>
  <c r="BZ805" i="1"/>
  <c r="CH805" i="1"/>
  <c r="CL805" i="1"/>
  <c r="CM805" i="1"/>
  <c r="CN805" i="1"/>
  <c r="CO805" i="1"/>
  <c r="CP805" i="1"/>
  <c r="CZ805" i="1"/>
  <c r="DB805" i="1"/>
  <c r="DF805" i="1"/>
  <c r="AC1874" i="1"/>
  <c r="AH1874" i="1"/>
  <c r="BS1874" i="1"/>
  <c r="BV1874" i="1"/>
  <c r="BX1874" i="1"/>
  <c r="BY1874" i="1"/>
  <c r="BZ1874" i="1"/>
  <c r="CA1874" i="1"/>
  <c r="CH1874" i="1"/>
  <c r="CL1874" i="1"/>
  <c r="CM1874" i="1"/>
  <c r="CN1874" i="1"/>
  <c r="CO1874" i="1"/>
  <c r="CP1874" i="1"/>
  <c r="CZ1874" i="1"/>
  <c r="DB1874" i="1"/>
  <c r="DF1874" i="1"/>
  <c r="AC514" i="1"/>
  <c r="AH514" i="1"/>
  <c r="BS514" i="1"/>
  <c r="BV514" i="1"/>
  <c r="BX514" i="1"/>
  <c r="BY514" i="1"/>
  <c r="BZ514" i="1"/>
  <c r="CH514" i="1"/>
  <c r="CL514" i="1"/>
  <c r="CM514" i="1"/>
  <c r="CN514" i="1"/>
  <c r="CO514" i="1"/>
  <c r="CP514" i="1"/>
  <c r="CZ514" i="1"/>
  <c r="DB514" i="1"/>
  <c r="DF514" i="1"/>
  <c r="AC567" i="1"/>
  <c r="AH567" i="1"/>
  <c r="BS567" i="1"/>
  <c r="BV567" i="1"/>
  <c r="BX567" i="1"/>
  <c r="BY567" i="1"/>
  <c r="BZ567" i="1"/>
  <c r="CA567" i="1"/>
  <c r="CH567" i="1"/>
  <c r="CL567" i="1"/>
  <c r="CM567" i="1"/>
  <c r="CN567" i="1"/>
  <c r="CO567" i="1"/>
  <c r="CP567" i="1"/>
  <c r="CZ567" i="1"/>
  <c r="DB567" i="1"/>
  <c r="DF567" i="1"/>
  <c r="AC2117" i="1"/>
  <c r="AH2117" i="1"/>
  <c r="BS2117" i="1"/>
  <c r="BV2117" i="1"/>
  <c r="BX2117" i="1"/>
  <c r="BY2117" i="1"/>
  <c r="BZ2117" i="1"/>
  <c r="CA2117" i="1"/>
  <c r="CH2117" i="1"/>
  <c r="CL2117" i="1"/>
  <c r="CM2117" i="1"/>
  <c r="CN2117" i="1"/>
  <c r="CO2117" i="1"/>
  <c r="CP2117" i="1"/>
  <c r="CZ2117" i="1"/>
  <c r="DB2117" i="1"/>
  <c r="DF2117" i="1"/>
  <c r="AC1369" i="1"/>
  <c r="AH1369" i="1"/>
  <c r="BS1369" i="1"/>
  <c r="BV1369" i="1"/>
  <c r="BX1369" i="1"/>
  <c r="BY1369" i="1"/>
  <c r="BZ1369" i="1"/>
  <c r="CH1369" i="1"/>
  <c r="CL1369" i="1"/>
  <c r="CM1369" i="1"/>
  <c r="CN1369" i="1"/>
  <c r="CP1369" i="1"/>
  <c r="CZ1369" i="1"/>
  <c r="DB1369" i="1"/>
  <c r="DF1369" i="1"/>
  <c r="AC1695" i="1"/>
  <c r="AH1695" i="1"/>
  <c r="BS1695" i="1"/>
  <c r="BV1695" i="1"/>
  <c r="BX1695" i="1"/>
  <c r="BY1695" i="1"/>
  <c r="BZ1695" i="1"/>
  <c r="CA1695" i="1"/>
  <c r="CH1695" i="1"/>
  <c r="CL1695" i="1"/>
  <c r="CM1695" i="1"/>
  <c r="CN1695" i="1"/>
  <c r="CO1695" i="1"/>
  <c r="CP1695" i="1"/>
  <c r="CZ1695" i="1"/>
  <c r="DB1695" i="1"/>
  <c r="DF1695" i="1"/>
  <c r="AC526" i="1"/>
  <c r="AH526" i="1"/>
  <c r="BS526" i="1"/>
  <c r="BV526" i="1"/>
  <c r="BX526" i="1"/>
  <c r="BY526" i="1"/>
  <c r="BZ526" i="1"/>
  <c r="CH526" i="1"/>
  <c r="CL526" i="1"/>
  <c r="CM526" i="1"/>
  <c r="CN526" i="1"/>
  <c r="CO526" i="1"/>
  <c r="CP526" i="1"/>
  <c r="CZ526" i="1"/>
  <c r="DB526" i="1"/>
  <c r="DF526" i="1"/>
  <c r="AC337" i="1"/>
  <c r="AH337" i="1"/>
  <c r="BS337" i="1"/>
  <c r="BV337" i="1"/>
  <c r="BX337" i="1"/>
  <c r="BY337" i="1"/>
  <c r="BZ337" i="1"/>
  <c r="CH337" i="1"/>
  <c r="CL337" i="1"/>
  <c r="CM337" i="1"/>
  <c r="CN337" i="1"/>
  <c r="CO337" i="1"/>
  <c r="CP337" i="1"/>
  <c r="CZ337" i="1"/>
  <c r="DB337" i="1"/>
  <c r="DF337" i="1"/>
  <c r="AC86" i="1"/>
  <c r="AH86" i="1"/>
  <c r="BS86" i="1"/>
  <c r="BV86" i="1"/>
  <c r="BX86" i="1"/>
  <c r="BY86" i="1"/>
  <c r="BZ86" i="1"/>
  <c r="CA86" i="1"/>
  <c r="CH86" i="1"/>
  <c r="CL86" i="1"/>
  <c r="CM86" i="1"/>
  <c r="CN86" i="1"/>
  <c r="CO86" i="1"/>
  <c r="CP86" i="1"/>
  <c r="CZ86" i="1"/>
  <c r="DB86" i="1"/>
  <c r="DF86" i="1"/>
  <c r="AC387" i="1"/>
  <c r="AH387" i="1"/>
  <c r="BS387" i="1"/>
  <c r="BV387" i="1"/>
  <c r="BX387" i="1"/>
  <c r="BY387" i="1"/>
  <c r="BZ387" i="1"/>
  <c r="CA387" i="1"/>
  <c r="CH387" i="1"/>
  <c r="CL387" i="1"/>
  <c r="CM387" i="1"/>
  <c r="CN387" i="1"/>
  <c r="CO387" i="1"/>
  <c r="CP387" i="1"/>
  <c r="CZ387" i="1"/>
  <c r="DB387" i="1"/>
  <c r="DF387" i="1"/>
  <c r="AC1305" i="1"/>
  <c r="AH1305" i="1"/>
  <c r="BS1305" i="1"/>
  <c r="BV1305" i="1"/>
  <c r="BX1305" i="1"/>
  <c r="BY1305" i="1"/>
  <c r="BZ1305" i="1"/>
  <c r="CA1305" i="1"/>
  <c r="CH1305" i="1"/>
  <c r="CL1305" i="1"/>
  <c r="CM1305" i="1"/>
  <c r="CN1305" i="1"/>
  <c r="CO1305" i="1"/>
  <c r="CP1305" i="1"/>
  <c r="CZ1305" i="1"/>
  <c r="DB1305" i="1"/>
  <c r="DF1305" i="1"/>
  <c r="AC925" i="1"/>
  <c r="AH925" i="1"/>
  <c r="BS925" i="1"/>
  <c r="BV925" i="1"/>
  <c r="BX925" i="1"/>
  <c r="BY925" i="1"/>
  <c r="BZ925" i="1"/>
  <c r="CA925" i="1"/>
  <c r="CH925" i="1"/>
  <c r="CL925" i="1"/>
  <c r="CM925" i="1"/>
  <c r="CN925" i="1"/>
  <c r="CO925" i="1"/>
  <c r="CP925" i="1"/>
  <c r="CZ925" i="1"/>
  <c r="DB925" i="1"/>
  <c r="DF925" i="1"/>
  <c r="AC2192" i="1"/>
  <c r="AH2192" i="1"/>
  <c r="BS2192" i="1"/>
  <c r="BV2192" i="1"/>
  <c r="BX2192" i="1"/>
  <c r="BY2192" i="1"/>
  <c r="BZ2192" i="1"/>
  <c r="CA2192" i="1"/>
  <c r="CH2192" i="1"/>
  <c r="CL2192" i="1"/>
  <c r="CM2192" i="1"/>
  <c r="CN2192" i="1"/>
  <c r="CO2192" i="1"/>
  <c r="CP2192" i="1"/>
  <c r="CZ2192" i="1"/>
  <c r="DB2192" i="1"/>
  <c r="DF2192" i="1"/>
  <c r="AC1562" i="1"/>
  <c r="AH1562" i="1"/>
  <c r="BS1562" i="1"/>
  <c r="BV1562" i="1"/>
  <c r="BX1562" i="1"/>
  <c r="BY1562" i="1"/>
  <c r="BZ1562" i="1"/>
  <c r="CH1562" i="1"/>
  <c r="CL1562" i="1"/>
  <c r="CM1562" i="1"/>
  <c r="CN1562" i="1"/>
  <c r="CO1562" i="1"/>
  <c r="CP1562" i="1"/>
  <c r="CZ1562" i="1"/>
  <c r="DB1562" i="1"/>
  <c r="DF1562" i="1"/>
  <c r="AC1301" i="1"/>
  <c r="AH1301" i="1"/>
  <c r="BS1301" i="1"/>
  <c r="BV1301" i="1"/>
  <c r="BX1301" i="1"/>
  <c r="BY1301" i="1"/>
  <c r="BZ1301" i="1"/>
  <c r="CH1301" i="1"/>
  <c r="CL1301" i="1"/>
  <c r="CM1301" i="1"/>
  <c r="CN1301" i="1"/>
  <c r="CO1301" i="1"/>
  <c r="CP1301" i="1"/>
  <c r="CZ1301" i="1"/>
  <c r="DB1301" i="1"/>
  <c r="DF1301" i="1"/>
  <c r="AC1604" i="1"/>
  <c r="AH1604" i="1"/>
  <c r="BS1604" i="1"/>
  <c r="BV1604" i="1"/>
  <c r="BX1604" i="1"/>
  <c r="BY1604" i="1"/>
  <c r="BZ1604" i="1"/>
  <c r="CH1604" i="1"/>
  <c r="CL1604" i="1"/>
  <c r="CM1604" i="1"/>
  <c r="CN1604" i="1"/>
  <c r="CO1604" i="1"/>
  <c r="CP1604" i="1"/>
  <c r="CZ1604" i="1"/>
  <c r="DB1604" i="1"/>
  <c r="DF1604" i="1"/>
  <c r="AC1909" i="1"/>
  <c r="AH1909" i="1"/>
  <c r="BS1909" i="1"/>
  <c r="BV1909" i="1"/>
  <c r="BX1909" i="1"/>
  <c r="BY1909" i="1"/>
  <c r="BZ1909" i="1"/>
  <c r="CA1909" i="1"/>
  <c r="CH1909" i="1"/>
  <c r="CL1909" i="1"/>
  <c r="CM1909" i="1"/>
  <c r="CN1909" i="1"/>
  <c r="CO1909" i="1"/>
  <c r="CP1909" i="1"/>
  <c r="CZ1909" i="1"/>
  <c r="DB1909" i="1"/>
  <c r="DF1909" i="1"/>
  <c r="AC2030" i="1"/>
  <c r="AH2030" i="1"/>
  <c r="BS2030" i="1"/>
  <c r="BV2030" i="1"/>
  <c r="BX2030" i="1"/>
  <c r="BY2030" i="1"/>
  <c r="BZ2030" i="1"/>
  <c r="CA2030" i="1"/>
  <c r="CH2030" i="1"/>
  <c r="CL2030" i="1"/>
  <c r="CM2030" i="1"/>
  <c r="CN2030" i="1"/>
  <c r="CO2030" i="1"/>
  <c r="CP2030" i="1"/>
  <c r="CZ2030" i="1"/>
  <c r="DB2030" i="1"/>
  <c r="DF2030" i="1"/>
  <c r="AC1276" i="1"/>
  <c r="AH1276" i="1"/>
  <c r="BS1276" i="1"/>
  <c r="BV1276" i="1"/>
  <c r="BX1276" i="1"/>
  <c r="BY1276" i="1"/>
  <c r="BZ1276" i="1"/>
  <c r="CH1276" i="1"/>
  <c r="CL1276" i="1"/>
  <c r="CM1276" i="1"/>
  <c r="CN1276" i="1"/>
  <c r="CO1276" i="1"/>
  <c r="CP1276" i="1"/>
  <c r="CZ1276" i="1"/>
  <c r="DB1276" i="1"/>
  <c r="DF1276" i="1"/>
  <c r="AC886" i="1"/>
  <c r="AH886" i="1"/>
  <c r="BS886" i="1"/>
  <c r="BV886" i="1"/>
  <c r="BX886" i="1"/>
  <c r="BY886" i="1"/>
  <c r="BZ886" i="1"/>
  <c r="CH886" i="1"/>
  <c r="CL886" i="1"/>
  <c r="CM886" i="1"/>
  <c r="CN886" i="1"/>
  <c r="CO886" i="1"/>
  <c r="CP886" i="1"/>
  <c r="CZ886" i="1"/>
  <c r="DB886" i="1"/>
  <c r="DF886" i="1"/>
  <c r="AC1766" i="1"/>
  <c r="AH1766" i="1"/>
  <c r="BS1766" i="1"/>
  <c r="BV1766" i="1"/>
  <c r="BX1766" i="1"/>
  <c r="BY1766" i="1"/>
  <c r="BZ1766" i="1"/>
  <c r="CH1766" i="1"/>
  <c r="CL1766" i="1"/>
  <c r="CM1766" i="1"/>
  <c r="CN1766" i="1"/>
  <c r="CO1766" i="1"/>
  <c r="CP1766" i="1"/>
  <c r="CZ1766" i="1"/>
  <c r="DB1766" i="1"/>
  <c r="DF1766" i="1"/>
  <c r="AC1235" i="1"/>
  <c r="AH1235" i="1"/>
  <c r="BS1235" i="1"/>
  <c r="BV1235" i="1"/>
  <c r="BX1235" i="1"/>
  <c r="BY1235" i="1"/>
  <c r="BZ1235" i="1"/>
  <c r="CA1235" i="1"/>
  <c r="CH1235" i="1"/>
  <c r="CL1235" i="1"/>
  <c r="CM1235" i="1"/>
  <c r="CN1235" i="1"/>
  <c r="CO1235" i="1"/>
  <c r="CP1235" i="1"/>
  <c r="CZ1235" i="1"/>
  <c r="DB1235" i="1"/>
  <c r="DF1235" i="1"/>
  <c r="AC1951" i="1"/>
  <c r="AH1951" i="1"/>
  <c r="BS1951" i="1"/>
  <c r="BV1951" i="1"/>
  <c r="BX1951" i="1"/>
  <c r="BY1951" i="1"/>
  <c r="BZ1951" i="1"/>
  <c r="CA1951" i="1"/>
  <c r="CH1951" i="1"/>
  <c r="CL1951" i="1"/>
  <c r="CM1951" i="1"/>
  <c r="CN1951" i="1"/>
  <c r="CO1951" i="1"/>
  <c r="CP1951" i="1"/>
  <c r="CZ1951" i="1"/>
  <c r="DB1951" i="1"/>
  <c r="DF1951" i="1"/>
  <c r="AC1544" i="1"/>
  <c r="AH1544" i="1"/>
  <c r="BS1544" i="1"/>
  <c r="BV1544" i="1"/>
  <c r="BX1544" i="1"/>
  <c r="BY1544" i="1"/>
  <c r="BZ1544" i="1"/>
  <c r="CA1544" i="1"/>
  <c r="CH1544" i="1"/>
  <c r="CL1544" i="1"/>
  <c r="CM1544" i="1"/>
  <c r="CN1544" i="1"/>
  <c r="CO1544" i="1"/>
  <c r="CP1544" i="1"/>
  <c r="CZ1544" i="1"/>
  <c r="DB1544" i="1"/>
  <c r="DF1544" i="1"/>
  <c r="AC358" i="1"/>
  <c r="AH358" i="1"/>
  <c r="BS358" i="1"/>
  <c r="BV358" i="1"/>
  <c r="BX358" i="1"/>
  <c r="BY358" i="1"/>
  <c r="BZ358" i="1"/>
  <c r="CH358" i="1"/>
  <c r="CL358" i="1"/>
  <c r="CM358" i="1"/>
  <c r="CN358" i="1"/>
  <c r="CO358" i="1"/>
  <c r="CP358" i="1"/>
  <c r="CZ358" i="1"/>
  <c r="DB358" i="1"/>
  <c r="DF358" i="1"/>
  <c r="AC1153" i="1"/>
  <c r="AH1153" i="1"/>
  <c r="BS1153" i="1"/>
  <c r="BV1153" i="1"/>
  <c r="BX1153" i="1"/>
  <c r="BY1153" i="1"/>
  <c r="BZ1153" i="1"/>
  <c r="CA1153" i="1"/>
  <c r="CH1153" i="1"/>
  <c r="CL1153" i="1"/>
  <c r="CM1153" i="1"/>
  <c r="CN1153" i="1"/>
  <c r="CO1153" i="1"/>
  <c r="CP1153" i="1"/>
  <c r="CZ1153" i="1"/>
  <c r="DB1153" i="1"/>
  <c r="DF1153" i="1"/>
  <c r="AC1218" i="1"/>
  <c r="AH1218" i="1"/>
  <c r="BS1218" i="1"/>
  <c r="BV1218" i="1"/>
  <c r="BX1218" i="1"/>
  <c r="BY1218" i="1"/>
  <c r="BZ1218" i="1"/>
  <c r="CH1218" i="1"/>
  <c r="CL1218" i="1"/>
  <c r="CM1218" i="1"/>
  <c r="CN1218" i="1"/>
  <c r="CO1218" i="1"/>
  <c r="CP1218" i="1"/>
  <c r="CZ1218" i="1"/>
  <c r="DB1218" i="1"/>
  <c r="DF1218" i="1"/>
  <c r="AC1094" i="1"/>
  <c r="AH1094" i="1"/>
  <c r="BS1094" i="1"/>
  <c r="BV1094" i="1"/>
  <c r="BX1094" i="1"/>
  <c r="BY1094" i="1"/>
  <c r="BZ1094" i="1"/>
  <c r="CA1094" i="1"/>
  <c r="CH1094" i="1"/>
  <c r="CL1094" i="1"/>
  <c r="CM1094" i="1"/>
  <c r="CN1094" i="1"/>
  <c r="CO1094" i="1"/>
  <c r="CP1094" i="1"/>
  <c r="CZ1094" i="1"/>
  <c r="DB1094" i="1"/>
  <c r="DF1094" i="1"/>
  <c r="AC492" i="1"/>
  <c r="AH492" i="1"/>
  <c r="BS492" i="1"/>
  <c r="BV492" i="1"/>
  <c r="BX492" i="1"/>
  <c r="BY492" i="1"/>
  <c r="BZ492" i="1"/>
  <c r="CH492" i="1"/>
  <c r="CL492" i="1"/>
  <c r="CM492" i="1"/>
  <c r="CN492" i="1"/>
  <c r="CO492" i="1"/>
  <c r="CP492" i="1"/>
  <c r="CZ492" i="1"/>
  <c r="DB492" i="1"/>
  <c r="DF492" i="1"/>
  <c r="AC2239" i="1"/>
  <c r="AH2239" i="1"/>
  <c r="BS2239" i="1"/>
  <c r="BV2239" i="1"/>
  <c r="BX2239" i="1"/>
  <c r="BY2239" i="1"/>
  <c r="BZ2239" i="1"/>
  <c r="CA2239" i="1"/>
  <c r="CH2239" i="1"/>
  <c r="CL2239" i="1"/>
  <c r="CM2239" i="1"/>
  <c r="CN2239" i="1"/>
  <c r="CO2239" i="1"/>
  <c r="CP2239" i="1"/>
  <c r="CZ2239" i="1"/>
  <c r="DB2239" i="1"/>
  <c r="DF2239" i="1"/>
  <c r="AC731" i="1"/>
  <c r="AH731" i="1"/>
  <c r="BS731" i="1"/>
  <c r="BV731" i="1"/>
  <c r="BX731" i="1"/>
  <c r="BY731" i="1"/>
  <c r="BZ731" i="1"/>
  <c r="CA731" i="1"/>
  <c r="CH731" i="1"/>
  <c r="CL731" i="1"/>
  <c r="CM731" i="1"/>
  <c r="CN731" i="1"/>
  <c r="CO731" i="1"/>
  <c r="CP731" i="1"/>
  <c r="CZ731" i="1"/>
  <c r="DB731" i="1"/>
  <c r="DF731" i="1"/>
  <c r="AC500" i="1"/>
  <c r="AH500" i="1"/>
  <c r="BS500" i="1"/>
  <c r="BV500" i="1"/>
  <c r="BX500" i="1"/>
  <c r="BY500" i="1"/>
  <c r="BZ500" i="1"/>
  <c r="CA500" i="1"/>
  <c r="CH500" i="1"/>
  <c r="CL500" i="1"/>
  <c r="CM500" i="1"/>
  <c r="CN500" i="1"/>
  <c r="CO500" i="1"/>
  <c r="CP500" i="1"/>
  <c r="CZ500" i="1"/>
  <c r="DB500" i="1"/>
  <c r="DF500" i="1"/>
  <c r="AC1890" i="1"/>
  <c r="AH1890" i="1"/>
  <c r="BS1890" i="1"/>
  <c r="BV1890" i="1"/>
  <c r="BX1890" i="1"/>
  <c r="BY1890" i="1"/>
  <c r="BZ1890" i="1"/>
  <c r="CH1890" i="1"/>
  <c r="CL1890" i="1"/>
  <c r="CM1890" i="1"/>
  <c r="CN1890" i="1"/>
  <c r="CO1890" i="1"/>
  <c r="CP1890" i="1"/>
  <c r="CZ1890" i="1"/>
  <c r="DB1890" i="1"/>
  <c r="DF1890" i="1"/>
  <c r="AC522" i="1"/>
  <c r="AH522" i="1"/>
  <c r="BS522" i="1"/>
  <c r="BV522" i="1"/>
  <c r="BX522" i="1"/>
  <c r="BY522" i="1"/>
  <c r="BZ522" i="1"/>
  <c r="CH522" i="1"/>
  <c r="CL522" i="1"/>
  <c r="CM522" i="1"/>
  <c r="CN522" i="1"/>
  <c r="CO522" i="1"/>
  <c r="CP522" i="1"/>
  <c r="CZ522" i="1"/>
  <c r="DB522" i="1"/>
  <c r="DF522" i="1"/>
  <c r="AC13" i="1"/>
  <c r="AH13" i="1"/>
  <c r="BS13" i="1"/>
  <c r="BV13" i="1"/>
  <c r="BX13" i="1"/>
  <c r="BY13" i="1"/>
  <c r="BZ13" i="1"/>
  <c r="CA13" i="1"/>
  <c r="CH13" i="1"/>
  <c r="CL13" i="1"/>
  <c r="CM13" i="1"/>
  <c r="CN13" i="1"/>
  <c r="CO13" i="1"/>
  <c r="CP13" i="1"/>
  <c r="CZ13" i="1"/>
  <c r="DB13" i="1"/>
  <c r="DF13" i="1"/>
  <c r="AC2013" i="1"/>
  <c r="AH2013" i="1"/>
  <c r="BS2013" i="1"/>
  <c r="BV2013" i="1"/>
  <c r="BX2013" i="1"/>
  <c r="BY2013" i="1"/>
  <c r="BZ2013" i="1"/>
  <c r="CA2013" i="1"/>
  <c r="CH2013" i="1"/>
  <c r="CL2013" i="1"/>
  <c r="CM2013" i="1"/>
  <c r="CN2013" i="1"/>
  <c r="CO2013" i="1"/>
  <c r="CP2013" i="1"/>
  <c r="CZ2013" i="1"/>
  <c r="DB2013" i="1"/>
  <c r="DF2013" i="1"/>
  <c r="AC1008" i="1"/>
  <c r="AH1008" i="1"/>
  <c r="BS1008" i="1"/>
  <c r="BV1008" i="1"/>
  <c r="BX1008" i="1"/>
  <c r="BY1008" i="1"/>
  <c r="BZ1008" i="1"/>
  <c r="CH1008" i="1"/>
  <c r="CL1008" i="1"/>
  <c r="CM1008" i="1"/>
  <c r="CN1008" i="1"/>
  <c r="CO1008" i="1"/>
  <c r="CP1008" i="1"/>
  <c r="CZ1008" i="1"/>
  <c r="DB1008" i="1"/>
  <c r="DF1008" i="1"/>
  <c r="AC1509" i="1"/>
  <c r="AH1509" i="1"/>
  <c r="BS1509" i="1"/>
  <c r="BV1509" i="1"/>
  <c r="BX1509" i="1"/>
  <c r="BY1509" i="1"/>
  <c r="BZ1509" i="1"/>
  <c r="CH1509" i="1"/>
  <c r="CL1509" i="1"/>
  <c r="CM1509" i="1"/>
  <c r="CN1509" i="1"/>
  <c r="CO1509" i="1"/>
  <c r="CP1509" i="1"/>
  <c r="CZ1509" i="1"/>
  <c r="DB1509" i="1"/>
  <c r="DF1509" i="1"/>
  <c r="AC1502" i="1"/>
  <c r="AH1502" i="1"/>
  <c r="BS1502" i="1"/>
  <c r="BV1502" i="1"/>
  <c r="BX1502" i="1"/>
  <c r="BY1502" i="1"/>
  <c r="BZ1502" i="1"/>
  <c r="CA1502" i="1"/>
  <c r="CH1502" i="1"/>
  <c r="CL1502" i="1"/>
  <c r="CM1502" i="1"/>
  <c r="CN1502" i="1"/>
  <c r="CO1502" i="1"/>
  <c r="CP1502" i="1"/>
  <c r="CZ1502" i="1"/>
  <c r="DB1502" i="1"/>
  <c r="DF1502" i="1"/>
  <c r="AC118" i="1"/>
  <c r="AH118" i="1"/>
  <c r="BS118" i="1"/>
  <c r="BV118" i="1"/>
  <c r="BX118" i="1"/>
  <c r="BY118" i="1"/>
  <c r="BZ118" i="1"/>
  <c r="CH118" i="1"/>
  <c r="CL118" i="1"/>
  <c r="CM118" i="1"/>
  <c r="CN118" i="1"/>
  <c r="CO118" i="1"/>
  <c r="CP118" i="1"/>
  <c r="CZ118" i="1"/>
  <c r="DB118" i="1"/>
  <c r="DF118" i="1"/>
  <c r="AC962" i="1"/>
  <c r="AH962" i="1"/>
  <c r="BS962" i="1"/>
  <c r="BV962" i="1"/>
  <c r="BX962" i="1"/>
  <c r="BY962" i="1"/>
  <c r="BZ962" i="1"/>
  <c r="CA962" i="1"/>
  <c r="CH962" i="1"/>
  <c r="CL962" i="1"/>
  <c r="CM962" i="1"/>
  <c r="CN962" i="1"/>
  <c r="CO962" i="1"/>
  <c r="CP962" i="1"/>
  <c r="CZ962" i="1"/>
  <c r="DB962" i="1"/>
  <c r="DF962" i="1"/>
  <c r="AC1032" i="1"/>
  <c r="AH1032" i="1"/>
  <c r="BS1032" i="1"/>
  <c r="BV1032" i="1"/>
  <c r="BX1032" i="1"/>
  <c r="BY1032" i="1"/>
  <c r="BZ1032" i="1"/>
  <c r="CA1032" i="1"/>
  <c r="CH1032" i="1"/>
  <c r="CL1032" i="1"/>
  <c r="CM1032" i="1"/>
  <c r="CN1032" i="1"/>
  <c r="CO1032" i="1"/>
  <c r="CP1032" i="1"/>
  <c r="CZ1032" i="1"/>
  <c r="DB1032" i="1"/>
  <c r="DF1032" i="1"/>
  <c r="AC1319" i="1"/>
  <c r="AH1319" i="1"/>
  <c r="BS1319" i="1"/>
  <c r="BV1319" i="1"/>
  <c r="BX1319" i="1"/>
  <c r="BY1319" i="1"/>
  <c r="BZ1319" i="1"/>
  <c r="CA1319" i="1"/>
  <c r="CH1319" i="1"/>
  <c r="CL1319" i="1"/>
  <c r="CM1319" i="1"/>
  <c r="CN1319" i="1"/>
  <c r="CO1319" i="1"/>
  <c r="CP1319" i="1"/>
  <c r="CZ1319" i="1"/>
  <c r="DB1319" i="1"/>
  <c r="DF1319" i="1"/>
  <c r="AC2111" i="1"/>
  <c r="AH2111" i="1"/>
  <c r="BS2111" i="1"/>
  <c r="BV2111" i="1"/>
  <c r="BX2111" i="1"/>
  <c r="BY2111" i="1"/>
  <c r="BZ2111" i="1"/>
  <c r="CA2111" i="1"/>
  <c r="CH2111" i="1"/>
  <c r="CL2111" i="1"/>
  <c r="CM2111" i="1"/>
  <c r="CN2111" i="1"/>
  <c r="CO2111" i="1"/>
  <c r="CP2111" i="1"/>
  <c r="CZ2111" i="1"/>
  <c r="DB2111" i="1"/>
  <c r="DF2111" i="1"/>
  <c r="AC34" i="1"/>
  <c r="AH34" i="1"/>
  <c r="BS34" i="1"/>
  <c r="BV34" i="1"/>
  <c r="BX34" i="1"/>
  <c r="BY34" i="1"/>
  <c r="BZ34" i="1"/>
  <c r="CA34" i="1"/>
  <c r="CH34" i="1"/>
  <c r="CL34" i="1"/>
  <c r="CM34" i="1"/>
  <c r="CN34" i="1"/>
  <c r="CO34" i="1"/>
  <c r="CP34" i="1"/>
  <c r="CZ34" i="1"/>
  <c r="DB34" i="1"/>
  <c r="DF34" i="1"/>
  <c r="AC1191" i="1"/>
  <c r="AH1191" i="1"/>
  <c r="BS1191" i="1"/>
  <c r="BV1191" i="1"/>
  <c r="BX1191" i="1"/>
  <c r="BY1191" i="1"/>
  <c r="BZ1191" i="1"/>
  <c r="CH1191" i="1"/>
  <c r="CL1191" i="1"/>
  <c r="CM1191" i="1"/>
  <c r="CN1191" i="1"/>
  <c r="CO1191" i="1"/>
  <c r="CP1191" i="1"/>
  <c r="CZ1191" i="1"/>
  <c r="DB1191" i="1"/>
  <c r="DF1191" i="1"/>
  <c r="AC841" i="1"/>
  <c r="AH841" i="1"/>
  <c r="BS841" i="1"/>
  <c r="BV841" i="1"/>
  <c r="BX841" i="1"/>
  <c r="BY841" i="1"/>
  <c r="BZ841" i="1"/>
  <c r="CA841" i="1"/>
  <c r="CH841" i="1"/>
  <c r="CL841" i="1"/>
  <c r="CM841" i="1"/>
  <c r="CN841" i="1"/>
  <c r="CO841" i="1"/>
  <c r="CP841" i="1"/>
  <c r="CZ841" i="1"/>
  <c r="DB841" i="1"/>
  <c r="DF841" i="1"/>
  <c r="AC222" i="1"/>
  <c r="AH222" i="1"/>
  <c r="BS222" i="1"/>
  <c r="BV222" i="1"/>
  <c r="BX222" i="1"/>
  <c r="BY222" i="1"/>
  <c r="BZ222" i="1"/>
  <c r="CA222" i="1"/>
  <c r="CH222" i="1"/>
  <c r="CL222" i="1"/>
  <c r="CM222" i="1"/>
  <c r="CN222" i="1"/>
  <c r="CO222" i="1"/>
  <c r="CP222" i="1"/>
  <c r="CZ222" i="1"/>
  <c r="DB222" i="1"/>
  <c r="DF222" i="1"/>
  <c r="AC446" i="1"/>
  <c r="AH446" i="1"/>
  <c r="BS446" i="1"/>
  <c r="BV446" i="1"/>
  <c r="BX446" i="1"/>
  <c r="BY446" i="1"/>
  <c r="BZ446" i="1"/>
  <c r="CA446" i="1"/>
  <c r="CH446" i="1"/>
  <c r="CL446" i="1"/>
  <c r="CM446" i="1"/>
  <c r="CN446" i="1"/>
  <c r="CO446" i="1"/>
  <c r="CP446" i="1"/>
  <c r="CZ446" i="1"/>
  <c r="DB446" i="1"/>
  <c r="DF446" i="1"/>
  <c r="AC2214" i="1"/>
  <c r="AH2214" i="1"/>
  <c r="BS2214" i="1"/>
  <c r="BV2214" i="1"/>
  <c r="BX2214" i="1"/>
  <c r="BY2214" i="1"/>
  <c r="BZ2214" i="1"/>
  <c r="CA2214" i="1"/>
  <c r="CH2214" i="1"/>
  <c r="CL2214" i="1"/>
  <c r="CM2214" i="1"/>
  <c r="CN2214" i="1"/>
  <c r="CO2214" i="1"/>
  <c r="CP2214" i="1"/>
  <c r="CZ2214" i="1"/>
  <c r="DB2214" i="1"/>
  <c r="DF2214" i="1"/>
  <c r="AC157" i="1"/>
  <c r="AH157" i="1"/>
  <c r="BS157" i="1"/>
  <c r="BV157" i="1"/>
  <c r="BX157" i="1"/>
  <c r="BY157" i="1"/>
  <c r="BZ157" i="1"/>
  <c r="CA157" i="1"/>
  <c r="CH157" i="1"/>
  <c r="CL157" i="1"/>
  <c r="CM157" i="1"/>
  <c r="CN157" i="1"/>
  <c r="CO157" i="1"/>
  <c r="CP157" i="1"/>
  <c r="CZ157" i="1"/>
  <c r="DB157" i="1"/>
  <c r="DF157" i="1"/>
  <c r="AC14" i="1"/>
  <c r="AH14" i="1"/>
  <c r="BS14" i="1"/>
  <c r="BV14" i="1"/>
  <c r="BX14" i="1"/>
  <c r="BY14" i="1"/>
  <c r="BZ14" i="1"/>
  <c r="CA14" i="1"/>
  <c r="CH14" i="1"/>
  <c r="CL14" i="1"/>
  <c r="CM14" i="1"/>
  <c r="CN14" i="1"/>
  <c r="CO14" i="1"/>
  <c r="CP14" i="1"/>
  <c r="CZ14" i="1"/>
  <c r="DB14" i="1"/>
  <c r="DF14" i="1"/>
  <c r="AC1316" i="1"/>
  <c r="AH1316" i="1"/>
  <c r="BS1316" i="1"/>
  <c r="BV1316" i="1"/>
  <c r="BX1316" i="1"/>
  <c r="BY1316" i="1"/>
  <c r="BZ1316" i="1"/>
  <c r="CA1316" i="1"/>
  <c r="CH1316" i="1"/>
  <c r="CL1316" i="1"/>
  <c r="CM1316" i="1"/>
  <c r="CN1316" i="1"/>
  <c r="CO1316" i="1"/>
  <c r="CP1316" i="1"/>
  <c r="CZ1316" i="1"/>
  <c r="DB1316" i="1"/>
  <c r="DF1316" i="1"/>
  <c r="AC1332" i="1"/>
  <c r="AH1332" i="1"/>
  <c r="BS1332" i="1"/>
  <c r="BV1332" i="1"/>
  <c r="BX1332" i="1"/>
  <c r="BY1332" i="1"/>
  <c r="BZ1332" i="1"/>
  <c r="CH1332" i="1"/>
  <c r="CL1332" i="1"/>
  <c r="CM1332" i="1"/>
  <c r="CN1332" i="1"/>
  <c r="CO1332" i="1"/>
  <c r="CP1332" i="1"/>
  <c r="CZ1332" i="1"/>
  <c r="DB1332" i="1"/>
  <c r="DF1332" i="1"/>
  <c r="AC1685" i="1"/>
  <c r="AH1685" i="1"/>
  <c r="BS1685" i="1"/>
  <c r="BV1685" i="1"/>
  <c r="BX1685" i="1"/>
  <c r="BY1685" i="1"/>
  <c r="BZ1685" i="1"/>
  <c r="CA1685" i="1"/>
  <c r="CH1685" i="1"/>
  <c r="CL1685" i="1"/>
  <c r="CM1685" i="1"/>
  <c r="CN1685" i="1"/>
  <c r="CO1685" i="1"/>
  <c r="CP1685" i="1"/>
  <c r="CZ1685" i="1"/>
  <c r="DB1685" i="1"/>
  <c r="DF1685" i="1"/>
  <c r="AC1067" i="1"/>
  <c r="AH1067" i="1"/>
  <c r="BS1067" i="1"/>
  <c r="BV1067" i="1"/>
  <c r="BX1067" i="1"/>
  <c r="BY1067" i="1"/>
  <c r="BZ1067" i="1"/>
  <c r="CA1067" i="1"/>
  <c r="CH1067" i="1"/>
  <c r="CL1067" i="1"/>
  <c r="CM1067" i="1"/>
  <c r="CN1067" i="1"/>
  <c r="CO1067" i="1"/>
  <c r="CP1067" i="1"/>
  <c r="CZ1067" i="1"/>
  <c r="DB1067" i="1"/>
  <c r="DF1067" i="1"/>
  <c r="AC48" i="1"/>
  <c r="AH48" i="1"/>
  <c r="BS48" i="1"/>
  <c r="BV48" i="1"/>
  <c r="BX48" i="1"/>
  <c r="BY48" i="1"/>
  <c r="BZ48" i="1"/>
  <c r="CA48" i="1"/>
  <c r="CH48" i="1"/>
  <c r="CL48" i="1"/>
  <c r="CM48" i="1"/>
  <c r="CN48" i="1"/>
  <c r="CO48" i="1"/>
  <c r="CP48" i="1"/>
  <c r="CZ48" i="1"/>
  <c r="DB48" i="1"/>
  <c r="DF48" i="1"/>
  <c r="AC1761" i="1"/>
  <c r="AH1761" i="1"/>
  <c r="BS1761" i="1"/>
  <c r="BV1761" i="1"/>
  <c r="BX1761" i="1"/>
  <c r="BY1761" i="1"/>
  <c r="BZ1761" i="1"/>
  <c r="CH1761" i="1"/>
  <c r="CL1761" i="1"/>
  <c r="CM1761" i="1"/>
  <c r="CN1761" i="1"/>
  <c r="CO1761" i="1"/>
  <c r="CP1761" i="1"/>
  <c r="CZ1761" i="1"/>
  <c r="DB1761" i="1"/>
  <c r="DF1761" i="1"/>
  <c r="AC80" i="1"/>
  <c r="AH80" i="1"/>
  <c r="BS80" i="1"/>
  <c r="BV80" i="1"/>
  <c r="BX80" i="1"/>
  <c r="BY80" i="1"/>
  <c r="BZ80" i="1"/>
  <c r="CA80" i="1"/>
  <c r="CH80" i="1"/>
  <c r="CL80" i="1"/>
  <c r="CM80" i="1"/>
  <c r="CN80" i="1"/>
  <c r="CO80" i="1"/>
  <c r="CP80" i="1"/>
  <c r="CZ80" i="1"/>
  <c r="DB80" i="1"/>
  <c r="DF80" i="1"/>
  <c r="AC739" i="1"/>
  <c r="AH739" i="1"/>
  <c r="BS739" i="1"/>
  <c r="BV739" i="1"/>
  <c r="BX739" i="1"/>
  <c r="BY739" i="1"/>
  <c r="BZ739" i="1"/>
  <c r="CA739" i="1"/>
  <c r="CH739" i="1"/>
  <c r="CL739" i="1"/>
  <c r="CM739" i="1"/>
  <c r="CN739" i="1"/>
  <c r="CO739" i="1"/>
  <c r="CP739" i="1"/>
  <c r="CZ739" i="1"/>
  <c r="DB739" i="1"/>
  <c r="DF739" i="1"/>
  <c r="AC1041" i="1"/>
  <c r="AH1041" i="1"/>
  <c r="BS1041" i="1"/>
  <c r="BV1041" i="1"/>
  <c r="BX1041" i="1"/>
  <c r="BY1041" i="1"/>
  <c r="BZ1041" i="1"/>
  <c r="CA1041" i="1"/>
  <c r="CH1041" i="1"/>
  <c r="CL1041" i="1"/>
  <c r="CM1041" i="1"/>
  <c r="CN1041" i="1"/>
  <c r="CO1041" i="1"/>
  <c r="CP1041" i="1"/>
  <c r="CZ1041" i="1"/>
  <c r="DB1041" i="1"/>
  <c r="DF1041" i="1"/>
  <c r="AC2082" i="1"/>
  <c r="AH2082" i="1"/>
  <c r="BS2082" i="1"/>
  <c r="BV2082" i="1"/>
  <c r="BX2082" i="1"/>
  <c r="BY2082" i="1"/>
  <c r="BZ2082" i="1"/>
  <c r="CH2082" i="1"/>
  <c r="CL2082" i="1"/>
  <c r="CM2082" i="1"/>
  <c r="CN2082" i="1"/>
  <c r="CP2082" i="1"/>
  <c r="CZ2082" i="1"/>
  <c r="DB2082" i="1"/>
  <c r="DF2082" i="1"/>
  <c r="AC316" i="1"/>
  <c r="AH316" i="1"/>
  <c r="BS316" i="1"/>
  <c r="BV316" i="1"/>
  <c r="BX316" i="1"/>
  <c r="BY316" i="1"/>
  <c r="BZ316" i="1"/>
  <c r="CA316" i="1"/>
  <c r="CH316" i="1"/>
  <c r="CL316" i="1"/>
  <c r="CM316" i="1"/>
  <c r="CN316" i="1"/>
  <c r="CO316" i="1"/>
  <c r="CP316" i="1"/>
  <c r="CZ316" i="1"/>
  <c r="DB316" i="1"/>
  <c r="DF316" i="1"/>
  <c r="AC2160" i="1"/>
  <c r="AH2160" i="1"/>
  <c r="BS2160" i="1"/>
  <c r="BV2160" i="1"/>
  <c r="BX2160" i="1"/>
  <c r="BY2160" i="1"/>
  <c r="BZ2160" i="1"/>
  <c r="CH2160" i="1"/>
  <c r="CL2160" i="1"/>
  <c r="CM2160" i="1"/>
  <c r="CN2160" i="1"/>
  <c r="CO2160" i="1"/>
  <c r="CP2160" i="1"/>
  <c r="CZ2160" i="1"/>
  <c r="DB2160" i="1"/>
  <c r="DF2160" i="1"/>
  <c r="AC2126" i="1"/>
  <c r="AH2126" i="1"/>
  <c r="BS2126" i="1"/>
  <c r="BV2126" i="1"/>
  <c r="BX2126" i="1"/>
  <c r="BY2126" i="1"/>
  <c r="BZ2126" i="1"/>
  <c r="CA2126" i="1"/>
  <c r="CH2126" i="1"/>
  <c r="CL2126" i="1"/>
  <c r="CM2126" i="1"/>
  <c r="CN2126" i="1"/>
  <c r="CO2126" i="1"/>
  <c r="CP2126" i="1"/>
  <c r="CZ2126" i="1"/>
  <c r="DB2126" i="1"/>
  <c r="DF2126" i="1"/>
  <c r="AC472" i="1"/>
  <c r="AH472" i="1"/>
  <c r="BS472" i="1"/>
  <c r="BV472" i="1"/>
  <c r="BX472" i="1"/>
  <c r="BY472" i="1"/>
  <c r="BZ472" i="1"/>
  <c r="CA472" i="1"/>
  <c r="CH472" i="1"/>
  <c r="CL472" i="1"/>
  <c r="CM472" i="1"/>
  <c r="CN472" i="1"/>
  <c r="CO472" i="1"/>
  <c r="CP472" i="1"/>
  <c r="CZ472" i="1"/>
  <c r="DB472" i="1"/>
  <c r="DF472" i="1"/>
  <c r="AC544" i="1"/>
  <c r="AH544" i="1"/>
  <c r="BS544" i="1"/>
  <c r="BV544" i="1"/>
  <c r="BX544" i="1"/>
  <c r="BY544" i="1"/>
  <c r="BZ544" i="1"/>
  <c r="CA544" i="1"/>
  <c r="CH544" i="1"/>
  <c r="CL544" i="1"/>
  <c r="CM544" i="1"/>
  <c r="CN544" i="1"/>
  <c r="CO544" i="1"/>
  <c r="CP544" i="1"/>
  <c r="CZ544" i="1"/>
  <c r="DB544" i="1"/>
  <c r="DF544" i="1"/>
  <c r="AC801" i="1"/>
  <c r="AH801" i="1"/>
  <c r="BS801" i="1"/>
  <c r="BV801" i="1"/>
  <c r="BX801" i="1"/>
  <c r="BY801" i="1"/>
  <c r="BZ801" i="1"/>
  <c r="CH801" i="1"/>
  <c r="CL801" i="1"/>
  <c r="CM801" i="1"/>
  <c r="CN801" i="1"/>
  <c r="CO801" i="1"/>
  <c r="CP801" i="1"/>
  <c r="CZ801" i="1"/>
  <c r="DB801" i="1"/>
  <c r="DF801" i="1"/>
  <c r="AC1095" i="1"/>
  <c r="AH1095" i="1"/>
  <c r="BS1095" i="1"/>
  <c r="BV1095" i="1"/>
  <c r="BX1095" i="1"/>
  <c r="BY1095" i="1"/>
  <c r="BZ1095" i="1"/>
  <c r="CA1095" i="1"/>
  <c r="CH1095" i="1"/>
  <c r="CL1095" i="1"/>
  <c r="CM1095" i="1"/>
  <c r="CN1095" i="1"/>
  <c r="CO1095" i="1"/>
  <c r="CP1095" i="1"/>
  <c r="CZ1095" i="1"/>
  <c r="DB1095" i="1"/>
  <c r="DF1095" i="1"/>
  <c r="AC1345" i="1"/>
  <c r="AH1345" i="1"/>
  <c r="BS1345" i="1"/>
  <c r="BV1345" i="1"/>
  <c r="BX1345" i="1"/>
  <c r="BY1345" i="1"/>
  <c r="BZ1345" i="1"/>
  <c r="CA1345" i="1"/>
  <c r="CH1345" i="1"/>
  <c r="CL1345" i="1"/>
  <c r="CM1345" i="1"/>
  <c r="CN1345" i="1"/>
  <c r="CO1345" i="1"/>
  <c r="CP1345" i="1"/>
  <c r="CZ1345" i="1"/>
  <c r="DB1345" i="1"/>
  <c r="DF1345" i="1"/>
  <c r="AC649" i="1"/>
  <c r="AH649" i="1"/>
  <c r="BS649" i="1"/>
  <c r="BV649" i="1"/>
  <c r="BX649" i="1"/>
  <c r="BY649" i="1"/>
  <c r="BZ649" i="1"/>
  <c r="CA649" i="1"/>
  <c r="CH649" i="1"/>
  <c r="CL649" i="1"/>
  <c r="CM649" i="1"/>
  <c r="CN649" i="1"/>
  <c r="CO649" i="1"/>
  <c r="CP649" i="1"/>
  <c r="CZ649" i="1"/>
  <c r="DB649" i="1"/>
  <c r="DF649" i="1"/>
  <c r="AC416" i="1"/>
  <c r="AH416" i="1"/>
  <c r="BS416" i="1"/>
  <c r="BV416" i="1"/>
  <c r="BX416" i="1"/>
  <c r="BY416" i="1"/>
  <c r="BZ416" i="1"/>
  <c r="CA416" i="1"/>
  <c r="CH416" i="1"/>
  <c r="CL416" i="1"/>
  <c r="CM416" i="1"/>
  <c r="CN416" i="1"/>
  <c r="CO416" i="1"/>
  <c r="CP416" i="1"/>
  <c r="CZ416" i="1"/>
  <c r="DB416" i="1"/>
  <c r="DF416" i="1"/>
  <c r="AC140" i="1"/>
  <c r="AH140" i="1"/>
  <c r="BS140" i="1"/>
  <c r="BV140" i="1"/>
  <c r="BX140" i="1"/>
  <c r="BY140" i="1"/>
  <c r="BZ140" i="1"/>
  <c r="CA140" i="1"/>
  <c r="CH140" i="1"/>
  <c r="CL140" i="1"/>
  <c r="CM140" i="1"/>
  <c r="CN140" i="1"/>
  <c r="CO140" i="1"/>
  <c r="CP140" i="1"/>
  <c r="CZ140" i="1"/>
  <c r="DB140" i="1"/>
  <c r="DF140" i="1"/>
  <c r="AC2266" i="1"/>
  <c r="AH2266" i="1"/>
  <c r="BS2266" i="1"/>
  <c r="BV2266" i="1"/>
  <c r="BX2266" i="1"/>
  <c r="BY2266" i="1"/>
  <c r="BZ2266" i="1"/>
  <c r="CA2266" i="1"/>
  <c r="CH2266" i="1"/>
  <c r="CL2266" i="1"/>
  <c r="CM2266" i="1"/>
  <c r="CN2266" i="1"/>
  <c r="CO2266" i="1"/>
  <c r="CP2266" i="1"/>
  <c r="CZ2266" i="1"/>
  <c r="DB2266" i="1"/>
  <c r="DF2266" i="1"/>
  <c r="AC1173" i="1"/>
  <c r="AH1173" i="1"/>
  <c r="BS1173" i="1"/>
  <c r="BV1173" i="1"/>
  <c r="BX1173" i="1"/>
  <c r="BY1173" i="1"/>
  <c r="BZ1173" i="1"/>
  <c r="CH1173" i="1"/>
  <c r="CL1173" i="1"/>
  <c r="CM1173" i="1"/>
  <c r="CN1173" i="1"/>
  <c r="CO1173" i="1"/>
  <c r="CP1173" i="1"/>
  <c r="CZ1173" i="1"/>
  <c r="DB1173" i="1"/>
  <c r="DF1173" i="1"/>
  <c r="AC58" i="1"/>
  <c r="AH58" i="1"/>
  <c r="BS58" i="1"/>
  <c r="BV58" i="1"/>
  <c r="BX58" i="1"/>
  <c r="BY58" i="1"/>
  <c r="BZ58" i="1"/>
  <c r="CA58" i="1"/>
  <c r="CH58" i="1"/>
  <c r="CL58" i="1"/>
  <c r="CM58" i="1"/>
  <c r="CN58" i="1"/>
  <c r="CO58" i="1"/>
  <c r="CP58" i="1"/>
  <c r="CZ58" i="1"/>
  <c r="DB58" i="1"/>
  <c r="DF58" i="1"/>
  <c r="AC1476" i="1"/>
  <c r="AH1476" i="1"/>
  <c r="BS1476" i="1"/>
  <c r="BV1476" i="1"/>
  <c r="BX1476" i="1"/>
  <c r="BY1476" i="1"/>
  <c r="BZ1476" i="1"/>
  <c r="CA1476" i="1"/>
  <c r="CH1476" i="1"/>
  <c r="CL1476" i="1"/>
  <c r="CM1476" i="1"/>
  <c r="CN1476" i="1"/>
  <c r="CO1476" i="1"/>
  <c r="CP1476" i="1"/>
  <c r="CZ1476" i="1"/>
  <c r="DB1476" i="1"/>
  <c r="DF1476" i="1"/>
  <c r="AC1708" i="1"/>
  <c r="AH1708" i="1"/>
  <c r="BS1708" i="1"/>
  <c r="BV1708" i="1"/>
  <c r="BX1708" i="1"/>
  <c r="BY1708" i="1"/>
  <c r="BZ1708" i="1"/>
  <c r="CA1708" i="1"/>
  <c r="CH1708" i="1"/>
  <c r="CL1708" i="1"/>
  <c r="CM1708" i="1"/>
  <c r="CN1708" i="1"/>
  <c r="CO1708" i="1"/>
  <c r="CP1708" i="1"/>
  <c r="CZ1708" i="1"/>
  <c r="DB1708" i="1"/>
  <c r="DF1708" i="1"/>
  <c r="AC319" i="1"/>
  <c r="AH319" i="1"/>
  <c r="BS319" i="1"/>
  <c r="BV319" i="1"/>
  <c r="BX319" i="1"/>
  <c r="BY319" i="1"/>
  <c r="BZ319" i="1"/>
  <c r="CA319" i="1"/>
  <c r="CH319" i="1"/>
  <c r="CL319" i="1"/>
  <c r="CM319" i="1"/>
  <c r="CN319" i="1"/>
  <c r="CO319" i="1"/>
  <c r="CP319" i="1"/>
  <c r="CZ319" i="1"/>
  <c r="DB319" i="1"/>
  <c r="DF319" i="1"/>
  <c r="AC715" i="1"/>
  <c r="AH715" i="1"/>
  <c r="BS715" i="1"/>
  <c r="BV715" i="1"/>
  <c r="BX715" i="1"/>
  <c r="BY715" i="1"/>
  <c r="BZ715" i="1"/>
  <c r="CH715" i="1"/>
  <c r="CL715" i="1"/>
  <c r="CM715" i="1"/>
  <c r="CN715" i="1"/>
  <c r="CO715" i="1"/>
  <c r="CP715" i="1"/>
  <c r="CZ715" i="1"/>
  <c r="DB715" i="1"/>
  <c r="DF715" i="1"/>
  <c r="AC957" i="1"/>
  <c r="AH957" i="1"/>
  <c r="BS957" i="1"/>
  <c r="BV957" i="1"/>
  <c r="BX957" i="1"/>
  <c r="BY957" i="1"/>
  <c r="BZ957" i="1"/>
  <c r="CA957" i="1"/>
  <c r="CH957" i="1"/>
  <c r="CL957" i="1"/>
  <c r="CM957" i="1"/>
  <c r="CN957" i="1"/>
  <c r="CO957" i="1"/>
  <c r="CP957" i="1"/>
  <c r="CZ957" i="1"/>
  <c r="DB957" i="1"/>
  <c r="DF957" i="1"/>
  <c r="AC2299" i="1"/>
  <c r="AH2299" i="1"/>
  <c r="BS2299" i="1"/>
  <c r="BV2299" i="1"/>
  <c r="BX2299" i="1"/>
  <c r="BY2299" i="1"/>
  <c r="BZ2299" i="1"/>
  <c r="CH2299" i="1"/>
  <c r="CL2299" i="1"/>
  <c r="CM2299" i="1"/>
  <c r="CN2299" i="1"/>
  <c r="CO2299" i="1"/>
  <c r="CP2299" i="1"/>
  <c r="CZ2299" i="1"/>
  <c r="DB2299" i="1"/>
  <c r="DF2299" i="1"/>
  <c r="AC2217" i="1"/>
  <c r="AH2217" i="1"/>
  <c r="BS2217" i="1"/>
  <c r="BV2217" i="1"/>
  <c r="BX2217" i="1"/>
  <c r="BY2217" i="1"/>
  <c r="BZ2217" i="1"/>
  <c r="CH2217" i="1"/>
  <c r="CL2217" i="1"/>
  <c r="CM2217" i="1"/>
  <c r="CN2217" i="1"/>
  <c r="CO2217" i="1"/>
  <c r="CP2217" i="1"/>
  <c r="CZ2217" i="1"/>
  <c r="DB2217" i="1"/>
  <c r="DF2217" i="1"/>
  <c r="AC1331" i="1"/>
  <c r="AH1331" i="1"/>
  <c r="BS1331" i="1"/>
  <c r="BV1331" i="1"/>
  <c r="BX1331" i="1"/>
  <c r="BY1331" i="1"/>
  <c r="BZ1331" i="1"/>
  <c r="CA1331" i="1"/>
  <c r="CH1331" i="1"/>
  <c r="CL1331" i="1"/>
  <c r="CM1331" i="1"/>
  <c r="CN1331" i="1"/>
  <c r="CO1331" i="1"/>
  <c r="CP1331" i="1"/>
  <c r="CZ1331" i="1"/>
  <c r="DB1331" i="1"/>
  <c r="DF1331" i="1"/>
  <c r="AC1015" i="1"/>
  <c r="AH1015" i="1"/>
  <c r="BS1015" i="1"/>
  <c r="BV1015" i="1"/>
  <c r="BX1015" i="1"/>
  <c r="BY1015" i="1"/>
  <c r="BZ1015" i="1"/>
  <c r="CH1015" i="1"/>
  <c r="CL1015" i="1"/>
  <c r="CM1015" i="1"/>
  <c r="CN1015" i="1"/>
  <c r="CO1015" i="1"/>
  <c r="CP1015" i="1"/>
  <c r="CZ1015" i="1"/>
  <c r="DB1015" i="1"/>
  <c r="DF1015" i="1"/>
  <c r="AC109" i="1"/>
  <c r="AH109" i="1"/>
  <c r="BS109" i="1"/>
  <c r="BV109" i="1"/>
  <c r="BX109" i="1"/>
  <c r="BY109" i="1"/>
  <c r="BZ109" i="1"/>
  <c r="CA109" i="1"/>
  <c r="CH109" i="1"/>
  <c r="CL109" i="1"/>
  <c r="CM109" i="1"/>
  <c r="CN109" i="1"/>
  <c r="CO109" i="1"/>
  <c r="CP109" i="1"/>
  <c r="CZ109" i="1"/>
  <c r="DB109" i="1"/>
  <c r="DF109" i="1"/>
  <c r="AC1417" i="1"/>
  <c r="AH1417" i="1"/>
  <c r="BS1417" i="1"/>
  <c r="BV1417" i="1"/>
  <c r="BX1417" i="1"/>
  <c r="BY1417" i="1"/>
  <c r="BZ1417" i="1"/>
  <c r="CH1417" i="1"/>
  <c r="CL1417" i="1"/>
  <c r="CM1417" i="1"/>
  <c r="CN1417" i="1"/>
  <c r="CP1417" i="1"/>
  <c r="CZ1417" i="1"/>
  <c r="DB1417" i="1"/>
  <c r="DF1417" i="1"/>
  <c r="AC2025" i="1"/>
  <c r="AH2025" i="1"/>
  <c r="BS2025" i="1"/>
  <c r="BV2025" i="1"/>
  <c r="BX2025" i="1"/>
  <c r="BY2025" i="1"/>
  <c r="BZ2025" i="1"/>
  <c r="CA2025" i="1"/>
  <c r="CH2025" i="1"/>
  <c r="CL2025" i="1"/>
  <c r="CM2025" i="1"/>
  <c r="CN2025" i="1"/>
  <c r="CO2025" i="1"/>
  <c r="CP2025" i="1"/>
  <c r="CZ2025" i="1"/>
  <c r="DB2025" i="1"/>
  <c r="DF2025" i="1"/>
  <c r="AC657" i="1"/>
  <c r="AH657" i="1"/>
  <c r="BS657" i="1"/>
  <c r="BV657" i="1"/>
  <c r="BX657" i="1"/>
  <c r="BY657" i="1"/>
  <c r="BZ657" i="1"/>
  <c r="CA657" i="1"/>
  <c r="CH657" i="1"/>
  <c r="CL657" i="1"/>
  <c r="CM657" i="1"/>
  <c r="CN657" i="1"/>
  <c r="CO657" i="1"/>
  <c r="CP657" i="1"/>
  <c r="CZ657" i="1"/>
  <c r="DB657" i="1"/>
  <c r="DF657" i="1"/>
  <c r="AC226" i="1"/>
  <c r="AH226" i="1"/>
  <c r="BS226" i="1"/>
  <c r="BV226" i="1"/>
  <c r="BX226" i="1"/>
  <c r="BY226" i="1"/>
  <c r="BZ226" i="1"/>
  <c r="CH226" i="1"/>
  <c r="CL226" i="1"/>
  <c r="CM226" i="1"/>
  <c r="CN226" i="1"/>
  <c r="CO226" i="1"/>
  <c r="CP226" i="1"/>
  <c r="CZ226" i="1"/>
  <c r="DB226" i="1"/>
  <c r="DF226" i="1"/>
  <c r="AC1661" i="1"/>
  <c r="AH1661" i="1"/>
  <c r="BS1661" i="1"/>
  <c r="BV1661" i="1"/>
  <c r="BX1661" i="1"/>
  <c r="BY1661" i="1"/>
  <c r="BZ1661" i="1"/>
  <c r="CH1661" i="1"/>
  <c r="CL1661" i="1"/>
  <c r="CM1661" i="1"/>
  <c r="CN1661" i="1"/>
  <c r="CO1661" i="1"/>
  <c r="CP1661" i="1"/>
  <c r="CZ1661" i="1"/>
  <c r="DB1661" i="1"/>
  <c r="DF1661" i="1"/>
  <c r="AC309" i="1"/>
  <c r="AH309" i="1"/>
  <c r="BS309" i="1"/>
  <c r="BV309" i="1"/>
  <c r="BX309" i="1"/>
  <c r="BY309" i="1"/>
  <c r="BZ309" i="1"/>
  <c r="CH309" i="1"/>
  <c r="CL309" i="1"/>
  <c r="CM309" i="1"/>
  <c r="CN309" i="1"/>
  <c r="CO309" i="1"/>
  <c r="CP309" i="1"/>
  <c r="CZ309" i="1"/>
  <c r="DB309" i="1"/>
  <c r="DF309" i="1"/>
  <c r="AC1140" i="1"/>
  <c r="AH1140" i="1"/>
  <c r="BS1140" i="1"/>
  <c r="BV1140" i="1"/>
  <c r="BX1140" i="1"/>
  <c r="BY1140" i="1"/>
  <c r="BZ1140" i="1"/>
  <c r="CA1140" i="1"/>
  <c r="CH1140" i="1"/>
  <c r="CL1140" i="1"/>
  <c r="CM1140" i="1"/>
  <c r="CN1140" i="1"/>
  <c r="CO1140" i="1"/>
  <c r="CP1140" i="1"/>
  <c r="CZ1140" i="1"/>
  <c r="DB1140" i="1"/>
  <c r="DF1140" i="1"/>
  <c r="AC1551" i="1"/>
  <c r="AH1551" i="1"/>
  <c r="BS1551" i="1"/>
  <c r="BV1551" i="1"/>
  <c r="BX1551" i="1"/>
  <c r="BY1551" i="1"/>
  <c r="BZ1551" i="1"/>
  <c r="CA1551" i="1"/>
  <c r="CH1551" i="1"/>
  <c r="CL1551" i="1"/>
  <c r="CM1551" i="1"/>
  <c r="CN1551" i="1"/>
  <c r="CO1551" i="1"/>
  <c r="CP1551" i="1"/>
  <c r="CZ1551" i="1"/>
  <c r="DB1551" i="1"/>
  <c r="DF1551" i="1"/>
  <c r="AC1669" i="1"/>
  <c r="AH1669" i="1"/>
  <c r="BS1669" i="1"/>
  <c r="BV1669" i="1"/>
  <c r="BX1669" i="1"/>
  <c r="BY1669" i="1"/>
  <c r="BZ1669" i="1"/>
  <c r="CA1669" i="1"/>
  <c r="CH1669" i="1"/>
  <c r="CL1669" i="1"/>
  <c r="CM1669" i="1"/>
  <c r="CN1669" i="1"/>
  <c r="CP1669" i="1"/>
  <c r="CZ1669" i="1"/>
  <c r="DB1669" i="1"/>
  <c r="DF1669" i="1"/>
  <c r="AC588" i="1"/>
  <c r="AH588" i="1"/>
  <c r="BS588" i="1"/>
  <c r="BV588" i="1"/>
  <c r="BX588" i="1"/>
  <c r="BY588" i="1"/>
  <c r="BZ588" i="1"/>
  <c r="CA588" i="1"/>
  <c r="CH588" i="1"/>
  <c r="CL588" i="1"/>
  <c r="CM588" i="1"/>
  <c r="CN588" i="1"/>
  <c r="CO588" i="1"/>
  <c r="CP588" i="1"/>
  <c r="CZ588" i="1"/>
  <c r="DB588" i="1"/>
  <c r="DF588" i="1"/>
  <c r="AC835" i="1"/>
  <c r="AH835" i="1"/>
  <c r="BS835" i="1"/>
  <c r="BV835" i="1"/>
  <c r="BX835" i="1"/>
  <c r="BY835" i="1"/>
  <c r="BZ835" i="1"/>
  <c r="CA835" i="1"/>
  <c r="CH835" i="1"/>
  <c r="CL835" i="1"/>
  <c r="CM835" i="1"/>
  <c r="CN835" i="1"/>
  <c r="CO835" i="1"/>
  <c r="CP835" i="1"/>
  <c r="CZ835" i="1"/>
  <c r="DB835" i="1"/>
  <c r="DF835" i="1"/>
  <c r="AC493" i="1"/>
  <c r="AH493" i="1"/>
  <c r="BS493" i="1"/>
  <c r="BV493" i="1"/>
  <c r="BX493" i="1"/>
  <c r="BY493" i="1"/>
  <c r="BZ493" i="1"/>
  <c r="CH493" i="1"/>
  <c r="CL493" i="1"/>
  <c r="CM493" i="1"/>
  <c r="CN493" i="1"/>
  <c r="CO493" i="1"/>
  <c r="CP493" i="1"/>
  <c r="CZ493" i="1"/>
  <c r="DB493" i="1"/>
  <c r="DF493" i="1"/>
  <c r="AC2236" i="1"/>
  <c r="AH2236" i="1"/>
  <c r="BS2236" i="1"/>
  <c r="BV2236" i="1"/>
  <c r="BX2236" i="1"/>
  <c r="BY2236" i="1"/>
  <c r="BZ2236" i="1"/>
  <c r="CA2236" i="1"/>
  <c r="CH2236" i="1"/>
  <c r="CL2236" i="1"/>
  <c r="CM2236" i="1"/>
  <c r="CN2236" i="1"/>
  <c r="CO2236" i="1"/>
  <c r="CP2236" i="1"/>
  <c r="CZ2236" i="1"/>
  <c r="DB2236" i="1"/>
  <c r="DF2236" i="1"/>
  <c r="AC2032" i="1"/>
  <c r="AH2032" i="1"/>
  <c r="BS2032" i="1"/>
  <c r="BV2032" i="1"/>
  <c r="BX2032" i="1"/>
  <c r="BY2032" i="1"/>
  <c r="BZ2032" i="1"/>
  <c r="CA2032" i="1"/>
  <c r="CH2032" i="1"/>
  <c r="CL2032" i="1"/>
  <c r="CM2032" i="1"/>
  <c r="CN2032" i="1"/>
  <c r="CO2032" i="1"/>
  <c r="CP2032" i="1"/>
  <c r="CZ2032" i="1"/>
  <c r="DB2032" i="1"/>
  <c r="DF2032" i="1"/>
  <c r="AC84" i="1"/>
  <c r="AH84" i="1"/>
  <c r="BS84" i="1"/>
  <c r="BV84" i="1"/>
  <c r="BX84" i="1"/>
  <c r="BY84" i="1"/>
  <c r="BZ84" i="1"/>
  <c r="CH84" i="1"/>
  <c r="CL84" i="1"/>
  <c r="CM84" i="1"/>
  <c r="CN84" i="1"/>
  <c r="CO84" i="1"/>
  <c r="CP84" i="1"/>
  <c r="CZ84" i="1"/>
  <c r="DB84" i="1"/>
  <c r="DF84" i="1"/>
  <c r="AC1777" i="1"/>
  <c r="AH1777" i="1"/>
  <c r="BS1777" i="1"/>
  <c r="BV1777" i="1"/>
  <c r="BX1777" i="1"/>
  <c r="BY1777" i="1"/>
  <c r="BZ1777" i="1"/>
  <c r="CH1777" i="1"/>
  <c r="CL1777" i="1"/>
  <c r="CM1777" i="1"/>
  <c r="CN1777" i="1"/>
  <c r="CO1777" i="1"/>
  <c r="CP1777" i="1"/>
  <c r="CZ1777" i="1"/>
  <c r="DB1777" i="1"/>
  <c r="DF1777" i="1"/>
  <c r="AC376" i="1"/>
  <c r="AH376" i="1"/>
  <c r="BS376" i="1"/>
  <c r="BV376" i="1"/>
  <c r="BX376" i="1"/>
  <c r="BY376" i="1"/>
  <c r="BZ376" i="1"/>
  <c r="CH376" i="1"/>
  <c r="CL376" i="1"/>
  <c r="CM376" i="1"/>
  <c r="CN376" i="1"/>
  <c r="CO376" i="1"/>
  <c r="CP376" i="1"/>
  <c r="CZ376" i="1"/>
  <c r="DB376" i="1"/>
  <c r="DF376" i="1"/>
  <c r="AC2022" i="1"/>
  <c r="AH2022" i="1"/>
  <c r="BS2022" i="1"/>
  <c r="BV2022" i="1"/>
  <c r="BX2022" i="1"/>
  <c r="BY2022" i="1"/>
  <c r="BZ2022" i="1"/>
  <c r="CA2022" i="1"/>
  <c r="CH2022" i="1"/>
  <c r="CL2022" i="1"/>
  <c r="CM2022" i="1"/>
  <c r="CN2022" i="1"/>
  <c r="CO2022" i="1"/>
  <c r="CP2022" i="1"/>
  <c r="CZ2022" i="1"/>
  <c r="DB2022" i="1"/>
  <c r="DF2022" i="1"/>
  <c r="AC1274" i="1"/>
  <c r="AH1274" i="1"/>
  <c r="BS1274" i="1"/>
  <c r="BV1274" i="1"/>
  <c r="BX1274" i="1"/>
  <c r="BY1274" i="1"/>
  <c r="BZ1274" i="1"/>
  <c r="CA1274" i="1"/>
  <c r="CH1274" i="1"/>
  <c r="CL1274" i="1"/>
  <c r="CM1274" i="1"/>
  <c r="CN1274" i="1"/>
  <c r="CO1274" i="1"/>
  <c r="CP1274" i="1"/>
  <c r="CZ1274" i="1"/>
  <c r="DB1274" i="1"/>
  <c r="DF1274" i="1"/>
  <c r="AC891" i="1"/>
  <c r="AH891" i="1"/>
  <c r="BS891" i="1"/>
  <c r="BV891" i="1"/>
  <c r="BX891" i="1"/>
  <c r="BY891" i="1"/>
  <c r="BZ891" i="1"/>
  <c r="CH891" i="1"/>
  <c r="CL891" i="1"/>
  <c r="CM891" i="1"/>
  <c r="CN891" i="1"/>
  <c r="CO891" i="1"/>
  <c r="CP891" i="1"/>
  <c r="CZ891" i="1"/>
  <c r="DB891" i="1"/>
  <c r="DF891" i="1"/>
  <c r="AC1201" i="1"/>
  <c r="AH1201" i="1"/>
  <c r="BS1201" i="1"/>
  <c r="BV1201" i="1"/>
  <c r="BX1201" i="1"/>
  <c r="BY1201" i="1"/>
  <c r="BZ1201" i="1"/>
  <c r="CA1201" i="1"/>
  <c r="CH1201" i="1"/>
  <c r="CL1201" i="1"/>
  <c r="CM1201" i="1"/>
  <c r="CN1201" i="1"/>
  <c r="CO1201" i="1"/>
  <c r="CP1201" i="1"/>
  <c r="CZ1201" i="1"/>
  <c r="DB1201" i="1"/>
  <c r="DF1201" i="1"/>
  <c r="AC1980" i="1"/>
  <c r="AH1980" i="1"/>
  <c r="BS1980" i="1"/>
  <c r="BV1980" i="1"/>
  <c r="BX1980" i="1"/>
  <c r="BY1980" i="1"/>
  <c r="BZ1980" i="1"/>
  <c r="CA1980" i="1"/>
  <c r="CH1980" i="1"/>
  <c r="CL1980" i="1"/>
  <c r="CM1980" i="1"/>
  <c r="CN1980" i="1"/>
  <c r="CO1980" i="1"/>
  <c r="CP1980" i="1"/>
  <c r="CZ1980" i="1"/>
  <c r="DB1980" i="1"/>
  <c r="DF1980" i="1"/>
  <c r="AC1238" i="1"/>
  <c r="AH1238" i="1"/>
  <c r="BS1238" i="1"/>
  <c r="BV1238" i="1"/>
  <c r="BX1238" i="1"/>
  <c r="BY1238" i="1"/>
  <c r="BZ1238" i="1"/>
  <c r="CA1238" i="1"/>
  <c r="CH1238" i="1"/>
  <c r="CL1238" i="1"/>
  <c r="CM1238" i="1"/>
  <c r="CN1238" i="1"/>
  <c r="CO1238" i="1"/>
  <c r="CP1238" i="1"/>
  <c r="CZ1238" i="1"/>
  <c r="DB1238" i="1"/>
  <c r="DF1238" i="1"/>
  <c r="AC96" i="1"/>
  <c r="AH96" i="1"/>
  <c r="BS96" i="1"/>
  <c r="BV96" i="1"/>
  <c r="BX96" i="1"/>
  <c r="BY96" i="1"/>
  <c r="BZ96" i="1"/>
  <c r="CA96" i="1"/>
  <c r="CH96" i="1"/>
  <c r="CL96" i="1"/>
  <c r="CM96" i="1"/>
  <c r="CN96" i="1"/>
  <c r="CO96" i="1"/>
  <c r="CP96" i="1"/>
  <c r="CZ96" i="1"/>
  <c r="DB96" i="1"/>
  <c r="DF96" i="1"/>
  <c r="AC1855" i="1"/>
  <c r="AH1855" i="1"/>
  <c r="BS1855" i="1"/>
  <c r="BV1855" i="1"/>
  <c r="BX1855" i="1"/>
  <c r="BY1855" i="1"/>
  <c r="BZ1855" i="1"/>
  <c r="CA1855" i="1"/>
  <c r="CH1855" i="1"/>
  <c r="CL1855" i="1"/>
  <c r="CM1855" i="1"/>
  <c r="CN1855" i="1"/>
  <c r="CO1855" i="1"/>
  <c r="CP1855" i="1"/>
  <c r="CZ1855" i="1"/>
  <c r="DB1855" i="1"/>
  <c r="DF1855" i="1"/>
  <c r="AC1229" i="1"/>
  <c r="AH1229" i="1"/>
  <c r="BS1229" i="1"/>
  <c r="BV1229" i="1"/>
  <c r="BX1229" i="1"/>
  <c r="BY1229" i="1"/>
  <c r="BZ1229" i="1"/>
  <c r="CA1229" i="1"/>
  <c r="CH1229" i="1"/>
  <c r="CL1229" i="1"/>
  <c r="CM1229" i="1"/>
  <c r="CN1229" i="1"/>
  <c r="CO1229" i="1"/>
  <c r="CP1229" i="1"/>
  <c r="CZ1229" i="1"/>
  <c r="DB1229" i="1"/>
  <c r="DF1229" i="1"/>
  <c r="AC2002" i="1"/>
  <c r="AH2002" i="1"/>
  <c r="BS2002" i="1"/>
  <c r="BX2002" i="1"/>
  <c r="BY2002" i="1"/>
  <c r="BZ2002" i="1"/>
  <c r="CA2002" i="1"/>
  <c r="CH2002" i="1"/>
  <c r="CL2002" i="1"/>
  <c r="CM2002" i="1"/>
  <c r="CN2002" i="1"/>
  <c r="CP2002" i="1"/>
  <c r="CZ2002" i="1"/>
  <c r="DB2002" i="1"/>
  <c r="DF2002" i="1"/>
  <c r="AC959" i="1"/>
  <c r="AH959" i="1"/>
  <c r="BS959" i="1"/>
  <c r="BV959" i="1"/>
  <c r="BX959" i="1"/>
  <c r="BY959" i="1"/>
  <c r="BZ959" i="1"/>
  <c r="CA959" i="1"/>
  <c r="CH959" i="1"/>
  <c r="CL959" i="1"/>
  <c r="CM959" i="1"/>
  <c r="CN959" i="1"/>
  <c r="CO959" i="1"/>
  <c r="CP959" i="1"/>
  <c r="CZ959" i="1"/>
  <c r="DB959" i="1"/>
  <c r="DF959" i="1"/>
  <c r="AC2195" i="1"/>
  <c r="AH2195" i="1"/>
  <c r="BS2195" i="1"/>
  <c r="BV2195" i="1"/>
  <c r="BX2195" i="1"/>
  <c r="BY2195" i="1"/>
  <c r="BZ2195" i="1"/>
  <c r="CA2195" i="1"/>
  <c r="CH2195" i="1"/>
  <c r="CL2195" i="1"/>
  <c r="CM2195" i="1"/>
  <c r="CN2195" i="1"/>
  <c r="CO2195" i="1"/>
  <c r="CP2195" i="1"/>
  <c r="CZ2195" i="1"/>
  <c r="DB2195" i="1"/>
  <c r="DF2195" i="1"/>
  <c r="AC1981" i="1"/>
  <c r="AH1981" i="1"/>
  <c r="BS1981" i="1"/>
  <c r="BV1981" i="1"/>
  <c r="BX1981" i="1"/>
  <c r="BY1981" i="1"/>
  <c r="BZ1981" i="1"/>
  <c r="CA1981" i="1"/>
  <c r="CH1981" i="1"/>
  <c r="CL1981" i="1"/>
  <c r="CM1981" i="1"/>
  <c r="CN1981" i="1"/>
  <c r="CO1981" i="1"/>
  <c r="CP1981" i="1"/>
  <c r="CZ1981" i="1"/>
  <c r="DB1981" i="1"/>
  <c r="DF1981" i="1"/>
  <c r="AC508" i="1"/>
  <c r="AH508" i="1"/>
  <c r="BS508" i="1"/>
  <c r="BV508" i="1"/>
  <c r="BX508" i="1"/>
  <c r="BY508" i="1"/>
  <c r="BZ508" i="1"/>
  <c r="CA508" i="1"/>
  <c r="CH508" i="1"/>
  <c r="CL508" i="1"/>
  <c r="CM508" i="1"/>
  <c r="CN508" i="1"/>
  <c r="CO508" i="1"/>
  <c r="CP508" i="1"/>
  <c r="CZ508" i="1"/>
  <c r="DB508" i="1"/>
  <c r="DF508" i="1"/>
  <c r="AC1681" i="1"/>
  <c r="AH1681" i="1"/>
  <c r="BS1681" i="1"/>
  <c r="BV1681" i="1"/>
  <c r="BX1681" i="1"/>
  <c r="BY1681" i="1"/>
  <c r="BZ1681" i="1"/>
  <c r="CA1681" i="1"/>
  <c r="CH1681" i="1"/>
  <c r="CL1681" i="1"/>
  <c r="CM1681" i="1"/>
  <c r="CN1681" i="1"/>
  <c r="CO1681" i="1"/>
  <c r="CP1681" i="1"/>
  <c r="CZ1681" i="1"/>
  <c r="DB1681" i="1"/>
  <c r="DF1681" i="1"/>
  <c r="AC254" i="1"/>
  <c r="AH254" i="1"/>
  <c r="BS254" i="1"/>
  <c r="BV254" i="1"/>
  <c r="BX254" i="1"/>
  <c r="BY254" i="1"/>
  <c r="BZ254" i="1"/>
  <c r="CH254" i="1"/>
  <c r="CL254" i="1"/>
  <c r="CM254" i="1"/>
  <c r="CN254" i="1"/>
  <c r="CO254" i="1"/>
  <c r="CP254" i="1"/>
  <c r="CZ254" i="1"/>
  <c r="DB254" i="1"/>
  <c r="DF254" i="1"/>
  <c r="AC325" i="1"/>
  <c r="AH325" i="1"/>
  <c r="BS325" i="1"/>
  <c r="BV325" i="1"/>
  <c r="BX325" i="1"/>
  <c r="BY325" i="1"/>
  <c r="BZ325" i="1"/>
  <c r="CH325" i="1"/>
  <c r="CL325" i="1"/>
  <c r="CM325" i="1"/>
  <c r="CN325" i="1"/>
  <c r="CO325" i="1"/>
  <c r="CP325" i="1"/>
  <c r="CZ325" i="1"/>
  <c r="DB325" i="1"/>
  <c r="DF325" i="1"/>
  <c r="AC224" i="1"/>
  <c r="AH224" i="1"/>
  <c r="BS224" i="1"/>
  <c r="BV224" i="1"/>
  <c r="BX224" i="1"/>
  <c r="BY224" i="1"/>
  <c r="BZ224" i="1"/>
  <c r="CA224" i="1"/>
  <c r="CH224" i="1"/>
  <c r="CL224" i="1"/>
  <c r="CM224" i="1"/>
  <c r="CN224" i="1"/>
  <c r="CO224" i="1"/>
  <c r="CP224" i="1"/>
  <c r="CZ224" i="1"/>
  <c r="DB224" i="1"/>
  <c r="DF224" i="1"/>
  <c r="AC275" i="1"/>
  <c r="AH275" i="1"/>
  <c r="BS275" i="1"/>
  <c r="BV275" i="1"/>
  <c r="BX275" i="1"/>
  <c r="BY275" i="1"/>
  <c r="BZ275" i="1"/>
  <c r="CA275" i="1"/>
  <c r="CH275" i="1"/>
  <c r="CL275" i="1"/>
  <c r="CM275" i="1"/>
  <c r="CN275" i="1"/>
  <c r="CO275" i="1"/>
  <c r="CP275" i="1"/>
  <c r="CZ275" i="1"/>
  <c r="DB275" i="1"/>
  <c r="DF275" i="1"/>
  <c r="AC1691" i="1"/>
  <c r="AH1691" i="1"/>
  <c r="BS1691" i="1"/>
  <c r="BV1691" i="1"/>
  <c r="BX1691" i="1"/>
  <c r="BY1691" i="1"/>
  <c r="BZ1691" i="1"/>
  <c r="CA1691" i="1"/>
  <c r="CH1691" i="1"/>
  <c r="CL1691" i="1"/>
  <c r="CM1691" i="1"/>
  <c r="CN1691" i="1"/>
  <c r="CO1691" i="1"/>
  <c r="CP1691" i="1"/>
  <c r="CZ1691" i="1"/>
  <c r="DB1691" i="1"/>
  <c r="DF1691" i="1"/>
  <c r="AC1622" i="1"/>
  <c r="AH1622" i="1"/>
  <c r="BS1622" i="1"/>
  <c r="BV1622" i="1"/>
  <c r="BX1622" i="1"/>
  <c r="BY1622" i="1"/>
  <c r="BZ1622" i="1"/>
  <c r="CA1622" i="1"/>
  <c r="CH1622" i="1"/>
  <c r="CL1622" i="1"/>
  <c r="CM1622" i="1"/>
  <c r="CN1622" i="1"/>
  <c r="CO1622" i="1"/>
  <c r="CP1622" i="1"/>
  <c r="CZ1622" i="1"/>
  <c r="DB1622" i="1"/>
  <c r="DF1622" i="1"/>
  <c r="AC258" i="1"/>
  <c r="AH258" i="1"/>
  <c r="BS258" i="1"/>
  <c r="BV258" i="1"/>
  <c r="BX258" i="1"/>
  <c r="BY258" i="1"/>
  <c r="BZ258" i="1"/>
  <c r="CH258" i="1"/>
  <c r="CL258" i="1"/>
  <c r="CM258" i="1"/>
  <c r="CN258" i="1"/>
  <c r="CO258" i="1"/>
  <c r="CP258" i="1"/>
  <c r="CZ258" i="1"/>
  <c r="DB258" i="1"/>
  <c r="DF258" i="1"/>
  <c r="AC1642" i="1"/>
  <c r="AH1642" i="1"/>
  <c r="BS1642" i="1"/>
  <c r="BV1642" i="1"/>
  <c r="BX1642" i="1"/>
  <c r="BY1642" i="1"/>
  <c r="BZ1642" i="1"/>
  <c r="CA1642" i="1"/>
  <c r="CH1642" i="1"/>
  <c r="CL1642" i="1"/>
  <c r="CM1642" i="1"/>
  <c r="CN1642" i="1"/>
  <c r="CO1642" i="1"/>
  <c r="CP1642" i="1"/>
  <c r="CZ1642" i="1"/>
  <c r="DB1642" i="1"/>
  <c r="DF1642" i="1"/>
  <c r="AC1728" i="1"/>
  <c r="AH1728" i="1"/>
  <c r="BS1728" i="1"/>
  <c r="BV1728" i="1"/>
  <c r="BX1728" i="1"/>
  <c r="BY1728" i="1"/>
  <c r="BZ1728" i="1"/>
  <c r="CH1728" i="1"/>
  <c r="CL1728" i="1"/>
  <c r="CM1728" i="1"/>
  <c r="CN1728" i="1"/>
  <c r="CP1728" i="1"/>
  <c r="CZ1728" i="1"/>
  <c r="DB1728" i="1"/>
  <c r="DF1728" i="1"/>
  <c r="AC2097" i="1"/>
  <c r="AH2097" i="1"/>
  <c r="BS2097" i="1"/>
  <c r="BV2097" i="1"/>
  <c r="BX2097" i="1"/>
  <c r="BY2097" i="1"/>
  <c r="BZ2097" i="1"/>
  <c r="CA2097" i="1"/>
  <c r="CH2097" i="1"/>
  <c r="CL2097" i="1"/>
  <c r="CM2097" i="1"/>
  <c r="CN2097" i="1"/>
  <c r="CO2097" i="1"/>
  <c r="CP2097" i="1"/>
  <c r="CZ2097" i="1"/>
  <c r="DB2097" i="1"/>
  <c r="DF2097" i="1"/>
  <c r="AC120" i="1"/>
  <c r="AH120" i="1"/>
  <c r="BS120" i="1"/>
  <c r="BV120" i="1"/>
  <c r="BX120" i="1"/>
  <c r="BY120" i="1"/>
  <c r="BZ120" i="1"/>
  <c r="CA120" i="1"/>
  <c r="CH120" i="1"/>
  <c r="CL120" i="1"/>
  <c r="CM120" i="1"/>
  <c r="CN120" i="1"/>
  <c r="CO120" i="1"/>
  <c r="CP120" i="1"/>
  <c r="CZ120" i="1"/>
  <c r="DB120" i="1"/>
  <c r="DF120" i="1"/>
  <c r="AC1769" i="1"/>
  <c r="AH1769" i="1"/>
  <c r="BS1769" i="1"/>
  <c r="BV1769" i="1"/>
  <c r="BX1769" i="1"/>
  <c r="BY1769" i="1"/>
  <c r="BZ1769" i="1"/>
  <c r="CA1769" i="1"/>
  <c r="CH1769" i="1"/>
  <c r="CL1769" i="1"/>
  <c r="CM1769" i="1"/>
  <c r="CN1769" i="1"/>
  <c r="CO1769" i="1"/>
  <c r="CP1769" i="1"/>
  <c r="CZ1769" i="1"/>
  <c r="DB1769" i="1"/>
  <c r="DF1769" i="1"/>
  <c r="AC628" i="1"/>
  <c r="AH628" i="1"/>
  <c r="BS628" i="1"/>
  <c r="BV628" i="1"/>
  <c r="BX628" i="1"/>
  <c r="BY628" i="1"/>
  <c r="BZ628" i="1"/>
  <c r="CA628" i="1"/>
  <c r="CH628" i="1"/>
  <c r="CL628" i="1"/>
  <c r="CM628" i="1"/>
  <c r="CN628" i="1"/>
  <c r="CO628" i="1"/>
  <c r="CP628" i="1"/>
  <c r="CZ628" i="1"/>
  <c r="DB628" i="1"/>
  <c r="DF628" i="1"/>
  <c r="AC1646" i="1"/>
  <c r="AH1646" i="1"/>
  <c r="BS1646" i="1"/>
  <c r="BV1646" i="1"/>
  <c r="BX1646" i="1"/>
  <c r="BY1646" i="1"/>
  <c r="BZ1646" i="1"/>
  <c r="CA1646" i="1"/>
  <c r="CH1646" i="1"/>
  <c r="CL1646" i="1"/>
  <c r="CM1646" i="1"/>
  <c r="CN1646" i="1"/>
  <c r="CO1646" i="1"/>
  <c r="CP1646" i="1"/>
  <c r="CZ1646" i="1"/>
  <c r="DB1646" i="1"/>
  <c r="DF1646" i="1"/>
  <c r="AC2169" i="1"/>
  <c r="AH2169" i="1"/>
  <c r="BS2169" i="1"/>
  <c r="BV2169" i="1"/>
  <c r="BX2169" i="1"/>
  <c r="BY2169" i="1"/>
  <c r="BZ2169" i="1"/>
  <c r="CH2169" i="1"/>
  <c r="CL2169" i="1"/>
  <c r="CM2169" i="1"/>
  <c r="CN2169" i="1"/>
  <c r="CO2169" i="1"/>
  <c r="CP2169" i="1"/>
  <c r="CZ2169" i="1"/>
  <c r="DB2169" i="1"/>
  <c r="DF2169" i="1"/>
  <c r="AC223" i="1"/>
  <c r="AH223" i="1"/>
  <c r="BS223" i="1"/>
  <c r="BV223" i="1"/>
  <c r="BX223" i="1"/>
  <c r="BY223" i="1"/>
  <c r="BZ223" i="1"/>
  <c r="CA223" i="1"/>
  <c r="CH223" i="1"/>
  <c r="CL223" i="1"/>
  <c r="CM223" i="1"/>
  <c r="CN223" i="1"/>
  <c r="CO223" i="1"/>
  <c r="CP223" i="1"/>
  <c r="CZ223" i="1"/>
  <c r="DB223" i="1"/>
  <c r="DF223" i="1"/>
  <c r="AC1117" i="1"/>
  <c r="AH1117" i="1"/>
  <c r="BS1117" i="1"/>
  <c r="BV1117" i="1"/>
  <c r="BX1117" i="1"/>
  <c r="BY1117" i="1"/>
  <c r="BZ1117" i="1"/>
  <c r="CH1117" i="1"/>
  <c r="CL1117" i="1"/>
  <c r="CM1117" i="1"/>
  <c r="CN1117" i="1"/>
  <c r="CO1117" i="1"/>
  <c r="CP1117" i="1"/>
  <c r="CZ1117" i="1"/>
  <c r="DB1117" i="1"/>
  <c r="DF1117" i="1"/>
  <c r="AC269" i="1"/>
  <c r="AH269" i="1"/>
  <c r="BS269" i="1"/>
  <c r="BV269" i="1"/>
  <c r="BX269" i="1"/>
  <c r="BY269" i="1"/>
  <c r="BZ269" i="1"/>
  <c r="CA269" i="1"/>
  <c r="CH269" i="1"/>
  <c r="CL269" i="1"/>
  <c r="CM269" i="1"/>
  <c r="CN269" i="1"/>
  <c r="CO269" i="1"/>
  <c r="CP269" i="1"/>
  <c r="CZ269" i="1"/>
  <c r="DB269" i="1"/>
  <c r="DF269" i="1"/>
  <c r="AC895" i="1"/>
  <c r="AH895" i="1"/>
  <c r="BS895" i="1"/>
  <c r="BV895" i="1"/>
  <c r="BX895" i="1"/>
  <c r="BY895" i="1"/>
  <c r="BZ895" i="1"/>
  <c r="CH895" i="1"/>
  <c r="CL895" i="1"/>
  <c r="CM895" i="1"/>
  <c r="CN895" i="1"/>
  <c r="CO895" i="1"/>
  <c r="CP895" i="1"/>
  <c r="CZ895" i="1"/>
  <c r="DB895" i="1"/>
  <c r="DF895" i="1"/>
  <c r="AC1477" i="1"/>
  <c r="AH1477" i="1"/>
  <c r="BS1477" i="1"/>
  <c r="BV1477" i="1"/>
  <c r="BX1477" i="1"/>
  <c r="BY1477" i="1"/>
  <c r="BZ1477" i="1"/>
  <c r="CH1477" i="1"/>
  <c r="CL1477" i="1"/>
  <c r="CM1477" i="1"/>
  <c r="CN1477" i="1"/>
  <c r="CO1477" i="1"/>
  <c r="CP1477" i="1"/>
  <c r="CZ1477" i="1"/>
  <c r="DB1477" i="1"/>
  <c r="DF1477" i="1"/>
  <c r="AC1460" i="1"/>
  <c r="AH1460" i="1"/>
  <c r="BS1460" i="1"/>
  <c r="BV1460" i="1"/>
  <c r="BX1460" i="1"/>
  <c r="BY1460" i="1"/>
  <c r="BZ1460" i="1"/>
  <c r="CA1460" i="1"/>
  <c r="CH1460" i="1"/>
  <c r="CL1460" i="1"/>
  <c r="CM1460" i="1"/>
  <c r="CN1460" i="1"/>
  <c r="CO1460" i="1"/>
  <c r="CP1460" i="1"/>
  <c r="CZ1460" i="1"/>
  <c r="DB1460" i="1"/>
  <c r="DF1460" i="1"/>
  <c r="AC1949" i="1"/>
  <c r="AH1949" i="1"/>
  <c r="BS1949" i="1"/>
  <c r="BV1949" i="1"/>
  <c r="BX1949" i="1"/>
  <c r="BY1949" i="1"/>
  <c r="BZ1949" i="1"/>
  <c r="CH1949" i="1"/>
  <c r="CL1949" i="1"/>
  <c r="CM1949" i="1"/>
  <c r="CN1949" i="1"/>
  <c r="CO1949" i="1"/>
  <c r="CP1949" i="1"/>
  <c r="CZ1949" i="1"/>
  <c r="DB1949" i="1"/>
  <c r="DF1949" i="1"/>
  <c r="AC1062" i="1"/>
  <c r="AH1062" i="1"/>
  <c r="BS1062" i="1"/>
  <c r="BV1062" i="1"/>
  <c r="BX1062" i="1"/>
  <c r="BY1062" i="1"/>
  <c r="BZ1062" i="1"/>
  <c r="CA1062" i="1"/>
  <c r="CH1062" i="1"/>
  <c r="CL1062" i="1"/>
  <c r="CM1062" i="1"/>
  <c r="CN1062" i="1"/>
  <c r="CO1062" i="1"/>
  <c r="CP1062" i="1"/>
  <c r="CZ1062" i="1"/>
  <c r="DB1062" i="1"/>
  <c r="DF1062" i="1"/>
  <c r="AC479" i="1"/>
  <c r="AH479" i="1"/>
  <c r="BS479" i="1"/>
  <c r="BV479" i="1"/>
  <c r="BX479" i="1"/>
  <c r="BY479" i="1"/>
  <c r="BZ479" i="1"/>
  <c r="CA479" i="1"/>
  <c r="CH479" i="1"/>
  <c r="CL479" i="1"/>
  <c r="CM479" i="1"/>
  <c r="CN479" i="1"/>
  <c r="CO479" i="1"/>
  <c r="CP479" i="1"/>
  <c r="CZ479" i="1"/>
  <c r="DB479" i="1"/>
  <c r="DF479" i="1"/>
  <c r="AC282" i="1"/>
  <c r="AH282" i="1"/>
  <c r="BS282" i="1"/>
  <c r="BV282" i="1"/>
  <c r="BX282" i="1"/>
  <c r="BY282" i="1"/>
  <c r="BZ282" i="1"/>
  <c r="CA282" i="1"/>
  <c r="CH282" i="1"/>
  <c r="CL282" i="1"/>
  <c r="CM282" i="1"/>
  <c r="CN282" i="1"/>
  <c r="CO282" i="1"/>
  <c r="CP282" i="1"/>
  <c r="CZ282" i="1"/>
  <c r="DB282" i="1"/>
  <c r="DF282" i="1"/>
  <c r="AC2039" i="1"/>
  <c r="AH2039" i="1"/>
  <c r="BS2039" i="1"/>
  <c r="BV2039" i="1"/>
  <c r="BX2039" i="1"/>
  <c r="BY2039" i="1"/>
  <c r="BZ2039" i="1"/>
  <c r="CA2039" i="1"/>
  <c r="CH2039" i="1"/>
  <c r="CL2039" i="1"/>
  <c r="CM2039" i="1"/>
  <c r="CN2039" i="1"/>
  <c r="CO2039" i="1"/>
  <c r="CP2039" i="1"/>
  <c r="CZ2039" i="1"/>
  <c r="DB2039" i="1"/>
  <c r="DF2039" i="1"/>
  <c r="AC1342" i="1"/>
  <c r="AH1342" i="1"/>
  <c r="BS1342" i="1"/>
  <c r="BV1342" i="1"/>
  <c r="BX1342" i="1"/>
  <c r="BY1342" i="1"/>
  <c r="BZ1342" i="1"/>
  <c r="CA1342" i="1"/>
  <c r="CH1342" i="1"/>
  <c r="CL1342" i="1"/>
  <c r="CM1342" i="1"/>
  <c r="CN1342" i="1"/>
  <c r="CO1342" i="1"/>
  <c r="CP1342" i="1"/>
  <c r="CZ1342" i="1"/>
  <c r="DB1342" i="1"/>
  <c r="DF1342" i="1"/>
  <c r="AC2267" i="1"/>
  <c r="AH2267" i="1"/>
  <c r="BS2267" i="1"/>
  <c r="BV2267" i="1"/>
  <c r="BX2267" i="1"/>
  <c r="BY2267" i="1"/>
  <c r="BZ2267" i="1"/>
  <c r="CH2267" i="1"/>
  <c r="CL2267" i="1"/>
  <c r="CM2267" i="1"/>
  <c r="CN2267" i="1"/>
  <c r="CO2267" i="1"/>
  <c r="CP2267" i="1"/>
  <c r="CZ2267" i="1"/>
  <c r="DB2267" i="1"/>
  <c r="DF2267" i="1"/>
  <c r="AC1020" i="1"/>
  <c r="AH1020" i="1"/>
  <c r="BS1020" i="1"/>
  <c r="BV1020" i="1"/>
  <c r="BX1020" i="1"/>
  <c r="BY1020" i="1"/>
  <c r="BZ1020" i="1"/>
  <c r="CA1020" i="1"/>
  <c r="CH1020" i="1"/>
  <c r="CL1020" i="1"/>
  <c r="CM1020" i="1"/>
  <c r="CN1020" i="1"/>
  <c r="CO1020" i="1"/>
  <c r="CP1020" i="1"/>
  <c r="CZ1020" i="1"/>
  <c r="DB1020" i="1"/>
  <c r="DF1020" i="1"/>
  <c r="AC592" i="1"/>
  <c r="AH592" i="1"/>
  <c r="BS592" i="1"/>
  <c r="BV592" i="1"/>
  <c r="BX592" i="1"/>
  <c r="BY592" i="1"/>
  <c r="BZ592" i="1"/>
  <c r="CA592" i="1"/>
  <c r="CH592" i="1"/>
  <c r="CL592" i="1"/>
  <c r="CM592" i="1"/>
  <c r="CN592" i="1"/>
  <c r="CO592" i="1"/>
  <c r="CP592" i="1"/>
  <c r="CZ592" i="1"/>
  <c r="DB592" i="1"/>
  <c r="DF592" i="1"/>
  <c r="AC2210" i="1"/>
  <c r="AH2210" i="1"/>
  <c r="BS2210" i="1"/>
  <c r="BV2210" i="1"/>
  <c r="BX2210" i="1"/>
  <c r="BY2210" i="1"/>
  <c r="BZ2210" i="1"/>
  <c r="CH2210" i="1"/>
  <c r="CL2210" i="1"/>
  <c r="CM2210" i="1"/>
  <c r="CN2210" i="1"/>
  <c r="CO2210" i="1"/>
  <c r="CP2210" i="1"/>
  <c r="CZ2210" i="1"/>
  <c r="DB2210" i="1"/>
  <c r="DF2210" i="1"/>
  <c r="AC1154" i="1"/>
  <c r="AH1154" i="1"/>
  <c r="BS1154" i="1"/>
  <c r="BV1154" i="1"/>
  <c r="BX1154" i="1"/>
  <c r="BY1154" i="1"/>
  <c r="BZ1154" i="1"/>
  <c r="CH1154" i="1"/>
  <c r="CL1154" i="1"/>
  <c r="CM1154" i="1"/>
  <c r="CN1154" i="1"/>
  <c r="CO1154" i="1"/>
  <c r="CP1154" i="1"/>
  <c r="CZ1154" i="1"/>
  <c r="DB1154" i="1"/>
  <c r="DF1154" i="1"/>
  <c r="AC608" i="1"/>
  <c r="AH608" i="1"/>
  <c r="BS608" i="1"/>
  <c r="BV608" i="1"/>
  <c r="BX608" i="1"/>
  <c r="BY608" i="1"/>
  <c r="BZ608" i="1"/>
  <c r="CA608" i="1"/>
  <c r="CH608" i="1"/>
  <c r="CL608" i="1"/>
  <c r="CM608" i="1"/>
  <c r="CN608" i="1"/>
  <c r="CO608" i="1"/>
  <c r="CP608" i="1"/>
  <c r="CZ608" i="1"/>
  <c r="DB608" i="1"/>
  <c r="DF608" i="1"/>
  <c r="AC1503" i="1"/>
  <c r="AH1503" i="1"/>
  <c r="BS1503" i="1"/>
  <c r="BV1503" i="1"/>
  <c r="BX1503" i="1"/>
  <c r="BY1503" i="1"/>
  <c r="BZ1503" i="1"/>
  <c r="CA1503" i="1"/>
  <c r="CH1503" i="1"/>
  <c r="CL1503" i="1"/>
  <c r="CM1503" i="1"/>
  <c r="CN1503" i="1"/>
  <c r="CO1503" i="1"/>
  <c r="CP1503" i="1"/>
  <c r="CZ1503" i="1"/>
  <c r="DB1503" i="1"/>
  <c r="DF1503" i="1"/>
  <c r="AC44" i="1"/>
  <c r="AH44" i="1"/>
  <c r="BS44" i="1"/>
  <c r="BV44" i="1"/>
  <c r="BX44" i="1"/>
  <c r="BY44" i="1"/>
  <c r="BZ44" i="1"/>
  <c r="CA44" i="1"/>
  <c r="CH44" i="1"/>
  <c r="CL44" i="1"/>
  <c r="CM44" i="1"/>
  <c r="CN44" i="1"/>
  <c r="CO44" i="1"/>
  <c r="CP44" i="1"/>
  <c r="CZ44" i="1"/>
  <c r="DB44" i="1"/>
  <c r="DF44" i="1"/>
  <c r="AC1522" i="1"/>
  <c r="AH1522" i="1"/>
  <c r="BS1522" i="1"/>
  <c r="BV1522" i="1"/>
  <c r="BX1522" i="1"/>
  <c r="BY1522" i="1"/>
  <c r="BZ1522" i="1"/>
  <c r="CA1522" i="1"/>
  <c r="CH1522" i="1"/>
  <c r="CL1522" i="1"/>
  <c r="CM1522" i="1"/>
  <c r="CN1522" i="1"/>
  <c r="CP1522" i="1"/>
  <c r="CZ1522" i="1"/>
  <c r="DB1522" i="1"/>
  <c r="DF1522" i="1"/>
  <c r="AC292" i="1"/>
  <c r="AH292" i="1"/>
  <c r="BS292" i="1"/>
  <c r="BV292" i="1"/>
  <c r="BX292" i="1"/>
  <c r="BY292" i="1"/>
  <c r="BZ292" i="1"/>
  <c r="CA292" i="1"/>
  <c r="CH292" i="1"/>
  <c r="CL292" i="1"/>
  <c r="CM292" i="1"/>
  <c r="CN292" i="1"/>
  <c r="CO292" i="1"/>
  <c r="CP292" i="1"/>
  <c r="CZ292" i="1"/>
  <c r="DB292" i="1"/>
  <c r="DF292" i="1"/>
  <c r="AC1672" i="1"/>
  <c r="AH1672" i="1"/>
  <c r="BS1672" i="1"/>
  <c r="BV1672" i="1"/>
  <c r="BX1672" i="1"/>
  <c r="BY1672" i="1"/>
  <c r="BZ1672" i="1"/>
  <c r="CH1672" i="1"/>
  <c r="CL1672" i="1"/>
  <c r="CM1672" i="1"/>
  <c r="CN1672" i="1"/>
  <c r="CO1672" i="1"/>
  <c r="CP1672" i="1"/>
  <c r="CZ1672" i="1"/>
  <c r="DB1672" i="1"/>
  <c r="DF1672" i="1"/>
  <c r="AC1152" i="1"/>
  <c r="AH1152" i="1"/>
  <c r="BS1152" i="1"/>
  <c r="BV1152" i="1"/>
  <c r="BX1152" i="1"/>
  <c r="BY1152" i="1"/>
  <c r="BZ1152" i="1"/>
  <c r="CA1152" i="1"/>
  <c r="CH1152" i="1"/>
  <c r="CL1152" i="1"/>
  <c r="CM1152" i="1"/>
  <c r="CN1152" i="1"/>
  <c r="CO1152" i="1"/>
  <c r="CP1152" i="1"/>
  <c r="CZ1152" i="1"/>
  <c r="DB1152" i="1"/>
  <c r="DF1152" i="1"/>
  <c r="AC2211" i="1"/>
  <c r="AH2211" i="1"/>
  <c r="BS2211" i="1"/>
  <c r="BV2211" i="1"/>
  <c r="BX2211" i="1"/>
  <c r="BY2211" i="1"/>
  <c r="BZ2211" i="1"/>
  <c r="CA2211" i="1"/>
  <c r="CH2211" i="1"/>
  <c r="CL2211" i="1"/>
  <c r="CM2211" i="1"/>
  <c r="CN2211" i="1"/>
  <c r="CO2211" i="1"/>
  <c r="CP2211" i="1"/>
  <c r="CZ2211" i="1"/>
  <c r="DB2211" i="1"/>
  <c r="DF2211" i="1"/>
  <c r="AC162" i="1"/>
  <c r="AH162" i="1"/>
  <c r="BS162" i="1"/>
  <c r="BV162" i="1"/>
  <c r="BX162" i="1"/>
  <c r="BY162" i="1"/>
  <c r="BZ162" i="1"/>
  <c r="CA162" i="1"/>
  <c r="CH162" i="1"/>
  <c r="CL162" i="1"/>
  <c r="CM162" i="1"/>
  <c r="CN162" i="1"/>
  <c r="CO162" i="1"/>
  <c r="CP162" i="1"/>
  <c r="CZ162" i="1"/>
  <c r="DB162" i="1"/>
  <c r="DF162" i="1"/>
  <c r="AC587" i="1"/>
  <c r="AH587" i="1"/>
  <c r="BS587" i="1"/>
  <c r="BV587" i="1"/>
  <c r="BX587" i="1"/>
  <c r="BY587" i="1"/>
  <c r="BZ587" i="1"/>
  <c r="CA587" i="1"/>
  <c r="CH587" i="1"/>
  <c r="CL587" i="1"/>
  <c r="CM587" i="1"/>
  <c r="CN587" i="1"/>
  <c r="CO587" i="1"/>
  <c r="CP587" i="1"/>
  <c r="CZ587" i="1"/>
  <c r="DB587" i="1"/>
  <c r="DF587" i="1"/>
  <c r="AC834" i="1"/>
  <c r="AH834" i="1"/>
  <c r="BS834" i="1"/>
  <c r="BV834" i="1"/>
  <c r="BX834" i="1"/>
  <c r="BY834" i="1"/>
  <c r="BZ834" i="1"/>
  <c r="CA834" i="1"/>
  <c r="CH834" i="1"/>
  <c r="CL834" i="1"/>
  <c r="CM834" i="1"/>
  <c r="CN834" i="1"/>
  <c r="CO834" i="1"/>
  <c r="CP834" i="1"/>
  <c r="CZ834" i="1"/>
  <c r="DB834" i="1"/>
  <c r="DF834" i="1"/>
  <c r="AC452" i="1"/>
  <c r="AH452" i="1"/>
  <c r="BS452" i="1"/>
  <c r="BV452" i="1"/>
  <c r="BX452" i="1"/>
  <c r="BY452" i="1"/>
  <c r="BZ452" i="1"/>
  <c r="CH452" i="1"/>
  <c r="CL452" i="1"/>
  <c r="CM452" i="1"/>
  <c r="CN452" i="1"/>
  <c r="CO452" i="1"/>
  <c r="CP452" i="1"/>
  <c r="CZ452" i="1"/>
  <c r="DB452" i="1"/>
  <c r="DF452" i="1"/>
  <c r="AC315" i="1"/>
  <c r="AH315" i="1"/>
  <c r="BS315" i="1"/>
  <c r="BV315" i="1"/>
  <c r="BX315" i="1"/>
  <c r="BY315" i="1"/>
  <c r="BZ315" i="1"/>
  <c r="CA315" i="1"/>
  <c r="CH315" i="1"/>
  <c r="CL315" i="1"/>
  <c r="CM315" i="1"/>
  <c r="CN315" i="1"/>
  <c r="CO315" i="1"/>
  <c r="CP315" i="1"/>
  <c r="CZ315" i="1"/>
  <c r="DB315" i="1"/>
  <c r="DF315" i="1"/>
  <c r="AC2253" i="1"/>
  <c r="AH2253" i="1"/>
  <c r="BS2253" i="1"/>
  <c r="BV2253" i="1"/>
  <c r="BX2253" i="1"/>
  <c r="BY2253" i="1"/>
  <c r="BZ2253" i="1"/>
  <c r="CA2253" i="1"/>
  <c r="CH2253" i="1"/>
  <c r="CL2253" i="1"/>
  <c r="CM2253" i="1"/>
  <c r="CN2253" i="1"/>
  <c r="CO2253" i="1"/>
  <c r="CP2253" i="1"/>
  <c r="CZ2253" i="1"/>
  <c r="DB2253" i="1"/>
  <c r="DF2253" i="1"/>
  <c r="AC736" i="1"/>
  <c r="AH736" i="1"/>
  <c r="BS736" i="1"/>
  <c r="BV736" i="1"/>
  <c r="BX736" i="1"/>
  <c r="BY736" i="1"/>
  <c r="BZ736" i="1"/>
  <c r="CA736" i="1"/>
  <c r="CH736" i="1"/>
  <c r="CL736" i="1"/>
  <c r="CM736" i="1"/>
  <c r="CN736" i="1"/>
  <c r="CO736" i="1"/>
  <c r="CP736" i="1"/>
  <c r="CZ736" i="1"/>
  <c r="DB736" i="1"/>
  <c r="DF736" i="1"/>
  <c r="AC1947" i="1"/>
  <c r="AH1947" i="1"/>
  <c r="BS1947" i="1"/>
  <c r="BV1947" i="1"/>
  <c r="BX1947" i="1"/>
  <c r="BY1947" i="1"/>
  <c r="BZ1947" i="1"/>
  <c r="CH1947" i="1"/>
  <c r="CL1947" i="1"/>
  <c r="CM1947" i="1"/>
  <c r="CN1947" i="1"/>
  <c r="CO1947" i="1"/>
  <c r="CP1947" i="1"/>
  <c r="CZ1947" i="1"/>
  <c r="DB1947" i="1"/>
  <c r="DF1947" i="1"/>
  <c r="AC135" i="1"/>
  <c r="AH135" i="1"/>
  <c r="BS135" i="1"/>
  <c r="BV135" i="1"/>
  <c r="BX135" i="1"/>
  <c r="BY135" i="1"/>
  <c r="BZ135" i="1"/>
  <c r="CA135" i="1"/>
  <c r="CH135" i="1"/>
  <c r="CL135" i="1"/>
  <c r="CM135" i="1"/>
  <c r="CN135" i="1"/>
  <c r="CO135" i="1"/>
  <c r="CP135" i="1"/>
  <c r="CZ135" i="1"/>
  <c r="DB135" i="1"/>
  <c r="DF135" i="1"/>
  <c r="AC1406" i="1"/>
  <c r="AH1406" i="1"/>
  <c r="BS1406" i="1"/>
  <c r="BV1406" i="1"/>
  <c r="BX1406" i="1"/>
  <c r="BY1406" i="1"/>
  <c r="BZ1406" i="1"/>
  <c r="CA1406" i="1"/>
  <c r="CH1406" i="1"/>
  <c r="CL1406" i="1"/>
  <c r="CM1406" i="1"/>
  <c r="CN1406" i="1"/>
  <c r="CP1406" i="1"/>
  <c r="CZ1406" i="1"/>
  <c r="DB1406" i="1"/>
  <c r="DF1406" i="1"/>
  <c r="AC253" i="1"/>
  <c r="AH253" i="1"/>
  <c r="BS253" i="1"/>
  <c r="BV253" i="1"/>
  <c r="BX253" i="1"/>
  <c r="BY253" i="1"/>
  <c r="BZ253" i="1"/>
  <c r="CA253" i="1"/>
  <c r="CH253" i="1"/>
  <c r="CL253" i="1"/>
  <c r="CM253" i="1"/>
  <c r="CN253" i="1"/>
  <c r="CO253" i="1"/>
  <c r="CP253" i="1"/>
  <c r="CZ253" i="1"/>
  <c r="DB253" i="1"/>
  <c r="DF253" i="1"/>
  <c r="AC474" i="1"/>
  <c r="AH474" i="1"/>
  <c r="BS474" i="1"/>
  <c r="BV474" i="1"/>
  <c r="BX474" i="1"/>
  <c r="BY474" i="1"/>
  <c r="BZ474" i="1"/>
  <c r="CA474" i="1"/>
  <c r="CH474" i="1"/>
  <c r="CL474" i="1"/>
  <c r="CM474" i="1"/>
  <c r="CN474" i="1"/>
  <c r="CO474" i="1"/>
  <c r="CP474" i="1"/>
  <c r="CZ474" i="1"/>
  <c r="DB474" i="1"/>
  <c r="DF474" i="1"/>
  <c r="AC33" i="1"/>
  <c r="AH33" i="1"/>
  <c r="BS33" i="1"/>
  <c r="BV33" i="1"/>
  <c r="BX33" i="1"/>
  <c r="BY33" i="1"/>
  <c r="BZ33" i="1"/>
  <c r="CA33" i="1"/>
  <c r="CH33" i="1"/>
  <c r="CL33" i="1"/>
  <c r="CM33" i="1"/>
  <c r="CN33" i="1"/>
  <c r="CO33" i="1"/>
  <c r="CP33" i="1"/>
  <c r="CZ33" i="1"/>
  <c r="DB33" i="1"/>
  <c r="DF33" i="1"/>
  <c r="AC852" i="1"/>
  <c r="AH852" i="1"/>
  <c r="BS852" i="1"/>
  <c r="BV852" i="1"/>
  <c r="BX852" i="1"/>
  <c r="BY852" i="1"/>
  <c r="BZ852" i="1"/>
  <c r="CA852" i="1"/>
  <c r="CH852" i="1"/>
  <c r="CL852" i="1"/>
  <c r="CM852" i="1"/>
  <c r="CN852" i="1"/>
  <c r="CO852" i="1"/>
  <c r="CP852" i="1"/>
  <c r="CZ852" i="1"/>
  <c r="DB852" i="1"/>
  <c r="DF852" i="1"/>
  <c r="AC1244" i="1"/>
  <c r="AH1244" i="1"/>
  <c r="BS1244" i="1"/>
  <c r="BV1244" i="1"/>
  <c r="BX1244" i="1"/>
  <c r="BY1244" i="1"/>
  <c r="BZ1244" i="1"/>
  <c r="CA1244" i="1"/>
  <c r="CH1244" i="1"/>
  <c r="CL1244" i="1"/>
  <c r="CM1244" i="1"/>
  <c r="CN1244" i="1"/>
  <c r="CO1244" i="1"/>
  <c r="CP1244" i="1"/>
  <c r="CZ1244" i="1"/>
  <c r="DB1244" i="1"/>
  <c r="DF1244" i="1"/>
  <c r="AC127" i="1"/>
  <c r="AH127" i="1"/>
  <c r="BS127" i="1"/>
  <c r="BV127" i="1"/>
  <c r="BX127" i="1"/>
  <c r="BY127" i="1"/>
  <c r="BZ127" i="1"/>
  <c r="CH127" i="1"/>
  <c r="CL127" i="1"/>
  <c r="CM127" i="1"/>
  <c r="CN127" i="1"/>
  <c r="CO127" i="1"/>
  <c r="CP127" i="1"/>
  <c r="CZ127" i="1"/>
  <c r="DB127" i="1"/>
  <c r="DF127" i="1"/>
  <c r="AC1453" i="1"/>
  <c r="AH1453" i="1"/>
  <c r="BS1453" i="1"/>
  <c r="BV1453" i="1"/>
  <c r="BX1453" i="1"/>
  <c r="BY1453" i="1"/>
  <c r="BZ1453" i="1"/>
  <c r="CA1453" i="1"/>
  <c r="CH1453" i="1"/>
  <c r="CL1453" i="1"/>
  <c r="CM1453" i="1"/>
  <c r="CN1453" i="1"/>
  <c r="CO1453" i="1"/>
  <c r="CP1453" i="1"/>
  <c r="CZ1453" i="1"/>
  <c r="DB1453" i="1"/>
  <c r="DF1453" i="1"/>
  <c r="AC683" i="1"/>
  <c r="AH683" i="1"/>
  <c r="BS683" i="1"/>
  <c r="BV683" i="1"/>
  <c r="BX683" i="1"/>
  <c r="BY683" i="1"/>
  <c r="BZ683" i="1"/>
  <c r="CA683" i="1"/>
  <c r="CH683" i="1"/>
  <c r="CL683" i="1"/>
  <c r="CM683" i="1"/>
  <c r="CN683" i="1"/>
  <c r="CO683" i="1"/>
  <c r="CP683" i="1"/>
  <c r="CZ683" i="1"/>
  <c r="DB683" i="1"/>
  <c r="DF683" i="1"/>
  <c r="AC324" i="1"/>
  <c r="AH324" i="1"/>
  <c r="BS324" i="1"/>
  <c r="BV324" i="1"/>
  <c r="BX324" i="1"/>
  <c r="BY324" i="1"/>
  <c r="BZ324" i="1"/>
  <c r="CA324" i="1"/>
  <c r="CH324" i="1"/>
  <c r="CL324" i="1"/>
  <c r="CM324" i="1"/>
  <c r="CN324" i="1"/>
  <c r="CO324" i="1"/>
  <c r="CP324" i="1"/>
  <c r="CZ324" i="1"/>
  <c r="DB324" i="1"/>
  <c r="DF324" i="1"/>
  <c r="AC410" i="1"/>
  <c r="AH410" i="1"/>
  <c r="BS410" i="1"/>
  <c r="BV410" i="1"/>
  <c r="BX410" i="1"/>
  <c r="BY410" i="1"/>
  <c r="BZ410" i="1"/>
  <c r="CA410" i="1"/>
  <c r="CH410" i="1"/>
  <c r="CL410" i="1"/>
  <c r="CM410" i="1"/>
  <c r="CN410" i="1"/>
  <c r="CO410" i="1"/>
  <c r="CP410" i="1"/>
  <c r="CZ410" i="1"/>
  <c r="DB410" i="1"/>
  <c r="DF410" i="1"/>
  <c r="AC2035" i="1"/>
  <c r="AH2035" i="1"/>
  <c r="BS2035" i="1"/>
  <c r="BV2035" i="1"/>
  <c r="BX2035" i="1"/>
  <c r="BY2035" i="1"/>
  <c r="BZ2035" i="1"/>
  <c r="CA2035" i="1"/>
  <c r="CH2035" i="1"/>
  <c r="CL2035" i="1"/>
  <c r="CM2035" i="1"/>
  <c r="CN2035" i="1"/>
  <c r="CO2035" i="1"/>
  <c r="CP2035" i="1"/>
  <c r="CZ2035" i="1"/>
  <c r="DB2035" i="1"/>
  <c r="DF2035" i="1"/>
  <c r="AC1866" i="1"/>
  <c r="AH1866" i="1"/>
  <c r="BS1866" i="1"/>
  <c r="BV1866" i="1"/>
  <c r="BX1866" i="1"/>
  <c r="BY1866" i="1"/>
  <c r="BZ1866" i="1"/>
  <c r="CA1866" i="1"/>
  <c r="CH1866" i="1"/>
  <c r="CL1866" i="1"/>
  <c r="CM1866" i="1"/>
  <c r="CN1866" i="1"/>
  <c r="CO1866" i="1"/>
  <c r="CP1866" i="1"/>
  <c r="CZ1866" i="1"/>
  <c r="DB1866" i="1"/>
  <c r="DF1866" i="1"/>
  <c r="AC710" i="1"/>
  <c r="AH710" i="1"/>
  <c r="BS710" i="1"/>
  <c r="BV710" i="1"/>
  <c r="BX710" i="1"/>
  <c r="BY710" i="1"/>
  <c r="BZ710" i="1"/>
  <c r="CA710" i="1"/>
  <c r="CH710" i="1"/>
  <c r="CL710" i="1"/>
  <c r="CM710" i="1"/>
  <c r="CN710" i="1"/>
  <c r="CO710" i="1"/>
  <c r="CP710" i="1"/>
  <c r="CZ710" i="1"/>
  <c r="DB710" i="1"/>
  <c r="DF710" i="1"/>
  <c r="AC160" i="1"/>
  <c r="AH160" i="1"/>
  <c r="BS160" i="1"/>
  <c r="BV160" i="1"/>
  <c r="BX160" i="1"/>
  <c r="BY160" i="1"/>
  <c r="BZ160" i="1"/>
  <c r="CA160" i="1"/>
  <c r="CH160" i="1"/>
  <c r="CL160" i="1"/>
  <c r="CM160" i="1"/>
  <c r="CN160" i="1"/>
  <c r="CO160" i="1"/>
  <c r="CP160" i="1"/>
  <c r="CZ160" i="1"/>
  <c r="DB160" i="1"/>
  <c r="DF160" i="1"/>
  <c r="AC864" i="1"/>
  <c r="AH864" i="1"/>
  <c r="BS864" i="1"/>
  <c r="BV864" i="1"/>
  <c r="BX864" i="1"/>
  <c r="BY864" i="1"/>
  <c r="BZ864" i="1"/>
  <c r="CA864" i="1"/>
  <c r="CH864" i="1"/>
  <c r="CL864" i="1"/>
  <c r="CM864" i="1"/>
  <c r="CN864" i="1"/>
  <c r="CO864" i="1"/>
  <c r="CP864" i="1"/>
  <c r="CZ864" i="1"/>
  <c r="DB864" i="1"/>
  <c r="DF864" i="1"/>
  <c r="AC1868" i="1"/>
  <c r="AH1868" i="1"/>
  <c r="BS1868" i="1"/>
  <c r="BV1868" i="1"/>
  <c r="BX1868" i="1"/>
  <c r="BY1868" i="1"/>
  <c r="BZ1868" i="1"/>
  <c r="CH1868" i="1"/>
  <c r="CL1868" i="1"/>
  <c r="CM1868" i="1"/>
  <c r="CN1868" i="1"/>
  <c r="CP1868" i="1"/>
  <c r="CZ1868" i="1"/>
  <c r="DB1868" i="1"/>
  <c r="DF1868" i="1"/>
  <c r="AC671" i="1"/>
  <c r="AH671" i="1"/>
  <c r="BS671" i="1"/>
  <c r="BV671" i="1"/>
  <c r="BX671" i="1"/>
  <c r="BY671" i="1"/>
  <c r="BZ671" i="1"/>
  <c r="CA671" i="1"/>
  <c r="CH671" i="1"/>
  <c r="CL671" i="1"/>
  <c r="CM671" i="1"/>
  <c r="CN671" i="1"/>
  <c r="CO671" i="1"/>
  <c r="CP671" i="1"/>
  <c r="CZ671" i="1"/>
  <c r="DB671" i="1"/>
  <c r="DF671" i="1"/>
  <c r="AC1773" i="1"/>
  <c r="AH1773" i="1"/>
  <c r="BS1773" i="1"/>
  <c r="BV1773" i="1"/>
  <c r="BX1773" i="1"/>
  <c r="BY1773" i="1"/>
  <c r="BZ1773" i="1"/>
  <c r="CH1773" i="1"/>
  <c r="CL1773" i="1"/>
  <c r="CM1773" i="1"/>
  <c r="CN1773" i="1"/>
  <c r="CO1773" i="1"/>
  <c r="CP1773" i="1"/>
  <c r="CZ1773" i="1"/>
  <c r="DB1773" i="1"/>
  <c r="DF1773" i="1"/>
  <c r="AC1552" i="1"/>
  <c r="AH1552" i="1"/>
  <c r="BS1552" i="1"/>
  <c r="BV1552" i="1"/>
  <c r="BX1552" i="1"/>
  <c r="BY1552" i="1"/>
  <c r="BZ1552" i="1"/>
  <c r="CH1552" i="1"/>
  <c r="CL1552" i="1"/>
  <c r="CM1552" i="1"/>
  <c r="CN1552" i="1"/>
  <c r="CO1552" i="1"/>
  <c r="CP1552" i="1"/>
  <c r="CZ1552" i="1"/>
  <c r="DB1552" i="1"/>
  <c r="DF1552" i="1"/>
  <c r="AC173" i="1"/>
  <c r="AH173" i="1"/>
  <c r="BS173" i="1"/>
  <c r="BV173" i="1"/>
  <c r="BX173" i="1"/>
  <c r="BY173" i="1"/>
  <c r="BZ173" i="1"/>
  <c r="CA173" i="1"/>
  <c r="CH173" i="1"/>
  <c r="CL173" i="1"/>
  <c r="CM173" i="1"/>
  <c r="CN173" i="1"/>
  <c r="CO173" i="1"/>
  <c r="CP173" i="1"/>
  <c r="CZ173" i="1"/>
  <c r="DB173" i="1"/>
  <c r="DF173" i="1"/>
  <c r="AC1894" i="1"/>
  <c r="AH1894" i="1"/>
  <c r="BS1894" i="1"/>
  <c r="BV1894" i="1"/>
  <c r="BX1894" i="1"/>
  <c r="BY1894" i="1"/>
  <c r="BZ1894" i="1"/>
  <c r="CA1894" i="1"/>
  <c r="CH1894" i="1"/>
  <c r="CL1894" i="1"/>
  <c r="CM1894" i="1"/>
  <c r="CN1894" i="1"/>
  <c r="CO1894" i="1"/>
  <c r="CP1894" i="1"/>
  <c r="CZ1894" i="1"/>
  <c r="DB1894" i="1"/>
  <c r="DF1894" i="1"/>
  <c r="AC756" i="1"/>
  <c r="AH756" i="1"/>
  <c r="BS756" i="1"/>
  <c r="BV756" i="1"/>
  <c r="BX756" i="1"/>
  <c r="BY756" i="1"/>
  <c r="BZ756" i="1"/>
  <c r="CH756" i="1"/>
  <c r="CL756" i="1"/>
  <c r="CM756" i="1"/>
  <c r="CN756" i="1"/>
  <c r="CO756" i="1"/>
  <c r="CP756" i="1"/>
  <c r="CZ756" i="1"/>
  <c r="DB756" i="1"/>
  <c r="DF756" i="1"/>
  <c r="AC1844" i="1"/>
  <c r="AH1844" i="1"/>
  <c r="BS1844" i="1"/>
  <c r="BV1844" i="1"/>
  <c r="BX1844" i="1"/>
  <c r="BY1844" i="1"/>
  <c r="BZ1844" i="1"/>
  <c r="CA1844" i="1"/>
  <c r="CH1844" i="1"/>
  <c r="CL1844" i="1"/>
  <c r="CM1844" i="1"/>
  <c r="CN1844" i="1"/>
  <c r="CO1844" i="1"/>
  <c r="CP1844" i="1"/>
  <c r="CZ1844" i="1"/>
  <c r="DB1844" i="1"/>
  <c r="DF1844" i="1"/>
  <c r="AC717" i="1"/>
  <c r="AH717" i="1"/>
  <c r="BS717" i="1"/>
  <c r="BV717" i="1"/>
  <c r="BX717" i="1"/>
  <c r="BY717" i="1"/>
  <c r="BZ717" i="1"/>
  <c r="CA717" i="1"/>
  <c r="CH717" i="1"/>
  <c r="CL717" i="1"/>
  <c r="CM717" i="1"/>
  <c r="CN717" i="1"/>
  <c r="CO717" i="1"/>
  <c r="CP717" i="1"/>
  <c r="CZ717" i="1"/>
  <c r="DB717" i="1"/>
  <c r="DF717" i="1"/>
  <c r="AC2060" i="1"/>
  <c r="AH2060" i="1"/>
  <c r="BS2060" i="1"/>
  <c r="BV2060" i="1"/>
  <c r="BX2060" i="1"/>
  <c r="BY2060" i="1"/>
  <c r="BZ2060" i="1"/>
  <c r="CH2060" i="1"/>
  <c r="CL2060" i="1"/>
  <c r="CM2060" i="1"/>
  <c r="CN2060" i="1"/>
  <c r="CP2060" i="1"/>
  <c r="CZ2060" i="1"/>
  <c r="DB2060" i="1"/>
  <c r="DF2060" i="1"/>
  <c r="AC32" i="1"/>
  <c r="AH32" i="1"/>
  <c r="BS32" i="1"/>
  <c r="BV32" i="1"/>
  <c r="BX32" i="1"/>
  <c r="BY32" i="1"/>
  <c r="BZ32" i="1"/>
  <c r="CA32" i="1"/>
  <c r="CH32" i="1"/>
  <c r="CL32" i="1"/>
  <c r="CM32" i="1"/>
  <c r="CN32" i="1"/>
  <c r="CO32" i="1"/>
  <c r="CP32" i="1"/>
  <c r="CZ32" i="1"/>
  <c r="DB32" i="1"/>
  <c r="DF32" i="1"/>
  <c r="AC1327" i="1"/>
  <c r="AH1327" i="1"/>
  <c r="BS1327" i="1"/>
  <c r="BV1327" i="1"/>
  <c r="BX1327" i="1"/>
  <c r="BY1327" i="1"/>
  <c r="BZ1327" i="1"/>
  <c r="CA1327" i="1"/>
  <c r="CH1327" i="1"/>
  <c r="CL1327" i="1"/>
  <c r="CM1327" i="1"/>
  <c r="CN1327" i="1"/>
  <c r="CO1327" i="1"/>
  <c r="CP1327" i="1"/>
  <c r="CZ1327" i="1"/>
  <c r="DB1327" i="1"/>
  <c r="DF1327" i="1"/>
  <c r="AC98" i="1"/>
  <c r="AH98" i="1"/>
  <c r="BS98" i="1"/>
  <c r="BV98" i="1"/>
  <c r="BX98" i="1"/>
  <c r="BY98" i="1"/>
  <c r="BZ98" i="1"/>
  <c r="CA98" i="1"/>
  <c r="CH98" i="1"/>
  <c r="CL98" i="1"/>
  <c r="CM98" i="1"/>
  <c r="CN98" i="1"/>
  <c r="CO98" i="1"/>
  <c r="CP98" i="1"/>
  <c r="CZ98" i="1"/>
  <c r="DB98" i="1"/>
  <c r="DF98" i="1"/>
  <c r="AC1500" i="1"/>
  <c r="AH1500" i="1"/>
  <c r="BS1500" i="1"/>
  <c r="BV1500" i="1"/>
  <c r="BX1500" i="1"/>
  <c r="BY1500" i="1"/>
  <c r="BZ1500" i="1"/>
  <c r="CH1500" i="1"/>
  <c r="CL1500" i="1"/>
  <c r="CM1500" i="1"/>
  <c r="CN1500" i="1"/>
  <c r="CO1500" i="1"/>
  <c r="CP1500" i="1"/>
  <c r="CZ1500" i="1"/>
  <c r="DB1500" i="1"/>
  <c r="DF1500" i="1"/>
  <c r="AC195" i="1"/>
  <c r="AH195" i="1"/>
  <c r="BS195" i="1"/>
  <c r="BV195" i="1"/>
  <c r="BX195" i="1"/>
  <c r="BY195" i="1"/>
  <c r="BZ195" i="1"/>
  <c r="CA195" i="1"/>
  <c r="CH195" i="1"/>
  <c r="CL195" i="1"/>
  <c r="CM195" i="1"/>
  <c r="CN195" i="1"/>
  <c r="CO195" i="1"/>
  <c r="CP195" i="1"/>
  <c r="CZ195" i="1"/>
  <c r="DB195" i="1"/>
  <c r="DF195" i="1"/>
  <c r="AC976" i="1"/>
  <c r="AH976" i="1"/>
  <c r="BS976" i="1"/>
  <c r="BV976" i="1"/>
  <c r="BX976" i="1"/>
  <c r="BY976" i="1"/>
  <c r="BZ976" i="1"/>
  <c r="CA976" i="1"/>
  <c r="CH976" i="1"/>
  <c r="CL976" i="1"/>
  <c r="CM976" i="1"/>
  <c r="CN976" i="1"/>
  <c r="CO976" i="1"/>
  <c r="CP976" i="1"/>
  <c r="CZ976" i="1"/>
  <c r="DB976" i="1"/>
  <c r="DF976" i="1"/>
  <c r="AC31" i="1"/>
  <c r="AH31" i="1"/>
  <c r="BS31" i="1"/>
  <c r="BV31" i="1"/>
  <c r="BX31" i="1"/>
  <c r="BY31" i="1"/>
  <c r="BZ31" i="1"/>
  <c r="CA31" i="1"/>
  <c r="CH31" i="1"/>
  <c r="CL31" i="1"/>
  <c r="CM31" i="1"/>
  <c r="CN31" i="1"/>
  <c r="CO31" i="1"/>
  <c r="CP31" i="1"/>
  <c r="CZ31" i="1"/>
  <c r="DB31" i="1"/>
  <c r="DF31" i="1"/>
  <c r="AC1831" i="1"/>
  <c r="AH1831" i="1"/>
  <c r="BS1831" i="1"/>
  <c r="BV1831" i="1"/>
  <c r="BX1831" i="1"/>
  <c r="BY1831" i="1"/>
  <c r="BZ1831" i="1"/>
  <c r="CH1831" i="1"/>
  <c r="CL1831" i="1"/>
  <c r="CM1831" i="1"/>
  <c r="CN1831" i="1"/>
  <c r="CO1831" i="1"/>
  <c r="CP1831" i="1"/>
  <c r="CZ1831" i="1"/>
  <c r="DB1831" i="1"/>
  <c r="DF1831" i="1"/>
  <c r="AC1797" i="1"/>
  <c r="AH1797" i="1"/>
  <c r="BS1797" i="1"/>
  <c r="BV1797" i="1"/>
  <c r="BX1797" i="1"/>
  <c r="BY1797" i="1"/>
  <c r="BZ1797" i="1"/>
  <c r="CA1797" i="1"/>
  <c r="CH1797" i="1"/>
  <c r="CL1797" i="1"/>
  <c r="CM1797" i="1"/>
  <c r="CN1797" i="1"/>
  <c r="CO1797" i="1"/>
  <c r="CP1797" i="1"/>
  <c r="CZ1797" i="1"/>
  <c r="DB1797" i="1"/>
  <c r="DF1797" i="1"/>
  <c r="AC232" i="1"/>
  <c r="AH232" i="1"/>
  <c r="BS232" i="1"/>
  <c r="BV232" i="1"/>
  <c r="BX232" i="1"/>
  <c r="BY232" i="1"/>
  <c r="BZ232" i="1"/>
  <c r="CA232" i="1"/>
  <c r="CH232" i="1"/>
  <c r="CL232" i="1"/>
  <c r="CM232" i="1"/>
  <c r="CN232" i="1"/>
  <c r="CO232" i="1"/>
  <c r="CP232" i="1"/>
  <c r="CZ232" i="1"/>
  <c r="DB232" i="1"/>
  <c r="DF232" i="1"/>
  <c r="AC42" i="1"/>
  <c r="AH42" i="1"/>
  <c r="BS42" i="1"/>
  <c r="BV42" i="1"/>
  <c r="BX42" i="1"/>
  <c r="BY42" i="1"/>
  <c r="BZ42" i="1"/>
  <c r="CH42" i="1"/>
  <c r="CL42" i="1"/>
  <c r="CM42" i="1"/>
  <c r="CN42" i="1"/>
  <c r="CO42" i="1"/>
  <c r="CP42" i="1"/>
  <c r="CZ42" i="1"/>
  <c r="DB42" i="1"/>
  <c r="DF42" i="1"/>
  <c r="AC591" i="1"/>
  <c r="AH591" i="1"/>
  <c r="BS591" i="1"/>
  <c r="BV591" i="1"/>
  <c r="BX591" i="1"/>
  <c r="BY591" i="1"/>
  <c r="BZ591" i="1"/>
  <c r="CA591" i="1"/>
  <c r="CH591" i="1"/>
  <c r="CL591" i="1"/>
  <c r="CM591" i="1"/>
  <c r="CN591" i="1"/>
  <c r="CO591" i="1"/>
  <c r="CP591" i="1"/>
  <c r="CZ591" i="1"/>
  <c r="DB591" i="1"/>
  <c r="DF591" i="1"/>
  <c r="AC725" i="1"/>
  <c r="AH725" i="1"/>
  <c r="BS725" i="1"/>
  <c r="BV725" i="1"/>
  <c r="BX725" i="1"/>
  <c r="BY725" i="1"/>
  <c r="BZ725" i="1"/>
  <c r="CA725" i="1"/>
  <c r="CH725" i="1"/>
  <c r="CL725" i="1"/>
  <c r="CM725" i="1"/>
  <c r="CN725" i="1"/>
  <c r="CO725" i="1"/>
  <c r="CP725" i="1"/>
  <c r="CZ725" i="1"/>
  <c r="DB725" i="1"/>
  <c r="DF725" i="1"/>
  <c r="AC696" i="1"/>
  <c r="AH696" i="1"/>
  <c r="BS696" i="1"/>
  <c r="BV696" i="1"/>
  <c r="BX696" i="1"/>
  <c r="BY696" i="1"/>
  <c r="BZ696" i="1"/>
  <c r="CA696" i="1"/>
  <c r="CH696" i="1"/>
  <c r="CL696" i="1"/>
  <c r="CM696" i="1"/>
  <c r="CN696" i="1"/>
  <c r="CO696" i="1"/>
  <c r="CP696" i="1"/>
  <c r="CZ696" i="1"/>
  <c r="DB696" i="1"/>
  <c r="DF696" i="1"/>
  <c r="AC245" i="1"/>
  <c r="AH245" i="1"/>
  <c r="BS245" i="1"/>
  <c r="BV245" i="1"/>
  <c r="BX245" i="1"/>
  <c r="BY245" i="1"/>
  <c r="BZ245" i="1"/>
  <c r="CA245" i="1"/>
  <c r="CH245" i="1"/>
  <c r="CL245" i="1"/>
  <c r="CM245" i="1"/>
  <c r="CN245" i="1"/>
  <c r="CO245" i="1"/>
  <c r="CP245" i="1"/>
  <c r="CZ245" i="1"/>
  <c r="DB245" i="1"/>
  <c r="DF245" i="1"/>
  <c r="AC1623" i="1"/>
  <c r="AH1623" i="1"/>
  <c r="BS1623" i="1"/>
  <c r="BV1623" i="1"/>
  <c r="BX1623" i="1"/>
  <c r="BY1623" i="1"/>
  <c r="BZ1623" i="1"/>
  <c r="CA1623" i="1"/>
  <c r="CH1623" i="1"/>
  <c r="CL1623" i="1"/>
  <c r="CM1623" i="1"/>
  <c r="CN1623" i="1"/>
  <c r="CO1623" i="1"/>
  <c r="CP1623" i="1"/>
  <c r="CZ1623" i="1"/>
  <c r="DB1623" i="1"/>
  <c r="DF1623" i="1"/>
  <c r="AC2275" i="1"/>
  <c r="AH2275" i="1"/>
  <c r="BS2275" i="1"/>
  <c r="BV2275" i="1"/>
  <c r="BX2275" i="1"/>
  <c r="BY2275" i="1"/>
  <c r="BZ2275" i="1"/>
  <c r="CA2275" i="1"/>
  <c r="CH2275" i="1"/>
  <c r="CL2275" i="1"/>
  <c r="CM2275" i="1"/>
  <c r="CN2275" i="1"/>
  <c r="CO2275" i="1"/>
  <c r="CP2275" i="1"/>
  <c r="CZ2275" i="1"/>
  <c r="DB2275" i="1"/>
  <c r="DF2275" i="1"/>
  <c r="AC278" i="1"/>
  <c r="AH278" i="1"/>
  <c r="BS278" i="1"/>
  <c r="BV278" i="1"/>
  <c r="BX278" i="1"/>
  <c r="BY278" i="1"/>
  <c r="BZ278" i="1"/>
  <c r="CA278" i="1"/>
  <c r="CH278" i="1"/>
  <c r="CL278" i="1"/>
  <c r="CM278" i="1"/>
  <c r="CN278" i="1"/>
  <c r="CO278" i="1"/>
  <c r="CP278" i="1"/>
  <c r="CZ278" i="1"/>
  <c r="DB278" i="1"/>
  <c r="DF278" i="1"/>
  <c r="AC543" i="1"/>
  <c r="AH543" i="1"/>
  <c r="BS543" i="1"/>
  <c r="BV543" i="1"/>
  <c r="BX543" i="1"/>
  <c r="BY543" i="1"/>
  <c r="BZ543" i="1"/>
  <c r="CA543" i="1"/>
  <c r="CH543" i="1"/>
  <c r="CL543" i="1"/>
  <c r="CM543" i="1"/>
  <c r="CN543" i="1"/>
  <c r="CO543" i="1"/>
  <c r="CP543" i="1"/>
  <c r="CZ543" i="1"/>
  <c r="DB543" i="1"/>
  <c r="DF543" i="1"/>
  <c r="AC842" i="1"/>
  <c r="AH842" i="1"/>
  <c r="BS842" i="1"/>
  <c r="BV842" i="1"/>
  <c r="BX842" i="1"/>
  <c r="BY842" i="1"/>
  <c r="BZ842" i="1"/>
  <c r="CA842" i="1"/>
  <c r="CH842" i="1"/>
  <c r="CL842" i="1"/>
  <c r="CM842" i="1"/>
  <c r="CN842" i="1"/>
  <c r="CO842" i="1"/>
  <c r="CP842" i="1"/>
  <c r="CZ842" i="1"/>
  <c r="DB842" i="1"/>
  <c r="DF842" i="1"/>
  <c r="AC1233" i="1"/>
  <c r="AH1233" i="1"/>
  <c r="BS1233" i="1"/>
  <c r="BV1233" i="1"/>
  <c r="BX1233" i="1"/>
  <c r="BY1233" i="1"/>
  <c r="BZ1233" i="1"/>
  <c r="CA1233" i="1"/>
  <c r="CH1233" i="1"/>
  <c r="CL1233" i="1"/>
  <c r="CM1233" i="1"/>
  <c r="CN1233" i="1"/>
  <c r="CO1233" i="1"/>
  <c r="CP1233" i="1"/>
  <c r="CZ1233" i="1"/>
  <c r="DB1233" i="1"/>
  <c r="DF1233" i="1"/>
  <c r="AC1249" i="1"/>
  <c r="AH1249" i="1"/>
  <c r="BS1249" i="1"/>
  <c r="BV1249" i="1"/>
  <c r="BX1249" i="1"/>
  <c r="BY1249" i="1"/>
  <c r="BZ1249" i="1"/>
  <c r="CH1249" i="1"/>
  <c r="CL1249" i="1"/>
  <c r="CM1249" i="1"/>
  <c r="CN1249" i="1"/>
  <c r="CO1249" i="1"/>
  <c r="CP1249" i="1"/>
  <c r="CZ1249" i="1"/>
  <c r="DB1249" i="1"/>
  <c r="DF1249" i="1"/>
  <c r="AC1786" i="1"/>
  <c r="AH1786" i="1"/>
  <c r="BS1786" i="1"/>
  <c r="BV1786" i="1"/>
  <c r="BX1786" i="1"/>
  <c r="BY1786" i="1"/>
  <c r="BZ1786" i="1"/>
  <c r="CA1786" i="1"/>
  <c r="CH1786" i="1"/>
  <c r="CL1786" i="1"/>
  <c r="CM1786" i="1"/>
  <c r="CN1786" i="1"/>
  <c r="CO1786" i="1"/>
  <c r="CP1786" i="1"/>
  <c r="CZ1786" i="1"/>
  <c r="DB1786" i="1"/>
  <c r="DF1786" i="1"/>
  <c r="AC590" i="1"/>
  <c r="AH590" i="1"/>
  <c r="BS590" i="1"/>
  <c r="BV590" i="1"/>
  <c r="BX590" i="1"/>
  <c r="BY590" i="1"/>
  <c r="BZ590" i="1"/>
  <c r="CA590" i="1"/>
  <c r="CH590" i="1"/>
  <c r="CL590" i="1"/>
  <c r="CM590" i="1"/>
  <c r="CN590" i="1"/>
  <c r="CO590" i="1"/>
  <c r="CP590" i="1"/>
  <c r="CZ590" i="1"/>
  <c r="DB590" i="1"/>
  <c r="DF590" i="1"/>
  <c r="AC19" i="1"/>
  <c r="AH19" i="1"/>
  <c r="BS19" i="1"/>
  <c r="BV19" i="1"/>
  <c r="BX19" i="1"/>
  <c r="BY19" i="1"/>
  <c r="BZ19" i="1"/>
  <c r="CA19" i="1"/>
  <c r="CH19" i="1"/>
  <c r="CL19" i="1"/>
  <c r="CM19" i="1"/>
  <c r="CN19" i="1"/>
  <c r="CO19" i="1"/>
  <c r="CP19" i="1"/>
  <c r="CZ19" i="1"/>
  <c r="DB19" i="1"/>
  <c r="DF19" i="1"/>
  <c r="AC553" i="1"/>
  <c r="AH553" i="1"/>
  <c r="BS553" i="1"/>
  <c r="BV553" i="1"/>
  <c r="BX553" i="1"/>
  <c r="BY553" i="1"/>
  <c r="BZ553" i="1"/>
  <c r="CH553" i="1"/>
  <c r="CL553" i="1"/>
  <c r="CM553" i="1"/>
  <c r="CN553" i="1"/>
  <c r="CO553" i="1"/>
  <c r="CP553" i="1"/>
  <c r="CZ553" i="1"/>
  <c r="DB553" i="1"/>
  <c r="DF553" i="1"/>
  <c r="AC2131" i="1"/>
  <c r="AH2131" i="1"/>
  <c r="BS2131" i="1"/>
  <c r="BV2131" i="1"/>
  <c r="BX2131" i="1"/>
  <c r="BY2131" i="1"/>
  <c r="BZ2131" i="1"/>
  <c r="CH2131" i="1"/>
  <c r="CL2131" i="1"/>
  <c r="CM2131" i="1"/>
  <c r="CN2131" i="1"/>
  <c r="CP2131" i="1"/>
  <c r="CZ2131" i="1"/>
  <c r="DB2131" i="1"/>
  <c r="DF2131" i="1"/>
  <c r="AC971" i="1"/>
  <c r="AH971" i="1"/>
  <c r="BS971" i="1"/>
  <c r="BV971" i="1"/>
  <c r="BX971" i="1"/>
  <c r="BY971" i="1"/>
  <c r="BZ971" i="1"/>
  <c r="CA971" i="1"/>
  <c r="CH971" i="1"/>
  <c r="CL971" i="1"/>
  <c r="CM971" i="1"/>
  <c r="CN971" i="1"/>
  <c r="CO971" i="1"/>
  <c r="CP971" i="1"/>
  <c r="CZ971" i="1"/>
  <c r="DB971" i="1"/>
  <c r="DF971" i="1"/>
  <c r="AC1490" i="1"/>
  <c r="AH1490" i="1"/>
  <c r="BS1490" i="1"/>
  <c r="BV1490" i="1"/>
  <c r="BX1490" i="1"/>
  <c r="BY1490" i="1"/>
  <c r="BZ1490" i="1"/>
  <c r="CA1490" i="1"/>
  <c r="CH1490" i="1"/>
  <c r="CL1490" i="1"/>
  <c r="CM1490" i="1"/>
  <c r="CN1490" i="1"/>
  <c r="CO1490" i="1"/>
  <c r="CP1490" i="1"/>
  <c r="CZ1490" i="1"/>
  <c r="DB1490" i="1"/>
  <c r="DF1490" i="1"/>
  <c r="AC2011" i="1"/>
  <c r="AH2011" i="1"/>
  <c r="BS2011" i="1"/>
  <c r="BV2011" i="1"/>
  <c r="BX2011" i="1"/>
  <c r="BY2011" i="1"/>
  <c r="BZ2011" i="1"/>
  <c r="CA2011" i="1"/>
  <c r="CH2011" i="1"/>
  <c r="CL2011" i="1"/>
  <c r="CM2011" i="1"/>
  <c r="CN2011" i="1"/>
  <c r="CO2011" i="1"/>
  <c r="CP2011" i="1"/>
  <c r="CZ2011" i="1"/>
  <c r="DB2011" i="1"/>
  <c r="DF2011" i="1"/>
  <c r="AC1629" i="1"/>
  <c r="AH1629" i="1"/>
  <c r="BS1629" i="1"/>
  <c r="BV1629" i="1"/>
  <c r="BX1629" i="1"/>
  <c r="BY1629" i="1"/>
  <c r="BZ1629" i="1"/>
  <c r="CA1629" i="1"/>
  <c r="CH1629" i="1"/>
  <c r="CL1629" i="1"/>
  <c r="CM1629" i="1"/>
  <c r="CN1629" i="1"/>
  <c r="CO1629" i="1"/>
  <c r="CP1629" i="1"/>
  <c r="CZ1629" i="1"/>
  <c r="DB1629" i="1"/>
  <c r="DF1629" i="1"/>
  <c r="AC91" i="1"/>
  <c r="AH91" i="1"/>
  <c r="BS91" i="1"/>
  <c r="BV91" i="1"/>
  <c r="BX91" i="1"/>
  <c r="BY91" i="1"/>
  <c r="BZ91" i="1"/>
  <c r="CA91" i="1"/>
  <c r="CH91" i="1"/>
  <c r="CL91" i="1"/>
  <c r="CM91" i="1"/>
  <c r="CN91" i="1"/>
  <c r="CO91" i="1"/>
  <c r="CP91" i="1"/>
  <c r="CZ91" i="1"/>
  <c r="DB91" i="1"/>
  <c r="DF91" i="1"/>
  <c r="AC1973" i="1"/>
  <c r="AH1973" i="1"/>
  <c r="BS1973" i="1"/>
  <c r="BV1973" i="1"/>
  <c r="BX1973" i="1"/>
  <c r="BY1973" i="1"/>
  <c r="BZ1973" i="1"/>
  <c r="CA1973" i="1"/>
  <c r="CH1973" i="1"/>
  <c r="CL1973" i="1"/>
  <c r="CM1973" i="1"/>
  <c r="CN1973" i="1"/>
  <c r="CO1973" i="1"/>
  <c r="CP1973" i="1"/>
  <c r="CZ1973" i="1"/>
  <c r="DB1973" i="1"/>
  <c r="DF1973" i="1"/>
  <c r="AC640" i="1"/>
  <c r="AH640" i="1"/>
  <c r="BS640" i="1"/>
  <c r="BV640" i="1"/>
  <c r="BX640" i="1"/>
  <c r="BY640" i="1"/>
  <c r="BZ640" i="1"/>
  <c r="CA640" i="1"/>
  <c r="CH640" i="1"/>
  <c r="CL640" i="1"/>
  <c r="CM640" i="1"/>
  <c r="CN640" i="1"/>
  <c r="CO640" i="1"/>
  <c r="CP640" i="1"/>
  <c r="CZ640" i="1"/>
  <c r="DB640" i="1"/>
  <c r="DF640" i="1"/>
  <c r="AC1260" i="1"/>
  <c r="AH1260" i="1"/>
  <c r="BS1260" i="1"/>
  <c r="BV1260" i="1"/>
  <c r="BX1260" i="1"/>
  <c r="BY1260" i="1"/>
  <c r="BZ1260" i="1"/>
  <c r="CH1260" i="1"/>
  <c r="CL1260" i="1"/>
  <c r="CM1260" i="1"/>
  <c r="CN1260" i="1"/>
  <c r="CO1260" i="1"/>
  <c r="CP1260" i="1"/>
  <c r="CZ1260" i="1"/>
  <c r="DB1260" i="1"/>
  <c r="DF1260" i="1"/>
  <c r="AC1582" i="1"/>
  <c r="AH1582" i="1"/>
  <c r="BS1582" i="1"/>
  <c r="BV1582" i="1"/>
  <c r="BX1582" i="1"/>
  <c r="BY1582" i="1"/>
  <c r="BZ1582" i="1"/>
  <c r="CH1582" i="1"/>
  <c r="CL1582" i="1"/>
  <c r="CM1582" i="1"/>
  <c r="CN1582" i="1"/>
  <c r="CO1582" i="1"/>
  <c r="CP1582" i="1"/>
  <c r="CZ1582" i="1"/>
  <c r="DB1582" i="1"/>
  <c r="DF1582" i="1"/>
  <c r="AC1818" i="1"/>
  <c r="AH1818" i="1"/>
  <c r="BS1818" i="1"/>
  <c r="BV1818" i="1"/>
  <c r="BX1818" i="1"/>
  <c r="BY1818" i="1"/>
  <c r="BZ1818" i="1"/>
  <c r="CH1818" i="1"/>
  <c r="CL1818" i="1"/>
  <c r="CM1818" i="1"/>
  <c r="CN1818" i="1"/>
  <c r="CO1818" i="1"/>
  <c r="CP1818" i="1"/>
  <c r="CZ1818" i="1"/>
  <c r="DB1818" i="1"/>
  <c r="DF1818" i="1"/>
  <c r="AC1845" i="1"/>
  <c r="AH1845" i="1"/>
  <c r="BS1845" i="1"/>
  <c r="BV1845" i="1"/>
  <c r="BX1845" i="1"/>
  <c r="BY1845" i="1"/>
  <c r="BZ1845" i="1"/>
  <c r="CA1845" i="1"/>
  <c r="CH1845" i="1"/>
  <c r="CL1845" i="1"/>
  <c r="CM1845" i="1"/>
  <c r="CN1845" i="1"/>
  <c r="CO1845" i="1"/>
  <c r="CP1845" i="1"/>
  <c r="CZ1845" i="1"/>
  <c r="DB1845" i="1"/>
  <c r="DF1845" i="1"/>
  <c r="AC670" i="1"/>
  <c r="AH670" i="1"/>
  <c r="BS670" i="1"/>
  <c r="BV670" i="1"/>
  <c r="BX670" i="1"/>
  <c r="BY670" i="1"/>
  <c r="BZ670" i="1"/>
  <c r="CA670" i="1"/>
  <c r="CH670" i="1"/>
  <c r="CL670" i="1"/>
  <c r="CM670" i="1"/>
  <c r="CN670" i="1"/>
  <c r="CO670" i="1"/>
  <c r="CP670" i="1"/>
  <c r="CZ670" i="1"/>
  <c r="DB670" i="1"/>
  <c r="DF670" i="1"/>
  <c r="AC1279" i="1"/>
  <c r="AH1279" i="1"/>
  <c r="BS1279" i="1"/>
  <c r="BV1279" i="1"/>
  <c r="BX1279" i="1"/>
  <c r="BY1279" i="1"/>
  <c r="BZ1279" i="1"/>
  <c r="CH1279" i="1"/>
  <c r="CL1279" i="1"/>
  <c r="CM1279" i="1"/>
  <c r="CN1279" i="1"/>
  <c r="CP1279" i="1"/>
  <c r="CZ1279" i="1"/>
  <c r="DB1279" i="1"/>
  <c r="DF1279" i="1"/>
  <c r="AC2228" i="1"/>
  <c r="AH2228" i="1"/>
  <c r="BS2228" i="1"/>
  <c r="BV2228" i="1"/>
  <c r="BX2228" i="1"/>
  <c r="BY2228" i="1"/>
  <c r="BZ2228" i="1"/>
  <c r="CA2228" i="1"/>
  <c r="CH2228" i="1"/>
  <c r="CL2228" i="1"/>
  <c r="CM2228" i="1"/>
  <c r="CN2228" i="1"/>
  <c r="CO2228" i="1"/>
  <c r="CP2228" i="1"/>
  <c r="CZ2228" i="1"/>
  <c r="DB2228" i="1"/>
  <c r="DF2228" i="1"/>
  <c r="AC1091" i="1"/>
  <c r="AH1091" i="1"/>
  <c r="BS1091" i="1"/>
  <c r="BV1091" i="1"/>
  <c r="BX1091" i="1"/>
  <c r="BY1091" i="1"/>
  <c r="BZ1091" i="1"/>
  <c r="CA1091" i="1"/>
  <c r="CH1091" i="1"/>
  <c r="CL1091" i="1"/>
  <c r="CM1091" i="1"/>
  <c r="CN1091" i="1"/>
  <c r="CO1091" i="1"/>
  <c r="CP1091" i="1"/>
  <c r="CZ1091" i="1"/>
  <c r="DB1091" i="1"/>
  <c r="DF1091" i="1"/>
  <c r="AC1176" i="1"/>
  <c r="AH1176" i="1"/>
  <c r="BS1176" i="1"/>
  <c r="BV1176" i="1"/>
  <c r="BX1176" i="1"/>
  <c r="BY1176" i="1"/>
  <c r="BZ1176" i="1"/>
  <c r="CA1176" i="1"/>
  <c r="CH1176" i="1"/>
  <c r="CL1176" i="1"/>
  <c r="CM1176" i="1"/>
  <c r="CN1176" i="1"/>
  <c r="CO1176" i="1"/>
  <c r="CP1176" i="1"/>
  <c r="CZ1176" i="1"/>
  <c r="DB1176" i="1"/>
  <c r="DF1176" i="1"/>
  <c r="AC1834" i="1"/>
  <c r="AH1834" i="1"/>
  <c r="BS1834" i="1"/>
  <c r="BV1834" i="1"/>
  <c r="BX1834" i="1"/>
  <c r="BY1834" i="1"/>
  <c r="BZ1834" i="1"/>
  <c r="CA1834" i="1"/>
  <c r="CH1834" i="1"/>
  <c r="CL1834" i="1"/>
  <c r="CM1834" i="1"/>
  <c r="CN1834" i="1"/>
  <c r="CO1834" i="1"/>
  <c r="CP1834" i="1"/>
  <c r="CZ1834" i="1"/>
  <c r="DB1834" i="1"/>
  <c r="DF1834" i="1"/>
  <c r="AC54" i="1"/>
  <c r="AH54" i="1"/>
  <c r="BS54" i="1"/>
  <c r="BV54" i="1"/>
  <c r="BX54" i="1"/>
  <c r="BY54" i="1"/>
  <c r="BZ54" i="1"/>
  <c r="CA54" i="1"/>
  <c r="CH54" i="1"/>
  <c r="CL54" i="1"/>
  <c r="CM54" i="1"/>
  <c r="CN54" i="1"/>
  <c r="CO54" i="1"/>
  <c r="CP54" i="1"/>
  <c r="CZ54" i="1"/>
  <c r="DB54" i="1"/>
  <c r="DF54" i="1"/>
  <c r="AC1376" i="1"/>
  <c r="AH1376" i="1"/>
  <c r="BS1376" i="1"/>
  <c r="BV1376" i="1"/>
  <c r="BX1376" i="1"/>
  <c r="BY1376" i="1"/>
  <c r="BZ1376" i="1"/>
  <c r="CH1376" i="1"/>
  <c r="CL1376" i="1"/>
  <c r="CM1376" i="1"/>
  <c r="CN1376" i="1"/>
  <c r="CO1376" i="1"/>
  <c r="CP1376" i="1"/>
  <c r="CZ1376" i="1"/>
  <c r="DB1376" i="1"/>
  <c r="DF1376" i="1"/>
  <c r="AC753" i="1"/>
  <c r="AH753" i="1"/>
  <c r="BS753" i="1"/>
  <c r="BV753" i="1"/>
  <c r="BX753" i="1"/>
  <c r="BY753" i="1"/>
  <c r="BZ753" i="1"/>
  <c r="CH753" i="1"/>
  <c r="CL753" i="1"/>
  <c r="CM753" i="1"/>
  <c r="CN753" i="1"/>
  <c r="CO753" i="1"/>
  <c r="CP753" i="1"/>
  <c r="CZ753" i="1"/>
  <c r="DB753" i="1"/>
  <c r="DF753" i="1"/>
  <c r="AC1916" i="1"/>
  <c r="AH1916" i="1"/>
  <c r="BS1916" i="1"/>
  <c r="BV1916" i="1"/>
  <c r="BX1916" i="1"/>
  <c r="BY1916" i="1"/>
  <c r="BZ1916" i="1"/>
  <c r="CH1916" i="1"/>
  <c r="CL1916" i="1"/>
  <c r="CM1916" i="1"/>
  <c r="CN1916" i="1"/>
  <c r="CP1916" i="1"/>
  <c r="CZ1916" i="1"/>
  <c r="DB1916" i="1"/>
  <c r="DF1916" i="1"/>
  <c r="AC855" i="1"/>
  <c r="AH855" i="1"/>
  <c r="BS855" i="1"/>
  <c r="BV855" i="1"/>
  <c r="BX855" i="1"/>
  <c r="BY855" i="1"/>
  <c r="BZ855" i="1"/>
  <c r="CH855" i="1"/>
  <c r="CL855" i="1"/>
  <c r="CM855" i="1"/>
  <c r="CN855" i="1"/>
  <c r="CO855" i="1"/>
  <c r="CP855" i="1"/>
  <c r="CZ855" i="1"/>
  <c r="DB855" i="1"/>
  <c r="DF855" i="1"/>
  <c r="AC1474" i="1"/>
  <c r="AH1474" i="1"/>
  <c r="BS1474" i="1"/>
  <c r="BV1474" i="1"/>
  <c r="BX1474" i="1"/>
  <c r="BY1474" i="1"/>
  <c r="BZ1474" i="1"/>
  <c r="CH1474" i="1"/>
  <c r="CL1474" i="1"/>
  <c r="CM1474" i="1"/>
  <c r="CN1474" i="1"/>
  <c r="CO1474" i="1"/>
  <c r="CP1474" i="1"/>
  <c r="CZ1474" i="1"/>
  <c r="DB1474" i="1"/>
  <c r="DF1474" i="1"/>
  <c r="AC965" i="1"/>
  <c r="AH965" i="1"/>
  <c r="BS965" i="1"/>
  <c r="BV965" i="1"/>
  <c r="BX965" i="1"/>
  <c r="BY965" i="1"/>
  <c r="BZ965" i="1"/>
  <c r="CA965" i="1"/>
  <c r="CH965" i="1"/>
  <c r="CL965" i="1"/>
  <c r="CM965" i="1"/>
  <c r="CN965" i="1"/>
  <c r="CO965" i="1"/>
  <c r="CP965" i="1"/>
  <c r="CZ965" i="1"/>
  <c r="DB965" i="1"/>
  <c r="DF965" i="1"/>
  <c r="AC742" i="1"/>
  <c r="AH742" i="1"/>
  <c r="BS742" i="1"/>
  <c r="BV742" i="1"/>
  <c r="BX742" i="1"/>
  <c r="BY742" i="1"/>
  <c r="BZ742" i="1"/>
  <c r="CA742" i="1"/>
  <c r="CH742" i="1"/>
  <c r="CL742" i="1"/>
  <c r="CM742" i="1"/>
  <c r="CN742" i="1"/>
  <c r="CO742" i="1"/>
  <c r="CP742" i="1"/>
  <c r="CZ742" i="1"/>
  <c r="DB742" i="1"/>
  <c r="DF742" i="1"/>
  <c r="AC1725" i="1"/>
  <c r="AH1725" i="1"/>
  <c r="BS1725" i="1"/>
  <c r="BV1725" i="1"/>
  <c r="BX1725" i="1"/>
  <c r="BY1725" i="1"/>
  <c r="BZ1725" i="1"/>
  <c r="CH1725" i="1"/>
  <c r="CL1725" i="1"/>
  <c r="CM1725" i="1"/>
  <c r="CN1725" i="1"/>
  <c r="CO1725" i="1"/>
  <c r="CP1725" i="1"/>
  <c r="CZ1725" i="1"/>
  <c r="DB1725" i="1"/>
  <c r="DF1725" i="1"/>
  <c r="AC2045" i="1"/>
  <c r="AH2045" i="1"/>
  <c r="BS2045" i="1"/>
  <c r="BV2045" i="1"/>
  <c r="BX2045" i="1"/>
  <c r="BY2045" i="1"/>
  <c r="BZ2045" i="1"/>
  <c r="CA2045" i="1"/>
  <c r="CH2045" i="1"/>
  <c r="CL2045" i="1"/>
  <c r="CM2045" i="1"/>
  <c r="CN2045" i="1"/>
  <c r="CO2045" i="1"/>
  <c r="CP2045" i="1"/>
  <c r="CZ2045" i="1"/>
  <c r="DB2045" i="1"/>
  <c r="DF2045" i="1"/>
  <c r="AC1678" i="1"/>
  <c r="AH1678" i="1"/>
  <c r="BS1678" i="1"/>
  <c r="BV1678" i="1"/>
  <c r="BX1678" i="1"/>
  <c r="BY1678" i="1"/>
  <c r="BZ1678" i="1"/>
  <c r="CA1678" i="1"/>
  <c r="CH1678" i="1"/>
  <c r="CL1678" i="1"/>
  <c r="CM1678" i="1"/>
  <c r="CN1678" i="1"/>
  <c r="CO1678" i="1"/>
  <c r="CP1678" i="1"/>
  <c r="CZ1678" i="1"/>
  <c r="DB1678" i="1"/>
  <c r="DF1678" i="1"/>
  <c r="AC931" i="1"/>
  <c r="AH931" i="1"/>
  <c r="BS931" i="1"/>
  <c r="BV931" i="1"/>
  <c r="BX931" i="1"/>
  <c r="BY931" i="1"/>
  <c r="BZ931" i="1"/>
  <c r="CA931" i="1"/>
  <c r="CH931" i="1"/>
  <c r="CL931" i="1"/>
  <c r="CM931" i="1"/>
  <c r="CN931" i="1"/>
  <c r="CO931" i="1"/>
  <c r="CP931" i="1"/>
  <c r="CZ931" i="1"/>
  <c r="DB931" i="1"/>
  <c r="DF931" i="1"/>
  <c r="AC459" i="1"/>
  <c r="AH459" i="1"/>
  <c r="BS459" i="1"/>
  <c r="BV459" i="1"/>
  <c r="BX459" i="1"/>
  <c r="BY459" i="1"/>
  <c r="BZ459" i="1"/>
  <c r="CH459" i="1"/>
  <c r="CL459" i="1"/>
  <c r="CM459" i="1"/>
  <c r="CN459" i="1"/>
  <c r="CO459" i="1"/>
  <c r="CP459" i="1"/>
  <c r="CZ459" i="1"/>
  <c r="DB459" i="1"/>
  <c r="DF459" i="1"/>
  <c r="AC2102" i="1"/>
  <c r="AH2102" i="1"/>
  <c r="BS2102" i="1"/>
  <c r="BV2102" i="1"/>
  <c r="BX2102" i="1"/>
  <c r="BY2102" i="1"/>
  <c r="BZ2102" i="1"/>
  <c r="CA2102" i="1"/>
  <c r="CH2102" i="1"/>
  <c r="CL2102" i="1"/>
  <c r="CM2102" i="1"/>
  <c r="CN2102" i="1"/>
  <c r="CO2102" i="1"/>
  <c r="CP2102" i="1"/>
  <c r="CZ2102" i="1"/>
  <c r="DB2102" i="1"/>
  <c r="DF2102" i="1"/>
  <c r="AC1333" i="1"/>
  <c r="AH1333" i="1"/>
  <c r="BS1333" i="1"/>
  <c r="BV1333" i="1"/>
  <c r="BX1333" i="1"/>
  <c r="BY1333" i="1"/>
  <c r="BZ1333" i="1"/>
  <c r="CH1333" i="1"/>
  <c r="CL1333" i="1"/>
  <c r="CM1333" i="1"/>
  <c r="CN1333" i="1"/>
  <c r="CP1333" i="1"/>
  <c r="CZ1333" i="1"/>
  <c r="DB1333" i="1"/>
  <c r="DF1333" i="1"/>
  <c r="AC1573" i="1"/>
  <c r="AH1573" i="1"/>
  <c r="BS1573" i="1"/>
  <c r="BV1573" i="1"/>
  <c r="BX1573" i="1"/>
  <c r="BY1573" i="1"/>
  <c r="BZ1573" i="1"/>
  <c r="CH1573" i="1"/>
  <c r="CL1573" i="1"/>
  <c r="CM1573" i="1"/>
  <c r="CN1573" i="1"/>
  <c r="CO1573" i="1"/>
  <c r="CP1573" i="1"/>
  <c r="CZ1573" i="1"/>
  <c r="DB1573" i="1"/>
  <c r="DF1573" i="1"/>
  <c r="AC1998" i="1"/>
  <c r="AH1998" i="1"/>
  <c r="BS1998" i="1"/>
  <c r="BV1998" i="1"/>
  <c r="BX1998" i="1"/>
  <c r="BY1998" i="1"/>
  <c r="BZ1998" i="1"/>
  <c r="CH1998" i="1"/>
  <c r="CL1998" i="1"/>
  <c r="CM1998" i="1"/>
  <c r="CN1998" i="1"/>
  <c r="CO1998" i="1"/>
  <c r="CP1998" i="1"/>
  <c r="CZ1998" i="1"/>
  <c r="DB1998" i="1"/>
  <c r="DF1998" i="1"/>
  <c r="AC894" i="1"/>
  <c r="AH894" i="1"/>
  <c r="BS894" i="1"/>
  <c r="BV894" i="1"/>
  <c r="BX894" i="1"/>
  <c r="BY894" i="1"/>
  <c r="BZ894" i="1"/>
  <c r="CA894" i="1"/>
  <c r="CH894" i="1"/>
  <c r="CL894" i="1"/>
  <c r="CM894" i="1"/>
  <c r="CN894" i="1"/>
  <c r="CO894" i="1"/>
  <c r="CP894" i="1"/>
  <c r="CZ894" i="1"/>
  <c r="DB894" i="1"/>
  <c r="DF894" i="1"/>
  <c r="AC969" i="1"/>
  <c r="AH969" i="1"/>
  <c r="BS969" i="1"/>
  <c r="BV969" i="1"/>
  <c r="BX969" i="1"/>
  <c r="BY969" i="1"/>
  <c r="BZ969" i="1"/>
  <c r="CH969" i="1"/>
  <c r="CL969" i="1"/>
  <c r="CM969" i="1"/>
  <c r="CN969" i="1"/>
  <c r="CO969" i="1"/>
  <c r="CP969" i="1"/>
  <c r="CZ969" i="1"/>
  <c r="DB969" i="1"/>
  <c r="DF969" i="1"/>
  <c r="AC850" i="1"/>
  <c r="AH850" i="1"/>
  <c r="BS850" i="1"/>
  <c r="BV850" i="1"/>
  <c r="BX850" i="1"/>
  <c r="BY850" i="1"/>
  <c r="BZ850" i="1"/>
  <c r="CA850" i="1"/>
  <c r="CH850" i="1"/>
  <c r="CL850" i="1"/>
  <c r="CM850" i="1"/>
  <c r="CN850" i="1"/>
  <c r="CO850" i="1"/>
  <c r="CP850" i="1"/>
  <c r="CZ850" i="1"/>
  <c r="DB850" i="1"/>
  <c r="DF850" i="1"/>
  <c r="AC2018" i="1"/>
  <c r="AH2018" i="1"/>
  <c r="BS2018" i="1"/>
  <c r="BV2018" i="1"/>
  <c r="BX2018" i="1"/>
  <c r="BY2018" i="1"/>
  <c r="BZ2018" i="1"/>
  <c r="CA2018" i="1"/>
  <c r="CH2018" i="1"/>
  <c r="CL2018" i="1"/>
  <c r="CM2018" i="1"/>
  <c r="CN2018" i="1"/>
  <c r="CO2018" i="1"/>
  <c r="CP2018" i="1"/>
  <c r="CZ2018" i="1"/>
  <c r="DB2018" i="1"/>
  <c r="DF2018" i="1"/>
  <c r="AC2135" i="1"/>
  <c r="AH2135" i="1"/>
  <c r="BS2135" i="1"/>
  <c r="BV2135" i="1"/>
  <c r="BX2135" i="1"/>
  <c r="BY2135" i="1"/>
  <c r="BZ2135" i="1"/>
  <c r="CA2135" i="1"/>
  <c r="CH2135" i="1"/>
  <c r="CL2135" i="1"/>
  <c r="CM2135" i="1"/>
  <c r="CN2135" i="1"/>
  <c r="CO2135" i="1"/>
  <c r="CP2135" i="1"/>
  <c r="CZ2135" i="1"/>
  <c r="DB2135" i="1"/>
  <c r="DF2135" i="1"/>
  <c r="AC531" i="1"/>
  <c r="AH531" i="1"/>
  <c r="BS531" i="1"/>
  <c r="BV531" i="1"/>
  <c r="BX531" i="1"/>
  <c r="BY531" i="1"/>
  <c r="BZ531" i="1"/>
  <c r="CA531" i="1"/>
  <c r="CH531" i="1"/>
  <c r="CL531" i="1"/>
  <c r="CM531" i="1"/>
  <c r="CN531" i="1"/>
  <c r="CO531" i="1"/>
  <c r="CP531" i="1"/>
  <c r="CZ531" i="1"/>
  <c r="DB531" i="1"/>
  <c r="DF531" i="1"/>
  <c r="AC987" i="1"/>
  <c r="AH987" i="1"/>
  <c r="BS987" i="1"/>
  <c r="BV987" i="1"/>
  <c r="BX987" i="1"/>
  <c r="BY987" i="1"/>
  <c r="BZ987" i="1"/>
  <c r="CA987" i="1"/>
  <c r="CH987" i="1"/>
  <c r="CL987" i="1"/>
  <c r="CM987" i="1"/>
  <c r="CN987" i="1"/>
  <c r="CO987" i="1"/>
  <c r="CP987" i="1"/>
  <c r="CZ987" i="1"/>
  <c r="DB987" i="1"/>
  <c r="DF987" i="1"/>
  <c r="AC581" i="1"/>
  <c r="AH581" i="1"/>
  <c r="BS581" i="1"/>
  <c r="BV581" i="1"/>
  <c r="BX581" i="1"/>
  <c r="BY581" i="1"/>
  <c r="BZ581" i="1"/>
  <c r="CH581" i="1"/>
  <c r="CL581" i="1"/>
  <c r="CM581" i="1"/>
  <c r="CN581" i="1"/>
  <c r="CO581" i="1"/>
  <c r="CP581" i="1"/>
  <c r="CZ581" i="1"/>
  <c r="DB581" i="1"/>
  <c r="DF581" i="1"/>
  <c r="AC189" i="1"/>
  <c r="AH189" i="1"/>
  <c r="BS189" i="1"/>
  <c r="BV189" i="1"/>
  <c r="BX189" i="1"/>
  <c r="BY189" i="1"/>
  <c r="BZ189" i="1"/>
  <c r="CH189" i="1"/>
  <c r="CL189" i="1"/>
  <c r="CM189" i="1"/>
  <c r="CN189" i="1"/>
  <c r="CO189" i="1"/>
  <c r="CP189" i="1"/>
  <c r="CZ189" i="1"/>
  <c r="DB189" i="1"/>
  <c r="DF189" i="1"/>
  <c r="AC126" i="1"/>
  <c r="AH126" i="1"/>
  <c r="BS126" i="1"/>
  <c r="BV126" i="1"/>
  <c r="BX126" i="1"/>
  <c r="BY126" i="1"/>
  <c r="BZ126" i="1"/>
  <c r="CH126" i="1"/>
  <c r="CL126" i="1"/>
  <c r="CM126" i="1"/>
  <c r="CN126" i="1"/>
  <c r="CO126" i="1"/>
  <c r="CP126" i="1"/>
  <c r="CZ126" i="1"/>
  <c r="DB126" i="1"/>
  <c r="DF126" i="1"/>
  <c r="AC2083" i="1"/>
  <c r="AH2083" i="1"/>
  <c r="BS2083" i="1"/>
  <c r="BV2083" i="1"/>
  <c r="BX2083" i="1"/>
  <c r="BY2083" i="1"/>
  <c r="BZ2083" i="1"/>
  <c r="CH2083" i="1"/>
  <c r="CL2083" i="1"/>
  <c r="CM2083" i="1"/>
  <c r="CN2083" i="1"/>
  <c r="CO2083" i="1"/>
  <c r="CP2083" i="1"/>
  <c r="CZ2083" i="1"/>
  <c r="DB2083" i="1"/>
  <c r="DF2083" i="1"/>
  <c r="AC2243" i="1"/>
  <c r="AH2243" i="1"/>
  <c r="BS2243" i="1"/>
  <c r="BV2243" i="1"/>
  <c r="BX2243" i="1"/>
  <c r="BY2243" i="1"/>
  <c r="BZ2243" i="1"/>
  <c r="CA2243" i="1"/>
  <c r="CH2243" i="1"/>
  <c r="CL2243" i="1"/>
  <c r="CM2243" i="1"/>
  <c r="CN2243" i="1"/>
  <c r="CO2243" i="1"/>
  <c r="CP2243" i="1"/>
  <c r="CZ2243" i="1"/>
  <c r="DB2243" i="1"/>
  <c r="DF2243" i="1"/>
  <c r="AC1158" i="1"/>
  <c r="AH1158" i="1"/>
  <c r="BS1158" i="1"/>
  <c r="BV1158" i="1"/>
  <c r="BX1158" i="1"/>
  <c r="BY1158" i="1"/>
  <c r="BZ1158" i="1"/>
  <c r="CA1158" i="1"/>
  <c r="CH1158" i="1"/>
  <c r="CL1158" i="1"/>
  <c r="CM1158" i="1"/>
  <c r="CN1158" i="1"/>
  <c r="CO1158" i="1"/>
  <c r="CP1158" i="1"/>
  <c r="CZ1158" i="1"/>
  <c r="DB1158" i="1"/>
  <c r="DF1158" i="1"/>
  <c r="AC1994" i="1"/>
  <c r="AH1994" i="1"/>
  <c r="BS1994" i="1"/>
  <c r="BV1994" i="1"/>
  <c r="BX1994" i="1"/>
  <c r="BY1994" i="1"/>
  <c r="BZ1994" i="1"/>
  <c r="CA1994" i="1"/>
  <c r="CH1994" i="1"/>
  <c r="CL1994" i="1"/>
  <c r="CM1994" i="1"/>
  <c r="CN1994" i="1"/>
  <c r="CO1994" i="1"/>
  <c r="CP1994" i="1"/>
  <c r="CZ1994" i="1"/>
  <c r="DB1994" i="1"/>
  <c r="DF1994" i="1"/>
  <c r="AC580" i="1"/>
  <c r="AH580" i="1"/>
  <c r="BS580" i="1"/>
  <c r="BV580" i="1"/>
  <c r="BX580" i="1"/>
  <c r="BY580" i="1"/>
  <c r="BZ580" i="1"/>
  <c r="CH580" i="1"/>
  <c r="CL580" i="1"/>
  <c r="CM580" i="1"/>
  <c r="CN580" i="1"/>
  <c r="CO580" i="1"/>
  <c r="CP580" i="1"/>
  <c r="CZ580" i="1"/>
  <c r="DB580" i="1"/>
  <c r="DF580" i="1"/>
  <c r="AC391" i="1"/>
  <c r="AH391" i="1"/>
  <c r="BS391" i="1"/>
  <c r="BV391" i="1"/>
  <c r="BX391" i="1"/>
  <c r="BY391" i="1"/>
  <c r="BZ391" i="1"/>
  <c r="CH391" i="1"/>
  <c r="CL391" i="1"/>
  <c r="CM391" i="1"/>
  <c r="CN391" i="1"/>
  <c r="CO391" i="1"/>
  <c r="CP391" i="1"/>
  <c r="CZ391" i="1"/>
  <c r="DB391" i="1"/>
  <c r="DF391" i="1"/>
  <c r="AC982" i="1"/>
  <c r="AH982" i="1"/>
  <c r="BS982" i="1"/>
  <c r="BV982" i="1"/>
  <c r="BX982" i="1"/>
  <c r="BY982" i="1"/>
  <c r="BZ982" i="1"/>
  <c r="CA982" i="1"/>
  <c r="CH982" i="1"/>
  <c r="CL982" i="1"/>
  <c r="CM982" i="1"/>
  <c r="CN982" i="1"/>
  <c r="CO982" i="1"/>
  <c r="CP982" i="1"/>
  <c r="CZ982" i="1"/>
  <c r="DB982" i="1"/>
  <c r="DF982" i="1"/>
  <c r="AC866" i="1"/>
  <c r="AH866" i="1"/>
  <c r="BS866" i="1"/>
  <c r="BV866" i="1"/>
  <c r="BX866" i="1"/>
  <c r="BY866" i="1"/>
  <c r="BZ866" i="1"/>
  <c r="CA866" i="1"/>
  <c r="CH866" i="1"/>
  <c r="CL866" i="1"/>
  <c r="CM866" i="1"/>
  <c r="CN866" i="1"/>
  <c r="CO866" i="1"/>
  <c r="CP866" i="1"/>
  <c r="CZ866" i="1"/>
  <c r="DB866" i="1"/>
  <c r="DF866" i="1"/>
  <c r="AC1287" i="1"/>
  <c r="AH1287" i="1"/>
  <c r="BS1287" i="1"/>
  <c r="BV1287" i="1"/>
  <c r="BX1287" i="1"/>
  <c r="BY1287" i="1"/>
  <c r="BZ1287" i="1"/>
  <c r="CA1287" i="1"/>
  <c r="CH1287" i="1"/>
  <c r="CL1287" i="1"/>
  <c r="CM1287" i="1"/>
  <c r="CN1287" i="1"/>
  <c r="CO1287" i="1"/>
  <c r="CP1287" i="1"/>
  <c r="CZ1287" i="1"/>
  <c r="DB1287" i="1"/>
  <c r="DF1287" i="1"/>
  <c r="AC2185" i="1"/>
  <c r="AH2185" i="1"/>
  <c r="BS2185" i="1"/>
  <c r="BV2185" i="1"/>
  <c r="BX2185" i="1"/>
  <c r="BY2185" i="1"/>
  <c r="BZ2185" i="1"/>
  <c r="CH2185" i="1"/>
  <c r="CL2185" i="1"/>
  <c r="CM2185" i="1"/>
  <c r="CN2185" i="1"/>
  <c r="CO2185" i="1"/>
  <c r="CP2185" i="1"/>
  <c r="CZ2185" i="1"/>
  <c r="DB2185" i="1"/>
  <c r="DF2185" i="1"/>
  <c r="AC1985" i="1"/>
  <c r="AH1985" i="1"/>
  <c r="BS1985" i="1"/>
  <c r="BV1985" i="1"/>
  <c r="BX1985" i="1"/>
  <c r="BY1985" i="1"/>
  <c r="BZ1985" i="1"/>
  <c r="CA1985" i="1"/>
  <c r="CH1985" i="1"/>
  <c r="CL1985" i="1"/>
  <c r="CM1985" i="1"/>
  <c r="CN1985" i="1"/>
  <c r="CO1985" i="1"/>
  <c r="CP1985" i="1"/>
  <c r="CZ1985" i="1"/>
  <c r="DB1985" i="1"/>
  <c r="DF1985" i="1"/>
  <c r="AC991" i="1"/>
  <c r="AH991" i="1"/>
  <c r="BS991" i="1"/>
  <c r="BV991" i="1"/>
  <c r="BX991" i="1"/>
  <c r="BY991" i="1"/>
  <c r="BZ991" i="1"/>
  <c r="CA991" i="1"/>
  <c r="CH991" i="1"/>
  <c r="CL991" i="1"/>
  <c r="CM991" i="1"/>
  <c r="CN991" i="1"/>
  <c r="CO991" i="1"/>
  <c r="CP991" i="1"/>
  <c r="CZ991" i="1"/>
  <c r="DB991" i="1"/>
  <c r="DF991" i="1"/>
  <c r="AC1978" i="1"/>
  <c r="AH1978" i="1"/>
  <c r="BS1978" i="1"/>
  <c r="BV1978" i="1"/>
  <c r="BX1978" i="1"/>
  <c r="BY1978" i="1"/>
  <c r="BZ1978" i="1"/>
  <c r="CA1978" i="1"/>
  <c r="CH1978" i="1"/>
  <c r="CL1978" i="1"/>
  <c r="CM1978" i="1"/>
  <c r="CN1978" i="1"/>
  <c r="CO1978" i="1"/>
  <c r="CP1978" i="1"/>
  <c r="CZ1978" i="1"/>
  <c r="DB1978" i="1"/>
  <c r="DF1978" i="1"/>
  <c r="AC746" i="1"/>
  <c r="AH746" i="1"/>
  <c r="BS746" i="1"/>
  <c r="BV746" i="1"/>
  <c r="BX746" i="1"/>
  <c r="BY746" i="1"/>
  <c r="BZ746" i="1"/>
  <c r="CA746" i="1"/>
  <c r="CH746" i="1"/>
  <c r="CL746" i="1"/>
  <c r="CM746" i="1"/>
  <c r="CN746" i="1"/>
  <c r="CO746" i="1"/>
  <c r="CP746" i="1"/>
  <c r="CZ746" i="1"/>
  <c r="DB746" i="1"/>
  <c r="DF746" i="1"/>
  <c r="AC2137" i="1"/>
  <c r="AH2137" i="1"/>
  <c r="BS2137" i="1"/>
  <c r="BV2137" i="1"/>
  <c r="BX2137" i="1"/>
  <c r="BY2137" i="1"/>
  <c r="BZ2137" i="1"/>
  <c r="CA2137" i="1"/>
  <c r="CH2137" i="1"/>
  <c r="CL2137" i="1"/>
  <c r="CM2137" i="1"/>
  <c r="CN2137" i="1"/>
  <c r="CO2137" i="1"/>
  <c r="CP2137" i="1"/>
  <c r="CZ2137" i="1"/>
  <c r="DB2137" i="1"/>
  <c r="DF2137" i="1"/>
  <c r="AC1263" i="1"/>
  <c r="AH1263" i="1"/>
  <c r="BS1263" i="1"/>
  <c r="BV1263" i="1"/>
  <c r="BX1263" i="1"/>
  <c r="BY1263" i="1"/>
  <c r="BZ1263" i="1"/>
  <c r="CA1263" i="1"/>
  <c r="CH1263" i="1"/>
  <c r="CL1263" i="1"/>
  <c r="CM1263" i="1"/>
  <c r="CN1263" i="1"/>
  <c r="CO1263" i="1"/>
  <c r="CP1263" i="1"/>
  <c r="CZ1263" i="1"/>
  <c r="DB1263" i="1"/>
  <c r="DF1263" i="1"/>
  <c r="AC1939" i="1"/>
  <c r="AH1939" i="1"/>
  <c r="BS1939" i="1"/>
  <c r="BV1939" i="1"/>
  <c r="BX1939" i="1"/>
  <c r="BY1939" i="1"/>
  <c r="BZ1939" i="1"/>
  <c r="CH1939" i="1"/>
  <c r="CL1939" i="1"/>
  <c r="CM1939" i="1"/>
  <c r="CN1939" i="1"/>
  <c r="CO1939" i="1"/>
  <c r="CP1939" i="1"/>
  <c r="CZ1939" i="1"/>
  <c r="DB1939" i="1"/>
  <c r="DF1939" i="1"/>
  <c r="AC1559" i="1"/>
  <c r="AH1559" i="1"/>
  <c r="BS1559" i="1"/>
  <c r="BV1559" i="1"/>
  <c r="BX1559" i="1"/>
  <c r="BY1559" i="1"/>
  <c r="BZ1559" i="1"/>
  <c r="CH1559" i="1"/>
  <c r="CL1559" i="1"/>
  <c r="CM1559" i="1"/>
  <c r="CN1559" i="1"/>
  <c r="CO1559" i="1"/>
  <c r="CP1559" i="1"/>
  <c r="CZ1559" i="1"/>
  <c r="DB1559" i="1"/>
  <c r="DF1559" i="1"/>
  <c r="AC1087" i="1"/>
  <c r="AH1087" i="1"/>
  <c r="BS1087" i="1"/>
  <c r="BV1087" i="1"/>
  <c r="BX1087" i="1"/>
  <c r="BY1087" i="1"/>
  <c r="BZ1087" i="1"/>
  <c r="CH1087" i="1"/>
  <c r="CL1087" i="1"/>
  <c r="CM1087" i="1"/>
  <c r="CN1087" i="1"/>
  <c r="CO1087" i="1"/>
  <c r="CP1087" i="1"/>
  <c r="CZ1087" i="1"/>
  <c r="DB1087" i="1"/>
  <c r="DF1087" i="1"/>
  <c r="AC732" i="1"/>
  <c r="AH732" i="1"/>
  <c r="BS732" i="1"/>
  <c r="BV732" i="1"/>
  <c r="BX732" i="1"/>
  <c r="BY732" i="1"/>
  <c r="BZ732" i="1"/>
  <c r="CA732" i="1"/>
  <c r="CH732" i="1"/>
  <c r="CL732" i="1"/>
  <c r="CM732" i="1"/>
  <c r="CN732" i="1"/>
  <c r="CO732" i="1"/>
  <c r="CP732" i="1"/>
  <c r="CZ732" i="1"/>
  <c r="DB732" i="1"/>
  <c r="DF732" i="1"/>
  <c r="AC2089" i="1"/>
  <c r="AH2089" i="1"/>
  <c r="BS2089" i="1"/>
  <c r="BV2089" i="1"/>
  <c r="BX2089" i="1"/>
  <c r="BY2089" i="1"/>
  <c r="BZ2089" i="1"/>
  <c r="CA2089" i="1"/>
  <c r="CH2089" i="1"/>
  <c r="CL2089" i="1"/>
  <c r="CM2089" i="1"/>
  <c r="CN2089" i="1"/>
  <c r="CO2089" i="1"/>
  <c r="CP2089" i="1"/>
  <c r="CZ2089" i="1"/>
  <c r="DB2089" i="1"/>
  <c r="DF2089" i="1"/>
  <c r="AC285" i="1"/>
  <c r="AH285" i="1"/>
  <c r="BS285" i="1"/>
  <c r="BV285" i="1"/>
  <c r="BX285" i="1"/>
  <c r="BY285" i="1"/>
  <c r="BZ285" i="1"/>
  <c r="CA285" i="1"/>
  <c r="CH285" i="1"/>
  <c r="CL285" i="1"/>
  <c r="CM285" i="1"/>
  <c r="CN285" i="1"/>
  <c r="CO285" i="1"/>
  <c r="CP285" i="1"/>
  <c r="CZ285" i="1"/>
  <c r="DB285" i="1"/>
  <c r="DF285" i="1"/>
  <c r="AC1880" i="1"/>
  <c r="AH1880" i="1"/>
  <c r="BS1880" i="1"/>
  <c r="BV1880" i="1"/>
  <c r="BX1880" i="1"/>
  <c r="BY1880" i="1"/>
  <c r="BZ1880" i="1"/>
  <c r="CH1880" i="1"/>
  <c r="CL1880" i="1"/>
  <c r="CM1880" i="1"/>
  <c r="CN1880" i="1"/>
  <c r="CP1880" i="1"/>
  <c r="CZ1880" i="1"/>
  <c r="DB1880" i="1"/>
  <c r="DF1880" i="1"/>
  <c r="AC1862" i="1"/>
  <c r="AH1862" i="1"/>
  <c r="BS1862" i="1"/>
  <c r="BV1862" i="1"/>
  <c r="BX1862" i="1"/>
  <c r="BY1862" i="1"/>
  <c r="BZ1862" i="1"/>
  <c r="CA1862" i="1"/>
  <c r="CH1862" i="1"/>
  <c r="CL1862" i="1"/>
  <c r="CM1862" i="1"/>
  <c r="CN1862" i="1"/>
  <c r="CO1862" i="1"/>
  <c r="CP1862" i="1"/>
  <c r="CZ1862" i="1"/>
  <c r="DB1862" i="1"/>
  <c r="DF1862" i="1"/>
  <c r="AC779" i="1"/>
  <c r="AH779" i="1"/>
  <c r="BS779" i="1"/>
  <c r="BV779" i="1"/>
  <c r="BX779" i="1"/>
  <c r="BY779" i="1"/>
  <c r="BZ779" i="1"/>
  <c r="CH779" i="1"/>
  <c r="CL779" i="1"/>
  <c r="CM779" i="1"/>
  <c r="CN779" i="1"/>
  <c r="CO779" i="1"/>
  <c r="CP779" i="1"/>
  <c r="CZ779" i="1"/>
  <c r="DB779" i="1"/>
  <c r="DF779" i="1"/>
  <c r="AC955" i="1"/>
  <c r="AH955" i="1"/>
  <c r="BS955" i="1"/>
  <c r="BV955" i="1"/>
  <c r="BX955" i="1"/>
  <c r="BY955" i="1"/>
  <c r="BZ955" i="1"/>
  <c r="CA955" i="1"/>
  <c r="CH955" i="1"/>
  <c r="CL955" i="1"/>
  <c r="CM955" i="1"/>
  <c r="CN955" i="1"/>
  <c r="CO955" i="1"/>
  <c r="CP955" i="1"/>
  <c r="CZ955" i="1"/>
  <c r="DB955" i="1"/>
  <c r="DF955" i="1"/>
  <c r="AC1367" i="1"/>
  <c r="AH1367" i="1"/>
  <c r="BS1367" i="1"/>
  <c r="BV1367" i="1"/>
  <c r="BX1367" i="1"/>
  <c r="BY1367" i="1"/>
  <c r="BZ1367" i="1"/>
  <c r="CH1367" i="1"/>
  <c r="CL1367" i="1"/>
  <c r="CM1367" i="1"/>
  <c r="CN1367" i="1"/>
  <c r="CP1367" i="1"/>
  <c r="CZ1367" i="1"/>
  <c r="DB1367" i="1"/>
  <c r="DF1367" i="1"/>
  <c r="AC647" i="1"/>
  <c r="AH647" i="1"/>
  <c r="BS647" i="1"/>
  <c r="BV647" i="1"/>
  <c r="BX647" i="1"/>
  <c r="BY647" i="1"/>
  <c r="BZ647" i="1"/>
  <c r="CA647" i="1"/>
  <c r="CH647" i="1"/>
  <c r="CL647" i="1"/>
  <c r="CM647" i="1"/>
  <c r="CN647" i="1"/>
  <c r="CO647" i="1"/>
  <c r="CP647" i="1"/>
  <c r="CZ647" i="1"/>
  <c r="DB647" i="1"/>
  <c r="DF647" i="1"/>
  <c r="AC1982" i="1"/>
  <c r="AH1982" i="1"/>
  <c r="BS1982" i="1"/>
  <c r="BV1982" i="1"/>
  <c r="BX1982" i="1"/>
  <c r="BY1982" i="1"/>
  <c r="BZ1982" i="1"/>
  <c r="CA1982" i="1"/>
  <c r="CH1982" i="1"/>
  <c r="CL1982" i="1"/>
  <c r="CM1982" i="1"/>
  <c r="CN1982" i="1"/>
  <c r="CO1982" i="1"/>
  <c r="CP1982" i="1"/>
  <c r="CZ1982" i="1"/>
  <c r="DB1982" i="1"/>
  <c r="DF1982" i="1"/>
  <c r="AC1471" i="1"/>
  <c r="AH1471" i="1"/>
  <c r="BS1471" i="1"/>
  <c r="BV1471" i="1"/>
  <c r="BX1471" i="1"/>
  <c r="BY1471" i="1"/>
  <c r="BZ1471" i="1"/>
  <c r="CH1471" i="1"/>
  <c r="CL1471" i="1"/>
  <c r="CM1471" i="1"/>
  <c r="CN1471" i="1"/>
  <c r="CP1471" i="1"/>
  <c r="CZ1471" i="1"/>
  <c r="DB1471" i="1"/>
  <c r="DF1471" i="1"/>
  <c r="AC2009" i="1"/>
  <c r="AH2009" i="1"/>
  <c r="BS2009" i="1"/>
  <c r="BV2009" i="1"/>
  <c r="BX2009" i="1"/>
  <c r="BY2009" i="1"/>
  <c r="BZ2009" i="1"/>
  <c r="CH2009" i="1"/>
  <c r="CL2009" i="1"/>
  <c r="CM2009" i="1"/>
  <c r="CN2009" i="1"/>
  <c r="CO2009" i="1"/>
  <c r="CP2009" i="1"/>
  <c r="CZ2009" i="1"/>
  <c r="DB2009" i="1"/>
  <c r="DF2009" i="1"/>
  <c r="AC924" i="1"/>
  <c r="AH924" i="1"/>
  <c r="BS924" i="1"/>
  <c r="BV924" i="1"/>
  <c r="BX924" i="1"/>
  <c r="BY924" i="1"/>
  <c r="BZ924" i="1"/>
  <c r="CH924" i="1"/>
  <c r="CL924" i="1"/>
  <c r="CM924" i="1"/>
  <c r="CN924" i="1"/>
  <c r="CO924" i="1"/>
  <c r="CP924" i="1"/>
  <c r="CZ924" i="1"/>
  <c r="DB924" i="1"/>
  <c r="DF924" i="1"/>
  <c r="AC1763" i="1"/>
  <c r="AH1763" i="1"/>
  <c r="BS1763" i="1"/>
  <c r="BV1763" i="1"/>
  <c r="BX1763" i="1"/>
  <c r="BY1763" i="1"/>
  <c r="BZ1763" i="1"/>
  <c r="CA1763" i="1"/>
  <c r="CH1763" i="1"/>
  <c r="CL1763" i="1"/>
  <c r="CM1763" i="1"/>
  <c r="CN1763" i="1"/>
  <c r="CO1763" i="1"/>
  <c r="CP1763" i="1"/>
  <c r="CZ1763" i="1"/>
  <c r="DB1763" i="1"/>
  <c r="DF1763" i="1"/>
  <c r="AC317" i="1"/>
  <c r="AH317" i="1"/>
  <c r="BS317" i="1"/>
  <c r="BV317" i="1"/>
  <c r="BX317" i="1"/>
  <c r="BY317" i="1"/>
  <c r="BZ317" i="1"/>
  <c r="CA317" i="1"/>
  <c r="CH317" i="1"/>
  <c r="CL317" i="1"/>
  <c r="CM317" i="1"/>
  <c r="CN317" i="1"/>
  <c r="CO317" i="1"/>
  <c r="CP317" i="1"/>
  <c r="CZ317" i="1"/>
  <c r="DB317" i="1"/>
  <c r="DF317" i="1"/>
  <c r="AC2207" i="1"/>
  <c r="AH2207" i="1"/>
  <c r="BS2207" i="1"/>
  <c r="BV2207" i="1"/>
  <c r="BX2207" i="1"/>
  <c r="BY2207" i="1"/>
  <c r="BZ2207" i="1"/>
  <c r="CA2207" i="1"/>
  <c r="CH2207" i="1"/>
  <c r="CL2207" i="1"/>
  <c r="CM2207" i="1"/>
  <c r="CN2207" i="1"/>
  <c r="CO2207" i="1"/>
  <c r="CP2207" i="1"/>
  <c r="CZ2207" i="1"/>
  <c r="DB2207" i="1"/>
  <c r="DF2207" i="1"/>
  <c r="AC673" i="1"/>
  <c r="AH673" i="1"/>
  <c r="BS673" i="1"/>
  <c r="BV673" i="1"/>
  <c r="BX673" i="1"/>
  <c r="BY673" i="1"/>
  <c r="BZ673" i="1"/>
  <c r="CA673" i="1"/>
  <c r="CH673" i="1"/>
  <c r="CL673" i="1"/>
  <c r="CM673" i="1"/>
  <c r="CN673" i="1"/>
  <c r="CO673" i="1"/>
  <c r="CP673" i="1"/>
  <c r="CZ673" i="1"/>
  <c r="DB673" i="1"/>
  <c r="DF673" i="1"/>
  <c r="AC1096" i="1"/>
  <c r="AH1096" i="1"/>
  <c r="BS1096" i="1"/>
  <c r="BV1096" i="1"/>
  <c r="BX1096" i="1"/>
  <c r="BY1096" i="1"/>
  <c r="BZ1096" i="1"/>
  <c r="CA1096" i="1"/>
  <c r="CH1096" i="1"/>
  <c r="CL1096" i="1"/>
  <c r="CM1096" i="1"/>
  <c r="CN1096" i="1"/>
  <c r="CO1096" i="1"/>
  <c r="CP1096" i="1"/>
  <c r="CZ1096" i="1"/>
  <c r="DB1096" i="1"/>
  <c r="DF1096" i="1"/>
  <c r="AC439" i="1"/>
  <c r="AH439" i="1"/>
  <c r="BS439" i="1"/>
  <c r="BV439" i="1"/>
  <c r="BX439" i="1"/>
  <c r="BY439" i="1"/>
  <c r="BZ439" i="1"/>
  <c r="CA439" i="1"/>
  <c r="CH439" i="1"/>
  <c r="CL439" i="1"/>
  <c r="CM439" i="1"/>
  <c r="CN439" i="1"/>
  <c r="CO439" i="1"/>
  <c r="CP439" i="1"/>
  <c r="CZ439" i="1"/>
  <c r="DB439" i="1"/>
  <c r="DF439" i="1"/>
  <c r="AC1885" i="1"/>
  <c r="AH1885" i="1"/>
  <c r="BS1885" i="1"/>
  <c r="BV1885" i="1"/>
  <c r="BX1885" i="1"/>
  <c r="BY1885" i="1"/>
  <c r="BZ1885" i="1"/>
  <c r="CH1885" i="1"/>
  <c r="CL1885" i="1"/>
  <c r="CM1885" i="1"/>
  <c r="CN1885" i="1"/>
  <c r="CO1885" i="1"/>
  <c r="CP1885" i="1"/>
  <c r="CZ1885" i="1"/>
  <c r="DB1885" i="1"/>
  <c r="DF1885" i="1"/>
  <c r="AC766" i="1"/>
  <c r="AH766" i="1"/>
  <c r="BS766" i="1"/>
  <c r="BV766" i="1"/>
  <c r="BX766" i="1"/>
  <c r="BY766" i="1"/>
  <c r="BZ766" i="1"/>
  <c r="CA766" i="1"/>
  <c r="CH766" i="1"/>
  <c r="CL766" i="1"/>
  <c r="CM766" i="1"/>
  <c r="CN766" i="1"/>
  <c r="CO766" i="1"/>
  <c r="CP766" i="1"/>
  <c r="CZ766" i="1"/>
  <c r="DB766" i="1"/>
  <c r="DF766" i="1"/>
  <c r="AC812" i="1"/>
  <c r="AH812" i="1"/>
  <c r="BS812" i="1"/>
  <c r="BV812" i="1"/>
  <c r="BX812" i="1"/>
  <c r="BY812" i="1"/>
  <c r="BZ812" i="1"/>
  <c r="CH812" i="1"/>
  <c r="CL812" i="1"/>
  <c r="CM812" i="1"/>
  <c r="CN812" i="1"/>
  <c r="CO812" i="1"/>
  <c r="CP812" i="1"/>
  <c r="CZ812" i="1"/>
  <c r="DB812" i="1"/>
  <c r="DF812" i="1"/>
  <c r="AC1779" i="1"/>
  <c r="AH1779" i="1"/>
  <c r="BS1779" i="1"/>
  <c r="BV1779" i="1"/>
  <c r="BX1779" i="1"/>
  <c r="BY1779" i="1"/>
  <c r="BZ1779" i="1"/>
  <c r="CA1779" i="1"/>
  <c r="CH1779" i="1"/>
  <c r="CL1779" i="1"/>
  <c r="CM1779" i="1"/>
  <c r="CN1779" i="1"/>
  <c r="CO1779" i="1"/>
  <c r="CP1779" i="1"/>
  <c r="CZ1779" i="1"/>
  <c r="DB1779" i="1"/>
  <c r="DF1779" i="1"/>
  <c r="AC786" i="1"/>
  <c r="AH786" i="1"/>
  <c r="BS786" i="1"/>
  <c r="BV786" i="1"/>
  <c r="BX786" i="1"/>
  <c r="BY786" i="1"/>
  <c r="BZ786" i="1"/>
  <c r="CH786" i="1"/>
  <c r="CL786" i="1"/>
  <c r="CM786" i="1"/>
  <c r="CN786" i="1"/>
  <c r="CO786" i="1"/>
  <c r="CP786" i="1"/>
  <c r="CZ786" i="1"/>
  <c r="DB786" i="1"/>
  <c r="DF786" i="1"/>
  <c r="AC1247" i="1"/>
  <c r="AH1247" i="1"/>
  <c r="BS1247" i="1"/>
  <c r="BV1247" i="1"/>
  <c r="BX1247" i="1"/>
  <c r="BY1247" i="1"/>
  <c r="BZ1247" i="1"/>
  <c r="CA1247" i="1"/>
  <c r="CH1247" i="1"/>
  <c r="CL1247" i="1"/>
  <c r="CM1247" i="1"/>
  <c r="CN1247" i="1"/>
  <c r="CO1247" i="1"/>
  <c r="CP1247" i="1"/>
  <c r="CZ1247" i="1"/>
  <c r="DB1247" i="1"/>
  <c r="DF1247" i="1"/>
  <c r="AC2078" i="1"/>
  <c r="AH2078" i="1"/>
  <c r="BS2078" i="1"/>
  <c r="BV2078" i="1"/>
  <c r="BX2078" i="1"/>
  <c r="BY2078" i="1"/>
  <c r="BZ2078" i="1"/>
  <c r="CA2078" i="1"/>
  <c r="CH2078" i="1"/>
  <c r="CL2078" i="1"/>
  <c r="CM2078" i="1"/>
  <c r="CN2078" i="1"/>
  <c r="CO2078" i="1"/>
  <c r="CP2078" i="1"/>
  <c r="CZ2078" i="1"/>
  <c r="DB2078" i="1"/>
  <c r="DF2078" i="1"/>
  <c r="AC101" i="1"/>
  <c r="AH101" i="1"/>
  <c r="BS101" i="1"/>
  <c r="BV101" i="1"/>
  <c r="BX101" i="1"/>
  <c r="BY101" i="1"/>
  <c r="BZ101" i="1"/>
  <c r="CA101" i="1"/>
  <c r="CH101" i="1"/>
  <c r="CL101" i="1"/>
  <c r="CM101" i="1"/>
  <c r="CN101" i="1"/>
  <c r="CO101" i="1"/>
  <c r="CP101" i="1"/>
  <c r="CZ101" i="1"/>
  <c r="DB101" i="1"/>
  <c r="DF101" i="1"/>
  <c r="AC2238" i="1"/>
  <c r="AH2238" i="1"/>
  <c r="BS2238" i="1"/>
  <c r="BV2238" i="1"/>
  <c r="BX2238" i="1"/>
  <c r="BY2238" i="1"/>
  <c r="BZ2238" i="1"/>
  <c r="CA2238" i="1"/>
  <c r="CH2238" i="1"/>
  <c r="CL2238" i="1"/>
  <c r="CM2238" i="1"/>
  <c r="CN2238" i="1"/>
  <c r="CO2238" i="1"/>
  <c r="CP2238" i="1"/>
  <c r="CZ2238" i="1"/>
  <c r="DB2238" i="1"/>
  <c r="DF2238" i="1"/>
  <c r="AC2143" i="1"/>
  <c r="AH2143" i="1"/>
  <c r="BS2143" i="1"/>
  <c r="BV2143" i="1"/>
  <c r="BX2143" i="1"/>
  <c r="BY2143" i="1"/>
  <c r="BZ2143" i="1"/>
  <c r="CH2143" i="1"/>
  <c r="CL2143" i="1"/>
  <c r="CM2143" i="1"/>
  <c r="CN2143" i="1"/>
  <c r="CO2143" i="1"/>
  <c r="CP2143" i="1"/>
  <c r="CZ2143" i="1"/>
  <c r="DB2143" i="1"/>
  <c r="DF2143" i="1"/>
  <c r="AC1227" i="1"/>
  <c r="AH1227" i="1"/>
  <c r="BS1227" i="1"/>
  <c r="BV1227" i="1"/>
  <c r="BX1227" i="1"/>
  <c r="BY1227" i="1"/>
  <c r="BZ1227" i="1"/>
  <c r="CH1227" i="1"/>
  <c r="CL1227" i="1"/>
  <c r="CM1227" i="1"/>
  <c r="CN1227" i="1"/>
  <c r="CO1227" i="1"/>
  <c r="CP1227" i="1"/>
  <c r="CZ1227" i="1"/>
  <c r="DB1227" i="1"/>
  <c r="DF1227" i="1"/>
  <c r="AC1045" i="1"/>
  <c r="AH1045" i="1"/>
  <c r="BS1045" i="1"/>
  <c r="BV1045" i="1"/>
  <c r="BX1045" i="1"/>
  <c r="BY1045" i="1"/>
  <c r="BZ1045" i="1"/>
  <c r="CH1045" i="1"/>
  <c r="CL1045" i="1"/>
  <c r="CM1045" i="1"/>
  <c r="CN1045" i="1"/>
  <c r="CO1045" i="1"/>
  <c r="CP1045" i="1"/>
  <c r="CZ1045" i="1"/>
  <c r="DB1045" i="1"/>
  <c r="DF1045" i="1"/>
  <c r="AC24" i="1"/>
  <c r="AH24" i="1"/>
  <c r="BS24" i="1"/>
  <c r="BV24" i="1"/>
  <c r="BX24" i="1"/>
  <c r="BY24" i="1"/>
  <c r="BZ24" i="1"/>
  <c r="CA24" i="1"/>
  <c r="CH24" i="1"/>
  <c r="CL24" i="1"/>
  <c r="CM24" i="1"/>
  <c r="CN24" i="1"/>
  <c r="CO24" i="1"/>
  <c r="CP24" i="1"/>
  <c r="CZ24" i="1"/>
  <c r="DB24" i="1"/>
  <c r="DF24" i="1"/>
  <c r="AC1764" i="1"/>
  <c r="AH1764" i="1"/>
  <c r="BS1764" i="1"/>
  <c r="BV1764" i="1"/>
  <c r="BX1764" i="1"/>
  <c r="BY1764" i="1"/>
  <c r="BZ1764" i="1"/>
  <c r="CA1764" i="1"/>
  <c r="CH1764" i="1"/>
  <c r="CL1764" i="1"/>
  <c r="CM1764" i="1"/>
  <c r="CN1764" i="1"/>
  <c r="CO1764" i="1"/>
  <c r="CP1764" i="1"/>
  <c r="CZ1764" i="1"/>
  <c r="DB1764" i="1"/>
  <c r="DF1764" i="1"/>
  <c r="AC2019" i="1"/>
  <c r="AH2019" i="1"/>
  <c r="BS2019" i="1"/>
  <c r="BV2019" i="1"/>
  <c r="BX2019" i="1"/>
  <c r="BY2019" i="1"/>
  <c r="BZ2019" i="1"/>
  <c r="CH2019" i="1"/>
  <c r="CL2019" i="1"/>
  <c r="CM2019" i="1"/>
  <c r="CN2019" i="1"/>
  <c r="CO2019" i="1"/>
  <c r="CP2019" i="1"/>
  <c r="CZ2019" i="1"/>
  <c r="DB2019" i="1"/>
  <c r="DF2019" i="1"/>
  <c r="AC974" i="1"/>
  <c r="AH974" i="1"/>
  <c r="BS974" i="1"/>
  <c r="BV974" i="1"/>
  <c r="BX974" i="1"/>
  <c r="BY974" i="1"/>
  <c r="BZ974" i="1"/>
  <c r="CA974" i="1"/>
  <c r="CH974" i="1"/>
  <c r="CL974" i="1"/>
  <c r="CM974" i="1"/>
  <c r="CN974" i="1"/>
  <c r="CO974" i="1"/>
  <c r="CP974" i="1"/>
  <c r="CZ974" i="1"/>
  <c r="DB974" i="1"/>
  <c r="DF974" i="1"/>
  <c r="AC2005" i="1"/>
  <c r="AH2005" i="1"/>
  <c r="BS2005" i="1"/>
  <c r="BV2005" i="1"/>
  <c r="BX2005" i="1"/>
  <c r="BY2005" i="1"/>
  <c r="BZ2005" i="1"/>
  <c r="CA2005" i="1"/>
  <c r="CH2005" i="1"/>
  <c r="CL2005" i="1"/>
  <c r="CM2005" i="1"/>
  <c r="CN2005" i="1"/>
  <c r="CO2005" i="1"/>
  <c r="CP2005" i="1"/>
  <c r="CZ2005" i="1"/>
  <c r="DB2005" i="1"/>
  <c r="DF2005" i="1"/>
  <c r="AC1081" i="1"/>
  <c r="AH1081" i="1"/>
  <c r="BS1081" i="1"/>
  <c r="BV1081" i="1"/>
  <c r="BX1081" i="1"/>
  <c r="BY1081" i="1"/>
  <c r="BZ1081" i="1"/>
  <c r="CH1081" i="1"/>
  <c r="CL1081" i="1"/>
  <c r="CM1081" i="1"/>
  <c r="CN1081" i="1"/>
  <c r="CO1081" i="1"/>
  <c r="CP1081" i="1"/>
  <c r="CZ1081" i="1"/>
  <c r="DB1081" i="1"/>
  <c r="DF1081" i="1"/>
  <c r="AC2139" i="1"/>
  <c r="AH2139" i="1"/>
  <c r="BS2139" i="1"/>
  <c r="BV2139" i="1"/>
  <c r="BX2139" i="1"/>
  <c r="BY2139" i="1"/>
  <c r="BZ2139" i="1"/>
  <c r="CH2139" i="1"/>
  <c r="CL2139" i="1"/>
  <c r="CM2139" i="1"/>
  <c r="CN2139" i="1"/>
  <c r="CO2139" i="1"/>
  <c r="CP2139" i="1"/>
  <c r="CZ2139" i="1"/>
  <c r="DB2139" i="1"/>
  <c r="DF2139" i="1"/>
  <c r="AC1267" i="1"/>
  <c r="AH1267" i="1"/>
  <c r="BS1267" i="1"/>
  <c r="BV1267" i="1"/>
  <c r="BX1267" i="1"/>
  <c r="BY1267" i="1"/>
  <c r="BZ1267" i="1"/>
  <c r="CA1267" i="1"/>
  <c r="CH1267" i="1"/>
  <c r="CL1267" i="1"/>
  <c r="CM1267" i="1"/>
  <c r="CN1267" i="1"/>
  <c r="CO1267" i="1"/>
  <c r="CP1267" i="1"/>
  <c r="CZ1267" i="1"/>
  <c r="DB1267" i="1"/>
  <c r="DF1267" i="1"/>
  <c r="AC617" i="1"/>
  <c r="AH617" i="1"/>
  <c r="BS617" i="1"/>
  <c r="BV617" i="1"/>
  <c r="BX617" i="1"/>
  <c r="BY617" i="1"/>
  <c r="BZ617" i="1"/>
  <c r="CA617" i="1"/>
  <c r="CH617" i="1"/>
  <c r="CL617" i="1"/>
  <c r="CM617" i="1"/>
  <c r="CN617" i="1"/>
  <c r="CO617" i="1"/>
  <c r="CP617" i="1"/>
  <c r="CZ617" i="1"/>
  <c r="DB617" i="1"/>
  <c r="DF617" i="1"/>
  <c r="AC1330" i="1"/>
  <c r="AH1330" i="1"/>
  <c r="BS1330" i="1"/>
  <c r="BV1330" i="1"/>
  <c r="BX1330" i="1"/>
  <c r="BY1330" i="1"/>
  <c r="BZ1330" i="1"/>
  <c r="CA1330" i="1"/>
  <c r="CH1330" i="1"/>
  <c r="CL1330" i="1"/>
  <c r="CM1330" i="1"/>
  <c r="CN1330" i="1"/>
  <c r="CO1330" i="1"/>
  <c r="CP1330" i="1"/>
  <c r="CZ1330" i="1"/>
  <c r="DB1330" i="1"/>
  <c r="DF1330" i="1"/>
  <c r="AC997" i="1"/>
  <c r="AH997" i="1"/>
  <c r="BS997" i="1"/>
  <c r="BV997" i="1"/>
  <c r="BX997" i="1"/>
  <c r="BY997" i="1"/>
  <c r="BZ997" i="1"/>
  <c r="CA997" i="1"/>
  <c r="CH997" i="1"/>
  <c r="CL997" i="1"/>
  <c r="CM997" i="1"/>
  <c r="CN997" i="1"/>
  <c r="CO997" i="1"/>
  <c r="CP997" i="1"/>
  <c r="CZ997" i="1"/>
  <c r="DB997" i="1"/>
  <c r="DF997" i="1"/>
  <c r="AC1974" i="1"/>
  <c r="AH1974" i="1"/>
  <c r="BS1974" i="1"/>
  <c r="BV1974" i="1"/>
  <c r="BX1974" i="1"/>
  <c r="BY1974" i="1"/>
  <c r="BZ1974" i="1"/>
  <c r="CA1974" i="1"/>
  <c r="CH1974" i="1"/>
  <c r="CL1974" i="1"/>
  <c r="CM1974" i="1"/>
  <c r="CN1974" i="1"/>
  <c r="CO1974" i="1"/>
  <c r="CP1974" i="1"/>
  <c r="CZ1974" i="1"/>
  <c r="DB1974" i="1"/>
  <c r="DF1974" i="1"/>
  <c r="AC943" i="1"/>
  <c r="AH943" i="1"/>
  <c r="BS943" i="1"/>
  <c r="BV943" i="1"/>
  <c r="BX943" i="1"/>
  <c r="BY943" i="1"/>
  <c r="BZ943" i="1"/>
  <c r="CA943" i="1"/>
  <c r="CH943" i="1"/>
  <c r="CL943" i="1"/>
  <c r="CM943" i="1"/>
  <c r="CN943" i="1"/>
  <c r="CO943" i="1"/>
  <c r="CP943" i="1"/>
  <c r="CZ943" i="1"/>
  <c r="DB943" i="1"/>
  <c r="DF943" i="1"/>
  <c r="AC1635" i="1"/>
  <c r="AH1635" i="1"/>
  <c r="BS1635" i="1"/>
  <c r="BV1635" i="1"/>
  <c r="BX1635" i="1"/>
  <c r="BY1635" i="1"/>
  <c r="BZ1635" i="1"/>
  <c r="CA1635" i="1"/>
  <c r="CH1635" i="1"/>
  <c r="CL1635" i="1"/>
  <c r="CM1635" i="1"/>
  <c r="CN1635" i="1"/>
  <c r="CO1635" i="1"/>
  <c r="CP1635" i="1"/>
  <c r="CZ1635" i="1"/>
  <c r="DB1635" i="1"/>
  <c r="DF1635" i="1"/>
  <c r="AC2215" i="1"/>
  <c r="AH2215" i="1"/>
  <c r="BS2215" i="1"/>
  <c r="BV2215" i="1"/>
  <c r="BX2215" i="1"/>
  <c r="BY2215" i="1"/>
  <c r="BZ2215" i="1"/>
  <c r="CH2215" i="1"/>
  <c r="CL2215" i="1"/>
  <c r="CM2215" i="1"/>
  <c r="CN2215" i="1"/>
  <c r="CO2215" i="1"/>
  <c r="CP2215" i="1"/>
  <c r="CZ2215" i="1"/>
  <c r="DB2215" i="1"/>
  <c r="DF2215" i="1"/>
  <c r="AC1665" i="1"/>
  <c r="AH1665" i="1"/>
  <c r="BS1665" i="1"/>
  <c r="BV1665" i="1"/>
  <c r="BX1665" i="1"/>
  <c r="BY1665" i="1"/>
  <c r="BZ1665" i="1"/>
  <c r="CA1665" i="1"/>
  <c r="CH1665" i="1"/>
  <c r="CL1665" i="1"/>
  <c r="CM1665" i="1"/>
  <c r="CN1665" i="1"/>
  <c r="CP1665" i="1"/>
  <c r="CZ1665" i="1"/>
  <c r="DB1665" i="1"/>
  <c r="DF1665" i="1"/>
  <c r="AC1801" i="1"/>
  <c r="AH1801" i="1"/>
  <c r="BS1801" i="1"/>
  <c r="BV1801" i="1"/>
  <c r="BX1801" i="1"/>
  <c r="BY1801" i="1"/>
  <c r="BZ1801" i="1"/>
  <c r="CH1801" i="1"/>
  <c r="CL1801" i="1"/>
  <c r="CM1801" i="1"/>
  <c r="CN1801" i="1"/>
  <c r="CO1801" i="1"/>
  <c r="CP1801" i="1"/>
  <c r="CZ1801" i="1"/>
  <c r="DB1801" i="1"/>
  <c r="DF1801" i="1"/>
  <c r="AC280" i="1"/>
  <c r="AH280" i="1"/>
  <c r="BS280" i="1"/>
  <c r="BV280" i="1"/>
  <c r="BX280" i="1"/>
  <c r="BY280" i="1"/>
  <c r="BZ280" i="1"/>
  <c r="CH280" i="1"/>
  <c r="CL280" i="1"/>
  <c r="CM280" i="1"/>
  <c r="CN280" i="1"/>
  <c r="CO280" i="1"/>
  <c r="CP280" i="1"/>
  <c r="CZ280" i="1"/>
  <c r="DB280" i="1"/>
  <c r="DF280" i="1"/>
  <c r="AC2124" i="1"/>
  <c r="AH2124" i="1"/>
  <c r="BS2124" i="1"/>
  <c r="BV2124" i="1"/>
  <c r="BX2124" i="1"/>
  <c r="BY2124" i="1"/>
  <c r="BZ2124" i="1"/>
  <c r="CA2124" i="1"/>
  <c r="CH2124" i="1"/>
  <c r="CL2124" i="1"/>
  <c r="CM2124" i="1"/>
  <c r="CN2124" i="1"/>
  <c r="CO2124" i="1"/>
  <c r="CP2124" i="1"/>
  <c r="CZ2124" i="1"/>
  <c r="DB2124" i="1"/>
  <c r="DF2124" i="1"/>
  <c r="AC568" i="1"/>
  <c r="AH568" i="1"/>
  <c r="BS568" i="1"/>
  <c r="BV568" i="1"/>
  <c r="BX568" i="1"/>
  <c r="BY568" i="1"/>
  <c r="BZ568" i="1"/>
  <c r="CA568" i="1"/>
  <c r="CH568" i="1"/>
  <c r="CL568" i="1"/>
  <c r="CM568" i="1"/>
  <c r="CN568" i="1"/>
  <c r="CO568" i="1"/>
  <c r="CP568" i="1"/>
  <c r="CZ568" i="1"/>
  <c r="DB568" i="1"/>
  <c r="DF568" i="1"/>
  <c r="AC703" i="1"/>
  <c r="AH703" i="1"/>
  <c r="BS703" i="1"/>
  <c r="BV703" i="1"/>
  <c r="BX703" i="1"/>
  <c r="BY703" i="1"/>
  <c r="BZ703" i="1"/>
  <c r="CA703" i="1"/>
  <c r="CH703" i="1"/>
  <c r="CL703" i="1"/>
  <c r="CM703" i="1"/>
  <c r="CN703" i="1"/>
  <c r="CO703" i="1"/>
  <c r="CP703" i="1"/>
  <c r="CZ703" i="1"/>
  <c r="DB703" i="1"/>
  <c r="DF703" i="1"/>
  <c r="AC1205" i="1"/>
  <c r="AH1205" i="1"/>
  <c r="BS1205" i="1"/>
  <c r="BV1205" i="1"/>
  <c r="BX1205" i="1"/>
  <c r="BY1205" i="1"/>
  <c r="BZ1205" i="1"/>
  <c r="CH1205" i="1"/>
  <c r="CL1205" i="1"/>
  <c r="CM1205" i="1"/>
  <c r="CN1205" i="1"/>
  <c r="CP1205" i="1"/>
  <c r="CZ1205" i="1"/>
  <c r="DB1205" i="1"/>
  <c r="DF1205" i="1"/>
  <c r="AC867" i="1"/>
  <c r="AH867" i="1"/>
  <c r="BS867" i="1"/>
  <c r="BV867" i="1"/>
  <c r="BX867" i="1"/>
  <c r="BY867" i="1"/>
  <c r="BZ867" i="1"/>
  <c r="CA867" i="1"/>
  <c r="CH867" i="1"/>
  <c r="CL867" i="1"/>
  <c r="CM867" i="1"/>
  <c r="CN867" i="1"/>
  <c r="CO867" i="1"/>
  <c r="CP867" i="1"/>
  <c r="CZ867" i="1"/>
  <c r="DB867" i="1"/>
  <c r="DF867" i="1"/>
  <c r="AC1613" i="1"/>
  <c r="AH1613" i="1"/>
  <c r="BS1613" i="1"/>
  <c r="BV1613" i="1"/>
  <c r="BX1613" i="1"/>
  <c r="BY1613" i="1"/>
  <c r="BZ1613" i="1"/>
  <c r="CA1613" i="1"/>
  <c r="CH1613" i="1"/>
  <c r="CL1613" i="1"/>
  <c r="CM1613" i="1"/>
  <c r="CN1613" i="1"/>
  <c r="CO1613" i="1"/>
  <c r="CP1613" i="1"/>
  <c r="CZ1613" i="1"/>
  <c r="DB1613" i="1"/>
  <c r="DF1613" i="1"/>
  <c r="AC2284" i="1"/>
  <c r="AH2284" i="1"/>
  <c r="BS2284" i="1"/>
  <c r="BV2284" i="1"/>
  <c r="BX2284" i="1"/>
  <c r="BY2284" i="1"/>
  <c r="BZ2284" i="1"/>
  <c r="CA2284" i="1"/>
  <c r="CH2284" i="1"/>
  <c r="CL2284" i="1"/>
  <c r="CM2284" i="1"/>
  <c r="CN2284" i="1"/>
  <c r="CO2284" i="1"/>
  <c r="CP2284" i="1"/>
  <c r="CZ2284" i="1"/>
  <c r="DB2284" i="1"/>
  <c r="DF2284" i="1"/>
  <c r="AC860" i="1"/>
  <c r="AH860" i="1"/>
  <c r="BS860" i="1"/>
  <c r="BV860" i="1"/>
  <c r="BX860" i="1"/>
  <c r="BY860" i="1"/>
  <c r="BZ860" i="1"/>
  <c r="CH860" i="1"/>
  <c r="CL860" i="1"/>
  <c r="CM860" i="1"/>
  <c r="CN860" i="1"/>
  <c r="CO860" i="1"/>
  <c r="CP860" i="1"/>
  <c r="CZ860" i="1"/>
  <c r="DB860" i="1"/>
  <c r="DF860" i="1"/>
  <c r="AC660" i="1"/>
  <c r="AH660" i="1"/>
  <c r="BS660" i="1"/>
  <c r="BV660" i="1"/>
  <c r="BX660" i="1"/>
  <c r="BY660" i="1"/>
  <c r="BZ660" i="1"/>
  <c r="CA660" i="1"/>
  <c r="CH660" i="1"/>
  <c r="CL660" i="1"/>
  <c r="CM660" i="1"/>
  <c r="CN660" i="1"/>
  <c r="CO660" i="1"/>
  <c r="CP660" i="1"/>
  <c r="CZ660" i="1"/>
  <c r="DB660" i="1"/>
  <c r="DF660" i="1"/>
  <c r="AC1650" i="1"/>
  <c r="AH1650" i="1"/>
  <c r="BS1650" i="1"/>
  <c r="BV1650" i="1"/>
  <c r="BX1650" i="1"/>
  <c r="BY1650" i="1"/>
  <c r="BZ1650" i="1"/>
  <c r="CA1650" i="1"/>
  <c r="CH1650" i="1"/>
  <c r="CL1650" i="1"/>
  <c r="CM1650" i="1"/>
  <c r="CN1650" i="1"/>
  <c r="CO1650" i="1"/>
  <c r="CP1650" i="1"/>
  <c r="CZ1650" i="1"/>
  <c r="DB1650" i="1"/>
  <c r="DF1650" i="1"/>
  <c r="AC2054" i="1"/>
  <c r="AH2054" i="1"/>
  <c r="BS2054" i="1"/>
  <c r="BV2054" i="1"/>
  <c r="BX2054" i="1"/>
  <c r="BY2054" i="1"/>
  <c r="BZ2054" i="1"/>
  <c r="CA2054" i="1"/>
  <c r="CH2054" i="1"/>
  <c r="CL2054" i="1"/>
  <c r="CM2054" i="1"/>
  <c r="CN2054" i="1"/>
  <c r="CO2054" i="1"/>
  <c r="CP2054" i="1"/>
  <c r="CZ2054" i="1"/>
  <c r="DB2054" i="1"/>
  <c r="DF2054" i="1"/>
  <c r="AC1114" i="1"/>
  <c r="AH1114" i="1"/>
  <c r="BS1114" i="1"/>
  <c r="BV1114" i="1"/>
  <c r="BX1114" i="1"/>
  <c r="BY1114" i="1"/>
  <c r="BZ1114" i="1"/>
  <c r="CA1114" i="1"/>
  <c r="CH1114" i="1"/>
  <c r="CL1114" i="1"/>
  <c r="CM1114" i="1"/>
  <c r="CN1114" i="1"/>
  <c r="CO1114" i="1"/>
  <c r="CP1114" i="1"/>
  <c r="CZ1114" i="1"/>
  <c r="DB1114" i="1"/>
  <c r="DF1114" i="1"/>
  <c r="AC1253" i="1"/>
  <c r="AH1253" i="1"/>
  <c r="BS1253" i="1"/>
  <c r="BV1253" i="1"/>
  <c r="BX1253" i="1"/>
  <c r="BY1253" i="1"/>
  <c r="BZ1253" i="1"/>
  <c r="CH1253" i="1"/>
  <c r="CL1253" i="1"/>
  <c r="CM1253" i="1"/>
  <c r="CN1253" i="1"/>
  <c r="CO1253" i="1"/>
  <c r="CP1253" i="1"/>
  <c r="CZ1253" i="1"/>
  <c r="DB1253" i="1"/>
  <c r="DF1253" i="1"/>
  <c r="AC1870" i="1"/>
  <c r="AH1870" i="1"/>
  <c r="BS1870" i="1"/>
  <c r="BV1870" i="1"/>
  <c r="BX1870" i="1"/>
  <c r="BY1870" i="1"/>
  <c r="BZ1870" i="1"/>
  <c r="CA1870" i="1"/>
  <c r="CH1870" i="1"/>
  <c r="CL1870" i="1"/>
  <c r="CM1870" i="1"/>
  <c r="CN1870" i="1"/>
  <c r="CO1870" i="1"/>
  <c r="CP1870" i="1"/>
  <c r="CZ1870" i="1"/>
  <c r="DB1870" i="1"/>
  <c r="DF1870" i="1"/>
  <c r="AC1878" i="1"/>
  <c r="AH1878" i="1"/>
  <c r="BS1878" i="1"/>
  <c r="BV1878" i="1"/>
  <c r="BX1878" i="1"/>
  <c r="BY1878" i="1"/>
  <c r="BZ1878" i="1"/>
  <c r="CA1878" i="1"/>
  <c r="CH1878" i="1"/>
  <c r="CL1878" i="1"/>
  <c r="CM1878" i="1"/>
  <c r="CN1878" i="1"/>
  <c r="CO1878" i="1"/>
  <c r="CP1878" i="1"/>
  <c r="CZ1878" i="1"/>
  <c r="DB1878" i="1"/>
  <c r="DF1878" i="1"/>
  <c r="AC1857" i="1"/>
  <c r="AH1857" i="1"/>
  <c r="BS1857" i="1"/>
  <c r="BV1857" i="1"/>
  <c r="BX1857" i="1"/>
  <c r="BY1857" i="1"/>
  <c r="BZ1857" i="1"/>
  <c r="CA1857" i="1"/>
  <c r="CH1857" i="1"/>
  <c r="CL1857" i="1"/>
  <c r="CM1857" i="1"/>
  <c r="CN1857" i="1"/>
  <c r="CO1857" i="1"/>
  <c r="CP1857" i="1"/>
  <c r="CZ1857" i="1"/>
  <c r="DB1857" i="1"/>
  <c r="DF1857" i="1"/>
  <c r="AC23" i="1"/>
  <c r="AH23" i="1"/>
  <c r="BS23" i="1"/>
  <c r="BV23" i="1"/>
  <c r="BX23" i="1"/>
  <c r="BY23" i="1"/>
  <c r="BZ23" i="1"/>
  <c r="CA23" i="1"/>
  <c r="CH23" i="1"/>
  <c r="CL23" i="1"/>
  <c r="CM23" i="1"/>
  <c r="CN23" i="1"/>
  <c r="CO23" i="1"/>
  <c r="CP23" i="1"/>
  <c r="CZ23" i="1"/>
  <c r="DB23" i="1"/>
  <c r="DF23" i="1"/>
  <c r="AC2093" i="1"/>
  <c r="AH2093" i="1"/>
  <c r="BS2093" i="1"/>
  <c r="BV2093" i="1"/>
  <c r="BX2093" i="1"/>
  <c r="BY2093" i="1"/>
  <c r="BZ2093" i="1"/>
  <c r="CH2093" i="1"/>
  <c r="CL2093" i="1"/>
  <c r="CM2093" i="1"/>
  <c r="CN2093" i="1"/>
  <c r="CO2093" i="1"/>
  <c r="CP2093" i="1"/>
  <c r="CZ2093" i="1"/>
  <c r="DB2093" i="1"/>
  <c r="DF2093" i="1"/>
  <c r="AC485" i="1"/>
  <c r="AH485" i="1"/>
  <c r="BS485" i="1"/>
  <c r="BV485" i="1"/>
  <c r="BX485" i="1"/>
  <c r="BY485" i="1"/>
  <c r="BZ485" i="1"/>
  <c r="CH485" i="1"/>
  <c r="CL485" i="1"/>
  <c r="CM485" i="1"/>
  <c r="CN485" i="1"/>
  <c r="CO485" i="1"/>
  <c r="CP485" i="1"/>
  <c r="CZ485" i="1"/>
  <c r="DB485" i="1"/>
  <c r="DF485" i="1"/>
  <c r="AC1946" i="1"/>
  <c r="AH1946" i="1"/>
  <c r="BS1946" i="1"/>
  <c r="BV1946" i="1"/>
  <c r="BX1946" i="1"/>
  <c r="BY1946" i="1"/>
  <c r="BZ1946" i="1"/>
  <c r="CA1946" i="1"/>
  <c r="CH1946" i="1"/>
  <c r="CL1946" i="1"/>
  <c r="CM1946" i="1"/>
  <c r="CN1946" i="1"/>
  <c r="CO1946" i="1"/>
  <c r="CP1946" i="1"/>
  <c r="CZ1946" i="1"/>
  <c r="DB1946" i="1"/>
  <c r="DF1946" i="1"/>
  <c r="AC2037" i="1"/>
  <c r="AH2037" i="1"/>
  <c r="BS2037" i="1"/>
  <c r="BV2037" i="1"/>
  <c r="BX2037" i="1"/>
  <c r="BY2037" i="1"/>
  <c r="BZ2037" i="1"/>
  <c r="CA2037" i="1"/>
  <c r="CH2037" i="1"/>
  <c r="CL2037" i="1"/>
  <c r="CM2037" i="1"/>
  <c r="CN2037" i="1"/>
  <c r="CO2037" i="1"/>
  <c r="CP2037" i="1"/>
  <c r="CZ2037" i="1"/>
  <c r="DB2037" i="1"/>
  <c r="DF2037" i="1"/>
  <c r="AC1930" i="1"/>
  <c r="AH1930" i="1"/>
  <c r="BS1930" i="1"/>
  <c r="BV1930" i="1"/>
  <c r="BX1930" i="1"/>
  <c r="BY1930" i="1"/>
  <c r="BZ1930" i="1"/>
  <c r="CH1930" i="1"/>
  <c r="CL1930" i="1"/>
  <c r="CM1930" i="1"/>
  <c r="CN1930" i="1"/>
  <c r="CP1930" i="1"/>
  <c r="CZ1930" i="1"/>
  <c r="DB1930" i="1"/>
  <c r="DF1930" i="1"/>
  <c r="AC1209" i="1"/>
  <c r="AH1209" i="1"/>
  <c r="BS1209" i="1"/>
  <c r="BV1209" i="1"/>
  <c r="BX1209" i="1"/>
  <c r="BY1209" i="1"/>
  <c r="BZ1209" i="1"/>
  <c r="CA1209" i="1"/>
  <c r="CH1209" i="1"/>
  <c r="CL1209" i="1"/>
  <c r="CM1209" i="1"/>
  <c r="CN1209" i="1"/>
  <c r="CO1209" i="1"/>
  <c r="CP1209" i="1"/>
  <c r="CZ1209" i="1"/>
  <c r="DB1209" i="1"/>
  <c r="DF1209" i="1"/>
  <c r="AC936" i="1"/>
  <c r="AH936" i="1"/>
  <c r="BS936" i="1"/>
  <c r="BV936" i="1"/>
  <c r="BX936" i="1"/>
  <c r="BY936" i="1"/>
  <c r="BZ936" i="1"/>
  <c r="CH936" i="1"/>
  <c r="CL936" i="1"/>
  <c r="CM936" i="1"/>
  <c r="CN936" i="1"/>
  <c r="CO936" i="1"/>
  <c r="CP936" i="1"/>
  <c r="CZ936" i="1"/>
  <c r="DB936" i="1"/>
  <c r="DF936" i="1"/>
  <c r="AC1753" i="1"/>
  <c r="AH1753" i="1"/>
  <c r="BS1753" i="1"/>
  <c r="BV1753" i="1"/>
  <c r="BX1753" i="1"/>
  <c r="BY1753" i="1"/>
  <c r="BZ1753" i="1"/>
  <c r="CH1753" i="1"/>
  <c r="CL1753" i="1"/>
  <c r="CM1753" i="1"/>
  <c r="CN1753" i="1"/>
  <c r="CP1753" i="1"/>
  <c r="CZ1753" i="1"/>
  <c r="DB1753" i="1"/>
  <c r="DF1753" i="1"/>
  <c r="AC1659" i="1"/>
  <c r="AH1659" i="1"/>
  <c r="BS1659" i="1"/>
  <c r="BV1659" i="1"/>
  <c r="BX1659" i="1"/>
  <c r="BY1659" i="1"/>
  <c r="BZ1659" i="1"/>
  <c r="CA1659" i="1"/>
  <c r="CH1659" i="1"/>
  <c r="CL1659" i="1"/>
  <c r="CM1659" i="1"/>
  <c r="CN1659" i="1"/>
  <c r="CO1659" i="1"/>
  <c r="CP1659" i="1"/>
  <c r="CZ1659" i="1"/>
  <c r="DB1659" i="1"/>
  <c r="DF1659" i="1"/>
  <c r="AC133" i="1"/>
  <c r="AH133" i="1"/>
  <c r="BS133" i="1"/>
  <c r="BV133" i="1"/>
  <c r="BX133" i="1"/>
  <c r="BY133" i="1"/>
  <c r="BZ133" i="1"/>
  <c r="CA133" i="1"/>
  <c r="CH133" i="1"/>
  <c r="CL133" i="1"/>
  <c r="CM133" i="1"/>
  <c r="CN133" i="1"/>
  <c r="CO133" i="1"/>
  <c r="CP133" i="1"/>
  <c r="CZ133" i="1"/>
  <c r="DB133" i="1"/>
  <c r="DF133" i="1"/>
  <c r="AC517" i="1"/>
  <c r="AH517" i="1"/>
  <c r="BS517" i="1"/>
  <c r="BV517" i="1"/>
  <c r="BX517" i="1"/>
  <c r="BY517" i="1"/>
  <c r="BZ517" i="1"/>
  <c r="CH517" i="1"/>
  <c r="CL517" i="1"/>
  <c r="CM517" i="1"/>
  <c r="CN517" i="1"/>
  <c r="CO517" i="1"/>
  <c r="CP517" i="1"/>
  <c r="CZ517" i="1"/>
  <c r="DB517" i="1"/>
  <c r="DF517" i="1"/>
  <c r="AC901" i="1"/>
  <c r="AH901" i="1"/>
  <c r="BS901" i="1"/>
  <c r="BV901" i="1"/>
  <c r="BX901" i="1"/>
  <c r="BY901" i="1"/>
  <c r="BZ901" i="1"/>
  <c r="CA901" i="1"/>
  <c r="CH901" i="1"/>
  <c r="CL901" i="1"/>
  <c r="CM901" i="1"/>
  <c r="CN901" i="1"/>
  <c r="CO901" i="1"/>
  <c r="CP901" i="1"/>
  <c r="CZ901" i="1"/>
  <c r="DB901" i="1"/>
  <c r="DF901" i="1"/>
  <c r="AC1684" i="1"/>
  <c r="AH1684" i="1"/>
  <c r="BS1684" i="1"/>
  <c r="BV1684" i="1"/>
  <c r="BX1684" i="1"/>
  <c r="BY1684" i="1"/>
  <c r="BZ1684" i="1"/>
  <c r="CH1684" i="1"/>
  <c r="CL1684" i="1"/>
  <c r="CM1684" i="1"/>
  <c r="CN1684" i="1"/>
  <c r="CO1684" i="1"/>
  <c r="CP1684" i="1"/>
  <c r="CZ1684" i="1"/>
  <c r="DB1684" i="1"/>
  <c r="DF1684" i="1"/>
  <c r="AC1236" i="1"/>
  <c r="AH1236" i="1"/>
  <c r="BS1236" i="1"/>
  <c r="BV1236" i="1"/>
  <c r="BX1236" i="1"/>
  <c r="BY1236" i="1"/>
  <c r="BZ1236" i="1"/>
  <c r="CH1236" i="1"/>
  <c r="CL1236" i="1"/>
  <c r="CM1236" i="1"/>
  <c r="CN1236" i="1"/>
  <c r="CO1236" i="1"/>
  <c r="CP1236" i="1"/>
  <c r="CZ1236" i="1"/>
  <c r="DB1236" i="1"/>
  <c r="DF1236" i="1"/>
  <c r="AC1101" i="1"/>
  <c r="AH1101" i="1"/>
  <c r="BS1101" i="1"/>
  <c r="BV1101" i="1"/>
  <c r="BX1101" i="1"/>
  <c r="BY1101" i="1"/>
  <c r="BZ1101" i="1"/>
  <c r="CA1101" i="1"/>
  <c r="CH1101" i="1"/>
  <c r="CL1101" i="1"/>
  <c r="CM1101" i="1"/>
  <c r="CN1101" i="1"/>
  <c r="CO1101" i="1"/>
  <c r="CP1101" i="1"/>
  <c r="CZ1101" i="1"/>
  <c r="DB1101" i="1"/>
  <c r="DF1101" i="1"/>
  <c r="AC1706" i="1"/>
  <c r="AH1706" i="1"/>
  <c r="BS1706" i="1"/>
  <c r="BV1706" i="1"/>
  <c r="BX1706" i="1"/>
  <c r="BY1706" i="1"/>
  <c r="BZ1706" i="1"/>
  <c r="CA1706" i="1"/>
  <c r="CH1706" i="1"/>
  <c r="CL1706" i="1"/>
  <c r="CM1706" i="1"/>
  <c r="CN1706" i="1"/>
  <c r="CP1706" i="1"/>
  <c r="CZ1706" i="1"/>
  <c r="DB1706" i="1"/>
  <c r="DF1706" i="1"/>
  <c r="AC1505" i="1"/>
  <c r="AH1505" i="1"/>
  <c r="BS1505" i="1"/>
  <c r="BV1505" i="1"/>
  <c r="BX1505" i="1"/>
  <c r="BY1505" i="1"/>
  <c r="BZ1505" i="1"/>
  <c r="CA1505" i="1"/>
  <c r="CH1505" i="1"/>
  <c r="CL1505" i="1"/>
  <c r="CM1505" i="1"/>
  <c r="CN1505" i="1"/>
  <c r="CO1505" i="1"/>
  <c r="CP1505" i="1"/>
  <c r="CZ1505" i="1"/>
  <c r="DB1505" i="1"/>
  <c r="DF1505" i="1"/>
  <c r="AC988" i="1"/>
  <c r="AH988" i="1"/>
  <c r="BS988" i="1"/>
  <c r="BV988" i="1"/>
  <c r="BX988" i="1"/>
  <c r="BY988" i="1"/>
  <c r="BZ988" i="1"/>
  <c r="CA988" i="1"/>
  <c r="CH988" i="1"/>
  <c r="CL988" i="1"/>
  <c r="CM988" i="1"/>
  <c r="CN988" i="1"/>
  <c r="CO988" i="1"/>
  <c r="CP988" i="1"/>
  <c r="CZ988" i="1"/>
  <c r="DB988" i="1"/>
  <c r="DF988" i="1"/>
  <c r="AC2278" i="1"/>
  <c r="AH2278" i="1"/>
  <c r="BS2278" i="1"/>
  <c r="BV2278" i="1"/>
  <c r="BX2278" i="1"/>
  <c r="BY2278" i="1"/>
  <c r="BZ2278" i="1"/>
  <c r="CA2278" i="1"/>
  <c r="CH2278" i="1"/>
  <c r="CL2278" i="1"/>
  <c r="CM2278" i="1"/>
  <c r="CN2278" i="1"/>
  <c r="CO2278" i="1"/>
  <c r="CP2278" i="1"/>
  <c r="CZ2278" i="1"/>
  <c r="DB2278" i="1"/>
  <c r="DF2278" i="1"/>
  <c r="AC291" i="1"/>
  <c r="AH291" i="1"/>
  <c r="BS291" i="1"/>
  <c r="BV291" i="1"/>
  <c r="BX291" i="1"/>
  <c r="BY291" i="1"/>
  <c r="BZ291" i="1"/>
  <c r="CH291" i="1"/>
  <c r="CL291" i="1"/>
  <c r="CM291" i="1"/>
  <c r="CN291" i="1"/>
  <c r="CO291" i="1"/>
  <c r="CP291" i="1"/>
  <c r="CZ291" i="1"/>
  <c r="DB291" i="1"/>
  <c r="DF291" i="1"/>
  <c r="AC1999" i="1"/>
  <c r="AH1999" i="1"/>
  <c r="BS1999" i="1"/>
  <c r="BV1999" i="1"/>
  <c r="BX1999" i="1"/>
  <c r="BY1999" i="1"/>
  <c r="BZ1999" i="1"/>
  <c r="CH1999" i="1"/>
  <c r="CL1999" i="1"/>
  <c r="CM1999" i="1"/>
  <c r="CN1999" i="1"/>
  <c r="CP1999" i="1"/>
  <c r="CZ1999" i="1"/>
  <c r="DB1999" i="1"/>
  <c r="DF1999" i="1"/>
  <c r="AC609" i="1"/>
  <c r="AH609" i="1"/>
  <c r="BS609" i="1"/>
  <c r="BV609" i="1"/>
  <c r="BX609" i="1"/>
  <c r="BY609" i="1"/>
  <c r="BZ609" i="1"/>
  <c r="CA609" i="1"/>
  <c r="CH609" i="1"/>
  <c r="CL609" i="1"/>
  <c r="CM609" i="1"/>
  <c r="CN609" i="1"/>
  <c r="CO609" i="1"/>
  <c r="CP609" i="1"/>
  <c r="CZ609" i="1"/>
  <c r="DB609" i="1"/>
  <c r="DF609" i="1"/>
  <c r="AC796" i="1"/>
  <c r="AH796" i="1"/>
  <c r="BS796" i="1"/>
  <c r="BV796" i="1"/>
  <c r="BX796" i="1"/>
  <c r="BY796" i="1"/>
  <c r="BZ796" i="1"/>
  <c r="CH796" i="1"/>
  <c r="CL796" i="1"/>
  <c r="CM796" i="1"/>
  <c r="CN796" i="1"/>
  <c r="CO796" i="1"/>
  <c r="CP796" i="1"/>
  <c r="CZ796" i="1"/>
  <c r="DB796" i="1"/>
  <c r="DF796" i="1"/>
  <c r="AC1688" i="1"/>
  <c r="AH1688" i="1"/>
  <c r="BS1688" i="1"/>
  <c r="BV1688" i="1"/>
  <c r="BX1688" i="1"/>
  <c r="BY1688" i="1"/>
  <c r="BZ1688" i="1"/>
  <c r="CA1688" i="1"/>
  <c r="CH1688" i="1"/>
  <c r="CL1688" i="1"/>
  <c r="CM1688" i="1"/>
  <c r="CN1688" i="1"/>
  <c r="CO1688" i="1"/>
  <c r="CP1688" i="1"/>
  <c r="CZ1688" i="1"/>
  <c r="DB1688" i="1"/>
  <c r="DF1688" i="1"/>
  <c r="AC1194" i="1"/>
  <c r="AH1194" i="1"/>
  <c r="BS1194" i="1"/>
  <c r="BV1194" i="1"/>
  <c r="BX1194" i="1"/>
  <c r="BY1194" i="1"/>
  <c r="BZ1194" i="1"/>
  <c r="CH1194" i="1"/>
  <c r="CL1194" i="1"/>
  <c r="CM1194" i="1"/>
  <c r="CN1194" i="1"/>
  <c r="CO1194" i="1"/>
  <c r="CP1194" i="1"/>
  <c r="CZ1194" i="1"/>
  <c r="DB1194" i="1"/>
  <c r="DF1194" i="1"/>
  <c r="AC1937" i="1"/>
  <c r="AH1937" i="1"/>
  <c r="BS1937" i="1"/>
  <c r="BV1937" i="1"/>
  <c r="BX1937" i="1"/>
  <c r="BY1937" i="1"/>
  <c r="BZ1937" i="1"/>
  <c r="CH1937" i="1"/>
  <c r="CL1937" i="1"/>
  <c r="CM1937" i="1"/>
  <c r="CN1937" i="1"/>
  <c r="CO1937" i="1"/>
  <c r="CP1937" i="1"/>
  <c r="CZ1937" i="1"/>
  <c r="DB1937" i="1"/>
  <c r="DF1937" i="1"/>
  <c r="AC707" i="1"/>
  <c r="AH707" i="1"/>
  <c r="BS707" i="1"/>
  <c r="BV707" i="1"/>
  <c r="BX707" i="1"/>
  <c r="BY707" i="1"/>
  <c r="BZ707" i="1"/>
  <c r="CA707" i="1"/>
  <c r="CH707" i="1"/>
  <c r="CL707" i="1"/>
  <c r="CM707" i="1"/>
  <c r="CN707" i="1"/>
  <c r="CO707" i="1"/>
  <c r="CP707" i="1"/>
  <c r="CZ707" i="1"/>
  <c r="DB707" i="1"/>
  <c r="DF707" i="1"/>
  <c r="AC1912" i="1"/>
  <c r="AH1912" i="1"/>
  <c r="BS1912" i="1"/>
  <c r="BV1912" i="1"/>
  <c r="BX1912" i="1"/>
  <c r="BY1912" i="1"/>
  <c r="BZ1912" i="1"/>
  <c r="CH1912" i="1"/>
  <c r="CL1912" i="1"/>
  <c r="CM1912" i="1"/>
  <c r="CN1912" i="1"/>
  <c r="CP1912" i="1"/>
  <c r="CZ1912" i="1"/>
  <c r="DB1912" i="1"/>
  <c r="DF1912" i="1"/>
  <c r="AC1306" i="1"/>
  <c r="AH1306" i="1"/>
  <c r="BS1306" i="1"/>
  <c r="BV1306" i="1"/>
  <c r="BX1306" i="1"/>
  <c r="BY1306" i="1"/>
  <c r="BZ1306" i="1"/>
  <c r="CH1306" i="1"/>
  <c r="CL1306" i="1"/>
  <c r="CM1306" i="1"/>
  <c r="CN1306" i="1"/>
  <c r="CP1306" i="1"/>
  <c r="CZ1306" i="1"/>
  <c r="DB1306" i="1"/>
  <c r="DF1306" i="1"/>
  <c r="AC1907" i="1"/>
  <c r="AH1907" i="1"/>
  <c r="BS1907" i="1"/>
  <c r="BV1907" i="1"/>
  <c r="BX1907" i="1"/>
  <c r="BY1907" i="1"/>
  <c r="BZ1907" i="1"/>
  <c r="CH1907" i="1"/>
  <c r="CL1907" i="1"/>
  <c r="CM1907" i="1"/>
  <c r="CN1907" i="1"/>
  <c r="CP1907" i="1"/>
  <c r="CZ1907" i="1"/>
  <c r="DB1907" i="1"/>
  <c r="DF1907" i="1"/>
  <c r="AC599" i="1"/>
  <c r="AH599" i="1"/>
  <c r="BS599" i="1"/>
  <c r="BV599" i="1"/>
  <c r="BX599" i="1"/>
  <c r="BY599" i="1"/>
  <c r="BZ599" i="1"/>
  <c r="CA599" i="1"/>
  <c r="CH599" i="1"/>
  <c r="CL599" i="1"/>
  <c r="CM599" i="1"/>
  <c r="CN599" i="1"/>
  <c r="CO599" i="1"/>
  <c r="CP599" i="1"/>
  <c r="CZ599" i="1"/>
  <c r="DB599" i="1"/>
  <c r="DF599" i="1"/>
  <c r="AC821" i="1"/>
  <c r="AH821" i="1"/>
  <c r="BS821" i="1"/>
  <c r="BV821" i="1"/>
  <c r="BX821" i="1"/>
  <c r="BY821" i="1"/>
  <c r="BZ821" i="1"/>
  <c r="CH821" i="1"/>
  <c r="CL821" i="1"/>
  <c r="CM821" i="1"/>
  <c r="CN821" i="1"/>
  <c r="CO821" i="1"/>
  <c r="CP821" i="1"/>
  <c r="CZ821" i="1"/>
  <c r="DB821" i="1"/>
  <c r="DF821" i="1"/>
  <c r="AC868" i="1"/>
  <c r="AH868" i="1"/>
  <c r="BS868" i="1"/>
  <c r="BV868" i="1"/>
  <c r="BX868" i="1"/>
  <c r="BY868" i="1"/>
  <c r="BZ868" i="1"/>
  <c r="CA868" i="1"/>
  <c r="CH868" i="1"/>
  <c r="CL868" i="1"/>
  <c r="CM868" i="1"/>
  <c r="CN868" i="1"/>
  <c r="CO868" i="1"/>
  <c r="CP868" i="1"/>
  <c r="CZ868" i="1"/>
  <c r="DB868" i="1"/>
  <c r="DF868" i="1"/>
  <c r="AC2190" i="1"/>
  <c r="AH2190" i="1"/>
  <c r="BS2190" i="1"/>
  <c r="BV2190" i="1"/>
  <c r="BX2190" i="1"/>
  <c r="BY2190" i="1"/>
  <c r="BZ2190" i="1"/>
  <c r="CA2190" i="1"/>
  <c r="CH2190" i="1"/>
  <c r="CL2190" i="1"/>
  <c r="CM2190" i="1"/>
  <c r="CN2190" i="1"/>
  <c r="CO2190" i="1"/>
  <c r="CP2190" i="1"/>
  <c r="CZ2190" i="1"/>
  <c r="DB2190" i="1"/>
  <c r="DF2190" i="1"/>
  <c r="AC1335" i="1"/>
  <c r="AH1335" i="1"/>
  <c r="BS1335" i="1"/>
  <c r="BV1335" i="1"/>
  <c r="BX1335" i="1"/>
  <c r="BY1335" i="1"/>
  <c r="BZ1335" i="1"/>
  <c r="CA1335" i="1"/>
  <c r="CH1335" i="1"/>
  <c r="CL1335" i="1"/>
  <c r="CM1335" i="1"/>
  <c r="CN1335" i="1"/>
  <c r="CO1335" i="1"/>
  <c r="CP1335" i="1"/>
  <c r="CZ1335" i="1"/>
  <c r="DB1335" i="1"/>
  <c r="DF1335" i="1"/>
  <c r="AC1936" i="1"/>
  <c r="AH1936" i="1"/>
  <c r="BS1936" i="1"/>
  <c r="BV1936" i="1"/>
  <c r="BX1936" i="1"/>
  <c r="BY1936" i="1"/>
  <c r="BZ1936" i="1"/>
  <c r="CA1936" i="1"/>
  <c r="CH1936" i="1"/>
  <c r="CL1936" i="1"/>
  <c r="CM1936" i="1"/>
  <c r="CN1936" i="1"/>
  <c r="CO1936" i="1"/>
  <c r="CP1936" i="1"/>
  <c r="CZ1936" i="1"/>
  <c r="DB1936" i="1"/>
  <c r="DF1936" i="1"/>
  <c r="AC858" i="1"/>
  <c r="AH858" i="1"/>
  <c r="BS858" i="1"/>
  <c r="BV858" i="1"/>
  <c r="BX858" i="1"/>
  <c r="BY858" i="1"/>
  <c r="BZ858" i="1"/>
  <c r="CH858" i="1"/>
  <c r="CL858" i="1"/>
  <c r="CM858" i="1"/>
  <c r="CN858" i="1"/>
  <c r="CO858" i="1"/>
  <c r="CP858" i="1"/>
  <c r="CZ858" i="1"/>
  <c r="DB858" i="1"/>
  <c r="DF858" i="1"/>
  <c r="AC2173" i="1"/>
  <c r="AH2173" i="1"/>
  <c r="BS2173" i="1"/>
  <c r="BV2173" i="1"/>
  <c r="BX2173" i="1"/>
  <c r="BY2173" i="1"/>
  <c r="BZ2173" i="1"/>
  <c r="CA2173" i="1"/>
  <c r="CH2173" i="1"/>
  <c r="CL2173" i="1"/>
  <c r="CM2173" i="1"/>
  <c r="CN2173" i="1"/>
  <c r="CO2173" i="1"/>
  <c r="CP2173" i="1"/>
  <c r="CZ2173" i="1"/>
  <c r="DB2173" i="1"/>
  <c r="DF2173" i="1"/>
  <c r="AC1046" i="1"/>
  <c r="AH1046" i="1"/>
  <c r="BS1046" i="1"/>
  <c r="BV1046" i="1"/>
  <c r="BX1046" i="1"/>
  <c r="BY1046" i="1"/>
  <c r="BZ1046" i="1"/>
  <c r="CH1046" i="1"/>
  <c r="CL1046" i="1"/>
  <c r="CM1046" i="1"/>
  <c r="CN1046" i="1"/>
  <c r="CO1046" i="1"/>
  <c r="CP1046" i="1"/>
  <c r="CZ1046" i="1"/>
  <c r="DB1046" i="1"/>
  <c r="DF1046" i="1"/>
  <c r="AC548" i="1"/>
  <c r="AH548" i="1"/>
  <c r="BS548" i="1"/>
  <c r="BV548" i="1"/>
  <c r="BX548" i="1"/>
  <c r="BY548" i="1"/>
  <c r="BZ548" i="1"/>
  <c r="CA548" i="1"/>
  <c r="CH548" i="1"/>
  <c r="CL548" i="1"/>
  <c r="CM548" i="1"/>
  <c r="CN548" i="1"/>
  <c r="CO548" i="1"/>
  <c r="CP548" i="1"/>
  <c r="CZ548" i="1"/>
  <c r="DB548" i="1"/>
  <c r="DF548" i="1"/>
  <c r="AC826" i="1"/>
  <c r="AH826" i="1"/>
  <c r="BS826" i="1"/>
  <c r="BV826" i="1"/>
  <c r="BX826" i="1"/>
  <c r="BY826" i="1"/>
  <c r="BZ826" i="1"/>
  <c r="CA826" i="1"/>
  <c r="CH826" i="1"/>
  <c r="CL826" i="1"/>
  <c r="CM826" i="1"/>
  <c r="CN826" i="1"/>
  <c r="CO826" i="1"/>
  <c r="CP826" i="1"/>
  <c r="CZ826" i="1"/>
  <c r="DB826" i="1"/>
  <c r="DF826" i="1"/>
  <c r="AC1208" i="1"/>
  <c r="AH1208" i="1"/>
  <c r="BS1208" i="1"/>
  <c r="BV1208" i="1"/>
  <c r="BX1208" i="1"/>
  <c r="BY1208" i="1"/>
  <c r="BZ1208" i="1"/>
  <c r="CH1208" i="1"/>
  <c r="CL1208" i="1"/>
  <c r="CM1208" i="1"/>
  <c r="CN1208" i="1"/>
  <c r="CO1208" i="1"/>
  <c r="CP1208" i="1"/>
  <c r="CZ1208" i="1"/>
  <c r="DB1208" i="1"/>
  <c r="DF1208" i="1"/>
  <c r="AC159" i="1"/>
  <c r="AH159" i="1"/>
  <c r="BS159" i="1"/>
  <c r="BV159" i="1"/>
  <c r="BX159" i="1"/>
  <c r="BY159" i="1"/>
  <c r="BZ159" i="1"/>
  <c r="CA159" i="1"/>
  <c r="CH159" i="1"/>
  <c r="CL159" i="1"/>
  <c r="CM159" i="1"/>
  <c r="CN159" i="1"/>
  <c r="CO159" i="1"/>
  <c r="CP159" i="1"/>
  <c r="CZ159" i="1"/>
  <c r="DB159" i="1"/>
  <c r="DF159" i="1"/>
  <c r="AC39" i="1"/>
  <c r="AH39" i="1"/>
  <c r="BS39" i="1"/>
  <c r="BV39" i="1"/>
  <c r="BX39" i="1"/>
  <c r="BY39" i="1"/>
  <c r="BZ39" i="1"/>
  <c r="CA39" i="1"/>
  <c r="CH39" i="1"/>
  <c r="CL39" i="1"/>
  <c r="CM39" i="1"/>
  <c r="CN39" i="1"/>
  <c r="CO39" i="1"/>
  <c r="CP39" i="1"/>
  <c r="CZ39" i="1"/>
  <c r="DB39" i="1"/>
  <c r="DF39" i="1"/>
  <c r="AC1531" i="1"/>
  <c r="AH1531" i="1"/>
  <c r="BS1531" i="1"/>
  <c r="BV1531" i="1"/>
  <c r="BX1531" i="1"/>
  <c r="BY1531" i="1"/>
  <c r="BZ1531" i="1"/>
  <c r="CA1531" i="1"/>
  <c r="CH1531" i="1"/>
  <c r="CL1531" i="1"/>
  <c r="CM1531" i="1"/>
  <c r="CN1531" i="1"/>
  <c r="CO1531" i="1"/>
  <c r="CP1531" i="1"/>
  <c r="CZ1531" i="1"/>
  <c r="DB1531" i="1"/>
  <c r="DF1531" i="1"/>
  <c r="AC2144" i="1"/>
  <c r="AH2144" i="1"/>
  <c r="BS2144" i="1"/>
  <c r="BV2144" i="1"/>
  <c r="BX2144" i="1"/>
  <c r="BY2144" i="1"/>
  <c r="BZ2144" i="1"/>
  <c r="CH2144" i="1"/>
  <c r="CL2144" i="1"/>
  <c r="CM2144" i="1"/>
  <c r="CN2144" i="1"/>
  <c r="CO2144" i="1"/>
  <c r="CP2144" i="1"/>
  <c r="CZ2144" i="1"/>
  <c r="DB2144" i="1"/>
  <c r="DF2144" i="1"/>
  <c r="AC1658" i="1"/>
  <c r="AH1658" i="1"/>
  <c r="BS1658" i="1"/>
  <c r="BV1658" i="1"/>
  <c r="BX1658" i="1"/>
  <c r="BY1658" i="1"/>
  <c r="BZ1658" i="1"/>
  <c r="CA1658" i="1"/>
  <c r="CH1658" i="1"/>
  <c r="CL1658" i="1"/>
  <c r="CM1658" i="1"/>
  <c r="CN1658" i="1"/>
  <c r="CO1658" i="1"/>
  <c r="CP1658" i="1"/>
  <c r="CZ1658" i="1"/>
  <c r="DB1658" i="1"/>
  <c r="DF1658" i="1"/>
  <c r="AC1028" i="1"/>
  <c r="AH1028" i="1"/>
  <c r="BS1028" i="1"/>
  <c r="BV1028" i="1"/>
  <c r="BX1028" i="1"/>
  <c r="BY1028" i="1"/>
  <c r="BZ1028" i="1"/>
  <c r="CH1028" i="1"/>
  <c r="CL1028" i="1"/>
  <c r="CM1028" i="1"/>
  <c r="CN1028" i="1"/>
  <c r="CO1028" i="1"/>
  <c r="CP1028" i="1"/>
  <c r="CZ1028" i="1"/>
  <c r="DB1028" i="1"/>
  <c r="DF1028" i="1"/>
  <c r="AC619" i="1"/>
  <c r="AH619" i="1"/>
  <c r="BS619" i="1"/>
  <c r="BV619" i="1"/>
  <c r="BX619" i="1"/>
  <c r="BY619" i="1"/>
  <c r="BZ619" i="1"/>
  <c r="CA619" i="1"/>
  <c r="CH619" i="1"/>
  <c r="CL619" i="1"/>
  <c r="CM619" i="1"/>
  <c r="CN619" i="1"/>
  <c r="CO619" i="1"/>
  <c r="CP619" i="1"/>
  <c r="CZ619" i="1"/>
  <c r="DB619" i="1"/>
  <c r="DF619" i="1"/>
  <c r="AC1587" i="1"/>
  <c r="AH1587" i="1"/>
  <c r="BS1587" i="1"/>
  <c r="BV1587" i="1"/>
  <c r="BX1587" i="1"/>
  <c r="BY1587" i="1"/>
  <c r="BZ1587" i="1"/>
  <c r="CH1587" i="1"/>
  <c r="CL1587" i="1"/>
  <c r="CM1587" i="1"/>
  <c r="CN1587" i="1"/>
  <c r="CO1587" i="1"/>
  <c r="CP1587" i="1"/>
  <c r="CZ1587" i="1"/>
  <c r="DB1587" i="1"/>
  <c r="DF1587" i="1"/>
  <c r="AC241" i="1"/>
  <c r="AH241" i="1"/>
  <c r="BS241" i="1"/>
  <c r="BV241" i="1"/>
  <c r="BX241" i="1"/>
  <c r="BY241" i="1"/>
  <c r="BZ241" i="1"/>
  <c r="CA241" i="1"/>
  <c r="CH241" i="1"/>
  <c r="CL241" i="1"/>
  <c r="CM241" i="1"/>
  <c r="CN241" i="1"/>
  <c r="CO241" i="1"/>
  <c r="CP241" i="1"/>
  <c r="CZ241" i="1"/>
  <c r="DB241" i="1"/>
  <c r="DF241" i="1"/>
  <c r="AC913" i="1"/>
  <c r="AH913" i="1"/>
  <c r="BS913" i="1"/>
  <c r="BV913" i="1"/>
  <c r="BX913" i="1"/>
  <c r="BY913" i="1"/>
  <c r="BZ913" i="1"/>
  <c r="CA913" i="1"/>
  <c r="CH913" i="1"/>
  <c r="CL913" i="1"/>
  <c r="CM913" i="1"/>
  <c r="CN913" i="1"/>
  <c r="CO913" i="1"/>
  <c r="CP913" i="1"/>
  <c r="CZ913" i="1"/>
  <c r="DB913" i="1"/>
  <c r="DF913" i="1"/>
  <c r="AC833" i="1"/>
  <c r="AH833" i="1"/>
  <c r="BS833" i="1"/>
  <c r="BV833" i="1"/>
  <c r="BX833" i="1"/>
  <c r="BY833" i="1"/>
  <c r="BZ833" i="1"/>
  <c r="CA833" i="1"/>
  <c r="CH833" i="1"/>
  <c r="CL833" i="1"/>
  <c r="CM833" i="1"/>
  <c r="CN833" i="1"/>
  <c r="CO833" i="1"/>
  <c r="CP833" i="1"/>
  <c r="CZ833" i="1"/>
  <c r="DB833" i="1"/>
  <c r="DF833" i="1"/>
  <c r="AC960" i="1"/>
  <c r="AH960" i="1"/>
  <c r="BS960" i="1"/>
  <c r="BV960" i="1"/>
  <c r="BX960" i="1"/>
  <c r="BY960" i="1"/>
  <c r="BZ960" i="1"/>
  <c r="CA960" i="1"/>
  <c r="CH960" i="1"/>
  <c r="CL960" i="1"/>
  <c r="CM960" i="1"/>
  <c r="CN960" i="1"/>
  <c r="CO960" i="1"/>
  <c r="CP960" i="1"/>
  <c r="CZ960" i="1"/>
  <c r="DB960" i="1"/>
  <c r="DF960" i="1"/>
  <c r="AC1363" i="1"/>
  <c r="AH1363" i="1"/>
  <c r="BS1363" i="1"/>
  <c r="BV1363" i="1"/>
  <c r="BX1363" i="1"/>
  <c r="BY1363" i="1"/>
  <c r="BZ1363" i="1"/>
  <c r="CA1363" i="1"/>
  <c r="CH1363" i="1"/>
  <c r="CL1363" i="1"/>
  <c r="CM1363" i="1"/>
  <c r="CN1363" i="1"/>
  <c r="CO1363" i="1"/>
  <c r="CP1363" i="1"/>
  <c r="CZ1363" i="1"/>
  <c r="DB1363" i="1"/>
  <c r="DF1363" i="1"/>
  <c r="AC620" i="1"/>
  <c r="AH620" i="1"/>
  <c r="BS620" i="1"/>
  <c r="BV620" i="1"/>
  <c r="BX620" i="1"/>
  <c r="BY620" i="1"/>
  <c r="BZ620" i="1"/>
  <c r="CH620" i="1"/>
  <c r="CL620" i="1"/>
  <c r="CM620" i="1"/>
  <c r="CN620" i="1"/>
  <c r="CO620" i="1"/>
  <c r="CP620" i="1"/>
  <c r="CZ620" i="1"/>
  <c r="DB620" i="1"/>
  <c r="DF620" i="1"/>
  <c r="AC885" i="1"/>
  <c r="AH885" i="1"/>
  <c r="BS885" i="1"/>
  <c r="BV885" i="1"/>
  <c r="BX885" i="1"/>
  <c r="BY885" i="1"/>
  <c r="BZ885" i="1"/>
  <c r="CA885" i="1"/>
  <c r="CH885" i="1"/>
  <c r="CL885" i="1"/>
  <c r="CM885" i="1"/>
  <c r="CN885" i="1"/>
  <c r="CO885" i="1"/>
  <c r="CP885" i="1"/>
  <c r="CZ885" i="1"/>
  <c r="DB885" i="1"/>
  <c r="DF885" i="1"/>
  <c r="AC2261" i="1"/>
  <c r="AH2261" i="1"/>
  <c r="BS2261" i="1"/>
  <c r="BV2261" i="1"/>
  <c r="BX2261" i="1"/>
  <c r="BY2261" i="1"/>
  <c r="BZ2261" i="1"/>
  <c r="CH2261" i="1"/>
  <c r="CL2261" i="1"/>
  <c r="CM2261" i="1"/>
  <c r="CN2261" i="1"/>
  <c r="CO2261" i="1"/>
  <c r="CP2261" i="1"/>
  <c r="CZ2261" i="1"/>
  <c r="DB2261" i="1"/>
  <c r="DF2261" i="1"/>
  <c r="AC1329" i="1"/>
  <c r="AH1329" i="1"/>
  <c r="BS1329" i="1"/>
  <c r="BV1329" i="1"/>
  <c r="BX1329" i="1"/>
  <c r="BY1329" i="1"/>
  <c r="BZ1329" i="1"/>
  <c r="CH1329" i="1"/>
  <c r="CL1329" i="1"/>
  <c r="CM1329" i="1"/>
  <c r="CN1329" i="1"/>
  <c r="CO1329" i="1"/>
  <c r="CP1329" i="1"/>
  <c r="CZ1329" i="1"/>
  <c r="DB1329" i="1"/>
  <c r="DF1329" i="1"/>
  <c r="AC29" i="1"/>
  <c r="AH29" i="1"/>
  <c r="BS29" i="1"/>
  <c r="BV29" i="1"/>
  <c r="BX29" i="1"/>
  <c r="BY29" i="1"/>
  <c r="BZ29" i="1"/>
  <c r="CA29" i="1"/>
  <c r="CH29" i="1"/>
  <c r="CL29" i="1"/>
  <c r="CM29" i="1"/>
  <c r="CN29" i="1"/>
  <c r="CO29" i="1"/>
  <c r="CP29" i="1"/>
  <c r="CZ29" i="1"/>
  <c r="DB29" i="1"/>
  <c r="DF29" i="1"/>
  <c r="AC882" i="1"/>
  <c r="AH882" i="1"/>
  <c r="BS882" i="1"/>
  <c r="BV882" i="1"/>
  <c r="BX882" i="1"/>
  <c r="BY882" i="1"/>
  <c r="BZ882" i="1"/>
  <c r="CA882" i="1"/>
  <c r="CH882" i="1"/>
  <c r="CL882" i="1"/>
  <c r="CM882" i="1"/>
  <c r="CN882" i="1"/>
  <c r="CO882" i="1"/>
  <c r="CP882" i="1"/>
  <c r="CZ882" i="1"/>
  <c r="DB882" i="1"/>
  <c r="DF882" i="1"/>
  <c r="AC415" i="1"/>
  <c r="AH415" i="1"/>
  <c r="BS415" i="1"/>
  <c r="BV415" i="1"/>
  <c r="BX415" i="1"/>
  <c r="BY415" i="1"/>
  <c r="BZ415" i="1"/>
  <c r="CA415" i="1"/>
  <c r="CH415" i="1"/>
  <c r="CL415" i="1"/>
  <c r="CM415" i="1"/>
  <c r="CN415" i="1"/>
  <c r="CO415" i="1"/>
  <c r="CP415" i="1"/>
  <c r="CZ415" i="1"/>
  <c r="DB415" i="1"/>
  <c r="DF415" i="1"/>
  <c r="AC370" i="1"/>
  <c r="AH370" i="1"/>
  <c r="BS370" i="1"/>
  <c r="BV370" i="1"/>
  <c r="BX370" i="1"/>
  <c r="BY370" i="1"/>
  <c r="BZ370" i="1"/>
  <c r="CH370" i="1"/>
  <c r="CL370" i="1"/>
  <c r="CM370" i="1"/>
  <c r="CN370" i="1"/>
  <c r="CO370" i="1"/>
  <c r="CP370" i="1"/>
  <c r="CZ370" i="1"/>
  <c r="DB370" i="1"/>
  <c r="DF370" i="1"/>
  <c r="AC1933" i="1"/>
  <c r="AH1933" i="1"/>
  <c r="BS1933" i="1"/>
  <c r="BV1933" i="1"/>
  <c r="BX1933" i="1"/>
  <c r="BY1933" i="1"/>
  <c r="BZ1933" i="1"/>
  <c r="CH1933" i="1"/>
  <c r="CL1933" i="1"/>
  <c r="CM1933" i="1"/>
  <c r="CN1933" i="1"/>
  <c r="CO1933" i="1"/>
  <c r="CP1933" i="1"/>
  <c r="CZ1933" i="1"/>
  <c r="DB1933" i="1"/>
  <c r="DF1933" i="1"/>
  <c r="AC1077" i="1"/>
  <c r="AH1077" i="1"/>
  <c r="BS1077" i="1"/>
  <c r="BV1077" i="1"/>
  <c r="BX1077" i="1"/>
  <c r="BY1077" i="1"/>
  <c r="BZ1077" i="1"/>
  <c r="CH1077" i="1"/>
  <c r="CL1077" i="1"/>
  <c r="CM1077" i="1"/>
  <c r="CN1077" i="1"/>
  <c r="CO1077" i="1"/>
  <c r="CP1077" i="1"/>
  <c r="CZ1077" i="1"/>
  <c r="DB1077" i="1"/>
  <c r="DF1077" i="1"/>
  <c r="AC536" i="1"/>
  <c r="AH536" i="1"/>
  <c r="BS536" i="1"/>
  <c r="BV536" i="1"/>
  <c r="BX536" i="1"/>
  <c r="BY536" i="1"/>
  <c r="BZ536" i="1"/>
  <c r="CA536" i="1"/>
  <c r="CH536" i="1"/>
  <c r="CL536" i="1"/>
  <c r="CM536" i="1"/>
  <c r="CN536" i="1"/>
  <c r="CO536" i="1"/>
  <c r="CP536" i="1"/>
  <c r="CZ536" i="1"/>
  <c r="DB536" i="1"/>
  <c r="DF536" i="1"/>
  <c r="AC573" i="1"/>
  <c r="AH573" i="1"/>
  <c r="BS573" i="1"/>
  <c r="BV573" i="1"/>
  <c r="BX573" i="1"/>
  <c r="BY573" i="1"/>
  <c r="BZ573" i="1"/>
  <c r="CA573" i="1"/>
  <c r="CH573" i="1"/>
  <c r="CL573" i="1"/>
  <c r="CM573" i="1"/>
  <c r="CN573" i="1"/>
  <c r="CO573" i="1"/>
  <c r="CP573" i="1"/>
  <c r="CZ573" i="1"/>
  <c r="DB573" i="1"/>
  <c r="DF573" i="1"/>
  <c r="AC1720" i="1"/>
  <c r="AH1720" i="1"/>
  <c r="BS1720" i="1"/>
  <c r="BV1720" i="1"/>
  <c r="BX1720" i="1"/>
  <c r="BY1720" i="1"/>
  <c r="BZ1720" i="1"/>
  <c r="CH1720" i="1"/>
  <c r="CL1720" i="1"/>
  <c r="CM1720" i="1"/>
  <c r="CN1720" i="1"/>
  <c r="CO1720" i="1"/>
  <c r="CP1720" i="1"/>
  <c r="CZ1720" i="1"/>
  <c r="DB1720" i="1"/>
  <c r="DF1720" i="1"/>
  <c r="AC2086" i="1"/>
  <c r="AH2086" i="1"/>
  <c r="BS2086" i="1"/>
  <c r="BV2086" i="1"/>
  <c r="BX2086" i="1"/>
  <c r="BY2086" i="1"/>
  <c r="BZ2086" i="1"/>
  <c r="CA2086" i="1"/>
  <c r="CH2086" i="1"/>
  <c r="CL2086" i="1"/>
  <c r="CM2086" i="1"/>
  <c r="CN2086" i="1"/>
  <c r="CO2086" i="1"/>
  <c r="CP2086" i="1"/>
  <c r="CZ2086" i="1"/>
  <c r="DB2086" i="1"/>
  <c r="DF2086" i="1"/>
  <c r="AC288" i="1"/>
  <c r="AH288" i="1"/>
  <c r="BS288" i="1"/>
  <c r="BV288" i="1"/>
  <c r="BX288" i="1"/>
  <c r="BY288" i="1"/>
  <c r="BZ288" i="1"/>
  <c r="CA288" i="1"/>
  <c r="CH288" i="1"/>
  <c r="CL288" i="1"/>
  <c r="CM288" i="1"/>
  <c r="CN288" i="1"/>
  <c r="CO288" i="1"/>
  <c r="CP288" i="1"/>
  <c r="CZ288" i="1"/>
  <c r="DB288" i="1"/>
  <c r="DF288" i="1"/>
  <c r="AC613" i="1"/>
  <c r="AH613" i="1"/>
  <c r="BS613" i="1"/>
  <c r="BV613" i="1"/>
  <c r="BX613" i="1"/>
  <c r="BY613" i="1"/>
  <c r="BZ613" i="1"/>
  <c r="CA613" i="1"/>
  <c r="CH613" i="1"/>
  <c r="CL613" i="1"/>
  <c r="CM613" i="1"/>
  <c r="CN613" i="1"/>
  <c r="CO613" i="1"/>
  <c r="CP613" i="1"/>
  <c r="CZ613" i="1"/>
  <c r="DB613" i="1"/>
  <c r="DF613" i="1"/>
  <c r="AC2301" i="1"/>
  <c r="AH2301" i="1"/>
  <c r="BS2301" i="1"/>
  <c r="BV2301" i="1"/>
  <c r="BX2301" i="1"/>
  <c r="BY2301" i="1"/>
  <c r="BZ2301" i="1"/>
  <c r="CA2301" i="1"/>
  <c r="CH2301" i="1"/>
  <c r="CL2301" i="1"/>
  <c r="CM2301" i="1"/>
  <c r="CN2301" i="1"/>
  <c r="CO2301" i="1"/>
  <c r="CP2301" i="1"/>
  <c r="CZ2301" i="1"/>
  <c r="DB2301" i="1"/>
  <c r="DF2301" i="1"/>
  <c r="AC1098" i="1"/>
  <c r="AH1098" i="1"/>
  <c r="BS1098" i="1"/>
  <c r="BV1098" i="1"/>
  <c r="BX1098" i="1"/>
  <c r="BY1098" i="1"/>
  <c r="BZ1098" i="1"/>
  <c r="CA1098" i="1"/>
  <c r="CH1098" i="1"/>
  <c r="CL1098" i="1"/>
  <c r="CM1098" i="1"/>
  <c r="CN1098" i="1"/>
  <c r="CO1098" i="1"/>
  <c r="CP1098" i="1"/>
  <c r="CZ1098" i="1"/>
  <c r="DB1098" i="1"/>
  <c r="DF1098" i="1"/>
  <c r="AC2216" i="1"/>
  <c r="AH2216" i="1"/>
  <c r="BS2216" i="1"/>
  <c r="BV2216" i="1"/>
  <c r="BX2216" i="1"/>
  <c r="BY2216" i="1"/>
  <c r="BZ2216" i="1"/>
  <c r="CH2216" i="1"/>
  <c r="CL2216" i="1"/>
  <c r="CM2216" i="1"/>
  <c r="CN2216" i="1"/>
  <c r="CO2216" i="1"/>
  <c r="CP2216" i="1"/>
  <c r="CZ2216" i="1"/>
  <c r="DB2216" i="1"/>
  <c r="DF2216" i="1"/>
  <c r="AC1762" i="1"/>
  <c r="AH1762" i="1"/>
  <c r="BS1762" i="1"/>
  <c r="BV1762" i="1"/>
  <c r="BX1762" i="1"/>
  <c r="BY1762" i="1"/>
  <c r="BZ1762" i="1"/>
  <c r="CH1762" i="1"/>
  <c r="CL1762" i="1"/>
  <c r="CM1762" i="1"/>
  <c r="CN1762" i="1"/>
  <c r="CO1762" i="1"/>
  <c r="CP1762" i="1"/>
  <c r="CZ1762" i="1"/>
  <c r="DB1762" i="1"/>
  <c r="DF1762" i="1"/>
  <c r="AC816" i="1"/>
  <c r="AH816" i="1"/>
  <c r="BS816" i="1"/>
  <c r="BV816" i="1"/>
  <c r="BX816" i="1"/>
  <c r="BY816" i="1"/>
  <c r="BZ816" i="1"/>
  <c r="CH816" i="1"/>
  <c r="CL816" i="1"/>
  <c r="CM816" i="1"/>
  <c r="CN816" i="1"/>
  <c r="CO816" i="1"/>
  <c r="CP816" i="1"/>
  <c r="CZ816" i="1"/>
  <c r="DB816" i="1"/>
  <c r="DF816" i="1"/>
  <c r="AC1019" i="1"/>
  <c r="AH1019" i="1"/>
  <c r="BS1019" i="1"/>
  <c r="BV1019" i="1"/>
  <c r="BX1019" i="1"/>
  <c r="BY1019" i="1"/>
  <c r="BZ1019" i="1"/>
  <c r="CA1019" i="1"/>
  <c r="CH1019" i="1"/>
  <c r="CL1019" i="1"/>
  <c r="CM1019" i="1"/>
  <c r="CN1019" i="1"/>
  <c r="CO1019" i="1"/>
  <c r="CP1019" i="1"/>
  <c r="CZ1019" i="1"/>
  <c r="DB1019" i="1"/>
  <c r="DF1019" i="1"/>
  <c r="AC1935" i="1"/>
  <c r="AH1935" i="1"/>
  <c r="BS1935" i="1"/>
  <c r="BV1935" i="1"/>
  <c r="BX1935" i="1"/>
  <c r="BY1935" i="1"/>
  <c r="BZ1935" i="1"/>
  <c r="CA1935" i="1"/>
  <c r="CH1935" i="1"/>
  <c r="CL1935" i="1"/>
  <c r="CM1935" i="1"/>
  <c r="CN1935" i="1"/>
  <c r="CO1935" i="1"/>
  <c r="CP1935" i="1"/>
  <c r="CZ1935" i="1"/>
  <c r="DB1935" i="1"/>
  <c r="DF1935" i="1"/>
  <c r="AC911" i="1"/>
  <c r="AH911" i="1"/>
  <c r="BS911" i="1"/>
  <c r="BV911" i="1"/>
  <c r="BX911" i="1"/>
  <c r="BY911" i="1"/>
  <c r="BZ911" i="1"/>
  <c r="CA911" i="1"/>
  <c r="CH911" i="1"/>
  <c r="CL911" i="1"/>
  <c r="CM911" i="1"/>
  <c r="CN911" i="1"/>
  <c r="CO911" i="1"/>
  <c r="CP911" i="1"/>
  <c r="CZ911" i="1"/>
  <c r="DB911" i="1"/>
  <c r="DF911" i="1"/>
  <c r="AC65" i="1"/>
  <c r="AH65" i="1"/>
  <c r="BS65" i="1"/>
  <c r="BV65" i="1"/>
  <c r="BX65" i="1"/>
  <c r="BY65" i="1"/>
  <c r="BZ65" i="1"/>
  <c r="CA65" i="1"/>
  <c r="CH65" i="1"/>
  <c r="CL65" i="1"/>
  <c r="CM65" i="1"/>
  <c r="CN65" i="1"/>
  <c r="CO65" i="1"/>
  <c r="CP65" i="1"/>
  <c r="CZ65" i="1"/>
  <c r="DB65" i="1"/>
  <c r="DF65" i="1"/>
  <c r="AC865" i="1"/>
  <c r="AH865" i="1"/>
  <c r="BS865" i="1"/>
  <c r="BV865" i="1"/>
  <c r="BX865" i="1"/>
  <c r="BY865" i="1"/>
  <c r="BZ865" i="1"/>
  <c r="CA865" i="1"/>
  <c r="CH865" i="1"/>
  <c r="CL865" i="1"/>
  <c r="CM865" i="1"/>
  <c r="CN865" i="1"/>
  <c r="CO865" i="1"/>
  <c r="CP865" i="1"/>
  <c r="CZ865" i="1"/>
  <c r="DB865" i="1"/>
  <c r="DF865" i="1"/>
  <c r="AC79" i="1"/>
  <c r="AH79" i="1"/>
  <c r="BS79" i="1"/>
  <c r="BV79" i="1"/>
  <c r="BX79" i="1"/>
  <c r="BY79" i="1"/>
  <c r="BZ79" i="1"/>
  <c r="CA79" i="1"/>
  <c r="CH79" i="1"/>
  <c r="CL79" i="1"/>
  <c r="CM79" i="1"/>
  <c r="CN79" i="1"/>
  <c r="CO79" i="1"/>
  <c r="CP79" i="1"/>
  <c r="CZ79" i="1"/>
  <c r="DB79" i="1"/>
  <c r="DF79" i="1"/>
  <c r="AC2184" i="1"/>
  <c r="AH2184" i="1"/>
  <c r="BS2184" i="1"/>
  <c r="BV2184" i="1"/>
  <c r="BX2184" i="1"/>
  <c r="BY2184" i="1"/>
  <c r="BZ2184" i="1"/>
  <c r="CH2184" i="1"/>
  <c r="CL2184" i="1"/>
  <c r="CM2184" i="1"/>
  <c r="CN2184" i="1"/>
  <c r="CO2184" i="1"/>
  <c r="CP2184" i="1"/>
  <c r="CZ2184" i="1"/>
  <c r="DB2184" i="1"/>
  <c r="DF2184" i="1"/>
  <c r="AC1192" i="1"/>
  <c r="AH1192" i="1"/>
  <c r="BS1192" i="1"/>
  <c r="BV1192" i="1"/>
  <c r="BX1192" i="1"/>
  <c r="BY1192" i="1"/>
  <c r="BZ1192" i="1"/>
  <c r="CH1192" i="1"/>
  <c r="CL1192" i="1"/>
  <c r="CM1192" i="1"/>
  <c r="CN1192" i="1"/>
  <c r="CO1192" i="1"/>
  <c r="CP1192" i="1"/>
  <c r="CZ1192" i="1"/>
  <c r="DB1192" i="1"/>
  <c r="DF1192" i="1"/>
  <c r="AC168" i="1"/>
  <c r="AH168" i="1"/>
  <c r="BS168" i="1"/>
  <c r="BV168" i="1"/>
  <c r="BX168" i="1"/>
  <c r="BY168" i="1"/>
  <c r="BZ168" i="1"/>
  <c r="CH168" i="1"/>
  <c r="CL168" i="1"/>
  <c r="CM168" i="1"/>
  <c r="CN168" i="1"/>
  <c r="CO168" i="1"/>
  <c r="CP168" i="1"/>
  <c r="CZ168" i="1"/>
  <c r="DB168" i="1"/>
  <c r="DF168" i="1"/>
  <c r="AC1171" i="1"/>
  <c r="AH1171" i="1"/>
  <c r="BS1171" i="1"/>
  <c r="BV1171" i="1"/>
  <c r="BX1171" i="1"/>
  <c r="BY1171" i="1"/>
  <c r="BZ1171" i="1"/>
  <c r="CH1171" i="1"/>
  <c r="CL1171" i="1"/>
  <c r="CM1171" i="1"/>
  <c r="CN1171" i="1"/>
  <c r="CO1171" i="1"/>
  <c r="CP1171" i="1"/>
  <c r="CZ1171" i="1"/>
  <c r="DB1171" i="1"/>
  <c r="DF1171" i="1"/>
  <c r="AC266" i="1"/>
  <c r="AH266" i="1"/>
  <c r="BS266" i="1"/>
  <c r="BV266" i="1"/>
  <c r="BX266" i="1"/>
  <c r="BY266" i="1"/>
  <c r="BZ266" i="1"/>
  <c r="CH266" i="1"/>
  <c r="CL266" i="1"/>
  <c r="CM266" i="1"/>
  <c r="CN266" i="1"/>
  <c r="CO266" i="1"/>
  <c r="CP266" i="1"/>
  <c r="CZ266" i="1"/>
  <c r="DB266" i="1"/>
  <c r="DF266" i="1"/>
  <c r="AC1378" i="1"/>
  <c r="AH1378" i="1"/>
  <c r="BS1378" i="1"/>
  <c r="BV1378" i="1"/>
  <c r="BX1378" i="1"/>
  <c r="BY1378" i="1"/>
  <c r="BZ1378" i="1"/>
  <c r="CA1378" i="1"/>
  <c r="CH1378" i="1"/>
  <c r="CL1378" i="1"/>
  <c r="CM1378" i="1"/>
  <c r="CN1378" i="1"/>
  <c r="CO1378" i="1"/>
  <c r="CP1378" i="1"/>
  <c r="CZ1378" i="1"/>
  <c r="DB1378" i="1"/>
  <c r="DF1378" i="1"/>
  <c r="AC1145" i="1"/>
  <c r="AH1145" i="1"/>
  <c r="BS1145" i="1"/>
  <c r="BV1145" i="1"/>
  <c r="BX1145" i="1"/>
  <c r="BY1145" i="1"/>
  <c r="BZ1145" i="1"/>
  <c r="CA1145" i="1"/>
  <c r="CH1145" i="1"/>
  <c r="CL1145" i="1"/>
  <c r="CM1145" i="1"/>
  <c r="CN1145" i="1"/>
  <c r="CO1145" i="1"/>
  <c r="CP1145" i="1"/>
  <c r="CZ1145" i="1"/>
  <c r="DB1145" i="1"/>
  <c r="DF1145" i="1"/>
  <c r="AC636" i="1"/>
  <c r="AH636" i="1"/>
  <c r="BS636" i="1"/>
  <c r="BV636" i="1"/>
  <c r="BX636" i="1"/>
  <c r="BY636" i="1"/>
  <c r="BZ636" i="1"/>
  <c r="CA636" i="1"/>
  <c r="CH636" i="1"/>
  <c r="CL636" i="1"/>
  <c r="CM636" i="1"/>
  <c r="CN636" i="1"/>
  <c r="CO636" i="1"/>
  <c r="CP636" i="1"/>
  <c r="CZ636" i="1"/>
  <c r="DB636" i="1"/>
  <c r="DF636" i="1"/>
  <c r="AC186" i="1"/>
  <c r="AH186" i="1"/>
  <c r="BS186" i="1"/>
  <c r="BV186" i="1"/>
  <c r="BX186" i="1"/>
  <c r="BY186" i="1"/>
  <c r="BZ186" i="1"/>
  <c r="CH186" i="1"/>
  <c r="CL186" i="1"/>
  <c r="CM186" i="1"/>
  <c r="CN186" i="1"/>
  <c r="CO186" i="1"/>
  <c r="CP186" i="1"/>
  <c r="CZ186" i="1"/>
  <c r="DB186" i="1"/>
  <c r="DF186" i="1"/>
  <c r="AC1284" i="1"/>
  <c r="AH1284" i="1"/>
  <c r="BS1284" i="1"/>
  <c r="BV1284" i="1"/>
  <c r="BX1284" i="1"/>
  <c r="BY1284" i="1"/>
  <c r="BZ1284" i="1"/>
  <c r="CH1284" i="1"/>
  <c r="CL1284" i="1"/>
  <c r="CM1284" i="1"/>
  <c r="CN1284" i="1"/>
  <c r="CO1284" i="1"/>
  <c r="CP1284" i="1"/>
  <c r="CZ1284" i="1"/>
  <c r="DB1284" i="1"/>
  <c r="DF1284" i="1"/>
  <c r="AC379" i="1"/>
  <c r="AH379" i="1"/>
  <c r="BS379" i="1"/>
  <c r="BV379" i="1"/>
  <c r="BX379" i="1"/>
  <c r="BY379" i="1"/>
  <c r="BZ379" i="1"/>
  <c r="CH379" i="1"/>
  <c r="CL379" i="1"/>
  <c r="CM379" i="1"/>
  <c r="CN379" i="1"/>
  <c r="CO379" i="1"/>
  <c r="CP379" i="1"/>
  <c r="CZ379" i="1"/>
  <c r="DB379" i="1"/>
  <c r="DF379" i="1"/>
  <c r="AC1821" i="1"/>
  <c r="AH1821" i="1"/>
  <c r="BS1821" i="1"/>
  <c r="BV1821" i="1"/>
  <c r="BX1821" i="1"/>
  <c r="BY1821" i="1"/>
  <c r="BZ1821" i="1"/>
  <c r="CA1821" i="1"/>
  <c r="CH1821" i="1"/>
  <c r="CL1821" i="1"/>
  <c r="CM1821" i="1"/>
  <c r="CN1821" i="1"/>
  <c r="CO1821" i="1"/>
  <c r="CP1821" i="1"/>
  <c r="CZ1821" i="1"/>
  <c r="DB1821" i="1"/>
  <c r="DF1821" i="1"/>
  <c r="AC297" i="1"/>
  <c r="AH297" i="1"/>
  <c r="BS297" i="1"/>
  <c r="BV297" i="1"/>
  <c r="BX297" i="1"/>
  <c r="BY297" i="1"/>
  <c r="BZ297" i="1"/>
  <c r="CH297" i="1"/>
  <c r="CL297" i="1"/>
  <c r="CM297" i="1"/>
  <c r="CN297" i="1"/>
  <c r="CO297" i="1"/>
  <c r="CP297" i="1"/>
  <c r="CZ297" i="1"/>
  <c r="DB297" i="1"/>
  <c r="DF297" i="1"/>
  <c r="AC1850" i="1"/>
  <c r="AH1850" i="1"/>
  <c r="BS1850" i="1"/>
  <c r="BV1850" i="1"/>
  <c r="BX1850" i="1"/>
  <c r="BY1850" i="1"/>
  <c r="BZ1850" i="1"/>
  <c r="CH1850" i="1"/>
  <c r="CL1850" i="1"/>
  <c r="CM1850" i="1"/>
  <c r="CN1850" i="1"/>
  <c r="CO1850" i="1"/>
  <c r="CP1850" i="1"/>
  <c r="CZ1850" i="1"/>
  <c r="DB1850" i="1"/>
  <c r="DF1850" i="1"/>
  <c r="AC534" i="1"/>
  <c r="AH534" i="1"/>
  <c r="BS534" i="1"/>
  <c r="BV534" i="1"/>
  <c r="BX534" i="1"/>
  <c r="BY534" i="1"/>
  <c r="BZ534" i="1"/>
  <c r="CA534" i="1"/>
  <c r="CH534" i="1"/>
  <c r="CL534" i="1"/>
  <c r="CM534" i="1"/>
  <c r="CN534" i="1"/>
  <c r="CO534" i="1"/>
  <c r="CP534" i="1"/>
  <c r="CZ534" i="1"/>
  <c r="DB534" i="1"/>
  <c r="DF534" i="1"/>
  <c r="AC356" i="1"/>
  <c r="AH356" i="1"/>
  <c r="BS356" i="1"/>
  <c r="BV356" i="1"/>
  <c r="BX356" i="1"/>
  <c r="BY356" i="1"/>
  <c r="BZ356" i="1"/>
  <c r="CH356" i="1"/>
  <c r="CL356" i="1"/>
  <c r="CM356" i="1"/>
  <c r="CN356" i="1"/>
  <c r="CO356" i="1"/>
  <c r="CP356" i="1"/>
  <c r="CZ356" i="1"/>
  <c r="DB356" i="1"/>
  <c r="DF356" i="1"/>
  <c r="AC144" i="1"/>
  <c r="AH144" i="1"/>
  <c r="BS144" i="1"/>
  <c r="BV144" i="1"/>
  <c r="BX144" i="1"/>
  <c r="BY144" i="1"/>
  <c r="BZ144" i="1"/>
  <c r="CH144" i="1"/>
  <c r="CL144" i="1"/>
  <c r="CM144" i="1"/>
  <c r="CN144" i="1"/>
  <c r="CO144" i="1"/>
  <c r="CP144" i="1"/>
  <c r="CZ144" i="1"/>
  <c r="DB144" i="1"/>
  <c r="DF144" i="1"/>
  <c r="AC1228" i="1"/>
  <c r="AH1228" i="1"/>
  <c r="BS1228" i="1"/>
  <c r="BV1228" i="1"/>
  <c r="BX1228" i="1"/>
  <c r="BY1228" i="1"/>
  <c r="BZ1228" i="1"/>
  <c r="CH1228" i="1"/>
  <c r="CL1228" i="1"/>
  <c r="CM1228" i="1"/>
  <c r="CN1228" i="1"/>
  <c r="CO1228" i="1"/>
  <c r="CP1228" i="1"/>
  <c r="CZ1228" i="1"/>
  <c r="DB1228" i="1"/>
  <c r="DF1228" i="1"/>
  <c r="AC2068" i="1"/>
  <c r="AH2068" i="1"/>
  <c r="BS2068" i="1"/>
  <c r="BV2068" i="1"/>
  <c r="BX2068" i="1"/>
  <c r="BY2068" i="1"/>
  <c r="BZ2068" i="1"/>
  <c r="CH2068" i="1"/>
  <c r="CL2068" i="1"/>
  <c r="CM2068" i="1"/>
  <c r="CN2068" i="1"/>
  <c r="CO2068" i="1"/>
  <c r="CP2068" i="1"/>
  <c r="CZ2068" i="1"/>
  <c r="DB2068" i="1"/>
  <c r="DF2068" i="1"/>
  <c r="AC764" i="1"/>
  <c r="AH764" i="1"/>
  <c r="BS764" i="1"/>
  <c r="BV764" i="1"/>
  <c r="BX764" i="1"/>
  <c r="BY764" i="1"/>
  <c r="BZ764" i="1"/>
  <c r="CA764" i="1"/>
  <c r="CH764" i="1"/>
  <c r="CL764" i="1"/>
  <c r="CM764" i="1"/>
  <c r="CN764" i="1"/>
  <c r="CO764" i="1"/>
  <c r="CP764" i="1"/>
  <c r="CZ764" i="1"/>
  <c r="DB764" i="1"/>
  <c r="DF764" i="1"/>
  <c r="AC1921" i="1"/>
  <c r="AH1921" i="1"/>
  <c r="BS1921" i="1"/>
  <c r="BV1921" i="1"/>
  <c r="BX1921" i="1"/>
  <c r="BY1921" i="1"/>
  <c r="BZ1921" i="1"/>
  <c r="CA1921" i="1"/>
  <c r="CH1921" i="1"/>
  <c r="CL1921" i="1"/>
  <c r="CM1921" i="1"/>
  <c r="CN1921" i="1"/>
  <c r="CO1921" i="1"/>
  <c r="CP1921" i="1"/>
  <c r="CZ1921" i="1"/>
  <c r="DB1921" i="1"/>
  <c r="DF1921" i="1"/>
  <c r="AC1486" i="1"/>
  <c r="AH1486" i="1"/>
  <c r="BS1486" i="1"/>
  <c r="BV1486" i="1"/>
  <c r="BX1486" i="1"/>
  <c r="BY1486" i="1"/>
  <c r="BZ1486" i="1"/>
  <c r="CA1486" i="1"/>
  <c r="CH1486" i="1"/>
  <c r="CL1486" i="1"/>
  <c r="CM1486" i="1"/>
  <c r="CN1486" i="1"/>
  <c r="CO1486" i="1"/>
  <c r="CP1486" i="1"/>
  <c r="CZ1486" i="1"/>
  <c r="DB1486" i="1"/>
  <c r="DF1486" i="1"/>
  <c r="AC1086" i="1"/>
  <c r="AH1086" i="1"/>
  <c r="BS1086" i="1"/>
  <c r="BV1086" i="1"/>
  <c r="BX1086" i="1"/>
  <c r="BY1086" i="1"/>
  <c r="BZ1086" i="1"/>
  <c r="CA1086" i="1"/>
  <c r="CH1086" i="1"/>
  <c r="CL1086" i="1"/>
  <c r="CM1086" i="1"/>
  <c r="CN1086" i="1"/>
  <c r="CO1086" i="1"/>
  <c r="CP1086" i="1"/>
  <c r="CZ1086" i="1"/>
  <c r="DB1086" i="1"/>
  <c r="DF1086" i="1"/>
  <c r="AC137" i="1"/>
  <c r="AH137" i="1"/>
  <c r="BS137" i="1"/>
  <c r="BV137" i="1"/>
  <c r="BX137" i="1"/>
  <c r="BY137" i="1"/>
  <c r="BZ137" i="1"/>
  <c r="CA137" i="1"/>
  <c r="CH137" i="1"/>
  <c r="CL137" i="1"/>
  <c r="CM137" i="1"/>
  <c r="CN137" i="1"/>
  <c r="CO137" i="1"/>
  <c r="CP137" i="1"/>
  <c r="CZ137" i="1"/>
  <c r="DB137" i="1"/>
  <c r="DF137" i="1"/>
  <c r="AC1903" i="1"/>
  <c r="AH1903" i="1"/>
  <c r="BS1903" i="1"/>
  <c r="BV1903" i="1"/>
  <c r="BX1903" i="1"/>
  <c r="BY1903" i="1"/>
  <c r="BZ1903" i="1"/>
  <c r="CA1903" i="1"/>
  <c r="CH1903" i="1"/>
  <c r="CL1903" i="1"/>
  <c r="CM1903" i="1"/>
  <c r="CN1903" i="1"/>
  <c r="CO1903" i="1"/>
  <c r="CP1903" i="1"/>
  <c r="CZ1903" i="1"/>
  <c r="DB1903" i="1"/>
  <c r="DF1903" i="1"/>
  <c r="AC2225" i="1"/>
  <c r="AH2225" i="1"/>
  <c r="BS2225" i="1"/>
  <c r="BV2225" i="1"/>
  <c r="BX2225" i="1"/>
  <c r="BY2225" i="1"/>
  <c r="BZ2225" i="1"/>
  <c r="CA2225" i="1"/>
  <c r="CH2225" i="1"/>
  <c r="CL2225" i="1"/>
  <c r="CM2225" i="1"/>
  <c r="CN2225" i="1"/>
  <c r="CO2225" i="1"/>
  <c r="CP2225" i="1"/>
  <c r="CZ2225" i="1"/>
  <c r="DB2225" i="1"/>
  <c r="DF2225" i="1"/>
  <c r="AC1189" i="1"/>
  <c r="AH1189" i="1"/>
  <c r="BS1189" i="1"/>
  <c r="BV1189" i="1"/>
  <c r="BX1189" i="1"/>
  <c r="BY1189" i="1"/>
  <c r="BZ1189" i="1"/>
  <c r="CA1189" i="1"/>
  <c r="CH1189" i="1"/>
  <c r="CL1189" i="1"/>
  <c r="CM1189" i="1"/>
  <c r="CN1189" i="1"/>
  <c r="CO1189" i="1"/>
  <c r="CP1189" i="1"/>
  <c r="CZ1189" i="1"/>
  <c r="DB1189" i="1"/>
  <c r="DF1189" i="1"/>
  <c r="AC586" i="1"/>
  <c r="AH586" i="1"/>
  <c r="BS586" i="1"/>
  <c r="BV586" i="1"/>
  <c r="BX586" i="1"/>
  <c r="BY586" i="1"/>
  <c r="BZ586" i="1"/>
  <c r="CH586" i="1"/>
  <c r="CL586" i="1"/>
  <c r="CM586" i="1"/>
  <c r="CN586" i="1"/>
  <c r="CO586" i="1"/>
  <c r="CP586" i="1"/>
  <c r="CZ586" i="1"/>
  <c r="DB586" i="1"/>
  <c r="DF586" i="1"/>
  <c r="AC9" i="1"/>
  <c r="AH9" i="1"/>
  <c r="BS9" i="1"/>
  <c r="BV9" i="1"/>
  <c r="BX9" i="1"/>
  <c r="BY9" i="1"/>
  <c r="BZ9" i="1"/>
  <c r="CA9" i="1"/>
  <c r="CH9" i="1"/>
  <c r="CL9" i="1"/>
  <c r="CM9" i="1"/>
  <c r="CN9" i="1"/>
  <c r="CO9" i="1"/>
  <c r="CP9" i="1"/>
  <c r="CZ9" i="1"/>
  <c r="DB9" i="1"/>
  <c r="DF9" i="1"/>
  <c r="AC463" i="1"/>
  <c r="AH463" i="1"/>
  <c r="BS463" i="1"/>
  <c r="BV463" i="1"/>
  <c r="BX463" i="1"/>
  <c r="BY463" i="1"/>
  <c r="BZ463" i="1"/>
  <c r="CH463" i="1"/>
  <c r="CL463" i="1"/>
  <c r="CM463" i="1"/>
  <c r="CN463" i="1"/>
  <c r="CO463" i="1"/>
  <c r="CP463" i="1"/>
  <c r="CZ463" i="1"/>
  <c r="DB463" i="1"/>
  <c r="DF463" i="1"/>
  <c r="AC1389" i="1"/>
  <c r="AH1389" i="1"/>
  <c r="BS1389" i="1"/>
  <c r="BV1389" i="1"/>
  <c r="BX1389" i="1"/>
  <c r="BY1389" i="1"/>
  <c r="BZ1389" i="1"/>
  <c r="CA1389" i="1"/>
  <c r="CH1389" i="1"/>
  <c r="CL1389" i="1"/>
  <c r="CM1389" i="1"/>
  <c r="CN1389" i="1"/>
  <c r="CO1389" i="1"/>
  <c r="CP1389" i="1"/>
  <c r="CZ1389" i="1"/>
  <c r="DB1389" i="1"/>
  <c r="DF1389" i="1"/>
  <c r="AC1774" i="1"/>
  <c r="AH1774" i="1"/>
  <c r="BS1774" i="1"/>
  <c r="BV1774" i="1"/>
  <c r="BX1774" i="1"/>
  <c r="BY1774" i="1"/>
  <c r="BZ1774" i="1"/>
  <c r="CH1774" i="1"/>
  <c r="CL1774" i="1"/>
  <c r="CM1774" i="1"/>
  <c r="CN1774" i="1"/>
  <c r="CO1774" i="1"/>
  <c r="CP1774" i="1"/>
  <c r="CZ1774" i="1"/>
  <c r="DB1774" i="1"/>
  <c r="DF1774" i="1"/>
  <c r="AC313" i="1"/>
  <c r="AH313" i="1"/>
  <c r="BS313" i="1"/>
  <c r="BV313" i="1"/>
  <c r="BX313" i="1"/>
  <c r="BY313" i="1"/>
  <c r="BZ313" i="1"/>
  <c r="CA313" i="1"/>
  <c r="CH313" i="1"/>
  <c r="CL313" i="1"/>
  <c r="CM313" i="1"/>
  <c r="CN313" i="1"/>
  <c r="CO313" i="1"/>
  <c r="CP313" i="1"/>
  <c r="CZ313" i="1"/>
  <c r="DB313" i="1"/>
  <c r="DF313" i="1"/>
  <c r="AC539" i="1"/>
  <c r="AH539" i="1"/>
  <c r="BS539" i="1"/>
  <c r="BV539" i="1"/>
  <c r="BX539" i="1"/>
  <c r="BY539" i="1"/>
  <c r="BZ539" i="1"/>
  <c r="CA539" i="1"/>
  <c r="CH539" i="1"/>
  <c r="CL539" i="1"/>
  <c r="CM539" i="1"/>
  <c r="CN539" i="1"/>
  <c r="CO539" i="1"/>
  <c r="CP539" i="1"/>
  <c r="CZ539" i="1"/>
  <c r="DB539" i="1"/>
  <c r="DF539" i="1"/>
  <c r="AC247" i="1"/>
  <c r="AH247" i="1"/>
  <c r="BS247" i="1"/>
  <c r="BV247" i="1"/>
  <c r="BX247" i="1"/>
  <c r="BY247" i="1"/>
  <c r="BZ247" i="1"/>
  <c r="CA247" i="1"/>
  <c r="CH247" i="1"/>
  <c r="CL247" i="1"/>
  <c r="CM247" i="1"/>
  <c r="CN247" i="1"/>
  <c r="CO247" i="1"/>
  <c r="CP247" i="1"/>
  <c r="CZ247" i="1"/>
  <c r="DB247" i="1"/>
  <c r="DF247" i="1"/>
  <c r="AC1133" i="1"/>
  <c r="AH1133" i="1"/>
  <c r="BS1133" i="1"/>
  <c r="BV1133" i="1"/>
  <c r="BX1133" i="1"/>
  <c r="BY1133" i="1"/>
  <c r="BZ1133" i="1"/>
  <c r="CA1133" i="1"/>
  <c r="CH1133" i="1"/>
  <c r="CL1133" i="1"/>
  <c r="CM1133" i="1"/>
  <c r="CN1133" i="1"/>
  <c r="CO1133" i="1"/>
  <c r="CP1133" i="1"/>
  <c r="CZ1133" i="1"/>
  <c r="DB1133" i="1"/>
  <c r="DF1133" i="1"/>
  <c r="AC1740" i="1"/>
  <c r="AH1740" i="1"/>
  <c r="BS1740" i="1"/>
  <c r="BV1740" i="1"/>
  <c r="BX1740" i="1"/>
  <c r="BY1740" i="1"/>
  <c r="BZ1740" i="1"/>
  <c r="CA1740" i="1"/>
  <c r="CH1740" i="1"/>
  <c r="CL1740" i="1"/>
  <c r="CM1740" i="1"/>
  <c r="CN1740" i="1"/>
  <c r="CO1740" i="1"/>
  <c r="CP1740" i="1"/>
  <c r="CZ1740" i="1"/>
  <c r="DB1740" i="1"/>
  <c r="DF1740" i="1"/>
  <c r="AC1614" i="1"/>
  <c r="AH1614" i="1"/>
  <c r="BS1614" i="1"/>
  <c r="BV1614" i="1"/>
  <c r="BX1614" i="1"/>
  <c r="BY1614" i="1"/>
  <c r="BZ1614" i="1"/>
  <c r="CA1614" i="1"/>
  <c r="CH1614" i="1"/>
  <c r="CL1614" i="1"/>
  <c r="CM1614" i="1"/>
  <c r="CN1614" i="1"/>
  <c r="CO1614" i="1"/>
  <c r="CP1614" i="1"/>
  <c r="CZ1614" i="1"/>
  <c r="DB1614" i="1"/>
  <c r="DF1614" i="1"/>
  <c r="AC2044" i="1"/>
  <c r="AH2044" i="1"/>
  <c r="BS2044" i="1"/>
  <c r="BV2044" i="1"/>
  <c r="BX2044" i="1"/>
  <c r="BY2044" i="1"/>
  <c r="BZ2044" i="1"/>
  <c r="CA2044" i="1"/>
  <c r="CH2044" i="1"/>
  <c r="CL2044" i="1"/>
  <c r="CM2044" i="1"/>
  <c r="CN2044" i="1"/>
  <c r="CO2044" i="1"/>
  <c r="CP2044" i="1"/>
  <c r="CZ2044" i="1"/>
  <c r="DB2044" i="1"/>
  <c r="DF2044" i="1"/>
  <c r="AC156" i="1"/>
  <c r="AH156" i="1"/>
  <c r="BS156" i="1"/>
  <c r="BV156" i="1"/>
  <c r="BX156" i="1"/>
  <c r="BY156" i="1"/>
  <c r="BZ156" i="1"/>
  <c r="CH156" i="1"/>
  <c r="CL156" i="1"/>
  <c r="CM156" i="1"/>
  <c r="CN156" i="1"/>
  <c r="CO156" i="1"/>
  <c r="CP156" i="1"/>
  <c r="CZ156" i="1"/>
  <c r="DB156" i="1"/>
  <c r="DF156" i="1"/>
  <c r="AC1922" i="1"/>
  <c r="AH1922" i="1"/>
  <c r="BS1922" i="1"/>
  <c r="BV1922" i="1"/>
  <c r="BX1922" i="1"/>
  <c r="BY1922" i="1"/>
  <c r="BZ1922" i="1"/>
  <c r="CH1922" i="1"/>
  <c r="CL1922" i="1"/>
  <c r="CM1922" i="1"/>
  <c r="CN1922" i="1"/>
  <c r="CO1922" i="1"/>
  <c r="CP1922" i="1"/>
  <c r="CZ1922" i="1"/>
  <c r="DB1922" i="1"/>
  <c r="DF1922" i="1"/>
  <c r="AC744" i="1"/>
  <c r="AH744" i="1"/>
  <c r="BS744" i="1"/>
  <c r="BV744" i="1"/>
  <c r="BX744" i="1"/>
  <c r="BY744" i="1"/>
  <c r="BZ744" i="1"/>
  <c r="CA744" i="1"/>
  <c r="CH744" i="1"/>
  <c r="CL744" i="1"/>
  <c r="CM744" i="1"/>
  <c r="CN744" i="1"/>
  <c r="CO744" i="1"/>
  <c r="CP744" i="1"/>
  <c r="CZ744" i="1"/>
  <c r="DB744" i="1"/>
  <c r="DF744" i="1"/>
  <c r="AC1975" i="1"/>
  <c r="AH1975" i="1"/>
  <c r="BS1975" i="1"/>
  <c r="BV1975" i="1"/>
  <c r="BX1975" i="1"/>
  <c r="BY1975" i="1"/>
  <c r="BZ1975" i="1"/>
  <c r="CH1975" i="1"/>
  <c r="CL1975" i="1"/>
  <c r="CM1975" i="1"/>
  <c r="CN1975" i="1"/>
  <c r="CO1975" i="1"/>
  <c r="CP1975" i="1"/>
  <c r="CZ1975" i="1"/>
  <c r="DB1975" i="1"/>
  <c r="DF1975" i="1"/>
  <c r="AC1211" i="1"/>
  <c r="AH1211" i="1"/>
  <c r="BS1211" i="1"/>
  <c r="BV1211" i="1"/>
  <c r="BX1211" i="1"/>
  <c r="BY1211" i="1"/>
  <c r="BZ1211" i="1"/>
  <c r="CA1211" i="1"/>
  <c r="CH1211" i="1"/>
  <c r="CL1211" i="1"/>
  <c r="CM1211" i="1"/>
  <c r="CN1211" i="1"/>
  <c r="CO1211" i="1"/>
  <c r="CP1211" i="1"/>
  <c r="CZ1211" i="1"/>
  <c r="DB1211" i="1"/>
  <c r="DF1211" i="1"/>
  <c r="AC1412" i="1"/>
  <c r="AH1412" i="1"/>
  <c r="BS1412" i="1"/>
  <c r="BV1412" i="1"/>
  <c r="BX1412" i="1"/>
  <c r="BY1412" i="1"/>
  <c r="BZ1412" i="1"/>
  <c r="CH1412" i="1"/>
  <c r="CL1412" i="1"/>
  <c r="CM1412" i="1"/>
  <c r="CN1412" i="1"/>
  <c r="CO1412" i="1"/>
  <c r="CP1412" i="1"/>
  <c r="CZ1412" i="1"/>
  <c r="DB1412" i="1"/>
  <c r="DF1412" i="1"/>
  <c r="AC946" i="1"/>
  <c r="AH946" i="1"/>
  <c r="BS946" i="1"/>
  <c r="BV946" i="1"/>
  <c r="BX946" i="1"/>
  <c r="BY946" i="1"/>
  <c r="BZ946" i="1"/>
  <c r="CA946" i="1"/>
  <c r="CH946" i="1"/>
  <c r="CL946" i="1"/>
  <c r="CM946" i="1"/>
  <c r="CN946" i="1"/>
  <c r="CO946" i="1"/>
  <c r="CP946" i="1"/>
  <c r="CZ946" i="1"/>
  <c r="DB946" i="1"/>
  <c r="DF946" i="1"/>
  <c r="AC1217" i="1"/>
  <c r="AH1217" i="1"/>
  <c r="BS1217" i="1"/>
  <c r="BV1217" i="1"/>
  <c r="BX1217" i="1"/>
  <c r="BY1217" i="1"/>
  <c r="BZ1217" i="1"/>
  <c r="CH1217" i="1"/>
  <c r="CL1217" i="1"/>
  <c r="CM1217" i="1"/>
  <c r="CN1217" i="1"/>
  <c r="CO1217" i="1"/>
  <c r="CP1217" i="1"/>
  <c r="CZ1217" i="1"/>
  <c r="DB1217" i="1"/>
  <c r="DF1217" i="1"/>
  <c r="AC667" i="1"/>
  <c r="AH667" i="1"/>
  <c r="BS667" i="1"/>
  <c r="BV667" i="1"/>
  <c r="BX667" i="1"/>
  <c r="BY667" i="1"/>
  <c r="BZ667" i="1"/>
  <c r="CA667" i="1"/>
  <c r="CH667" i="1"/>
  <c r="CL667" i="1"/>
  <c r="CM667" i="1"/>
  <c r="CN667" i="1"/>
  <c r="CO667" i="1"/>
  <c r="CP667" i="1"/>
  <c r="CZ667" i="1"/>
  <c r="DB667" i="1"/>
  <c r="DF667" i="1"/>
  <c r="AC2196" i="1"/>
  <c r="AH2196" i="1"/>
  <c r="BS2196" i="1"/>
  <c r="BV2196" i="1"/>
  <c r="BX2196" i="1"/>
  <c r="BY2196" i="1"/>
  <c r="BZ2196" i="1"/>
  <c r="CA2196" i="1"/>
  <c r="CH2196" i="1"/>
  <c r="CL2196" i="1"/>
  <c r="CM2196" i="1"/>
  <c r="CN2196" i="1"/>
  <c r="CO2196" i="1"/>
  <c r="CP2196" i="1"/>
  <c r="CZ2196" i="1"/>
  <c r="DB2196" i="1"/>
  <c r="DF2196" i="1"/>
  <c r="AC87" i="1"/>
  <c r="AH87" i="1"/>
  <c r="BS87" i="1"/>
  <c r="BV87" i="1"/>
  <c r="BX87" i="1"/>
  <c r="BY87" i="1"/>
  <c r="BZ87" i="1"/>
  <c r="CA87" i="1"/>
  <c r="CH87" i="1"/>
  <c r="CL87" i="1"/>
  <c r="CM87" i="1"/>
  <c r="CN87" i="1"/>
  <c r="CO87" i="1"/>
  <c r="CP87" i="1"/>
  <c r="CZ87" i="1"/>
  <c r="DB87" i="1"/>
  <c r="DF87" i="1"/>
  <c r="AC1093" i="1"/>
  <c r="AH1093" i="1"/>
  <c r="BS1093" i="1"/>
  <c r="BV1093" i="1"/>
  <c r="BX1093" i="1"/>
  <c r="BY1093" i="1"/>
  <c r="BZ1093" i="1"/>
  <c r="CH1093" i="1"/>
  <c r="CL1093" i="1"/>
  <c r="CM1093" i="1"/>
  <c r="CN1093" i="1"/>
  <c r="CO1093" i="1"/>
  <c r="CP1093" i="1"/>
  <c r="CZ1093" i="1"/>
  <c r="DB1093" i="1"/>
  <c r="DF1093" i="1"/>
  <c r="AC1198" i="1"/>
  <c r="AH1198" i="1"/>
  <c r="BS1198" i="1"/>
  <c r="BV1198" i="1"/>
  <c r="BX1198" i="1"/>
  <c r="BY1198" i="1"/>
  <c r="BZ1198" i="1"/>
  <c r="CA1198" i="1"/>
  <c r="CH1198" i="1"/>
  <c r="CL1198" i="1"/>
  <c r="CM1198" i="1"/>
  <c r="CN1198" i="1"/>
  <c r="CO1198" i="1"/>
  <c r="CP1198" i="1"/>
  <c r="CZ1198" i="1"/>
  <c r="DB1198" i="1"/>
  <c r="DF1198" i="1"/>
  <c r="AC2115" i="1"/>
  <c r="AH2115" i="1"/>
  <c r="BS2115" i="1"/>
  <c r="BV2115" i="1"/>
  <c r="BX2115" i="1"/>
  <c r="BY2115" i="1"/>
  <c r="BZ2115" i="1"/>
  <c r="CH2115" i="1"/>
  <c r="CL2115" i="1"/>
  <c r="CM2115" i="1"/>
  <c r="CN2115" i="1"/>
  <c r="CO2115" i="1"/>
  <c r="CP2115" i="1"/>
  <c r="CZ2115" i="1"/>
  <c r="DB2115" i="1"/>
  <c r="DF2115" i="1"/>
  <c r="AC2187" i="1"/>
  <c r="AH2187" i="1"/>
  <c r="BS2187" i="1"/>
  <c r="BV2187" i="1"/>
  <c r="BX2187" i="1"/>
  <c r="BY2187" i="1"/>
  <c r="BZ2187" i="1"/>
  <c r="CH2187" i="1"/>
  <c r="CL2187" i="1"/>
  <c r="CM2187" i="1"/>
  <c r="CN2187" i="1"/>
  <c r="CO2187" i="1"/>
  <c r="CP2187" i="1"/>
  <c r="CZ2187" i="1"/>
  <c r="DB2187" i="1"/>
  <c r="DF2187" i="1"/>
  <c r="AC2287" i="1"/>
  <c r="AH2287" i="1"/>
  <c r="BS2287" i="1"/>
  <c r="BV2287" i="1"/>
  <c r="BX2287" i="1"/>
  <c r="BY2287" i="1"/>
  <c r="BZ2287" i="1"/>
  <c r="CA2287" i="1"/>
  <c r="CH2287" i="1"/>
  <c r="CL2287" i="1"/>
  <c r="CM2287" i="1"/>
  <c r="CN2287" i="1"/>
  <c r="CO2287" i="1"/>
  <c r="CP2287" i="1"/>
  <c r="CZ2287" i="1"/>
  <c r="DB2287" i="1"/>
  <c r="DF2287" i="1"/>
  <c r="AC464" i="1"/>
  <c r="AH464" i="1"/>
  <c r="BS464" i="1"/>
  <c r="BV464" i="1"/>
  <c r="BX464" i="1"/>
  <c r="BY464" i="1"/>
  <c r="BZ464" i="1"/>
  <c r="CA464" i="1"/>
  <c r="CH464" i="1"/>
  <c r="CL464" i="1"/>
  <c r="CM464" i="1"/>
  <c r="CN464" i="1"/>
  <c r="CO464" i="1"/>
  <c r="CP464" i="1"/>
  <c r="CZ464" i="1"/>
  <c r="DB464" i="1"/>
  <c r="DF464" i="1"/>
  <c r="AC1134" i="1"/>
  <c r="AH1134" i="1"/>
  <c r="BS1134" i="1"/>
  <c r="BV1134" i="1"/>
  <c r="BX1134" i="1"/>
  <c r="BY1134" i="1"/>
  <c r="BZ1134" i="1"/>
  <c r="CA1134" i="1"/>
  <c r="CH1134" i="1"/>
  <c r="CL1134" i="1"/>
  <c r="CM1134" i="1"/>
  <c r="CN1134" i="1"/>
  <c r="CO1134" i="1"/>
  <c r="CP1134" i="1"/>
  <c r="CZ1134" i="1"/>
  <c r="DB1134" i="1"/>
  <c r="DF1134" i="1"/>
  <c r="AC374" i="1"/>
  <c r="AH374" i="1"/>
  <c r="BS374" i="1"/>
  <c r="BV374" i="1"/>
  <c r="BX374" i="1"/>
  <c r="BY374" i="1"/>
  <c r="BZ374" i="1"/>
  <c r="CH374" i="1"/>
  <c r="CL374" i="1"/>
  <c r="CM374" i="1"/>
  <c r="CN374" i="1"/>
  <c r="CO374" i="1"/>
  <c r="CP374" i="1"/>
  <c r="CZ374" i="1"/>
  <c r="DB374" i="1"/>
  <c r="DF374" i="1"/>
  <c r="AC2294" i="1"/>
  <c r="AH2294" i="1"/>
  <c r="BS2294" i="1"/>
  <c r="BV2294" i="1"/>
  <c r="BX2294" i="1"/>
  <c r="BY2294" i="1"/>
  <c r="BZ2294" i="1"/>
  <c r="CA2294" i="1"/>
  <c r="CH2294" i="1"/>
  <c r="CL2294" i="1"/>
  <c r="CM2294" i="1"/>
  <c r="CN2294" i="1"/>
  <c r="CO2294" i="1"/>
  <c r="CP2294" i="1"/>
  <c r="CZ2294" i="1"/>
  <c r="DB2294" i="1"/>
  <c r="DF2294" i="1"/>
  <c r="AC817" i="1"/>
  <c r="AH817" i="1"/>
  <c r="BS817" i="1"/>
  <c r="BV817" i="1"/>
  <c r="BX817" i="1"/>
  <c r="BY817" i="1"/>
  <c r="BZ817" i="1"/>
  <c r="CH817" i="1"/>
  <c r="CL817" i="1"/>
  <c r="CM817" i="1"/>
  <c r="CN817" i="1"/>
  <c r="CO817" i="1"/>
  <c r="CP817" i="1"/>
  <c r="CZ817" i="1"/>
  <c r="DB817" i="1"/>
  <c r="DF817" i="1"/>
  <c r="AC2152" i="1"/>
  <c r="AH2152" i="1"/>
  <c r="BS2152" i="1"/>
  <c r="BV2152" i="1"/>
  <c r="BX2152" i="1"/>
  <c r="BY2152" i="1"/>
  <c r="BZ2152" i="1"/>
  <c r="CH2152" i="1"/>
  <c r="CL2152" i="1"/>
  <c r="CM2152" i="1"/>
  <c r="CN2152" i="1"/>
  <c r="CO2152" i="1"/>
  <c r="CP2152" i="1"/>
  <c r="CZ2152" i="1"/>
  <c r="DB2152" i="1"/>
  <c r="DF2152" i="1"/>
  <c r="AC1859" i="1"/>
  <c r="AH1859" i="1"/>
  <c r="BS1859" i="1"/>
  <c r="BV1859" i="1"/>
  <c r="BX1859" i="1"/>
  <c r="BY1859" i="1"/>
  <c r="BZ1859" i="1"/>
  <c r="CH1859" i="1"/>
  <c r="CL1859" i="1"/>
  <c r="CM1859" i="1"/>
  <c r="CN1859" i="1"/>
  <c r="CO1859" i="1"/>
  <c r="CP1859" i="1"/>
  <c r="CZ1859" i="1"/>
  <c r="DB1859" i="1"/>
  <c r="DF1859" i="1"/>
  <c r="AC1475" i="1"/>
  <c r="AH1475" i="1"/>
  <c r="BS1475" i="1"/>
  <c r="BV1475" i="1"/>
  <c r="BX1475" i="1"/>
  <c r="BY1475" i="1"/>
  <c r="BZ1475" i="1"/>
  <c r="CA1475" i="1"/>
  <c r="CH1475" i="1"/>
  <c r="CL1475" i="1"/>
  <c r="CM1475" i="1"/>
  <c r="CN1475" i="1"/>
  <c r="CO1475" i="1"/>
  <c r="CP1475" i="1"/>
  <c r="CZ1475" i="1"/>
  <c r="DB1475" i="1"/>
  <c r="DF1475" i="1"/>
  <c r="AC375" i="1"/>
  <c r="AH375" i="1"/>
  <c r="BS375" i="1"/>
  <c r="BV375" i="1"/>
  <c r="BX375" i="1"/>
  <c r="BY375" i="1"/>
  <c r="BZ375" i="1"/>
  <c r="CH375" i="1"/>
  <c r="CL375" i="1"/>
  <c r="CM375" i="1"/>
  <c r="CN375" i="1"/>
  <c r="CO375" i="1"/>
  <c r="CP375" i="1"/>
  <c r="CZ375" i="1"/>
  <c r="DB375" i="1"/>
  <c r="DF375" i="1"/>
  <c r="AC1910" i="1"/>
  <c r="AH1910" i="1"/>
  <c r="BS1910" i="1"/>
  <c r="BV1910" i="1"/>
  <c r="BX1910" i="1"/>
  <c r="BY1910" i="1"/>
  <c r="BZ1910" i="1"/>
  <c r="CA1910" i="1"/>
  <c r="CH1910" i="1"/>
  <c r="CL1910" i="1"/>
  <c r="CM1910" i="1"/>
  <c r="CN1910" i="1"/>
  <c r="CO1910" i="1"/>
  <c r="CP1910" i="1"/>
  <c r="CZ1910" i="1"/>
  <c r="DB1910" i="1"/>
  <c r="DF1910" i="1"/>
  <c r="AC1080" i="1"/>
  <c r="AH1080" i="1"/>
  <c r="BS1080" i="1"/>
  <c r="BV1080" i="1"/>
  <c r="BX1080" i="1"/>
  <c r="BY1080" i="1"/>
  <c r="BZ1080" i="1"/>
  <c r="CH1080" i="1"/>
  <c r="CL1080" i="1"/>
  <c r="CM1080" i="1"/>
  <c r="CN1080" i="1"/>
  <c r="CO1080" i="1"/>
  <c r="CP1080" i="1"/>
  <c r="CZ1080" i="1"/>
  <c r="DB1080" i="1"/>
  <c r="DF1080" i="1"/>
  <c r="AC1662" i="1"/>
  <c r="AH1662" i="1"/>
  <c r="BS1662" i="1"/>
  <c r="BV1662" i="1"/>
  <c r="BX1662" i="1"/>
  <c r="BY1662" i="1"/>
  <c r="BZ1662" i="1"/>
  <c r="CA1662" i="1"/>
  <c r="CH1662" i="1"/>
  <c r="CL1662" i="1"/>
  <c r="CM1662" i="1"/>
  <c r="CN1662" i="1"/>
  <c r="CP1662" i="1"/>
  <c r="CZ1662" i="1"/>
  <c r="DB1662" i="1"/>
  <c r="DF1662" i="1"/>
  <c r="AC869" i="1"/>
  <c r="AH869" i="1"/>
  <c r="BS869" i="1"/>
  <c r="BV869" i="1"/>
  <c r="BX869" i="1"/>
  <c r="BY869" i="1"/>
  <c r="BZ869" i="1"/>
  <c r="CA869" i="1"/>
  <c r="CH869" i="1"/>
  <c r="CL869" i="1"/>
  <c r="CM869" i="1"/>
  <c r="CN869" i="1"/>
  <c r="CO869" i="1"/>
  <c r="CP869" i="1"/>
  <c r="CZ869" i="1"/>
  <c r="DB869" i="1"/>
  <c r="DF869" i="1"/>
  <c r="AC1603" i="1"/>
  <c r="AH1603" i="1"/>
  <c r="BS1603" i="1"/>
  <c r="BV1603" i="1"/>
  <c r="BX1603" i="1"/>
  <c r="BY1603" i="1"/>
  <c r="BZ1603" i="1"/>
  <c r="CA1603" i="1"/>
  <c r="CH1603" i="1"/>
  <c r="CL1603" i="1"/>
  <c r="CM1603" i="1"/>
  <c r="CN1603" i="1"/>
  <c r="CO1603" i="1"/>
  <c r="CP1603" i="1"/>
  <c r="CZ1603" i="1"/>
  <c r="DB1603" i="1"/>
  <c r="DF1603" i="1"/>
  <c r="AC354" i="1"/>
  <c r="AH354" i="1"/>
  <c r="BS354" i="1"/>
  <c r="BV354" i="1"/>
  <c r="BX354" i="1"/>
  <c r="BY354" i="1"/>
  <c r="BZ354" i="1"/>
  <c r="CH354" i="1"/>
  <c r="CL354" i="1"/>
  <c r="CM354" i="1"/>
  <c r="CN354" i="1"/>
  <c r="CO354" i="1"/>
  <c r="CP354" i="1"/>
  <c r="CZ354" i="1"/>
  <c r="DB354" i="1"/>
  <c r="DF354" i="1"/>
  <c r="AC2270" i="1"/>
  <c r="AH2270" i="1"/>
  <c r="BS2270" i="1"/>
  <c r="BV2270" i="1"/>
  <c r="BX2270" i="1"/>
  <c r="BY2270" i="1"/>
  <c r="BZ2270" i="1"/>
  <c r="CA2270" i="1"/>
  <c r="CH2270" i="1"/>
  <c r="CL2270" i="1"/>
  <c r="CM2270" i="1"/>
  <c r="CN2270" i="1"/>
  <c r="CO2270" i="1"/>
  <c r="CP2270" i="1"/>
  <c r="CZ2270" i="1"/>
  <c r="DB2270" i="1"/>
  <c r="DF2270" i="1"/>
  <c r="AC1911" i="1"/>
  <c r="AH1911" i="1"/>
  <c r="BS1911" i="1"/>
  <c r="BV1911" i="1"/>
  <c r="BX1911" i="1"/>
  <c r="BY1911" i="1"/>
  <c r="BZ1911" i="1"/>
  <c r="CA1911" i="1"/>
  <c r="CH1911" i="1"/>
  <c r="CL1911" i="1"/>
  <c r="CM1911" i="1"/>
  <c r="CN1911" i="1"/>
  <c r="CO1911" i="1"/>
  <c r="CP1911" i="1"/>
  <c r="CZ1911" i="1"/>
  <c r="DB1911" i="1"/>
  <c r="DF1911" i="1"/>
  <c r="AC366" i="1"/>
  <c r="AH366" i="1"/>
  <c r="BS366" i="1"/>
  <c r="BV366" i="1"/>
  <c r="BX366" i="1"/>
  <c r="BY366" i="1"/>
  <c r="BZ366" i="1"/>
  <c r="CH366" i="1"/>
  <c r="CL366" i="1"/>
  <c r="CM366" i="1"/>
  <c r="CN366" i="1"/>
  <c r="CO366" i="1"/>
  <c r="CP366" i="1"/>
  <c r="CZ366" i="1"/>
  <c r="DB366" i="1"/>
  <c r="DF366" i="1"/>
  <c r="AC456" i="1"/>
  <c r="AH456" i="1"/>
  <c r="BS456" i="1"/>
  <c r="BV456" i="1"/>
  <c r="BX456" i="1"/>
  <c r="BY456" i="1"/>
  <c r="BZ456" i="1"/>
  <c r="CA456" i="1"/>
  <c r="CH456" i="1"/>
  <c r="CL456" i="1"/>
  <c r="CM456" i="1"/>
  <c r="CN456" i="1"/>
  <c r="CO456" i="1"/>
  <c r="CP456" i="1"/>
  <c r="CZ456" i="1"/>
  <c r="DB456" i="1"/>
  <c r="DF456" i="1"/>
  <c r="AC593" i="1"/>
  <c r="AH593" i="1"/>
  <c r="BS593" i="1"/>
  <c r="BV593" i="1"/>
  <c r="BX593" i="1"/>
  <c r="BY593" i="1"/>
  <c r="BZ593" i="1"/>
  <c r="CA593" i="1"/>
  <c r="CH593" i="1"/>
  <c r="CL593" i="1"/>
  <c r="CM593" i="1"/>
  <c r="CN593" i="1"/>
  <c r="CO593" i="1"/>
  <c r="CP593" i="1"/>
  <c r="CZ593" i="1"/>
  <c r="DB593" i="1"/>
  <c r="DF593" i="1"/>
  <c r="AC887" i="1"/>
  <c r="AH887" i="1"/>
  <c r="BS887" i="1"/>
  <c r="BV887" i="1"/>
  <c r="BX887" i="1"/>
  <c r="BY887" i="1"/>
  <c r="BZ887" i="1"/>
  <c r="CH887" i="1"/>
  <c r="CL887" i="1"/>
  <c r="CM887" i="1"/>
  <c r="CN887" i="1"/>
  <c r="CO887" i="1"/>
  <c r="CP887" i="1"/>
  <c r="CZ887" i="1"/>
  <c r="DB887" i="1"/>
  <c r="DF887" i="1"/>
  <c r="AC642" i="1"/>
  <c r="AH642" i="1"/>
  <c r="BS642" i="1"/>
  <c r="BV642" i="1"/>
  <c r="BX642" i="1"/>
  <c r="BY642" i="1"/>
  <c r="BZ642" i="1"/>
  <c r="CA642" i="1"/>
  <c r="CH642" i="1"/>
  <c r="CL642" i="1"/>
  <c r="CM642" i="1"/>
  <c r="CN642" i="1"/>
  <c r="CO642" i="1"/>
  <c r="CP642" i="1"/>
  <c r="CZ642" i="1"/>
  <c r="DB642" i="1"/>
  <c r="DF642" i="1"/>
  <c r="AC666" i="1"/>
  <c r="AH666" i="1"/>
  <c r="BS666" i="1"/>
  <c r="BV666" i="1"/>
  <c r="BX666" i="1"/>
  <c r="BY666" i="1"/>
  <c r="BZ666" i="1"/>
  <c r="CA666" i="1"/>
  <c r="CH666" i="1"/>
  <c r="CL666" i="1"/>
  <c r="CM666" i="1"/>
  <c r="CN666" i="1"/>
  <c r="CO666" i="1"/>
  <c r="CP666" i="1"/>
  <c r="CZ666" i="1"/>
  <c r="DB666" i="1"/>
  <c r="DF666" i="1"/>
  <c r="AC1169" i="1"/>
  <c r="AH1169" i="1"/>
  <c r="BS1169" i="1"/>
  <c r="BV1169" i="1"/>
  <c r="BX1169" i="1"/>
  <c r="BY1169" i="1"/>
  <c r="BZ1169" i="1"/>
  <c r="CH1169" i="1"/>
  <c r="CL1169" i="1"/>
  <c r="CM1169" i="1"/>
  <c r="CN1169" i="1"/>
  <c r="CO1169" i="1"/>
  <c r="CP1169" i="1"/>
  <c r="CZ1169" i="1"/>
  <c r="DB1169" i="1"/>
  <c r="DF1169" i="1"/>
  <c r="AC187" i="1"/>
  <c r="AH187" i="1"/>
  <c r="BS187" i="1"/>
  <c r="BV187" i="1"/>
  <c r="BX187" i="1"/>
  <c r="BY187" i="1"/>
  <c r="BZ187" i="1"/>
  <c r="CA187" i="1"/>
  <c r="CH187" i="1"/>
  <c r="CL187" i="1"/>
  <c r="CM187" i="1"/>
  <c r="CN187" i="1"/>
  <c r="CO187" i="1"/>
  <c r="CP187" i="1"/>
  <c r="CZ187" i="1"/>
  <c r="DB187" i="1"/>
  <c r="DF187" i="1"/>
  <c r="AC999" i="1"/>
  <c r="AH999" i="1"/>
  <c r="BS999" i="1"/>
  <c r="BV999" i="1"/>
  <c r="BX999" i="1"/>
  <c r="BY999" i="1"/>
  <c r="BZ999" i="1"/>
  <c r="CH999" i="1"/>
  <c r="CL999" i="1"/>
  <c r="CM999" i="1"/>
  <c r="CN999" i="1"/>
  <c r="CO999" i="1"/>
  <c r="CP999" i="1"/>
  <c r="CZ999" i="1"/>
  <c r="DB999" i="1"/>
  <c r="DF999" i="1"/>
  <c r="AC1373" i="1"/>
  <c r="AH1373" i="1"/>
  <c r="BS1373" i="1"/>
  <c r="BV1373" i="1"/>
  <c r="BX1373" i="1"/>
  <c r="BY1373" i="1"/>
  <c r="BZ1373" i="1"/>
  <c r="CH1373" i="1"/>
  <c r="CL1373" i="1"/>
  <c r="CM1373" i="1"/>
  <c r="CN1373" i="1"/>
  <c r="CO1373" i="1"/>
  <c r="CP1373" i="1"/>
  <c r="CZ1373" i="1"/>
  <c r="DB1373" i="1"/>
  <c r="DF1373" i="1"/>
  <c r="AC1715" i="1"/>
  <c r="AH1715" i="1"/>
  <c r="BS1715" i="1"/>
  <c r="BV1715" i="1"/>
  <c r="BX1715" i="1"/>
  <c r="BY1715" i="1"/>
  <c r="BZ1715" i="1"/>
  <c r="CA1715" i="1"/>
  <c r="CH1715" i="1"/>
  <c r="CL1715" i="1"/>
  <c r="CM1715" i="1"/>
  <c r="CN1715" i="1"/>
  <c r="CO1715" i="1"/>
  <c r="CP1715" i="1"/>
  <c r="CZ1715" i="1"/>
  <c r="DB1715" i="1"/>
  <c r="DF1715" i="1"/>
  <c r="AC1637" i="1"/>
  <c r="AH1637" i="1"/>
  <c r="BS1637" i="1"/>
  <c r="BV1637" i="1"/>
  <c r="BX1637" i="1"/>
  <c r="BY1637" i="1"/>
  <c r="BZ1637" i="1"/>
  <c r="CH1637" i="1"/>
  <c r="CL1637" i="1"/>
  <c r="CM1637" i="1"/>
  <c r="CN1637" i="1"/>
  <c r="CO1637" i="1"/>
  <c r="CP1637" i="1"/>
  <c r="CZ1637" i="1"/>
  <c r="DB1637" i="1"/>
  <c r="DF1637" i="1"/>
  <c r="AC294" i="1"/>
  <c r="AH294" i="1"/>
  <c r="BS294" i="1"/>
  <c r="BV294" i="1"/>
  <c r="BX294" i="1"/>
  <c r="BY294" i="1"/>
  <c r="BZ294" i="1"/>
  <c r="CA294" i="1"/>
  <c r="CH294" i="1"/>
  <c r="CL294" i="1"/>
  <c r="CM294" i="1"/>
  <c r="CN294" i="1"/>
  <c r="CO294" i="1"/>
  <c r="CP294" i="1"/>
  <c r="CZ294" i="1"/>
  <c r="DB294" i="1"/>
  <c r="DF294" i="1"/>
  <c r="AC2232" i="1"/>
  <c r="AH2232" i="1"/>
  <c r="BS2232" i="1"/>
  <c r="BV2232" i="1"/>
  <c r="BX2232" i="1"/>
  <c r="BY2232" i="1"/>
  <c r="BZ2232" i="1"/>
  <c r="CA2232" i="1"/>
  <c r="CH2232" i="1"/>
  <c r="CL2232" i="1"/>
  <c r="CM2232" i="1"/>
  <c r="CN2232" i="1"/>
  <c r="CO2232" i="1"/>
  <c r="CP2232" i="1"/>
  <c r="CZ2232" i="1"/>
  <c r="DB2232" i="1"/>
  <c r="DF2232" i="1"/>
  <c r="AC686" i="1"/>
  <c r="AH686" i="1"/>
  <c r="BS686" i="1"/>
  <c r="BV686" i="1"/>
  <c r="BX686" i="1"/>
  <c r="BY686" i="1"/>
  <c r="BZ686" i="1"/>
  <c r="CA686" i="1"/>
  <c r="CH686" i="1"/>
  <c r="CL686" i="1"/>
  <c r="CM686" i="1"/>
  <c r="CN686" i="1"/>
  <c r="CO686" i="1"/>
  <c r="CP686" i="1"/>
  <c r="CZ686" i="1"/>
  <c r="DB686" i="1"/>
  <c r="DF686" i="1"/>
  <c r="AC1908" i="1"/>
  <c r="AH1908" i="1"/>
  <c r="BS1908" i="1"/>
  <c r="BV1908" i="1"/>
  <c r="BX1908" i="1"/>
  <c r="BY1908" i="1"/>
  <c r="BZ1908" i="1"/>
  <c r="CH1908" i="1"/>
  <c r="CL1908" i="1"/>
  <c r="CM1908" i="1"/>
  <c r="CN1908" i="1"/>
  <c r="CO1908" i="1"/>
  <c r="CP1908" i="1"/>
  <c r="CZ1908" i="1"/>
  <c r="DB1908" i="1"/>
  <c r="DF1908" i="1"/>
  <c r="AC669" i="1"/>
  <c r="AH669" i="1"/>
  <c r="BS669" i="1"/>
  <c r="BV669" i="1"/>
  <c r="BX669" i="1"/>
  <c r="BY669" i="1"/>
  <c r="BZ669" i="1"/>
  <c r="CA669" i="1"/>
  <c r="CH669" i="1"/>
  <c r="CL669" i="1"/>
  <c r="CM669" i="1"/>
  <c r="CN669" i="1"/>
  <c r="CO669" i="1"/>
  <c r="CP669" i="1"/>
  <c r="CZ669" i="1"/>
  <c r="DB669" i="1"/>
  <c r="DF669" i="1"/>
  <c r="AC158" i="1"/>
  <c r="AH158" i="1"/>
  <c r="BS158" i="1"/>
  <c r="BV158" i="1"/>
  <c r="BX158" i="1"/>
  <c r="BY158" i="1"/>
  <c r="BZ158" i="1"/>
  <c r="CA158" i="1"/>
  <c r="CH158" i="1"/>
  <c r="CL158" i="1"/>
  <c r="CM158" i="1"/>
  <c r="CN158" i="1"/>
  <c r="CO158" i="1"/>
  <c r="CP158" i="1"/>
  <c r="CZ158" i="1"/>
  <c r="DB158" i="1"/>
  <c r="DF158" i="1"/>
  <c r="AC2033" i="1"/>
  <c r="AH2033" i="1"/>
  <c r="BS2033" i="1"/>
  <c r="BV2033" i="1"/>
  <c r="BX2033" i="1"/>
  <c r="BY2033" i="1"/>
  <c r="BZ2033" i="1"/>
  <c r="CA2033" i="1"/>
  <c r="CH2033" i="1"/>
  <c r="CL2033" i="1"/>
  <c r="CM2033" i="1"/>
  <c r="CN2033" i="1"/>
  <c r="CO2033" i="1"/>
  <c r="CP2033" i="1"/>
  <c r="CZ2033" i="1"/>
  <c r="DB2033" i="1"/>
  <c r="DF2033" i="1"/>
  <c r="AC2140" i="1"/>
  <c r="AH2140" i="1"/>
  <c r="BS2140" i="1"/>
  <c r="BV2140" i="1"/>
  <c r="BX2140" i="1"/>
  <c r="BY2140" i="1"/>
  <c r="BZ2140" i="1"/>
  <c r="CH2140" i="1"/>
  <c r="CL2140" i="1"/>
  <c r="CM2140" i="1"/>
  <c r="CN2140" i="1"/>
  <c r="CO2140" i="1"/>
  <c r="CP2140" i="1"/>
  <c r="CZ2140" i="1"/>
  <c r="DB2140" i="1"/>
  <c r="DF2140" i="1"/>
  <c r="AC1248" i="1"/>
  <c r="AH1248" i="1"/>
  <c r="BS1248" i="1"/>
  <c r="BV1248" i="1"/>
  <c r="BX1248" i="1"/>
  <c r="BY1248" i="1"/>
  <c r="BZ1248" i="1"/>
  <c r="CH1248" i="1"/>
  <c r="CL1248" i="1"/>
  <c r="CM1248" i="1"/>
  <c r="CN1248" i="1"/>
  <c r="CO1248" i="1"/>
  <c r="CP1248" i="1"/>
  <c r="CZ1248" i="1"/>
  <c r="DB1248" i="1"/>
  <c r="DF1248" i="1"/>
  <c r="AC674" i="1"/>
  <c r="AH674" i="1"/>
  <c r="BS674" i="1"/>
  <c r="BV674" i="1"/>
  <c r="BX674" i="1"/>
  <c r="BY674" i="1"/>
  <c r="BZ674" i="1"/>
  <c r="CA674" i="1"/>
  <c r="CH674" i="1"/>
  <c r="CL674" i="1"/>
  <c r="CM674" i="1"/>
  <c r="CN674" i="1"/>
  <c r="CO674" i="1"/>
  <c r="CP674" i="1"/>
  <c r="CZ674" i="1"/>
  <c r="DB674" i="1"/>
  <c r="DF674" i="1"/>
  <c r="AC1925" i="1"/>
  <c r="AH1925" i="1"/>
  <c r="BS1925" i="1"/>
  <c r="BV1925" i="1"/>
  <c r="BX1925" i="1"/>
  <c r="BY1925" i="1"/>
  <c r="BZ1925" i="1"/>
  <c r="CH1925" i="1"/>
  <c r="CL1925" i="1"/>
  <c r="CM1925" i="1"/>
  <c r="CN1925" i="1"/>
  <c r="CO1925" i="1"/>
  <c r="CP1925" i="1"/>
  <c r="CZ1925" i="1"/>
  <c r="DB1925" i="1"/>
  <c r="DF1925" i="1"/>
  <c r="AC1014" i="1"/>
  <c r="AH1014" i="1"/>
  <c r="BS1014" i="1"/>
  <c r="BV1014" i="1"/>
  <c r="BX1014" i="1"/>
  <c r="BY1014" i="1"/>
  <c r="BZ1014" i="1"/>
  <c r="CH1014" i="1"/>
  <c r="CL1014" i="1"/>
  <c r="CM1014" i="1"/>
  <c r="CN1014" i="1"/>
  <c r="CO1014" i="1"/>
  <c r="CP1014" i="1"/>
  <c r="CZ1014" i="1"/>
  <c r="DB1014" i="1"/>
  <c r="DF1014" i="1"/>
  <c r="AC1838" i="1"/>
  <c r="AH1838" i="1"/>
  <c r="BS1838" i="1"/>
  <c r="BV1838" i="1"/>
  <c r="BX1838" i="1"/>
  <c r="BY1838" i="1"/>
  <c r="BZ1838" i="1"/>
  <c r="CH1838" i="1"/>
  <c r="CL1838" i="1"/>
  <c r="CM1838" i="1"/>
  <c r="CN1838" i="1"/>
  <c r="CO1838" i="1"/>
  <c r="CP1838" i="1"/>
  <c r="CZ1838" i="1"/>
  <c r="DB1838" i="1"/>
  <c r="DF1838" i="1"/>
  <c r="AC1491" i="1"/>
  <c r="AH1491" i="1"/>
  <c r="BS1491" i="1"/>
  <c r="BV1491" i="1"/>
  <c r="BX1491" i="1"/>
  <c r="BY1491" i="1"/>
  <c r="BZ1491" i="1"/>
  <c r="CA1491" i="1"/>
  <c r="CH1491" i="1"/>
  <c r="CL1491" i="1"/>
  <c r="CM1491" i="1"/>
  <c r="CN1491" i="1"/>
  <c r="CO1491" i="1"/>
  <c r="CP1491" i="1"/>
  <c r="CZ1491" i="1"/>
  <c r="DB1491" i="1"/>
  <c r="DF1491" i="1"/>
  <c r="AC1054" i="1"/>
  <c r="AH1054" i="1"/>
  <c r="BS1054" i="1"/>
  <c r="BV1054" i="1"/>
  <c r="BX1054" i="1"/>
  <c r="BY1054" i="1"/>
  <c r="BZ1054" i="1"/>
  <c r="CA1054" i="1"/>
  <c r="CH1054" i="1"/>
  <c r="CL1054" i="1"/>
  <c r="CM1054" i="1"/>
  <c r="CN1054" i="1"/>
  <c r="CO1054" i="1"/>
  <c r="CP1054" i="1"/>
  <c r="CZ1054" i="1"/>
  <c r="DB1054" i="1"/>
  <c r="DF1054" i="1"/>
  <c r="AC1539" i="1"/>
  <c r="AH1539" i="1"/>
  <c r="BS1539" i="1"/>
  <c r="BV1539" i="1"/>
  <c r="BX1539" i="1"/>
  <c r="BY1539" i="1"/>
  <c r="BZ1539" i="1"/>
  <c r="CA1539" i="1"/>
  <c r="CH1539" i="1"/>
  <c r="CL1539" i="1"/>
  <c r="CM1539" i="1"/>
  <c r="CN1539" i="1"/>
  <c r="CO1539" i="1"/>
  <c r="CP1539" i="1"/>
  <c r="CZ1539" i="1"/>
  <c r="DB1539" i="1"/>
  <c r="DF1539" i="1"/>
  <c r="AC371" i="1"/>
  <c r="AH371" i="1"/>
  <c r="BS371" i="1"/>
  <c r="BV371" i="1"/>
  <c r="BX371" i="1"/>
  <c r="BY371" i="1"/>
  <c r="BZ371" i="1"/>
  <c r="CH371" i="1"/>
  <c r="CL371" i="1"/>
  <c r="CM371" i="1"/>
  <c r="CN371" i="1"/>
  <c r="CO371" i="1"/>
  <c r="CP371" i="1"/>
  <c r="CZ371" i="1"/>
  <c r="DB371" i="1"/>
  <c r="DF371" i="1"/>
  <c r="AC2282" i="1"/>
  <c r="AH2282" i="1"/>
  <c r="BS2282" i="1"/>
  <c r="BV2282" i="1"/>
  <c r="BX2282" i="1"/>
  <c r="BY2282" i="1"/>
  <c r="BZ2282" i="1"/>
  <c r="CA2282" i="1"/>
  <c r="CH2282" i="1"/>
  <c r="CL2282" i="1"/>
  <c r="CM2282" i="1"/>
  <c r="CN2282" i="1"/>
  <c r="CO2282" i="1"/>
  <c r="CP2282" i="1"/>
  <c r="CZ2282" i="1"/>
  <c r="DB2282" i="1"/>
  <c r="DF2282" i="1"/>
  <c r="AC824" i="1"/>
  <c r="AH824" i="1"/>
  <c r="BS824" i="1"/>
  <c r="BV824" i="1"/>
  <c r="BX824" i="1"/>
  <c r="BY824" i="1"/>
  <c r="BZ824" i="1"/>
  <c r="CA824" i="1"/>
  <c r="CH824" i="1"/>
  <c r="CL824" i="1"/>
  <c r="CM824" i="1"/>
  <c r="CN824" i="1"/>
  <c r="CO824" i="1"/>
  <c r="CP824" i="1"/>
  <c r="CZ824" i="1"/>
  <c r="DB824" i="1"/>
  <c r="DF824" i="1"/>
  <c r="AC1254" i="1"/>
  <c r="AH1254" i="1"/>
  <c r="BS1254" i="1"/>
  <c r="BV1254" i="1"/>
  <c r="BX1254" i="1"/>
  <c r="BY1254" i="1"/>
  <c r="BZ1254" i="1"/>
  <c r="CH1254" i="1"/>
  <c r="CL1254" i="1"/>
  <c r="CM1254" i="1"/>
  <c r="CN1254" i="1"/>
  <c r="CP1254" i="1"/>
  <c r="CZ1254" i="1"/>
  <c r="DB1254" i="1"/>
  <c r="DF1254" i="1"/>
  <c r="AC1143" i="1"/>
  <c r="AH1143" i="1"/>
  <c r="BS1143" i="1"/>
  <c r="BV1143" i="1"/>
  <c r="BX1143" i="1"/>
  <c r="BY1143" i="1"/>
  <c r="BZ1143" i="1"/>
  <c r="CH1143" i="1"/>
  <c r="CL1143" i="1"/>
  <c r="CM1143" i="1"/>
  <c r="CN1143" i="1"/>
  <c r="CO1143" i="1"/>
  <c r="CP1143" i="1"/>
  <c r="CZ1143" i="1"/>
  <c r="DB1143" i="1"/>
  <c r="DF1143" i="1"/>
  <c r="AC2183" i="1"/>
  <c r="AH2183" i="1"/>
  <c r="BS2183" i="1"/>
  <c r="BV2183" i="1"/>
  <c r="BX2183" i="1"/>
  <c r="BY2183" i="1"/>
  <c r="BZ2183" i="1"/>
  <c r="CH2183" i="1"/>
  <c r="CL2183" i="1"/>
  <c r="CM2183" i="1"/>
  <c r="CN2183" i="1"/>
  <c r="CO2183" i="1"/>
  <c r="CP2183" i="1"/>
  <c r="CZ2183" i="1"/>
  <c r="DB2183" i="1"/>
  <c r="DF2183" i="1"/>
  <c r="AC1362" i="1"/>
  <c r="AH1362" i="1"/>
  <c r="BS1362" i="1"/>
  <c r="BV1362" i="1"/>
  <c r="BX1362" i="1"/>
  <c r="BY1362" i="1"/>
  <c r="BZ1362" i="1"/>
  <c r="CH1362" i="1"/>
  <c r="CL1362" i="1"/>
  <c r="CM1362" i="1"/>
  <c r="CN1362" i="1"/>
  <c r="CO1362" i="1"/>
  <c r="CP1362" i="1"/>
  <c r="CZ1362" i="1"/>
  <c r="DB1362" i="1"/>
  <c r="DF1362" i="1"/>
  <c r="AC1147" i="1"/>
  <c r="AH1147" i="1"/>
  <c r="BS1147" i="1"/>
  <c r="BV1147" i="1"/>
  <c r="BX1147" i="1"/>
  <c r="BY1147" i="1"/>
  <c r="BZ1147" i="1"/>
  <c r="CA1147" i="1"/>
  <c r="CH1147" i="1"/>
  <c r="CL1147" i="1"/>
  <c r="CM1147" i="1"/>
  <c r="CN1147" i="1"/>
  <c r="CO1147" i="1"/>
  <c r="CP1147" i="1"/>
  <c r="CZ1147" i="1"/>
  <c r="DB1147" i="1"/>
  <c r="DF1147" i="1"/>
  <c r="AC1488" i="1"/>
  <c r="AH1488" i="1"/>
  <c r="BS1488" i="1"/>
  <c r="BV1488" i="1"/>
  <c r="BX1488" i="1"/>
  <c r="BY1488" i="1"/>
  <c r="BZ1488" i="1"/>
  <c r="CH1488" i="1"/>
  <c r="CL1488" i="1"/>
  <c r="CM1488" i="1"/>
  <c r="CN1488" i="1"/>
  <c r="CO1488" i="1"/>
  <c r="CP1488" i="1"/>
  <c r="CZ1488" i="1"/>
  <c r="DB1488" i="1"/>
  <c r="DF1488" i="1"/>
  <c r="AC413" i="1"/>
  <c r="AH413" i="1"/>
  <c r="BS413" i="1"/>
  <c r="BV413" i="1"/>
  <c r="BX413" i="1"/>
  <c r="BY413" i="1"/>
  <c r="BZ413" i="1"/>
  <c r="CH413" i="1"/>
  <c r="CL413" i="1"/>
  <c r="CM413" i="1"/>
  <c r="CN413" i="1"/>
  <c r="CO413" i="1"/>
  <c r="CP413" i="1"/>
  <c r="CZ413" i="1"/>
  <c r="DB413" i="1"/>
  <c r="DF413" i="1"/>
  <c r="AC1599" i="1"/>
  <c r="AH1599" i="1"/>
  <c r="BS1599" i="1"/>
  <c r="BV1599" i="1"/>
  <c r="BX1599" i="1"/>
  <c r="BY1599" i="1"/>
  <c r="BZ1599" i="1"/>
  <c r="CA1599" i="1"/>
  <c r="CH1599" i="1"/>
  <c r="CL1599" i="1"/>
  <c r="CM1599" i="1"/>
  <c r="CN1599" i="1"/>
  <c r="CO1599" i="1"/>
  <c r="CP1599" i="1"/>
  <c r="CZ1599" i="1"/>
  <c r="DB1599" i="1"/>
  <c r="DF1599" i="1"/>
  <c r="AC870" i="1"/>
  <c r="AH870" i="1"/>
  <c r="BS870" i="1"/>
  <c r="BV870" i="1"/>
  <c r="BX870" i="1"/>
  <c r="BY870" i="1"/>
  <c r="BZ870" i="1"/>
  <c r="CA870" i="1"/>
  <c r="CH870" i="1"/>
  <c r="CL870" i="1"/>
  <c r="CM870" i="1"/>
  <c r="CN870" i="1"/>
  <c r="CO870" i="1"/>
  <c r="CP870" i="1"/>
  <c r="CZ870" i="1"/>
  <c r="DB870" i="1"/>
  <c r="DF870" i="1"/>
  <c r="AC41" i="1"/>
  <c r="AH41" i="1"/>
  <c r="BS41" i="1"/>
  <c r="BV41" i="1"/>
  <c r="BX41" i="1"/>
  <c r="BY41" i="1"/>
  <c r="BZ41" i="1"/>
  <c r="CH41" i="1"/>
  <c r="CL41" i="1"/>
  <c r="CM41" i="1"/>
  <c r="CN41" i="1"/>
  <c r="CO41" i="1"/>
  <c r="CP41" i="1"/>
  <c r="CZ41" i="1"/>
  <c r="DB41" i="1"/>
  <c r="DF41" i="1"/>
  <c r="AC166" i="1"/>
  <c r="AH166" i="1"/>
  <c r="BS166" i="1"/>
  <c r="BV166" i="1"/>
  <c r="BX166" i="1"/>
  <c r="BY166" i="1"/>
  <c r="BZ166" i="1"/>
  <c r="CA166" i="1"/>
  <c r="CH166" i="1"/>
  <c r="CL166" i="1"/>
  <c r="CM166" i="1"/>
  <c r="CN166" i="1"/>
  <c r="CO166" i="1"/>
  <c r="CP166" i="1"/>
  <c r="CZ166" i="1"/>
  <c r="DB166" i="1"/>
  <c r="DF166" i="1"/>
  <c r="AC66" i="1"/>
  <c r="AH66" i="1"/>
  <c r="BS66" i="1"/>
  <c r="BV66" i="1"/>
  <c r="BX66" i="1"/>
  <c r="BY66" i="1"/>
  <c r="BZ66" i="1"/>
  <c r="CA66" i="1"/>
  <c r="CH66" i="1"/>
  <c r="CL66" i="1"/>
  <c r="CM66" i="1"/>
  <c r="CN66" i="1"/>
  <c r="CO66" i="1"/>
  <c r="CP66" i="1"/>
  <c r="CZ66" i="1"/>
  <c r="DB66" i="1"/>
  <c r="DF66" i="1"/>
  <c r="AC1058" i="1"/>
  <c r="AH1058" i="1"/>
  <c r="BS1058" i="1"/>
  <c r="BV1058" i="1"/>
  <c r="BX1058" i="1"/>
  <c r="BY1058" i="1"/>
  <c r="BZ1058" i="1"/>
  <c r="CA1058" i="1"/>
  <c r="CH1058" i="1"/>
  <c r="CL1058" i="1"/>
  <c r="CM1058" i="1"/>
  <c r="CN1058" i="1"/>
  <c r="CO1058" i="1"/>
  <c r="CP1058" i="1"/>
  <c r="CZ1058" i="1"/>
  <c r="DB1058" i="1"/>
  <c r="DF1058" i="1"/>
  <c r="AC1630" i="1"/>
  <c r="AH1630" i="1"/>
  <c r="BS1630" i="1"/>
  <c r="BV1630" i="1"/>
  <c r="BX1630" i="1"/>
  <c r="BY1630" i="1"/>
  <c r="BZ1630" i="1"/>
  <c r="CA1630" i="1"/>
  <c r="CH1630" i="1"/>
  <c r="CL1630" i="1"/>
  <c r="CM1630" i="1"/>
  <c r="CN1630" i="1"/>
  <c r="CO1630" i="1"/>
  <c r="CP1630" i="1"/>
  <c r="CZ1630" i="1"/>
  <c r="DB1630" i="1"/>
  <c r="DF1630" i="1"/>
  <c r="AC1349" i="1"/>
  <c r="AH1349" i="1"/>
  <c r="BS1349" i="1"/>
  <c r="BV1349" i="1"/>
  <c r="BX1349" i="1"/>
  <c r="BY1349" i="1"/>
  <c r="BZ1349" i="1"/>
  <c r="CA1349" i="1"/>
  <c r="CH1349" i="1"/>
  <c r="CL1349" i="1"/>
  <c r="CM1349" i="1"/>
  <c r="CN1349" i="1"/>
  <c r="CO1349" i="1"/>
  <c r="CP1349" i="1"/>
  <c r="CZ1349" i="1"/>
  <c r="DB1349" i="1"/>
  <c r="DF1349" i="1"/>
  <c r="AC1379" i="1"/>
  <c r="AH1379" i="1"/>
  <c r="BS1379" i="1"/>
  <c r="BV1379" i="1"/>
  <c r="BX1379" i="1"/>
  <c r="BY1379" i="1"/>
  <c r="BZ1379" i="1"/>
  <c r="CA1379" i="1"/>
  <c r="CH1379" i="1"/>
  <c r="CL1379" i="1"/>
  <c r="CM1379" i="1"/>
  <c r="CN1379" i="1"/>
  <c r="CO1379" i="1"/>
  <c r="CP1379" i="1"/>
  <c r="CZ1379" i="1"/>
  <c r="DB1379" i="1"/>
  <c r="DF1379" i="1"/>
  <c r="AC1261" i="1"/>
  <c r="AH1261" i="1"/>
  <c r="BS1261" i="1"/>
  <c r="BV1261" i="1"/>
  <c r="BX1261" i="1"/>
  <c r="BY1261" i="1"/>
  <c r="BZ1261" i="1"/>
  <c r="CH1261" i="1"/>
  <c r="CL1261" i="1"/>
  <c r="CM1261" i="1"/>
  <c r="CN1261" i="1"/>
  <c r="CO1261" i="1"/>
  <c r="CP1261" i="1"/>
  <c r="CZ1261" i="1"/>
  <c r="DB1261" i="1"/>
  <c r="DF1261" i="1"/>
  <c r="AC1432" i="1"/>
  <c r="AH1432" i="1"/>
  <c r="BS1432" i="1"/>
  <c r="BV1432" i="1"/>
  <c r="BX1432" i="1"/>
  <c r="BY1432" i="1"/>
  <c r="BZ1432" i="1"/>
  <c r="CA1432" i="1"/>
  <c r="CH1432" i="1"/>
  <c r="CL1432" i="1"/>
  <c r="CM1432" i="1"/>
  <c r="CN1432" i="1"/>
  <c r="CO1432" i="1"/>
  <c r="CP1432" i="1"/>
  <c r="CZ1432" i="1"/>
  <c r="DB1432" i="1"/>
  <c r="DF1432" i="1"/>
  <c r="AC1234" i="1"/>
  <c r="AH1234" i="1"/>
  <c r="BS1234" i="1"/>
  <c r="BV1234" i="1"/>
  <c r="BX1234" i="1"/>
  <c r="BY1234" i="1"/>
  <c r="BZ1234" i="1"/>
  <c r="CH1234" i="1"/>
  <c r="CL1234" i="1"/>
  <c r="CM1234" i="1"/>
  <c r="CN1234" i="1"/>
  <c r="CO1234" i="1"/>
  <c r="CP1234" i="1"/>
  <c r="CZ1234" i="1"/>
  <c r="DB1234" i="1"/>
  <c r="DF1234" i="1"/>
  <c r="AC1155" i="1"/>
  <c r="AH1155" i="1"/>
  <c r="BS1155" i="1"/>
  <c r="BV1155" i="1"/>
  <c r="BX1155" i="1"/>
  <c r="BY1155" i="1"/>
  <c r="BZ1155" i="1"/>
  <c r="CH1155" i="1"/>
  <c r="CL1155" i="1"/>
  <c r="CM1155" i="1"/>
  <c r="CN1155" i="1"/>
  <c r="CO1155" i="1"/>
  <c r="CP1155" i="1"/>
  <c r="CZ1155" i="1"/>
  <c r="DB1155" i="1"/>
  <c r="DF1155" i="1"/>
  <c r="AC372" i="1"/>
  <c r="AH372" i="1"/>
  <c r="BS372" i="1"/>
  <c r="BV372" i="1"/>
  <c r="BX372" i="1"/>
  <c r="BY372" i="1"/>
  <c r="BZ372" i="1"/>
  <c r="CA372" i="1"/>
  <c r="CH372" i="1"/>
  <c r="CL372" i="1"/>
  <c r="CM372" i="1"/>
  <c r="CN372" i="1"/>
  <c r="CO372" i="1"/>
  <c r="CP372" i="1"/>
  <c r="CZ372" i="1"/>
  <c r="DB372" i="1"/>
  <c r="DF372" i="1"/>
  <c r="AC772" i="1"/>
  <c r="AH772" i="1"/>
  <c r="BS772" i="1"/>
  <c r="BV772" i="1"/>
  <c r="BX772" i="1"/>
  <c r="BY772" i="1"/>
  <c r="BZ772" i="1"/>
  <c r="CA772" i="1"/>
  <c r="CH772" i="1"/>
  <c r="CL772" i="1"/>
  <c r="CM772" i="1"/>
  <c r="CN772" i="1"/>
  <c r="CO772" i="1"/>
  <c r="CP772" i="1"/>
  <c r="CZ772" i="1"/>
  <c r="DB772" i="1"/>
  <c r="DF772" i="1"/>
  <c r="AC585" i="1"/>
  <c r="AH585" i="1"/>
  <c r="BS585" i="1"/>
  <c r="BV585" i="1"/>
  <c r="BX585" i="1"/>
  <c r="BY585" i="1"/>
  <c r="BZ585" i="1"/>
  <c r="CH585" i="1"/>
  <c r="CL585" i="1"/>
  <c r="CM585" i="1"/>
  <c r="CN585" i="1"/>
  <c r="CO585" i="1"/>
  <c r="CP585" i="1"/>
  <c r="CZ585" i="1"/>
  <c r="DB585" i="1"/>
  <c r="DF585" i="1"/>
  <c r="AC658" i="1"/>
  <c r="AH658" i="1"/>
  <c r="BS658" i="1"/>
  <c r="BV658" i="1"/>
  <c r="BX658" i="1"/>
  <c r="BY658" i="1"/>
  <c r="BZ658" i="1"/>
  <c r="CA658" i="1"/>
  <c r="CH658" i="1"/>
  <c r="CL658" i="1"/>
  <c r="CM658" i="1"/>
  <c r="CN658" i="1"/>
  <c r="CO658" i="1"/>
  <c r="CP658" i="1"/>
  <c r="CZ658" i="1"/>
  <c r="DB658" i="1"/>
  <c r="DF658" i="1"/>
  <c r="AC1754" i="1"/>
  <c r="AH1754" i="1"/>
  <c r="BS1754" i="1"/>
  <c r="BV1754" i="1"/>
  <c r="BX1754" i="1"/>
  <c r="BY1754" i="1"/>
  <c r="BZ1754" i="1"/>
  <c r="CH1754" i="1"/>
  <c r="CL1754" i="1"/>
  <c r="CM1754" i="1"/>
  <c r="CN1754" i="1"/>
  <c r="CO1754" i="1"/>
  <c r="CP1754" i="1"/>
  <c r="CZ1754" i="1"/>
  <c r="DB1754" i="1"/>
  <c r="DF1754" i="1"/>
  <c r="AC1942" i="1"/>
  <c r="AH1942" i="1"/>
  <c r="BS1942" i="1"/>
  <c r="BV1942" i="1"/>
  <c r="BX1942" i="1"/>
  <c r="BY1942" i="1"/>
  <c r="BZ1942" i="1"/>
  <c r="CH1942" i="1"/>
  <c r="CL1942" i="1"/>
  <c r="CM1942" i="1"/>
  <c r="CN1942" i="1"/>
  <c r="CP1942" i="1"/>
  <c r="CZ1942" i="1"/>
  <c r="DB1942" i="1"/>
  <c r="DF1942" i="1"/>
  <c r="AC1618" i="1"/>
  <c r="AH1618" i="1"/>
  <c r="BS1618" i="1"/>
  <c r="BV1618" i="1"/>
  <c r="BX1618" i="1"/>
  <c r="BY1618" i="1"/>
  <c r="BZ1618" i="1"/>
  <c r="CH1618" i="1"/>
  <c r="CL1618" i="1"/>
  <c r="CM1618" i="1"/>
  <c r="CN1618" i="1"/>
  <c r="CO1618" i="1"/>
  <c r="CP1618" i="1"/>
  <c r="CZ1618" i="1"/>
  <c r="DB1618" i="1"/>
  <c r="DF1618" i="1"/>
  <c r="AC1443" i="1"/>
  <c r="AH1443" i="1"/>
  <c r="BS1443" i="1"/>
  <c r="BV1443" i="1"/>
  <c r="BX1443" i="1"/>
  <c r="BY1443" i="1"/>
  <c r="BZ1443" i="1"/>
  <c r="CA1443" i="1"/>
  <c r="CH1443" i="1"/>
  <c r="CL1443" i="1"/>
  <c r="CM1443" i="1"/>
  <c r="CN1443" i="1"/>
  <c r="CO1443" i="1"/>
  <c r="CP1443" i="1"/>
  <c r="CZ1443" i="1"/>
  <c r="DB1443" i="1"/>
  <c r="DF1443" i="1"/>
  <c r="AC1499" i="1"/>
  <c r="AH1499" i="1"/>
  <c r="BS1499" i="1"/>
  <c r="BV1499" i="1"/>
  <c r="BX1499" i="1"/>
  <c r="BY1499" i="1"/>
  <c r="BZ1499" i="1"/>
  <c r="CA1499" i="1"/>
  <c r="CH1499" i="1"/>
  <c r="CL1499" i="1"/>
  <c r="CM1499" i="1"/>
  <c r="CN1499" i="1"/>
  <c r="CO1499" i="1"/>
  <c r="CP1499" i="1"/>
  <c r="CZ1499" i="1"/>
  <c r="DB1499" i="1"/>
  <c r="DF1499" i="1"/>
  <c r="AC1810" i="1"/>
  <c r="AH1810" i="1"/>
  <c r="BS1810" i="1"/>
  <c r="BV1810" i="1"/>
  <c r="BX1810" i="1"/>
  <c r="BY1810" i="1"/>
  <c r="BZ1810" i="1"/>
  <c r="CH1810" i="1"/>
  <c r="CL1810" i="1"/>
  <c r="CM1810" i="1"/>
  <c r="CN1810" i="1"/>
  <c r="CP1810" i="1"/>
  <c r="CZ1810" i="1"/>
  <c r="DB1810" i="1"/>
  <c r="DF1810" i="1"/>
  <c r="AC600" i="1"/>
  <c r="AH600" i="1"/>
  <c r="BS600" i="1"/>
  <c r="BV600" i="1"/>
  <c r="BX600" i="1"/>
  <c r="BY600" i="1"/>
  <c r="BZ600" i="1"/>
  <c r="CA600" i="1"/>
  <c r="CH600" i="1"/>
  <c r="CL600" i="1"/>
  <c r="CM600" i="1"/>
  <c r="CN600" i="1"/>
  <c r="CO600" i="1"/>
  <c r="CP600" i="1"/>
  <c r="CZ600" i="1"/>
  <c r="DB600" i="1"/>
  <c r="DF600" i="1"/>
  <c r="AC411" i="1"/>
  <c r="AH411" i="1"/>
  <c r="BS411" i="1"/>
  <c r="BV411" i="1"/>
  <c r="BX411" i="1"/>
  <c r="BY411" i="1"/>
  <c r="BZ411" i="1"/>
  <c r="CA411" i="1"/>
  <c r="CH411" i="1"/>
  <c r="CL411" i="1"/>
  <c r="CM411" i="1"/>
  <c r="CN411" i="1"/>
  <c r="CO411" i="1"/>
  <c r="CP411" i="1"/>
  <c r="CZ411" i="1"/>
  <c r="DB411" i="1"/>
  <c r="DF411" i="1"/>
  <c r="AC1803" i="1"/>
  <c r="AH1803" i="1"/>
  <c r="BS1803" i="1"/>
  <c r="BV1803" i="1"/>
  <c r="BX1803" i="1"/>
  <c r="BY1803" i="1"/>
  <c r="BZ1803" i="1"/>
  <c r="CA1803" i="1"/>
  <c r="CH1803" i="1"/>
  <c r="CL1803" i="1"/>
  <c r="CM1803" i="1"/>
  <c r="CN1803" i="1"/>
  <c r="CO1803" i="1"/>
  <c r="CP1803" i="1"/>
  <c r="CZ1803" i="1"/>
  <c r="DB1803" i="1"/>
  <c r="DF1803" i="1"/>
  <c r="AC975" i="1"/>
  <c r="AH975" i="1"/>
  <c r="BS975" i="1"/>
  <c r="BV975" i="1"/>
  <c r="BX975" i="1"/>
  <c r="BY975" i="1"/>
  <c r="BZ975" i="1"/>
  <c r="CH975" i="1"/>
  <c r="CL975" i="1"/>
  <c r="CM975" i="1"/>
  <c r="CN975" i="1"/>
  <c r="CO975" i="1"/>
  <c r="CP975" i="1"/>
  <c r="CZ975" i="1"/>
  <c r="DB975" i="1"/>
  <c r="DF975" i="1"/>
  <c r="AC994" i="1"/>
  <c r="AH994" i="1"/>
  <c r="BS994" i="1"/>
  <c r="BV994" i="1"/>
  <c r="BX994" i="1"/>
  <c r="BY994" i="1"/>
  <c r="BZ994" i="1"/>
  <c r="CA994" i="1"/>
  <c r="CH994" i="1"/>
  <c r="CL994" i="1"/>
  <c r="CM994" i="1"/>
  <c r="CN994" i="1"/>
  <c r="CO994" i="1"/>
  <c r="CP994" i="1"/>
  <c r="CZ994" i="1"/>
  <c r="DB994" i="1"/>
  <c r="DF994" i="1"/>
  <c r="AC1283" i="1"/>
  <c r="AH1283" i="1"/>
  <c r="BS1283" i="1"/>
  <c r="BV1283" i="1"/>
  <c r="BX1283" i="1"/>
  <c r="BY1283" i="1"/>
  <c r="BZ1283" i="1"/>
  <c r="CA1283" i="1"/>
  <c r="CH1283" i="1"/>
  <c r="CL1283" i="1"/>
  <c r="CM1283" i="1"/>
  <c r="CN1283" i="1"/>
  <c r="CO1283" i="1"/>
  <c r="CP1283" i="1"/>
  <c r="CZ1283" i="1"/>
  <c r="DB1283" i="1"/>
  <c r="DF1283" i="1"/>
  <c r="AC2065" i="1"/>
  <c r="AH2065" i="1"/>
  <c r="BS2065" i="1"/>
  <c r="BV2065" i="1"/>
  <c r="BX2065" i="1"/>
  <c r="BY2065" i="1"/>
  <c r="BZ2065" i="1"/>
  <c r="CH2065" i="1"/>
  <c r="CL2065" i="1"/>
  <c r="CM2065" i="1"/>
  <c r="CN2065" i="1"/>
  <c r="CO2065" i="1"/>
  <c r="CP2065" i="1"/>
  <c r="CZ2065" i="1"/>
  <c r="DB2065" i="1"/>
  <c r="DF2065" i="1"/>
  <c r="AC265" i="1"/>
  <c r="AH265" i="1"/>
  <c r="BS265" i="1"/>
  <c r="BV265" i="1"/>
  <c r="BX265" i="1"/>
  <c r="BY265" i="1"/>
  <c r="BZ265" i="1"/>
  <c r="CA265" i="1"/>
  <c r="CH265" i="1"/>
  <c r="CL265" i="1"/>
  <c r="CM265" i="1"/>
  <c r="CN265" i="1"/>
  <c r="CO265" i="1"/>
  <c r="CP265" i="1"/>
  <c r="CZ265" i="1"/>
  <c r="DB265" i="1"/>
  <c r="DF265" i="1"/>
  <c r="AC1699" i="1"/>
  <c r="AH1699" i="1"/>
  <c r="BS1699" i="1"/>
  <c r="BV1699" i="1"/>
  <c r="BX1699" i="1"/>
  <c r="BY1699" i="1"/>
  <c r="BZ1699" i="1"/>
  <c r="CA1699" i="1"/>
  <c r="CH1699" i="1"/>
  <c r="CL1699" i="1"/>
  <c r="CM1699" i="1"/>
  <c r="CN1699" i="1"/>
  <c r="CO1699" i="1"/>
  <c r="CP1699" i="1"/>
  <c r="CZ1699" i="1"/>
  <c r="DB1699" i="1"/>
  <c r="DF1699" i="1"/>
  <c r="AC487" i="1"/>
  <c r="AH487" i="1"/>
  <c r="BS487" i="1"/>
  <c r="BV487" i="1"/>
  <c r="BX487" i="1"/>
  <c r="BY487" i="1"/>
  <c r="BZ487" i="1"/>
  <c r="CH487" i="1"/>
  <c r="CL487" i="1"/>
  <c r="CM487" i="1"/>
  <c r="CN487" i="1"/>
  <c r="CO487" i="1"/>
  <c r="CP487" i="1"/>
  <c r="CZ487" i="1"/>
  <c r="DB487" i="1"/>
  <c r="DF487" i="1"/>
  <c r="AC476" i="1"/>
  <c r="AH476" i="1"/>
  <c r="BS476" i="1"/>
  <c r="BV476" i="1"/>
  <c r="BX476" i="1"/>
  <c r="BY476" i="1"/>
  <c r="BZ476" i="1"/>
  <c r="CA476" i="1"/>
  <c r="CH476" i="1"/>
  <c r="CL476" i="1"/>
  <c r="CM476" i="1"/>
  <c r="CN476" i="1"/>
  <c r="CO476" i="1"/>
  <c r="CP476" i="1"/>
  <c r="CZ476" i="1"/>
  <c r="DB476" i="1"/>
  <c r="DF476" i="1"/>
  <c r="AC791" i="1"/>
  <c r="AH791" i="1"/>
  <c r="BS791" i="1"/>
  <c r="BV791" i="1"/>
  <c r="BX791" i="1"/>
  <c r="BY791" i="1"/>
  <c r="BZ791" i="1"/>
  <c r="CH791" i="1"/>
  <c r="CL791" i="1"/>
  <c r="CM791" i="1"/>
  <c r="CN791" i="1"/>
  <c r="CO791" i="1"/>
  <c r="CP791" i="1"/>
  <c r="CZ791" i="1"/>
  <c r="DB791" i="1"/>
  <c r="DF791" i="1"/>
  <c r="AC2138" i="1"/>
  <c r="AH2138" i="1"/>
  <c r="BS2138" i="1"/>
  <c r="BV2138" i="1"/>
  <c r="BX2138" i="1"/>
  <c r="BY2138" i="1"/>
  <c r="BZ2138" i="1"/>
  <c r="CA2138" i="1"/>
  <c r="CH2138" i="1"/>
  <c r="CL2138" i="1"/>
  <c r="CM2138" i="1"/>
  <c r="CN2138" i="1"/>
  <c r="CO2138" i="1"/>
  <c r="CP2138" i="1"/>
  <c r="CZ2138" i="1"/>
  <c r="DB2138" i="1"/>
  <c r="DF2138" i="1"/>
  <c r="AC304" i="1"/>
  <c r="AH304" i="1"/>
  <c r="BS304" i="1"/>
  <c r="BV304" i="1"/>
  <c r="BX304" i="1"/>
  <c r="BY304" i="1"/>
  <c r="BZ304" i="1"/>
  <c r="CH304" i="1"/>
  <c r="CL304" i="1"/>
  <c r="CM304" i="1"/>
  <c r="CN304" i="1"/>
  <c r="CO304" i="1"/>
  <c r="CP304" i="1"/>
  <c r="CZ304" i="1"/>
  <c r="DB304" i="1"/>
  <c r="DF304" i="1"/>
  <c r="AC2213" i="1"/>
  <c r="AH2213" i="1"/>
  <c r="BS2213" i="1"/>
  <c r="BV2213" i="1"/>
  <c r="BX2213" i="1"/>
  <c r="BY2213" i="1"/>
  <c r="BZ2213" i="1"/>
  <c r="CA2213" i="1"/>
  <c r="CH2213" i="1"/>
  <c r="CL2213" i="1"/>
  <c r="CM2213" i="1"/>
  <c r="CN2213" i="1"/>
  <c r="CO2213" i="1"/>
  <c r="CP2213" i="1"/>
  <c r="CZ2213" i="1"/>
  <c r="DB2213" i="1"/>
  <c r="DF2213" i="1"/>
  <c r="AC1847" i="1"/>
  <c r="AH1847" i="1"/>
  <c r="BS1847" i="1"/>
  <c r="BV1847" i="1"/>
  <c r="BX1847" i="1"/>
  <c r="BY1847" i="1"/>
  <c r="BZ1847" i="1"/>
  <c r="CA1847" i="1"/>
  <c r="CH1847" i="1"/>
  <c r="CL1847" i="1"/>
  <c r="CM1847" i="1"/>
  <c r="CN1847" i="1"/>
  <c r="CO1847" i="1"/>
  <c r="CP1847" i="1"/>
  <c r="CZ1847" i="1"/>
  <c r="DB1847" i="1"/>
  <c r="DF1847" i="1"/>
  <c r="AC1657" i="1"/>
  <c r="AH1657" i="1"/>
  <c r="BS1657" i="1"/>
  <c r="BV1657" i="1"/>
  <c r="BX1657" i="1"/>
  <c r="BY1657" i="1"/>
  <c r="BZ1657" i="1"/>
  <c r="CH1657" i="1"/>
  <c r="CL1657" i="1"/>
  <c r="CM1657" i="1"/>
  <c r="CN1657" i="1"/>
  <c r="CP1657" i="1"/>
  <c r="CZ1657" i="1"/>
  <c r="DB1657" i="1"/>
  <c r="DF1657" i="1"/>
  <c r="AC1934" i="1"/>
  <c r="AH1934" i="1"/>
  <c r="BS1934" i="1"/>
  <c r="BV1934" i="1"/>
  <c r="BX1934" i="1"/>
  <c r="BY1934" i="1"/>
  <c r="BZ1934" i="1"/>
  <c r="CA1934" i="1"/>
  <c r="CH1934" i="1"/>
  <c r="CL1934" i="1"/>
  <c r="CM1934" i="1"/>
  <c r="CN1934" i="1"/>
  <c r="CO1934" i="1"/>
  <c r="CP1934" i="1"/>
  <c r="CZ1934" i="1"/>
  <c r="DB1934" i="1"/>
  <c r="DF1934" i="1"/>
  <c r="AC612" i="1"/>
  <c r="AH612" i="1"/>
  <c r="BS612" i="1"/>
  <c r="BV612" i="1"/>
  <c r="BX612" i="1"/>
  <c r="BY612" i="1"/>
  <c r="BZ612" i="1"/>
  <c r="CA612" i="1"/>
  <c r="CH612" i="1"/>
  <c r="CL612" i="1"/>
  <c r="CM612" i="1"/>
  <c r="CN612" i="1"/>
  <c r="CO612" i="1"/>
  <c r="CP612" i="1"/>
  <c r="CZ612" i="1"/>
  <c r="DB612" i="1"/>
  <c r="DF612" i="1"/>
  <c r="AC1504" i="1"/>
  <c r="AH1504" i="1"/>
  <c r="BS1504" i="1"/>
  <c r="BV1504" i="1"/>
  <c r="BX1504" i="1"/>
  <c r="BY1504" i="1"/>
  <c r="BZ1504" i="1"/>
  <c r="CH1504" i="1"/>
  <c r="CL1504" i="1"/>
  <c r="CM1504" i="1"/>
  <c r="CN1504" i="1"/>
  <c r="CO1504" i="1"/>
  <c r="CP1504" i="1"/>
  <c r="CZ1504" i="1"/>
  <c r="DB1504" i="1"/>
  <c r="DF1504" i="1"/>
  <c r="AC361" i="1"/>
  <c r="AH361" i="1"/>
  <c r="BS361" i="1"/>
  <c r="BV361" i="1"/>
  <c r="BX361" i="1"/>
  <c r="BY361" i="1"/>
  <c r="BZ361" i="1"/>
  <c r="CA361" i="1"/>
  <c r="CH361" i="1"/>
  <c r="CL361" i="1"/>
  <c r="CM361" i="1"/>
  <c r="CN361" i="1"/>
  <c r="CO361" i="1"/>
  <c r="CP361" i="1"/>
  <c r="CZ361" i="1"/>
  <c r="DB361" i="1"/>
  <c r="DF361" i="1"/>
  <c r="AC723" i="1"/>
  <c r="AH723" i="1"/>
  <c r="BS723" i="1"/>
  <c r="BV723" i="1"/>
  <c r="BX723" i="1"/>
  <c r="BY723" i="1"/>
  <c r="BZ723" i="1"/>
  <c r="CA723" i="1"/>
  <c r="CH723" i="1"/>
  <c r="CL723" i="1"/>
  <c r="CM723" i="1"/>
  <c r="CN723" i="1"/>
  <c r="CO723" i="1"/>
  <c r="CP723" i="1"/>
  <c r="CZ723" i="1"/>
  <c r="DB723" i="1"/>
  <c r="DF723" i="1"/>
  <c r="AC93" i="1"/>
  <c r="AH93" i="1"/>
  <c r="BS93" i="1"/>
  <c r="BV93" i="1"/>
  <c r="BX93" i="1"/>
  <c r="BY93" i="1"/>
  <c r="BZ93" i="1"/>
  <c r="CA93" i="1"/>
  <c r="CH93" i="1"/>
  <c r="CL93" i="1"/>
  <c r="CM93" i="1"/>
  <c r="CN93" i="1"/>
  <c r="CO93" i="1"/>
  <c r="CP93" i="1"/>
  <c r="CZ93" i="1"/>
  <c r="DB93" i="1"/>
  <c r="DF93" i="1"/>
  <c r="AC964" i="1"/>
  <c r="AH964" i="1"/>
  <c r="BS964" i="1"/>
  <c r="BV964" i="1"/>
  <c r="BX964" i="1"/>
  <c r="BY964" i="1"/>
  <c r="BZ964" i="1"/>
  <c r="CA964" i="1"/>
  <c r="CH964" i="1"/>
  <c r="CL964" i="1"/>
  <c r="CM964" i="1"/>
  <c r="CN964" i="1"/>
  <c r="CO964" i="1"/>
  <c r="CP964" i="1"/>
  <c r="CZ964" i="1"/>
  <c r="DB964" i="1"/>
  <c r="DF964" i="1"/>
  <c r="AC1132" i="1"/>
  <c r="AH1132" i="1"/>
  <c r="BS1132" i="1"/>
  <c r="BV1132" i="1"/>
  <c r="BX1132" i="1"/>
  <c r="BY1132" i="1"/>
  <c r="BZ1132" i="1"/>
  <c r="CA1132" i="1"/>
  <c r="CH1132" i="1"/>
  <c r="CL1132" i="1"/>
  <c r="CM1132" i="1"/>
  <c r="CN1132" i="1"/>
  <c r="CO1132" i="1"/>
  <c r="CP1132" i="1"/>
  <c r="CZ1132" i="1"/>
  <c r="DB1132" i="1"/>
  <c r="DF1132" i="1"/>
  <c r="AC1124" i="1"/>
  <c r="AH1124" i="1"/>
  <c r="BS1124" i="1"/>
  <c r="BV1124" i="1"/>
  <c r="BX1124" i="1"/>
  <c r="BY1124" i="1"/>
  <c r="BZ1124" i="1"/>
  <c r="CA1124" i="1"/>
  <c r="CH1124" i="1"/>
  <c r="CL1124" i="1"/>
  <c r="CM1124" i="1"/>
  <c r="CN1124" i="1"/>
  <c r="CO1124" i="1"/>
  <c r="CP1124" i="1"/>
  <c r="CZ1124" i="1"/>
  <c r="DB1124" i="1"/>
  <c r="DF1124" i="1"/>
  <c r="AC1944" i="1"/>
  <c r="AH1944" i="1"/>
  <c r="BS1944" i="1"/>
  <c r="BV1944" i="1"/>
  <c r="BX1944" i="1"/>
  <c r="BY1944" i="1"/>
  <c r="BZ1944" i="1"/>
  <c r="CA1944" i="1"/>
  <c r="CH1944" i="1"/>
  <c r="CL1944" i="1"/>
  <c r="CM1944" i="1"/>
  <c r="CN1944" i="1"/>
  <c r="CO1944" i="1"/>
  <c r="CP1944" i="1"/>
  <c r="CZ1944" i="1"/>
  <c r="DB1944" i="1"/>
  <c r="DF1944" i="1"/>
  <c r="AC343" i="1"/>
  <c r="AH343" i="1"/>
  <c r="BS343" i="1"/>
  <c r="BV343" i="1"/>
  <c r="BX343" i="1"/>
  <c r="BY343" i="1"/>
  <c r="BZ343" i="1"/>
  <c r="CA343" i="1"/>
  <c r="CH343" i="1"/>
  <c r="CL343" i="1"/>
  <c r="CM343" i="1"/>
  <c r="CN343" i="1"/>
  <c r="CO343" i="1"/>
  <c r="CP343" i="1"/>
  <c r="CZ343" i="1"/>
  <c r="DB343" i="1"/>
  <c r="DF343" i="1"/>
  <c r="AC575" i="1"/>
  <c r="AH575" i="1"/>
  <c r="BS575" i="1"/>
  <c r="BV575" i="1"/>
  <c r="BX575" i="1"/>
  <c r="BY575" i="1"/>
  <c r="BZ575" i="1"/>
  <c r="CA575" i="1"/>
  <c r="CH575" i="1"/>
  <c r="CL575" i="1"/>
  <c r="CM575" i="1"/>
  <c r="CN575" i="1"/>
  <c r="CO575" i="1"/>
  <c r="CP575" i="1"/>
  <c r="CZ575" i="1"/>
  <c r="DB575" i="1"/>
  <c r="DF575" i="1"/>
  <c r="AC28" i="1"/>
  <c r="AH28" i="1"/>
  <c r="BS28" i="1"/>
  <c r="BV28" i="1"/>
  <c r="BX28" i="1"/>
  <c r="BY28" i="1"/>
  <c r="BZ28" i="1"/>
  <c r="CA28" i="1"/>
  <c r="CH28" i="1"/>
  <c r="CL28" i="1"/>
  <c r="CM28" i="1"/>
  <c r="CN28" i="1"/>
  <c r="CO28" i="1"/>
  <c r="CP28" i="1"/>
  <c r="CZ28" i="1"/>
  <c r="DB28" i="1"/>
  <c r="DF28" i="1"/>
  <c r="AC2162" i="1"/>
  <c r="AH2162" i="1"/>
  <c r="BS2162" i="1"/>
  <c r="BV2162" i="1"/>
  <c r="BX2162" i="1"/>
  <c r="BY2162" i="1"/>
  <c r="BZ2162" i="1"/>
  <c r="CH2162" i="1"/>
  <c r="CL2162" i="1"/>
  <c r="CM2162" i="1"/>
  <c r="CN2162" i="1"/>
  <c r="CO2162" i="1"/>
  <c r="CP2162" i="1"/>
  <c r="CZ2162" i="1"/>
  <c r="DB2162" i="1"/>
  <c r="DF2162" i="1"/>
  <c r="AC134" i="1"/>
  <c r="AH134" i="1"/>
  <c r="BS134" i="1"/>
  <c r="BV134" i="1"/>
  <c r="BX134" i="1"/>
  <c r="BY134" i="1"/>
  <c r="BZ134" i="1"/>
  <c r="CA134" i="1"/>
  <c r="CH134" i="1"/>
  <c r="CL134" i="1"/>
  <c r="CM134" i="1"/>
  <c r="CN134" i="1"/>
  <c r="CO134" i="1"/>
  <c r="CP134" i="1"/>
  <c r="CZ134" i="1"/>
  <c r="DB134" i="1"/>
  <c r="DF134" i="1"/>
  <c r="AC2047" i="1"/>
  <c r="AH2047" i="1"/>
  <c r="BS2047" i="1"/>
  <c r="BV2047" i="1"/>
  <c r="BX2047" i="1"/>
  <c r="BY2047" i="1"/>
  <c r="BZ2047" i="1"/>
  <c r="CA2047" i="1"/>
  <c r="CH2047" i="1"/>
  <c r="CL2047" i="1"/>
  <c r="CM2047" i="1"/>
  <c r="CN2047" i="1"/>
  <c r="CO2047" i="1"/>
  <c r="CP2047" i="1"/>
  <c r="CZ2047" i="1"/>
  <c r="DB2047" i="1"/>
  <c r="DF2047" i="1"/>
  <c r="AC2164" i="1"/>
  <c r="AH2164" i="1"/>
  <c r="BS2164" i="1"/>
  <c r="BV2164" i="1"/>
  <c r="BX2164" i="1"/>
  <c r="BY2164" i="1"/>
  <c r="BZ2164" i="1"/>
  <c r="CH2164" i="1"/>
  <c r="CL2164" i="1"/>
  <c r="CM2164" i="1"/>
  <c r="CN2164" i="1"/>
  <c r="CO2164" i="1"/>
  <c r="CP2164" i="1"/>
  <c r="CZ2164" i="1"/>
  <c r="DB2164" i="1"/>
  <c r="DF2164" i="1"/>
  <c r="AC802" i="1"/>
  <c r="AH802" i="1"/>
  <c r="BS802" i="1"/>
  <c r="BV802" i="1"/>
  <c r="BX802" i="1"/>
  <c r="BY802" i="1"/>
  <c r="BZ802" i="1"/>
  <c r="CH802" i="1"/>
  <c r="CL802" i="1"/>
  <c r="CM802" i="1"/>
  <c r="CN802" i="1"/>
  <c r="CO802" i="1"/>
  <c r="CP802" i="1"/>
  <c r="CZ802" i="1"/>
  <c r="DB802" i="1"/>
  <c r="DF802" i="1"/>
  <c r="AC563" i="1"/>
  <c r="AH563" i="1"/>
  <c r="BS563" i="1"/>
  <c r="BV563" i="1"/>
  <c r="BX563" i="1"/>
  <c r="BY563" i="1"/>
  <c r="BZ563" i="1"/>
  <c r="CA563" i="1"/>
  <c r="CH563" i="1"/>
  <c r="CL563" i="1"/>
  <c r="CM563" i="1"/>
  <c r="CN563" i="1"/>
  <c r="CO563" i="1"/>
  <c r="CP563" i="1"/>
  <c r="CZ563" i="1"/>
  <c r="DB563" i="1"/>
  <c r="DF563" i="1"/>
  <c r="AC1883" i="1"/>
  <c r="AH1883" i="1"/>
  <c r="BS1883" i="1"/>
  <c r="BV1883" i="1"/>
  <c r="BX1883" i="1"/>
  <c r="BY1883" i="1"/>
  <c r="BZ1883" i="1"/>
  <c r="CH1883" i="1"/>
  <c r="CL1883" i="1"/>
  <c r="CM1883" i="1"/>
  <c r="CN1883" i="1"/>
  <c r="CP1883" i="1"/>
  <c r="CZ1883" i="1"/>
  <c r="DB1883" i="1"/>
  <c r="DF1883" i="1"/>
  <c r="AC453" i="1"/>
  <c r="AH453" i="1"/>
  <c r="BS453" i="1"/>
  <c r="BV453" i="1"/>
  <c r="BX453" i="1"/>
  <c r="BY453" i="1"/>
  <c r="BZ453" i="1"/>
  <c r="CA453" i="1"/>
  <c r="CH453" i="1"/>
  <c r="CL453" i="1"/>
  <c r="CM453" i="1"/>
  <c r="CN453" i="1"/>
  <c r="CO453" i="1"/>
  <c r="CP453" i="1"/>
  <c r="CZ453" i="1"/>
  <c r="DB453" i="1"/>
  <c r="DF453" i="1"/>
  <c r="AC2297" i="1"/>
  <c r="AH2297" i="1"/>
  <c r="BS2297" i="1"/>
  <c r="BV2297" i="1"/>
  <c r="BX2297" i="1"/>
  <c r="BY2297" i="1"/>
  <c r="BZ2297" i="1"/>
  <c r="CA2297" i="1"/>
  <c r="CH2297" i="1"/>
  <c r="CL2297" i="1"/>
  <c r="CM2297" i="1"/>
  <c r="CN2297" i="1"/>
  <c r="CO2297" i="1"/>
  <c r="CP2297" i="1"/>
  <c r="CZ2297" i="1"/>
  <c r="DB2297" i="1"/>
  <c r="DF2297" i="1"/>
  <c r="AC877" i="1"/>
  <c r="AH877" i="1"/>
  <c r="BS877" i="1"/>
  <c r="BV877" i="1"/>
  <c r="BX877" i="1"/>
  <c r="BY877" i="1"/>
  <c r="BZ877" i="1"/>
  <c r="CA877" i="1"/>
  <c r="CH877" i="1"/>
  <c r="CL877" i="1"/>
  <c r="CM877" i="1"/>
  <c r="CN877" i="1"/>
  <c r="CO877" i="1"/>
  <c r="CP877" i="1"/>
  <c r="CZ877" i="1"/>
  <c r="DB877" i="1"/>
  <c r="DF877" i="1"/>
  <c r="AC1037" i="1"/>
  <c r="AH1037" i="1"/>
  <c r="BS1037" i="1"/>
  <c r="BV1037" i="1"/>
  <c r="BX1037" i="1"/>
  <c r="BY1037" i="1"/>
  <c r="BZ1037" i="1"/>
  <c r="CA1037" i="1"/>
  <c r="CH1037" i="1"/>
  <c r="CL1037" i="1"/>
  <c r="CM1037" i="1"/>
  <c r="CN1037" i="1"/>
  <c r="CO1037" i="1"/>
  <c r="CP1037" i="1"/>
  <c r="CZ1037" i="1"/>
  <c r="DB1037" i="1"/>
  <c r="DF1037" i="1"/>
  <c r="AC1741" i="1"/>
  <c r="AH1741" i="1"/>
  <c r="BS1741" i="1"/>
  <c r="BV1741" i="1"/>
  <c r="BX1741" i="1"/>
  <c r="BY1741" i="1"/>
  <c r="BZ1741" i="1"/>
  <c r="CH1741" i="1"/>
  <c r="CL1741" i="1"/>
  <c r="CM1741" i="1"/>
  <c r="CN1741" i="1"/>
  <c r="CO1741" i="1"/>
  <c r="CP1741" i="1"/>
  <c r="CZ1741" i="1"/>
  <c r="DB1741" i="1"/>
  <c r="DF1741" i="1"/>
  <c r="AC1585" i="1"/>
  <c r="AH1585" i="1"/>
  <c r="BS1585" i="1"/>
  <c r="BV1585" i="1"/>
  <c r="BX1585" i="1"/>
  <c r="BY1585" i="1"/>
  <c r="BZ1585" i="1"/>
  <c r="CH1585" i="1"/>
  <c r="CL1585" i="1"/>
  <c r="CM1585" i="1"/>
  <c r="CN1585" i="1"/>
  <c r="CO1585" i="1"/>
  <c r="CP1585" i="1"/>
  <c r="CZ1585" i="1"/>
  <c r="DB1585" i="1"/>
  <c r="DF1585" i="1"/>
  <c r="AC2186" i="1"/>
  <c r="AH2186" i="1"/>
  <c r="BS2186" i="1"/>
  <c r="BV2186" i="1"/>
  <c r="BX2186" i="1"/>
  <c r="BY2186" i="1"/>
  <c r="BZ2186" i="1"/>
  <c r="CH2186" i="1"/>
  <c r="CL2186" i="1"/>
  <c r="CM2186" i="1"/>
  <c r="CN2186" i="1"/>
  <c r="CO2186" i="1"/>
  <c r="CP2186" i="1"/>
  <c r="CZ2186" i="1"/>
  <c r="DB2186" i="1"/>
  <c r="DF2186" i="1"/>
  <c r="AC1440" i="1"/>
  <c r="AH1440" i="1"/>
  <c r="BS1440" i="1"/>
  <c r="BV1440" i="1"/>
  <c r="BX1440" i="1"/>
  <c r="BY1440" i="1"/>
  <c r="BZ1440" i="1"/>
  <c r="CA1440" i="1"/>
  <c r="CH1440" i="1"/>
  <c r="CL1440" i="1"/>
  <c r="CM1440" i="1"/>
  <c r="CN1440" i="1"/>
  <c r="CO1440" i="1"/>
  <c r="CP1440" i="1"/>
  <c r="CZ1440" i="1"/>
  <c r="DB1440" i="1"/>
  <c r="DF1440" i="1"/>
  <c r="AC1463" i="1"/>
  <c r="AH1463" i="1"/>
  <c r="BS1463" i="1"/>
  <c r="BV1463" i="1"/>
  <c r="BX1463" i="1"/>
  <c r="BY1463" i="1"/>
  <c r="BZ1463" i="1"/>
  <c r="CA1463" i="1"/>
  <c r="CH1463" i="1"/>
  <c r="CL1463" i="1"/>
  <c r="CM1463" i="1"/>
  <c r="CN1463" i="1"/>
  <c r="CP1463" i="1"/>
  <c r="CZ1463" i="1"/>
  <c r="DB1463" i="1"/>
  <c r="DF1463" i="1"/>
  <c r="AC2247" i="1"/>
  <c r="AH2247" i="1"/>
  <c r="BS2247" i="1"/>
  <c r="BV2247" i="1"/>
  <c r="BX2247" i="1"/>
  <c r="BY2247" i="1"/>
  <c r="BZ2247" i="1"/>
  <c r="CH2247" i="1"/>
  <c r="CL2247" i="1"/>
  <c r="CM2247" i="1"/>
  <c r="CN2247" i="1"/>
  <c r="CP2247" i="1"/>
  <c r="CZ2247" i="1"/>
  <c r="DB2247" i="1"/>
  <c r="DF2247" i="1"/>
  <c r="AC1125" i="1"/>
  <c r="AH1125" i="1"/>
  <c r="BS1125" i="1"/>
  <c r="BV1125" i="1"/>
  <c r="BX1125" i="1"/>
  <c r="BY1125" i="1"/>
  <c r="BZ1125" i="1"/>
  <c r="CA1125" i="1"/>
  <c r="CH1125" i="1"/>
  <c r="CL1125" i="1"/>
  <c r="CM1125" i="1"/>
  <c r="CN1125" i="1"/>
  <c r="CO1125" i="1"/>
  <c r="CP1125" i="1"/>
  <c r="CZ1125" i="1"/>
  <c r="DB1125" i="1"/>
  <c r="DF1125" i="1"/>
  <c r="AC1215" i="1"/>
  <c r="AH1215" i="1"/>
  <c r="BS1215" i="1"/>
  <c r="BV1215" i="1"/>
  <c r="BX1215" i="1"/>
  <c r="BY1215" i="1"/>
  <c r="BZ1215" i="1"/>
  <c r="CH1215" i="1"/>
  <c r="CL1215" i="1"/>
  <c r="CM1215" i="1"/>
  <c r="CN1215" i="1"/>
  <c r="CO1215" i="1"/>
  <c r="CP1215" i="1"/>
  <c r="CZ1215" i="1"/>
  <c r="DB1215" i="1"/>
  <c r="DF1215" i="1"/>
  <c r="AC466" i="1"/>
  <c r="AH466" i="1"/>
  <c r="BS466" i="1"/>
  <c r="BV466" i="1"/>
  <c r="BX466" i="1"/>
  <c r="BY466" i="1"/>
  <c r="BZ466" i="1"/>
  <c r="CH466" i="1"/>
  <c r="CL466" i="1"/>
  <c r="CM466" i="1"/>
  <c r="CN466" i="1"/>
  <c r="CO466" i="1"/>
  <c r="CP466" i="1"/>
  <c r="CZ466" i="1"/>
  <c r="DB466" i="1"/>
  <c r="DF466" i="1"/>
  <c r="AC822" i="1"/>
  <c r="AH822" i="1"/>
  <c r="BS822" i="1"/>
  <c r="BV822" i="1"/>
  <c r="BX822" i="1"/>
  <c r="BY822" i="1"/>
  <c r="BZ822" i="1"/>
  <c r="CH822" i="1"/>
  <c r="CL822" i="1"/>
  <c r="CM822" i="1"/>
  <c r="CN822" i="1"/>
  <c r="CO822" i="1"/>
  <c r="CP822" i="1"/>
  <c r="CZ822" i="1"/>
  <c r="DB822" i="1"/>
  <c r="DF822" i="1"/>
  <c r="AC1819" i="1"/>
  <c r="AH1819" i="1"/>
  <c r="BS1819" i="1"/>
  <c r="BV1819" i="1"/>
  <c r="BX1819" i="1"/>
  <c r="BY1819" i="1"/>
  <c r="BZ1819" i="1"/>
  <c r="CA1819" i="1"/>
  <c r="CH1819" i="1"/>
  <c r="CL1819" i="1"/>
  <c r="CM1819" i="1"/>
  <c r="CN1819" i="1"/>
  <c r="CO1819" i="1"/>
  <c r="CP1819" i="1"/>
  <c r="CZ1819" i="1"/>
  <c r="DB1819" i="1"/>
  <c r="DF1819" i="1"/>
  <c r="AC1823" i="1"/>
  <c r="AH1823" i="1"/>
  <c r="BS1823" i="1"/>
  <c r="BV1823" i="1"/>
  <c r="BX1823" i="1"/>
  <c r="BY1823" i="1"/>
  <c r="BZ1823" i="1"/>
  <c r="CH1823" i="1"/>
  <c r="CL1823" i="1"/>
  <c r="CM1823" i="1"/>
  <c r="CN1823" i="1"/>
  <c r="CO1823" i="1"/>
  <c r="CP1823" i="1"/>
  <c r="CZ1823" i="1"/>
  <c r="DB1823" i="1"/>
  <c r="DF1823" i="1"/>
  <c r="AC1523" i="1"/>
  <c r="AH1523" i="1"/>
  <c r="BS1523" i="1"/>
  <c r="BV1523" i="1"/>
  <c r="BX1523" i="1"/>
  <c r="BY1523" i="1"/>
  <c r="BZ1523" i="1"/>
  <c r="CA1523" i="1"/>
  <c r="CH1523" i="1"/>
  <c r="CL1523" i="1"/>
  <c r="CM1523" i="1"/>
  <c r="CN1523" i="1"/>
  <c r="CP1523" i="1"/>
  <c r="CZ1523" i="1"/>
  <c r="DB1523" i="1"/>
  <c r="DF1523" i="1"/>
  <c r="AC1826" i="1"/>
  <c r="AH1826" i="1"/>
  <c r="BS1826" i="1"/>
  <c r="BV1826" i="1"/>
  <c r="BX1826" i="1"/>
  <c r="BY1826" i="1"/>
  <c r="BZ1826" i="1"/>
  <c r="CA1826" i="1"/>
  <c r="CH1826" i="1"/>
  <c r="CL1826" i="1"/>
  <c r="CM1826" i="1"/>
  <c r="CN1826" i="1"/>
  <c r="CO1826" i="1"/>
  <c r="CP1826" i="1"/>
  <c r="CZ1826" i="1"/>
  <c r="DB1826" i="1"/>
  <c r="DF1826" i="1"/>
  <c r="AC1394" i="1"/>
  <c r="AH1394" i="1"/>
  <c r="BS1394" i="1"/>
  <c r="BV1394" i="1"/>
  <c r="BX1394" i="1"/>
  <c r="BY1394" i="1"/>
  <c r="BZ1394" i="1"/>
  <c r="CA1394" i="1"/>
  <c r="CH1394" i="1"/>
  <c r="CL1394" i="1"/>
  <c r="CM1394" i="1"/>
  <c r="CN1394" i="1"/>
  <c r="CO1394" i="1"/>
  <c r="CP1394" i="1"/>
  <c r="CZ1394" i="1"/>
  <c r="DB1394" i="1"/>
  <c r="DF1394" i="1"/>
  <c r="AC235" i="1"/>
  <c r="AH235" i="1"/>
  <c r="BS235" i="1"/>
  <c r="BV235" i="1"/>
  <c r="BX235" i="1"/>
  <c r="BY235" i="1"/>
  <c r="BZ235" i="1"/>
  <c r="CH235" i="1"/>
  <c r="CL235" i="1"/>
  <c r="CM235" i="1"/>
  <c r="CN235" i="1"/>
  <c r="CO235" i="1"/>
  <c r="CP235" i="1"/>
  <c r="CZ235" i="1"/>
  <c r="DB235" i="1"/>
  <c r="DF235" i="1"/>
  <c r="AC1530" i="1"/>
  <c r="AH1530" i="1"/>
  <c r="BS1530" i="1"/>
  <c r="BV1530" i="1"/>
  <c r="BX1530" i="1"/>
  <c r="BY1530" i="1"/>
  <c r="BZ1530" i="1"/>
  <c r="CA1530" i="1"/>
  <c r="CH1530" i="1"/>
  <c r="CL1530" i="1"/>
  <c r="CM1530" i="1"/>
  <c r="CN1530" i="1"/>
  <c r="CP1530" i="1"/>
  <c r="CZ1530" i="1"/>
  <c r="DB1530" i="1"/>
  <c r="DF1530" i="1"/>
  <c r="AC442" i="1"/>
  <c r="AH442" i="1"/>
  <c r="BS442" i="1"/>
  <c r="BV442" i="1"/>
  <c r="BX442" i="1"/>
  <c r="BY442" i="1"/>
  <c r="BZ442" i="1"/>
  <c r="CA442" i="1"/>
  <c r="CH442" i="1"/>
  <c r="CL442" i="1"/>
  <c r="CM442" i="1"/>
  <c r="CN442" i="1"/>
  <c r="CO442" i="1"/>
  <c r="CP442" i="1"/>
  <c r="CZ442" i="1"/>
  <c r="DB442" i="1"/>
  <c r="DF442" i="1"/>
  <c r="AC1049" i="1"/>
  <c r="AH1049" i="1"/>
  <c r="BS1049" i="1"/>
  <c r="BV1049" i="1"/>
  <c r="BX1049" i="1"/>
  <c r="BY1049" i="1"/>
  <c r="BZ1049" i="1"/>
  <c r="CA1049" i="1"/>
  <c r="CH1049" i="1"/>
  <c r="CL1049" i="1"/>
  <c r="CM1049" i="1"/>
  <c r="CN1049" i="1"/>
  <c r="CO1049" i="1"/>
  <c r="CP1049" i="1"/>
  <c r="CZ1049" i="1"/>
  <c r="DB1049" i="1"/>
  <c r="DF1049" i="1"/>
  <c r="AC1756" i="1"/>
  <c r="AH1756" i="1"/>
  <c r="BS1756" i="1"/>
  <c r="BV1756" i="1"/>
  <c r="BX1756" i="1"/>
  <c r="BY1756" i="1"/>
  <c r="BZ1756" i="1"/>
  <c r="CH1756" i="1"/>
  <c r="CL1756" i="1"/>
  <c r="CM1756" i="1"/>
  <c r="CN1756" i="1"/>
  <c r="CP1756" i="1"/>
  <c r="CZ1756" i="1"/>
  <c r="DB1756" i="1"/>
  <c r="DF1756" i="1"/>
  <c r="AC784" i="1"/>
  <c r="AH784" i="1"/>
  <c r="BS784" i="1"/>
  <c r="BV784" i="1"/>
  <c r="BX784" i="1"/>
  <c r="BY784" i="1"/>
  <c r="BZ784" i="1"/>
  <c r="CA784" i="1"/>
  <c r="CH784" i="1"/>
  <c r="CL784" i="1"/>
  <c r="CM784" i="1"/>
  <c r="CN784" i="1"/>
  <c r="CO784" i="1"/>
  <c r="CP784" i="1"/>
  <c r="CZ784" i="1"/>
  <c r="DB784" i="1"/>
  <c r="DF784" i="1"/>
  <c r="AC2180" i="1"/>
  <c r="AH2180" i="1"/>
  <c r="BS2180" i="1"/>
  <c r="BV2180" i="1"/>
  <c r="BX2180" i="1"/>
  <c r="BY2180" i="1"/>
  <c r="BZ2180" i="1"/>
  <c r="CH2180" i="1"/>
  <c r="CL2180" i="1"/>
  <c r="CM2180" i="1"/>
  <c r="CN2180" i="1"/>
  <c r="CO2180" i="1"/>
  <c r="CP2180" i="1"/>
  <c r="CZ2180" i="1"/>
  <c r="DB2180" i="1"/>
  <c r="DF2180" i="1"/>
  <c r="AC1053" i="1"/>
  <c r="AH1053" i="1"/>
  <c r="BS1053" i="1"/>
  <c r="BV1053" i="1"/>
  <c r="BX1053" i="1"/>
  <c r="BY1053" i="1"/>
  <c r="BZ1053" i="1"/>
  <c r="CA1053" i="1"/>
  <c r="CH1053" i="1"/>
  <c r="CL1053" i="1"/>
  <c r="CM1053" i="1"/>
  <c r="CN1053" i="1"/>
  <c r="CO1053" i="1"/>
  <c r="CP1053" i="1"/>
  <c r="CZ1053" i="1"/>
  <c r="DB1053" i="1"/>
  <c r="DF1053" i="1"/>
  <c r="AC1299" i="1"/>
  <c r="AH1299" i="1"/>
  <c r="BS1299" i="1"/>
  <c r="BV1299" i="1"/>
  <c r="BX1299" i="1"/>
  <c r="BY1299" i="1"/>
  <c r="BZ1299" i="1"/>
  <c r="CH1299" i="1"/>
  <c r="CL1299" i="1"/>
  <c r="CM1299" i="1"/>
  <c r="CN1299" i="1"/>
  <c r="CO1299" i="1"/>
  <c r="CP1299" i="1"/>
  <c r="CZ1299" i="1"/>
  <c r="DB1299" i="1"/>
  <c r="DF1299" i="1"/>
  <c r="AC1064" i="1"/>
  <c r="AH1064" i="1"/>
  <c r="BS1064" i="1"/>
  <c r="BV1064" i="1"/>
  <c r="BX1064" i="1"/>
  <c r="BY1064" i="1"/>
  <c r="BZ1064" i="1"/>
  <c r="CA1064" i="1"/>
  <c r="CH1064" i="1"/>
  <c r="CL1064" i="1"/>
  <c r="CM1064" i="1"/>
  <c r="CN1064" i="1"/>
  <c r="CO1064" i="1"/>
  <c r="CP1064" i="1"/>
  <c r="CZ1064" i="1"/>
  <c r="DB1064" i="1"/>
  <c r="DF1064" i="1"/>
  <c r="AC1506" i="1"/>
  <c r="AH1506" i="1"/>
  <c r="BS1506" i="1"/>
  <c r="BV1506" i="1"/>
  <c r="BX1506" i="1"/>
  <c r="BY1506" i="1"/>
  <c r="BZ1506" i="1"/>
  <c r="CA1506" i="1"/>
  <c r="CH1506" i="1"/>
  <c r="CL1506" i="1"/>
  <c r="CM1506" i="1"/>
  <c r="CN1506" i="1"/>
  <c r="CO1506" i="1"/>
  <c r="CP1506" i="1"/>
  <c r="CZ1506" i="1"/>
  <c r="DB1506" i="1"/>
  <c r="DF1506" i="1"/>
  <c r="AC521" i="1"/>
  <c r="AH521" i="1"/>
  <c r="BS521" i="1"/>
  <c r="BV521" i="1"/>
  <c r="BX521" i="1"/>
  <c r="BY521" i="1"/>
  <c r="BZ521" i="1"/>
  <c r="CA521" i="1"/>
  <c r="CH521" i="1"/>
  <c r="CL521" i="1"/>
  <c r="CM521" i="1"/>
  <c r="CN521" i="1"/>
  <c r="CO521" i="1"/>
  <c r="CP521" i="1"/>
  <c r="CZ521" i="1"/>
  <c r="DB521" i="1"/>
  <c r="DF521" i="1"/>
  <c r="AC330" i="1"/>
  <c r="AH330" i="1"/>
  <c r="BS330" i="1"/>
  <c r="BV330" i="1"/>
  <c r="BX330" i="1"/>
  <c r="BY330" i="1"/>
  <c r="BZ330" i="1"/>
  <c r="CA330" i="1"/>
  <c r="CH330" i="1"/>
  <c r="CL330" i="1"/>
  <c r="CM330" i="1"/>
  <c r="CN330" i="1"/>
  <c r="CO330" i="1"/>
  <c r="CP330" i="1"/>
  <c r="CZ330" i="1"/>
  <c r="DB330" i="1"/>
  <c r="DF330" i="1"/>
  <c r="AC614" i="1"/>
  <c r="AH614" i="1"/>
  <c r="BS614" i="1"/>
  <c r="BV614" i="1"/>
  <c r="BX614" i="1"/>
  <c r="BY614" i="1"/>
  <c r="BZ614" i="1"/>
  <c r="CH614" i="1"/>
  <c r="CL614" i="1"/>
  <c r="CM614" i="1"/>
  <c r="CN614" i="1"/>
  <c r="CO614" i="1"/>
  <c r="CP614" i="1"/>
  <c r="CZ614" i="1"/>
  <c r="DB614" i="1"/>
  <c r="DF614" i="1"/>
  <c r="AC618" i="1"/>
  <c r="AH618" i="1"/>
  <c r="BS618" i="1"/>
  <c r="BV618" i="1"/>
  <c r="BX618" i="1"/>
  <c r="BY618" i="1"/>
  <c r="BZ618" i="1"/>
  <c r="CA618" i="1"/>
  <c r="CH618" i="1"/>
  <c r="CL618" i="1"/>
  <c r="CM618" i="1"/>
  <c r="CN618" i="1"/>
  <c r="CO618" i="1"/>
  <c r="CP618" i="1"/>
  <c r="CZ618" i="1"/>
  <c r="DB618" i="1"/>
  <c r="DF618" i="1"/>
  <c r="AC78" i="1"/>
  <c r="AH78" i="1"/>
  <c r="BS78" i="1"/>
  <c r="BV78" i="1"/>
  <c r="BX78" i="1"/>
  <c r="BY78" i="1"/>
  <c r="BZ78" i="1"/>
  <c r="CA78" i="1"/>
  <c r="CH78" i="1"/>
  <c r="CL78" i="1"/>
  <c r="CM78" i="1"/>
  <c r="CN78" i="1"/>
  <c r="CO78" i="1"/>
  <c r="CP78" i="1"/>
  <c r="CZ78" i="1"/>
  <c r="DB78" i="1"/>
  <c r="DF78" i="1"/>
  <c r="AC64" i="1"/>
  <c r="AH64" i="1"/>
  <c r="BS64" i="1"/>
  <c r="BV64" i="1"/>
  <c r="BX64" i="1"/>
  <c r="BY64" i="1"/>
  <c r="BZ64" i="1"/>
  <c r="CH64" i="1"/>
  <c r="CL64" i="1"/>
  <c r="CM64" i="1"/>
  <c r="CN64" i="1"/>
  <c r="CO64" i="1"/>
  <c r="CP64" i="1"/>
  <c r="CZ64" i="1"/>
  <c r="DB64" i="1"/>
  <c r="DF64" i="1"/>
  <c r="AC2174" i="1"/>
  <c r="AH2174" i="1"/>
  <c r="BS2174" i="1"/>
  <c r="BV2174" i="1"/>
  <c r="BX2174" i="1"/>
  <c r="BY2174" i="1"/>
  <c r="BZ2174" i="1"/>
  <c r="CA2174" i="1"/>
  <c r="CH2174" i="1"/>
  <c r="CL2174" i="1"/>
  <c r="CM2174" i="1"/>
  <c r="CN2174" i="1"/>
  <c r="CO2174" i="1"/>
  <c r="CP2174" i="1"/>
  <c r="CZ2174" i="1"/>
  <c r="DB2174" i="1"/>
  <c r="DF2174" i="1"/>
  <c r="AC2276" i="1"/>
  <c r="AH2276" i="1"/>
  <c r="BS2276" i="1"/>
  <c r="BV2276" i="1"/>
  <c r="BX2276" i="1"/>
  <c r="BY2276" i="1"/>
  <c r="BZ2276" i="1"/>
  <c r="CA2276" i="1"/>
  <c r="CH2276" i="1"/>
  <c r="CL2276" i="1"/>
  <c r="CM2276" i="1"/>
  <c r="CN2276" i="1"/>
  <c r="CO2276" i="1"/>
  <c r="CP2276" i="1"/>
  <c r="CZ2276" i="1"/>
  <c r="DB2276" i="1"/>
  <c r="DF2276" i="1"/>
  <c r="AC1822" i="1"/>
  <c r="AH1822" i="1"/>
  <c r="BS1822" i="1"/>
  <c r="BV1822" i="1"/>
  <c r="BX1822" i="1"/>
  <c r="BY1822" i="1"/>
  <c r="BZ1822" i="1"/>
  <c r="CA1822" i="1"/>
  <c r="CH1822" i="1"/>
  <c r="CL1822" i="1"/>
  <c r="CM1822" i="1"/>
  <c r="CN1822" i="1"/>
  <c r="CO1822" i="1"/>
  <c r="CP1822" i="1"/>
  <c r="CZ1822" i="1"/>
  <c r="DB1822" i="1"/>
  <c r="DF1822" i="1"/>
  <c r="AC1325" i="1"/>
  <c r="AH1325" i="1"/>
  <c r="BS1325" i="1"/>
  <c r="BV1325" i="1"/>
  <c r="BX1325" i="1"/>
  <c r="BY1325" i="1"/>
  <c r="BZ1325" i="1"/>
  <c r="CA1325" i="1"/>
  <c r="CH1325" i="1"/>
  <c r="CL1325" i="1"/>
  <c r="CM1325" i="1"/>
  <c r="CN1325" i="1"/>
  <c r="CO1325" i="1"/>
  <c r="CP1325" i="1"/>
  <c r="CZ1325" i="1"/>
  <c r="DB1325" i="1"/>
  <c r="DF1325" i="1"/>
  <c r="AC467" i="1"/>
  <c r="AH467" i="1"/>
  <c r="BS467" i="1"/>
  <c r="BV467" i="1"/>
  <c r="BX467" i="1"/>
  <c r="BY467" i="1"/>
  <c r="BZ467" i="1"/>
  <c r="CH467" i="1"/>
  <c r="CL467" i="1"/>
  <c r="CM467" i="1"/>
  <c r="CN467" i="1"/>
  <c r="CO467" i="1"/>
  <c r="CP467" i="1"/>
  <c r="CZ467" i="1"/>
  <c r="DB467" i="1"/>
  <c r="DF467" i="1"/>
  <c r="AC1250" i="1"/>
  <c r="AH1250" i="1"/>
  <c r="BS1250" i="1"/>
  <c r="BV1250" i="1"/>
  <c r="BX1250" i="1"/>
  <c r="BY1250" i="1"/>
  <c r="BZ1250" i="1"/>
  <c r="CH1250" i="1"/>
  <c r="CL1250" i="1"/>
  <c r="CM1250" i="1"/>
  <c r="CN1250" i="1"/>
  <c r="CP1250" i="1"/>
  <c r="CZ1250" i="1"/>
  <c r="DB1250" i="1"/>
  <c r="DF1250" i="1"/>
  <c r="AC1092" i="1"/>
  <c r="AH1092" i="1"/>
  <c r="BS1092" i="1"/>
  <c r="BV1092" i="1"/>
  <c r="BX1092" i="1"/>
  <c r="BY1092" i="1"/>
  <c r="BZ1092" i="1"/>
  <c r="CA1092" i="1"/>
  <c r="CH1092" i="1"/>
  <c r="CL1092" i="1"/>
  <c r="CM1092" i="1"/>
  <c r="CN1092" i="1"/>
  <c r="CO1092" i="1"/>
  <c r="CP1092" i="1"/>
  <c r="CZ1092" i="1"/>
  <c r="DB1092" i="1"/>
  <c r="DF1092" i="1"/>
  <c r="AC1817" i="1"/>
  <c r="AH1817" i="1"/>
  <c r="BS1817" i="1"/>
  <c r="BV1817" i="1"/>
  <c r="BX1817" i="1"/>
  <c r="BY1817" i="1"/>
  <c r="BZ1817" i="1"/>
  <c r="CA1817" i="1"/>
  <c r="CH1817" i="1"/>
  <c r="CL1817" i="1"/>
  <c r="CM1817" i="1"/>
  <c r="CN1817" i="1"/>
  <c r="CO1817" i="1"/>
  <c r="CP1817" i="1"/>
  <c r="CZ1817" i="1"/>
  <c r="DB1817" i="1"/>
  <c r="DF1817" i="1"/>
  <c r="AC846" i="1"/>
  <c r="AH846" i="1"/>
  <c r="BS846" i="1"/>
  <c r="BV846" i="1"/>
  <c r="BX846" i="1"/>
  <c r="BY846" i="1"/>
  <c r="BZ846" i="1"/>
  <c r="CA846" i="1"/>
  <c r="CH846" i="1"/>
  <c r="CL846" i="1"/>
  <c r="CM846" i="1"/>
  <c r="CN846" i="1"/>
  <c r="CO846" i="1"/>
  <c r="CP846" i="1"/>
  <c r="CZ846" i="1"/>
  <c r="DB846" i="1"/>
  <c r="DF846" i="1"/>
  <c r="AC761" i="1"/>
  <c r="AH761" i="1"/>
  <c r="BS761" i="1"/>
  <c r="BV761" i="1"/>
  <c r="BX761" i="1"/>
  <c r="BY761" i="1"/>
  <c r="BZ761" i="1"/>
  <c r="CA761" i="1"/>
  <c r="CH761" i="1"/>
  <c r="CL761" i="1"/>
  <c r="CM761" i="1"/>
  <c r="CN761" i="1"/>
  <c r="CO761" i="1"/>
  <c r="CP761" i="1"/>
  <c r="CZ761" i="1"/>
  <c r="DB761" i="1"/>
  <c r="DF761" i="1"/>
  <c r="AC1653" i="1"/>
  <c r="AH1653" i="1"/>
  <c r="BS1653" i="1"/>
  <c r="BV1653" i="1"/>
  <c r="BX1653" i="1"/>
  <c r="BY1653" i="1"/>
  <c r="BZ1653" i="1"/>
  <c r="CH1653" i="1"/>
  <c r="CL1653" i="1"/>
  <c r="CM1653" i="1"/>
  <c r="CN1653" i="1"/>
  <c r="CO1653" i="1"/>
  <c r="CP1653" i="1"/>
  <c r="CZ1653" i="1"/>
  <c r="DB1653" i="1"/>
  <c r="DF1653" i="1"/>
  <c r="AC549" i="1"/>
  <c r="AH549" i="1"/>
  <c r="BS549" i="1"/>
  <c r="BV549" i="1"/>
  <c r="BX549" i="1"/>
  <c r="BY549" i="1"/>
  <c r="BZ549" i="1"/>
  <c r="CA549" i="1"/>
  <c r="CH549" i="1"/>
  <c r="CL549" i="1"/>
  <c r="CM549" i="1"/>
  <c r="CN549" i="1"/>
  <c r="CO549" i="1"/>
  <c r="CP549" i="1"/>
  <c r="CZ549" i="1"/>
  <c r="DB549" i="1"/>
  <c r="DF549" i="1"/>
  <c r="AC1204" i="1"/>
  <c r="AH1204" i="1"/>
  <c r="BS1204" i="1"/>
  <c r="BV1204" i="1"/>
  <c r="BX1204" i="1"/>
  <c r="BY1204" i="1"/>
  <c r="BZ1204" i="1"/>
  <c r="CH1204" i="1"/>
  <c r="CL1204" i="1"/>
  <c r="CM1204" i="1"/>
  <c r="CN1204" i="1"/>
  <c r="CO1204" i="1"/>
  <c r="CP1204" i="1"/>
  <c r="CZ1204" i="1"/>
  <c r="DB1204" i="1"/>
  <c r="DF1204" i="1"/>
  <c r="AC1626" i="1"/>
  <c r="AH1626" i="1"/>
  <c r="BS1626" i="1"/>
  <c r="BV1626" i="1"/>
  <c r="BX1626" i="1"/>
  <c r="BY1626" i="1"/>
  <c r="BZ1626" i="1"/>
  <c r="CA1626" i="1"/>
  <c r="CH1626" i="1"/>
  <c r="CL1626" i="1"/>
  <c r="CM1626" i="1"/>
  <c r="CN1626" i="1"/>
  <c r="CO1626" i="1"/>
  <c r="CP1626" i="1"/>
  <c r="CZ1626" i="1"/>
  <c r="DB1626" i="1"/>
  <c r="DF1626" i="1"/>
  <c r="AC81" i="1"/>
  <c r="AH81" i="1"/>
  <c r="BS81" i="1"/>
  <c r="BV81" i="1"/>
  <c r="BX81" i="1"/>
  <c r="BY81" i="1"/>
  <c r="BZ81" i="1"/>
  <c r="CA81" i="1"/>
  <c r="CH81" i="1"/>
  <c r="CL81" i="1"/>
  <c r="CM81" i="1"/>
  <c r="CN81" i="1"/>
  <c r="CO81" i="1"/>
  <c r="CP81" i="1"/>
  <c r="CZ81" i="1"/>
  <c r="DB81" i="1"/>
  <c r="DF81" i="1"/>
  <c r="AC441" i="1"/>
  <c r="AH441" i="1"/>
  <c r="BS441" i="1"/>
  <c r="BV441" i="1"/>
  <c r="BX441" i="1"/>
  <c r="BY441" i="1"/>
  <c r="BZ441" i="1"/>
  <c r="CA441" i="1"/>
  <c r="CH441" i="1"/>
  <c r="CL441" i="1"/>
  <c r="CM441" i="1"/>
  <c r="CN441" i="1"/>
  <c r="CO441" i="1"/>
  <c r="CP441" i="1"/>
  <c r="CZ441" i="1"/>
  <c r="DB441" i="1"/>
  <c r="DF441" i="1"/>
  <c r="AC1425" i="1"/>
  <c r="AH1425" i="1"/>
  <c r="BS1425" i="1"/>
  <c r="BV1425" i="1"/>
  <c r="BX1425" i="1"/>
  <c r="BY1425" i="1"/>
  <c r="BZ1425" i="1"/>
  <c r="CA1425" i="1"/>
  <c r="CH1425" i="1"/>
  <c r="CL1425" i="1"/>
  <c r="CM1425" i="1"/>
  <c r="CN1425" i="1"/>
  <c r="CO1425" i="1"/>
  <c r="CP1425" i="1"/>
  <c r="CZ1425" i="1"/>
  <c r="DB1425" i="1"/>
  <c r="DF1425" i="1"/>
  <c r="AC404" i="1"/>
  <c r="AH404" i="1"/>
  <c r="BS404" i="1"/>
  <c r="BV404" i="1"/>
  <c r="BX404" i="1"/>
  <c r="BY404" i="1"/>
  <c r="BZ404" i="1"/>
  <c r="CA404" i="1"/>
  <c r="CH404" i="1"/>
  <c r="CL404" i="1"/>
  <c r="CM404" i="1"/>
  <c r="CN404" i="1"/>
  <c r="CO404" i="1"/>
  <c r="CP404" i="1"/>
  <c r="CZ404" i="1"/>
  <c r="DB404" i="1"/>
  <c r="DF404" i="1"/>
  <c r="AC83" i="1"/>
  <c r="AH83" i="1"/>
  <c r="BS83" i="1"/>
  <c r="BV83" i="1"/>
  <c r="BX83" i="1"/>
  <c r="BY83" i="1"/>
  <c r="BZ83" i="1"/>
  <c r="CA83" i="1"/>
  <c r="CH83" i="1"/>
  <c r="CL83" i="1"/>
  <c r="CM83" i="1"/>
  <c r="CN83" i="1"/>
  <c r="CO83" i="1"/>
  <c r="CP83" i="1"/>
  <c r="CZ83" i="1"/>
  <c r="DB83" i="1"/>
  <c r="DF83" i="1"/>
  <c r="AC629" i="1"/>
  <c r="AH629" i="1"/>
  <c r="BS629" i="1"/>
  <c r="BV629" i="1"/>
  <c r="BX629" i="1"/>
  <c r="BY629" i="1"/>
  <c r="BZ629" i="1"/>
  <c r="CA629" i="1"/>
  <c r="CH629" i="1"/>
  <c r="CL629" i="1"/>
  <c r="CM629" i="1"/>
  <c r="CN629" i="1"/>
  <c r="CO629" i="1"/>
  <c r="CP629" i="1"/>
  <c r="CZ629" i="1"/>
  <c r="DB629" i="1"/>
  <c r="DF629" i="1"/>
  <c r="AC1120" i="1"/>
  <c r="AH1120" i="1"/>
  <c r="BS1120" i="1"/>
  <c r="BV1120" i="1"/>
  <c r="BX1120" i="1"/>
  <c r="BY1120" i="1"/>
  <c r="BZ1120" i="1"/>
  <c r="CA1120" i="1"/>
  <c r="CH1120" i="1"/>
  <c r="CL1120" i="1"/>
  <c r="CM1120" i="1"/>
  <c r="CN1120" i="1"/>
  <c r="CO1120" i="1"/>
  <c r="CP1120" i="1"/>
  <c r="CZ1120" i="1"/>
  <c r="DB1120" i="1"/>
  <c r="DF1120" i="1"/>
  <c r="AC1242" i="1"/>
  <c r="AH1242" i="1"/>
  <c r="BS1242" i="1"/>
  <c r="BV1242" i="1"/>
  <c r="BX1242" i="1"/>
  <c r="BY1242" i="1"/>
  <c r="BZ1242" i="1"/>
  <c r="CA1242" i="1"/>
  <c r="CH1242" i="1"/>
  <c r="CL1242" i="1"/>
  <c r="CM1242" i="1"/>
  <c r="CN1242" i="1"/>
  <c r="CO1242" i="1"/>
  <c r="CP1242" i="1"/>
  <c r="CZ1242" i="1"/>
  <c r="DB1242" i="1"/>
  <c r="DF1242" i="1"/>
  <c r="AC1251" i="1"/>
  <c r="AH1251" i="1"/>
  <c r="BS1251" i="1"/>
  <c r="BV1251" i="1"/>
  <c r="BX1251" i="1"/>
  <c r="BY1251" i="1"/>
  <c r="BZ1251" i="1"/>
  <c r="CA1251" i="1"/>
  <c r="CH1251" i="1"/>
  <c r="CL1251" i="1"/>
  <c r="CM1251" i="1"/>
  <c r="CN1251" i="1"/>
  <c r="CO1251" i="1"/>
  <c r="CP1251" i="1"/>
  <c r="CZ1251" i="1"/>
  <c r="DB1251" i="1"/>
  <c r="DF1251" i="1"/>
  <c r="AC564" i="1"/>
  <c r="AH564" i="1"/>
  <c r="BS564" i="1"/>
  <c r="BV564" i="1"/>
  <c r="BX564" i="1"/>
  <c r="BY564" i="1"/>
  <c r="BZ564" i="1"/>
  <c r="CA564" i="1"/>
  <c r="CH564" i="1"/>
  <c r="CL564" i="1"/>
  <c r="CM564" i="1"/>
  <c r="CN564" i="1"/>
  <c r="CO564" i="1"/>
  <c r="CP564" i="1"/>
  <c r="CZ564" i="1"/>
  <c r="DB564" i="1"/>
  <c r="DF564" i="1"/>
  <c r="AC1385" i="1"/>
  <c r="AH1385" i="1"/>
  <c r="BS1385" i="1"/>
  <c r="BV1385" i="1"/>
  <c r="BX1385" i="1"/>
  <c r="BY1385" i="1"/>
  <c r="BZ1385" i="1"/>
  <c r="CH1385" i="1"/>
  <c r="CL1385" i="1"/>
  <c r="CM1385" i="1"/>
  <c r="CN1385" i="1"/>
  <c r="CO1385" i="1"/>
  <c r="CP1385" i="1"/>
  <c r="CZ1385" i="1"/>
  <c r="DB1385" i="1"/>
  <c r="DF1385" i="1"/>
  <c r="AC789" i="1"/>
  <c r="AH789" i="1"/>
  <c r="BS789" i="1"/>
  <c r="BV789" i="1"/>
  <c r="BX789" i="1"/>
  <c r="BY789" i="1"/>
  <c r="BZ789" i="1"/>
  <c r="CH789" i="1"/>
  <c r="CL789" i="1"/>
  <c r="CM789" i="1"/>
  <c r="CN789" i="1"/>
  <c r="CO789" i="1"/>
  <c r="CP789" i="1"/>
  <c r="CZ789" i="1"/>
  <c r="DB789" i="1"/>
  <c r="DF789" i="1"/>
  <c r="AC2201" i="1"/>
  <c r="AH2201" i="1"/>
  <c r="BS2201" i="1"/>
  <c r="BV2201" i="1"/>
  <c r="BX2201" i="1"/>
  <c r="BY2201" i="1"/>
  <c r="BZ2201" i="1"/>
  <c r="CA2201" i="1"/>
  <c r="CH2201" i="1"/>
  <c r="CL2201" i="1"/>
  <c r="CM2201" i="1"/>
  <c r="CN2201" i="1"/>
  <c r="CO2201" i="1"/>
  <c r="CP2201" i="1"/>
  <c r="CZ2201" i="1"/>
  <c r="DB2201" i="1"/>
  <c r="DF2201" i="1"/>
  <c r="AC1590" i="1"/>
  <c r="AH1590" i="1"/>
  <c r="BS1590" i="1"/>
  <c r="BV1590" i="1"/>
  <c r="BX1590" i="1"/>
  <c r="BY1590" i="1"/>
  <c r="BZ1590" i="1"/>
  <c r="CH1590" i="1"/>
  <c r="CL1590" i="1"/>
  <c r="CM1590" i="1"/>
  <c r="CN1590" i="1"/>
  <c r="CO1590" i="1"/>
  <c r="CP1590" i="1"/>
  <c r="CZ1590" i="1"/>
  <c r="DB1590" i="1"/>
  <c r="DF1590" i="1"/>
  <c r="AC2063" i="1"/>
  <c r="AH2063" i="1"/>
  <c r="BS2063" i="1"/>
  <c r="BV2063" i="1"/>
  <c r="BX2063" i="1"/>
  <c r="BY2063" i="1"/>
  <c r="BZ2063" i="1"/>
  <c r="CH2063" i="1"/>
  <c r="CL2063" i="1"/>
  <c r="CM2063" i="1"/>
  <c r="CN2063" i="1"/>
  <c r="CP2063" i="1"/>
  <c r="CZ2063" i="1"/>
  <c r="DB2063" i="1"/>
  <c r="DF2063" i="1"/>
  <c r="AC1682" i="1"/>
  <c r="AH1682" i="1"/>
  <c r="BS1682" i="1"/>
  <c r="BV1682" i="1"/>
  <c r="BX1682" i="1"/>
  <c r="BY1682" i="1"/>
  <c r="BZ1682" i="1"/>
  <c r="CA1682" i="1"/>
  <c r="CH1682" i="1"/>
  <c r="CL1682" i="1"/>
  <c r="CM1682" i="1"/>
  <c r="CN1682" i="1"/>
  <c r="CO1682" i="1"/>
  <c r="CP1682" i="1"/>
  <c r="CZ1682" i="1"/>
  <c r="DB1682" i="1"/>
  <c r="DF1682" i="1"/>
  <c r="AC621" i="1"/>
  <c r="AH621" i="1"/>
  <c r="BS621" i="1"/>
  <c r="BV621" i="1"/>
  <c r="BX621" i="1"/>
  <c r="BY621" i="1"/>
  <c r="BZ621" i="1"/>
  <c r="CA621" i="1"/>
  <c r="CH621" i="1"/>
  <c r="CL621" i="1"/>
  <c r="CM621" i="1"/>
  <c r="CN621" i="1"/>
  <c r="CO621" i="1"/>
  <c r="CP621" i="1"/>
  <c r="CZ621" i="1"/>
  <c r="DB621" i="1"/>
  <c r="DF621" i="1"/>
  <c r="AC2099" i="1"/>
  <c r="AH2099" i="1"/>
  <c r="BS2099" i="1"/>
  <c r="BV2099" i="1"/>
  <c r="BX2099" i="1"/>
  <c r="BY2099" i="1"/>
  <c r="BZ2099" i="1"/>
  <c r="CH2099" i="1"/>
  <c r="CL2099" i="1"/>
  <c r="CM2099" i="1"/>
  <c r="CN2099" i="1"/>
  <c r="CO2099" i="1"/>
  <c r="CP2099" i="1"/>
  <c r="CZ2099" i="1"/>
  <c r="DB2099" i="1"/>
  <c r="DF2099" i="1"/>
  <c r="AC1608" i="1"/>
  <c r="AH1608" i="1"/>
  <c r="BS1608" i="1"/>
  <c r="BV1608" i="1"/>
  <c r="BX1608" i="1"/>
  <c r="BY1608" i="1"/>
  <c r="BZ1608" i="1"/>
  <c r="CA1608" i="1"/>
  <c r="CH1608" i="1"/>
  <c r="CL1608" i="1"/>
  <c r="CM1608" i="1"/>
  <c r="CN1608" i="1"/>
  <c r="CO1608" i="1"/>
  <c r="CP1608" i="1"/>
  <c r="CZ1608" i="1"/>
  <c r="DB1608" i="1"/>
  <c r="DF1608" i="1"/>
  <c r="AC406" i="1"/>
  <c r="AH406" i="1"/>
  <c r="BS406" i="1"/>
  <c r="BV406" i="1"/>
  <c r="BX406" i="1"/>
  <c r="BY406" i="1"/>
  <c r="BZ406" i="1"/>
  <c r="CH406" i="1"/>
  <c r="CL406" i="1"/>
  <c r="CM406" i="1"/>
  <c r="CN406" i="1"/>
  <c r="CO406" i="1"/>
  <c r="CP406" i="1"/>
  <c r="CZ406" i="1"/>
  <c r="DB406" i="1"/>
  <c r="DF406" i="1"/>
  <c r="AC1392" i="1"/>
  <c r="AH1392" i="1"/>
  <c r="BS1392" i="1"/>
  <c r="BV1392" i="1"/>
  <c r="BX1392" i="1"/>
  <c r="BY1392" i="1"/>
  <c r="BZ1392" i="1"/>
  <c r="CH1392" i="1"/>
  <c r="CL1392" i="1"/>
  <c r="CM1392" i="1"/>
  <c r="CN1392" i="1"/>
  <c r="CO1392" i="1"/>
  <c r="CP1392" i="1"/>
  <c r="CZ1392" i="1"/>
  <c r="DB1392" i="1"/>
  <c r="DF1392" i="1"/>
  <c r="AC1468" i="1"/>
  <c r="AH1468" i="1"/>
  <c r="BS1468" i="1"/>
  <c r="BV1468" i="1"/>
  <c r="BX1468" i="1"/>
  <c r="BY1468" i="1"/>
  <c r="BZ1468" i="1"/>
  <c r="CA1468" i="1"/>
  <c r="CH1468" i="1"/>
  <c r="CL1468" i="1"/>
  <c r="CM1468" i="1"/>
  <c r="CN1468" i="1"/>
  <c r="CO1468" i="1"/>
  <c r="CP1468" i="1"/>
  <c r="CZ1468" i="1"/>
  <c r="DB1468" i="1"/>
  <c r="DF1468" i="1"/>
  <c r="AC2235" i="1"/>
  <c r="AH2235" i="1"/>
  <c r="BS2235" i="1"/>
  <c r="BV2235" i="1"/>
  <c r="BX2235" i="1"/>
  <c r="BY2235" i="1"/>
  <c r="BZ2235" i="1"/>
  <c r="CA2235" i="1"/>
  <c r="CH2235" i="1"/>
  <c r="CL2235" i="1"/>
  <c r="CM2235" i="1"/>
  <c r="CN2235" i="1"/>
  <c r="CO2235" i="1"/>
  <c r="CP2235" i="1"/>
  <c r="CZ2235" i="1"/>
  <c r="DB2235" i="1"/>
  <c r="DF2235" i="1"/>
  <c r="AC2120" i="1"/>
  <c r="AH2120" i="1"/>
  <c r="BS2120" i="1"/>
  <c r="BV2120" i="1"/>
  <c r="BX2120" i="1"/>
  <c r="BY2120" i="1"/>
  <c r="BZ2120" i="1"/>
  <c r="CH2120" i="1"/>
  <c r="CL2120" i="1"/>
  <c r="CM2120" i="1"/>
  <c r="CN2120" i="1"/>
  <c r="CP2120" i="1"/>
  <c r="CZ2120" i="1"/>
  <c r="DB2120" i="1"/>
  <c r="DF2120" i="1"/>
  <c r="AC582" i="1"/>
  <c r="AH582" i="1"/>
  <c r="BS582" i="1"/>
  <c r="BV582" i="1"/>
  <c r="BX582" i="1"/>
  <c r="BY582" i="1"/>
  <c r="BZ582" i="1"/>
  <c r="CA582" i="1"/>
  <c r="CH582" i="1"/>
  <c r="CL582" i="1"/>
  <c r="CM582" i="1"/>
  <c r="CN582" i="1"/>
  <c r="CO582" i="1"/>
  <c r="CP582" i="1"/>
  <c r="CZ582" i="1"/>
  <c r="DB582" i="1"/>
  <c r="DF582" i="1"/>
  <c r="AC2151" i="1"/>
  <c r="AH2151" i="1"/>
  <c r="BS2151" i="1"/>
  <c r="BV2151" i="1"/>
  <c r="BX2151" i="1"/>
  <c r="BY2151" i="1"/>
  <c r="BZ2151" i="1"/>
  <c r="CH2151" i="1"/>
  <c r="CL2151" i="1"/>
  <c r="CM2151" i="1"/>
  <c r="CN2151" i="1"/>
  <c r="CO2151" i="1"/>
  <c r="CP2151" i="1"/>
  <c r="CZ2151" i="1"/>
  <c r="DB2151" i="1"/>
  <c r="DF2151" i="1"/>
  <c r="AC1455" i="1"/>
  <c r="AH1455" i="1"/>
  <c r="BS1455" i="1"/>
  <c r="BV1455" i="1"/>
  <c r="BX1455" i="1"/>
  <c r="BY1455" i="1"/>
  <c r="BZ1455" i="1"/>
  <c r="CA1455" i="1"/>
  <c r="CH1455" i="1"/>
  <c r="CL1455" i="1"/>
  <c r="CM1455" i="1"/>
  <c r="CN1455" i="1"/>
  <c r="CO1455" i="1"/>
  <c r="CP1455" i="1"/>
  <c r="CZ1455" i="1"/>
  <c r="DB1455" i="1"/>
  <c r="DF1455" i="1"/>
  <c r="AC2256" i="1"/>
  <c r="AH2256" i="1"/>
  <c r="BS2256" i="1"/>
  <c r="BV2256" i="1"/>
  <c r="BX2256" i="1"/>
  <c r="BY2256" i="1"/>
  <c r="BZ2256" i="1"/>
  <c r="CA2256" i="1"/>
  <c r="CH2256" i="1"/>
  <c r="CL2256" i="1"/>
  <c r="CM2256" i="1"/>
  <c r="CN2256" i="1"/>
  <c r="CO2256" i="1"/>
  <c r="CP2256" i="1"/>
  <c r="CZ2256" i="1"/>
  <c r="DB2256" i="1"/>
  <c r="DF2256" i="1"/>
  <c r="AC382" i="1"/>
  <c r="AH382" i="1"/>
  <c r="BS382" i="1"/>
  <c r="BV382" i="1"/>
  <c r="BX382" i="1"/>
  <c r="BY382" i="1"/>
  <c r="BZ382" i="1"/>
  <c r="CA382" i="1"/>
  <c r="CH382" i="1"/>
  <c r="CL382" i="1"/>
  <c r="CM382" i="1"/>
  <c r="CN382" i="1"/>
  <c r="CO382" i="1"/>
  <c r="CP382" i="1"/>
  <c r="CZ382" i="1"/>
  <c r="DB382" i="1"/>
  <c r="DF382" i="1"/>
  <c r="AC2095" i="1"/>
  <c r="AH2095" i="1"/>
  <c r="BS2095" i="1"/>
  <c r="BV2095" i="1"/>
  <c r="BX2095" i="1"/>
  <c r="BY2095" i="1"/>
  <c r="BZ2095" i="1"/>
  <c r="CA2095" i="1"/>
  <c r="CH2095" i="1"/>
  <c r="CL2095" i="1"/>
  <c r="CM2095" i="1"/>
  <c r="CN2095" i="1"/>
  <c r="CO2095" i="1"/>
  <c r="CP2095" i="1"/>
  <c r="CZ2095" i="1"/>
  <c r="DB2095" i="1"/>
  <c r="DF2095" i="1"/>
  <c r="AC401" i="1"/>
  <c r="AH401" i="1"/>
  <c r="BS401" i="1"/>
  <c r="BV401" i="1"/>
  <c r="BX401" i="1"/>
  <c r="BY401" i="1"/>
  <c r="BZ401" i="1"/>
  <c r="CA401" i="1"/>
  <c r="CH401" i="1"/>
  <c r="CL401" i="1"/>
  <c r="CM401" i="1"/>
  <c r="CN401" i="1"/>
  <c r="CO401" i="1"/>
  <c r="CP401" i="1"/>
  <c r="CZ401" i="1"/>
  <c r="DB401" i="1"/>
  <c r="DF401" i="1"/>
  <c r="AC2098" i="1"/>
  <c r="AH2098" i="1"/>
  <c r="BS2098" i="1"/>
  <c r="BV2098" i="1"/>
  <c r="BX2098" i="1"/>
  <c r="BY2098" i="1"/>
  <c r="BZ2098" i="1"/>
  <c r="CA2098" i="1"/>
  <c r="CH2098" i="1"/>
  <c r="CL2098" i="1"/>
  <c r="CM2098" i="1"/>
  <c r="CN2098" i="1"/>
  <c r="CO2098" i="1"/>
  <c r="CP2098" i="1"/>
  <c r="CZ2098" i="1"/>
  <c r="DB2098" i="1"/>
  <c r="DF2098" i="1"/>
  <c r="AC1411" i="1"/>
  <c r="AH1411" i="1"/>
  <c r="BS1411" i="1"/>
  <c r="BV1411" i="1"/>
  <c r="BX1411" i="1"/>
  <c r="BY1411" i="1"/>
  <c r="BZ1411" i="1"/>
  <c r="CA1411" i="1"/>
  <c r="CH1411" i="1"/>
  <c r="CL1411" i="1"/>
  <c r="CM1411" i="1"/>
  <c r="CN1411" i="1"/>
  <c r="CO1411" i="1"/>
  <c r="CP1411" i="1"/>
  <c r="CZ1411" i="1"/>
  <c r="DB1411" i="1"/>
  <c r="DF1411" i="1"/>
  <c r="AC1084" i="1"/>
  <c r="AH1084" i="1"/>
  <c r="BS1084" i="1"/>
  <c r="BV1084" i="1"/>
  <c r="BX1084" i="1"/>
  <c r="BY1084" i="1"/>
  <c r="BZ1084" i="1"/>
  <c r="CH1084" i="1"/>
  <c r="CL1084" i="1"/>
  <c r="CM1084" i="1"/>
  <c r="CN1084" i="1"/>
  <c r="CO1084" i="1"/>
  <c r="CP1084" i="1"/>
  <c r="CZ1084" i="1"/>
  <c r="DB1084" i="1"/>
  <c r="DF1084" i="1"/>
  <c r="AC685" i="1"/>
  <c r="AH685" i="1"/>
  <c r="BS685" i="1"/>
  <c r="BV685" i="1"/>
  <c r="BX685" i="1"/>
  <c r="BY685" i="1"/>
  <c r="BZ685" i="1"/>
  <c r="CA685" i="1"/>
  <c r="CH685" i="1"/>
  <c r="CL685" i="1"/>
  <c r="CM685" i="1"/>
  <c r="CN685" i="1"/>
  <c r="CO685" i="1"/>
  <c r="CP685" i="1"/>
  <c r="CZ685" i="1"/>
  <c r="DB685" i="1"/>
  <c r="DF685" i="1"/>
  <c r="AC735" i="1"/>
  <c r="AH735" i="1"/>
  <c r="BS735" i="1"/>
  <c r="BV735" i="1"/>
  <c r="BX735" i="1"/>
  <c r="BY735" i="1"/>
  <c r="BZ735" i="1"/>
  <c r="CA735" i="1"/>
  <c r="CH735" i="1"/>
  <c r="CL735" i="1"/>
  <c r="CM735" i="1"/>
  <c r="CN735" i="1"/>
  <c r="CO735" i="1"/>
  <c r="CP735" i="1"/>
  <c r="CZ735" i="1"/>
  <c r="DB735" i="1"/>
  <c r="DF735" i="1"/>
  <c r="AC558" i="1"/>
  <c r="AH558" i="1"/>
  <c r="BS558" i="1"/>
  <c r="BV558" i="1"/>
  <c r="BX558" i="1"/>
  <c r="BY558" i="1"/>
  <c r="BZ558" i="1"/>
  <c r="CA558" i="1"/>
  <c r="CH558" i="1"/>
  <c r="CL558" i="1"/>
  <c r="CM558" i="1"/>
  <c r="CN558" i="1"/>
  <c r="CO558" i="1"/>
  <c r="CP558" i="1"/>
  <c r="CZ558" i="1"/>
  <c r="DB558" i="1"/>
  <c r="DF558" i="1"/>
  <c r="AC1083" i="1"/>
  <c r="AH1083" i="1"/>
  <c r="BS1083" i="1"/>
  <c r="BV1083" i="1"/>
  <c r="BX1083" i="1"/>
  <c r="BY1083" i="1"/>
  <c r="BZ1083" i="1"/>
  <c r="CH1083" i="1"/>
  <c r="CL1083" i="1"/>
  <c r="CM1083" i="1"/>
  <c r="CN1083" i="1"/>
  <c r="CO1083" i="1"/>
  <c r="CP1083" i="1"/>
  <c r="CZ1083" i="1"/>
  <c r="DB1083" i="1"/>
  <c r="DF1083" i="1"/>
  <c r="AC532" i="1"/>
  <c r="AH532" i="1"/>
  <c r="BS532" i="1"/>
  <c r="BV532" i="1"/>
  <c r="BX532" i="1"/>
  <c r="BY532" i="1"/>
  <c r="BZ532" i="1"/>
  <c r="CA532" i="1"/>
  <c r="CH532" i="1"/>
  <c r="CL532" i="1"/>
  <c r="CM532" i="1"/>
  <c r="CN532" i="1"/>
  <c r="CO532" i="1"/>
  <c r="CP532" i="1"/>
  <c r="CZ532" i="1"/>
  <c r="DB532" i="1"/>
  <c r="DF532" i="1"/>
  <c r="AC1461" i="1"/>
  <c r="AH1461" i="1"/>
  <c r="BS1461" i="1"/>
  <c r="BV1461" i="1"/>
  <c r="BX1461" i="1"/>
  <c r="BY1461" i="1"/>
  <c r="BZ1461" i="1"/>
  <c r="CA1461" i="1"/>
  <c r="CH1461" i="1"/>
  <c r="CL1461" i="1"/>
  <c r="CM1461" i="1"/>
  <c r="CN1461" i="1"/>
  <c r="CP1461" i="1"/>
  <c r="CZ1461" i="1"/>
  <c r="DB1461" i="1"/>
  <c r="DF1461" i="1"/>
  <c r="AC689" i="1"/>
  <c r="AH689" i="1"/>
  <c r="BS689" i="1"/>
  <c r="BV689" i="1"/>
  <c r="BX689" i="1"/>
  <c r="BY689" i="1"/>
  <c r="BZ689" i="1"/>
  <c r="CH689" i="1"/>
  <c r="CL689" i="1"/>
  <c r="CM689" i="1"/>
  <c r="CN689" i="1"/>
  <c r="CO689" i="1"/>
  <c r="CP689" i="1"/>
  <c r="CZ689" i="1"/>
  <c r="DB689" i="1"/>
  <c r="DF689" i="1"/>
  <c r="AC1751" i="1"/>
  <c r="AH1751" i="1"/>
  <c r="BS1751" i="1"/>
  <c r="BV1751" i="1"/>
  <c r="BX1751" i="1"/>
  <c r="BY1751" i="1"/>
  <c r="BZ1751" i="1"/>
  <c r="CH1751" i="1"/>
  <c r="CL1751" i="1"/>
  <c r="CM1751" i="1"/>
  <c r="CN1751" i="1"/>
  <c r="CO1751" i="1"/>
  <c r="CP1751" i="1"/>
  <c r="CZ1751" i="1"/>
  <c r="DB1751" i="1"/>
  <c r="DF1751" i="1"/>
  <c r="AC1106" i="1"/>
  <c r="AH1106" i="1"/>
  <c r="BS1106" i="1"/>
  <c r="BV1106" i="1"/>
  <c r="BX1106" i="1"/>
  <c r="BY1106" i="1"/>
  <c r="BZ1106" i="1"/>
  <c r="CA1106" i="1"/>
  <c r="CH1106" i="1"/>
  <c r="CL1106" i="1"/>
  <c r="CM1106" i="1"/>
  <c r="CN1106" i="1"/>
  <c r="CO1106" i="1"/>
  <c r="CP1106" i="1"/>
  <c r="CZ1106" i="1"/>
  <c r="DB1106" i="1"/>
  <c r="DF1106" i="1"/>
  <c r="AC119" i="1"/>
  <c r="AH119" i="1"/>
  <c r="BS119" i="1"/>
  <c r="BV119" i="1"/>
  <c r="BX119" i="1"/>
  <c r="BY119" i="1"/>
  <c r="BZ119" i="1"/>
  <c r="CA119" i="1"/>
  <c r="CH119" i="1"/>
  <c r="CL119" i="1"/>
  <c r="CM119" i="1"/>
  <c r="CN119" i="1"/>
  <c r="CO119" i="1"/>
  <c r="CP119" i="1"/>
  <c r="CZ119" i="1"/>
  <c r="DB119" i="1"/>
  <c r="DF119" i="1"/>
  <c r="AC863" i="1"/>
  <c r="AH863" i="1"/>
  <c r="BS863" i="1"/>
  <c r="BV863" i="1"/>
  <c r="BX863" i="1"/>
  <c r="BY863" i="1"/>
  <c r="BZ863" i="1"/>
  <c r="CH863" i="1"/>
  <c r="CL863" i="1"/>
  <c r="CM863" i="1"/>
  <c r="CN863" i="1"/>
  <c r="CO863" i="1"/>
  <c r="CP863" i="1"/>
  <c r="CZ863" i="1"/>
  <c r="DB863" i="1"/>
  <c r="DF863" i="1"/>
  <c r="AC1110" i="1"/>
  <c r="AH1110" i="1"/>
  <c r="BS1110" i="1"/>
  <c r="BV1110" i="1"/>
  <c r="BX1110" i="1"/>
  <c r="BY1110" i="1"/>
  <c r="BZ1110" i="1"/>
  <c r="CH1110" i="1"/>
  <c r="CL1110" i="1"/>
  <c r="CM1110" i="1"/>
  <c r="CN1110" i="1"/>
  <c r="CO1110" i="1"/>
  <c r="CP1110" i="1"/>
  <c r="CZ1110" i="1"/>
  <c r="DB1110" i="1"/>
  <c r="DF1110" i="1"/>
  <c r="AC1723" i="1"/>
  <c r="AH1723" i="1"/>
  <c r="BS1723" i="1"/>
  <c r="BV1723" i="1"/>
  <c r="BX1723" i="1"/>
  <c r="BY1723" i="1"/>
  <c r="BZ1723" i="1"/>
  <c r="CA1723" i="1"/>
  <c r="CH1723" i="1"/>
  <c r="CL1723" i="1"/>
  <c r="CM1723" i="1"/>
  <c r="CN1723" i="1"/>
  <c r="CP1723" i="1"/>
  <c r="CZ1723" i="1"/>
  <c r="DB1723" i="1"/>
  <c r="DF1723" i="1"/>
  <c r="AC1428" i="1"/>
  <c r="AH1428" i="1"/>
  <c r="BS1428" i="1"/>
  <c r="BV1428" i="1"/>
  <c r="BX1428" i="1"/>
  <c r="BY1428" i="1"/>
  <c r="BZ1428" i="1"/>
  <c r="CH1428" i="1"/>
  <c r="CL1428" i="1"/>
  <c r="CM1428" i="1"/>
  <c r="CN1428" i="1"/>
  <c r="CO1428" i="1"/>
  <c r="CP1428" i="1"/>
  <c r="CZ1428" i="1"/>
  <c r="DB1428" i="1"/>
  <c r="DF1428" i="1"/>
  <c r="AC1470" i="1"/>
  <c r="AH1470" i="1"/>
  <c r="BS1470" i="1"/>
  <c r="BV1470" i="1"/>
  <c r="BX1470" i="1"/>
  <c r="BY1470" i="1"/>
  <c r="BZ1470" i="1"/>
  <c r="CA1470" i="1"/>
  <c r="CH1470" i="1"/>
  <c r="CL1470" i="1"/>
  <c r="CM1470" i="1"/>
  <c r="CN1470" i="1"/>
  <c r="CO1470" i="1"/>
  <c r="CP1470" i="1"/>
  <c r="CZ1470" i="1"/>
  <c r="DB1470" i="1"/>
  <c r="DF1470" i="1"/>
  <c r="AC1023" i="1"/>
  <c r="AH1023" i="1"/>
  <c r="BS1023" i="1"/>
  <c r="BV1023" i="1"/>
  <c r="BX1023" i="1"/>
  <c r="BY1023" i="1"/>
  <c r="BZ1023" i="1"/>
  <c r="CA1023" i="1"/>
  <c r="CH1023" i="1"/>
  <c r="CL1023" i="1"/>
  <c r="CM1023" i="1"/>
  <c r="CN1023" i="1"/>
  <c r="CO1023" i="1"/>
  <c r="CP1023" i="1"/>
  <c r="CZ1023" i="1"/>
  <c r="DB1023" i="1"/>
  <c r="DF1023" i="1"/>
  <c r="AC1111" i="1"/>
  <c r="AH1111" i="1"/>
  <c r="BS1111" i="1"/>
  <c r="BV1111" i="1"/>
  <c r="BX1111" i="1"/>
  <c r="BY1111" i="1"/>
  <c r="BZ1111" i="1"/>
  <c r="CA1111" i="1"/>
  <c r="CH1111" i="1"/>
  <c r="CL1111" i="1"/>
  <c r="CM1111" i="1"/>
  <c r="CN1111" i="1"/>
  <c r="CO1111" i="1"/>
  <c r="CP1111" i="1"/>
  <c r="CZ1111" i="1"/>
  <c r="DB1111" i="1"/>
  <c r="DF1111" i="1"/>
  <c r="AC462" i="1"/>
  <c r="AH462" i="1"/>
  <c r="BS462" i="1"/>
  <c r="BV462" i="1"/>
  <c r="BX462" i="1"/>
  <c r="BY462" i="1"/>
  <c r="BZ462" i="1"/>
  <c r="CA462" i="1"/>
  <c r="CH462" i="1"/>
  <c r="CL462" i="1"/>
  <c r="CM462" i="1"/>
  <c r="CN462" i="1"/>
  <c r="CO462" i="1"/>
  <c r="CP462" i="1"/>
  <c r="CZ462" i="1"/>
  <c r="DB462" i="1"/>
  <c r="DF462" i="1"/>
  <c r="AC1255" i="1"/>
  <c r="AH1255" i="1"/>
  <c r="BS1255" i="1"/>
  <c r="BV1255" i="1"/>
  <c r="BX1255" i="1"/>
  <c r="BY1255" i="1"/>
  <c r="BZ1255" i="1"/>
  <c r="CA1255" i="1"/>
  <c r="CH1255" i="1"/>
  <c r="CL1255" i="1"/>
  <c r="CM1255" i="1"/>
  <c r="CN1255" i="1"/>
  <c r="CO1255" i="1"/>
  <c r="CP1255" i="1"/>
  <c r="CZ1255" i="1"/>
  <c r="DB1255" i="1"/>
  <c r="DF1255" i="1"/>
  <c r="AC298" i="1"/>
  <c r="AH298" i="1"/>
  <c r="BS298" i="1"/>
  <c r="BV298" i="1"/>
  <c r="BX298" i="1"/>
  <c r="BY298" i="1"/>
  <c r="BZ298" i="1"/>
  <c r="CA298" i="1"/>
  <c r="CH298" i="1"/>
  <c r="CL298" i="1"/>
  <c r="CM298" i="1"/>
  <c r="CN298" i="1"/>
  <c r="CO298" i="1"/>
  <c r="CP298" i="1"/>
  <c r="CZ298" i="1"/>
  <c r="DB298" i="1"/>
  <c r="DF298" i="1"/>
  <c r="AC2265" i="1"/>
  <c r="AH2265" i="1"/>
  <c r="BS2265" i="1"/>
  <c r="BV2265" i="1"/>
  <c r="BX2265" i="1"/>
  <c r="BY2265" i="1"/>
  <c r="BZ2265" i="1"/>
  <c r="CH2265" i="1"/>
  <c r="CL2265" i="1"/>
  <c r="CM2265" i="1"/>
  <c r="CN2265" i="1"/>
  <c r="CO2265" i="1"/>
  <c r="CP2265" i="1"/>
  <c r="CZ2265" i="1"/>
  <c r="DB2265" i="1"/>
  <c r="DF2265" i="1"/>
  <c r="AC2114" i="1"/>
  <c r="AH2114" i="1"/>
  <c r="BS2114" i="1"/>
  <c r="BV2114" i="1"/>
  <c r="BX2114" i="1"/>
  <c r="BY2114" i="1"/>
  <c r="BZ2114" i="1"/>
  <c r="CH2114" i="1"/>
  <c r="CL2114" i="1"/>
  <c r="CM2114" i="1"/>
  <c r="CN2114" i="1"/>
  <c r="CP2114" i="1"/>
  <c r="CZ2114" i="1"/>
  <c r="DB2114" i="1"/>
  <c r="DF2114" i="1"/>
  <c r="AC1040" i="1"/>
  <c r="AH1040" i="1"/>
  <c r="BS1040" i="1"/>
  <c r="BV1040" i="1"/>
  <c r="BX1040" i="1"/>
  <c r="BY1040" i="1"/>
  <c r="BZ1040" i="1"/>
  <c r="CA1040" i="1"/>
  <c r="CH1040" i="1"/>
  <c r="CL1040" i="1"/>
  <c r="CM1040" i="1"/>
  <c r="CN1040" i="1"/>
  <c r="CO1040" i="1"/>
  <c r="CP1040" i="1"/>
  <c r="CZ1040" i="1"/>
  <c r="DB1040" i="1"/>
  <c r="DF1040" i="1"/>
  <c r="AC2245" i="1"/>
  <c r="AH2245" i="1"/>
  <c r="BS2245" i="1"/>
  <c r="BV2245" i="1"/>
  <c r="BX2245" i="1"/>
  <c r="BY2245" i="1"/>
  <c r="BZ2245" i="1"/>
  <c r="CA2245" i="1"/>
  <c r="CH2245" i="1"/>
  <c r="CL2245" i="1"/>
  <c r="CM2245" i="1"/>
  <c r="CN2245" i="1"/>
  <c r="CO2245" i="1"/>
  <c r="CP2245" i="1"/>
  <c r="CZ2245" i="1"/>
  <c r="DB2245" i="1"/>
  <c r="DF2245" i="1"/>
  <c r="AC1519" i="1"/>
  <c r="AH1519" i="1"/>
  <c r="BS1519" i="1"/>
  <c r="BV1519" i="1"/>
  <c r="BX1519" i="1"/>
  <c r="BY1519" i="1"/>
  <c r="BZ1519" i="1"/>
  <c r="CA1519" i="1"/>
  <c r="CH1519" i="1"/>
  <c r="CL1519" i="1"/>
  <c r="CM1519" i="1"/>
  <c r="CN1519" i="1"/>
  <c r="CP1519" i="1"/>
  <c r="CZ1519" i="1"/>
  <c r="DB1519" i="1"/>
  <c r="DF1519" i="1"/>
  <c r="AC1109" i="1"/>
  <c r="AH1109" i="1"/>
  <c r="BS1109" i="1"/>
  <c r="BV1109" i="1"/>
  <c r="BX1109" i="1"/>
  <c r="BY1109" i="1"/>
  <c r="BZ1109" i="1"/>
  <c r="CA1109" i="1"/>
  <c r="CH1109" i="1"/>
  <c r="CL1109" i="1"/>
  <c r="CM1109" i="1"/>
  <c r="CN1109" i="1"/>
  <c r="CO1109" i="1"/>
  <c r="CP1109" i="1"/>
  <c r="CZ1109" i="1"/>
  <c r="DB1109" i="1"/>
  <c r="DF1109" i="1"/>
  <c r="AC1718" i="1"/>
  <c r="AH1718" i="1"/>
  <c r="BS1718" i="1"/>
  <c r="BV1718" i="1"/>
  <c r="BX1718" i="1"/>
  <c r="BY1718" i="1"/>
  <c r="BZ1718" i="1"/>
  <c r="CH1718" i="1"/>
  <c r="CL1718" i="1"/>
  <c r="CM1718" i="1"/>
  <c r="CN1718" i="1"/>
  <c r="CO1718" i="1"/>
  <c r="CP1718" i="1"/>
  <c r="CZ1718" i="1"/>
  <c r="DB1718" i="1"/>
  <c r="DF1718" i="1"/>
  <c r="AC381" i="1"/>
  <c r="AH381" i="1"/>
  <c r="BS381" i="1"/>
  <c r="BV381" i="1"/>
  <c r="BX381" i="1"/>
  <c r="BY381" i="1"/>
  <c r="BZ381" i="1"/>
  <c r="CH381" i="1"/>
  <c r="CL381" i="1"/>
  <c r="CM381" i="1"/>
  <c r="CN381" i="1"/>
  <c r="CO381" i="1"/>
  <c r="CP381" i="1"/>
  <c r="CZ381" i="1"/>
  <c r="DB381" i="1"/>
  <c r="DF381" i="1"/>
  <c r="AC829" i="1"/>
  <c r="AH829" i="1"/>
  <c r="BS829" i="1"/>
  <c r="BV829" i="1"/>
  <c r="BX829" i="1"/>
  <c r="BY829" i="1"/>
  <c r="BZ829" i="1"/>
  <c r="CA829" i="1"/>
  <c r="CH829" i="1"/>
  <c r="CL829" i="1"/>
  <c r="CM829" i="1"/>
  <c r="CN829" i="1"/>
  <c r="CO829" i="1"/>
  <c r="CP829" i="1"/>
  <c r="CZ829" i="1"/>
  <c r="DB829" i="1"/>
  <c r="DF829" i="1"/>
  <c r="AC1902" i="1"/>
  <c r="AH1902" i="1"/>
  <c r="BS1902" i="1"/>
  <c r="BV1902" i="1"/>
  <c r="BX1902" i="1"/>
  <c r="BY1902" i="1"/>
  <c r="BZ1902" i="1"/>
  <c r="CA1902" i="1"/>
  <c r="CH1902" i="1"/>
  <c r="CL1902" i="1"/>
  <c r="CM1902" i="1"/>
  <c r="CN1902" i="1"/>
  <c r="CO1902" i="1"/>
  <c r="CP1902" i="1"/>
  <c r="CZ1902" i="1"/>
  <c r="DB1902" i="1"/>
  <c r="DF1902" i="1"/>
  <c r="AC899" i="1"/>
  <c r="AH899" i="1"/>
  <c r="BS899" i="1"/>
  <c r="BV899" i="1"/>
  <c r="BX899" i="1"/>
  <c r="BY899" i="1"/>
  <c r="BZ899" i="1"/>
  <c r="CA899" i="1"/>
  <c r="CH899" i="1"/>
  <c r="CL899" i="1"/>
  <c r="CM899" i="1"/>
  <c r="CN899" i="1"/>
  <c r="CO899" i="1"/>
  <c r="CP899" i="1"/>
  <c r="CZ899" i="1"/>
  <c r="DB899" i="1"/>
  <c r="DF899" i="1"/>
  <c r="AC711" i="1"/>
  <c r="AH711" i="1"/>
  <c r="BS711" i="1"/>
  <c r="BV711" i="1"/>
  <c r="BX711" i="1"/>
  <c r="BY711" i="1"/>
  <c r="BZ711" i="1"/>
  <c r="CA711" i="1"/>
  <c r="CH711" i="1"/>
  <c r="CL711" i="1"/>
  <c r="CM711" i="1"/>
  <c r="CN711" i="1"/>
  <c r="CO711" i="1"/>
  <c r="CP711" i="1"/>
  <c r="CZ711" i="1"/>
  <c r="DB711" i="1"/>
  <c r="DF711" i="1"/>
  <c r="AC1535" i="1"/>
  <c r="AH1535" i="1"/>
  <c r="BS1535" i="1"/>
  <c r="BV1535" i="1"/>
  <c r="BX1535" i="1"/>
  <c r="BY1535" i="1"/>
  <c r="BZ1535" i="1"/>
  <c r="CA1535" i="1"/>
  <c r="CH1535" i="1"/>
  <c r="CL1535" i="1"/>
  <c r="CM1535" i="1"/>
  <c r="CN1535" i="1"/>
  <c r="CO1535" i="1"/>
  <c r="CP1535" i="1"/>
  <c r="CZ1535" i="1"/>
  <c r="DB1535" i="1"/>
  <c r="DF1535" i="1"/>
  <c r="AC2064" i="1"/>
  <c r="AH2064" i="1"/>
  <c r="BS2064" i="1"/>
  <c r="BV2064" i="1"/>
  <c r="BX2064" i="1"/>
  <c r="BY2064" i="1"/>
  <c r="BZ2064" i="1"/>
  <c r="CH2064" i="1"/>
  <c r="CL2064" i="1"/>
  <c r="CM2064" i="1"/>
  <c r="CN2064" i="1"/>
  <c r="CO2064" i="1"/>
  <c r="CP2064" i="1"/>
  <c r="CZ2064" i="1"/>
  <c r="DB2064" i="1"/>
  <c r="DF2064" i="1"/>
  <c r="AC2156" i="1"/>
  <c r="AH2156" i="1"/>
  <c r="BS2156" i="1"/>
  <c r="BV2156" i="1"/>
  <c r="BX2156" i="1"/>
  <c r="BY2156" i="1"/>
  <c r="BZ2156" i="1"/>
  <c r="CH2156" i="1"/>
  <c r="CL2156" i="1"/>
  <c r="CM2156" i="1"/>
  <c r="CN2156" i="1"/>
  <c r="CO2156" i="1"/>
  <c r="CP2156" i="1"/>
  <c r="CZ2156" i="1"/>
  <c r="DB2156" i="1"/>
  <c r="DF2156" i="1"/>
  <c r="AC1031" i="1"/>
  <c r="AH1031" i="1"/>
  <c r="BS1031" i="1"/>
  <c r="BV1031" i="1"/>
  <c r="BX1031" i="1"/>
  <c r="BY1031" i="1"/>
  <c r="BZ1031" i="1"/>
  <c r="CA1031" i="1"/>
  <c r="CH1031" i="1"/>
  <c r="CL1031" i="1"/>
  <c r="CM1031" i="1"/>
  <c r="CN1031" i="1"/>
  <c r="CO1031" i="1"/>
  <c r="CP1031" i="1"/>
  <c r="CZ1031" i="1"/>
  <c r="DB1031" i="1"/>
  <c r="DF1031" i="1"/>
  <c r="AC1239" i="1"/>
  <c r="AH1239" i="1"/>
  <c r="BS1239" i="1"/>
  <c r="BV1239" i="1"/>
  <c r="BX1239" i="1"/>
  <c r="BY1239" i="1"/>
  <c r="BZ1239" i="1"/>
  <c r="CH1239" i="1"/>
  <c r="CL1239" i="1"/>
  <c r="CM1239" i="1"/>
  <c r="CN1239" i="1"/>
  <c r="CO1239" i="1"/>
  <c r="CP1239" i="1"/>
  <c r="CZ1239" i="1"/>
  <c r="DB1239" i="1"/>
  <c r="DF1239" i="1"/>
  <c r="AC650" i="1"/>
  <c r="AH650" i="1"/>
  <c r="BS650" i="1"/>
  <c r="BV650" i="1"/>
  <c r="BX650" i="1"/>
  <c r="BY650" i="1"/>
  <c r="BZ650" i="1"/>
  <c r="CA650" i="1"/>
  <c r="CH650" i="1"/>
  <c r="CL650" i="1"/>
  <c r="CM650" i="1"/>
  <c r="CN650" i="1"/>
  <c r="CO650" i="1"/>
  <c r="CP650" i="1"/>
  <c r="CZ650" i="1"/>
  <c r="DB650" i="1"/>
  <c r="DF650" i="1"/>
  <c r="AC1119" i="1"/>
  <c r="AH1119" i="1"/>
  <c r="BS1119" i="1"/>
  <c r="BV1119" i="1"/>
  <c r="BX1119" i="1"/>
  <c r="BY1119" i="1"/>
  <c r="BZ1119" i="1"/>
  <c r="CA1119" i="1"/>
  <c r="CH1119" i="1"/>
  <c r="CL1119" i="1"/>
  <c r="CM1119" i="1"/>
  <c r="CN1119" i="1"/>
  <c r="CO1119" i="1"/>
  <c r="CP1119" i="1"/>
  <c r="CZ1119" i="1"/>
  <c r="DB1119" i="1"/>
  <c r="DF1119" i="1"/>
  <c r="AC63" i="1"/>
  <c r="AH63" i="1"/>
  <c r="BS63" i="1"/>
  <c r="BV63" i="1"/>
  <c r="BX63" i="1"/>
  <c r="BY63" i="1"/>
  <c r="BZ63" i="1"/>
  <c r="CH63" i="1"/>
  <c r="CL63" i="1"/>
  <c r="CM63" i="1"/>
  <c r="CN63" i="1"/>
  <c r="CO63" i="1"/>
  <c r="CP63" i="1"/>
  <c r="CZ63" i="1"/>
  <c r="DB63" i="1"/>
  <c r="DF63" i="1"/>
  <c r="AC654" i="1"/>
  <c r="AH654" i="1"/>
  <c r="BS654" i="1"/>
  <c r="BV654" i="1"/>
  <c r="BX654" i="1"/>
  <c r="BY654" i="1"/>
  <c r="BZ654" i="1"/>
  <c r="CA654" i="1"/>
  <c r="CH654" i="1"/>
  <c r="CL654" i="1"/>
  <c r="CM654" i="1"/>
  <c r="CN654" i="1"/>
  <c r="CO654" i="1"/>
  <c r="CP654" i="1"/>
  <c r="CZ654" i="1"/>
  <c r="DB654" i="1"/>
  <c r="DF654" i="1"/>
  <c r="AC1000" i="1"/>
  <c r="AH1000" i="1"/>
  <c r="BS1000" i="1"/>
  <c r="BV1000" i="1"/>
  <c r="BX1000" i="1"/>
  <c r="BY1000" i="1"/>
  <c r="BZ1000" i="1"/>
  <c r="CA1000" i="1"/>
  <c r="CH1000" i="1"/>
  <c r="CL1000" i="1"/>
  <c r="CM1000" i="1"/>
  <c r="CN1000" i="1"/>
  <c r="CO1000" i="1"/>
  <c r="CP1000" i="1"/>
  <c r="CZ1000" i="1"/>
  <c r="DB1000" i="1"/>
  <c r="DF1000" i="1"/>
  <c r="AC1241" i="1"/>
  <c r="AH1241" i="1"/>
  <c r="BS1241" i="1"/>
  <c r="BV1241" i="1"/>
  <c r="BX1241" i="1"/>
  <c r="BY1241" i="1"/>
  <c r="BZ1241" i="1"/>
  <c r="CA1241" i="1"/>
  <c r="CH1241" i="1"/>
  <c r="CL1241" i="1"/>
  <c r="CM1241" i="1"/>
  <c r="CN1241" i="1"/>
  <c r="CO1241" i="1"/>
  <c r="CP1241" i="1"/>
  <c r="CZ1241" i="1"/>
  <c r="DB1241" i="1"/>
  <c r="DF1241" i="1"/>
  <c r="AC1547" i="1"/>
  <c r="AH1547" i="1"/>
  <c r="BS1547" i="1"/>
  <c r="BV1547" i="1"/>
  <c r="BX1547" i="1"/>
  <c r="BY1547" i="1"/>
  <c r="BZ1547" i="1"/>
  <c r="CA1547" i="1"/>
  <c r="CH1547" i="1"/>
  <c r="CL1547" i="1"/>
  <c r="CM1547" i="1"/>
  <c r="CN1547" i="1"/>
  <c r="CO1547" i="1"/>
  <c r="CP1547" i="1"/>
  <c r="CZ1547" i="1"/>
  <c r="DB1547" i="1"/>
  <c r="DF1547" i="1"/>
  <c r="AC421" i="1"/>
  <c r="AH421" i="1"/>
  <c r="BS421" i="1"/>
  <c r="BV421" i="1"/>
  <c r="BX421" i="1"/>
  <c r="BY421" i="1"/>
  <c r="BZ421" i="1"/>
  <c r="CA421" i="1"/>
  <c r="CH421" i="1"/>
  <c r="CL421" i="1"/>
  <c r="CM421" i="1"/>
  <c r="CN421" i="1"/>
  <c r="CO421" i="1"/>
  <c r="CP421" i="1"/>
  <c r="CZ421" i="1"/>
  <c r="DB421" i="1"/>
  <c r="DF421" i="1"/>
  <c r="AC1707" i="1"/>
  <c r="AH1707" i="1"/>
  <c r="BS1707" i="1"/>
  <c r="BV1707" i="1"/>
  <c r="BX1707" i="1"/>
  <c r="BY1707" i="1"/>
  <c r="BZ1707" i="1"/>
  <c r="CH1707" i="1"/>
  <c r="CL1707" i="1"/>
  <c r="CM1707" i="1"/>
  <c r="CN1707" i="1"/>
  <c r="CO1707" i="1"/>
  <c r="CP1707" i="1"/>
  <c r="CZ1707" i="1"/>
  <c r="DB1707" i="1"/>
  <c r="DF1707" i="1"/>
  <c r="AC1710" i="1"/>
  <c r="AH1710" i="1"/>
  <c r="BS1710" i="1"/>
  <c r="BV1710" i="1"/>
  <c r="BX1710" i="1"/>
  <c r="BY1710" i="1"/>
  <c r="BZ1710" i="1"/>
  <c r="CA1710" i="1"/>
  <c r="CH1710" i="1"/>
  <c r="CL1710" i="1"/>
  <c r="CM1710" i="1"/>
  <c r="CN1710" i="1"/>
  <c r="CP1710" i="1"/>
  <c r="CZ1710" i="1"/>
  <c r="DB1710" i="1"/>
  <c r="DF1710" i="1"/>
  <c r="AC2300" i="1"/>
  <c r="AH2300" i="1"/>
  <c r="BS2300" i="1"/>
  <c r="BV2300" i="1"/>
  <c r="BX2300" i="1"/>
  <c r="BY2300" i="1"/>
  <c r="BZ2300" i="1"/>
  <c r="CA2300" i="1"/>
  <c r="CH2300" i="1"/>
  <c r="CL2300" i="1"/>
  <c r="CM2300" i="1"/>
  <c r="CN2300" i="1"/>
  <c r="CO2300" i="1"/>
  <c r="CP2300" i="1"/>
  <c r="CZ2300" i="1"/>
  <c r="DB2300" i="1"/>
  <c r="DF2300" i="1"/>
  <c r="AC2061" i="1"/>
  <c r="AH2061" i="1"/>
  <c r="BS2061" i="1"/>
  <c r="BV2061" i="1"/>
  <c r="BX2061" i="1"/>
  <c r="BY2061" i="1"/>
  <c r="BZ2061" i="1"/>
  <c r="CH2061" i="1"/>
  <c r="CL2061" i="1"/>
  <c r="CM2061" i="1"/>
  <c r="CN2061" i="1"/>
  <c r="CP2061" i="1"/>
  <c r="CZ2061" i="1"/>
  <c r="DB2061" i="1"/>
  <c r="DF2061" i="1"/>
  <c r="AC1713" i="1"/>
  <c r="AH1713" i="1"/>
  <c r="BS1713" i="1"/>
  <c r="BV1713" i="1"/>
  <c r="BX1713" i="1"/>
  <c r="BY1713" i="1"/>
  <c r="BZ1713" i="1"/>
  <c r="CH1713" i="1"/>
  <c r="CL1713" i="1"/>
  <c r="CM1713" i="1"/>
  <c r="CN1713" i="1"/>
  <c r="CO1713" i="1"/>
  <c r="CP1713" i="1"/>
  <c r="CZ1713" i="1"/>
  <c r="DB1713" i="1"/>
  <c r="DF1713" i="1"/>
  <c r="AC1988" i="1"/>
  <c r="AH1988" i="1"/>
  <c r="BS1988" i="1"/>
  <c r="BV1988" i="1"/>
  <c r="BX1988" i="1"/>
  <c r="BY1988" i="1"/>
  <c r="BZ1988" i="1"/>
  <c r="CH1988" i="1"/>
  <c r="CL1988" i="1"/>
  <c r="CM1988" i="1"/>
  <c r="CN1988" i="1"/>
  <c r="CO1988" i="1"/>
  <c r="CP1988" i="1"/>
  <c r="CZ1988" i="1"/>
  <c r="DB1988" i="1"/>
  <c r="DF1988" i="1"/>
  <c r="AC942" i="1"/>
  <c r="AH942" i="1"/>
  <c r="BS942" i="1"/>
  <c r="BV942" i="1"/>
  <c r="BX942" i="1"/>
  <c r="BY942" i="1"/>
  <c r="BZ942" i="1"/>
  <c r="CA942" i="1"/>
  <c r="CH942" i="1"/>
  <c r="CL942" i="1"/>
  <c r="CM942" i="1"/>
  <c r="CN942" i="1"/>
  <c r="CO942" i="1"/>
  <c r="CP942" i="1"/>
  <c r="CZ942" i="1"/>
  <c r="DB942" i="1"/>
  <c r="DF942" i="1"/>
  <c r="AC759" i="1"/>
  <c r="AH759" i="1"/>
  <c r="BS759" i="1"/>
  <c r="BV759" i="1"/>
  <c r="BX759" i="1"/>
  <c r="BY759" i="1"/>
  <c r="BZ759" i="1"/>
  <c r="CA759" i="1"/>
  <c r="CH759" i="1"/>
  <c r="CL759" i="1"/>
  <c r="CM759" i="1"/>
  <c r="CN759" i="1"/>
  <c r="CO759" i="1"/>
  <c r="CP759" i="1"/>
  <c r="CZ759" i="1"/>
  <c r="DB759" i="1"/>
  <c r="DF759" i="1"/>
  <c r="AC2101" i="1"/>
  <c r="AH2101" i="1"/>
  <c r="BS2101" i="1"/>
  <c r="BV2101" i="1"/>
  <c r="BX2101" i="1"/>
  <c r="BY2101" i="1"/>
  <c r="BZ2101" i="1"/>
  <c r="CA2101" i="1"/>
  <c r="CH2101" i="1"/>
  <c r="CL2101" i="1"/>
  <c r="CM2101" i="1"/>
  <c r="CN2101" i="1"/>
  <c r="CO2101" i="1"/>
  <c r="CP2101" i="1"/>
  <c r="CZ2101" i="1"/>
  <c r="DB2101" i="1"/>
  <c r="DF2101" i="1"/>
  <c r="AC2200" i="1"/>
  <c r="AH2200" i="1"/>
  <c r="BS2200" i="1"/>
  <c r="BV2200" i="1"/>
  <c r="BX2200" i="1"/>
  <c r="BY2200" i="1"/>
  <c r="BZ2200" i="1"/>
  <c r="CA2200" i="1"/>
  <c r="CH2200" i="1"/>
  <c r="CL2200" i="1"/>
  <c r="CM2200" i="1"/>
  <c r="CN2200" i="1"/>
  <c r="CO2200" i="1"/>
  <c r="CP2200" i="1"/>
  <c r="CZ2200" i="1"/>
  <c r="DB2200" i="1"/>
  <c r="DF2200" i="1"/>
  <c r="AC968" i="1"/>
  <c r="AH968" i="1"/>
  <c r="BS968" i="1"/>
  <c r="BV968" i="1"/>
  <c r="BX968" i="1"/>
  <c r="BY968" i="1"/>
  <c r="BZ968" i="1"/>
  <c r="CA968" i="1"/>
  <c r="CH968" i="1"/>
  <c r="CL968" i="1"/>
  <c r="CM968" i="1"/>
  <c r="CN968" i="1"/>
  <c r="CO968" i="1"/>
  <c r="CP968" i="1"/>
  <c r="CZ968" i="1"/>
  <c r="DB968" i="1"/>
  <c r="DF968" i="1"/>
  <c r="AC178" i="1"/>
  <c r="AH178" i="1"/>
  <c r="BS178" i="1"/>
  <c r="BV178" i="1"/>
  <c r="BX178" i="1"/>
  <c r="BY178" i="1"/>
  <c r="BZ178" i="1"/>
  <c r="CH178" i="1"/>
  <c r="CL178" i="1"/>
  <c r="CM178" i="1"/>
  <c r="CN178" i="1"/>
  <c r="CO178" i="1"/>
  <c r="CP178" i="1"/>
  <c r="CZ178" i="1"/>
  <c r="DB178" i="1"/>
  <c r="DF178" i="1"/>
  <c r="AC312" i="1"/>
  <c r="AH312" i="1"/>
  <c r="BS312" i="1"/>
  <c r="BV312" i="1"/>
  <c r="BX312" i="1"/>
  <c r="BY312" i="1"/>
  <c r="BZ312" i="1"/>
  <c r="CA312" i="1"/>
  <c r="CH312" i="1"/>
  <c r="CL312" i="1"/>
  <c r="CM312" i="1"/>
  <c r="CN312" i="1"/>
  <c r="CO312" i="1"/>
  <c r="CP312" i="1"/>
  <c r="CZ312" i="1"/>
  <c r="DB312" i="1"/>
  <c r="DF312" i="1"/>
  <c r="AC1617" i="1"/>
  <c r="AH1617" i="1"/>
  <c r="BS1617" i="1"/>
  <c r="BV1617" i="1"/>
  <c r="BX1617" i="1"/>
  <c r="BY1617" i="1"/>
  <c r="BZ1617" i="1"/>
  <c r="CA1617" i="1"/>
  <c r="CH1617" i="1"/>
  <c r="CL1617" i="1"/>
  <c r="CM1617" i="1"/>
  <c r="CN1617" i="1"/>
  <c r="CO1617" i="1"/>
  <c r="CP1617" i="1"/>
  <c r="CZ1617" i="1"/>
  <c r="DB1617" i="1"/>
  <c r="DF1617" i="1"/>
  <c r="AC1480" i="1"/>
  <c r="AH1480" i="1"/>
  <c r="BS1480" i="1"/>
  <c r="BV1480" i="1"/>
  <c r="BX1480" i="1"/>
  <c r="BY1480" i="1"/>
  <c r="BZ1480" i="1"/>
  <c r="CH1480" i="1"/>
  <c r="CL1480" i="1"/>
  <c r="CM1480" i="1"/>
  <c r="CN1480" i="1"/>
  <c r="CO1480" i="1"/>
  <c r="CP1480" i="1"/>
  <c r="CZ1480" i="1"/>
  <c r="DB1480" i="1"/>
  <c r="DF1480" i="1"/>
  <c r="AC206" i="1"/>
  <c r="AH206" i="1"/>
  <c r="BS206" i="1"/>
  <c r="BV206" i="1"/>
  <c r="BX206" i="1"/>
  <c r="BY206" i="1"/>
  <c r="BZ206" i="1"/>
  <c r="CA206" i="1"/>
  <c r="CH206" i="1"/>
  <c r="CL206" i="1"/>
  <c r="CM206" i="1"/>
  <c r="CN206" i="1"/>
  <c r="CO206" i="1"/>
  <c r="CP206" i="1"/>
  <c r="CZ206" i="1"/>
  <c r="DB206" i="1"/>
  <c r="DF206" i="1"/>
  <c r="AC695" i="1"/>
  <c r="AH695" i="1"/>
  <c r="BS695" i="1"/>
  <c r="BV695" i="1"/>
  <c r="BX695" i="1"/>
  <c r="BY695" i="1"/>
  <c r="BZ695" i="1"/>
  <c r="CA695" i="1"/>
  <c r="CH695" i="1"/>
  <c r="CL695" i="1"/>
  <c r="CM695" i="1"/>
  <c r="CN695" i="1"/>
  <c r="CO695" i="1"/>
  <c r="CP695" i="1"/>
  <c r="CZ695" i="1"/>
  <c r="DB695" i="1"/>
  <c r="DF695" i="1"/>
  <c r="AC1572" i="1"/>
  <c r="AH1572" i="1"/>
  <c r="BS1572" i="1"/>
  <c r="BV1572" i="1"/>
  <c r="BX1572" i="1"/>
  <c r="BY1572" i="1"/>
  <c r="BZ1572" i="1"/>
  <c r="CA1572" i="1"/>
  <c r="CH1572" i="1"/>
  <c r="CL1572" i="1"/>
  <c r="CM1572" i="1"/>
  <c r="CN1572" i="1"/>
  <c r="CO1572" i="1"/>
  <c r="CP1572" i="1"/>
  <c r="CZ1572" i="1"/>
  <c r="DB1572" i="1"/>
  <c r="DF1572" i="1"/>
  <c r="AC2125" i="1"/>
  <c r="AH2125" i="1"/>
  <c r="BS2125" i="1"/>
  <c r="BV2125" i="1"/>
  <c r="BX2125" i="1"/>
  <c r="BY2125" i="1"/>
  <c r="BZ2125" i="1"/>
  <c r="CA2125" i="1"/>
  <c r="CH2125" i="1"/>
  <c r="CL2125" i="1"/>
  <c r="CM2125" i="1"/>
  <c r="CN2125" i="1"/>
  <c r="CO2125" i="1"/>
  <c r="CP2125" i="1"/>
  <c r="CZ2125" i="1"/>
  <c r="DB2125" i="1"/>
  <c r="DF2125" i="1"/>
  <c r="AC1829" i="1"/>
  <c r="AH1829" i="1"/>
  <c r="BS1829" i="1"/>
  <c r="BV1829" i="1"/>
  <c r="BX1829" i="1"/>
  <c r="BY1829" i="1"/>
  <c r="BZ1829" i="1"/>
  <c r="CA1829" i="1"/>
  <c r="CH1829" i="1"/>
  <c r="CL1829" i="1"/>
  <c r="CM1829" i="1"/>
  <c r="CN1829" i="1"/>
  <c r="CO1829" i="1"/>
  <c r="CP1829" i="1"/>
  <c r="CZ1829" i="1"/>
  <c r="DB1829" i="1"/>
  <c r="DF1829" i="1"/>
  <c r="AC2053" i="1"/>
  <c r="AH2053" i="1"/>
  <c r="BS2053" i="1"/>
  <c r="BV2053" i="1"/>
  <c r="BX2053" i="1"/>
  <c r="BY2053" i="1"/>
  <c r="BZ2053" i="1"/>
  <c r="CA2053" i="1"/>
  <c r="CH2053" i="1"/>
  <c r="CL2053" i="1"/>
  <c r="CM2053" i="1"/>
  <c r="CN2053" i="1"/>
  <c r="CO2053" i="1"/>
  <c r="CP2053" i="1"/>
  <c r="CZ2053" i="1"/>
  <c r="DB2053" i="1"/>
  <c r="DF2053" i="1"/>
  <c r="AC437" i="1"/>
  <c r="AH437" i="1"/>
  <c r="BS437" i="1"/>
  <c r="BV437" i="1"/>
  <c r="BX437" i="1"/>
  <c r="BY437" i="1"/>
  <c r="BZ437" i="1"/>
  <c r="CH437" i="1"/>
  <c r="CL437" i="1"/>
  <c r="CM437" i="1"/>
  <c r="CN437" i="1"/>
  <c r="CO437" i="1"/>
  <c r="CP437" i="1"/>
  <c r="CZ437" i="1"/>
  <c r="DB437" i="1"/>
  <c r="DF437" i="1"/>
  <c r="AC1507" i="1"/>
  <c r="AH1507" i="1"/>
  <c r="BS1507" i="1"/>
  <c r="BV1507" i="1"/>
  <c r="BX1507" i="1"/>
  <c r="BY1507" i="1"/>
  <c r="BZ1507" i="1"/>
  <c r="CH1507" i="1"/>
  <c r="CL1507" i="1"/>
  <c r="CM1507" i="1"/>
  <c r="CN1507" i="1"/>
  <c r="CO1507" i="1"/>
  <c r="CP1507" i="1"/>
  <c r="CZ1507" i="1"/>
  <c r="DB1507" i="1"/>
  <c r="DF1507" i="1"/>
  <c r="AC1391" i="1"/>
  <c r="AH1391" i="1"/>
  <c r="BS1391" i="1"/>
  <c r="BV1391" i="1"/>
  <c r="BX1391" i="1"/>
  <c r="BY1391" i="1"/>
  <c r="BZ1391" i="1"/>
  <c r="CH1391" i="1"/>
  <c r="CL1391" i="1"/>
  <c r="CM1391" i="1"/>
  <c r="CN1391" i="1"/>
  <c r="CO1391" i="1"/>
  <c r="CP1391" i="1"/>
  <c r="CZ1391" i="1"/>
  <c r="DB1391" i="1"/>
  <c r="DF1391" i="1"/>
  <c r="AC2242" i="1"/>
  <c r="AH2242" i="1"/>
  <c r="BS2242" i="1"/>
  <c r="BV2242" i="1"/>
  <c r="BX2242" i="1"/>
  <c r="BY2242" i="1"/>
  <c r="BZ2242" i="1"/>
  <c r="CA2242" i="1"/>
  <c r="CH2242" i="1"/>
  <c r="CL2242" i="1"/>
  <c r="CM2242" i="1"/>
  <c r="CN2242" i="1"/>
  <c r="CO2242" i="1"/>
  <c r="CP2242" i="1"/>
  <c r="CZ2242" i="1"/>
  <c r="DB2242" i="1"/>
  <c r="DF2242" i="1"/>
  <c r="AC486" i="1"/>
  <c r="AH486" i="1"/>
  <c r="BS486" i="1"/>
  <c r="BV486" i="1"/>
  <c r="BX486" i="1"/>
  <c r="BY486" i="1"/>
  <c r="BZ486" i="1"/>
  <c r="CA486" i="1"/>
  <c r="CH486" i="1"/>
  <c r="CL486" i="1"/>
  <c r="CM486" i="1"/>
  <c r="CN486" i="1"/>
  <c r="CO486" i="1"/>
  <c r="CP486" i="1"/>
  <c r="CZ486" i="1"/>
  <c r="DB486" i="1"/>
  <c r="DF486" i="1"/>
  <c r="AC76" i="1"/>
  <c r="AH76" i="1"/>
  <c r="BS76" i="1"/>
  <c r="BV76" i="1"/>
  <c r="BX76" i="1"/>
  <c r="BY76" i="1"/>
  <c r="BZ76" i="1"/>
  <c r="CA76" i="1"/>
  <c r="CH76" i="1"/>
  <c r="CL76" i="1"/>
  <c r="CM76" i="1"/>
  <c r="CN76" i="1"/>
  <c r="CO76" i="1"/>
  <c r="CP76" i="1"/>
  <c r="CZ76" i="1"/>
  <c r="DB76" i="1"/>
  <c r="DF76" i="1"/>
  <c r="AC1310" i="1"/>
  <c r="AH1310" i="1"/>
  <c r="BS1310" i="1"/>
  <c r="BV1310" i="1"/>
  <c r="BX1310" i="1"/>
  <c r="BY1310" i="1"/>
  <c r="BZ1310" i="1"/>
  <c r="CA1310" i="1"/>
  <c r="CH1310" i="1"/>
  <c r="CL1310" i="1"/>
  <c r="CM1310" i="1"/>
  <c r="CN1310" i="1"/>
  <c r="CO1310" i="1"/>
  <c r="CP1310" i="1"/>
  <c r="CZ1310" i="1"/>
  <c r="DB1310" i="1"/>
  <c r="DF1310" i="1"/>
  <c r="AC1196" i="1"/>
  <c r="AH1196" i="1"/>
  <c r="BS1196" i="1"/>
  <c r="BV1196" i="1"/>
  <c r="BX1196" i="1"/>
  <c r="BY1196" i="1"/>
  <c r="BZ1196" i="1"/>
  <c r="CH1196" i="1"/>
  <c r="CL1196" i="1"/>
  <c r="CM1196" i="1"/>
  <c r="CN1196" i="1"/>
  <c r="CO1196" i="1"/>
  <c r="CP1196" i="1"/>
  <c r="CZ1196" i="1"/>
  <c r="DB1196" i="1"/>
  <c r="DF1196" i="1"/>
  <c r="AC1403" i="1"/>
  <c r="AH1403" i="1"/>
  <c r="BS1403" i="1"/>
  <c r="BV1403" i="1"/>
  <c r="BX1403" i="1"/>
  <c r="BY1403" i="1"/>
  <c r="BZ1403" i="1"/>
  <c r="CH1403" i="1"/>
  <c r="CL1403" i="1"/>
  <c r="CM1403" i="1"/>
  <c r="CN1403" i="1"/>
  <c r="CP1403" i="1"/>
  <c r="CZ1403" i="1"/>
  <c r="DB1403" i="1"/>
  <c r="DF1403" i="1"/>
  <c r="AC1478" i="1"/>
  <c r="AH1478" i="1"/>
  <c r="BS1478" i="1"/>
  <c r="BV1478" i="1"/>
  <c r="BX1478" i="1"/>
  <c r="BY1478" i="1"/>
  <c r="BZ1478" i="1"/>
  <c r="CH1478" i="1"/>
  <c r="CL1478" i="1"/>
  <c r="CM1478" i="1"/>
  <c r="CN1478" i="1"/>
  <c r="CO1478" i="1"/>
  <c r="CP1478" i="1"/>
  <c r="CZ1478" i="1"/>
  <c r="DB1478" i="1"/>
  <c r="DF1478" i="1"/>
  <c r="AC1021" i="1"/>
  <c r="AH1021" i="1"/>
  <c r="BS1021" i="1"/>
  <c r="BV1021" i="1"/>
  <c r="BX1021" i="1"/>
  <c r="BY1021" i="1"/>
  <c r="BZ1021" i="1"/>
  <c r="CA1021" i="1"/>
  <c r="CH1021" i="1"/>
  <c r="CL1021" i="1"/>
  <c r="CM1021" i="1"/>
  <c r="CN1021" i="1"/>
  <c r="CO1021" i="1"/>
  <c r="CP1021" i="1"/>
  <c r="CZ1021" i="1"/>
  <c r="DB1021" i="1"/>
  <c r="DF1021" i="1"/>
  <c r="AC203" i="1"/>
  <c r="AH203" i="1"/>
  <c r="BS203" i="1"/>
  <c r="BV203" i="1"/>
  <c r="BX203" i="1"/>
  <c r="BY203" i="1"/>
  <c r="BZ203" i="1"/>
  <c r="CA203" i="1"/>
  <c r="CH203" i="1"/>
  <c r="CL203" i="1"/>
  <c r="CM203" i="1"/>
  <c r="CN203" i="1"/>
  <c r="CO203" i="1"/>
  <c r="CP203" i="1"/>
  <c r="CZ203" i="1"/>
  <c r="DB203" i="1"/>
  <c r="DF203" i="1"/>
  <c r="AC1794" i="1"/>
  <c r="AH1794" i="1"/>
  <c r="BS1794" i="1"/>
  <c r="BV1794" i="1"/>
  <c r="BX1794" i="1"/>
  <c r="BY1794" i="1"/>
  <c r="BZ1794" i="1"/>
  <c r="CH1794" i="1"/>
  <c r="CL1794" i="1"/>
  <c r="CM1794" i="1"/>
  <c r="CN1794" i="1"/>
  <c r="CP1794" i="1"/>
  <c r="CZ1794" i="1"/>
  <c r="DB1794" i="1"/>
  <c r="DF1794" i="1"/>
  <c r="AC1069" i="1"/>
  <c r="AH1069" i="1"/>
  <c r="BS1069" i="1"/>
  <c r="BV1069" i="1"/>
  <c r="BX1069" i="1"/>
  <c r="BY1069" i="1"/>
  <c r="BZ1069" i="1"/>
  <c r="CA1069" i="1"/>
  <c r="CH1069" i="1"/>
  <c r="CL1069" i="1"/>
  <c r="CM1069" i="1"/>
  <c r="CN1069" i="1"/>
  <c r="CO1069" i="1"/>
  <c r="CP1069" i="1"/>
  <c r="CZ1069" i="1"/>
  <c r="DB1069" i="1"/>
  <c r="DF1069" i="1"/>
  <c r="AC1294" i="1"/>
  <c r="AH1294" i="1"/>
  <c r="BS1294" i="1"/>
  <c r="BV1294" i="1"/>
  <c r="BX1294" i="1"/>
  <c r="BY1294" i="1"/>
  <c r="BZ1294" i="1"/>
  <c r="CH1294" i="1"/>
  <c r="CL1294" i="1"/>
  <c r="CM1294" i="1"/>
  <c r="CN1294" i="1"/>
  <c r="CP1294" i="1"/>
  <c r="CZ1294" i="1"/>
  <c r="DB1294" i="1"/>
  <c r="DF1294" i="1"/>
  <c r="AC803" i="1"/>
  <c r="AH803" i="1"/>
  <c r="BS803" i="1"/>
  <c r="BV803" i="1"/>
  <c r="BX803" i="1"/>
  <c r="BY803" i="1"/>
  <c r="BZ803" i="1"/>
  <c r="CH803" i="1"/>
  <c r="CL803" i="1"/>
  <c r="CM803" i="1"/>
  <c r="CN803" i="1"/>
  <c r="CO803" i="1"/>
  <c r="CP803" i="1"/>
  <c r="CZ803" i="1"/>
  <c r="DB803" i="1"/>
  <c r="DF803" i="1"/>
  <c r="AC1074" i="1"/>
  <c r="AH1074" i="1"/>
  <c r="BS1074" i="1"/>
  <c r="BV1074" i="1"/>
  <c r="BX1074" i="1"/>
  <c r="BY1074" i="1"/>
  <c r="BZ1074" i="1"/>
  <c r="CA1074" i="1"/>
  <c r="CH1074" i="1"/>
  <c r="CL1074" i="1"/>
  <c r="CM1074" i="1"/>
  <c r="CN1074" i="1"/>
  <c r="CO1074" i="1"/>
  <c r="CP1074" i="1"/>
  <c r="CZ1074" i="1"/>
  <c r="DB1074" i="1"/>
  <c r="DF1074" i="1"/>
  <c r="AC1381" i="1"/>
  <c r="AH1381" i="1"/>
  <c r="BS1381" i="1"/>
  <c r="BV1381" i="1"/>
  <c r="BX1381" i="1"/>
  <c r="BY1381" i="1"/>
  <c r="BZ1381" i="1"/>
  <c r="CH1381" i="1"/>
  <c r="CL1381" i="1"/>
  <c r="CM1381" i="1"/>
  <c r="CN1381" i="1"/>
  <c r="CO1381" i="1"/>
  <c r="CP1381" i="1"/>
  <c r="CZ1381" i="1"/>
  <c r="DB1381" i="1"/>
  <c r="DF1381" i="1"/>
  <c r="AC12" i="1"/>
  <c r="AH12" i="1"/>
  <c r="BS12" i="1"/>
  <c r="BV12" i="1"/>
  <c r="BX12" i="1"/>
  <c r="BY12" i="1"/>
  <c r="BZ12" i="1"/>
  <c r="CA12" i="1"/>
  <c r="CH12" i="1"/>
  <c r="CL12" i="1"/>
  <c r="CM12" i="1"/>
  <c r="CN12" i="1"/>
  <c r="CO12" i="1"/>
  <c r="CP12" i="1"/>
  <c r="CZ12" i="1"/>
  <c r="DB12" i="1"/>
  <c r="DF12" i="1"/>
  <c r="AC1315" i="1"/>
  <c r="AH1315" i="1"/>
  <c r="BS1315" i="1"/>
  <c r="BV1315" i="1"/>
  <c r="BX1315" i="1"/>
  <c r="BY1315" i="1"/>
  <c r="BZ1315" i="1"/>
  <c r="CA1315" i="1"/>
  <c r="CH1315" i="1"/>
  <c r="CL1315" i="1"/>
  <c r="CM1315" i="1"/>
  <c r="CN1315" i="1"/>
  <c r="CO1315" i="1"/>
  <c r="CP1315" i="1"/>
  <c r="CZ1315" i="1"/>
  <c r="DB1315" i="1"/>
  <c r="DF1315" i="1"/>
  <c r="AC1290" i="1"/>
  <c r="AH1290" i="1"/>
  <c r="BS1290" i="1"/>
  <c r="BV1290" i="1"/>
  <c r="BX1290" i="1"/>
  <c r="BY1290" i="1"/>
  <c r="BZ1290" i="1"/>
  <c r="CA1290" i="1"/>
  <c r="CH1290" i="1"/>
  <c r="CL1290" i="1"/>
  <c r="CM1290" i="1"/>
  <c r="CN1290" i="1"/>
  <c r="CO1290" i="1"/>
  <c r="CP1290" i="1"/>
  <c r="CZ1290" i="1"/>
  <c r="DB1290" i="1"/>
  <c r="DF1290" i="1"/>
  <c r="AC231" i="1"/>
  <c r="AH231" i="1"/>
  <c r="BS231" i="1"/>
  <c r="BV231" i="1"/>
  <c r="BX231" i="1"/>
  <c r="BY231" i="1"/>
  <c r="BZ231" i="1"/>
  <c r="CA231" i="1"/>
  <c r="CH231" i="1"/>
  <c r="CL231" i="1"/>
  <c r="CM231" i="1"/>
  <c r="CN231" i="1"/>
  <c r="CO231" i="1"/>
  <c r="CP231" i="1"/>
  <c r="CZ231" i="1"/>
  <c r="DB231" i="1"/>
  <c r="DF231" i="1"/>
  <c r="AC694" i="1"/>
  <c r="AH694" i="1"/>
  <c r="BS694" i="1"/>
  <c r="BV694" i="1"/>
  <c r="BX694" i="1"/>
  <c r="BY694" i="1"/>
  <c r="BZ694" i="1"/>
  <c r="CA694" i="1"/>
  <c r="CH694" i="1"/>
  <c r="CL694" i="1"/>
  <c r="CM694" i="1"/>
  <c r="CN694" i="1"/>
  <c r="CO694" i="1"/>
  <c r="CP694" i="1"/>
  <c r="CZ694" i="1"/>
  <c r="DB694" i="1"/>
  <c r="DF694" i="1"/>
  <c r="AC923" i="1"/>
  <c r="AH923" i="1"/>
  <c r="BS923" i="1"/>
  <c r="BV923" i="1"/>
  <c r="BX923" i="1"/>
  <c r="BY923" i="1"/>
  <c r="BZ923" i="1"/>
  <c r="CH923" i="1"/>
  <c r="CL923" i="1"/>
  <c r="CM923" i="1"/>
  <c r="CN923" i="1"/>
  <c r="CO923" i="1"/>
  <c r="CP923" i="1"/>
  <c r="CZ923" i="1"/>
  <c r="DB923" i="1"/>
  <c r="DF923" i="1"/>
  <c r="AC2279" i="1"/>
  <c r="AH2279" i="1"/>
  <c r="BS2279" i="1"/>
  <c r="BV2279" i="1"/>
  <c r="BX2279" i="1"/>
  <c r="BY2279" i="1"/>
  <c r="BZ2279" i="1"/>
  <c r="CA2279" i="1"/>
  <c r="CH2279" i="1"/>
  <c r="CL2279" i="1"/>
  <c r="CM2279" i="1"/>
  <c r="CN2279" i="1"/>
  <c r="CO2279" i="1"/>
  <c r="CP2279" i="1"/>
  <c r="CZ2279" i="1"/>
  <c r="DB2279" i="1"/>
  <c r="DF2279" i="1"/>
  <c r="AC355" i="1"/>
  <c r="AH355" i="1"/>
  <c r="BS355" i="1"/>
  <c r="BV355" i="1"/>
  <c r="BX355" i="1"/>
  <c r="BY355" i="1"/>
  <c r="BZ355" i="1"/>
  <c r="CH355" i="1"/>
  <c r="CL355" i="1"/>
  <c r="CM355" i="1"/>
  <c r="CN355" i="1"/>
  <c r="CO355" i="1"/>
  <c r="CP355" i="1"/>
  <c r="CZ355" i="1"/>
  <c r="DB355" i="1"/>
  <c r="DF355" i="1"/>
  <c r="AC949" i="1"/>
  <c r="AH949" i="1"/>
  <c r="BS949" i="1"/>
  <c r="BV949" i="1"/>
  <c r="BX949" i="1"/>
  <c r="BY949" i="1"/>
  <c r="BZ949" i="1"/>
  <c r="CH949" i="1"/>
  <c r="CL949" i="1"/>
  <c r="CM949" i="1"/>
  <c r="CN949" i="1"/>
  <c r="CO949" i="1"/>
  <c r="CP949" i="1"/>
  <c r="CZ949" i="1"/>
  <c r="DB949" i="1"/>
  <c r="DF949" i="1"/>
  <c r="AC1409" i="1"/>
  <c r="AH1409" i="1"/>
  <c r="BS1409" i="1"/>
  <c r="BV1409" i="1"/>
  <c r="BX1409" i="1"/>
  <c r="BY1409" i="1"/>
  <c r="BZ1409" i="1"/>
  <c r="CA1409" i="1"/>
  <c r="CH1409" i="1"/>
  <c r="CL1409" i="1"/>
  <c r="CM1409" i="1"/>
  <c r="CN1409" i="1"/>
  <c r="CP1409" i="1"/>
  <c r="CZ1409" i="1"/>
  <c r="DB1409" i="1"/>
  <c r="DF1409" i="1"/>
  <c r="AC1849" i="1"/>
  <c r="AH1849" i="1"/>
  <c r="BS1849" i="1"/>
  <c r="BV1849" i="1"/>
  <c r="BX1849" i="1"/>
  <c r="BY1849" i="1"/>
  <c r="BZ1849" i="1"/>
  <c r="CH1849" i="1"/>
  <c r="CL1849" i="1"/>
  <c r="CM1849" i="1"/>
  <c r="CN1849" i="1"/>
  <c r="CO1849" i="1"/>
  <c r="CP1849" i="1"/>
  <c r="CZ1849" i="1"/>
  <c r="DB1849" i="1"/>
  <c r="DF1849" i="1"/>
  <c r="AC516" i="1"/>
  <c r="AH516" i="1"/>
  <c r="BS516" i="1"/>
  <c r="BV516" i="1"/>
  <c r="BX516" i="1"/>
  <c r="BY516" i="1"/>
  <c r="BZ516" i="1"/>
  <c r="CA516" i="1"/>
  <c r="CH516" i="1"/>
  <c r="CL516" i="1"/>
  <c r="CM516" i="1"/>
  <c r="CN516" i="1"/>
  <c r="CO516" i="1"/>
  <c r="CP516" i="1"/>
  <c r="CZ516" i="1"/>
  <c r="DB516" i="1"/>
  <c r="DF516" i="1"/>
  <c r="AC1963" i="1"/>
  <c r="AH1963" i="1"/>
  <c r="BS1963" i="1"/>
  <c r="BV1963" i="1"/>
  <c r="BX1963" i="1"/>
  <c r="BY1963" i="1"/>
  <c r="BZ1963" i="1"/>
  <c r="CH1963" i="1"/>
  <c r="CL1963" i="1"/>
  <c r="CM1963" i="1"/>
  <c r="CN1963" i="1"/>
  <c r="CP1963" i="1"/>
  <c r="CZ1963" i="1"/>
  <c r="DB1963" i="1"/>
  <c r="DF1963" i="1"/>
  <c r="AC1429" i="1"/>
  <c r="AH1429" i="1"/>
  <c r="BS1429" i="1"/>
  <c r="BV1429" i="1"/>
  <c r="BX1429" i="1"/>
  <c r="BY1429" i="1"/>
  <c r="BZ1429" i="1"/>
  <c r="CH1429" i="1"/>
  <c r="CL1429" i="1"/>
  <c r="CM1429" i="1"/>
  <c r="CN1429" i="1"/>
  <c r="CP1429" i="1"/>
  <c r="CZ1429" i="1"/>
  <c r="DB1429" i="1"/>
  <c r="DF1429" i="1"/>
  <c r="AC2130" i="1"/>
  <c r="AH2130" i="1"/>
  <c r="BS2130" i="1"/>
  <c r="BV2130" i="1"/>
  <c r="BX2130" i="1"/>
  <c r="BY2130" i="1"/>
  <c r="BZ2130" i="1"/>
  <c r="CA2130" i="1"/>
  <c r="CH2130" i="1"/>
  <c r="CL2130" i="1"/>
  <c r="CM2130" i="1"/>
  <c r="CN2130" i="1"/>
  <c r="CO2130" i="1"/>
  <c r="CP2130" i="1"/>
  <c r="CZ2130" i="1"/>
  <c r="DB2130" i="1"/>
  <c r="DF2130" i="1"/>
  <c r="AC2177" i="1"/>
  <c r="AH2177" i="1"/>
  <c r="BS2177" i="1"/>
  <c r="BV2177" i="1"/>
  <c r="BX2177" i="1"/>
  <c r="BY2177" i="1"/>
  <c r="BZ2177" i="1"/>
  <c r="CA2177" i="1"/>
  <c r="CH2177" i="1"/>
  <c r="CL2177" i="1"/>
  <c r="CM2177" i="1"/>
  <c r="CN2177" i="1"/>
  <c r="CO2177" i="1"/>
  <c r="CP2177" i="1"/>
  <c r="CZ2177" i="1"/>
  <c r="DB2177" i="1"/>
  <c r="DF2177" i="1"/>
  <c r="AC145" i="1"/>
  <c r="AH145" i="1"/>
  <c r="BS145" i="1"/>
  <c r="BV145" i="1"/>
  <c r="BX145" i="1"/>
  <c r="BY145" i="1"/>
  <c r="BZ145" i="1"/>
  <c r="CH145" i="1"/>
  <c r="CL145" i="1"/>
  <c r="CM145" i="1"/>
  <c r="CN145" i="1"/>
  <c r="CO145" i="1"/>
  <c r="CP145" i="1"/>
  <c r="CZ145" i="1"/>
  <c r="DB145" i="1"/>
  <c r="DF145" i="1"/>
  <c r="AC917" i="1"/>
  <c r="AH917" i="1"/>
  <c r="BS917" i="1"/>
  <c r="BV917" i="1"/>
  <c r="BX917" i="1"/>
  <c r="BY917" i="1"/>
  <c r="BZ917" i="1"/>
  <c r="CA917" i="1"/>
  <c r="CH917" i="1"/>
  <c r="CL917" i="1"/>
  <c r="CM917" i="1"/>
  <c r="CN917" i="1"/>
  <c r="CO917" i="1"/>
  <c r="CP917" i="1"/>
  <c r="CZ917" i="1"/>
  <c r="DB917" i="1"/>
  <c r="DF917" i="1"/>
  <c r="AC1079" i="1"/>
  <c r="AH1079" i="1"/>
  <c r="BS1079" i="1"/>
  <c r="BV1079" i="1"/>
  <c r="BX1079" i="1"/>
  <c r="BY1079" i="1"/>
  <c r="BZ1079" i="1"/>
  <c r="CA1079" i="1"/>
  <c r="CH1079" i="1"/>
  <c r="CL1079" i="1"/>
  <c r="CM1079" i="1"/>
  <c r="CN1079" i="1"/>
  <c r="CO1079" i="1"/>
  <c r="CP1079" i="1"/>
  <c r="CZ1079" i="1"/>
  <c r="DB1079" i="1"/>
  <c r="DF1079" i="1"/>
  <c r="AC2134" i="1"/>
  <c r="AH2134" i="1"/>
  <c r="BS2134" i="1"/>
  <c r="BV2134" i="1"/>
  <c r="BX2134" i="1"/>
  <c r="BY2134" i="1"/>
  <c r="BZ2134" i="1"/>
  <c r="CA2134" i="1"/>
  <c r="CH2134" i="1"/>
  <c r="CL2134" i="1"/>
  <c r="CM2134" i="1"/>
  <c r="CN2134" i="1"/>
  <c r="CO2134" i="1"/>
  <c r="CP2134" i="1"/>
  <c r="CZ2134" i="1"/>
  <c r="DB2134" i="1"/>
  <c r="DF2134" i="1"/>
  <c r="AC928" i="1"/>
  <c r="AH928" i="1"/>
  <c r="BS928" i="1"/>
  <c r="BV928" i="1"/>
  <c r="BX928" i="1"/>
  <c r="BY928" i="1"/>
  <c r="BZ928" i="1"/>
  <c r="CH928" i="1"/>
  <c r="CL928" i="1"/>
  <c r="CM928" i="1"/>
  <c r="CN928" i="1"/>
  <c r="CO928" i="1"/>
  <c r="CP928" i="1"/>
  <c r="CZ928" i="1"/>
  <c r="DB928" i="1"/>
  <c r="DF928" i="1"/>
  <c r="AC393" i="1"/>
  <c r="AH393" i="1"/>
  <c r="BS393" i="1"/>
  <c r="BV393" i="1"/>
  <c r="BX393" i="1"/>
  <c r="BY393" i="1"/>
  <c r="BZ393" i="1"/>
  <c r="CA393" i="1"/>
  <c r="CH393" i="1"/>
  <c r="CL393" i="1"/>
  <c r="CM393" i="1"/>
  <c r="CN393" i="1"/>
  <c r="CO393" i="1"/>
  <c r="CP393" i="1"/>
  <c r="CZ393" i="1"/>
  <c r="DB393" i="1"/>
  <c r="DF393" i="1"/>
  <c r="AC680" i="1"/>
  <c r="AH680" i="1"/>
  <c r="BS680" i="1"/>
  <c r="BV680" i="1"/>
  <c r="BX680" i="1"/>
  <c r="BY680" i="1"/>
  <c r="BZ680" i="1"/>
  <c r="CA680" i="1"/>
  <c r="CH680" i="1"/>
  <c r="CL680" i="1"/>
  <c r="CM680" i="1"/>
  <c r="CN680" i="1"/>
  <c r="CO680" i="1"/>
  <c r="CP680" i="1"/>
  <c r="CZ680" i="1"/>
  <c r="DB680" i="1"/>
  <c r="DF680" i="1"/>
  <c r="AC552" i="1"/>
  <c r="AH552" i="1"/>
  <c r="BS552" i="1"/>
  <c r="BV552" i="1"/>
  <c r="BX552" i="1"/>
  <c r="BY552" i="1"/>
  <c r="BZ552" i="1"/>
  <c r="CH552" i="1"/>
  <c r="CL552" i="1"/>
  <c r="CM552" i="1"/>
  <c r="CN552" i="1"/>
  <c r="CO552" i="1"/>
  <c r="CP552" i="1"/>
  <c r="CZ552" i="1"/>
  <c r="DB552" i="1"/>
  <c r="DF552" i="1"/>
  <c r="AC1258" i="1"/>
  <c r="AH1258" i="1"/>
  <c r="BS1258" i="1"/>
  <c r="BV1258" i="1"/>
  <c r="BX1258" i="1"/>
  <c r="BY1258" i="1"/>
  <c r="BZ1258" i="1"/>
  <c r="CH1258" i="1"/>
  <c r="CL1258" i="1"/>
  <c r="CM1258" i="1"/>
  <c r="CN1258" i="1"/>
  <c r="CO1258" i="1"/>
  <c r="CP1258" i="1"/>
  <c r="CZ1258" i="1"/>
  <c r="DB1258" i="1"/>
  <c r="DF1258" i="1"/>
  <c r="AC638" i="1"/>
  <c r="AH638" i="1"/>
  <c r="BS638" i="1"/>
  <c r="BV638" i="1"/>
  <c r="BX638" i="1"/>
  <c r="BY638" i="1"/>
  <c r="BZ638" i="1"/>
  <c r="CA638" i="1"/>
  <c r="CH638" i="1"/>
  <c r="CL638" i="1"/>
  <c r="CM638" i="1"/>
  <c r="CN638" i="1"/>
  <c r="CO638" i="1"/>
  <c r="CP638" i="1"/>
  <c r="CZ638" i="1"/>
  <c r="DB638" i="1"/>
  <c r="DF638" i="1"/>
  <c r="AC1950" i="1"/>
  <c r="AH1950" i="1"/>
  <c r="BS1950" i="1"/>
  <c r="BV1950" i="1"/>
  <c r="BX1950" i="1"/>
  <c r="BY1950" i="1"/>
  <c r="BZ1950" i="1"/>
  <c r="CA1950" i="1"/>
  <c r="CH1950" i="1"/>
  <c r="CL1950" i="1"/>
  <c r="CM1950" i="1"/>
  <c r="CN1950" i="1"/>
  <c r="CO1950" i="1"/>
  <c r="CP1950" i="1"/>
  <c r="CZ1950" i="1"/>
  <c r="DB1950" i="1"/>
  <c r="DF1950" i="1"/>
  <c r="AC970" i="1"/>
  <c r="AH970" i="1"/>
  <c r="BS970" i="1"/>
  <c r="BV970" i="1"/>
  <c r="BX970" i="1"/>
  <c r="BY970" i="1"/>
  <c r="BZ970" i="1"/>
  <c r="CA970" i="1"/>
  <c r="CH970" i="1"/>
  <c r="CL970" i="1"/>
  <c r="CM970" i="1"/>
  <c r="CN970" i="1"/>
  <c r="CO970" i="1"/>
  <c r="CP970" i="1"/>
  <c r="CZ970" i="1"/>
  <c r="DB970" i="1"/>
  <c r="DF970" i="1"/>
  <c r="AC1638" i="1"/>
  <c r="AH1638" i="1"/>
  <c r="BS1638" i="1"/>
  <c r="BV1638" i="1"/>
  <c r="BX1638" i="1"/>
  <c r="BY1638" i="1"/>
  <c r="BZ1638" i="1"/>
  <c r="CH1638" i="1"/>
  <c r="CL1638" i="1"/>
  <c r="CM1638" i="1"/>
  <c r="CN1638" i="1"/>
  <c r="CO1638" i="1"/>
  <c r="CP1638" i="1"/>
  <c r="CZ1638" i="1"/>
  <c r="DB1638" i="1"/>
  <c r="DF1638" i="1"/>
  <c r="AC2020" i="1"/>
  <c r="AH2020" i="1"/>
  <c r="BS2020" i="1"/>
  <c r="BV2020" i="1"/>
  <c r="BX2020" i="1"/>
  <c r="BY2020" i="1"/>
  <c r="BZ2020" i="1"/>
  <c r="CA2020" i="1"/>
  <c r="CH2020" i="1"/>
  <c r="CL2020" i="1"/>
  <c r="CM2020" i="1"/>
  <c r="CN2020" i="1"/>
  <c r="CO2020" i="1"/>
  <c r="CP2020" i="1"/>
  <c r="CZ2020" i="1"/>
  <c r="DB2020" i="1"/>
  <c r="DF2020" i="1"/>
  <c r="AC1825" i="1"/>
  <c r="AH1825" i="1"/>
  <c r="BS1825" i="1"/>
  <c r="BV1825" i="1"/>
  <c r="BX1825" i="1"/>
  <c r="BY1825" i="1"/>
  <c r="BZ1825" i="1"/>
  <c r="CH1825" i="1"/>
  <c r="CL1825" i="1"/>
  <c r="CM1825" i="1"/>
  <c r="CN1825" i="1"/>
  <c r="CO1825" i="1"/>
  <c r="CP1825" i="1"/>
  <c r="CZ1825" i="1"/>
  <c r="DB1825" i="1"/>
  <c r="DF1825" i="1"/>
  <c r="AC347" i="1"/>
  <c r="AH347" i="1"/>
  <c r="BS347" i="1"/>
  <c r="BV347" i="1"/>
  <c r="BX347" i="1"/>
  <c r="BY347" i="1"/>
  <c r="BZ347" i="1"/>
  <c r="CA347" i="1"/>
  <c r="CH347" i="1"/>
  <c r="CL347" i="1"/>
  <c r="CM347" i="1"/>
  <c r="CN347" i="1"/>
  <c r="CO347" i="1"/>
  <c r="CP347" i="1"/>
  <c r="CZ347" i="1"/>
  <c r="DB347" i="1"/>
  <c r="DF347" i="1"/>
  <c r="AC2307" i="1"/>
  <c r="AH2307" i="1"/>
  <c r="BS2307" i="1"/>
  <c r="BV2307" i="1"/>
  <c r="BX2307" i="1"/>
  <c r="BY2307" i="1"/>
  <c r="BZ2307" i="1"/>
  <c r="CA2307" i="1"/>
  <c r="CH2307" i="1"/>
  <c r="CL2307" i="1"/>
  <c r="CM2307" i="1"/>
  <c r="CN2307" i="1"/>
  <c r="CO2307" i="1"/>
  <c r="CP2307" i="1"/>
  <c r="CZ2307" i="1"/>
  <c r="DB2307" i="1"/>
  <c r="DF2307" i="1"/>
  <c r="AC1593" i="1"/>
  <c r="AH1593" i="1"/>
  <c r="BS1593" i="1"/>
  <c r="BV1593" i="1"/>
  <c r="BX1593" i="1"/>
  <c r="BY1593" i="1"/>
  <c r="BZ1593" i="1"/>
  <c r="CH1593" i="1"/>
  <c r="CL1593" i="1"/>
  <c r="CM1593" i="1"/>
  <c r="CN1593" i="1"/>
  <c r="CO1593" i="1"/>
  <c r="CP1593" i="1"/>
  <c r="CZ1593" i="1"/>
  <c r="DB1593" i="1"/>
  <c r="DF1593" i="1"/>
  <c r="AC1452" i="1"/>
  <c r="AH1452" i="1"/>
  <c r="BS1452" i="1"/>
  <c r="BV1452" i="1"/>
  <c r="BX1452" i="1"/>
  <c r="BY1452" i="1"/>
  <c r="BZ1452" i="1"/>
  <c r="CH1452" i="1"/>
  <c r="CL1452" i="1"/>
  <c r="CM1452" i="1"/>
  <c r="CN1452" i="1"/>
  <c r="CO1452" i="1"/>
  <c r="CP1452" i="1"/>
  <c r="CZ1452" i="1"/>
  <c r="DB1452" i="1"/>
  <c r="DF1452" i="1"/>
  <c r="AC1578" i="1"/>
  <c r="AH1578" i="1"/>
  <c r="BS1578" i="1"/>
  <c r="BV1578" i="1"/>
  <c r="BX1578" i="1"/>
  <c r="BY1578" i="1"/>
  <c r="BZ1578" i="1"/>
  <c r="CH1578" i="1"/>
  <c r="CL1578" i="1"/>
  <c r="CM1578" i="1"/>
  <c r="CN1578" i="1"/>
  <c r="CO1578" i="1"/>
  <c r="CP1578" i="1"/>
  <c r="CZ1578" i="1"/>
  <c r="DB1578" i="1"/>
  <c r="DF1578" i="1"/>
  <c r="AC2259" i="1"/>
  <c r="AH2259" i="1"/>
  <c r="BS2259" i="1"/>
  <c r="BV2259" i="1"/>
  <c r="BX2259" i="1"/>
  <c r="BY2259" i="1"/>
  <c r="BZ2259" i="1"/>
  <c r="CA2259" i="1"/>
  <c r="CH2259" i="1"/>
  <c r="CL2259" i="1"/>
  <c r="CM2259" i="1"/>
  <c r="CN2259" i="1"/>
  <c r="CO2259" i="1"/>
  <c r="CP2259" i="1"/>
  <c r="CZ2259" i="1"/>
  <c r="DB2259" i="1"/>
  <c r="DF2259" i="1"/>
  <c r="AC1142" i="1"/>
  <c r="AH1142" i="1"/>
  <c r="BS1142" i="1"/>
  <c r="BV1142" i="1"/>
  <c r="BX1142" i="1"/>
  <c r="BY1142" i="1"/>
  <c r="BZ1142" i="1"/>
  <c r="CA1142" i="1"/>
  <c r="CH1142" i="1"/>
  <c r="CL1142" i="1"/>
  <c r="CM1142" i="1"/>
  <c r="CN1142" i="1"/>
  <c r="CO1142" i="1"/>
  <c r="CP1142" i="1"/>
  <c r="CZ1142" i="1"/>
  <c r="DB1142" i="1"/>
  <c r="DF1142" i="1"/>
  <c r="AC164" i="1"/>
  <c r="AH164" i="1"/>
  <c r="BS164" i="1"/>
  <c r="BV164" i="1"/>
  <c r="BX164" i="1"/>
  <c r="BY164" i="1"/>
  <c r="BZ164" i="1"/>
  <c r="CH164" i="1"/>
  <c r="CL164" i="1"/>
  <c r="CM164" i="1"/>
  <c r="CN164" i="1"/>
  <c r="CO164" i="1"/>
  <c r="CP164" i="1"/>
  <c r="CZ164" i="1"/>
  <c r="DB164" i="1"/>
  <c r="DF164" i="1"/>
  <c r="AC2251" i="1"/>
  <c r="AH2251" i="1"/>
  <c r="BS2251" i="1"/>
  <c r="BV2251" i="1"/>
  <c r="BX2251" i="1"/>
  <c r="BY2251" i="1"/>
  <c r="BZ2251" i="1"/>
  <c r="CA2251" i="1"/>
  <c r="CH2251" i="1"/>
  <c r="CL2251" i="1"/>
  <c r="CM2251" i="1"/>
  <c r="CN2251" i="1"/>
  <c r="CO2251" i="1"/>
  <c r="CP2251" i="1"/>
  <c r="CZ2251" i="1"/>
  <c r="DB2251" i="1"/>
  <c r="DF2251" i="1"/>
  <c r="AC1800" i="1"/>
  <c r="AH1800" i="1"/>
  <c r="BS1800" i="1"/>
  <c r="BV1800" i="1"/>
  <c r="BX1800" i="1"/>
  <c r="BY1800" i="1"/>
  <c r="BZ1800" i="1"/>
  <c r="CA1800" i="1"/>
  <c r="CH1800" i="1"/>
  <c r="CL1800" i="1"/>
  <c r="CM1800" i="1"/>
  <c r="CN1800" i="1"/>
  <c r="CO1800" i="1"/>
  <c r="CP1800" i="1"/>
  <c r="CZ1800" i="1"/>
  <c r="DB1800" i="1"/>
  <c r="DF1800" i="1"/>
  <c r="AC465" i="1"/>
  <c r="AH465" i="1"/>
  <c r="BS465" i="1"/>
  <c r="BV465" i="1"/>
  <c r="BX465" i="1"/>
  <c r="BY465" i="1"/>
  <c r="BZ465" i="1"/>
  <c r="CA465" i="1"/>
  <c r="CH465" i="1"/>
  <c r="CL465" i="1"/>
  <c r="CM465" i="1"/>
  <c r="CN465" i="1"/>
  <c r="CO465" i="1"/>
  <c r="CP465" i="1"/>
  <c r="CZ465" i="1"/>
  <c r="DB465" i="1"/>
  <c r="DF465" i="1"/>
  <c r="AC122" i="1"/>
  <c r="AH122" i="1"/>
  <c r="BS122" i="1"/>
  <c r="BV122" i="1"/>
  <c r="BX122" i="1"/>
  <c r="BY122" i="1"/>
  <c r="BZ122" i="1"/>
  <c r="CH122" i="1"/>
  <c r="CL122" i="1"/>
  <c r="CM122" i="1"/>
  <c r="CN122" i="1"/>
  <c r="CO122" i="1"/>
  <c r="CP122" i="1"/>
  <c r="CZ122" i="1"/>
  <c r="DB122" i="1"/>
  <c r="DF122" i="1"/>
  <c r="AC1882" i="1"/>
  <c r="AH1882" i="1"/>
  <c r="BS1882" i="1"/>
  <c r="BV1882" i="1"/>
  <c r="BX1882" i="1"/>
  <c r="BY1882" i="1"/>
  <c r="BZ1882" i="1"/>
  <c r="CA1882" i="1"/>
  <c r="CH1882" i="1"/>
  <c r="CL1882" i="1"/>
  <c r="CM1882" i="1"/>
  <c r="CN1882" i="1"/>
  <c r="CO1882" i="1"/>
  <c r="CP1882" i="1"/>
  <c r="CZ1882" i="1"/>
  <c r="DB1882" i="1"/>
  <c r="DF1882" i="1"/>
  <c r="AC1285" i="1"/>
  <c r="AH1285" i="1"/>
  <c r="BS1285" i="1"/>
  <c r="BV1285" i="1"/>
  <c r="BX1285" i="1"/>
  <c r="BY1285" i="1"/>
  <c r="BZ1285" i="1"/>
  <c r="CA1285" i="1"/>
  <c r="CH1285" i="1"/>
  <c r="CL1285" i="1"/>
  <c r="CM1285" i="1"/>
  <c r="CN1285" i="1"/>
  <c r="CO1285" i="1"/>
  <c r="CP1285" i="1"/>
  <c r="CZ1285" i="1"/>
  <c r="DB1285" i="1"/>
  <c r="DF1285" i="1"/>
  <c r="AC1652" i="1"/>
  <c r="AH1652" i="1"/>
  <c r="BS1652" i="1"/>
  <c r="BV1652" i="1"/>
  <c r="BX1652" i="1"/>
  <c r="BY1652" i="1"/>
  <c r="BZ1652" i="1"/>
  <c r="CH1652" i="1"/>
  <c r="CL1652" i="1"/>
  <c r="CM1652" i="1"/>
  <c r="CN1652" i="1"/>
  <c r="CO1652" i="1"/>
  <c r="CP1652" i="1"/>
  <c r="CZ1652" i="1"/>
  <c r="DB1652" i="1"/>
  <c r="DF1652" i="1"/>
  <c r="AC1887" i="1"/>
  <c r="AH1887" i="1"/>
  <c r="BS1887" i="1"/>
  <c r="BV1887" i="1"/>
  <c r="BX1887" i="1"/>
  <c r="BY1887" i="1"/>
  <c r="BZ1887" i="1"/>
  <c r="CH1887" i="1"/>
  <c r="CL1887" i="1"/>
  <c r="CM1887" i="1"/>
  <c r="CN1887" i="1"/>
  <c r="CP1887" i="1"/>
  <c r="CZ1887" i="1"/>
  <c r="DB1887" i="1"/>
  <c r="DF1887" i="1"/>
  <c r="AC1896" i="1"/>
  <c r="AH1896" i="1"/>
  <c r="BS1896" i="1"/>
  <c r="BV1896" i="1"/>
  <c r="BX1896" i="1"/>
  <c r="BY1896" i="1"/>
  <c r="BZ1896" i="1"/>
  <c r="CH1896" i="1"/>
  <c r="CL1896" i="1"/>
  <c r="CM1896" i="1"/>
  <c r="CN1896" i="1"/>
  <c r="CO1896" i="1"/>
  <c r="CP1896" i="1"/>
  <c r="CZ1896" i="1"/>
  <c r="DB1896" i="1"/>
  <c r="DF1896" i="1"/>
  <c r="AC21" i="1"/>
  <c r="AH21" i="1"/>
  <c r="BS21" i="1"/>
  <c r="BV21" i="1"/>
  <c r="BX21" i="1"/>
  <c r="BY21" i="1"/>
  <c r="BZ21" i="1"/>
  <c r="CA21" i="1"/>
  <c r="CH21" i="1"/>
  <c r="CL21" i="1"/>
  <c r="CM21" i="1"/>
  <c r="CN21" i="1"/>
  <c r="CO21" i="1"/>
  <c r="CP21" i="1"/>
  <c r="CZ21" i="1"/>
  <c r="DB21" i="1"/>
  <c r="DF21" i="1"/>
  <c r="AC1467" i="1"/>
  <c r="AH1467" i="1"/>
  <c r="BS1467" i="1"/>
  <c r="BV1467" i="1"/>
  <c r="BX1467" i="1"/>
  <c r="BY1467" i="1"/>
  <c r="BZ1467" i="1"/>
  <c r="CA1467" i="1"/>
  <c r="CH1467" i="1"/>
  <c r="CL1467" i="1"/>
  <c r="CM1467" i="1"/>
  <c r="CN1467" i="1"/>
  <c r="CO1467" i="1"/>
  <c r="CP1467" i="1"/>
  <c r="CZ1467" i="1"/>
  <c r="DB1467" i="1"/>
  <c r="DF1467" i="1"/>
  <c r="AC953" i="1"/>
  <c r="AH953" i="1"/>
  <c r="BS953" i="1"/>
  <c r="BV953" i="1"/>
  <c r="BX953" i="1"/>
  <c r="BY953" i="1"/>
  <c r="BZ953" i="1"/>
  <c r="CA953" i="1"/>
  <c r="CH953" i="1"/>
  <c r="CL953" i="1"/>
  <c r="CM953" i="1"/>
  <c r="CN953" i="1"/>
  <c r="CO953" i="1"/>
  <c r="CP953" i="1"/>
  <c r="CZ953" i="1"/>
  <c r="DB953" i="1"/>
  <c r="DF953" i="1"/>
  <c r="AC2059" i="1"/>
  <c r="AH2059" i="1"/>
  <c r="BS2059" i="1"/>
  <c r="BV2059" i="1"/>
  <c r="BX2059" i="1"/>
  <c r="BY2059" i="1"/>
  <c r="BZ2059" i="1"/>
  <c r="CH2059" i="1"/>
  <c r="CL2059" i="1"/>
  <c r="CM2059" i="1"/>
  <c r="CN2059" i="1"/>
  <c r="CP2059" i="1"/>
  <c r="CZ2059" i="1"/>
  <c r="DB2059" i="1"/>
  <c r="DF2059" i="1"/>
  <c r="AC1783" i="1"/>
  <c r="AH1783" i="1"/>
  <c r="BS1783" i="1"/>
  <c r="BV1783" i="1"/>
  <c r="BX1783" i="1"/>
  <c r="BY1783" i="1"/>
  <c r="BZ1783" i="1"/>
  <c r="CH1783" i="1"/>
  <c r="CL1783" i="1"/>
  <c r="CM1783" i="1"/>
  <c r="CN1783" i="1"/>
  <c r="CO1783" i="1"/>
  <c r="CP1783" i="1"/>
  <c r="CZ1783" i="1"/>
  <c r="DB1783" i="1"/>
  <c r="DF1783" i="1"/>
  <c r="AC1888" i="1"/>
  <c r="AH1888" i="1"/>
  <c r="BS1888" i="1"/>
  <c r="BV1888" i="1"/>
  <c r="BX1888" i="1"/>
  <c r="BY1888" i="1"/>
  <c r="BZ1888" i="1"/>
  <c r="CA1888" i="1"/>
  <c r="CH1888" i="1"/>
  <c r="CL1888" i="1"/>
  <c r="CM1888" i="1"/>
  <c r="CN1888" i="1"/>
  <c r="CO1888" i="1"/>
  <c r="CP1888" i="1"/>
  <c r="CZ1888" i="1"/>
  <c r="DB1888" i="1"/>
  <c r="DF1888" i="1"/>
  <c r="AC815" i="1"/>
  <c r="AH815" i="1"/>
  <c r="BS815" i="1"/>
  <c r="BV815" i="1"/>
  <c r="BX815" i="1"/>
  <c r="BY815" i="1"/>
  <c r="BZ815" i="1"/>
  <c r="CH815" i="1"/>
  <c r="CL815" i="1"/>
  <c r="CM815" i="1"/>
  <c r="CN815" i="1"/>
  <c r="CO815" i="1"/>
  <c r="CP815" i="1"/>
  <c r="CZ815" i="1"/>
  <c r="DB815" i="1"/>
  <c r="DF815" i="1"/>
  <c r="AC1039" i="1"/>
  <c r="AH1039" i="1"/>
  <c r="BS1039" i="1"/>
  <c r="BV1039" i="1"/>
  <c r="BX1039" i="1"/>
  <c r="BY1039" i="1"/>
  <c r="BZ1039" i="1"/>
  <c r="CA1039" i="1"/>
  <c r="CH1039" i="1"/>
  <c r="CL1039" i="1"/>
  <c r="CM1039" i="1"/>
  <c r="CN1039" i="1"/>
  <c r="CO1039" i="1"/>
  <c r="CP1039" i="1"/>
  <c r="CZ1039" i="1"/>
  <c r="DB1039" i="1"/>
  <c r="DF1039" i="1"/>
  <c r="AC903" i="1"/>
  <c r="AH903" i="1"/>
  <c r="BS903" i="1"/>
  <c r="BV903" i="1"/>
  <c r="BX903" i="1"/>
  <c r="BY903" i="1"/>
  <c r="BZ903" i="1"/>
  <c r="CA903" i="1"/>
  <c r="CH903" i="1"/>
  <c r="CL903" i="1"/>
  <c r="CM903" i="1"/>
  <c r="CN903" i="1"/>
  <c r="CO903" i="1"/>
  <c r="CP903" i="1"/>
  <c r="CZ903" i="1"/>
  <c r="DB903" i="1"/>
  <c r="DF903" i="1"/>
  <c r="AC2118" i="1"/>
  <c r="AH2118" i="1"/>
  <c r="BS2118" i="1"/>
  <c r="BV2118" i="1"/>
  <c r="BX2118" i="1"/>
  <c r="BY2118" i="1"/>
  <c r="BZ2118" i="1"/>
  <c r="CA2118" i="1"/>
  <c r="CH2118" i="1"/>
  <c r="CL2118" i="1"/>
  <c r="CM2118" i="1"/>
  <c r="CN2118" i="1"/>
  <c r="CO2118" i="1"/>
  <c r="CP2118" i="1"/>
  <c r="CZ2118" i="1"/>
  <c r="DB2118" i="1"/>
  <c r="DF2118" i="1"/>
  <c r="AC945" i="1"/>
  <c r="AH945" i="1"/>
  <c r="BS945" i="1"/>
  <c r="BV945" i="1"/>
  <c r="BX945" i="1"/>
  <c r="BY945" i="1"/>
  <c r="BZ945" i="1"/>
  <c r="CA945" i="1"/>
  <c r="CH945" i="1"/>
  <c r="CL945" i="1"/>
  <c r="CM945" i="1"/>
  <c r="CN945" i="1"/>
  <c r="CO945" i="1"/>
  <c r="CP945" i="1"/>
  <c r="CZ945" i="1"/>
  <c r="DB945" i="1"/>
  <c r="DF945" i="1"/>
  <c r="AC861" i="1"/>
  <c r="AH861" i="1"/>
  <c r="BS861" i="1"/>
  <c r="BV861" i="1"/>
  <c r="BX861" i="1"/>
  <c r="BY861" i="1"/>
  <c r="BZ861" i="1"/>
  <c r="CH861" i="1"/>
  <c r="CL861" i="1"/>
  <c r="CM861" i="1"/>
  <c r="CN861" i="1"/>
  <c r="CO861" i="1"/>
  <c r="CP861" i="1"/>
  <c r="CZ861" i="1"/>
  <c r="DB861" i="1"/>
  <c r="DF861" i="1"/>
  <c r="AC1992" i="1"/>
  <c r="AH1992" i="1"/>
  <c r="BS1992" i="1"/>
  <c r="BV1992" i="1"/>
  <c r="BX1992" i="1"/>
  <c r="BY1992" i="1"/>
  <c r="BZ1992" i="1"/>
  <c r="CH1992" i="1"/>
  <c r="CL1992" i="1"/>
  <c r="CM1992" i="1"/>
  <c r="CN1992" i="1"/>
  <c r="CP1992" i="1"/>
  <c r="CZ1992" i="1"/>
  <c r="DB1992" i="1"/>
  <c r="DF1992" i="1"/>
  <c r="AC1727" i="1"/>
  <c r="AH1727" i="1"/>
  <c r="BS1727" i="1"/>
  <c r="BV1727" i="1"/>
  <c r="BX1727" i="1"/>
  <c r="BY1727" i="1"/>
  <c r="BZ1727" i="1"/>
  <c r="CH1727" i="1"/>
  <c r="CL1727" i="1"/>
  <c r="CM1727" i="1"/>
  <c r="CN1727" i="1"/>
  <c r="CP1727" i="1"/>
  <c r="CZ1727" i="1"/>
  <c r="DB1727" i="1"/>
  <c r="DF1727" i="1"/>
  <c r="AC1733" i="1"/>
  <c r="AH1733" i="1"/>
  <c r="BS1733" i="1"/>
  <c r="BV1733" i="1"/>
  <c r="BX1733" i="1"/>
  <c r="BY1733" i="1"/>
  <c r="BZ1733" i="1"/>
  <c r="CA1733" i="1"/>
  <c r="CH1733" i="1"/>
  <c r="CL1733" i="1"/>
  <c r="CM1733" i="1"/>
  <c r="CN1733" i="1"/>
  <c r="CO1733" i="1"/>
  <c r="CP1733" i="1"/>
  <c r="CZ1733" i="1"/>
  <c r="DB1733" i="1"/>
  <c r="DF1733" i="1"/>
  <c r="AC1160" i="1"/>
  <c r="AH1160" i="1"/>
  <c r="BS1160" i="1"/>
  <c r="BV1160" i="1"/>
  <c r="BX1160" i="1"/>
  <c r="BY1160" i="1"/>
  <c r="BZ1160" i="1"/>
  <c r="CA1160" i="1"/>
  <c r="CH1160" i="1"/>
  <c r="CL1160" i="1"/>
  <c r="CM1160" i="1"/>
  <c r="CN1160" i="1"/>
  <c r="CO1160" i="1"/>
  <c r="CP1160" i="1"/>
  <c r="CZ1160" i="1"/>
  <c r="DB1160" i="1"/>
  <c r="DF1160" i="1"/>
  <c r="AC1540" i="1"/>
  <c r="AH1540" i="1"/>
  <c r="BS1540" i="1"/>
  <c r="BV1540" i="1"/>
  <c r="BX1540" i="1"/>
  <c r="BY1540" i="1"/>
  <c r="BZ1540" i="1"/>
  <c r="CH1540" i="1"/>
  <c r="CL1540" i="1"/>
  <c r="CM1540" i="1"/>
  <c r="CN1540" i="1"/>
  <c r="CO1540" i="1"/>
  <c r="CP1540" i="1"/>
  <c r="CZ1540" i="1"/>
  <c r="DB1540" i="1"/>
  <c r="DF1540" i="1"/>
  <c r="AC2272" i="1"/>
  <c r="AH2272" i="1"/>
  <c r="BS2272" i="1"/>
  <c r="BV2272" i="1"/>
  <c r="BX2272" i="1"/>
  <c r="BY2272" i="1"/>
  <c r="BZ2272" i="1"/>
  <c r="CA2272" i="1"/>
  <c r="CH2272" i="1"/>
  <c r="CL2272" i="1"/>
  <c r="CM2272" i="1"/>
  <c r="CN2272" i="1"/>
  <c r="CO2272" i="1"/>
  <c r="CP2272" i="1"/>
  <c r="CZ2272" i="1"/>
  <c r="DB2272" i="1"/>
  <c r="DF2272" i="1"/>
  <c r="AC1938" i="1"/>
  <c r="AH1938" i="1"/>
  <c r="BS1938" i="1"/>
  <c r="BV1938" i="1"/>
  <c r="BX1938" i="1"/>
  <c r="BY1938" i="1"/>
  <c r="BZ1938" i="1"/>
  <c r="CH1938" i="1"/>
  <c r="CL1938" i="1"/>
  <c r="CM1938" i="1"/>
  <c r="CN1938" i="1"/>
  <c r="CP1938" i="1"/>
  <c r="CZ1938" i="1"/>
  <c r="DB1938" i="1"/>
  <c r="DF1938" i="1"/>
  <c r="AC930" i="1"/>
  <c r="AH930" i="1"/>
  <c r="BS930" i="1"/>
  <c r="BV930" i="1"/>
  <c r="BX930" i="1"/>
  <c r="BY930" i="1"/>
  <c r="BZ930" i="1"/>
  <c r="CA930" i="1"/>
  <c r="CH930" i="1"/>
  <c r="CL930" i="1"/>
  <c r="CM930" i="1"/>
  <c r="CN930" i="1"/>
  <c r="CO930" i="1"/>
  <c r="CP930" i="1"/>
  <c r="CZ930" i="1"/>
  <c r="DB930" i="1"/>
  <c r="DF930" i="1"/>
  <c r="AC69" i="1"/>
  <c r="AH69" i="1"/>
  <c r="BS69" i="1"/>
  <c r="BV69" i="1"/>
  <c r="BX69" i="1"/>
  <c r="BY69" i="1"/>
  <c r="BZ69" i="1"/>
  <c r="CA69" i="1"/>
  <c r="CH69" i="1"/>
  <c r="CL69" i="1"/>
  <c r="CM69" i="1"/>
  <c r="CN69" i="1"/>
  <c r="CO69" i="1"/>
  <c r="CP69" i="1"/>
  <c r="CZ69" i="1"/>
  <c r="DB69" i="1"/>
  <c r="DF69" i="1"/>
  <c r="AC287" i="1"/>
  <c r="AH287" i="1"/>
  <c r="BS287" i="1"/>
  <c r="BV287" i="1"/>
  <c r="BX287" i="1"/>
  <c r="BY287" i="1"/>
  <c r="BZ287" i="1"/>
  <c r="CA287" i="1"/>
  <c r="CH287" i="1"/>
  <c r="CL287" i="1"/>
  <c r="CM287" i="1"/>
  <c r="CN287" i="1"/>
  <c r="CO287" i="1"/>
  <c r="CP287" i="1"/>
  <c r="CZ287" i="1"/>
  <c r="DB287" i="1"/>
  <c r="DF287" i="1"/>
  <c r="AC758" i="1"/>
  <c r="AH758" i="1"/>
  <c r="BS758" i="1"/>
  <c r="BV758" i="1"/>
  <c r="BX758" i="1"/>
  <c r="BY758" i="1"/>
  <c r="BZ758" i="1"/>
  <c r="CH758" i="1"/>
  <c r="CL758" i="1"/>
  <c r="CM758" i="1"/>
  <c r="CN758" i="1"/>
  <c r="CO758" i="1"/>
  <c r="CP758" i="1"/>
  <c r="CZ758" i="1"/>
  <c r="DB758" i="1"/>
  <c r="DF758" i="1"/>
  <c r="AC51" i="1"/>
  <c r="AH51" i="1"/>
  <c r="BS51" i="1"/>
  <c r="BV51" i="1"/>
  <c r="BX51" i="1"/>
  <c r="BY51" i="1"/>
  <c r="BZ51" i="1"/>
  <c r="CA51" i="1"/>
  <c r="CH51" i="1"/>
  <c r="CL51" i="1"/>
  <c r="CM51" i="1"/>
  <c r="CN51" i="1"/>
  <c r="CO51" i="1"/>
  <c r="CP51" i="1"/>
  <c r="CZ51" i="1"/>
  <c r="DB51" i="1"/>
  <c r="DF51" i="1"/>
  <c r="AC2208" i="1"/>
  <c r="AH2208" i="1"/>
  <c r="BS2208" i="1"/>
  <c r="BV2208" i="1"/>
  <c r="BX2208" i="1"/>
  <c r="BY2208" i="1"/>
  <c r="BZ2208" i="1"/>
  <c r="CH2208" i="1"/>
  <c r="CL2208" i="1"/>
  <c r="CM2208" i="1"/>
  <c r="CN2208" i="1"/>
  <c r="CO2208" i="1"/>
  <c r="CP2208" i="1"/>
  <c r="CZ2208" i="1"/>
  <c r="DB2208" i="1"/>
  <c r="DF2208" i="1"/>
  <c r="AC944" i="1"/>
  <c r="AH944" i="1"/>
  <c r="BS944" i="1"/>
  <c r="BV944" i="1"/>
  <c r="BX944" i="1"/>
  <c r="BY944" i="1"/>
  <c r="BZ944" i="1"/>
  <c r="CA944" i="1"/>
  <c r="CH944" i="1"/>
  <c r="CL944" i="1"/>
  <c r="CM944" i="1"/>
  <c r="CN944" i="1"/>
  <c r="CO944" i="1"/>
  <c r="CP944" i="1"/>
  <c r="CZ944" i="1"/>
  <c r="DB944" i="1"/>
  <c r="DF944" i="1"/>
  <c r="AC1624" i="1"/>
  <c r="AH1624" i="1"/>
  <c r="BS1624" i="1"/>
  <c r="BV1624" i="1"/>
  <c r="BX1624" i="1"/>
  <c r="BY1624" i="1"/>
  <c r="BZ1624" i="1"/>
  <c r="CA1624" i="1"/>
  <c r="CH1624" i="1"/>
  <c r="CL1624" i="1"/>
  <c r="CM1624" i="1"/>
  <c r="CN1624" i="1"/>
  <c r="CO1624" i="1"/>
  <c r="CP1624" i="1"/>
  <c r="CZ1624" i="1"/>
  <c r="DB1624" i="1"/>
  <c r="DF1624" i="1"/>
  <c r="AC329" i="1"/>
  <c r="AH329" i="1"/>
  <c r="BS329" i="1"/>
  <c r="BV329" i="1"/>
  <c r="BX329" i="1"/>
  <c r="BY329" i="1"/>
  <c r="BZ329" i="1"/>
  <c r="CA329" i="1"/>
  <c r="CH329" i="1"/>
  <c r="CL329" i="1"/>
  <c r="CM329" i="1"/>
  <c r="CN329" i="1"/>
  <c r="CO329" i="1"/>
  <c r="CP329" i="1"/>
  <c r="CZ329" i="1"/>
  <c r="DB329" i="1"/>
  <c r="DF329" i="1"/>
  <c r="AC702" i="1"/>
  <c r="AH702" i="1"/>
  <c r="BS702" i="1"/>
  <c r="BV702" i="1"/>
  <c r="BX702" i="1"/>
  <c r="BY702" i="1"/>
  <c r="BZ702" i="1"/>
  <c r="CA702" i="1"/>
  <c r="CH702" i="1"/>
  <c r="CL702" i="1"/>
  <c r="CM702" i="1"/>
  <c r="CN702" i="1"/>
  <c r="CO702" i="1"/>
  <c r="CP702" i="1"/>
  <c r="CZ702" i="1"/>
  <c r="DB702" i="1"/>
  <c r="DF702" i="1"/>
  <c r="AC963" i="1"/>
  <c r="AH963" i="1"/>
  <c r="BS963" i="1"/>
  <c r="BV963" i="1"/>
  <c r="BX963" i="1"/>
  <c r="BY963" i="1"/>
  <c r="BZ963" i="1"/>
  <c r="CA963" i="1"/>
  <c r="CH963" i="1"/>
  <c r="CL963" i="1"/>
  <c r="CM963" i="1"/>
  <c r="CN963" i="1"/>
  <c r="CO963" i="1"/>
  <c r="CP963" i="1"/>
  <c r="CZ963" i="1"/>
  <c r="DB963" i="1"/>
  <c r="DF963" i="1"/>
  <c r="AC1645" i="1"/>
  <c r="AH1645" i="1"/>
  <c r="BS1645" i="1"/>
  <c r="BV1645" i="1"/>
  <c r="BX1645" i="1"/>
  <c r="BY1645" i="1"/>
  <c r="BZ1645" i="1"/>
  <c r="CA1645" i="1"/>
  <c r="CH1645" i="1"/>
  <c r="CL1645" i="1"/>
  <c r="CM1645" i="1"/>
  <c r="CN1645" i="1"/>
  <c r="CO1645" i="1"/>
  <c r="CP1645" i="1"/>
  <c r="CZ1645" i="1"/>
  <c r="DB1645" i="1"/>
  <c r="DF1645" i="1"/>
  <c r="AC627" i="1"/>
  <c r="AH627" i="1"/>
  <c r="BS627" i="1"/>
  <c r="BV627" i="1"/>
  <c r="BX627" i="1"/>
  <c r="BY627" i="1"/>
  <c r="BZ627" i="1"/>
  <c r="CA627" i="1"/>
  <c r="CH627" i="1"/>
  <c r="CL627" i="1"/>
  <c r="CM627" i="1"/>
  <c r="CN627" i="1"/>
  <c r="CO627" i="1"/>
  <c r="CP627" i="1"/>
  <c r="CZ627" i="1"/>
  <c r="DB627" i="1"/>
  <c r="DF627" i="1"/>
  <c r="AC1976" i="1"/>
  <c r="AH1976" i="1"/>
  <c r="BS1976" i="1"/>
  <c r="BV1976" i="1"/>
  <c r="BX1976" i="1"/>
  <c r="BY1976" i="1"/>
  <c r="BZ1976" i="1"/>
  <c r="CA1976" i="1"/>
  <c r="CH1976" i="1"/>
  <c r="CL1976" i="1"/>
  <c r="CM1976" i="1"/>
  <c r="CN1976" i="1"/>
  <c r="CO1976" i="1"/>
  <c r="CP1976" i="1"/>
  <c r="CZ1976" i="1"/>
  <c r="DB1976" i="1"/>
  <c r="DF1976" i="1"/>
  <c r="AC468" i="1"/>
  <c r="AH468" i="1"/>
  <c r="BS468" i="1"/>
  <c r="BV468" i="1"/>
  <c r="BX468" i="1"/>
  <c r="BY468" i="1"/>
  <c r="BZ468" i="1"/>
  <c r="CA468" i="1"/>
  <c r="CH468" i="1"/>
  <c r="CL468" i="1"/>
  <c r="CM468" i="1"/>
  <c r="CN468" i="1"/>
  <c r="CO468" i="1"/>
  <c r="CP468" i="1"/>
  <c r="CZ468" i="1"/>
  <c r="DB468" i="1"/>
  <c r="DF468" i="1"/>
  <c r="AC2158" i="1"/>
  <c r="AH2158" i="1"/>
  <c r="BS2158" i="1"/>
  <c r="BV2158" i="1"/>
  <c r="BX2158" i="1"/>
  <c r="BY2158" i="1"/>
  <c r="BZ2158" i="1"/>
  <c r="CH2158" i="1"/>
  <c r="CL2158" i="1"/>
  <c r="CM2158" i="1"/>
  <c r="CN2158" i="1"/>
  <c r="CO2158" i="1"/>
  <c r="CP2158" i="1"/>
  <c r="CZ2158" i="1"/>
  <c r="DB2158" i="1"/>
  <c r="DF2158" i="1"/>
  <c r="AC1338" i="1"/>
  <c r="AH1338" i="1"/>
  <c r="BS1338" i="1"/>
  <c r="BV1338" i="1"/>
  <c r="BX1338" i="1"/>
  <c r="BY1338" i="1"/>
  <c r="BZ1338" i="1"/>
  <c r="CA1338" i="1"/>
  <c r="CH1338" i="1"/>
  <c r="CL1338" i="1"/>
  <c r="CM1338" i="1"/>
  <c r="CN1338" i="1"/>
  <c r="CO1338" i="1"/>
  <c r="CP1338" i="1"/>
  <c r="CZ1338" i="1"/>
  <c r="DB1338" i="1"/>
  <c r="DF1338" i="1"/>
  <c r="AC377" i="1"/>
  <c r="AH377" i="1"/>
  <c r="BS377" i="1"/>
  <c r="BV377" i="1"/>
  <c r="BX377" i="1"/>
  <c r="BY377" i="1"/>
  <c r="BZ377" i="1"/>
  <c r="CH377" i="1"/>
  <c r="CL377" i="1"/>
  <c r="CM377" i="1"/>
  <c r="CN377" i="1"/>
  <c r="CO377" i="1"/>
  <c r="CP377" i="1"/>
  <c r="CZ377" i="1"/>
  <c r="DB377" i="1"/>
  <c r="DF377" i="1"/>
  <c r="AC143" i="1"/>
  <c r="AH143" i="1"/>
  <c r="BS143" i="1"/>
  <c r="BV143" i="1"/>
  <c r="BX143" i="1"/>
  <c r="BY143" i="1"/>
  <c r="BZ143" i="1"/>
  <c r="CA143" i="1"/>
  <c r="CH143" i="1"/>
  <c r="CL143" i="1"/>
  <c r="CM143" i="1"/>
  <c r="CN143" i="1"/>
  <c r="CO143" i="1"/>
  <c r="CP143" i="1"/>
  <c r="CZ143" i="1"/>
  <c r="DB143" i="1"/>
  <c r="DF143" i="1"/>
  <c r="AC321" i="1"/>
  <c r="AH321" i="1"/>
  <c r="BS321" i="1"/>
  <c r="BV321" i="1"/>
  <c r="BX321" i="1"/>
  <c r="BY321" i="1"/>
  <c r="BZ321" i="1"/>
  <c r="CH321" i="1"/>
  <c r="CL321" i="1"/>
  <c r="CM321" i="1"/>
  <c r="CN321" i="1"/>
  <c r="CO321" i="1"/>
  <c r="CP321" i="1"/>
  <c r="CZ321" i="1"/>
  <c r="DB321" i="1"/>
  <c r="DF321" i="1"/>
  <c r="AC566" i="1"/>
  <c r="AH566" i="1"/>
  <c r="BS566" i="1"/>
  <c r="BV566" i="1"/>
  <c r="BX566" i="1"/>
  <c r="BY566" i="1"/>
  <c r="BZ566" i="1"/>
  <c r="CA566" i="1"/>
  <c r="CH566" i="1"/>
  <c r="CL566" i="1"/>
  <c r="CM566" i="1"/>
  <c r="CN566" i="1"/>
  <c r="CO566" i="1"/>
  <c r="CP566" i="1"/>
  <c r="CZ566" i="1"/>
  <c r="DB566" i="1"/>
  <c r="DF566" i="1"/>
  <c r="AC353" i="1"/>
  <c r="AH353" i="1"/>
  <c r="BS353" i="1"/>
  <c r="BV353" i="1"/>
  <c r="BX353" i="1"/>
  <c r="BY353" i="1"/>
  <c r="BZ353" i="1"/>
  <c r="CA353" i="1"/>
  <c r="CH353" i="1"/>
  <c r="CL353" i="1"/>
  <c r="CM353" i="1"/>
  <c r="CN353" i="1"/>
  <c r="CO353" i="1"/>
  <c r="CP353" i="1"/>
  <c r="CZ353" i="1"/>
  <c r="DB353" i="1"/>
  <c r="DF353" i="1"/>
  <c r="AC1729" i="1"/>
  <c r="AH1729" i="1"/>
  <c r="BS1729" i="1"/>
  <c r="BV1729" i="1"/>
  <c r="BX1729" i="1"/>
  <c r="BY1729" i="1"/>
  <c r="BZ1729" i="1"/>
  <c r="CH1729" i="1"/>
  <c r="CL1729" i="1"/>
  <c r="CM1729" i="1"/>
  <c r="CN1729" i="1"/>
  <c r="CP1729" i="1"/>
  <c r="CZ1729" i="1"/>
  <c r="DB1729" i="1"/>
  <c r="DF1729" i="1"/>
  <c r="AC420" i="1"/>
  <c r="AH420" i="1"/>
  <c r="BS420" i="1"/>
  <c r="BV420" i="1"/>
  <c r="BX420" i="1"/>
  <c r="BY420" i="1"/>
  <c r="BZ420" i="1"/>
  <c r="CA420" i="1"/>
  <c r="CH420" i="1"/>
  <c r="CL420" i="1"/>
  <c r="CM420" i="1"/>
  <c r="CN420" i="1"/>
  <c r="CO420" i="1"/>
  <c r="CP420" i="1"/>
  <c r="CZ420" i="1"/>
  <c r="DB420" i="1"/>
  <c r="DF420" i="1"/>
  <c r="AC778" i="1"/>
  <c r="AH778" i="1"/>
  <c r="BS778" i="1"/>
  <c r="BV778" i="1"/>
  <c r="BX778" i="1"/>
  <c r="BY778" i="1"/>
  <c r="BZ778" i="1"/>
  <c r="CH778" i="1"/>
  <c r="CL778" i="1"/>
  <c r="CM778" i="1"/>
  <c r="CN778" i="1"/>
  <c r="CO778" i="1"/>
  <c r="CP778" i="1"/>
  <c r="CZ778" i="1"/>
  <c r="DB778" i="1"/>
  <c r="DF778" i="1"/>
  <c r="AC1483" i="1"/>
  <c r="AH1483" i="1"/>
  <c r="BS1483" i="1"/>
  <c r="BV1483" i="1"/>
  <c r="BX1483" i="1"/>
  <c r="BY1483" i="1"/>
  <c r="BZ1483" i="1"/>
  <c r="CA1483" i="1"/>
  <c r="CH1483" i="1"/>
  <c r="CL1483" i="1"/>
  <c r="CM1483" i="1"/>
  <c r="CN1483" i="1"/>
  <c r="CO1483" i="1"/>
  <c r="CP1483" i="1"/>
  <c r="CZ1483" i="1"/>
  <c r="DB1483" i="1"/>
  <c r="DF1483" i="1"/>
  <c r="AC429" i="1"/>
  <c r="AH429" i="1"/>
  <c r="BS429" i="1"/>
  <c r="BV429" i="1"/>
  <c r="BX429" i="1"/>
  <c r="BY429" i="1"/>
  <c r="BZ429" i="1"/>
  <c r="CA429" i="1"/>
  <c r="CH429" i="1"/>
  <c r="CL429" i="1"/>
  <c r="CM429" i="1"/>
  <c r="CN429" i="1"/>
  <c r="CO429" i="1"/>
  <c r="CP429" i="1"/>
  <c r="CZ429" i="1"/>
  <c r="DB429" i="1"/>
  <c r="DF429" i="1"/>
  <c r="AC983" i="1"/>
  <c r="AH983" i="1"/>
  <c r="BS983" i="1"/>
  <c r="BV983" i="1"/>
  <c r="BX983" i="1"/>
  <c r="BY983" i="1"/>
  <c r="BZ983" i="1"/>
  <c r="CA983" i="1"/>
  <c r="CH983" i="1"/>
  <c r="CL983" i="1"/>
  <c r="CM983" i="1"/>
  <c r="CN983" i="1"/>
  <c r="CO983" i="1"/>
  <c r="CP983" i="1"/>
  <c r="CZ983" i="1"/>
  <c r="DB983" i="1"/>
  <c r="DF983" i="1"/>
  <c r="AC1597" i="1"/>
  <c r="AH1597" i="1"/>
  <c r="BS1597" i="1"/>
  <c r="BV1597" i="1"/>
  <c r="BX1597" i="1"/>
  <c r="BY1597" i="1"/>
  <c r="BZ1597" i="1"/>
  <c r="CA1597" i="1"/>
  <c r="CH1597" i="1"/>
  <c r="CL1597" i="1"/>
  <c r="CM1597" i="1"/>
  <c r="CN1597" i="1"/>
  <c r="CP1597" i="1"/>
  <c r="CZ1597" i="1"/>
  <c r="DB1597" i="1"/>
  <c r="DF1597" i="1"/>
  <c r="AC276" i="1"/>
  <c r="AH276" i="1"/>
  <c r="BS276" i="1"/>
  <c r="BV276" i="1"/>
  <c r="BX276" i="1"/>
  <c r="BY276" i="1"/>
  <c r="BZ276" i="1"/>
  <c r="CH276" i="1"/>
  <c r="CL276" i="1"/>
  <c r="CM276" i="1"/>
  <c r="CN276" i="1"/>
  <c r="CO276" i="1"/>
  <c r="CP276" i="1"/>
  <c r="CZ276" i="1"/>
  <c r="DB276" i="1"/>
  <c r="DF276" i="1"/>
  <c r="AC623" i="1"/>
  <c r="AH623" i="1"/>
  <c r="BS623" i="1"/>
  <c r="BV623" i="1"/>
  <c r="BX623" i="1"/>
  <c r="BY623" i="1"/>
  <c r="BZ623" i="1"/>
  <c r="CA623" i="1"/>
  <c r="CH623" i="1"/>
  <c r="CL623" i="1"/>
  <c r="CM623" i="1"/>
  <c r="CN623" i="1"/>
  <c r="CO623" i="1"/>
  <c r="CP623" i="1"/>
  <c r="CZ623" i="1"/>
  <c r="DB623" i="1"/>
  <c r="DF623" i="1"/>
  <c r="AC1875" i="1"/>
  <c r="AH1875" i="1"/>
  <c r="BS1875" i="1"/>
  <c r="BV1875" i="1"/>
  <c r="BX1875" i="1"/>
  <c r="BY1875" i="1"/>
  <c r="BZ1875" i="1"/>
  <c r="CA1875" i="1"/>
  <c r="CH1875" i="1"/>
  <c r="CL1875" i="1"/>
  <c r="CM1875" i="1"/>
  <c r="CN1875" i="1"/>
  <c r="CO1875" i="1"/>
  <c r="CP1875" i="1"/>
  <c r="CZ1875" i="1"/>
  <c r="DB1875" i="1"/>
  <c r="DF1875" i="1"/>
  <c r="AC2163" i="1"/>
  <c r="AH2163" i="1"/>
  <c r="BS2163" i="1"/>
  <c r="BV2163" i="1"/>
  <c r="BX2163" i="1"/>
  <c r="BY2163" i="1"/>
  <c r="BZ2163" i="1"/>
  <c r="CH2163" i="1"/>
  <c r="CL2163" i="1"/>
  <c r="CM2163" i="1"/>
  <c r="CN2163" i="1"/>
  <c r="CO2163" i="1"/>
  <c r="CP2163" i="1"/>
  <c r="CZ2163" i="1"/>
  <c r="DB2163" i="1"/>
  <c r="DF2163" i="1"/>
  <c r="AC389" i="1"/>
  <c r="AH389" i="1"/>
  <c r="BS389" i="1"/>
  <c r="BV389" i="1"/>
  <c r="BX389" i="1"/>
  <c r="BY389" i="1"/>
  <c r="BZ389" i="1"/>
  <c r="CH389" i="1"/>
  <c r="CL389" i="1"/>
  <c r="CM389" i="1"/>
  <c r="CN389" i="1"/>
  <c r="CO389" i="1"/>
  <c r="CP389" i="1"/>
  <c r="CZ389" i="1"/>
  <c r="DB389" i="1"/>
  <c r="DF389" i="1"/>
  <c r="AC814" i="1"/>
  <c r="AH814" i="1"/>
  <c r="BS814" i="1"/>
  <c r="BV814" i="1"/>
  <c r="BX814" i="1"/>
  <c r="BY814" i="1"/>
  <c r="BZ814" i="1"/>
  <c r="CH814" i="1"/>
  <c r="CL814" i="1"/>
  <c r="CM814" i="1"/>
  <c r="CN814" i="1"/>
  <c r="CO814" i="1"/>
  <c r="CP814" i="1"/>
  <c r="CZ814" i="1"/>
  <c r="DB814" i="1"/>
  <c r="DF814" i="1"/>
  <c r="AC874" i="1"/>
  <c r="AH874" i="1"/>
  <c r="BS874" i="1"/>
  <c r="BV874" i="1"/>
  <c r="BX874" i="1"/>
  <c r="BY874" i="1"/>
  <c r="BZ874" i="1"/>
  <c r="CA874" i="1"/>
  <c r="CH874" i="1"/>
  <c r="CL874" i="1"/>
  <c r="CM874" i="1"/>
  <c r="CN874" i="1"/>
  <c r="CO874" i="1"/>
  <c r="CP874" i="1"/>
  <c r="CZ874" i="1"/>
  <c r="DB874" i="1"/>
  <c r="DF874" i="1"/>
  <c r="AC1088" i="1"/>
  <c r="AH1088" i="1"/>
  <c r="BS1088" i="1"/>
  <c r="BV1088" i="1"/>
  <c r="BX1088" i="1"/>
  <c r="BY1088" i="1"/>
  <c r="BZ1088" i="1"/>
  <c r="CA1088" i="1"/>
  <c r="CH1088" i="1"/>
  <c r="CL1088" i="1"/>
  <c r="CM1088" i="1"/>
  <c r="CN1088" i="1"/>
  <c r="CO1088" i="1"/>
  <c r="CP1088" i="1"/>
  <c r="CZ1088" i="1"/>
  <c r="DB1088" i="1"/>
  <c r="DF1088" i="1"/>
  <c r="AC2175" i="1"/>
  <c r="AH2175" i="1"/>
  <c r="BS2175" i="1"/>
  <c r="BV2175" i="1"/>
  <c r="BX2175" i="1"/>
  <c r="BY2175" i="1"/>
  <c r="BZ2175" i="1"/>
  <c r="CH2175" i="1"/>
  <c r="CL2175" i="1"/>
  <c r="CM2175" i="1"/>
  <c r="CN2175" i="1"/>
  <c r="CO2175" i="1"/>
  <c r="CP2175" i="1"/>
  <c r="CZ2175" i="1"/>
  <c r="DB2175" i="1"/>
  <c r="DF2175" i="1"/>
  <c r="AC2006" i="1"/>
  <c r="AH2006" i="1"/>
  <c r="BS2006" i="1"/>
  <c r="BV2006" i="1"/>
  <c r="BX2006" i="1"/>
  <c r="BY2006" i="1"/>
  <c r="BZ2006" i="1"/>
  <c r="CH2006" i="1"/>
  <c r="CL2006" i="1"/>
  <c r="CM2006" i="1"/>
  <c r="CN2006" i="1"/>
  <c r="CO2006" i="1"/>
  <c r="CP2006" i="1"/>
  <c r="CZ2006" i="1"/>
  <c r="DB2006" i="1"/>
  <c r="DF2006" i="1"/>
  <c r="AC2311" i="1"/>
  <c r="AH2311" i="1"/>
  <c r="BS2311" i="1"/>
  <c r="BV2311" i="1"/>
  <c r="BX2311" i="1"/>
  <c r="BY2311" i="1"/>
  <c r="BZ2311" i="1"/>
  <c r="CA2311" i="1"/>
  <c r="CH2311" i="1"/>
  <c r="CL2311" i="1"/>
  <c r="CM2311" i="1"/>
  <c r="CN2311" i="1"/>
  <c r="CO2311" i="1"/>
  <c r="CP2311" i="1"/>
  <c r="CZ2311" i="1"/>
  <c r="DB2311" i="1"/>
  <c r="DF2311" i="1"/>
  <c r="AC1388" i="1"/>
  <c r="AH1388" i="1"/>
  <c r="BS1388" i="1"/>
  <c r="BV1388" i="1"/>
  <c r="BX1388" i="1"/>
  <c r="BY1388" i="1"/>
  <c r="BZ1388" i="1"/>
  <c r="CH1388" i="1"/>
  <c r="CL1388" i="1"/>
  <c r="CM1388" i="1"/>
  <c r="CN1388" i="1"/>
  <c r="CP1388" i="1"/>
  <c r="CZ1388" i="1"/>
  <c r="DB1388" i="1"/>
  <c r="DF1388" i="1"/>
  <c r="AC1057" i="1"/>
  <c r="AH1057" i="1"/>
  <c r="BS1057" i="1"/>
  <c r="BV1057" i="1"/>
  <c r="BX1057" i="1"/>
  <c r="BY1057" i="1"/>
  <c r="BZ1057" i="1"/>
  <c r="CA1057" i="1"/>
  <c r="CH1057" i="1"/>
  <c r="CL1057" i="1"/>
  <c r="CM1057" i="1"/>
  <c r="CN1057" i="1"/>
  <c r="CO1057" i="1"/>
  <c r="CP1057" i="1"/>
  <c r="CZ1057" i="1"/>
  <c r="DB1057" i="1"/>
  <c r="DF1057" i="1"/>
  <c r="AC1759" i="1"/>
  <c r="AH1759" i="1"/>
  <c r="BS1759" i="1"/>
  <c r="BV1759" i="1"/>
  <c r="BX1759" i="1"/>
  <c r="BY1759" i="1"/>
  <c r="BZ1759" i="1"/>
  <c r="CA1759" i="1"/>
  <c r="CH1759" i="1"/>
  <c r="CL1759" i="1"/>
  <c r="CM1759" i="1"/>
  <c r="CN1759" i="1"/>
  <c r="CO1759" i="1"/>
  <c r="CP1759" i="1"/>
  <c r="CZ1759" i="1"/>
  <c r="DB1759" i="1"/>
  <c r="DF1759" i="1"/>
  <c r="AC1598" i="1"/>
  <c r="AH1598" i="1"/>
  <c r="BS1598" i="1"/>
  <c r="BV1598" i="1"/>
  <c r="BX1598" i="1"/>
  <c r="BY1598" i="1"/>
  <c r="BZ1598" i="1"/>
  <c r="CH1598" i="1"/>
  <c r="CL1598" i="1"/>
  <c r="CM1598" i="1"/>
  <c r="CN1598" i="1"/>
  <c r="CO1598" i="1"/>
  <c r="CP1598" i="1"/>
  <c r="CZ1598" i="1"/>
  <c r="DB1598" i="1"/>
  <c r="DF1598" i="1"/>
  <c r="AC2219" i="1"/>
  <c r="AH2219" i="1"/>
  <c r="BS2219" i="1"/>
  <c r="BV2219" i="1"/>
  <c r="BX2219" i="1"/>
  <c r="BY2219" i="1"/>
  <c r="BZ2219" i="1"/>
  <c r="CA2219" i="1"/>
  <c r="CH2219" i="1"/>
  <c r="CL2219" i="1"/>
  <c r="CM2219" i="1"/>
  <c r="CN2219" i="1"/>
  <c r="CO2219" i="1"/>
  <c r="CP2219" i="1"/>
  <c r="CZ2219" i="1"/>
  <c r="DB2219" i="1"/>
  <c r="DF2219" i="1"/>
  <c r="AC1524" i="1"/>
  <c r="AH1524" i="1"/>
  <c r="BS1524" i="1"/>
  <c r="BV1524" i="1"/>
  <c r="BX1524" i="1"/>
  <c r="BY1524" i="1"/>
  <c r="BZ1524" i="1"/>
  <c r="CA1524" i="1"/>
  <c r="CH1524" i="1"/>
  <c r="CL1524" i="1"/>
  <c r="CM1524" i="1"/>
  <c r="CN1524" i="1"/>
  <c r="CP1524" i="1"/>
  <c r="CZ1524" i="1"/>
  <c r="DB1524" i="1"/>
  <c r="DF1524" i="1"/>
  <c r="AC161" i="1"/>
  <c r="AH161" i="1"/>
  <c r="BS161" i="1"/>
  <c r="BV161" i="1"/>
  <c r="BX161" i="1"/>
  <c r="BY161" i="1"/>
  <c r="BZ161" i="1"/>
  <c r="CA161" i="1"/>
  <c r="CH161" i="1"/>
  <c r="CL161" i="1"/>
  <c r="CM161" i="1"/>
  <c r="CN161" i="1"/>
  <c r="CO161" i="1"/>
  <c r="CP161" i="1"/>
  <c r="CZ161" i="1"/>
  <c r="DB161" i="1"/>
  <c r="DF161" i="1"/>
  <c r="AC938" i="1"/>
  <c r="AH938" i="1"/>
  <c r="BS938" i="1"/>
  <c r="BV938" i="1"/>
  <c r="BX938" i="1"/>
  <c r="BY938" i="1"/>
  <c r="BZ938" i="1"/>
  <c r="CH938" i="1"/>
  <c r="CL938" i="1"/>
  <c r="CM938" i="1"/>
  <c r="CN938" i="1"/>
  <c r="CO938" i="1"/>
  <c r="CP938" i="1"/>
  <c r="CZ938" i="1"/>
  <c r="DB938" i="1"/>
  <c r="DF938" i="1"/>
  <c r="AC2250" i="1"/>
  <c r="AH2250" i="1"/>
  <c r="BS2250" i="1"/>
  <c r="BV2250" i="1"/>
  <c r="BX2250" i="1"/>
  <c r="BY2250" i="1"/>
  <c r="BZ2250" i="1"/>
  <c r="CA2250" i="1"/>
  <c r="CH2250" i="1"/>
  <c r="CL2250" i="1"/>
  <c r="CM2250" i="1"/>
  <c r="CN2250" i="1"/>
  <c r="CO2250" i="1"/>
  <c r="CP2250" i="1"/>
  <c r="CZ2250" i="1"/>
  <c r="DB2250" i="1"/>
  <c r="DF2250" i="1"/>
  <c r="AC1115" i="1"/>
  <c r="AH1115" i="1"/>
  <c r="BS1115" i="1"/>
  <c r="BV1115" i="1"/>
  <c r="BX1115" i="1"/>
  <c r="BY1115" i="1"/>
  <c r="BZ1115" i="1"/>
  <c r="CA1115" i="1"/>
  <c r="CH1115" i="1"/>
  <c r="CL1115" i="1"/>
  <c r="CM1115" i="1"/>
  <c r="CN1115" i="1"/>
  <c r="CO1115" i="1"/>
  <c r="CP1115" i="1"/>
  <c r="CZ1115" i="1"/>
  <c r="DB1115" i="1"/>
  <c r="DF1115" i="1"/>
  <c r="AC1070" i="1"/>
  <c r="AH1070" i="1"/>
  <c r="BS1070" i="1"/>
  <c r="BV1070" i="1"/>
  <c r="BX1070" i="1"/>
  <c r="BY1070" i="1"/>
  <c r="BZ1070" i="1"/>
  <c r="CA1070" i="1"/>
  <c r="CH1070" i="1"/>
  <c r="CL1070" i="1"/>
  <c r="CM1070" i="1"/>
  <c r="CN1070" i="1"/>
  <c r="CO1070" i="1"/>
  <c r="CP1070" i="1"/>
  <c r="CZ1070" i="1"/>
  <c r="DB1070" i="1"/>
  <c r="DF1070" i="1"/>
  <c r="AC993" i="1"/>
  <c r="AH993" i="1"/>
  <c r="BS993" i="1"/>
  <c r="BV993" i="1"/>
  <c r="BX993" i="1"/>
  <c r="BY993" i="1"/>
  <c r="BZ993" i="1"/>
  <c r="CA993" i="1"/>
  <c r="CH993" i="1"/>
  <c r="CL993" i="1"/>
  <c r="CM993" i="1"/>
  <c r="CN993" i="1"/>
  <c r="CO993" i="1"/>
  <c r="CP993" i="1"/>
  <c r="CZ993" i="1"/>
  <c r="DB993" i="1"/>
  <c r="DF993" i="1"/>
  <c r="AC1737" i="1"/>
  <c r="AH1737" i="1"/>
  <c r="BS1737" i="1"/>
  <c r="BV1737" i="1"/>
  <c r="BX1737" i="1"/>
  <c r="BY1737" i="1"/>
  <c r="BZ1737" i="1"/>
  <c r="CA1737" i="1"/>
  <c r="CH1737" i="1"/>
  <c r="CL1737" i="1"/>
  <c r="CM1737" i="1"/>
  <c r="CN1737" i="1"/>
  <c r="CO1737" i="1"/>
  <c r="CP1737" i="1"/>
  <c r="CZ1737" i="1"/>
  <c r="DB1737" i="1"/>
  <c r="DF1737" i="1"/>
  <c r="AC1772" i="1"/>
  <c r="AH1772" i="1"/>
  <c r="BS1772" i="1"/>
  <c r="BV1772" i="1"/>
  <c r="BX1772" i="1"/>
  <c r="BY1772" i="1"/>
  <c r="BZ1772" i="1"/>
  <c r="CH1772" i="1"/>
  <c r="CL1772" i="1"/>
  <c r="CM1772" i="1"/>
  <c r="CN1772" i="1"/>
  <c r="CO1772" i="1"/>
  <c r="CP1772" i="1"/>
  <c r="CZ1772" i="1"/>
  <c r="DB1772" i="1"/>
  <c r="DF1772" i="1"/>
  <c r="AC1553" i="1"/>
  <c r="AH1553" i="1"/>
  <c r="BS1553" i="1"/>
  <c r="BV1553" i="1"/>
  <c r="BX1553" i="1"/>
  <c r="BY1553" i="1"/>
  <c r="BZ1553" i="1"/>
  <c r="CA1553" i="1"/>
  <c r="CH1553" i="1"/>
  <c r="CL1553" i="1"/>
  <c r="CM1553" i="1"/>
  <c r="CN1553" i="1"/>
  <c r="CO1553" i="1"/>
  <c r="CP1553" i="1"/>
  <c r="CZ1553" i="1"/>
  <c r="DB1553" i="1"/>
  <c r="DF1553" i="1"/>
  <c r="AC2003" i="1"/>
  <c r="AH2003" i="1"/>
  <c r="BS2003" i="1"/>
  <c r="BV2003" i="1"/>
  <c r="BX2003" i="1"/>
  <c r="BY2003" i="1"/>
  <c r="BZ2003" i="1"/>
  <c r="CH2003" i="1"/>
  <c r="CL2003" i="1"/>
  <c r="CM2003" i="1"/>
  <c r="CN2003" i="1"/>
  <c r="CO2003" i="1"/>
  <c r="CP2003" i="1"/>
  <c r="CZ2003" i="1"/>
  <c r="DB2003" i="1"/>
  <c r="DF2003" i="1"/>
  <c r="AC180" i="1"/>
  <c r="AH180" i="1"/>
  <c r="BS180" i="1"/>
  <c r="BV180" i="1"/>
  <c r="BX180" i="1"/>
  <c r="BY180" i="1"/>
  <c r="BZ180" i="1"/>
  <c r="CH180" i="1"/>
  <c r="CL180" i="1"/>
  <c r="CM180" i="1"/>
  <c r="CN180" i="1"/>
  <c r="CO180" i="1"/>
  <c r="CP180" i="1"/>
  <c r="CZ180" i="1"/>
  <c r="DB180" i="1"/>
  <c r="DF180" i="1"/>
  <c r="AC807" i="1"/>
  <c r="AH807" i="1"/>
  <c r="BS807" i="1"/>
  <c r="BV807" i="1"/>
  <c r="BX807" i="1"/>
  <c r="BY807" i="1"/>
  <c r="BZ807" i="1"/>
  <c r="CH807" i="1"/>
  <c r="CL807" i="1"/>
  <c r="CM807" i="1"/>
  <c r="CN807" i="1"/>
  <c r="CO807" i="1"/>
  <c r="CP807" i="1"/>
  <c r="CZ807" i="1"/>
  <c r="DB807" i="1"/>
  <c r="DF807" i="1"/>
  <c r="AC1527" i="1"/>
  <c r="AH1527" i="1"/>
  <c r="BS1527" i="1"/>
  <c r="BV1527" i="1"/>
  <c r="BX1527" i="1"/>
  <c r="BY1527" i="1"/>
  <c r="BZ1527" i="1"/>
  <c r="CH1527" i="1"/>
  <c r="CL1527" i="1"/>
  <c r="CM1527" i="1"/>
  <c r="CN1527" i="1"/>
  <c r="CO1527" i="1"/>
  <c r="CP1527" i="1"/>
  <c r="CZ1527" i="1"/>
  <c r="DB1527" i="1"/>
  <c r="DF1527" i="1"/>
  <c r="AC1927" i="1"/>
  <c r="AH1927" i="1"/>
  <c r="BS1927" i="1"/>
  <c r="BV1927" i="1"/>
  <c r="BX1927" i="1"/>
  <c r="BY1927" i="1"/>
  <c r="BZ1927" i="1"/>
  <c r="CA1927" i="1"/>
  <c r="CH1927" i="1"/>
  <c r="CL1927" i="1"/>
  <c r="CM1927" i="1"/>
  <c r="CN1927" i="1"/>
  <c r="CO1927" i="1"/>
  <c r="CP1927" i="1"/>
  <c r="CZ1927" i="1"/>
  <c r="DB1927" i="1"/>
  <c r="DF1927" i="1"/>
  <c r="AC2107" i="1"/>
  <c r="AH2107" i="1"/>
  <c r="BS2107" i="1"/>
  <c r="BV2107" i="1"/>
  <c r="BX2107" i="1"/>
  <c r="BY2107" i="1"/>
  <c r="BZ2107" i="1"/>
  <c r="CH2107" i="1"/>
  <c r="CL2107" i="1"/>
  <c r="CM2107" i="1"/>
  <c r="CN2107" i="1"/>
  <c r="CO2107" i="1"/>
  <c r="CP2107" i="1"/>
  <c r="CZ2107" i="1"/>
  <c r="DB2107" i="1"/>
  <c r="DF2107" i="1"/>
  <c r="AC2079" i="1"/>
  <c r="AH2079" i="1"/>
  <c r="BS2079" i="1"/>
  <c r="BV2079" i="1"/>
  <c r="BX2079" i="1"/>
  <c r="BY2079" i="1"/>
  <c r="BZ2079" i="1"/>
  <c r="CA2079" i="1"/>
  <c r="CH2079" i="1"/>
  <c r="CL2079" i="1"/>
  <c r="CM2079" i="1"/>
  <c r="CN2079" i="1"/>
  <c r="CO2079" i="1"/>
  <c r="CP2079" i="1"/>
  <c r="CZ2079" i="1"/>
  <c r="DB2079" i="1"/>
  <c r="DF2079" i="1"/>
  <c r="AC2289" i="1"/>
  <c r="AH2289" i="1"/>
  <c r="BS2289" i="1"/>
  <c r="BV2289" i="1"/>
  <c r="BX2289" i="1"/>
  <c r="BY2289" i="1"/>
  <c r="BZ2289" i="1"/>
  <c r="CA2289" i="1"/>
  <c r="CH2289" i="1"/>
  <c r="CL2289" i="1"/>
  <c r="CM2289" i="1"/>
  <c r="CN2289" i="1"/>
  <c r="CO2289" i="1"/>
  <c r="CP2289" i="1"/>
  <c r="CZ2289" i="1"/>
  <c r="DB2289" i="1"/>
  <c r="DF2289" i="1"/>
  <c r="AC1163" i="1"/>
  <c r="AH1163" i="1"/>
  <c r="BS1163" i="1"/>
  <c r="BV1163" i="1"/>
  <c r="BX1163" i="1"/>
  <c r="BY1163" i="1"/>
  <c r="BZ1163" i="1"/>
  <c r="CA1163" i="1"/>
  <c r="CH1163" i="1"/>
  <c r="CL1163" i="1"/>
  <c r="CM1163" i="1"/>
  <c r="CN1163" i="1"/>
  <c r="CO1163" i="1"/>
  <c r="CP1163" i="1"/>
  <c r="CZ1163" i="1"/>
  <c r="DB1163" i="1"/>
  <c r="DF1163" i="1"/>
  <c r="AC1224" i="1"/>
  <c r="AH1224" i="1"/>
  <c r="BS1224" i="1"/>
  <c r="BV1224" i="1"/>
  <c r="BX1224" i="1"/>
  <c r="BY1224" i="1"/>
  <c r="BZ1224" i="1"/>
  <c r="CA1224" i="1"/>
  <c r="CH1224" i="1"/>
  <c r="CL1224" i="1"/>
  <c r="CM1224" i="1"/>
  <c r="CN1224" i="1"/>
  <c r="CO1224" i="1"/>
  <c r="CP1224" i="1"/>
  <c r="CZ1224" i="1"/>
  <c r="DB1224" i="1"/>
  <c r="DF1224" i="1"/>
  <c r="AC523" i="1"/>
  <c r="AH523" i="1"/>
  <c r="BS523" i="1"/>
  <c r="BV523" i="1"/>
  <c r="BX523" i="1"/>
  <c r="BY523" i="1"/>
  <c r="BZ523" i="1"/>
  <c r="CA523" i="1"/>
  <c r="CH523" i="1"/>
  <c r="CL523" i="1"/>
  <c r="CM523" i="1"/>
  <c r="CN523" i="1"/>
  <c r="CO523" i="1"/>
  <c r="CP523" i="1"/>
  <c r="CZ523" i="1"/>
  <c r="DB523" i="1"/>
  <c r="DF523" i="1"/>
  <c r="AC1943" i="1"/>
  <c r="AH1943" i="1"/>
  <c r="BS1943" i="1"/>
  <c r="BV1943" i="1"/>
  <c r="BX1943" i="1"/>
  <c r="BY1943" i="1"/>
  <c r="BZ1943" i="1"/>
  <c r="CH1943" i="1"/>
  <c r="CL1943" i="1"/>
  <c r="CM1943" i="1"/>
  <c r="CN1943" i="1"/>
  <c r="CP1943" i="1"/>
  <c r="CZ1943" i="1"/>
  <c r="DB1943" i="1"/>
  <c r="DF1943" i="1"/>
  <c r="AC738" i="1"/>
  <c r="AH738" i="1"/>
  <c r="BS738" i="1"/>
  <c r="BV738" i="1"/>
  <c r="BX738" i="1"/>
  <c r="BY738" i="1"/>
  <c r="BZ738" i="1"/>
  <c r="CA738" i="1"/>
  <c r="CH738" i="1"/>
  <c r="CL738" i="1"/>
  <c r="CM738" i="1"/>
  <c r="CN738" i="1"/>
  <c r="CO738" i="1"/>
  <c r="CP738" i="1"/>
  <c r="CZ738" i="1"/>
  <c r="DB738" i="1"/>
  <c r="DF738" i="1"/>
  <c r="AC2127" i="1"/>
  <c r="AH2127" i="1"/>
  <c r="BS2127" i="1"/>
  <c r="BV2127" i="1"/>
  <c r="BX2127" i="1"/>
  <c r="BY2127" i="1"/>
  <c r="BZ2127" i="1"/>
  <c r="CA2127" i="1"/>
  <c r="CH2127" i="1"/>
  <c r="CL2127" i="1"/>
  <c r="CM2127" i="1"/>
  <c r="CN2127" i="1"/>
  <c r="CO2127" i="1"/>
  <c r="CP2127" i="1"/>
  <c r="CZ2127" i="1"/>
  <c r="DB2127" i="1"/>
  <c r="DF2127" i="1"/>
  <c r="AC1105" i="1"/>
  <c r="AH1105" i="1"/>
  <c r="BS1105" i="1"/>
  <c r="BV1105" i="1"/>
  <c r="BX1105" i="1"/>
  <c r="BY1105" i="1"/>
  <c r="BZ1105" i="1"/>
  <c r="CA1105" i="1"/>
  <c r="CH1105" i="1"/>
  <c r="CL1105" i="1"/>
  <c r="CM1105" i="1"/>
  <c r="CN1105" i="1"/>
  <c r="CO1105" i="1"/>
  <c r="CP1105" i="1"/>
  <c r="CZ1105" i="1"/>
  <c r="DB1105" i="1"/>
  <c r="DF1105" i="1"/>
  <c r="AC1466" i="1"/>
  <c r="AH1466" i="1"/>
  <c r="BS1466" i="1"/>
  <c r="BV1466" i="1"/>
  <c r="BX1466" i="1"/>
  <c r="BY1466" i="1"/>
  <c r="BZ1466" i="1"/>
  <c r="CA1466" i="1"/>
  <c r="CH1466" i="1"/>
  <c r="CL1466" i="1"/>
  <c r="CM1466" i="1"/>
  <c r="CN1466" i="1"/>
  <c r="CP1466" i="1"/>
  <c r="CZ1466" i="1"/>
  <c r="DB1466" i="1"/>
  <c r="DF1466" i="1"/>
  <c r="AC1687" i="1"/>
  <c r="AH1687" i="1"/>
  <c r="BS1687" i="1"/>
  <c r="BV1687" i="1"/>
  <c r="BX1687" i="1"/>
  <c r="BY1687" i="1"/>
  <c r="BZ1687" i="1"/>
  <c r="CA1687" i="1"/>
  <c r="CH1687" i="1"/>
  <c r="CL1687" i="1"/>
  <c r="CM1687" i="1"/>
  <c r="CN1687" i="1"/>
  <c r="CP1687" i="1"/>
  <c r="CZ1687" i="1"/>
  <c r="DB1687" i="1"/>
  <c r="DF1687" i="1"/>
  <c r="AC941" i="1"/>
  <c r="AH941" i="1"/>
  <c r="BS941" i="1"/>
  <c r="BV941" i="1"/>
  <c r="BX941" i="1"/>
  <c r="BY941" i="1"/>
  <c r="BZ941" i="1"/>
  <c r="CA941" i="1"/>
  <c r="CH941" i="1"/>
  <c r="CL941" i="1"/>
  <c r="CM941" i="1"/>
  <c r="CN941" i="1"/>
  <c r="CO941" i="1"/>
  <c r="CP941" i="1"/>
  <c r="CZ941" i="1"/>
  <c r="DB941" i="1"/>
  <c r="DF941" i="1"/>
  <c r="AC757" i="1"/>
  <c r="AH757" i="1"/>
  <c r="BS757" i="1"/>
  <c r="BV757" i="1"/>
  <c r="BX757" i="1"/>
  <c r="BY757" i="1"/>
  <c r="BZ757" i="1"/>
  <c r="CA757" i="1"/>
  <c r="CH757" i="1"/>
  <c r="CL757" i="1"/>
  <c r="CM757" i="1"/>
  <c r="CN757" i="1"/>
  <c r="CO757" i="1"/>
  <c r="CP757" i="1"/>
  <c r="CZ757" i="1"/>
  <c r="DB757" i="1"/>
  <c r="DF757" i="1"/>
  <c r="AC384" i="1"/>
  <c r="AH384" i="1"/>
  <c r="BS384" i="1"/>
  <c r="BV384" i="1"/>
  <c r="BX384" i="1"/>
  <c r="BY384" i="1"/>
  <c r="BZ384" i="1"/>
  <c r="CH384" i="1"/>
  <c r="CL384" i="1"/>
  <c r="CM384" i="1"/>
  <c r="CN384" i="1"/>
  <c r="CO384" i="1"/>
  <c r="CP384" i="1"/>
  <c r="CZ384" i="1"/>
  <c r="DB384" i="1"/>
  <c r="DF384" i="1"/>
  <c r="AC1871" i="1"/>
  <c r="AH1871" i="1"/>
  <c r="BS1871" i="1"/>
  <c r="BV1871" i="1"/>
  <c r="BX1871" i="1"/>
  <c r="BY1871" i="1"/>
  <c r="BZ1871" i="1"/>
  <c r="CH1871" i="1"/>
  <c r="CL1871" i="1"/>
  <c r="CM1871" i="1"/>
  <c r="CN1871" i="1"/>
  <c r="CO1871" i="1"/>
  <c r="CP1871" i="1"/>
  <c r="CZ1871" i="1"/>
  <c r="DB1871" i="1"/>
  <c r="DF1871" i="1"/>
  <c r="AC1181" i="1"/>
  <c r="AH1181" i="1"/>
  <c r="BS1181" i="1"/>
  <c r="BV1181" i="1"/>
  <c r="BX1181" i="1"/>
  <c r="BY1181" i="1"/>
  <c r="BZ1181" i="1"/>
  <c r="CA1181" i="1"/>
  <c r="CH1181" i="1"/>
  <c r="CL1181" i="1"/>
  <c r="CM1181" i="1"/>
  <c r="CN1181" i="1"/>
  <c r="CO1181" i="1"/>
  <c r="CP1181" i="1"/>
  <c r="CZ1181" i="1"/>
  <c r="DB1181" i="1"/>
  <c r="DF1181" i="1"/>
  <c r="AC1268" i="1"/>
  <c r="AH1268" i="1"/>
  <c r="BS1268" i="1"/>
  <c r="BV1268" i="1"/>
  <c r="BX1268" i="1"/>
  <c r="BY1268" i="1"/>
  <c r="BZ1268" i="1"/>
  <c r="CH1268" i="1"/>
  <c r="CL1268" i="1"/>
  <c r="CM1268" i="1"/>
  <c r="CN1268" i="1"/>
  <c r="CO1268" i="1"/>
  <c r="CP1268" i="1"/>
  <c r="CZ1268" i="1"/>
  <c r="DB1268" i="1"/>
  <c r="DF1268" i="1"/>
  <c r="AC706" i="1"/>
  <c r="AH706" i="1"/>
  <c r="BS706" i="1"/>
  <c r="BV706" i="1"/>
  <c r="BX706" i="1"/>
  <c r="BY706" i="1"/>
  <c r="BZ706" i="1"/>
  <c r="CA706" i="1"/>
  <c r="CH706" i="1"/>
  <c r="CL706" i="1"/>
  <c r="CM706" i="1"/>
  <c r="CN706" i="1"/>
  <c r="CO706" i="1"/>
  <c r="CP706" i="1"/>
  <c r="CZ706" i="1"/>
  <c r="DB706" i="1"/>
  <c r="DF706" i="1"/>
  <c r="AC1296" i="1"/>
  <c r="AH1296" i="1"/>
  <c r="BS1296" i="1"/>
  <c r="BV1296" i="1"/>
  <c r="BX1296" i="1"/>
  <c r="BY1296" i="1"/>
  <c r="BZ1296" i="1"/>
  <c r="CH1296" i="1"/>
  <c r="CL1296" i="1"/>
  <c r="CM1296" i="1"/>
  <c r="CN1296" i="1"/>
  <c r="CO1296" i="1"/>
  <c r="CP1296" i="1"/>
  <c r="CZ1296" i="1"/>
  <c r="DB1296" i="1"/>
  <c r="DF1296" i="1"/>
  <c r="AC1291" i="1"/>
  <c r="AH1291" i="1"/>
  <c r="BS1291" i="1"/>
  <c r="BV1291" i="1"/>
  <c r="BX1291" i="1"/>
  <c r="BY1291" i="1"/>
  <c r="BZ1291" i="1"/>
  <c r="CH1291" i="1"/>
  <c r="CL1291" i="1"/>
  <c r="CM1291" i="1"/>
  <c r="CN1291" i="1"/>
  <c r="CO1291" i="1"/>
  <c r="CP1291" i="1"/>
  <c r="CZ1291" i="1"/>
  <c r="DB1291" i="1"/>
  <c r="DF1291" i="1"/>
  <c r="AC1738" i="1"/>
  <c r="AH1738" i="1"/>
  <c r="BS1738" i="1"/>
  <c r="BV1738" i="1"/>
  <c r="BX1738" i="1"/>
  <c r="BY1738" i="1"/>
  <c r="BZ1738" i="1"/>
  <c r="CA1738" i="1"/>
  <c r="CH1738" i="1"/>
  <c r="CL1738" i="1"/>
  <c r="CM1738" i="1"/>
  <c r="CN1738" i="1"/>
  <c r="CO1738" i="1"/>
  <c r="CP1738" i="1"/>
  <c r="CZ1738" i="1"/>
  <c r="DB1738" i="1"/>
  <c r="DF1738" i="1"/>
  <c r="AC720" i="1"/>
  <c r="AH720" i="1"/>
  <c r="BS720" i="1"/>
  <c r="BV720" i="1"/>
  <c r="BX720" i="1"/>
  <c r="BY720" i="1"/>
  <c r="BZ720" i="1"/>
  <c r="CA720" i="1"/>
  <c r="CH720" i="1"/>
  <c r="CL720" i="1"/>
  <c r="CM720" i="1"/>
  <c r="CN720" i="1"/>
  <c r="CO720" i="1"/>
  <c r="CP720" i="1"/>
  <c r="CZ720" i="1"/>
  <c r="DB720" i="1"/>
  <c r="DF720" i="1"/>
  <c r="AC369" i="1"/>
  <c r="AH369" i="1"/>
  <c r="BS369" i="1"/>
  <c r="BV369" i="1"/>
  <c r="BX369" i="1"/>
  <c r="BY369" i="1"/>
  <c r="BZ369" i="1"/>
  <c r="CH369" i="1"/>
  <c r="CL369" i="1"/>
  <c r="CM369" i="1"/>
  <c r="CN369" i="1"/>
  <c r="CO369" i="1"/>
  <c r="CP369" i="1"/>
  <c r="CZ369" i="1"/>
  <c r="DB369" i="1"/>
  <c r="DF369" i="1"/>
  <c r="AC1423" i="1"/>
  <c r="AH1423" i="1"/>
  <c r="BS1423" i="1"/>
  <c r="BV1423" i="1"/>
  <c r="BX1423" i="1"/>
  <c r="BY1423" i="1"/>
  <c r="BZ1423" i="1"/>
  <c r="CH1423" i="1"/>
  <c r="CL1423" i="1"/>
  <c r="CM1423" i="1"/>
  <c r="CN1423" i="1"/>
  <c r="CP1423" i="1"/>
  <c r="CZ1423" i="1"/>
  <c r="DB1423" i="1"/>
  <c r="DF1423" i="1"/>
  <c r="AC460" i="1"/>
  <c r="AH460" i="1"/>
  <c r="BS460" i="1"/>
  <c r="BV460" i="1"/>
  <c r="BX460" i="1"/>
  <c r="BY460" i="1"/>
  <c r="BZ460" i="1"/>
  <c r="CH460" i="1"/>
  <c r="CL460" i="1"/>
  <c r="CM460" i="1"/>
  <c r="CN460" i="1"/>
  <c r="CO460" i="1"/>
  <c r="CP460" i="1"/>
  <c r="CZ460" i="1"/>
  <c r="DB460" i="1"/>
  <c r="DF460" i="1"/>
  <c r="AC1561" i="1"/>
  <c r="AH1561" i="1"/>
  <c r="BS1561" i="1"/>
  <c r="BV1561" i="1"/>
  <c r="BX1561" i="1"/>
  <c r="BY1561" i="1"/>
  <c r="BZ1561" i="1"/>
  <c r="CH1561" i="1"/>
  <c r="CL1561" i="1"/>
  <c r="CM1561" i="1"/>
  <c r="CN1561" i="1"/>
  <c r="CP1561" i="1"/>
  <c r="CZ1561" i="1"/>
  <c r="DB1561" i="1"/>
  <c r="DF1561" i="1"/>
  <c r="AC88" i="1"/>
  <c r="AH88" i="1"/>
  <c r="BS88" i="1"/>
  <c r="BV88" i="1"/>
  <c r="BX88" i="1"/>
  <c r="BY88" i="1"/>
  <c r="BZ88" i="1"/>
  <c r="CH88" i="1"/>
  <c r="CL88" i="1"/>
  <c r="CM88" i="1"/>
  <c r="CN88" i="1"/>
  <c r="CO88" i="1"/>
  <c r="CP88" i="1"/>
  <c r="CZ88" i="1"/>
  <c r="DB88" i="1"/>
  <c r="DF88" i="1"/>
  <c r="AC1361" i="1"/>
  <c r="AH1361" i="1"/>
  <c r="BS1361" i="1"/>
  <c r="BV1361" i="1"/>
  <c r="BX1361" i="1"/>
  <c r="BY1361" i="1"/>
  <c r="BZ1361" i="1"/>
  <c r="CH1361" i="1"/>
  <c r="CL1361" i="1"/>
  <c r="CM1361" i="1"/>
  <c r="CN1361" i="1"/>
  <c r="CO1361" i="1"/>
  <c r="CP1361" i="1"/>
  <c r="CZ1361" i="1"/>
  <c r="DB1361" i="1"/>
  <c r="DF1361" i="1"/>
  <c r="AC451" i="1"/>
  <c r="AH451" i="1"/>
  <c r="BS451" i="1"/>
  <c r="BV451" i="1"/>
  <c r="BX451" i="1"/>
  <c r="BY451" i="1"/>
  <c r="BZ451" i="1"/>
  <c r="CA451" i="1"/>
  <c r="CH451" i="1"/>
  <c r="CL451" i="1"/>
  <c r="CM451" i="1"/>
  <c r="CN451" i="1"/>
  <c r="CO451" i="1"/>
  <c r="CP451" i="1"/>
  <c r="CZ451" i="1"/>
  <c r="DB451" i="1"/>
  <c r="DF451" i="1"/>
  <c r="AC1113" i="1"/>
  <c r="AH1113" i="1"/>
  <c r="BS1113" i="1"/>
  <c r="BV1113" i="1"/>
  <c r="BX1113" i="1"/>
  <c r="BY1113" i="1"/>
  <c r="BZ1113" i="1"/>
  <c r="CA1113" i="1"/>
  <c r="CH1113" i="1"/>
  <c r="CL1113" i="1"/>
  <c r="CM1113" i="1"/>
  <c r="CN1113" i="1"/>
  <c r="CO1113" i="1"/>
  <c r="CP1113" i="1"/>
  <c r="CZ1113" i="1"/>
  <c r="DB1113" i="1"/>
  <c r="DF1113" i="1"/>
  <c r="AC1178" i="1"/>
  <c r="AH1178" i="1"/>
  <c r="BS1178" i="1"/>
  <c r="BV1178" i="1"/>
  <c r="BX1178" i="1"/>
  <c r="BY1178" i="1"/>
  <c r="BZ1178" i="1"/>
  <c r="CA1178" i="1"/>
  <c r="CH1178" i="1"/>
  <c r="CL1178" i="1"/>
  <c r="CM1178" i="1"/>
  <c r="CN1178" i="1"/>
  <c r="CO1178" i="1"/>
  <c r="CP1178" i="1"/>
  <c r="CZ1178" i="1"/>
  <c r="DB1178" i="1"/>
  <c r="DF1178" i="1"/>
  <c r="AC1549" i="1"/>
  <c r="AH1549" i="1"/>
  <c r="BS1549" i="1"/>
  <c r="BV1549" i="1"/>
  <c r="BX1549" i="1"/>
  <c r="BY1549" i="1"/>
  <c r="BZ1549" i="1"/>
  <c r="CA1549" i="1"/>
  <c r="CH1549" i="1"/>
  <c r="CL1549" i="1"/>
  <c r="CM1549" i="1"/>
  <c r="CN1549" i="1"/>
  <c r="CO1549" i="1"/>
  <c r="CP1549" i="1"/>
  <c r="CZ1549" i="1"/>
  <c r="DB1549" i="1"/>
  <c r="DF1549" i="1"/>
  <c r="AC844" i="1"/>
  <c r="AH844" i="1"/>
  <c r="BS844" i="1"/>
  <c r="BV844" i="1"/>
  <c r="BX844" i="1"/>
  <c r="BY844" i="1"/>
  <c r="BZ844" i="1"/>
  <c r="CA844" i="1"/>
  <c r="CH844" i="1"/>
  <c r="CL844" i="1"/>
  <c r="CM844" i="1"/>
  <c r="CN844" i="1"/>
  <c r="CO844" i="1"/>
  <c r="CP844" i="1"/>
  <c r="CZ844" i="1"/>
  <c r="DB844" i="1"/>
  <c r="DF844" i="1"/>
  <c r="AC1736" i="1"/>
  <c r="AH1736" i="1"/>
  <c r="BS1736" i="1"/>
  <c r="BV1736" i="1"/>
  <c r="BX1736" i="1"/>
  <c r="BY1736" i="1"/>
  <c r="BZ1736" i="1"/>
  <c r="CA1736" i="1"/>
  <c r="CH1736" i="1"/>
  <c r="CL1736" i="1"/>
  <c r="CM1736" i="1"/>
  <c r="CN1736" i="1"/>
  <c r="CO1736" i="1"/>
  <c r="CP1736" i="1"/>
  <c r="CZ1736" i="1"/>
  <c r="DB1736" i="1"/>
  <c r="DF1736" i="1"/>
  <c r="AC89" i="1"/>
  <c r="AH89" i="1"/>
  <c r="BS89" i="1"/>
  <c r="BV89" i="1"/>
  <c r="BX89" i="1"/>
  <c r="BY89" i="1"/>
  <c r="BZ89" i="1"/>
  <c r="CH89" i="1"/>
  <c r="CL89" i="1"/>
  <c r="CM89" i="1"/>
  <c r="CN89" i="1"/>
  <c r="CO89" i="1"/>
  <c r="CP89" i="1"/>
  <c r="CZ89" i="1"/>
  <c r="DB89" i="1"/>
  <c r="DF89" i="1"/>
  <c r="AC263" i="1"/>
  <c r="AH263" i="1"/>
  <c r="BS263" i="1"/>
  <c r="BV263" i="1"/>
  <c r="BX263" i="1"/>
  <c r="BY263" i="1"/>
  <c r="BZ263" i="1"/>
  <c r="CH263" i="1"/>
  <c r="CL263" i="1"/>
  <c r="CM263" i="1"/>
  <c r="CN263" i="1"/>
  <c r="CO263" i="1"/>
  <c r="CP263" i="1"/>
  <c r="CZ263" i="1"/>
  <c r="DB263" i="1"/>
  <c r="DF263" i="1"/>
  <c r="AC1986" i="1"/>
  <c r="AH1986" i="1"/>
  <c r="BS1986" i="1"/>
  <c r="BV1986" i="1"/>
  <c r="BX1986" i="1"/>
  <c r="BY1986" i="1"/>
  <c r="BZ1986" i="1"/>
  <c r="CH1986" i="1"/>
  <c r="CL1986" i="1"/>
  <c r="CM1986" i="1"/>
  <c r="CN1986" i="1"/>
  <c r="CO1986" i="1"/>
  <c r="CP1986" i="1"/>
  <c r="CZ1986" i="1"/>
  <c r="DB1986" i="1"/>
  <c r="DF1986" i="1"/>
  <c r="AC1840" i="1"/>
  <c r="AH1840" i="1"/>
  <c r="BS1840" i="1"/>
  <c r="BV1840" i="1"/>
  <c r="BX1840" i="1"/>
  <c r="BY1840" i="1"/>
  <c r="BZ1840" i="1"/>
  <c r="CH1840" i="1"/>
  <c r="CL1840" i="1"/>
  <c r="CM1840" i="1"/>
  <c r="CN1840" i="1"/>
  <c r="CO1840" i="1"/>
  <c r="CP1840" i="1"/>
  <c r="CZ1840" i="1"/>
  <c r="DB1840" i="1"/>
  <c r="DF1840" i="1"/>
  <c r="AC271" i="1"/>
  <c r="AH271" i="1"/>
  <c r="BS271" i="1"/>
  <c r="BV271" i="1"/>
  <c r="BX271" i="1"/>
  <c r="BY271" i="1"/>
  <c r="BZ271" i="1"/>
  <c r="CH271" i="1"/>
  <c r="CL271" i="1"/>
  <c r="CM271" i="1"/>
  <c r="CN271" i="1"/>
  <c r="CO271" i="1"/>
  <c r="CP271" i="1"/>
  <c r="CZ271" i="1"/>
  <c r="DB271" i="1"/>
  <c r="DF271" i="1"/>
  <c r="AC1555" i="1"/>
  <c r="AH1555" i="1"/>
  <c r="BS1555" i="1"/>
  <c r="BV1555" i="1"/>
  <c r="BX1555" i="1"/>
  <c r="BY1555" i="1"/>
  <c r="BZ1555" i="1"/>
  <c r="CH1555" i="1"/>
  <c r="CL1555" i="1"/>
  <c r="CM1555" i="1"/>
  <c r="CN1555" i="1"/>
  <c r="CO1555" i="1"/>
  <c r="CP1555" i="1"/>
  <c r="CZ1555" i="1"/>
  <c r="DB1555" i="1"/>
  <c r="DF1555" i="1"/>
  <c r="AC1372" i="1"/>
  <c r="AH1372" i="1"/>
  <c r="BS1372" i="1"/>
  <c r="BV1372" i="1"/>
  <c r="BX1372" i="1"/>
  <c r="BY1372" i="1"/>
  <c r="BZ1372" i="1"/>
  <c r="CA1372" i="1"/>
  <c r="CH1372" i="1"/>
  <c r="CL1372" i="1"/>
  <c r="CM1372" i="1"/>
  <c r="CN1372" i="1"/>
  <c r="CO1372" i="1"/>
  <c r="CP1372" i="1"/>
  <c r="CZ1372" i="1"/>
  <c r="DB1372" i="1"/>
  <c r="DF1372" i="1"/>
  <c r="AC1755" i="1"/>
  <c r="AH1755" i="1"/>
  <c r="BS1755" i="1"/>
  <c r="BV1755" i="1"/>
  <c r="BX1755" i="1"/>
  <c r="BY1755" i="1"/>
  <c r="BZ1755" i="1"/>
  <c r="CA1755" i="1"/>
  <c r="CH1755" i="1"/>
  <c r="CL1755" i="1"/>
  <c r="CM1755" i="1"/>
  <c r="CN1755" i="1"/>
  <c r="CO1755" i="1"/>
  <c r="CP1755" i="1"/>
  <c r="CZ1755" i="1"/>
  <c r="DB1755" i="1"/>
  <c r="DF1755" i="1"/>
  <c r="AC1449" i="1"/>
  <c r="AH1449" i="1"/>
  <c r="BS1449" i="1"/>
  <c r="BV1449" i="1"/>
  <c r="BX1449" i="1"/>
  <c r="BY1449" i="1"/>
  <c r="BZ1449" i="1"/>
  <c r="CH1449" i="1"/>
  <c r="CL1449" i="1"/>
  <c r="CM1449" i="1"/>
  <c r="CN1449" i="1"/>
  <c r="CO1449" i="1"/>
  <c r="CP1449" i="1"/>
  <c r="CZ1449" i="1"/>
  <c r="DB1449" i="1"/>
  <c r="DF1449" i="1"/>
  <c r="AC1082" i="1"/>
  <c r="AH1082" i="1"/>
  <c r="BS1082" i="1"/>
  <c r="BV1082" i="1"/>
  <c r="BX1082" i="1"/>
  <c r="BY1082" i="1"/>
  <c r="BZ1082" i="1"/>
  <c r="CH1082" i="1"/>
  <c r="CL1082" i="1"/>
  <c r="CM1082" i="1"/>
  <c r="CN1082" i="1"/>
  <c r="CO1082" i="1"/>
  <c r="CP1082" i="1"/>
  <c r="CZ1082" i="1"/>
  <c r="DB1082" i="1"/>
  <c r="DF1082" i="1"/>
  <c r="AC1416" i="1"/>
  <c r="AH1416" i="1"/>
  <c r="BS1416" i="1"/>
  <c r="BV1416" i="1"/>
  <c r="BX1416" i="1"/>
  <c r="BY1416" i="1"/>
  <c r="BZ1416" i="1"/>
  <c r="CH1416" i="1"/>
  <c r="CL1416" i="1"/>
  <c r="CM1416" i="1"/>
  <c r="CN1416" i="1"/>
  <c r="CO1416" i="1"/>
  <c r="CP1416" i="1"/>
  <c r="CZ1416" i="1"/>
  <c r="DB1416" i="1"/>
  <c r="DF1416" i="1"/>
  <c r="AC1591" i="1"/>
  <c r="AH1591" i="1"/>
  <c r="BS1591" i="1"/>
  <c r="BV1591" i="1"/>
  <c r="BX1591" i="1"/>
  <c r="BY1591" i="1"/>
  <c r="BZ1591" i="1"/>
  <c r="CH1591" i="1"/>
  <c r="CL1591" i="1"/>
  <c r="CM1591" i="1"/>
  <c r="CN1591" i="1"/>
  <c r="CO1591" i="1"/>
  <c r="CP1591" i="1"/>
  <c r="CZ1591" i="1"/>
  <c r="DB1591" i="1"/>
  <c r="DF1591" i="1"/>
  <c r="AC1072" i="1"/>
  <c r="AH1072" i="1"/>
  <c r="BS1072" i="1"/>
  <c r="BV1072" i="1"/>
  <c r="BX1072" i="1"/>
  <c r="BY1072" i="1"/>
  <c r="BZ1072" i="1"/>
  <c r="CA1072" i="1"/>
  <c r="CH1072" i="1"/>
  <c r="CL1072" i="1"/>
  <c r="CM1072" i="1"/>
  <c r="CN1072" i="1"/>
  <c r="CO1072" i="1"/>
  <c r="CP1072" i="1"/>
  <c r="CZ1072" i="1"/>
  <c r="DB1072" i="1"/>
  <c r="DF1072" i="1"/>
  <c r="AC1996" i="1"/>
  <c r="AH1996" i="1"/>
  <c r="BS1996" i="1"/>
  <c r="BV1996" i="1"/>
  <c r="BX1996" i="1"/>
  <c r="BY1996" i="1"/>
  <c r="BZ1996" i="1"/>
  <c r="CH1996" i="1"/>
  <c r="CL1996" i="1"/>
  <c r="CM1996" i="1"/>
  <c r="CN1996" i="1"/>
  <c r="CO1996" i="1"/>
  <c r="CP1996" i="1"/>
  <c r="CZ1996" i="1"/>
  <c r="DB1996" i="1"/>
  <c r="DF1996" i="1"/>
  <c r="AC900" i="1"/>
  <c r="AH900" i="1"/>
  <c r="BS900" i="1"/>
  <c r="BV900" i="1"/>
  <c r="BX900" i="1"/>
  <c r="BY900" i="1"/>
  <c r="BZ900" i="1"/>
  <c r="CA900" i="1"/>
  <c r="CH900" i="1"/>
  <c r="CL900" i="1"/>
  <c r="CM900" i="1"/>
  <c r="CN900" i="1"/>
  <c r="CO900" i="1"/>
  <c r="CP900" i="1"/>
  <c r="CZ900" i="1"/>
  <c r="DB900" i="1"/>
  <c r="DF900" i="1"/>
  <c r="AC218" i="1"/>
  <c r="AH218" i="1"/>
  <c r="BS218" i="1"/>
  <c r="BV218" i="1"/>
  <c r="BX218" i="1"/>
  <c r="BY218" i="1"/>
  <c r="BZ218" i="1"/>
  <c r="CA218" i="1"/>
  <c r="CH218" i="1"/>
  <c r="CL218" i="1"/>
  <c r="CM218" i="1"/>
  <c r="CN218" i="1"/>
  <c r="CO218" i="1"/>
  <c r="CP218" i="1"/>
  <c r="CZ218" i="1"/>
  <c r="DB218" i="1"/>
  <c r="DF218" i="1"/>
  <c r="AC992" i="1"/>
  <c r="AH992" i="1"/>
  <c r="BS992" i="1"/>
  <c r="BV992" i="1"/>
  <c r="BX992" i="1"/>
  <c r="BY992" i="1"/>
  <c r="BZ992" i="1"/>
  <c r="CA992" i="1"/>
  <c r="CH992" i="1"/>
  <c r="CL992" i="1"/>
  <c r="CM992" i="1"/>
  <c r="CN992" i="1"/>
  <c r="CO992" i="1"/>
  <c r="CP992" i="1"/>
  <c r="CZ992" i="1"/>
  <c r="DB992" i="1"/>
  <c r="DF992" i="1"/>
  <c r="AC352" i="1"/>
  <c r="AH352" i="1"/>
  <c r="BS352" i="1"/>
  <c r="BV352" i="1"/>
  <c r="BX352" i="1"/>
  <c r="BY352" i="1"/>
  <c r="BZ352" i="1"/>
  <c r="CH352" i="1"/>
  <c r="CL352" i="1"/>
  <c r="CM352" i="1"/>
  <c r="CN352" i="1"/>
  <c r="CO352" i="1"/>
  <c r="CP352" i="1"/>
  <c r="CZ352" i="1"/>
  <c r="DB352" i="1"/>
  <c r="DF352" i="1"/>
  <c r="AC1696" i="1"/>
  <c r="AH1696" i="1"/>
  <c r="BS1696" i="1"/>
  <c r="BV1696" i="1"/>
  <c r="BX1696" i="1"/>
  <c r="BY1696" i="1"/>
  <c r="BZ1696" i="1"/>
  <c r="CA1696" i="1"/>
  <c r="CH1696" i="1"/>
  <c r="CL1696" i="1"/>
  <c r="CM1696" i="1"/>
  <c r="CN1696" i="1"/>
  <c r="CO1696" i="1"/>
  <c r="CP1696" i="1"/>
  <c r="CZ1696" i="1"/>
  <c r="DB1696" i="1"/>
  <c r="DF1696" i="1"/>
  <c r="AC1214" i="1"/>
  <c r="AH1214" i="1"/>
  <c r="BS1214" i="1"/>
  <c r="BV1214" i="1"/>
  <c r="BX1214" i="1"/>
  <c r="BY1214" i="1"/>
  <c r="BZ1214" i="1"/>
  <c r="CA1214" i="1"/>
  <c r="CH1214" i="1"/>
  <c r="CL1214" i="1"/>
  <c r="CM1214" i="1"/>
  <c r="CN1214" i="1"/>
  <c r="CO1214" i="1"/>
  <c r="CP1214" i="1"/>
  <c r="CZ1214" i="1"/>
  <c r="DB1214" i="1"/>
  <c r="DF1214" i="1"/>
  <c r="AC908" i="1"/>
  <c r="AH908" i="1"/>
  <c r="BS908" i="1"/>
  <c r="BV908" i="1"/>
  <c r="BX908" i="1"/>
  <c r="BY908" i="1"/>
  <c r="BZ908" i="1"/>
  <c r="CA908" i="1"/>
  <c r="CH908" i="1"/>
  <c r="CL908" i="1"/>
  <c r="CM908" i="1"/>
  <c r="CN908" i="1"/>
  <c r="CO908" i="1"/>
  <c r="CP908" i="1"/>
  <c r="CZ908" i="1"/>
  <c r="DB908" i="1"/>
  <c r="DF908" i="1"/>
  <c r="AC2119" i="1"/>
  <c r="AH2119" i="1"/>
  <c r="BS2119" i="1"/>
  <c r="BV2119" i="1"/>
  <c r="BX2119" i="1"/>
  <c r="BY2119" i="1"/>
  <c r="BZ2119" i="1"/>
  <c r="CA2119" i="1"/>
  <c r="CH2119" i="1"/>
  <c r="CL2119" i="1"/>
  <c r="CM2119" i="1"/>
  <c r="CN2119" i="1"/>
  <c r="CO2119" i="1"/>
  <c r="CP2119" i="1"/>
  <c r="CZ2119" i="1"/>
  <c r="DB2119" i="1"/>
  <c r="DF2119" i="1"/>
  <c r="AC595" i="1"/>
  <c r="AH595" i="1"/>
  <c r="BS595" i="1"/>
  <c r="BV595" i="1"/>
  <c r="BX595" i="1"/>
  <c r="BY595" i="1"/>
  <c r="BZ595" i="1"/>
  <c r="CA595" i="1"/>
  <c r="CH595" i="1"/>
  <c r="CL595" i="1"/>
  <c r="CM595" i="1"/>
  <c r="CN595" i="1"/>
  <c r="CO595" i="1"/>
  <c r="CP595" i="1"/>
  <c r="CZ595" i="1"/>
  <c r="DB595" i="1"/>
  <c r="DF595" i="1"/>
  <c r="AC1674" i="1"/>
  <c r="AH1674" i="1"/>
  <c r="BS1674" i="1"/>
  <c r="BV1674" i="1"/>
  <c r="BX1674" i="1"/>
  <c r="BY1674" i="1"/>
  <c r="BZ1674" i="1"/>
  <c r="CA1674" i="1"/>
  <c r="CH1674" i="1"/>
  <c r="CL1674" i="1"/>
  <c r="CM1674" i="1"/>
  <c r="CN1674" i="1"/>
  <c r="CP1674" i="1"/>
  <c r="CZ1674" i="1"/>
  <c r="DB1674" i="1"/>
  <c r="DF1674" i="1"/>
  <c r="AC1799" i="1"/>
  <c r="AH1799" i="1"/>
  <c r="BS1799" i="1"/>
  <c r="BV1799" i="1"/>
  <c r="BX1799" i="1"/>
  <c r="BY1799" i="1"/>
  <c r="BZ1799" i="1"/>
  <c r="CA1799" i="1"/>
  <c r="CH1799" i="1"/>
  <c r="CL1799" i="1"/>
  <c r="CM1799" i="1"/>
  <c r="CN1799" i="1"/>
  <c r="CO1799" i="1"/>
  <c r="CP1799" i="1"/>
  <c r="CZ1799" i="1"/>
  <c r="DB1799" i="1"/>
  <c r="DF1799" i="1"/>
  <c r="AC709" i="1"/>
  <c r="AH709" i="1"/>
  <c r="BS709" i="1"/>
  <c r="BV709" i="1"/>
  <c r="BX709" i="1"/>
  <c r="BY709" i="1"/>
  <c r="BZ709" i="1"/>
  <c r="CA709" i="1"/>
  <c r="CH709" i="1"/>
  <c r="CL709" i="1"/>
  <c r="CM709" i="1"/>
  <c r="CN709" i="1"/>
  <c r="CO709" i="1"/>
  <c r="CP709" i="1"/>
  <c r="CZ709" i="1"/>
  <c r="DB709" i="1"/>
  <c r="DF709" i="1"/>
  <c r="AC1065" i="1"/>
  <c r="AH1065" i="1"/>
  <c r="BS1065" i="1"/>
  <c r="BV1065" i="1"/>
  <c r="BX1065" i="1"/>
  <c r="BY1065" i="1"/>
  <c r="BZ1065" i="1"/>
  <c r="CH1065" i="1"/>
  <c r="CL1065" i="1"/>
  <c r="CM1065" i="1"/>
  <c r="CN1065" i="1"/>
  <c r="CO1065" i="1"/>
  <c r="CP1065" i="1"/>
  <c r="CZ1065" i="1"/>
  <c r="DB1065" i="1"/>
  <c r="DF1065" i="1"/>
  <c r="AC2168" i="1"/>
  <c r="AH2168" i="1"/>
  <c r="BS2168" i="1"/>
  <c r="BV2168" i="1"/>
  <c r="BX2168" i="1"/>
  <c r="BY2168" i="1"/>
  <c r="BZ2168" i="1"/>
  <c r="CA2168" i="1"/>
  <c r="CH2168" i="1"/>
  <c r="CL2168" i="1"/>
  <c r="CM2168" i="1"/>
  <c r="CN2168" i="1"/>
  <c r="CO2168" i="1"/>
  <c r="CP2168" i="1"/>
  <c r="CZ2168" i="1"/>
  <c r="DB2168" i="1"/>
  <c r="DF2168" i="1"/>
  <c r="AC1620" i="1"/>
  <c r="AH1620" i="1"/>
  <c r="BS1620" i="1"/>
  <c r="BV1620" i="1"/>
  <c r="BX1620" i="1"/>
  <c r="BY1620" i="1"/>
  <c r="BZ1620" i="1"/>
  <c r="CA1620" i="1"/>
  <c r="CH1620" i="1"/>
  <c r="CL1620" i="1"/>
  <c r="CM1620" i="1"/>
  <c r="CN1620" i="1"/>
  <c r="CP1620" i="1"/>
  <c r="CZ1620" i="1"/>
  <c r="DB1620" i="1"/>
  <c r="DF1620" i="1"/>
  <c r="AC1956" i="1"/>
  <c r="AH1956" i="1"/>
  <c r="BS1956" i="1"/>
  <c r="BV1956" i="1"/>
  <c r="BX1956" i="1"/>
  <c r="BY1956" i="1"/>
  <c r="BZ1956" i="1"/>
  <c r="CA1956" i="1"/>
  <c r="CH1956" i="1"/>
  <c r="CL1956" i="1"/>
  <c r="CM1956" i="1"/>
  <c r="CN1956" i="1"/>
  <c r="CO1956" i="1"/>
  <c r="CP1956" i="1"/>
  <c r="CZ1956" i="1"/>
  <c r="DB1956" i="1"/>
  <c r="DF1956" i="1"/>
  <c r="AC1295" i="1"/>
  <c r="AH1295" i="1"/>
  <c r="BS1295" i="1"/>
  <c r="BV1295" i="1"/>
  <c r="BX1295" i="1"/>
  <c r="BY1295" i="1"/>
  <c r="BZ1295" i="1"/>
  <c r="CA1295" i="1"/>
  <c r="CH1295" i="1"/>
  <c r="CL1295" i="1"/>
  <c r="CM1295" i="1"/>
  <c r="CN1295" i="1"/>
  <c r="CO1295" i="1"/>
  <c r="CP1295" i="1"/>
  <c r="CZ1295" i="1"/>
  <c r="DB1295" i="1"/>
  <c r="DF1295" i="1"/>
  <c r="AC344" i="1"/>
  <c r="AH344" i="1"/>
  <c r="BS344" i="1"/>
  <c r="BV344" i="1"/>
  <c r="BX344" i="1"/>
  <c r="BY344" i="1"/>
  <c r="BZ344" i="1"/>
  <c r="CH344" i="1"/>
  <c r="CL344" i="1"/>
  <c r="CM344" i="1"/>
  <c r="CN344" i="1"/>
  <c r="CO344" i="1"/>
  <c r="CP344" i="1"/>
  <c r="CZ344" i="1"/>
  <c r="DB344" i="1"/>
  <c r="DF344" i="1"/>
  <c r="AC419" i="1"/>
  <c r="AH419" i="1"/>
  <c r="BS419" i="1"/>
  <c r="BV419" i="1"/>
  <c r="BX419" i="1"/>
  <c r="BY419" i="1"/>
  <c r="BZ419" i="1"/>
  <c r="CA419" i="1"/>
  <c r="CH419" i="1"/>
  <c r="CL419" i="1"/>
  <c r="CM419" i="1"/>
  <c r="CN419" i="1"/>
  <c r="CO419" i="1"/>
  <c r="CP419" i="1"/>
  <c r="CZ419" i="1"/>
  <c r="DB419" i="1"/>
  <c r="DF419" i="1"/>
  <c r="AC799" i="1"/>
  <c r="AH799" i="1"/>
  <c r="BS799" i="1"/>
  <c r="BV799" i="1"/>
  <c r="BX799" i="1"/>
  <c r="BY799" i="1"/>
  <c r="BZ799" i="1"/>
  <c r="CH799" i="1"/>
  <c r="CL799" i="1"/>
  <c r="CM799" i="1"/>
  <c r="CN799" i="1"/>
  <c r="CO799" i="1"/>
  <c r="CP799" i="1"/>
  <c r="CZ799" i="1"/>
  <c r="DB799" i="1"/>
  <c r="DF799" i="1"/>
  <c r="AC1436" i="1"/>
  <c r="AH1436" i="1"/>
  <c r="BS1436" i="1"/>
  <c r="BV1436" i="1"/>
  <c r="BX1436" i="1"/>
  <c r="BY1436" i="1"/>
  <c r="BZ1436" i="1"/>
  <c r="CA1436" i="1"/>
  <c r="CH1436" i="1"/>
  <c r="CL1436" i="1"/>
  <c r="CM1436" i="1"/>
  <c r="CN1436" i="1"/>
  <c r="CO1436" i="1"/>
  <c r="CP1436" i="1"/>
  <c r="CZ1436" i="1"/>
  <c r="DB1436" i="1"/>
  <c r="DF1436" i="1"/>
  <c r="AC1971" i="1"/>
  <c r="AH1971" i="1"/>
  <c r="BS1971" i="1"/>
  <c r="BV1971" i="1"/>
  <c r="BX1971" i="1"/>
  <c r="BY1971" i="1"/>
  <c r="BZ1971" i="1"/>
  <c r="CH1971" i="1"/>
  <c r="CL1971" i="1"/>
  <c r="CM1971" i="1"/>
  <c r="CN1971" i="1"/>
  <c r="CP1971" i="1"/>
  <c r="CZ1971" i="1"/>
  <c r="DB1971" i="1"/>
  <c r="DF1971" i="1"/>
  <c r="AC2142" i="1"/>
  <c r="AH2142" i="1"/>
  <c r="BS2142" i="1"/>
  <c r="BV2142" i="1"/>
  <c r="BX2142" i="1"/>
  <c r="BY2142" i="1"/>
  <c r="BZ2142" i="1"/>
  <c r="CH2142" i="1"/>
  <c r="CL2142" i="1"/>
  <c r="CM2142" i="1"/>
  <c r="CN2142" i="1"/>
  <c r="CO2142" i="1"/>
  <c r="CP2142" i="1"/>
  <c r="CZ2142" i="1"/>
  <c r="DB2142" i="1"/>
  <c r="DF2142" i="1"/>
  <c r="AC1805" i="1"/>
  <c r="AH1805" i="1"/>
  <c r="BS1805" i="1"/>
  <c r="BV1805" i="1"/>
  <c r="BX1805" i="1"/>
  <c r="BY1805" i="1"/>
  <c r="BZ1805" i="1"/>
  <c r="CA1805" i="1"/>
  <c r="CH1805" i="1"/>
  <c r="CL1805" i="1"/>
  <c r="CM1805" i="1"/>
  <c r="CN1805" i="1"/>
  <c r="CO1805" i="1"/>
  <c r="CP1805" i="1"/>
  <c r="CZ1805" i="1"/>
  <c r="DB1805" i="1"/>
  <c r="DF1805" i="1"/>
  <c r="AC1130" i="1"/>
  <c r="AH1130" i="1"/>
  <c r="BS1130" i="1"/>
  <c r="BV1130" i="1"/>
  <c r="BX1130" i="1"/>
  <c r="BY1130" i="1"/>
  <c r="BZ1130" i="1"/>
  <c r="CA1130" i="1"/>
  <c r="CH1130" i="1"/>
  <c r="CL1130" i="1"/>
  <c r="CM1130" i="1"/>
  <c r="CN1130" i="1"/>
  <c r="CO1130" i="1"/>
  <c r="CP1130" i="1"/>
  <c r="CZ1130" i="1"/>
  <c r="DB1130" i="1"/>
  <c r="DF1130" i="1"/>
  <c r="AC1314" i="1"/>
  <c r="AH1314" i="1"/>
  <c r="BS1314" i="1"/>
  <c r="BV1314" i="1"/>
  <c r="BX1314" i="1"/>
  <c r="BY1314" i="1"/>
  <c r="BZ1314" i="1"/>
  <c r="CA1314" i="1"/>
  <c r="CH1314" i="1"/>
  <c r="CL1314" i="1"/>
  <c r="CM1314" i="1"/>
  <c r="CN1314" i="1"/>
  <c r="CO1314" i="1"/>
  <c r="CP1314" i="1"/>
  <c r="CZ1314" i="1"/>
  <c r="DB1314" i="1"/>
  <c r="DF1314" i="1"/>
  <c r="AC107" i="1"/>
  <c r="AH107" i="1"/>
  <c r="BS107" i="1"/>
  <c r="BV107" i="1"/>
  <c r="BX107" i="1"/>
  <c r="BY107" i="1"/>
  <c r="BZ107" i="1"/>
  <c r="CA107" i="1"/>
  <c r="CH107" i="1"/>
  <c r="CL107" i="1"/>
  <c r="CM107" i="1"/>
  <c r="CN107" i="1"/>
  <c r="CO107" i="1"/>
  <c r="CP107" i="1"/>
  <c r="CZ107" i="1"/>
  <c r="DB107" i="1"/>
  <c r="DF107" i="1"/>
  <c r="AC428" i="1"/>
  <c r="AH428" i="1"/>
  <c r="BS428" i="1"/>
  <c r="BV428" i="1"/>
  <c r="BX428" i="1"/>
  <c r="BY428" i="1"/>
  <c r="BZ428" i="1"/>
  <c r="CA428" i="1"/>
  <c r="CH428" i="1"/>
  <c r="CL428" i="1"/>
  <c r="CM428" i="1"/>
  <c r="CN428" i="1"/>
  <c r="CO428" i="1"/>
  <c r="CP428" i="1"/>
  <c r="CZ428" i="1"/>
  <c r="DB428" i="1"/>
  <c r="DF428" i="1"/>
  <c r="AC637" i="1"/>
  <c r="AH637" i="1"/>
  <c r="BS637" i="1"/>
  <c r="BV637" i="1"/>
  <c r="BX637" i="1"/>
  <c r="BY637" i="1"/>
  <c r="BZ637" i="1"/>
  <c r="CA637" i="1"/>
  <c r="CH637" i="1"/>
  <c r="CL637" i="1"/>
  <c r="CM637" i="1"/>
  <c r="CN637" i="1"/>
  <c r="CO637" i="1"/>
  <c r="CP637" i="1"/>
  <c r="CZ637" i="1"/>
  <c r="DB637" i="1"/>
  <c r="DF637" i="1"/>
  <c r="AC1945" i="1"/>
  <c r="AH1945" i="1"/>
  <c r="BS1945" i="1"/>
  <c r="BV1945" i="1"/>
  <c r="BX1945" i="1"/>
  <c r="BY1945" i="1"/>
  <c r="BZ1945" i="1"/>
  <c r="CA1945" i="1"/>
  <c r="CH1945" i="1"/>
  <c r="CL1945" i="1"/>
  <c r="CM1945" i="1"/>
  <c r="CN1945" i="1"/>
  <c r="CP1945" i="1"/>
  <c r="CZ1945" i="1"/>
  <c r="DB1945" i="1"/>
  <c r="DF1945" i="1"/>
  <c r="AC2193" i="1"/>
  <c r="AH2193" i="1"/>
  <c r="BS2193" i="1"/>
  <c r="BV2193" i="1"/>
  <c r="BX2193" i="1"/>
  <c r="BY2193" i="1"/>
  <c r="BZ2193" i="1"/>
  <c r="CA2193" i="1"/>
  <c r="CH2193" i="1"/>
  <c r="CL2193" i="1"/>
  <c r="CM2193" i="1"/>
  <c r="CN2193" i="1"/>
  <c r="CO2193" i="1"/>
  <c r="CP2193" i="1"/>
  <c r="CZ2193" i="1"/>
  <c r="DB2193" i="1"/>
  <c r="DF2193" i="1"/>
  <c r="AC1029" i="1"/>
  <c r="AH1029" i="1"/>
  <c r="BS1029" i="1"/>
  <c r="BV1029" i="1"/>
  <c r="BX1029" i="1"/>
  <c r="BY1029" i="1"/>
  <c r="BZ1029" i="1"/>
  <c r="CA1029" i="1"/>
  <c r="CH1029" i="1"/>
  <c r="CL1029" i="1"/>
  <c r="CM1029" i="1"/>
  <c r="CN1029" i="1"/>
  <c r="CO1029" i="1"/>
  <c r="CP1029" i="1"/>
  <c r="CZ1029" i="1"/>
  <c r="DB1029" i="1"/>
  <c r="DF1029" i="1"/>
  <c r="AC1099" i="1"/>
  <c r="AH1099" i="1"/>
  <c r="BS1099" i="1"/>
  <c r="BV1099" i="1"/>
  <c r="BX1099" i="1"/>
  <c r="BY1099" i="1"/>
  <c r="BZ1099" i="1"/>
  <c r="CA1099" i="1"/>
  <c r="CH1099" i="1"/>
  <c r="CL1099" i="1"/>
  <c r="CM1099" i="1"/>
  <c r="CN1099" i="1"/>
  <c r="CO1099" i="1"/>
  <c r="CP1099" i="1"/>
  <c r="CZ1099" i="1"/>
  <c r="DB1099" i="1"/>
  <c r="DF1099" i="1"/>
  <c r="AC2286" i="1"/>
  <c r="AH2286" i="1"/>
  <c r="BS2286" i="1"/>
  <c r="BV2286" i="1"/>
  <c r="BX2286" i="1"/>
  <c r="BY2286" i="1"/>
  <c r="BZ2286" i="1"/>
  <c r="CH2286" i="1"/>
  <c r="CL2286" i="1"/>
  <c r="CM2286" i="1"/>
  <c r="CN2286" i="1"/>
  <c r="CO2286" i="1"/>
  <c r="CP2286" i="1"/>
  <c r="CZ2286" i="1"/>
  <c r="DB2286" i="1"/>
  <c r="DF2286" i="1"/>
  <c r="AC777" i="1"/>
  <c r="AH777" i="1"/>
  <c r="BS777" i="1"/>
  <c r="BV777" i="1"/>
  <c r="BX777" i="1"/>
  <c r="BY777" i="1"/>
  <c r="BZ777" i="1"/>
  <c r="CH777" i="1"/>
  <c r="CL777" i="1"/>
  <c r="CM777" i="1"/>
  <c r="CN777" i="1"/>
  <c r="CO777" i="1"/>
  <c r="CP777" i="1"/>
  <c r="CZ777" i="1"/>
  <c r="DB777" i="1"/>
  <c r="DF777" i="1"/>
  <c r="AC1989" i="1"/>
  <c r="AH1989" i="1"/>
  <c r="BS1989" i="1"/>
  <c r="BV1989" i="1"/>
  <c r="BX1989" i="1"/>
  <c r="BY1989" i="1"/>
  <c r="BZ1989" i="1"/>
  <c r="CA1989" i="1"/>
  <c r="CH1989" i="1"/>
  <c r="CL1989" i="1"/>
  <c r="CM1989" i="1"/>
  <c r="CN1989" i="1"/>
  <c r="CO1989" i="1"/>
  <c r="CP1989" i="1"/>
  <c r="CZ1989" i="1"/>
  <c r="DB1989" i="1"/>
  <c r="DF1989" i="1"/>
  <c r="AC1121" i="1"/>
  <c r="AH1121" i="1"/>
  <c r="BS1121" i="1"/>
  <c r="BV1121" i="1"/>
  <c r="BX1121" i="1"/>
  <c r="BY1121" i="1"/>
  <c r="BZ1121" i="1"/>
  <c r="CA1121" i="1"/>
  <c r="CH1121" i="1"/>
  <c r="CL1121" i="1"/>
  <c r="CM1121" i="1"/>
  <c r="CN1121" i="1"/>
  <c r="CO1121" i="1"/>
  <c r="CP1121" i="1"/>
  <c r="CZ1121" i="1"/>
  <c r="DB1121" i="1"/>
  <c r="DF1121" i="1"/>
  <c r="AC719" i="1"/>
  <c r="AH719" i="1"/>
  <c r="BS719" i="1"/>
  <c r="BV719" i="1"/>
  <c r="BX719" i="1"/>
  <c r="BY719" i="1"/>
  <c r="BZ719" i="1"/>
  <c r="CA719" i="1"/>
  <c r="CH719" i="1"/>
  <c r="CL719" i="1"/>
  <c r="CM719" i="1"/>
  <c r="CN719" i="1"/>
  <c r="CO719" i="1"/>
  <c r="CP719" i="1"/>
  <c r="CZ719" i="1"/>
  <c r="DB719" i="1"/>
  <c r="DF719" i="1"/>
  <c r="AC1076" i="1"/>
  <c r="AH1076" i="1"/>
  <c r="BS1076" i="1"/>
  <c r="BV1076" i="1"/>
  <c r="BX1076" i="1"/>
  <c r="BY1076" i="1"/>
  <c r="BZ1076" i="1"/>
  <c r="CA1076" i="1"/>
  <c r="CH1076" i="1"/>
  <c r="CL1076" i="1"/>
  <c r="CM1076" i="1"/>
  <c r="CN1076" i="1"/>
  <c r="CO1076" i="1"/>
  <c r="CP1076" i="1"/>
  <c r="CZ1076" i="1"/>
  <c r="DB1076" i="1"/>
  <c r="DF1076" i="1"/>
  <c r="AC990" i="1"/>
  <c r="AH990" i="1"/>
  <c r="BS990" i="1"/>
  <c r="BV990" i="1"/>
  <c r="BX990" i="1"/>
  <c r="BY990" i="1"/>
  <c r="BZ990" i="1"/>
  <c r="CA990" i="1"/>
  <c r="CH990" i="1"/>
  <c r="CL990" i="1"/>
  <c r="CM990" i="1"/>
  <c r="CN990" i="1"/>
  <c r="CO990" i="1"/>
  <c r="CP990" i="1"/>
  <c r="CZ990" i="1"/>
  <c r="DB990" i="1"/>
  <c r="DF990" i="1"/>
  <c r="AC1919" i="1"/>
  <c r="AH1919" i="1"/>
  <c r="BS1919" i="1"/>
  <c r="BV1919" i="1"/>
  <c r="BX1919" i="1"/>
  <c r="BY1919" i="1"/>
  <c r="BZ1919" i="1"/>
  <c r="CH1919" i="1"/>
  <c r="CL1919" i="1"/>
  <c r="CM1919" i="1"/>
  <c r="CN1919" i="1"/>
  <c r="CP1919" i="1"/>
  <c r="CZ1919" i="1"/>
  <c r="DB1919" i="1"/>
  <c r="DF1919" i="1"/>
  <c r="AC845" i="1"/>
  <c r="AH845" i="1"/>
  <c r="BS845" i="1"/>
  <c r="BV845" i="1"/>
  <c r="BX845" i="1"/>
  <c r="BY845" i="1"/>
  <c r="BZ845" i="1"/>
  <c r="CA845" i="1"/>
  <c r="CH845" i="1"/>
  <c r="CL845" i="1"/>
  <c r="CM845" i="1"/>
  <c r="CN845" i="1"/>
  <c r="CO845" i="1"/>
  <c r="CP845" i="1"/>
  <c r="CZ845" i="1"/>
  <c r="DB845" i="1"/>
  <c r="DF845" i="1"/>
  <c r="AC1643" i="1"/>
  <c r="AH1643" i="1"/>
  <c r="BS1643" i="1"/>
  <c r="BV1643" i="1"/>
  <c r="BX1643" i="1"/>
  <c r="BY1643" i="1"/>
  <c r="BZ1643" i="1"/>
  <c r="CH1643" i="1"/>
  <c r="CL1643" i="1"/>
  <c r="CM1643" i="1"/>
  <c r="CN1643" i="1"/>
  <c r="CO1643" i="1"/>
  <c r="CP1643" i="1"/>
  <c r="CZ1643" i="1"/>
  <c r="DB1643" i="1"/>
  <c r="DF1643" i="1"/>
  <c r="AC2017" i="1"/>
  <c r="AH2017" i="1"/>
  <c r="BS2017" i="1"/>
  <c r="BV2017" i="1"/>
  <c r="BX2017" i="1"/>
  <c r="BY2017" i="1"/>
  <c r="BZ2017" i="1"/>
  <c r="CH2017" i="1"/>
  <c r="CL2017" i="1"/>
  <c r="CM2017" i="1"/>
  <c r="CN2017" i="1"/>
  <c r="CO2017" i="1"/>
  <c r="CP2017" i="1"/>
  <c r="CZ2017" i="1"/>
  <c r="DB2017" i="1"/>
  <c r="DF2017" i="1"/>
  <c r="AC1716" i="1"/>
  <c r="AH1716" i="1"/>
  <c r="BS1716" i="1"/>
  <c r="BV1716" i="1"/>
  <c r="BX1716" i="1"/>
  <c r="BY1716" i="1"/>
  <c r="BZ1716" i="1"/>
  <c r="CA1716" i="1"/>
  <c r="CH1716" i="1"/>
  <c r="CL1716" i="1"/>
  <c r="CM1716" i="1"/>
  <c r="CN1716" i="1"/>
  <c r="CO1716" i="1"/>
  <c r="CP1716" i="1"/>
  <c r="CZ1716" i="1"/>
  <c r="DB1716" i="1"/>
  <c r="DF1716" i="1"/>
  <c r="AC50" i="1"/>
  <c r="AH50" i="1"/>
  <c r="BS50" i="1"/>
  <c r="BV50" i="1"/>
  <c r="BX50" i="1"/>
  <c r="BY50" i="1"/>
  <c r="BZ50" i="1"/>
  <c r="CA50" i="1"/>
  <c r="CH50" i="1"/>
  <c r="CL50" i="1"/>
  <c r="CM50" i="1"/>
  <c r="CN50" i="1"/>
  <c r="CO50" i="1"/>
  <c r="CP50" i="1"/>
  <c r="CZ50" i="1"/>
  <c r="DB50" i="1"/>
  <c r="DF50" i="1"/>
  <c r="AC1964" i="1"/>
  <c r="AH1964" i="1"/>
  <c r="BS1964" i="1"/>
  <c r="BV1964" i="1"/>
  <c r="BX1964" i="1"/>
  <c r="BY1964" i="1"/>
  <c r="BZ1964" i="1"/>
  <c r="CA1964" i="1"/>
  <c r="CH1964" i="1"/>
  <c r="CL1964" i="1"/>
  <c r="CM1964" i="1"/>
  <c r="CN1964" i="1"/>
  <c r="CO1964" i="1"/>
  <c r="CP1964" i="1"/>
  <c r="CZ1964" i="1"/>
  <c r="DB1964" i="1"/>
  <c r="DF1964" i="1"/>
  <c r="AC2012" i="1"/>
  <c r="AH2012" i="1"/>
  <c r="BS2012" i="1"/>
  <c r="BV2012" i="1"/>
  <c r="BX2012" i="1"/>
  <c r="BY2012" i="1"/>
  <c r="BZ2012" i="1"/>
  <c r="CH2012" i="1"/>
  <c r="CL2012" i="1"/>
  <c r="CM2012" i="1"/>
  <c r="CN2012" i="1"/>
  <c r="CP2012" i="1"/>
  <c r="CZ2012" i="1"/>
  <c r="DB2012" i="1"/>
  <c r="DF2012" i="1"/>
  <c r="AC1567" i="1"/>
  <c r="AH1567" i="1"/>
  <c r="BS1567" i="1"/>
  <c r="BV1567" i="1"/>
  <c r="BX1567" i="1"/>
  <c r="BY1567" i="1"/>
  <c r="BZ1567" i="1"/>
  <c r="CA1567" i="1"/>
  <c r="CH1567" i="1"/>
  <c r="CL1567" i="1"/>
  <c r="CM1567" i="1"/>
  <c r="CN1567" i="1"/>
  <c r="CO1567" i="1"/>
  <c r="CP1567" i="1"/>
  <c r="CZ1567" i="1"/>
  <c r="DB1567" i="1"/>
  <c r="DF1567" i="1"/>
  <c r="AC57" i="1"/>
  <c r="AH57" i="1"/>
  <c r="BS57" i="1"/>
  <c r="BV57" i="1"/>
  <c r="BX57" i="1"/>
  <c r="BY57" i="1"/>
  <c r="BZ57" i="1"/>
  <c r="CA57" i="1"/>
  <c r="CH57" i="1"/>
  <c r="CL57" i="1"/>
  <c r="CM57" i="1"/>
  <c r="CN57" i="1"/>
  <c r="CO57" i="1"/>
  <c r="CP57" i="1"/>
  <c r="CZ57" i="1"/>
  <c r="DB57" i="1"/>
  <c r="DF57" i="1"/>
  <c r="AC1017" i="1"/>
  <c r="AH1017" i="1"/>
  <c r="BS1017" i="1"/>
  <c r="BV1017" i="1"/>
  <c r="BX1017" i="1"/>
  <c r="BY1017" i="1"/>
  <c r="BZ1017" i="1"/>
  <c r="CA1017" i="1"/>
  <c r="CH1017" i="1"/>
  <c r="CL1017" i="1"/>
  <c r="CM1017" i="1"/>
  <c r="CN1017" i="1"/>
  <c r="CO1017" i="1"/>
  <c r="CP1017" i="1"/>
  <c r="CZ1017" i="1"/>
  <c r="DB1017" i="1"/>
  <c r="DF1017" i="1"/>
  <c r="AC423" i="1"/>
  <c r="AH423" i="1"/>
  <c r="BS423" i="1"/>
  <c r="BV423" i="1"/>
  <c r="BX423" i="1"/>
  <c r="BY423" i="1"/>
  <c r="BZ423" i="1"/>
  <c r="CA423" i="1"/>
  <c r="CH423" i="1"/>
  <c r="CL423" i="1"/>
  <c r="CM423" i="1"/>
  <c r="CN423" i="1"/>
  <c r="CO423" i="1"/>
  <c r="CP423" i="1"/>
  <c r="CZ423" i="1"/>
  <c r="DB423" i="1"/>
  <c r="DF423" i="1"/>
  <c r="AC1586" i="1"/>
  <c r="AH1586" i="1"/>
  <c r="BS1586" i="1"/>
  <c r="BV1586" i="1"/>
  <c r="BX1586" i="1"/>
  <c r="BY1586" i="1"/>
  <c r="BZ1586" i="1"/>
  <c r="CA1586" i="1"/>
  <c r="CH1586" i="1"/>
  <c r="CL1586" i="1"/>
  <c r="CM1586" i="1"/>
  <c r="CN1586" i="1"/>
  <c r="CO1586" i="1"/>
  <c r="CP1586" i="1"/>
  <c r="CZ1586" i="1"/>
  <c r="DB1586" i="1"/>
  <c r="DF1586" i="1"/>
  <c r="AC1958" i="1"/>
  <c r="AH1958" i="1"/>
  <c r="BS1958" i="1"/>
  <c r="BV1958" i="1"/>
  <c r="BX1958" i="1"/>
  <c r="BY1958" i="1"/>
  <c r="BZ1958" i="1"/>
  <c r="CA1958" i="1"/>
  <c r="CH1958" i="1"/>
  <c r="CL1958" i="1"/>
  <c r="CM1958" i="1"/>
  <c r="CN1958" i="1"/>
  <c r="CO1958" i="1"/>
  <c r="CP1958" i="1"/>
  <c r="CZ1958" i="1"/>
  <c r="DB1958" i="1"/>
  <c r="DF1958" i="1"/>
  <c r="AC1655" i="1"/>
  <c r="AH1655" i="1"/>
  <c r="BS1655" i="1"/>
  <c r="BV1655" i="1"/>
  <c r="BX1655" i="1"/>
  <c r="BY1655" i="1"/>
  <c r="BZ1655" i="1"/>
  <c r="CH1655" i="1"/>
  <c r="CL1655" i="1"/>
  <c r="CM1655" i="1"/>
  <c r="CN1655" i="1"/>
  <c r="CO1655" i="1"/>
  <c r="CP1655" i="1"/>
  <c r="CZ1655" i="1"/>
  <c r="DB1655" i="1"/>
  <c r="DF1655" i="1"/>
  <c r="AC469" i="1"/>
  <c r="AH469" i="1"/>
  <c r="BS469" i="1"/>
  <c r="BV469" i="1"/>
  <c r="BX469" i="1"/>
  <c r="BY469" i="1"/>
  <c r="BZ469" i="1"/>
  <c r="CH469" i="1"/>
  <c r="CL469" i="1"/>
  <c r="CM469" i="1"/>
  <c r="CN469" i="1"/>
  <c r="CO469" i="1"/>
  <c r="CP469" i="1"/>
  <c r="CZ469" i="1"/>
  <c r="DB469" i="1"/>
  <c r="DF469" i="1"/>
  <c r="AC565" i="1"/>
  <c r="AH565" i="1"/>
  <c r="BS565" i="1"/>
  <c r="BV565" i="1"/>
  <c r="BX565" i="1"/>
  <c r="BY565" i="1"/>
  <c r="BZ565" i="1"/>
  <c r="CA565" i="1"/>
  <c r="CH565" i="1"/>
  <c r="CL565" i="1"/>
  <c r="CM565" i="1"/>
  <c r="CN565" i="1"/>
  <c r="CO565" i="1"/>
  <c r="CP565" i="1"/>
  <c r="CZ565" i="1"/>
  <c r="DB565" i="1"/>
  <c r="DF565" i="1"/>
  <c r="AC622" i="1"/>
  <c r="AH622" i="1"/>
  <c r="BS622" i="1"/>
  <c r="BV622" i="1"/>
  <c r="BX622" i="1"/>
  <c r="BY622" i="1"/>
  <c r="BZ622" i="1"/>
  <c r="CA622" i="1"/>
  <c r="CH622" i="1"/>
  <c r="CL622" i="1"/>
  <c r="CM622" i="1"/>
  <c r="CN622" i="1"/>
  <c r="CO622" i="1"/>
  <c r="CP622" i="1"/>
  <c r="CZ622" i="1"/>
  <c r="DB622" i="1"/>
  <c r="DF622" i="1"/>
  <c r="AC1512" i="1"/>
  <c r="AH1512" i="1"/>
  <c r="BS1512" i="1"/>
  <c r="BV1512" i="1"/>
  <c r="BX1512" i="1"/>
  <c r="BY1512" i="1"/>
  <c r="BZ1512" i="1"/>
  <c r="CA1512" i="1"/>
  <c r="CH1512" i="1"/>
  <c r="CL1512" i="1"/>
  <c r="CM1512" i="1"/>
  <c r="CN1512" i="1"/>
  <c r="CO1512" i="1"/>
  <c r="CP1512" i="1"/>
  <c r="CZ1512" i="1"/>
  <c r="DB1512" i="1"/>
  <c r="DF1512" i="1"/>
  <c r="AC604" i="1"/>
  <c r="AH604" i="1"/>
  <c r="BS604" i="1"/>
  <c r="BV604" i="1"/>
  <c r="BX604" i="1"/>
  <c r="BY604" i="1"/>
  <c r="BZ604" i="1"/>
  <c r="CA604" i="1"/>
  <c r="CH604" i="1"/>
  <c r="CL604" i="1"/>
  <c r="CM604" i="1"/>
  <c r="CN604" i="1"/>
  <c r="CO604" i="1"/>
  <c r="CP604" i="1"/>
  <c r="CZ604" i="1"/>
  <c r="DB604" i="1"/>
  <c r="DF604" i="1"/>
  <c r="AC2087" i="1"/>
  <c r="AH2087" i="1"/>
  <c r="BS2087" i="1"/>
  <c r="BV2087" i="1"/>
  <c r="BX2087" i="1"/>
  <c r="BY2087" i="1"/>
  <c r="BZ2087" i="1"/>
  <c r="CA2087" i="1"/>
  <c r="CH2087" i="1"/>
  <c r="CL2087" i="1"/>
  <c r="CM2087" i="1"/>
  <c r="CN2087" i="1"/>
  <c r="CO2087" i="1"/>
  <c r="CP2087" i="1"/>
  <c r="CZ2087" i="1"/>
  <c r="DB2087" i="1"/>
  <c r="DF2087" i="1"/>
  <c r="AC1697" i="1"/>
  <c r="AH1697" i="1"/>
  <c r="BS1697" i="1"/>
  <c r="BV1697" i="1"/>
  <c r="BX1697" i="1"/>
  <c r="BY1697" i="1"/>
  <c r="BZ1697" i="1"/>
  <c r="CA1697" i="1"/>
  <c r="CH1697" i="1"/>
  <c r="CL1697" i="1"/>
  <c r="CM1697" i="1"/>
  <c r="CN1697" i="1"/>
  <c r="CO1697" i="1"/>
  <c r="CP1697" i="1"/>
  <c r="CZ1697" i="1"/>
  <c r="DB1697" i="1"/>
  <c r="DF1697" i="1"/>
  <c r="AC217" i="1"/>
  <c r="AH217" i="1"/>
  <c r="BS217" i="1"/>
  <c r="BV217" i="1"/>
  <c r="BX217" i="1"/>
  <c r="BY217" i="1"/>
  <c r="BZ217" i="1"/>
  <c r="CH217" i="1"/>
  <c r="CL217" i="1"/>
  <c r="CM217" i="1"/>
  <c r="CN217" i="1"/>
  <c r="CO217" i="1"/>
  <c r="CP217" i="1"/>
  <c r="CZ217" i="1"/>
  <c r="DB217" i="1"/>
  <c r="DF217" i="1"/>
  <c r="AC104" i="1"/>
  <c r="AH104" i="1"/>
  <c r="BS104" i="1"/>
  <c r="BV104" i="1"/>
  <c r="BX104" i="1"/>
  <c r="BY104" i="1"/>
  <c r="BZ104" i="1"/>
  <c r="CA104" i="1"/>
  <c r="CH104" i="1"/>
  <c r="CL104" i="1"/>
  <c r="CM104" i="1"/>
  <c r="CN104" i="1"/>
  <c r="CO104" i="1"/>
  <c r="CP104" i="1"/>
  <c r="CZ104" i="1"/>
  <c r="DB104" i="1"/>
  <c r="DF104" i="1"/>
  <c r="AC100" i="1"/>
  <c r="AH100" i="1"/>
  <c r="BS100" i="1"/>
  <c r="BV100" i="1"/>
  <c r="BX100" i="1"/>
  <c r="BY100" i="1"/>
  <c r="BZ100" i="1"/>
  <c r="CA100" i="1"/>
  <c r="CH100" i="1"/>
  <c r="CL100" i="1"/>
  <c r="CM100" i="1"/>
  <c r="CN100" i="1"/>
  <c r="CO100" i="1"/>
  <c r="CP100" i="1"/>
  <c r="CZ100" i="1"/>
  <c r="DB100" i="1"/>
  <c r="DF100" i="1"/>
  <c r="AC524" i="1"/>
  <c r="AH524" i="1"/>
  <c r="BS524" i="1"/>
  <c r="BV524" i="1"/>
  <c r="BX524" i="1"/>
  <c r="BY524" i="1"/>
  <c r="BZ524" i="1"/>
  <c r="CA524" i="1"/>
  <c r="CH524" i="1"/>
  <c r="CL524" i="1"/>
  <c r="CM524" i="1"/>
  <c r="CN524" i="1"/>
  <c r="CO524" i="1"/>
  <c r="CP524" i="1"/>
  <c r="CZ524" i="1"/>
  <c r="DB524" i="1"/>
  <c r="DF524" i="1"/>
  <c r="AC2057" i="1"/>
  <c r="AH2057" i="1"/>
  <c r="BS2057" i="1"/>
  <c r="BV2057" i="1"/>
  <c r="BX2057" i="1"/>
  <c r="BY2057" i="1"/>
  <c r="BZ2057" i="1"/>
  <c r="CH2057" i="1"/>
  <c r="CL2057" i="1"/>
  <c r="CM2057" i="1"/>
  <c r="CN2057" i="1"/>
  <c r="CP2057" i="1"/>
  <c r="CZ2057" i="1"/>
  <c r="DB2057" i="1"/>
  <c r="DF2057" i="1"/>
  <c r="AC498" i="1"/>
  <c r="AH498" i="1"/>
  <c r="BS498" i="1"/>
  <c r="BV498" i="1"/>
  <c r="BX498" i="1"/>
  <c r="BY498" i="1"/>
  <c r="BZ498" i="1"/>
  <c r="CA498" i="1"/>
  <c r="CH498" i="1"/>
  <c r="CL498" i="1"/>
  <c r="CM498" i="1"/>
  <c r="CN498" i="1"/>
  <c r="CO498" i="1"/>
  <c r="CP498" i="1"/>
  <c r="CZ498" i="1"/>
  <c r="DB498" i="1"/>
  <c r="DF498" i="1"/>
  <c r="AC7" i="1"/>
  <c r="AH7" i="1"/>
  <c r="BS7" i="1"/>
  <c r="BV7" i="1"/>
  <c r="BX7" i="1"/>
  <c r="BY7" i="1"/>
  <c r="BZ7" i="1"/>
  <c r="CA7" i="1"/>
  <c r="CH7" i="1"/>
  <c r="CL7" i="1"/>
  <c r="CM7" i="1"/>
  <c r="CN7" i="1"/>
  <c r="CO7" i="1"/>
  <c r="CP7" i="1"/>
  <c r="CZ7" i="1"/>
  <c r="DB7" i="1"/>
  <c r="DF7" i="1"/>
  <c r="AC1498" i="1"/>
  <c r="AH1498" i="1"/>
  <c r="BS1498" i="1"/>
  <c r="BV1498" i="1"/>
  <c r="BX1498" i="1"/>
  <c r="BY1498" i="1"/>
  <c r="BZ1498" i="1"/>
  <c r="CH1498" i="1"/>
  <c r="CL1498" i="1"/>
  <c r="CM1498" i="1"/>
  <c r="CN1498" i="1"/>
  <c r="CO1498" i="1"/>
  <c r="CP1498" i="1"/>
  <c r="CZ1498" i="1"/>
  <c r="DB1498" i="1"/>
  <c r="DF1498" i="1"/>
  <c r="AC1237" i="1"/>
  <c r="AH1237" i="1"/>
  <c r="BS1237" i="1"/>
  <c r="BV1237" i="1"/>
  <c r="BX1237" i="1"/>
  <c r="BY1237" i="1"/>
  <c r="BZ1237" i="1"/>
  <c r="CA1237" i="1"/>
  <c r="CH1237" i="1"/>
  <c r="CL1237" i="1"/>
  <c r="CM1237" i="1"/>
  <c r="CN1237" i="1"/>
  <c r="CO1237" i="1"/>
  <c r="CP1237" i="1"/>
  <c r="CZ1237" i="1"/>
  <c r="DB1237" i="1"/>
  <c r="DF1237" i="1"/>
  <c r="AC1441" i="1"/>
  <c r="AH1441" i="1"/>
  <c r="BS1441" i="1"/>
  <c r="BV1441" i="1"/>
  <c r="BX1441" i="1"/>
  <c r="BY1441" i="1"/>
  <c r="BZ1441" i="1"/>
  <c r="CA1441" i="1"/>
  <c r="CH1441" i="1"/>
  <c r="CL1441" i="1"/>
  <c r="CM1441" i="1"/>
  <c r="CN1441" i="1"/>
  <c r="CO1441" i="1"/>
  <c r="CP1441" i="1"/>
  <c r="CZ1441" i="1"/>
  <c r="DB1441" i="1"/>
  <c r="DF1441" i="1"/>
  <c r="AC40" i="1"/>
  <c r="AH40" i="1"/>
  <c r="BS40" i="1"/>
  <c r="BV40" i="1"/>
  <c r="BX40" i="1"/>
  <c r="BY40" i="1"/>
  <c r="BZ40" i="1"/>
  <c r="CA40" i="1"/>
  <c r="CH40" i="1"/>
  <c r="CL40" i="1"/>
  <c r="CM40" i="1"/>
  <c r="CN40" i="1"/>
  <c r="CO40" i="1"/>
  <c r="CP40" i="1"/>
  <c r="CZ40" i="1"/>
  <c r="DB40" i="1"/>
  <c r="DF40" i="1"/>
  <c r="AC1382" i="1"/>
  <c r="AH1382" i="1"/>
  <c r="BS1382" i="1"/>
  <c r="BV1382" i="1"/>
  <c r="BX1382" i="1"/>
  <c r="BY1382" i="1"/>
  <c r="BZ1382" i="1"/>
  <c r="CH1382" i="1"/>
  <c r="CL1382" i="1"/>
  <c r="CM1382" i="1"/>
  <c r="CN1382" i="1"/>
  <c r="CP1382" i="1"/>
  <c r="CZ1382" i="1"/>
  <c r="DB1382" i="1"/>
  <c r="DF1382" i="1"/>
  <c r="AC295" i="1"/>
  <c r="AH295" i="1"/>
  <c r="BS295" i="1"/>
  <c r="BV295" i="1"/>
  <c r="BX295" i="1"/>
  <c r="BY295" i="1"/>
  <c r="BZ295" i="1"/>
  <c r="CA295" i="1"/>
  <c r="CH295" i="1"/>
  <c r="CL295" i="1"/>
  <c r="CM295" i="1"/>
  <c r="CN295" i="1"/>
  <c r="CO295" i="1"/>
  <c r="CP295" i="1"/>
  <c r="CZ295" i="1"/>
  <c r="DB295" i="1"/>
  <c r="DF295" i="1"/>
  <c r="AC896" i="1"/>
  <c r="AH896" i="1"/>
  <c r="BS896" i="1"/>
  <c r="BV896" i="1"/>
  <c r="BX896" i="1"/>
  <c r="BY896" i="1"/>
  <c r="BZ896" i="1"/>
  <c r="CA896" i="1"/>
  <c r="CH896" i="1"/>
  <c r="CL896" i="1"/>
  <c r="CM896" i="1"/>
  <c r="CN896" i="1"/>
  <c r="CO896" i="1"/>
  <c r="CP896" i="1"/>
  <c r="CZ896" i="1"/>
  <c r="DB896" i="1"/>
  <c r="DF896" i="1"/>
  <c r="AC849" i="1"/>
  <c r="AH849" i="1"/>
  <c r="BS849" i="1"/>
  <c r="BV849" i="1"/>
  <c r="BX849" i="1"/>
  <c r="BY849" i="1"/>
  <c r="BZ849" i="1"/>
  <c r="CA849" i="1"/>
  <c r="CH849" i="1"/>
  <c r="CL849" i="1"/>
  <c r="CM849" i="1"/>
  <c r="CN849" i="1"/>
  <c r="CO849" i="1"/>
  <c r="CP849" i="1"/>
  <c r="CZ849" i="1"/>
  <c r="DB849" i="1"/>
  <c r="DF849" i="1"/>
  <c r="AC1472" i="1"/>
  <c r="AH1472" i="1"/>
  <c r="BS1472" i="1"/>
  <c r="BV1472" i="1"/>
  <c r="BX1472" i="1"/>
  <c r="BY1472" i="1"/>
  <c r="BZ1472" i="1"/>
  <c r="CA1472" i="1"/>
  <c r="CH1472" i="1"/>
  <c r="CL1472" i="1"/>
  <c r="CM1472" i="1"/>
  <c r="CN1472" i="1"/>
  <c r="CO1472" i="1"/>
  <c r="CP1472" i="1"/>
  <c r="CZ1472" i="1"/>
  <c r="DB1472" i="1"/>
  <c r="DF1472" i="1"/>
  <c r="AC1159" i="1"/>
  <c r="AH1159" i="1"/>
  <c r="BS1159" i="1"/>
  <c r="BV1159" i="1"/>
  <c r="BX1159" i="1"/>
  <c r="BY1159" i="1"/>
  <c r="BZ1159" i="1"/>
  <c r="CA1159" i="1"/>
  <c r="CH1159" i="1"/>
  <c r="CL1159" i="1"/>
  <c r="CM1159" i="1"/>
  <c r="CN1159" i="1"/>
  <c r="CO1159" i="1"/>
  <c r="CP1159" i="1"/>
  <c r="CZ1159" i="1"/>
  <c r="DB1159" i="1"/>
  <c r="DF1159" i="1"/>
  <c r="AC1356" i="1"/>
  <c r="AH1356" i="1"/>
  <c r="BS1356" i="1"/>
  <c r="BV1356" i="1"/>
  <c r="BX1356" i="1"/>
  <c r="BY1356" i="1"/>
  <c r="BZ1356" i="1"/>
  <c r="CA1356" i="1"/>
  <c r="CH1356" i="1"/>
  <c r="CL1356" i="1"/>
  <c r="CM1356" i="1"/>
  <c r="CN1356" i="1"/>
  <c r="CO1356" i="1"/>
  <c r="CP1356" i="1"/>
  <c r="CZ1356" i="1"/>
  <c r="DB1356" i="1"/>
  <c r="DF1356" i="1"/>
  <c r="AC335" i="1"/>
  <c r="AH335" i="1"/>
  <c r="BS335" i="1"/>
  <c r="BV335" i="1"/>
  <c r="BX335" i="1"/>
  <c r="BY335" i="1"/>
  <c r="BZ335" i="1"/>
  <c r="CA335" i="1"/>
  <c r="CH335" i="1"/>
  <c r="CL335" i="1"/>
  <c r="CM335" i="1"/>
  <c r="CN335" i="1"/>
  <c r="CO335" i="1"/>
  <c r="CP335" i="1"/>
  <c r="CZ335" i="1"/>
  <c r="DB335" i="1"/>
  <c r="DF335" i="1"/>
  <c r="AC1350" i="1"/>
  <c r="AH1350" i="1"/>
  <c r="BS1350" i="1"/>
  <c r="BV1350" i="1"/>
  <c r="BX1350" i="1"/>
  <c r="BY1350" i="1"/>
  <c r="BZ1350" i="1"/>
  <c r="CA1350" i="1"/>
  <c r="CH1350" i="1"/>
  <c r="CL1350" i="1"/>
  <c r="CM1350" i="1"/>
  <c r="CN1350" i="1"/>
  <c r="CO1350" i="1"/>
  <c r="CP1350" i="1"/>
  <c r="CZ1350" i="1"/>
  <c r="DB1350" i="1"/>
  <c r="DF1350" i="1"/>
  <c r="AC734" i="1"/>
  <c r="AH734" i="1"/>
  <c r="BS734" i="1"/>
  <c r="BV734" i="1"/>
  <c r="BX734" i="1"/>
  <c r="BY734" i="1"/>
  <c r="BZ734" i="1"/>
  <c r="CA734" i="1"/>
  <c r="CH734" i="1"/>
  <c r="CL734" i="1"/>
  <c r="CM734" i="1"/>
  <c r="CN734" i="1"/>
  <c r="CO734" i="1"/>
  <c r="CP734" i="1"/>
  <c r="CZ734" i="1"/>
  <c r="DB734" i="1"/>
  <c r="DF734" i="1"/>
  <c r="AC1407" i="1"/>
  <c r="AH1407" i="1"/>
  <c r="BS1407" i="1"/>
  <c r="BV1407" i="1"/>
  <c r="BX1407" i="1"/>
  <c r="BY1407" i="1"/>
  <c r="BZ1407" i="1"/>
  <c r="CA1407" i="1"/>
  <c r="CH1407" i="1"/>
  <c r="CL1407" i="1"/>
  <c r="CM1407" i="1"/>
  <c r="CN1407" i="1"/>
  <c r="CO1407" i="1"/>
  <c r="CP1407" i="1"/>
  <c r="CZ1407" i="1"/>
  <c r="DB1407" i="1"/>
  <c r="DF1407" i="1"/>
  <c r="AC1068" i="1"/>
  <c r="AH1068" i="1"/>
  <c r="BS1068" i="1"/>
  <c r="BV1068" i="1"/>
  <c r="BX1068" i="1"/>
  <c r="BY1068" i="1"/>
  <c r="BZ1068" i="1"/>
  <c r="CA1068" i="1"/>
  <c r="CH1068" i="1"/>
  <c r="CL1068" i="1"/>
  <c r="CM1068" i="1"/>
  <c r="CN1068" i="1"/>
  <c r="CO1068" i="1"/>
  <c r="CP1068" i="1"/>
  <c r="CZ1068" i="1"/>
  <c r="DB1068" i="1"/>
  <c r="DF1068" i="1"/>
  <c r="AC1150" i="1"/>
  <c r="AH1150" i="1"/>
  <c r="BS1150" i="1"/>
  <c r="BV1150" i="1"/>
  <c r="BX1150" i="1"/>
  <c r="BY1150" i="1"/>
  <c r="BZ1150" i="1"/>
  <c r="CA1150" i="1"/>
  <c r="CH1150" i="1"/>
  <c r="CL1150" i="1"/>
  <c r="CM1150" i="1"/>
  <c r="CN1150" i="1"/>
  <c r="CO1150" i="1"/>
  <c r="CP1150" i="1"/>
  <c r="CZ1150" i="1"/>
  <c r="DB1150" i="1"/>
  <c r="DF1150" i="1"/>
  <c r="AC1073" i="1"/>
  <c r="AH1073" i="1"/>
  <c r="BS1073" i="1"/>
  <c r="BV1073" i="1"/>
  <c r="BX1073" i="1"/>
  <c r="BY1073" i="1"/>
  <c r="BZ1073" i="1"/>
  <c r="CA1073" i="1"/>
  <c r="CH1073" i="1"/>
  <c r="CL1073" i="1"/>
  <c r="CM1073" i="1"/>
  <c r="CN1073" i="1"/>
  <c r="CO1073" i="1"/>
  <c r="CP1073" i="1"/>
  <c r="CZ1073" i="1"/>
  <c r="DB1073" i="1"/>
  <c r="DF1073" i="1"/>
  <c r="AC876" i="1"/>
  <c r="AH876" i="1"/>
  <c r="BS876" i="1"/>
  <c r="BV876" i="1"/>
  <c r="BX876" i="1"/>
  <c r="BY876" i="1"/>
  <c r="BZ876" i="1"/>
  <c r="CA876" i="1"/>
  <c r="CH876" i="1"/>
  <c r="CL876" i="1"/>
  <c r="CM876" i="1"/>
  <c r="CN876" i="1"/>
  <c r="CO876" i="1"/>
  <c r="CP876" i="1"/>
  <c r="CZ876" i="1"/>
  <c r="DB876" i="1"/>
  <c r="DF876" i="1"/>
  <c r="AC773" i="1"/>
  <c r="AH773" i="1"/>
  <c r="BS773" i="1"/>
  <c r="BV773" i="1"/>
  <c r="BX773" i="1"/>
  <c r="BY773" i="1"/>
  <c r="BZ773" i="1"/>
  <c r="CH773" i="1"/>
  <c r="CL773" i="1"/>
  <c r="CM773" i="1"/>
  <c r="CN773" i="1"/>
  <c r="CO773" i="1"/>
  <c r="CP773" i="1"/>
  <c r="CZ773" i="1"/>
  <c r="DB773" i="1"/>
  <c r="DF773" i="1"/>
  <c r="AC16" i="1"/>
  <c r="AH16" i="1"/>
  <c r="BS16" i="1"/>
  <c r="BV16" i="1"/>
  <c r="BX16" i="1"/>
  <c r="BY16" i="1"/>
  <c r="BZ16" i="1"/>
  <c r="CA16" i="1"/>
  <c r="CH16" i="1"/>
  <c r="CL16" i="1"/>
  <c r="CM16" i="1"/>
  <c r="CN16" i="1"/>
  <c r="CO16" i="1"/>
  <c r="CP16" i="1"/>
  <c r="CZ16" i="1"/>
  <c r="DB16" i="1"/>
  <c r="DF16" i="1"/>
  <c r="AC598" i="1"/>
  <c r="AH598" i="1"/>
  <c r="BS598" i="1"/>
  <c r="BV598" i="1"/>
  <c r="BX598" i="1"/>
  <c r="BY598" i="1"/>
  <c r="BZ598" i="1"/>
  <c r="CA598" i="1"/>
  <c r="CH598" i="1"/>
  <c r="CL598" i="1"/>
  <c r="CM598" i="1"/>
  <c r="CN598" i="1"/>
  <c r="CO598" i="1"/>
  <c r="CP598" i="1"/>
  <c r="CZ598" i="1"/>
  <c r="DB598" i="1"/>
  <c r="DF598" i="1"/>
  <c r="AC1022" i="1"/>
  <c r="AH1022" i="1"/>
  <c r="BS1022" i="1"/>
  <c r="BV1022" i="1"/>
  <c r="BX1022" i="1"/>
  <c r="BY1022" i="1"/>
  <c r="BZ1022" i="1"/>
  <c r="CA1022" i="1"/>
  <c r="CH1022" i="1"/>
  <c r="CL1022" i="1"/>
  <c r="CM1022" i="1"/>
  <c r="CN1022" i="1"/>
  <c r="CO1022" i="1"/>
  <c r="CP1022" i="1"/>
  <c r="CZ1022" i="1"/>
  <c r="DB1022" i="1"/>
  <c r="DF1022" i="1"/>
  <c r="AC1848" i="1"/>
  <c r="AH1848" i="1"/>
  <c r="BS1848" i="1"/>
  <c r="BV1848" i="1"/>
  <c r="BX1848" i="1"/>
  <c r="BY1848" i="1"/>
  <c r="BZ1848" i="1"/>
  <c r="CA1848" i="1"/>
  <c r="CH1848" i="1"/>
  <c r="CL1848" i="1"/>
  <c r="CM1848" i="1"/>
  <c r="CN1848" i="1"/>
  <c r="CO1848" i="1"/>
  <c r="CP1848" i="1"/>
  <c r="CZ1848" i="1"/>
  <c r="DB1848" i="1"/>
  <c r="DF1848" i="1"/>
  <c r="AC1482" i="1"/>
  <c r="AH1482" i="1"/>
  <c r="BS1482" i="1"/>
  <c r="BV1482" i="1"/>
  <c r="BX1482" i="1"/>
  <c r="BY1482" i="1"/>
  <c r="BZ1482" i="1"/>
  <c r="CH1482" i="1"/>
  <c r="CL1482" i="1"/>
  <c r="CM1482" i="1"/>
  <c r="CN1482" i="1"/>
  <c r="CO1482" i="1"/>
  <c r="CP1482" i="1"/>
  <c r="CZ1482" i="1"/>
  <c r="DB1482" i="1"/>
  <c r="DF1482" i="1"/>
  <c r="AC1223" i="1"/>
  <c r="AH1223" i="1"/>
  <c r="BS1223" i="1"/>
  <c r="BV1223" i="1"/>
  <c r="BX1223" i="1"/>
  <c r="BY1223" i="1"/>
  <c r="BZ1223" i="1"/>
  <c r="CA1223" i="1"/>
  <c r="CH1223" i="1"/>
  <c r="CL1223" i="1"/>
  <c r="CM1223" i="1"/>
  <c r="CN1223" i="1"/>
  <c r="CO1223" i="1"/>
  <c r="CP1223" i="1"/>
  <c r="CZ1223" i="1"/>
  <c r="DB1223" i="1"/>
  <c r="DF1223" i="1"/>
  <c r="AC2085" i="1"/>
  <c r="AH2085" i="1"/>
  <c r="BS2085" i="1"/>
  <c r="BV2085" i="1"/>
  <c r="BX2085" i="1"/>
  <c r="BY2085" i="1"/>
  <c r="BZ2085" i="1"/>
  <c r="CA2085" i="1"/>
  <c r="CH2085" i="1"/>
  <c r="CL2085" i="1"/>
  <c r="CM2085" i="1"/>
  <c r="CN2085" i="1"/>
  <c r="CO2085" i="1"/>
  <c r="CP2085" i="1"/>
  <c r="CZ2085" i="1"/>
  <c r="DB2085" i="1"/>
  <c r="DF2085" i="1"/>
  <c r="AC2066" i="1"/>
  <c r="AH2066" i="1"/>
  <c r="BS2066" i="1"/>
  <c r="BV2066" i="1"/>
  <c r="BX2066" i="1"/>
  <c r="BY2066" i="1"/>
  <c r="BZ2066" i="1"/>
  <c r="CA2066" i="1"/>
  <c r="CH2066" i="1"/>
  <c r="CL2066" i="1"/>
  <c r="CM2066" i="1"/>
  <c r="CN2066" i="1"/>
  <c r="CO2066" i="1"/>
  <c r="CP2066" i="1"/>
  <c r="CZ2066" i="1"/>
  <c r="DB2066" i="1"/>
  <c r="DF2066" i="1"/>
  <c r="AC998" i="1"/>
  <c r="AH998" i="1"/>
  <c r="BS998" i="1"/>
  <c r="BV998" i="1"/>
  <c r="BX998" i="1"/>
  <c r="BY998" i="1"/>
  <c r="BZ998" i="1"/>
  <c r="CA998" i="1"/>
  <c r="CH998" i="1"/>
  <c r="CL998" i="1"/>
  <c r="CM998" i="1"/>
  <c r="CN998" i="1"/>
  <c r="CO998" i="1"/>
  <c r="CP998" i="1"/>
  <c r="CZ998" i="1"/>
  <c r="DB998" i="1"/>
  <c r="DF998" i="1"/>
  <c r="AC1525" i="1"/>
  <c r="AH1525" i="1"/>
  <c r="BS1525" i="1"/>
  <c r="BV1525" i="1"/>
  <c r="BX1525" i="1"/>
  <c r="BY1525" i="1"/>
  <c r="BZ1525" i="1"/>
  <c r="CA1525" i="1"/>
  <c r="CH1525" i="1"/>
  <c r="CL1525" i="1"/>
  <c r="CM1525" i="1"/>
  <c r="CN1525" i="1"/>
  <c r="CO1525" i="1"/>
  <c r="CP1525" i="1"/>
  <c r="CZ1525" i="1"/>
  <c r="DB1525" i="1"/>
  <c r="DF1525" i="1"/>
  <c r="AC1965" i="1"/>
  <c r="AH1965" i="1"/>
  <c r="BS1965" i="1"/>
  <c r="BV1965" i="1"/>
  <c r="BX1965" i="1"/>
  <c r="BY1965" i="1"/>
  <c r="BZ1965" i="1"/>
  <c r="CA1965" i="1"/>
  <c r="CH1965" i="1"/>
  <c r="CL1965" i="1"/>
  <c r="CM1965" i="1"/>
  <c r="CN1965" i="1"/>
  <c r="CO1965" i="1"/>
  <c r="CP1965" i="1"/>
  <c r="CZ1965" i="1"/>
  <c r="DB1965" i="1"/>
  <c r="DF1965" i="1"/>
  <c r="AC525" i="1"/>
  <c r="AH525" i="1"/>
  <c r="BS525" i="1"/>
  <c r="BV525" i="1"/>
  <c r="BX525" i="1"/>
  <c r="BY525" i="1"/>
  <c r="BZ525" i="1"/>
  <c r="CA525" i="1"/>
  <c r="CH525" i="1"/>
  <c r="CL525" i="1"/>
  <c r="CM525" i="1"/>
  <c r="CN525" i="1"/>
  <c r="CO525" i="1"/>
  <c r="CP525" i="1"/>
  <c r="CZ525" i="1"/>
  <c r="DB525" i="1"/>
  <c r="DF525" i="1"/>
  <c r="AC1795" i="1"/>
  <c r="AH1795" i="1"/>
  <c r="BS1795" i="1"/>
  <c r="BV1795" i="1"/>
  <c r="BX1795" i="1"/>
  <c r="BY1795" i="1"/>
  <c r="BZ1795" i="1"/>
  <c r="CH1795" i="1"/>
  <c r="CL1795" i="1"/>
  <c r="CM1795" i="1"/>
  <c r="CN1795" i="1"/>
  <c r="CP1795" i="1"/>
  <c r="CZ1795" i="1"/>
  <c r="DB1795" i="1"/>
  <c r="DF1795" i="1"/>
  <c r="AC2056" i="1"/>
  <c r="AH2056" i="1"/>
  <c r="BS2056" i="1"/>
  <c r="BV2056" i="1"/>
  <c r="BX2056" i="1"/>
  <c r="BY2056" i="1"/>
  <c r="BZ2056" i="1"/>
  <c r="CA2056" i="1"/>
  <c r="CH2056" i="1"/>
  <c r="CL2056" i="1"/>
  <c r="CM2056" i="1"/>
  <c r="CN2056" i="1"/>
  <c r="CO2056" i="1"/>
  <c r="CP2056" i="1"/>
  <c r="CZ2056" i="1"/>
  <c r="DB2056" i="1"/>
  <c r="DF2056" i="1"/>
  <c r="AC99" i="1"/>
  <c r="AH99" i="1"/>
  <c r="BS99" i="1"/>
  <c r="BV99" i="1"/>
  <c r="BX99" i="1"/>
  <c r="BY99" i="1"/>
  <c r="BZ99" i="1"/>
  <c r="CH99" i="1"/>
  <c r="CL99" i="1"/>
  <c r="CM99" i="1"/>
  <c r="CN99" i="1"/>
  <c r="CO99" i="1"/>
  <c r="CP99" i="1"/>
  <c r="CZ99" i="1"/>
  <c r="DB99" i="1"/>
  <c r="DF99" i="1"/>
  <c r="AC767" i="1"/>
  <c r="AH767" i="1"/>
  <c r="BS767" i="1"/>
  <c r="BV767" i="1"/>
  <c r="BX767" i="1"/>
  <c r="BY767" i="1"/>
  <c r="BZ767" i="1"/>
  <c r="CA767" i="1"/>
  <c r="CH767" i="1"/>
  <c r="CL767" i="1"/>
  <c r="CM767" i="1"/>
  <c r="CN767" i="1"/>
  <c r="CO767" i="1"/>
  <c r="CP767" i="1"/>
  <c r="CZ767" i="1"/>
  <c r="DB767" i="1"/>
  <c r="DF767" i="1"/>
  <c r="AC1357" i="1"/>
  <c r="AH1357" i="1"/>
  <c r="BS1357" i="1"/>
  <c r="BV1357" i="1"/>
  <c r="BX1357" i="1"/>
  <c r="BY1357" i="1"/>
  <c r="BZ1357" i="1"/>
  <c r="CA1357" i="1"/>
  <c r="CH1357" i="1"/>
  <c r="CL1357" i="1"/>
  <c r="CM1357" i="1"/>
  <c r="CN1357" i="1"/>
  <c r="CO1357" i="1"/>
  <c r="CP1357" i="1"/>
  <c r="CZ1357" i="1"/>
  <c r="DB1357" i="1"/>
  <c r="DF1357" i="1"/>
  <c r="AC839" i="1"/>
  <c r="AH839" i="1"/>
  <c r="BS839" i="1"/>
  <c r="BV839" i="1"/>
  <c r="BX839" i="1"/>
  <c r="BY839" i="1"/>
  <c r="BZ839" i="1"/>
  <c r="CH839" i="1"/>
  <c r="CL839" i="1"/>
  <c r="CM839" i="1"/>
  <c r="CN839" i="1"/>
  <c r="CO839" i="1"/>
  <c r="CP839" i="1"/>
  <c r="CZ839" i="1"/>
  <c r="DB839" i="1"/>
  <c r="DF839" i="1"/>
  <c r="AC708" i="1"/>
  <c r="AH708" i="1"/>
  <c r="BS708" i="1"/>
  <c r="BV708" i="1"/>
  <c r="BX708" i="1"/>
  <c r="BY708" i="1"/>
  <c r="BZ708" i="1"/>
  <c r="CA708" i="1"/>
  <c r="CH708" i="1"/>
  <c r="CL708" i="1"/>
  <c r="CM708" i="1"/>
  <c r="CN708" i="1"/>
  <c r="CO708" i="1"/>
  <c r="CP708" i="1"/>
  <c r="CZ708" i="1"/>
  <c r="DB708" i="1"/>
  <c r="DF708" i="1"/>
  <c r="AC230" i="1"/>
  <c r="AH230" i="1"/>
  <c r="BS230" i="1"/>
  <c r="BV230" i="1"/>
  <c r="BX230" i="1"/>
  <c r="BY230" i="1"/>
  <c r="BZ230" i="1"/>
  <c r="CA230" i="1"/>
  <c r="CH230" i="1"/>
  <c r="CL230" i="1"/>
  <c r="CM230" i="1"/>
  <c r="CN230" i="1"/>
  <c r="CO230" i="1"/>
  <c r="CP230" i="1"/>
  <c r="CZ230" i="1"/>
  <c r="DB230" i="1"/>
  <c r="DF230" i="1"/>
  <c r="AC1842" i="1"/>
  <c r="AH1842" i="1"/>
  <c r="BS1842" i="1"/>
  <c r="BV1842" i="1"/>
  <c r="BX1842" i="1"/>
  <c r="BY1842" i="1"/>
  <c r="BZ1842" i="1"/>
  <c r="CA1842" i="1"/>
  <c r="CH1842" i="1"/>
  <c r="CL1842" i="1"/>
  <c r="CM1842" i="1"/>
  <c r="CN1842" i="1"/>
  <c r="CO1842" i="1"/>
  <c r="CP1842" i="1"/>
  <c r="CZ1842" i="1"/>
  <c r="DB1842" i="1"/>
  <c r="DF1842" i="1"/>
  <c r="AC2043" i="1"/>
  <c r="AH2043" i="1"/>
  <c r="BS2043" i="1"/>
  <c r="BV2043" i="1"/>
  <c r="BX2043" i="1"/>
  <c r="BY2043" i="1"/>
  <c r="BZ2043" i="1"/>
  <c r="CA2043" i="1"/>
  <c r="CH2043" i="1"/>
  <c r="CL2043" i="1"/>
  <c r="CM2043" i="1"/>
  <c r="CN2043" i="1"/>
  <c r="CO2043" i="1"/>
  <c r="CP2043" i="1"/>
  <c r="CZ2043" i="1"/>
  <c r="DB2043" i="1"/>
  <c r="DF2043" i="1"/>
  <c r="AC1303" i="1"/>
  <c r="AH1303" i="1"/>
  <c r="BS1303" i="1"/>
  <c r="BV1303" i="1"/>
  <c r="BX1303" i="1"/>
  <c r="BY1303" i="1"/>
  <c r="BZ1303" i="1"/>
  <c r="CH1303" i="1"/>
  <c r="CL1303" i="1"/>
  <c r="CM1303" i="1"/>
  <c r="CN1303" i="1"/>
  <c r="CP1303" i="1"/>
  <c r="CZ1303" i="1"/>
  <c r="DB1303" i="1"/>
  <c r="DF1303" i="1"/>
  <c r="AC672" i="1"/>
  <c r="AH672" i="1"/>
  <c r="BS672" i="1"/>
  <c r="BV672" i="1"/>
  <c r="BX672" i="1"/>
  <c r="BY672" i="1"/>
  <c r="BZ672" i="1"/>
  <c r="CA672" i="1"/>
  <c r="CH672" i="1"/>
  <c r="CL672" i="1"/>
  <c r="CM672" i="1"/>
  <c r="CN672" i="1"/>
  <c r="CO672" i="1"/>
  <c r="CP672" i="1"/>
  <c r="CZ672" i="1"/>
  <c r="DB672" i="1"/>
  <c r="DF672" i="1"/>
  <c r="AC804" i="1"/>
  <c r="AH804" i="1"/>
  <c r="BS804" i="1"/>
  <c r="BV804" i="1"/>
  <c r="BX804" i="1"/>
  <c r="BY804" i="1"/>
  <c r="BZ804" i="1"/>
  <c r="CH804" i="1"/>
  <c r="CL804" i="1"/>
  <c r="CM804" i="1"/>
  <c r="CN804" i="1"/>
  <c r="CO804" i="1"/>
  <c r="CP804" i="1"/>
  <c r="CZ804" i="1"/>
  <c r="DB804" i="1"/>
  <c r="DF804" i="1"/>
  <c r="AC147" i="1"/>
  <c r="AH147" i="1"/>
  <c r="BS147" i="1"/>
  <c r="BV147" i="1"/>
  <c r="BX147" i="1"/>
  <c r="BY147" i="1"/>
  <c r="BZ147" i="1"/>
  <c r="CA147" i="1"/>
  <c r="CH147" i="1"/>
  <c r="CL147" i="1"/>
  <c r="CM147" i="1"/>
  <c r="CN147" i="1"/>
  <c r="CO147" i="1"/>
  <c r="CP147" i="1"/>
  <c r="CZ147" i="1"/>
  <c r="DB147" i="1"/>
  <c r="DF147" i="1"/>
  <c r="AC1612" i="1"/>
  <c r="AH1612" i="1"/>
  <c r="BS1612" i="1"/>
  <c r="BV1612" i="1"/>
  <c r="BX1612" i="1"/>
  <c r="BY1612" i="1"/>
  <c r="BZ1612" i="1"/>
  <c r="CA1612" i="1"/>
  <c r="CH1612" i="1"/>
  <c r="CL1612" i="1"/>
  <c r="CM1612" i="1"/>
  <c r="CN1612" i="1"/>
  <c r="CO1612" i="1"/>
  <c r="CP1612" i="1"/>
  <c r="CZ1612" i="1"/>
  <c r="DB1612" i="1"/>
  <c r="DF1612" i="1"/>
  <c r="AC800" i="1"/>
  <c r="AH800" i="1"/>
  <c r="BS800" i="1"/>
  <c r="BV800" i="1"/>
  <c r="BX800" i="1"/>
  <c r="BY800" i="1"/>
  <c r="BZ800" i="1"/>
  <c r="CH800" i="1"/>
  <c r="CL800" i="1"/>
  <c r="CM800" i="1"/>
  <c r="CN800" i="1"/>
  <c r="CO800" i="1"/>
  <c r="CP800" i="1"/>
  <c r="CZ800" i="1"/>
  <c r="DB800" i="1"/>
  <c r="DF800" i="1"/>
  <c r="AC682" i="1"/>
  <c r="AH682" i="1"/>
  <c r="BS682" i="1"/>
  <c r="BV682" i="1"/>
  <c r="BX682" i="1"/>
  <c r="BY682" i="1"/>
  <c r="BZ682" i="1"/>
  <c r="CA682" i="1"/>
  <c r="CH682" i="1"/>
  <c r="CL682" i="1"/>
  <c r="CM682" i="1"/>
  <c r="CN682" i="1"/>
  <c r="CO682" i="1"/>
  <c r="CP682" i="1"/>
  <c r="CZ682" i="1"/>
  <c r="DB682" i="1"/>
  <c r="DF682" i="1"/>
  <c r="AC1954" i="1"/>
  <c r="AH1954" i="1"/>
  <c r="BS1954" i="1"/>
  <c r="BV1954" i="1"/>
  <c r="BX1954" i="1"/>
  <c r="BY1954" i="1"/>
  <c r="BZ1954" i="1"/>
  <c r="CA1954" i="1"/>
  <c r="CH1954" i="1"/>
  <c r="CL1954" i="1"/>
  <c r="CM1954" i="1"/>
  <c r="CN1954" i="1"/>
  <c r="CO1954" i="1"/>
  <c r="CP1954" i="1"/>
  <c r="CZ1954" i="1"/>
  <c r="DB1954" i="1"/>
  <c r="DF1954" i="1"/>
  <c r="AC188" i="1"/>
  <c r="AH188" i="1"/>
  <c r="BS188" i="1"/>
  <c r="BV188" i="1"/>
  <c r="BX188" i="1"/>
  <c r="BY188" i="1"/>
  <c r="BZ188" i="1"/>
  <c r="CH188" i="1"/>
  <c r="CL188" i="1"/>
  <c r="CM188" i="1"/>
  <c r="CN188" i="1"/>
  <c r="CO188" i="1"/>
  <c r="CP188" i="1"/>
  <c r="CZ188" i="1"/>
  <c r="DB188" i="1"/>
  <c r="DF188" i="1"/>
  <c r="AC251" i="1"/>
  <c r="AH251" i="1"/>
  <c r="BS251" i="1"/>
  <c r="BV251" i="1"/>
  <c r="BX251" i="1"/>
  <c r="BY251" i="1"/>
  <c r="BZ251" i="1"/>
  <c r="CA251" i="1"/>
  <c r="CH251" i="1"/>
  <c r="CL251" i="1"/>
  <c r="CM251" i="1"/>
  <c r="CN251" i="1"/>
  <c r="CO251" i="1"/>
  <c r="CP251" i="1"/>
  <c r="CZ251" i="1"/>
  <c r="DB251" i="1"/>
  <c r="DF251" i="1"/>
  <c r="AC1808" i="1"/>
  <c r="AH1808" i="1"/>
  <c r="BS1808" i="1"/>
  <c r="BV1808" i="1"/>
  <c r="BX1808" i="1"/>
  <c r="BY1808" i="1"/>
  <c r="BZ1808" i="1"/>
  <c r="CH1808" i="1"/>
  <c r="CL1808" i="1"/>
  <c r="CM1808" i="1"/>
  <c r="CN1808" i="1"/>
  <c r="CO1808" i="1"/>
  <c r="CP1808" i="1"/>
  <c r="CZ1808" i="1"/>
  <c r="DB1808" i="1"/>
  <c r="DF1808" i="1"/>
  <c r="AC934" i="1"/>
  <c r="AH934" i="1"/>
  <c r="BS934" i="1"/>
  <c r="BV934" i="1"/>
  <c r="BX934" i="1"/>
  <c r="BY934" i="1"/>
  <c r="BZ934" i="1"/>
  <c r="CA934" i="1"/>
  <c r="CH934" i="1"/>
  <c r="CL934" i="1"/>
  <c r="CM934" i="1"/>
  <c r="CN934" i="1"/>
  <c r="CO934" i="1"/>
  <c r="CP934" i="1"/>
  <c r="CZ934" i="1"/>
  <c r="DB934" i="1"/>
  <c r="DF934" i="1"/>
  <c r="AC537" i="1"/>
  <c r="AH537" i="1"/>
  <c r="BS537" i="1"/>
  <c r="BV537" i="1"/>
  <c r="BX537" i="1"/>
  <c r="BY537" i="1"/>
  <c r="BZ537" i="1"/>
  <c r="CA537" i="1"/>
  <c r="CH537" i="1"/>
  <c r="CL537" i="1"/>
  <c r="CM537" i="1"/>
  <c r="CN537" i="1"/>
  <c r="CO537" i="1"/>
  <c r="CP537" i="1"/>
  <c r="CZ537" i="1"/>
  <c r="DB537" i="1"/>
  <c r="DF537" i="1"/>
  <c r="AC2105" i="1"/>
  <c r="AH2105" i="1"/>
  <c r="BS2105" i="1"/>
  <c r="BV2105" i="1"/>
  <c r="BX2105" i="1"/>
  <c r="BY2105" i="1"/>
  <c r="BZ2105" i="1"/>
  <c r="CA2105" i="1"/>
  <c r="CH2105" i="1"/>
  <c r="CL2105" i="1"/>
  <c r="CM2105" i="1"/>
  <c r="CN2105" i="1"/>
  <c r="CO2105" i="1"/>
  <c r="CP2105" i="1"/>
  <c r="CZ2105" i="1"/>
  <c r="DB2105" i="1"/>
  <c r="DF2105" i="1"/>
  <c r="AC397" i="1"/>
  <c r="AH397" i="1"/>
  <c r="BS397" i="1"/>
  <c r="BV397" i="1"/>
  <c r="BX397" i="1"/>
  <c r="BY397" i="1"/>
  <c r="BZ397" i="1"/>
  <c r="CA397" i="1"/>
  <c r="CH397" i="1"/>
  <c r="CL397" i="1"/>
  <c r="CM397" i="1"/>
  <c r="CN397" i="1"/>
  <c r="CO397" i="1"/>
  <c r="CP397" i="1"/>
  <c r="CZ397" i="1"/>
  <c r="DB397" i="1"/>
  <c r="DF397" i="1"/>
  <c r="AC1969" i="1"/>
  <c r="AH1969" i="1"/>
  <c r="BS1969" i="1"/>
  <c r="BV1969" i="1"/>
  <c r="BX1969" i="1"/>
  <c r="BY1969" i="1"/>
  <c r="BZ1969" i="1"/>
  <c r="CH1969" i="1"/>
  <c r="CL1969" i="1"/>
  <c r="CM1969" i="1"/>
  <c r="CN1969" i="1"/>
  <c r="CP1969" i="1"/>
  <c r="CZ1969" i="1"/>
  <c r="DB1969" i="1"/>
  <c r="DF1969" i="1"/>
  <c r="AC1044" i="1"/>
  <c r="AH1044" i="1"/>
  <c r="BS1044" i="1"/>
  <c r="BV1044" i="1"/>
  <c r="BX1044" i="1"/>
  <c r="BY1044" i="1"/>
  <c r="BZ1044" i="1"/>
  <c r="CA1044" i="1"/>
  <c r="CH1044" i="1"/>
  <c r="CL1044" i="1"/>
  <c r="CM1044" i="1"/>
  <c r="CN1044" i="1"/>
  <c r="CO1044" i="1"/>
  <c r="CP1044" i="1"/>
  <c r="CZ1044" i="1"/>
  <c r="DB1044" i="1"/>
  <c r="DF1044" i="1"/>
  <c r="AC30" i="1"/>
  <c r="AH30" i="1"/>
  <c r="BS30" i="1"/>
  <c r="BV30" i="1"/>
  <c r="BX30" i="1"/>
  <c r="BY30" i="1"/>
  <c r="BZ30" i="1"/>
  <c r="CA30" i="1"/>
  <c r="CH30" i="1"/>
  <c r="CL30" i="1"/>
  <c r="CM30" i="1"/>
  <c r="CN30" i="1"/>
  <c r="CO30" i="1"/>
  <c r="CP30" i="1"/>
  <c r="CZ30" i="1"/>
  <c r="DB30" i="1"/>
  <c r="DF30" i="1"/>
  <c r="AC881" i="1"/>
  <c r="AH881" i="1"/>
  <c r="BS881" i="1"/>
  <c r="BV881" i="1"/>
  <c r="BX881" i="1"/>
  <c r="BY881" i="1"/>
  <c r="BZ881" i="1"/>
  <c r="CA881" i="1"/>
  <c r="CH881" i="1"/>
  <c r="CL881" i="1"/>
  <c r="CM881" i="1"/>
  <c r="CN881" i="1"/>
  <c r="CO881" i="1"/>
  <c r="CP881" i="1"/>
  <c r="CZ881" i="1"/>
  <c r="DB881" i="1"/>
  <c r="DF881" i="1"/>
  <c r="AC227" i="1"/>
  <c r="AH227" i="1"/>
  <c r="BS227" i="1"/>
  <c r="BV227" i="1"/>
  <c r="BX227" i="1"/>
  <c r="BY227" i="1"/>
  <c r="BZ227" i="1"/>
  <c r="CH227" i="1"/>
  <c r="CL227" i="1"/>
  <c r="CM227" i="1"/>
  <c r="CN227" i="1"/>
  <c r="CO227" i="1"/>
  <c r="CP227" i="1"/>
  <c r="CZ227" i="1"/>
  <c r="DB227" i="1"/>
  <c r="DF227" i="1"/>
  <c r="AC1991" i="1"/>
  <c r="AH1991" i="1"/>
  <c r="BS1991" i="1"/>
  <c r="BV1991" i="1"/>
  <c r="BX1991" i="1"/>
  <c r="BY1991" i="1"/>
  <c r="BZ1991" i="1"/>
  <c r="CA1991" i="1"/>
  <c r="CH1991" i="1"/>
  <c r="CL1991" i="1"/>
  <c r="CM1991" i="1"/>
  <c r="CN1991" i="1"/>
  <c r="CO1991" i="1"/>
  <c r="CP1991" i="1"/>
  <c r="CZ1991" i="1"/>
  <c r="DB1991" i="1"/>
  <c r="DF1991" i="1"/>
  <c r="AC1853" i="1"/>
  <c r="AH1853" i="1"/>
  <c r="BS1853" i="1"/>
  <c r="BV1853" i="1"/>
  <c r="BX1853" i="1"/>
  <c r="BY1853" i="1"/>
  <c r="BZ1853" i="1"/>
  <c r="CH1853" i="1"/>
  <c r="CL1853" i="1"/>
  <c r="CM1853" i="1"/>
  <c r="CN1853" i="1"/>
  <c r="CO1853" i="1"/>
  <c r="CP1853" i="1"/>
  <c r="CZ1853" i="1"/>
  <c r="DB1853" i="1"/>
  <c r="DF1853" i="1"/>
  <c r="AC940" i="1"/>
  <c r="AH940" i="1"/>
  <c r="BS940" i="1"/>
  <c r="BV940" i="1"/>
  <c r="BX940" i="1"/>
  <c r="BY940" i="1"/>
  <c r="BZ940" i="1"/>
  <c r="CH940" i="1"/>
  <c r="CL940" i="1"/>
  <c r="CM940" i="1"/>
  <c r="CN940" i="1"/>
  <c r="CO940" i="1"/>
  <c r="CP940" i="1"/>
  <c r="CZ940" i="1"/>
  <c r="DB940" i="1"/>
  <c r="DF940" i="1"/>
  <c r="AC1277" i="1"/>
  <c r="AH1277" i="1"/>
  <c r="BS1277" i="1"/>
  <c r="BV1277" i="1"/>
  <c r="BX1277" i="1"/>
  <c r="BY1277" i="1"/>
  <c r="BZ1277" i="1"/>
  <c r="CA1277" i="1"/>
  <c r="CH1277" i="1"/>
  <c r="CL1277" i="1"/>
  <c r="CM1277" i="1"/>
  <c r="CN1277" i="1"/>
  <c r="CO1277" i="1"/>
  <c r="CP1277" i="1"/>
  <c r="CZ1277" i="1"/>
  <c r="DB1277" i="1"/>
  <c r="DF1277" i="1"/>
  <c r="AC754" i="1"/>
  <c r="AH754" i="1"/>
  <c r="BS754" i="1"/>
  <c r="BV754" i="1"/>
  <c r="BX754" i="1"/>
  <c r="BY754" i="1"/>
  <c r="BZ754" i="1"/>
  <c r="CH754" i="1"/>
  <c r="CL754" i="1"/>
  <c r="CM754" i="1"/>
  <c r="CN754" i="1"/>
  <c r="CO754" i="1"/>
  <c r="CP754" i="1"/>
  <c r="CZ754" i="1"/>
  <c r="DB754" i="1"/>
  <c r="DF754" i="1"/>
  <c r="AC407" i="1"/>
  <c r="AH407" i="1"/>
  <c r="BS407" i="1"/>
  <c r="BV407" i="1"/>
  <c r="BX407" i="1"/>
  <c r="BY407" i="1"/>
  <c r="BZ407" i="1"/>
  <c r="CA407" i="1"/>
  <c r="CH407" i="1"/>
  <c r="CL407" i="1"/>
  <c r="CM407" i="1"/>
  <c r="CN407" i="1"/>
  <c r="CO407" i="1"/>
  <c r="CP407" i="1"/>
  <c r="CZ407" i="1"/>
  <c r="DB407" i="1"/>
  <c r="DF407" i="1"/>
  <c r="AC1426" i="1"/>
  <c r="AH1426" i="1"/>
  <c r="BS1426" i="1"/>
  <c r="BV1426" i="1"/>
  <c r="BX1426" i="1"/>
  <c r="BY1426" i="1"/>
  <c r="BZ1426" i="1"/>
  <c r="CA1426" i="1"/>
  <c r="CH1426" i="1"/>
  <c r="CL1426" i="1"/>
  <c r="CM1426" i="1"/>
  <c r="CN1426" i="1"/>
  <c r="CO1426" i="1"/>
  <c r="CP1426" i="1"/>
  <c r="CZ1426" i="1"/>
  <c r="DB1426" i="1"/>
  <c r="DF1426" i="1"/>
  <c r="AC314" i="1"/>
  <c r="AH314" i="1"/>
  <c r="BS314" i="1"/>
  <c r="BV314" i="1"/>
  <c r="BX314" i="1"/>
  <c r="BY314" i="1"/>
  <c r="BZ314" i="1"/>
  <c r="CA314" i="1"/>
  <c r="CH314" i="1"/>
  <c r="CL314" i="1"/>
  <c r="CM314" i="1"/>
  <c r="CN314" i="1"/>
  <c r="CO314" i="1"/>
  <c r="CP314" i="1"/>
  <c r="CZ314" i="1"/>
  <c r="DB314" i="1"/>
  <c r="DF314" i="1"/>
  <c r="AC2293" i="1"/>
  <c r="AH2293" i="1"/>
  <c r="BS2293" i="1"/>
  <c r="BV2293" i="1"/>
  <c r="BX2293" i="1"/>
  <c r="BY2293" i="1"/>
  <c r="BZ2293" i="1"/>
  <c r="CA2293" i="1"/>
  <c r="CH2293" i="1"/>
  <c r="CL2293" i="1"/>
  <c r="CM2293" i="1"/>
  <c r="CN2293" i="1"/>
  <c r="CO2293" i="1"/>
  <c r="CP2293" i="1"/>
  <c r="CZ2293" i="1"/>
  <c r="DB2293" i="1"/>
  <c r="DF2293" i="1"/>
  <c r="AC494" i="1"/>
  <c r="AH494" i="1"/>
  <c r="BS494" i="1"/>
  <c r="BV494" i="1"/>
  <c r="BX494" i="1"/>
  <c r="BY494" i="1"/>
  <c r="BZ494" i="1"/>
  <c r="CA494" i="1"/>
  <c r="CH494" i="1"/>
  <c r="CL494" i="1"/>
  <c r="CM494" i="1"/>
  <c r="CN494" i="1"/>
  <c r="CO494" i="1"/>
  <c r="CP494" i="1"/>
  <c r="CZ494" i="1"/>
  <c r="DB494" i="1"/>
  <c r="DF494" i="1"/>
  <c r="AC1322" i="1"/>
  <c r="AH1322" i="1"/>
  <c r="BS1322" i="1"/>
  <c r="BV1322" i="1"/>
  <c r="BX1322" i="1"/>
  <c r="BY1322" i="1"/>
  <c r="BZ1322" i="1"/>
  <c r="CA1322" i="1"/>
  <c r="CH1322" i="1"/>
  <c r="CL1322" i="1"/>
  <c r="CM1322" i="1"/>
  <c r="CN1322" i="1"/>
  <c r="CO1322" i="1"/>
  <c r="CP1322" i="1"/>
  <c r="CZ1322" i="1"/>
  <c r="DB1322" i="1"/>
  <c r="DF1322" i="1"/>
  <c r="AC296" i="1"/>
  <c r="AH296" i="1"/>
  <c r="BS296" i="1"/>
  <c r="BV296" i="1"/>
  <c r="BX296" i="1"/>
  <c r="BY296" i="1"/>
  <c r="BZ296" i="1"/>
  <c r="CA296" i="1"/>
  <c r="CH296" i="1"/>
  <c r="CL296" i="1"/>
  <c r="CM296" i="1"/>
  <c r="CN296" i="1"/>
  <c r="CO296" i="1"/>
  <c r="CP296" i="1"/>
  <c r="CZ296" i="1"/>
  <c r="DB296" i="1"/>
  <c r="DF296" i="1"/>
  <c r="AC1424" i="1"/>
  <c r="AH1424" i="1"/>
  <c r="BS1424" i="1"/>
  <c r="BV1424" i="1"/>
  <c r="BX1424" i="1"/>
  <c r="BY1424" i="1"/>
  <c r="BZ1424" i="1"/>
  <c r="CA1424" i="1"/>
  <c r="CH1424" i="1"/>
  <c r="CL1424" i="1"/>
  <c r="CM1424" i="1"/>
  <c r="CN1424" i="1"/>
  <c r="CO1424" i="1"/>
  <c r="CP1424" i="1"/>
  <c r="CZ1424" i="1"/>
  <c r="DB1424" i="1"/>
  <c r="DF1424" i="1"/>
  <c r="AC1359" i="1"/>
  <c r="AH1359" i="1"/>
  <c r="BS1359" i="1"/>
  <c r="BV1359" i="1"/>
  <c r="BX1359" i="1"/>
  <c r="BY1359" i="1"/>
  <c r="BZ1359" i="1"/>
  <c r="CA1359" i="1"/>
  <c r="CH1359" i="1"/>
  <c r="CL1359" i="1"/>
  <c r="CM1359" i="1"/>
  <c r="CN1359" i="1"/>
  <c r="CO1359" i="1"/>
  <c r="CP1359" i="1"/>
  <c r="CZ1359" i="1"/>
  <c r="DB1359" i="1"/>
  <c r="DF1359" i="1"/>
  <c r="AC199" i="1"/>
  <c r="AH199" i="1"/>
  <c r="BS199" i="1"/>
  <c r="BV199" i="1"/>
  <c r="BX199" i="1"/>
  <c r="BY199" i="1"/>
  <c r="BZ199" i="1"/>
  <c r="CA199" i="1"/>
  <c r="CH199" i="1"/>
  <c r="CL199" i="1"/>
  <c r="CM199" i="1"/>
  <c r="CN199" i="1"/>
  <c r="CO199" i="1"/>
  <c r="CP199" i="1"/>
  <c r="CZ199" i="1"/>
  <c r="DB199" i="1"/>
  <c r="DF199" i="1"/>
  <c r="AC2027" i="1"/>
  <c r="AH2027" i="1"/>
  <c r="BS2027" i="1"/>
  <c r="BV2027" i="1"/>
  <c r="BX2027" i="1"/>
  <c r="BY2027" i="1"/>
  <c r="BZ2027" i="1"/>
  <c r="CH2027" i="1"/>
  <c r="CL2027" i="1"/>
  <c r="CM2027" i="1"/>
  <c r="CN2027" i="1"/>
  <c r="CP2027" i="1"/>
  <c r="CZ2027" i="1"/>
  <c r="DB2027" i="1"/>
  <c r="DF2027" i="1"/>
  <c r="AC530" i="1"/>
  <c r="AH530" i="1"/>
  <c r="BS530" i="1"/>
  <c r="BV530" i="1"/>
  <c r="BX530" i="1"/>
  <c r="BY530" i="1"/>
  <c r="BZ530" i="1"/>
  <c r="CH530" i="1"/>
  <c r="CL530" i="1"/>
  <c r="CM530" i="1"/>
  <c r="CN530" i="1"/>
  <c r="CO530" i="1"/>
  <c r="CP530" i="1"/>
  <c r="CZ530" i="1"/>
  <c r="DB530" i="1"/>
  <c r="DF530" i="1"/>
  <c r="AC1033" i="1"/>
  <c r="AH1033" i="1"/>
  <c r="BS1033" i="1"/>
  <c r="BV1033" i="1"/>
  <c r="BX1033" i="1"/>
  <c r="BY1033" i="1"/>
  <c r="BZ1033" i="1"/>
  <c r="CA1033" i="1"/>
  <c r="CH1033" i="1"/>
  <c r="CL1033" i="1"/>
  <c r="CM1033" i="1"/>
  <c r="CN1033" i="1"/>
  <c r="CO1033" i="1"/>
  <c r="CP1033" i="1"/>
  <c r="CZ1033" i="1"/>
  <c r="DB1033" i="1"/>
  <c r="DF1033" i="1"/>
  <c r="AC1889" i="1"/>
  <c r="AH1889" i="1"/>
  <c r="BS1889" i="1"/>
  <c r="BV1889" i="1"/>
  <c r="BX1889" i="1"/>
  <c r="BY1889" i="1"/>
  <c r="BZ1889" i="1"/>
  <c r="CA1889" i="1"/>
  <c r="CH1889" i="1"/>
  <c r="CL1889" i="1"/>
  <c r="CM1889" i="1"/>
  <c r="CN1889" i="1"/>
  <c r="CO1889" i="1"/>
  <c r="CP1889" i="1"/>
  <c r="CZ1889" i="1"/>
  <c r="DB1889" i="1"/>
  <c r="DF1889" i="1"/>
  <c r="AC1352" i="1"/>
  <c r="AH1352" i="1"/>
  <c r="BS1352" i="1"/>
  <c r="BV1352" i="1"/>
  <c r="BX1352" i="1"/>
  <c r="BY1352" i="1"/>
  <c r="BZ1352" i="1"/>
  <c r="CA1352" i="1"/>
  <c r="CH1352" i="1"/>
  <c r="CL1352" i="1"/>
  <c r="CM1352" i="1"/>
  <c r="CN1352" i="1"/>
  <c r="CO1352" i="1"/>
  <c r="CP1352" i="1"/>
  <c r="CZ1352" i="1"/>
  <c r="DB1352" i="1"/>
  <c r="DF1352" i="1"/>
  <c r="AC433" i="1"/>
  <c r="AH433" i="1"/>
  <c r="BS433" i="1"/>
  <c r="BV433" i="1"/>
  <c r="BX433" i="1"/>
  <c r="BY433" i="1"/>
  <c r="BZ433" i="1"/>
  <c r="CH433" i="1"/>
  <c r="CL433" i="1"/>
  <c r="CM433" i="1"/>
  <c r="CN433" i="1"/>
  <c r="CO433" i="1"/>
  <c r="CP433" i="1"/>
  <c r="CZ433" i="1"/>
  <c r="DB433" i="1"/>
  <c r="DF433" i="1"/>
  <c r="AC482" i="1"/>
  <c r="AH482" i="1"/>
  <c r="BS482" i="1"/>
  <c r="BV482" i="1"/>
  <c r="BX482" i="1"/>
  <c r="BY482" i="1"/>
  <c r="BZ482" i="1"/>
  <c r="CA482" i="1"/>
  <c r="CH482" i="1"/>
  <c r="CL482" i="1"/>
  <c r="CM482" i="1"/>
  <c r="CN482" i="1"/>
  <c r="CO482" i="1"/>
  <c r="CP482" i="1"/>
  <c r="CZ482" i="1"/>
  <c r="DB482" i="1"/>
  <c r="DF482" i="1"/>
  <c r="AC1768" i="1"/>
  <c r="AH1768" i="1"/>
  <c r="BS1768" i="1"/>
  <c r="BV1768" i="1"/>
  <c r="BX1768" i="1"/>
  <c r="BY1768" i="1"/>
  <c r="BZ1768" i="1"/>
  <c r="CA1768" i="1"/>
  <c r="CH1768" i="1"/>
  <c r="CL1768" i="1"/>
  <c r="CM1768" i="1"/>
  <c r="CN1768" i="1"/>
  <c r="CO1768" i="1"/>
  <c r="CP1768" i="1"/>
  <c r="CZ1768" i="1"/>
  <c r="DB1768" i="1"/>
  <c r="DF1768" i="1"/>
  <c r="AC103" i="1"/>
  <c r="AH103" i="1"/>
  <c r="BS103" i="1"/>
  <c r="BV103" i="1"/>
  <c r="BX103" i="1"/>
  <c r="BY103" i="1"/>
  <c r="BZ103" i="1"/>
  <c r="CA103" i="1"/>
  <c r="CH103" i="1"/>
  <c r="CL103" i="1"/>
  <c r="CM103" i="1"/>
  <c r="CN103" i="1"/>
  <c r="CO103" i="1"/>
  <c r="CP103" i="1"/>
  <c r="CZ103" i="1"/>
  <c r="DB103" i="1"/>
  <c r="DF103" i="1"/>
  <c r="AC1851" i="1"/>
  <c r="AH1851" i="1"/>
  <c r="BS1851" i="1"/>
  <c r="BV1851" i="1"/>
  <c r="BX1851" i="1"/>
  <c r="BY1851" i="1"/>
  <c r="BZ1851" i="1"/>
  <c r="CH1851" i="1"/>
  <c r="CL1851" i="1"/>
  <c r="CM1851" i="1"/>
  <c r="CN1851" i="1"/>
  <c r="CP1851" i="1"/>
  <c r="CZ1851" i="1"/>
  <c r="DB1851" i="1"/>
  <c r="DF1851" i="1"/>
  <c r="AC400" i="1"/>
  <c r="AH400" i="1"/>
  <c r="BS400" i="1"/>
  <c r="BV400" i="1"/>
  <c r="BX400" i="1"/>
  <c r="BY400" i="1"/>
  <c r="BZ400" i="1"/>
  <c r="CH400" i="1"/>
  <c r="CL400" i="1"/>
  <c r="CM400" i="1"/>
  <c r="CN400" i="1"/>
  <c r="CO400" i="1"/>
  <c r="CP400" i="1"/>
  <c r="CZ400" i="1"/>
  <c r="DB400" i="1"/>
  <c r="DF400" i="1"/>
  <c r="AC1877" i="1"/>
  <c r="AH1877" i="1"/>
  <c r="BS1877" i="1"/>
  <c r="BV1877" i="1"/>
  <c r="BX1877" i="1"/>
  <c r="BY1877" i="1"/>
  <c r="BZ1877" i="1"/>
  <c r="CA1877" i="1"/>
  <c r="CH1877" i="1"/>
  <c r="CL1877" i="1"/>
  <c r="CM1877" i="1"/>
  <c r="CN1877" i="1"/>
  <c r="CO1877" i="1"/>
  <c r="CP1877" i="1"/>
  <c r="CZ1877" i="1"/>
  <c r="DB1877" i="1"/>
  <c r="DF1877" i="1"/>
  <c r="AC2092" i="1"/>
  <c r="AH2092" i="1"/>
  <c r="BS2092" i="1"/>
  <c r="BV2092" i="1"/>
  <c r="BX2092" i="1"/>
  <c r="BY2092" i="1"/>
  <c r="BZ2092" i="1"/>
  <c r="CH2092" i="1"/>
  <c r="CL2092" i="1"/>
  <c r="CM2092" i="1"/>
  <c r="CN2092" i="1"/>
  <c r="CP2092" i="1"/>
  <c r="CZ2092" i="1"/>
  <c r="DB2092" i="1"/>
  <c r="DF2092" i="1"/>
  <c r="AC1435" i="1"/>
  <c r="AH1435" i="1"/>
  <c r="BS1435" i="1"/>
  <c r="BV1435" i="1"/>
  <c r="BX1435" i="1"/>
  <c r="BY1435" i="1"/>
  <c r="BZ1435" i="1"/>
  <c r="CA1435" i="1"/>
  <c r="CH1435" i="1"/>
  <c r="CL1435" i="1"/>
  <c r="CM1435" i="1"/>
  <c r="CN1435" i="1"/>
  <c r="CO1435" i="1"/>
  <c r="CP1435" i="1"/>
  <c r="CZ1435" i="1"/>
  <c r="DB1435" i="1"/>
  <c r="DF1435" i="1"/>
  <c r="AC2084" i="1"/>
  <c r="AH2084" i="1"/>
  <c r="BS2084" i="1"/>
  <c r="BV2084" i="1"/>
  <c r="BX2084" i="1"/>
  <c r="BY2084" i="1"/>
  <c r="BZ2084" i="1"/>
  <c r="CH2084" i="1"/>
  <c r="CL2084" i="1"/>
  <c r="CM2084" i="1"/>
  <c r="CN2084" i="1"/>
  <c r="CO2084" i="1"/>
  <c r="CP2084" i="1"/>
  <c r="CZ2084" i="1"/>
  <c r="DB2084" i="1"/>
  <c r="DF2084" i="1"/>
  <c r="AC2052" i="1"/>
  <c r="AH2052" i="1"/>
  <c r="BS2052" i="1"/>
  <c r="BV2052" i="1"/>
  <c r="BX2052" i="1"/>
  <c r="BY2052" i="1"/>
  <c r="BZ2052" i="1"/>
  <c r="CH2052" i="1"/>
  <c r="CL2052" i="1"/>
  <c r="CM2052" i="1"/>
  <c r="CN2052" i="1"/>
  <c r="CO2052" i="1"/>
  <c r="CP2052" i="1"/>
  <c r="CZ2052" i="1"/>
  <c r="DB2052" i="1"/>
  <c r="DF2052" i="1"/>
  <c r="AC1059" i="1"/>
  <c r="AH1059" i="1"/>
  <c r="BS1059" i="1"/>
  <c r="BV1059" i="1"/>
  <c r="BX1059" i="1"/>
  <c r="BY1059" i="1"/>
  <c r="BZ1059" i="1"/>
  <c r="CA1059" i="1"/>
  <c r="CH1059" i="1"/>
  <c r="CL1059" i="1"/>
  <c r="CM1059" i="1"/>
  <c r="CN1059" i="1"/>
  <c r="CO1059" i="1"/>
  <c r="CP1059" i="1"/>
  <c r="CZ1059" i="1"/>
  <c r="DB1059" i="1"/>
  <c r="DF1059" i="1"/>
  <c r="AC2146" i="1"/>
  <c r="AH2146" i="1"/>
  <c r="BS2146" i="1"/>
  <c r="BV2146" i="1"/>
  <c r="BX2146" i="1"/>
  <c r="BY2146" i="1"/>
  <c r="BZ2146" i="1"/>
  <c r="CH2146" i="1"/>
  <c r="CL2146" i="1"/>
  <c r="CM2146" i="1"/>
  <c r="CN2146" i="1"/>
  <c r="CO2146" i="1"/>
  <c r="CP2146" i="1"/>
  <c r="CZ2146" i="1"/>
  <c r="DB2146" i="1"/>
  <c r="DF2146" i="1"/>
  <c r="AC146" i="1"/>
  <c r="AH146" i="1"/>
  <c r="BS146" i="1"/>
  <c r="BV146" i="1"/>
  <c r="BX146" i="1"/>
  <c r="BY146" i="1"/>
  <c r="BZ146" i="1"/>
  <c r="CH146" i="1"/>
  <c r="CL146" i="1"/>
  <c r="CM146" i="1"/>
  <c r="CN146" i="1"/>
  <c r="CO146" i="1"/>
  <c r="CP146" i="1"/>
  <c r="CZ146" i="1"/>
  <c r="DB146" i="1"/>
  <c r="DF146" i="1"/>
  <c r="AC402" i="1"/>
  <c r="AH402" i="1"/>
  <c r="BS402" i="1"/>
  <c r="BV402" i="1"/>
  <c r="BX402" i="1"/>
  <c r="BY402" i="1"/>
  <c r="BZ402" i="1"/>
  <c r="CH402" i="1"/>
  <c r="CL402" i="1"/>
  <c r="CM402" i="1"/>
  <c r="CN402" i="1"/>
  <c r="CO402" i="1"/>
  <c r="CP402" i="1"/>
  <c r="CZ402" i="1"/>
  <c r="DB402" i="1"/>
  <c r="DF402" i="1"/>
  <c r="AC1901" i="1"/>
  <c r="AH1901" i="1"/>
  <c r="BS1901" i="1"/>
  <c r="BV1901" i="1"/>
  <c r="BX1901" i="1"/>
  <c r="BY1901" i="1"/>
  <c r="BZ1901" i="1"/>
  <c r="CH1901" i="1"/>
  <c r="CL1901" i="1"/>
  <c r="CM1901" i="1"/>
  <c r="CN1901" i="1"/>
  <c r="CO1901" i="1"/>
  <c r="CP1901" i="1"/>
  <c r="CZ1901" i="1"/>
  <c r="DB1901" i="1"/>
  <c r="DF1901" i="1"/>
  <c r="AC1165" i="1"/>
  <c r="AH1165" i="1"/>
  <c r="BS1165" i="1"/>
  <c r="BV1165" i="1"/>
  <c r="BX1165" i="1"/>
  <c r="BY1165" i="1"/>
  <c r="BZ1165" i="1"/>
  <c r="CA1165" i="1"/>
  <c r="CH1165" i="1"/>
  <c r="CL1165" i="1"/>
  <c r="CM1165" i="1"/>
  <c r="CN1165" i="1"/>
  <c r="CO1165" i="1"/>
  <c r="CP1165" i="1"/>
  <c r="CZ1165" i="1"/>
  <c r="DB1165" i="1"/>
  <c r="DF1165" i="1"/>
  <c r="AC90" i="1"/>
  <c r="AH90" i="1"/>
  <c r="BS90" i="1"/>
  <c r="BV90" i="1"/>
  <c r="BX90" i="1"/>
  <c r="BY90" i="1"/>
  <c r="BZ90" i="1"/>
  <c r="CA90" i="1"/>
  <c r="CH90" i="1"/>
  <c r="CL90" i="1"/>
  <c r="CM90" i="1"/>
  <c r="CN90" i="1"/>
  <c r="CO90" i="1"/>
  <c r="CP90" i="1"/>
  <c r="CZ90" i="1"/>
  <c r="DB90" i="1"/>
  <c r="DF90" i="1"/>
  <c r="AC760" i="1"/>
  <c r="AH760" i="1"/>
  <c r="BS760" i="1"/>
  <c r="BV760" i="1"/>
  <c r="BX760" i="1"/>
  <c r="BY760" i="1"/>
  <c r="BZ760" i="1"/>
  <c r="CH760" i="1"/>
  <c r="CL760" i="1"/>
  <c r="CM760" i="1"/>
  <c r="CN760" i="1"/>
  <c r="CO760" i="1"/>
  <c r="CP760" i="1"/>
  <c r="CZ760" i="1"/>
  <c r="DB760" i="1"/>
  <c r="DF760" i="1"/>
  <c r="AC1860" i="1"/>
  <c r="AH1860" i="1"/>
  <c r="BS1860" i="1"/>
  <c r="BV1860" i="1"/>
  <c r="BX1860" i="1"/>
  <c r="BY1860" i="1"/>
  <c r="BZ1860" i="1"/>
  <c r="CH1860" i="1"/>
  <c r="CL1860" i="1"/>
  <c r="CM1860" i="1"/>
  <c r="CN1860" i="1"/>
  <c r="CO1860" i="1"/>
  <c r="CP1860" i="1"/>
  <c r="CZ1860" i="1"/>
  <c r="DB1860" i="1"/>
  <c r="DF1860" i="1"/>
  <c r="AC390" i="1"/>
  <c r="AH390" i="1"/>
  <c r="BS390" i="1"/>
  <c r="BV390" i="1"/>
  <c r="BX390" i="1"/>
  <c r="BY390" i="1"/>
  <c r="BZ390" i="1"/>
  <c r="CH390" i="1"/>
  <c r="CL390" i="1"/>
  <c r="CM390" i="1"/>
  <c r="CN390" i="1"/>
  <c r="CO390" i="1"/>
  <c r="CP390" i="1"/>
  <c r="CZ390" i="1"/>
  <c r="DB390" i="1"/>
  <c r="DF390" i="1"/>
  <c r="AC130" i="1"/>
  <c r="AH130" i="1"/>
  <c r="BS130" i="1"/>
  <c r="BV130" i="1"/>
  <c r="BX130" i="1"/>
  <c r="BY130" i="1"/>
  <c r="BZ130" i="1"/>
  <c r="CA130" i="1"/>
  <c r="CH130" i="1"/>
  <c r="CL130" i="1"/>
  <c r="CM130" i="1"/>
  <c r="CN130" i="1"/>
  <c r="CO130" i="1"/>
  <c r="CP130" i="1"/>
  <c r="CZ130" i="1"/>
  <c r="DB130" i="1"/>
  <c r="DF130" i="1"/>
  <c r="AC5" i="1"/>
  <c r="AH5" i="1"/>
  <c r="BS5" i="1"/>
  <c r="BV5" i="1"/>
  <c r="BX5" i="1"/>
  <c r="BY5" i="1"/>
  <c r="BZ5" i="1"/>
  <c r="CA5" i="1"/>
  <c r="CH5" i="1"/>
  <c r="CL5" i="1"/>
  <c r="CM5" i="1"/>
  <c r="CN5" i="1"/>
  <c r="CO5" i="1"/>
  <c r="CP5" i="1"/>
  <c r="CZ5" i="1"/>
  <c r="DB5" i="1"/>
  <c r="DF5" i="1"/>
  <c r="AC1144" i="1"/>
  <c r="AH1144" i="1"/>
  <c r="BS1144" i="1"/>
  <c r="BV1144" i="1"/>
  <c r="BX1144" i="1"/>
  <c r="BY1144" i="1"/>
  <c r="BZ1144" i="1"/>
  <c r="CA1144" i="1"/>
  <c r="CH1144" i="1"/>
  <c r="CL1144" i="1"/>
  <c r="CM1144" i="1"/>
  <c r="CN1144" i="1"/>
  <c r="CO1144" i="1"/>
  <c r="CP1144" i="1"/>
  <c r="CZ1144" i="1"/>
  <c r="DB1144" i="1"/>
  <c r="DF1144" i="1"/>
  <c r="AC787" i="1"/>
  <c r="AH787" i="1"/>
  <c r="BS787" i="1"/>
  <c r="BV787" i="1"/>
  <c r="BX787" i="1"/>
  <c r="BY787" i="1"/>
  <c r="BZ787" i="1"/>
  <c r="CH787" i="1"/>
  <c r="CL787" i="1"/>
  <c r="CM787" i="1"/>
  <c r="CN787" i="1"/>
  <c r="CO787" i="1"/>
  <c r="CP787" i="1"/>
  <c r="CZ787" i="1"/>
  <c r="DB787" i="1"/>
  <c r="DF787" i="1"/>
  <c r="AC927" i="1"/>
  <c r="AH927" i="1"/>
  <c r="BS927" i="1"/>
  <c r="BV927" i="1"/>
  <c r="BX927" i="1"/>
  <c r="BY927" i="1"/>
  <c r="BZ927" i="1"/>
  <c r="CH927" i="1"/>
  <c r="CL927" i="1"/>
  <c r="CM927" i="1"/>
  <c r="CN927" i="1"/>
  <c r="CO927" i="1"/>
  <c r="CP927" i="1"/>
  <c r="CZ927" i="1"/>
  <c r="DB927" i="1"/>
  <c r="DF927" i="1"/>
  <c r="AC545" i="1"/>
  <c r="AH545" i="1"/>
  <c r="BS545" i="1"/>
  <c r="BV545" i="1"/>
  <c r="BX545" i="1"/>
  <c r="BY545" i="1"/>
  <c r="BZ545" i="1"/>
  <c r="CA545" i="1"/>
  <c r="CH545" i="1"/>
  <c r="CL545" i="1"/>
  <c r="CM545" i="1"/>
  <c r="CN545" i="1"/>
  <c r="CO545" i="1"/>
  <c r="CP545" i="1"/>
  <c r="CZ545" i="1"/>
  <c r="DB545" i="1"/>
  <c r="DF545" i="1"/>
  <c r="AC2182" i="1"/>
  <c r="AH2182" i="1"/>
  <c r="BS2182" i="1"/>
  <c r="BV2182" i="1"/>
  <c r="BX2182" i="1"/>
  <c r="BY2182" i="1"/>
  <c r="BZ2182" i="1"/>
  <c r="CH2182" i="1"/>
  <c r="CL2182" i="1"/>
  <c r="CM2182" i="1"/>
  <c r="CN2182" i="1"/>
  <c r="CP2182" i="1"/>
  <c r="CZ2182" i="1"/>
  <c r="DB2182" i="1"/>
  <c r="DF2182" i="1"/>
  <c r="AC1839" i="1"/>
  <c r="AH1839" i="1"/>
  <c r="BS1839" i="1"/>
  <c r="BV1839" i="1"/>
  <c r="BX1839" i="1"/>
  <c r="BY1839" i="1"/>
  <c r="BZ1839" i="1"/>
  <c r="CA1839" i="1"/>
  <c r="CH1839" i="1"/>
  <c r="CL1839" i="1"/>
  <c r="CM1839" i="1"/>
  <c r="CN1839" i="1"/>
  <c r="CO1839" i="1"/>
  <c r="CP1839" i="1"/>
  <c r="CZ1839" i="1"/>
  <c r="DB1839" i="1"/>
  <c r="DF1839" i="1"/>
  <c r="AC2122" i="1"/>
  <c r="AH2122" i="1"/>
  <c r="BS2122" i="1"/>
  <c r="BV2122" i="1"/>
  <c r="BX2122" i="1"/>
  <c r="BY2122" i="1"/>
  <c r="BZ2122" i="1"/>
  <c r="CH2122" i="1"/>
  <c r="CL2122" i="1"/>
  <c r="CM2122" i="1"/>
  <c r="CN2122" i="1"/>
  <c r="CO2122" i="1"/>
  <c r="CP2122" i="1"/>
  <c r="CZ2122" i="1"/>
  <c r="DB2122" i="1"/>
  <c r="DF2122" i="1"/>
  <c r="AC1149" i="1"/>
  <c r="AH1149" i="1"/>
  <c r="BS1149" i="1"/>
  <c r="BV1149" i="1"/>
  <c r="BX1149" i="1"/>
  <c r="BY1149" i="1"/>
  <c r="BZ1149" i="1"/>
  <c r="CA1149" i="1"/>
  <c r="CH1149" i="1"/>
  <c r="CL1149" i="1"/>
  <c r="CM1149" i="1"/>
  <c r="CN1149" i="1"/>
  <c r="CO1149" i="1"/>
  <c r="CP1149" i="1"/>
  <c r="CZ1149" i="1"/>
  <c r="DB1149" i="1"/>
  <c r="DF1149" i="1"/>
  <c r="AC430" i="1"/>
  <c r="AH430" i="1"/>
  <c r="BS430" i="1"/>
  <c r="BV430" i="1"/>
  <c r="BX430" i="1"/>
  <c r="BY430" i="1"/>
  <c r="BZ430" i="1"/>
  <c r="CH430" i="1"/>
  <c r="CL430" i="1"/>
  <c r="CM430" i="1"/>
  <c r="CN430" i="1"/>
  <c r="CO430" i="1"/>
  <c r="CP430" i="1"/>
  <c r="CZ430" i="1"/>
  <c r="DB430" i="1"/>
  <c r="DF430" i="1"/>
  <c r="AC1926" i="1"/>
  <c r="AH1926" i="1"/>
  <c r="BS1926" i="1"/>
  <c r="BV1926" i="1"/>
  <c r="BX1926" i="1"/>
  <c r="BY1926" i="1"/>
  <c r="BZ1926" i="1"/>
  <c r="CA1926" i="1"/>
  <c r="CH1926" i="1"/>
  <c r="CL1926" i="1"/>
  <c r="CM1926" i="1"/>
  <c r="CN1926" i="1"/>
  <c r="CO1926" i="1"/>
  <c r="CP1926" i="1"/>
  <c r="CZ1926" i="1"/>
  <c r="DB1926" i="1"/>
  <c r="DF1926" i="1"/>
  <c r="AC1188" i="1"/>
  <c r="AH1188" i="1"/>
  <c r="BS1188" i="1"/>
  <c r="BV1188" i="1"/>
  <c r="BX1188" i="1"/>
  <c r="BY1188" i="1"/>
  <c r="BZ1188" i="1"/>
  <c r="CA1188" i="1"/>
  <c r="CH1188" i="1"/>
  <c r="CL1188" i="1"/>
  <c r="CM1188" i="1"/>
  <c r="CN1188" i="1"/>
  <c r="CO1188" i="1"/>
  <c r="CP1188" i="1"/>
  <c r="CZ1188" i="1"/>
  <c r="DB1188" i="1"/>
  <c r="DF1188" i="1"/>
  <c r="AC1654" i="1"/>
  <c r="AH1654" i="1"/>
  <c r="BS1654" i="1"/>
  <c r="BV1654" i="1"/>
  <c r="BX1654" i="1"/>
  <c r="BY1654" i="1"/>
  <c r="BZ1654" i="1"/>
  <c r="CH1654" i="1"/>
  <c r="CL1654" i="1"/>
  <c r="CM1654" i="1"/>
  <c r="CN1654" i="1"/>
  <c r="CO1654" i="1"/>
  <c r="CP1654" i="1"/>
  <c r="CZ1654" i="1"/>
  <c r="DB1654" i="1"/>
  <c r="DF1654" i="1"/>
  <c r="AC1129" i="1"/>
  <c r="AH1129" i="1"/>
  <c r="BS1129" i="1"/>
  <c r="BV1129" i="1"/>
  <c r="BX1129" i="1"/>
  <c r="BY1129" i="1"/>
  <c r="BZ1129" i="1"/>
  <c r="CA1129" i="1"/>
  <c r="CH1129" i="1"/>
  <c r="CL1129" i="1"/>
  <c r="CM1129" i="1"/>
  <c r="CN1129" i="1"/>
  <c r="CO1129" i="1"/>
  <c r="CP1129" i="1"/>
  <c r="CZ1129" i="1"/>
  <c r="DB1129" i="1"/>
  <c r="DF1129" i="1"/>
  <c r="AC365" i="1"/>
  <c r="AH365" i="1"/>
  <c r="BS365" i="1"/>
  <c r="BV365" i="1"/>
  <c r="BX365" i="1"/>
  <c r="BY365" i="1"/>
  <c r="BZ365" i="1"/>
  <c r="CA365" i="1"/>
  <c r="CH365" i="1"/>
  <c r="CL365" i="1"/>
  <c r="CM365" i="1"/>
  <c r="CN365" i="1"/>
  <c r="CO365" i="1"/>
  <c r="CP365" i="1"/>
  <c r="CZ365" i="1"/>
  <c r="DB365" i="1"/>
  <c r="DF365" i="1"/>
  <c r="AC1515" i="1"/>
  <c r="AH1515" i="1"/>
  <c r="BS1515" i="1"/>
  <c r="BV1515" i="1"/>
  <c r="BX1515" i="1"/>
  <c r="BY1515" i="1"/>
  <c r="BZ1515" i="1"/>
  <c r="CA1515" i="1"/>
  <c r="CH1515" i="1"/>
  <c r="CL1515" i="1"/>
  <c r="CM1515" i="1"/>
  <c r="CN1515" i="1"/>
  <c r="CP1515" i="1"/>
  <c r="CZ1515" i="1"/>
  <c r="DB1515" i="1"/>
  <c r="DF1515" i="1"/>
  <c r="AC1001" i="1"/>
  <c r="AH1001" i="1"/>
  <c r="BS1001" i="1"/>
  <c r="BV1001" i="1"/>
  <c r="BX1001" i="1"/>
  <c r="BY1001" i="1"/>
  <c r="BZ1001" i="1"/>
  <c r="CA1001" i="1"/>
  <c r="CH1001" i="1"/>
  <c r="CL1001" i="1"/>
  <c r="CM1001" i="1"/>
  <c r="CN1001" i="1"/>
  <c r="CO1001" i="1"/>
  <c r="CP1001" i="1"/>
  <c r="CZ1001" i="1"/>
  <c r="DB1001" i="1"/>
  <c r="DF1001" i="1"/>
  <c r="AC1061" i="1"/>
  <c r="AH1061" i="1"/>
  <c r="BS1061" i="1"/>
  <c r="BV1061" i="1"/>
  <c r="BX1061" i="1"/>
  <c r="BY1061" i="1"/>
  <c r="BZ1061" i="1"/>
  <c r="CA1061" i="1"/>
  <c r="CH1061" i="1"/>
  <c r="CL1061" i="1"/>
  <c r="CM1061" i="1"/>
  <c r="CN1061" i="1"/>
  <c r="CO1061" i="1"/>
  <c r="CP1061" i="1"/>
  <c r="CZ1061" i="1"/>
  <c r="DB1061" i="1"/>
  <c r="DF1061" i="1"/>
  <c r="AC2191" i="1"/>
  <c r="AH2191" i="1"/>
  <c r="BS2191" i="1"/>
  <c r="BV2191" i="1"/>
  <c r="BX2191" i="1"/>
  <c r="BY2191" i="1"/>
  <c r="BZ2191" i="1"/>
  <c r="CA2191" i="1"/>
  <c r="CH2191" i="1"/>
  <c r="CL2191" i="1"/>
  <c r="CM2191" i="1"/>
  <c r="CN2191" i="1"/>
  <c r="CO2191" i="1"/>
  <c r="CP2191" i="1"/>
  <c r="CZ2191" i="1"/>
  <c r="DB2191" i="1"/>
  <c r="DF2191" i="1"/>
  <c r="AC1243" i="1"/>
  <c r="AH1243" i="1"/>
  <c r="BS1243" i="1"/>
  <c r="BV1243" i="1"/>
  <c r="BX1243" i="1"/>
  <c r="BY1243" i="1"/>
  <c r="BZ1243" i="1"/>
  <c r="CH1243" i="1"/>
  <c r="CL1243" i="1"/>
  <c r="CM1243" i="1"/>
  <c r="CN1243" i="1"/>
  <c r="CO1243" i="1"/>
  <c r="CP1243" i="1"/>
  <c r="CZ1243" i="1"/>
  <c r="DB1243" i="1"/>
  <c r="DF1243" i="1"/>
  <c r="AC154" i="1"/>
  <c r="AH154" i="1"/>
  <c r="BS154" i="1"/>
  <c r="BV154" i="1"/>
  <c r="BX154" i="1"/>
  <c r="BY154" i="1"/>
  <c r="BZ154" i="1"/>
  <c r="CA154" i="1"/>
  <c r="CH154" i="1"/>
  <c r="CL154" i="1"/>
  <c r="CM154" i="1"/>
  <c r="CN154" i="1"/>
  <c r="CO154" i="1"/>
  <c r="CP154" i="1"/>
  <c r="CZ154" i="1"/>
  <c r="DB154" i="1"/>
  <c r="DF154" i="1"/>
  <c r="AC209" i="1"/>
  <c r="AH209" i="1"/>
  <c r="BS209" i="1"/>
  <c r="BV209" i="1"/>
  <c r="BX209" i="1"/>
  <c r="BY209" i="1"/>
  <c r="BZ209" i="1"/>
  <c r="CA209" i="1"/>
  <c r="CH209" i="1"/>
  <c r="CL209" i="1"/>
  <c r="CM209" i="1"/>
  <c r="CN209" i="1"/>
  <c r="CO209" i="1"/>
  <c r="CP209" i="1"/>
  <c r="CZ209" i="1"/>
  <c r="DB209" i="1"/>
  <c r="DF209" i="1"/>
  <c r="AC1724" i="1"/>
  <c r="AH1724" i="1"/>
  <c r="BS1724" i="1"/>
  <c r="BV1724" i="1"/>
  <c r="BX1724" i="1"/>
  <c r="BY1724" i="1"/>
  <c r="BZ1724" i="1"/>
  <c r="CH1724" i="1"/>
  <c r="CL1724" i="1"/>
  <c r="CM1724" i="1"/>
  <c r="CN1724" i="1"/>
  <c r="CP1724" i="1"/>
  <c r="CZ1724" i="1"/>
  <c r="DB1724" i="1"/>
  <c r="DF1724" i="1"/>
  <c r="AC1469" i="1"/>
  <c r="AH1469" i="1"/>
  <c r="BS1469" i="1"/>
  <c r="BV1469" i="1"/>
  <c r="BX1469" i="1"/>
  <c r="BY1469" i="1"/>
  <c r="BZ1469" i="1"/>
  <c r="CA1469" i="1"/>
  <c r="CH1469" i="1"/>
  <c r="CL1469" i="1"/>
  <c r="CM1469" i="1"/>
  <c r="CN1469" i="1"/>
  <c r="CO1469" i="1"/>
  <c r="CP1469" i="1"/>
  <c r="CZ1469" i="1"/>
  <c r="DB1469" i="1"/>
  <c r="DF1469" i="1"/>
  <c r="AC261" i="1"/>
  <c r="AH261" i="1"/>
  <c r="BS261" i="1"/>
  <c r="BV261" i="1"/>
  <c r="BX261" i="1"/>
  <c r="BY261" i="1"/>
  <c r="BZ261" i="1"/>
  <c r="CA261" i="1"/>
  <c r="CH261" i="1"/>
  <c r="CL261" i="1"/>
  <c r="CM261" i="1"/>
  <c r="CN261" i="1"/>
  <c r="CO261" i="1"/>
  <c r="CP261" i="1"/>
  <c r="CZ261" i="1"/>
  <c r="DB261" i="1"/>
  <c r="DF261" i="1"/>
  <c r="AC211" i="1"/>
  <c r="AH211" i="1"/>
  <c r="BS211" i="1"/>
  <c r="BV211" i="1"/>
  <c r="BX211" i="1"/>
  <c r="BY211" i="1"/>
  <c r="BZ211" i="1"/>
  <c r="CH211" i="1"/>
  <c r="CL211" i="1"/>
  <c r="CM211" i="1"/>
  <c r="CN211" i="1"/>
  <c r="CO211" i="1"/>
  <c r="CP211" i="1"/>
  <c r="CZ211" i="1"/>
  <c r="DB211" i="1"/>
  <c r="DF211" i="1"/>
  <c r="AC838" i="1"/>
  <c r="AH838" i="1"/>
  <c r="BS838" i="1"/>
  <c r="BV838" i="1"/>
  <c r="BX838" i="1"/>
  <c r="BY838" i="1"/>
  <c r="BZ838" i="1"/>
  <c r="CH838" i="1"/>
  <c r="CL838" i="1"/>
  <c r="CM838" i="1"/>
  <c r="CN838" i="1"/>
  <c r="CO838" i="1"/>
  <c r="CP838" i="1"/>
  <c r="CZ838" i="1"/>
  <c r="DB838" i="1"/>
  <c r="DF838" i="1"/>
  <c r="AC615" i="1"/>
  <c r="AH615" i="1"/>
  <c r="BS615" i="1"/>
  <c r="BV615" i="1"/>
  <c r="BX615" i="1"/>
  <c r="BY615" i="1"/>
  <c r="BZ615" i="1"/>
  <c r="CH615" i="1"/>
  <c r="CL615" i="1"/>
  <c r="CM615" i="1"/>
  <c r="CN615" i="1"/>
  <c r="CO615" i="1"/>
  <c r="CP615" i="1"/>
  <c r="CZ615" i="1"/>
  <c r="DB615" i="1"/>
  <c r="DF615" i="1"/>
  <c r="AC139" i="1"/>
  <c r="AH139" i="1"/>
  <c r="BS139" i="1"/>
  <c r="BV139" i="1"/>
  <c r="BX139" i="1"/>
  <c r="BY139" i="1"/>
  <c r="BZ139" i="1"/>
  <c r="CA139" i="1"/>
  <c r="CH139" i="1"/>
  <c r="CL139" i="1"/>
  <c r="CM139" i="1"/>
  <c r="CN139" i="1"/>
  <c r="CO139" i="1"/>
  <c r="CP139" i="1"/>
  <c r="CZ139" i="1"/>
  <c r="DB139" i="1"/>
  <c r="DF139" i="1"/>
  <c r="AC395" i="1"/>
  <c r="AH395" i="1"/>
  <c r="BS395" i="1"/>
  <c r="BV395" i="1"/>
  <c r="BX395" i="1"/>
  <c r="BY395" i="1"/>
  <c r="BZ395" i="1"/>
  <c r="CA395" i="1"/>
  <c r="CH395" i="1"/>
  <c r="CL395" i="1"/>
  <c r="CM395" i="1"/>
  <c r="CN395" i="1"/>
  <c r="CO395" i="1"/>
  <c r="CP395" i="1"/>
  <c r="CZ395" i="1"/>
  <c r="DB395" i="1"/>
  <c r="DF395" i="1"/>
  <c r="AC693" i="1"/>
  <c r="AH693" i="1"/>
  <c r="BS693" i="1"/>
  <c r="BV693" i="1"/>
  <c r="BX693" i="1"/>
  <c r="BY693" i="1"/>
  <c r="BZ693" i="1"/>
  <c r="CA693" i="1"/>
  <c r="CH693" i="1"/>
  <c r="CL693" i="1"/>
  <c r="CM693" i="1"/>
  <c r="CN693" i="1"/>
  <c r="CO693" i="1"/>
  <c r="CP693" i="1"/>
  <c r="CZ693" i="1"/>
  <c r="DB693" i="1"/>
  <c r="DF693" i="1"/>
  <c r="AC655" i="1"/>
  <c r="AH655" i="1"/>
  <c r="BS655" i="1"/>
  <c r="BV655" i="1"/>
  <c r="BX655" i="1"/>
  <c r="BY655" i="1"/>
  <c r="BZ655" i="1"/>
  <c r="CA655" i="1"/>
  <c r="CH655" i="1"/>
  <c r="CL655" i="1"/>
  <c r="CM655" i="1"/>
  <c r="CN655" i="1"/>
  <c r="CO655" i="1"/>
  <c r="CP655" i="1"/>
  <c r="CZ655" i="1"/>
  <c r="DB655" i="1"/>
  <c r="DF655" i="1"/>
  <c r="AC153" i="1"/>
  <c r="AH153" i="1"/>
  <c r="BS153" i="1"/>
  <c r="BV153" i="1"/>
  <c r="BX153" i="1"/>
  <c r="BY153" i="1"/>
  <c r="BZ153" i="1"/>
  <c r="CH153" i="1"/>
  <c r="CL153" i="1"/>
  <c r="CM153" i="1"/>
  <c r="CN153" i="1"/>
  <c r="CO153" i="1"/>
  <c r="CP153" i="1"/>
  <c r="CZ153" i="1"/>
  <c r="DB153" i="1"/>
  <c r="DF153" i="1"/>
  <c r="AC455" i="1"/>
  <c r="AH455" i="1"/>
  <c r="BS455" i="1"/>
  <c r="BV455" i="1"/>
  <c r="BX455" i="1"/>
  <c r="BY455" i="1"/>
  <c r="BZ455" i="1"/>
  <c r="CH455" i="1"/>
  <c r="CL455" i="1"/>
  <c r="CM455" i="1"/>
  <c r="CN455" i="1"/>
  <c r="CO455" i="1"/>
  <c r="CP455" i="1"/>
  <c r="CZ455" i="1"/>
  <c r="DB455" i="1"/>
  <c r="DF455" i="1"/>
  <c r="AC1744" i="1"/>
  <c r="AH1744" i="1"/>
  <c r="BS1744" i="1"/>
  <c r="BV1744" i="1"/>
  <c r="BX1744" i="1"/>
  <c r="BY1744" i="1"/>
  <c r="BZ1744" i="1"/>
  <c r="CH1744" i="1"/>
  <c r="CL1744" i="1"/>
  <c r="CM1744" i="1"/>
  <c r="CN1744" i="1"/>
  <c r="CO1744" i="1"/>
  <c r="CP1744" i="1"/>
  <c r="CZ1744" i="1"/>
  <c r="DB1744" i="1"/>
  <c r="DF1744" i="1"/>
  <c r="AC1348" i="1"/>
  <c r="AH1348" i="1"/>
  <c r="BS1348" i="1"/>
  <c r="BV1348" i="1"/>
  <c r="BX1348" i="1"/>
  <c r="BY1348" i="1"/>
  <c r="BZ1348" i="1"/>
  <c r="CH1348" i="1"/>
  <c r="CL1348" i="1"/>
  <c r="CM1348" i="1"/>
  <c r="CN1348" i="1"/>
  <c r="CO1348" i="1"/>
  <c r="CP1348" i="1"/>
  <c r="CZ1348" i="1"/>
  <c r="DB1348" i="1"/>
  <c r="DF1348" i="1"/>
  <c r="AC1647" i="1"/>
  <c r="AH1647" i="1"/>
  <c r="BS1647" i="1"/>
  <c r="BV1647" i="1"/>
  <c r="BX1647" i="1"/>
  <c r="BY1647" i="1"/>
  <c r="BZ1647" i="1"/>
  <c r="CH1647" i="1"/>
  <c r="CL1647" i="1"/>
  <c r="CM1647" i="1"/>
  <c r="CN1647" i="1"/>
  <c r="CO1647" i="1"/>
  <c r="CP1647" i="1"/>
  <c r="CZ1647" i="1"/>
  <c r="DB1647" i="1"/>
  <c r="DF1647" i="1"/>
  <c r="AC663" i="1"/>
  <c r="AH663" i="1"/>
  <c r="BS663" i="1"/>
  <c r="BV663" i="1"/>
  <c r="BX663" i="1"/>
  <c r="BY663" i="1"/>
  <c r="BZ663" i="1"/>
  <c r="CA663" i="1"/>
  <c r="CH663" i="1"/>
  <c r="CL663" i="1"/>
  <c r="CM663" i="1"/>
  <c r="CN663" i="1"/>
  <c r="CO663" i="1"/>
  <c r="CP663" i="1"/>
  <c r="CZ663" i="1"/>
  <c r="DB663" i="1"/>
  <c r="DF663" i="1"/>
  <c r="AC730" i="1"/>
  <c r="AH730" i="1"/>
  <c r="BS730" i="1"/>
  <c r="BV730" i="1"/>
  <c r="BX730" i="1"/>
  <c r="BY730" i="1"/>
  <c r="BZ730" i="1"/>
  <c r="CA730" i="1"/>
  <c r="CH730" i="1"/>
  <c r="CL730" i="1"/>
  <c r="CM730" i="1"/>
  <c r="CN730" i="1"/>
  <c r="CO730" i="1"/>
  <c r="CP730" i="1"/>
  <c r="CZ730" i="1"/>
  <c r="DB730" i="1"/>
  <c r="DF730" i="1"/>
  <c r="AC341" i="1"/>
  <c r="AH341" i="1"/>
  <c r="BS341" i="1"/>
  <c r="BV341" i="1"/>
  <c r="BX341" i="1"/>
  <c r="BY341" i="1"/>
  <c r="BZ341" i="1"/>
  <c r="CA341" i="1"/>
  <c r="CH341" i="1"/>
  <c r="CL341" i="1"/>
  <c r="CM341" i="1"/>
  <c r="CN341" i="1"/>
  <c r="CO341" i="1"/>
  <c r="CP341" i="1"/>
  <c r="CZ341" i="1"/>
  <c r="DB341" i="1"/>
  <c r="DF341" i="1"/>
  <c r="AC264" i="1"/>
  <c r="AH264" i="1"/>
  <c r="BS264" i="1"/>
  <c r="BV264" i="1"/>
  <c r="BX264" i="1"/>
  <c r="BY264" i="1"/>
  <c r="BZ264" i="1"/>
  <c r="CH264" i="1"/>
  <c r="CL264" i="1"/>
  <c r="CM264" i="1"/>
  <c r="CN264" i="1"/>
  <c r="CO264" i="1"/>
  <c r="CP264" i="1"/>
  <c r="CZ264" i="1"/>
  <c r="DB264" i="1"/>
  <c r="DF264" i="1"/>
  <c r="AC174" i="1"/>
  <c r="AH174" i="1"/>
  <c r="BS174" i="1"/>
  <c r="BV174" i="1"/>
  <c r="BX174" i="1"/>
  <c r="BY174" i="1"/>
  <c r="BZ174" i="1"/>
  <c r="CA174" i="1"/>
  <c r="CH174" i="1"/>
  <c r="CL174" i="1"/>
  <c r="CM174" i="1"/>
  <c r="CN174" i="1"/>
  <c r="CO174" i="1"/>
  <c r="CP174" i="1"/>
  <c r="CZ174" i="1"/>
  <c r="DB174" i="1"/>
  <c r="DF174" i="1"/>
  <c r="AC228" i="1"/>
  <c r="AH228" i="1"/>
  <c r="BS228" i="1"/>
  <c r="BV228" i="1"/>
  <c r="BX228" i="1"/>
  <c r="BY228" i="1"/>
  <c r="BZ228" i="1"/>
  <c r="CA228" i="1"/>
  <c r="CH228" i="1"/>
  <c r="CL228" i="1"/>
  <c r="CM228" i="1"/>
  <c r="CN228" i="1"/>
  <c r="CO228" i="1"/>
  <c r="CP228" i="1"/>
  <c r="CZ228" i="1"/>
  <c r="DB228" i="1"/>
  <c r="DF228" i="1"/>
  <c r="AC2077" i="1"/>
  <c r="AH2077" i="1"/>
  <c r="BS2077" i="1"/>
  <c r="BV2077" i="1"/>
  <c r="BX2077" i="1"/>
  <c r="BY2077" i="1"/>
  <c r="BZ2077" i="1"/>
  <c r="CA2077" i="1"/>
  <c r="CH2077" i="1"/>
  <c r="CL2077" i="1"/>
  <c r="CM2077" i="1"/>
  <c r="CN2077" i="1"/>
  <c r="CO2077" i="1"/>
  <c r="CP2077" i="1"/>
  <c r="CZ2077" i="1"/>
  <c r="DB2077" i="1"/>
  <c r="DF2077" i="1"/>
  <c r="AC72" i="1"/>
  <c r="AH72" i="1"/>
  <c r="BS72" i="1"/>
  <c r="BV72" i="1"/>
  <c r="BX72" i="1"/>
  <c r="BY72" i="1"/>
  <c r="BZ72" i="1"/>
  <c r="CA72" i="1"/>
  <c r="CH72" i="1"/>
  <c r="CL72" i="1"/>
  <c r="CM72" i="1"/>
  <c r="CN72" i="1"/>
  <c r="CO72" i="1"/>
  <c r="CP72" i="1"/>
  <c r="CZ72" i="1"/>
  <c r="DB72" i="1"/>
  <c r="DF72" i="1"/>
  <c r="AC665" i="1"/>
  <c r="AH665" i="1"/>
  <c r="BS665" i="1"/>
  <c r="BV665" i="1"/>
  <c r="BX665" i="1"/>
  <c r="BY665" i="1"/>
  <c r="BZ665" i="1"/>
  <c r="CA665" i="1"/>
  <c r="CH665" i="1"/>
  <c r="CL665" i="1"/>
  <c r="CM665" i="1"/>
  <c r="CN665" i="1"/>
  <c r="CO665" i="1"/>
  <c r="CP665" i="1"/>
  <c r="CZ665" i="1"/>
  <c r="DB665" i="1"/>
  <c r="DF665" i="1"/>
  <c r="AC1602" i="1"/>
  <c r="AH1602" i="1"/>
  <c r="BS1602" i="1"/>
  <c r="BV1602" i="1"/>
  <c r="BX1602" i="1"/>
  <c r="BY1602" i="1"/>
  <c r="BZ1602" i="1"/>
  <c r="CH1602" i="1"/>
  <c r="CL1602" i="1"/>
  <c r="CM1602" i="1"/>
  <c r="CN1602" i="1"/>
  <c r="CO1602" i="1"/>
  <c r="CP1602" i="1"/>
  <c r="CZ1602" i="1"/>
  <c r="DB1602" i="1"/>
  <c r="DF1602" i="1"/>
  <c r="AC491" i="1"/>
  <c r="AH491" i="1"/>
  <c r="BS491" i="1"/>
  <c r="BV491" i="1"/>
  <c r="BX491" i="1"/>
  <c r="BY491" i="1"/>
  <c r="BZ491" i="1"/>
  <c r="CH491" i="1"/>
  <c r="CL491" i="1"/>
  <c r="CM491" i="1"/>
  <c r="CN491" i="1"/>
  <c r="CO491" i="1"/>
  <c r="CP491" i="1"/>
  <c r="CZ491" i="1"/>
  <c r="DB491" i="1"/>
  <c r="DF491" i="1"/>
  <c r="AC570" i="1"/>
  <c r="AH570" i="1"/>
  <c r="BS570" i="1"/>
  <c r="BV570" i="1"/>
  <c r="BX570" i="1"/>
  <c r="BY570" i="1"/>
  <c r="BZ570" i="1"/>
  <c r="CH570" i="1"/>
  <c r="CL570" i="1"/>
  <c r="CM570" i="1"/>
  <c r="CN570" i="1"/>
  <c r="CO570" i="1"/>
  <c r="CP570" i="1"/>
  <c r="CZ570" i="1"/>
  <c r="DB570" i="1"/>
  <c r="DF570" i="1"/>
  <c r="AC1594" i="1"/>
  <c r="AH1594" i="1"/>
  <c r="BS1594" i="1"/>
  <c r="BV1594" i="1"/>
  <c r="BX1594" i="1"/>
  <c r="BY1594" i="1"/>
  <c r="BZ1594" i="1"/>
  <c r="CH1594" i="1"/>
  <c r="CL1594" i="1"/>
  <c r="CM1594" i="1"/>
  <c r="CN1594" i="1"/>
  <c r="CO1594" i="1"/>
  <c r="CP1594" i="1"/>
  <c r="CZ1594" i="1"/>
  <c r="DB1594" i="1"/>
  <c r="DF1594" i="1"/>
  <c r="AC555" i="1"/>
  <c r="AH555" i="1"/>
  <c r="BS555" i="1"/>
  <c r="BV555" i="1"/>
  <c r="BX555" i="1"/>
  <c r="BY555" i="1"/>
  <c r="BZ555" i="1"/>
  <c r="CA555" i="1"/>
  <c r="CH555" i="1"/>
  <c r="CL555" i="1"/>
  <c r="CM555" i="1"/>
  <c r="CN555" i="1"/>
  <c r="CO555" i="1"/>
  <c r="CP555" i="1"/>
  <c r="CZ555" i="1"/>
  <c r="DB555" i="1"/>
  <c r="DF555" i="1"/>
  <c r="AC349" i="1"/>
  <c r="AH349" i="1"/>
  <c r="BS349" i="1"/>
  <c r="BV349" i="1"/>
  <c r="BX349" i="1"/>
  <c r="BY349" i="1"/>
  <c r="BZ349" i="1"/>
  <c r="CA349" i="1"/>
  <c r="CH349" i="1"/>
  <c r="CL349" i="1"/>
  <c r="CM349" i="1"/>
  <c r="CN349" i="1"/>
  <c r="CO349" i="1"/>
  <c r="CP349" i="1"/>
  <c r="CZ349" i="1"/>
  <c r="DB349" i="1"/>
  <c r="DF349" i="1"/>
  <c r="AC1513" i="1"/>
  <c r="AH1513" i="1"/>
  <c r="BS1513" i="1"/>
  <c r="BV1513" i="1"/>
  <c r="BX1513" i="1"/>
  <c r="BY1513" i="1"/>
  <c r="BZ1513" i="1"/>
  <c r="CA1513" i="1"/>
  <c r="CH1513" i="1"/>
  <c r="CL1513" i="1"/>
  <c r="CM1513" i="1"/>
  <c r="CN1513" i="1"/>
  <c r="CO1513" i="1"/>
  <c r="CP1513" i="1"/>
  <c r="CZ1513" i="1"/>
  <c r="DB1513" i="1"/>
  <c r="DF1513" i="1"/>
  <c r="AC204" i="1"/>
  <c r="AH204" i="1"/>
  <c r="BS204" i="1"/>
  <c r="BV204" i="1"/>
  <c r="BX204" i="1"/>
  <c r="BY204" i="1"/>
  <c r="BZ204" i="1"/>
  <c r="CA204" i="1"/>
  <c r="CH204" i="1"/>
  <c r="CL204" i="1"/>
  <c r="CM204" i="1"/>
  <c r="CN204" i="1"/>
  <c r="CO204" i="1"/>
  <c r="CP204" i="1"/>
  <c r="CZ204" i="1"/>
  <c r="DB204" i="1"/>
  <c r="DF204" i="1"/>
  <c r="AC2062" i="1"/>
  <c r="AH2062" i="1"/>
  <c r="BS2062" i="1"/>
  <c r="BV2062" i="1"/>
  <c r="BX2062" i="1"/>
  <c r="BY2062" i="1"/>
  <c r="BZ2062" i="1"/>
  <c r="CH2062" i="1"/>
  <c r="CL2062" i="1"/>
  <c r="CM2062" i="1"/>
  <c r="CN2062" i="1"/>
  <c r="CP2062" i="1"/>
  <c r="CZ2062" i="1"/>
  <c r="DB2062" i="1"/>
  <c r="DF2062" i="1"/>
  <c r="AC1948" i="1"/>
  <c r="AH1948" i="1"/>
  <c r="BS1948" i="1"/>
  <c r="BV1948" i="1"/>
  <c r="BX1948" i="1"/>
  <c r="BY1948" i="1"/>
  <c r="BZ1948" i="1"/>
  <c r="CA1948" i="1"/>
  <c r="CH1948" i="1"/>
  <c r="CL1948" i="1"/>
  <c r="CM1948" i="1"/>
  <c r="CN1948" i="1"/>
  <c r="CO1948" i="1"/>
  <c r="CP1948" i="1"/>
  <c r="CZ1948" i="1"/>
  <c r="DB1948" i="1"/>
  <c r="DF1948" i="1"/>
  <c r="AC1802" i="1"/>
  <c r="AH1802" i="1"/>
  <c r="BS1802" i="1"/>
  <c r="BV1802" i="1"/>
  <c r="BX1802" i="1"/>
  <c r="BY1802" i="1"/>
  <c r="BZ1802" i="1"/>
  <c r="CH1802" i="1"/>
  <c r="CL1802" i="1"/>
  <c r="CM1802" i="1"/>
  <c r="CN1802" i="1"/>
  <c r="CO1802" i="1"/>
  <c r="CP1802" i="1"/>
  <c r="CZ1802" i="1"/>
  <c r="DB1802" i="1"/>
  <c r="DF1802" i="1"/>
  <c r="AC1864" i="1"/>
  <c r="AH1864" i="1"/>
  <c r="BS1864" i="1"/>
  <c r="BV1864" i="1"/>
  <c r="BX1864" i="1"/>
  <c r="BY1864" i="1"/>
  <c r="BZ1864" i="1"/>
  <c r="CA1864" i="1"/>
  <c r="CH1864" i="1"/>
  <c r="CL1864" i="1"/>
  <c r="CM1864" i="1"/>
  <c r="CN1864" i="1"/>
  <c r="CO1864" i="1"/>
  <c r="CP1864" i="1"/>
  <c r="CZ1864" i="1"/>
  <c r="DB1864" i="1"/>
  <c r="DF1864" i="1"/>
  <c r="AC2015" i="1"/>
  <c r="AH2015" i="1"/>
  <c r="BS2015" i="1"/>
  <c r="BV2015" i="1"/>
  <c r="BX2015" i="1"/>
  <c r="BY2015" i="1"/>
  <c r="BZ2015" i="1"/>
  <c r="CH2015" i="1"/>
  <c r="CL2015" i="1"/>
  <c r="CM2015" i="1"/>
  <c r="CN2015" i="1"/>
  <c r="CO2015" i="1"/>
  <c r="CP2015" i="1"/>
  <c r="CZ2015" i="1"/>
  <c r="DB2015" i="1"/>
  <c r="DF2015" i="1"/>
  <c r="AC664" i="1"/>
  <c r="AH664" i="1"/>
  <c r="BS664" i="1"/>
  <c r="BV664" i="1"/>
  <c r="BX664" i="1"/>
  <c r="BY664" i="1"/>
  <c r="BZ664" i="1"/>
  <c r="CA664" i="1"/>
  <c r="CH664" i="1"/>
  <c r="CL664" i="1"/>
  <c r="CM664" i="1"/>
  <c r="CN664" i="1"/>
  <c r="CO664" i="1"/>
  <c r="CP664" i="1"/>
  <c r="CZ664" i="1"/>
  <c r="DB664" i="1"/>
  <c r="DF664" i="1"/>
  <c r="AC1639" i="1"/>
  <c r="AH1639" i="1"/>
  <c r="BS1639" i="1"/>
  <c r="BV1639" i="1"/>
  <c r="BX1639" i="1"/>
  <c r="BY1639" i="1"/>
  <c r="BZ1639" i="1"/>
  <c r="CH1639" i="1"/>
  <c r="CL1639" i="1"/>
  <c r="CM1639" i="1"/>
  <c r="CN1639" i="1"/>
  <c r="CO1639" i="1"/>
  <c r="CP1639" i="1"/>
  <c r="CZ1639" i="1"/>
  <c r="DB1639" i="1"/>
  <c r="DF1639" i="1"/>
  <c r="AC705" i="1"/>
  <c r="AH705" i="1"/>
  <c r="BS705" i="1"/>
  <c r="BV705" i="1"/>
  <c r="BX705" i="1"/>
  <c r="BY705" i="1"/>
  <c r="BZ705" i="1"/>
  <c r="CA705" i="1"/>
  <c r="CH705" i="1"/>
  <c r="CL705" i="1"/>
  <c r="CM705" i="1"/>
  <c r="CN705" i="1"/>
  <c r="CO705" i="1"/>
  <c r="CP705" i="1"/>
  <c r="CZ705" i="1"/>
  <c r="DB705" i="1"/>
  <c r="DF705" i="1"/>
  <c r="AC363" i="1"/>
  <c r="AH363" i="1"/>
  <c r="BS363" i="1"/>
  <c r="BV363" i="1"/>
  <c r="BX363" i="1"/>
  <c r="BY363" i="1"/>
  <c r="BZ363" i="1"/>
  <c r="CA363" i="1"/>
  <c r="CH363" i="1"/>
  <c r="CL363" i="1"/>
  <c r="CM363" i="1"/>
  <c r="CN363" i="1"/>
  <c r="CO363" i="1"/>
  <c r="CP363" i="1"/>
  <c r="CZ363" i="1"/>
  <c r="DB363" i="1"/>
  <c r="DF363" i="1"/>
  <c r="AC1148" i="1"/>
  <c r="AH1148" i="1"/>
  <c r="BS1148" i="1"/>
  <c r="BV1148" i="1"/>
  <c r="BX1148" i="1"/>
  <c r="BY1148" i="1"/>
  <c r="BZ1148" i="1"/>
  <c r="CA1148" i="1"/>
  <c r="CH1148" i="1"/>
  <c r="CL1148" i="1"/>
  <c r="CM1148" i="1"/>
  <c r="CN1148" i="1"/>
  <c r="CO1148" i="1"/>
  <c r="CP1148" i="1"/>
  <c r="CZ1148" i="1"/>
  <c r="DB1148" i="1"/>
  <c r="DF1148" i="1"/>
  <c r="AC644" i="1"/>
  <c r="AH644" i="1"/>
  <c r="BS644" i="1"/>
  <c r="BV644" i="1"/>
  <c r="BX644" i="1"/>
  <c r="BY644" i="1"/>
  <c r="BZ644" i="1"/>
  <c r="CA644" i="1"/>
  <c r="CH644" i="1"/>
  <c r="CL644" i="1"/>
  <c r="CM644" i="1"/>
  <c r="CN644" i="1"/>
  <c r="CO644" i="1"/>
  <c r="CP644" i="1"/>
  <c r="CZ644" i="1"/>
  <c r="DB644" i="1"/>
  <c r="DF644" i="1"/>
  <c r="AC1898" i="1"/>
  <c r="AH1898" i="1"/>
  <c r="BS1898" i="1"/>
  <c r="BV1898" i="1"/>
  <c r="BX1898" i="1"/>
  <c r="BY1898" i="1"/>
  <c r="BZ1898" i="1"/>
  <c r="CA1898" i="1"/>
  <c r="CH1898" i="1"/>
  <c r="CL1898" i="1"/>
  <c r="CM1898" i="1"/>
  <c r="CN1898" i="1"/>
  <c r="CO1898" i="1"/>
  <c r="CP1898" i="1"/>
  <c r="CZ1898" i="1"/>
  <c r="DB1898" i="1"/>
  <c r="DF1898" i="1"/>
  <c r="AC1633" i="1"/>
  <c r="AH1633" i="1"/>
  <c r="BS1633" i="1"/>
  <c r="BV1633" i="1"/>
  <c r="BX1633" i="1"/>
  <c r="BY1633" i="1"/>
  <c r="BZ1633" i="1"/>
  <c r="CA1633" i="1"/>
  <c r="CH1633" i="1"/>
  <c r="CL1633" i="1"/>
  <c r="CM1633" i="1"/>
  <c r="CN1633" i="1"/>
  <c r="CP1633" i="1"/>
  <c r="CZ1633" i="1"/>
  <c r="DB1633" i="1"/>
  <c r="DF1633" i="1"/>
  <c r="AC820" i="1"/>
  <c r="AH820" i="1"/>
  <c r="BS820" i="1"/>
  <c r="BV820" i="1"/>
  <c r="BX820" i="1"/>
  <c r="BY820" i="1"/>
  <c r="BZ820" i="1"/>
  <c r="CA820" i="1"/>
  <c r="CH820" i="1"/>
  <c r="CL820" i="1"/>
  <c r="CM820" i="1"/>
  <c r="CN820" i="1"/>
  <c r="CO820" i="1"/>
  <c r="CP820" i="1"/>
  <c r="CZ820" i="1"/>
  <c r="DB820" i="1"/>
  <c r="DF820" i="1"/>
  <c r="AC326" i="1"/>
  <c r="AH326" i="1"/>
  <c r="BS326" i="1"/>
  <c r="BV326" i="1"/>
  <c r="BX326" i="1"/>
  <c r="BY326" i="1"/>
  <c r="BZ326" i="1"/>
  <c r="CA326" i="1"/>
  <c r="CH326" i="1"/>
  <c r="CL326" i="1"/>
  <c r="CM326" i="1"/>
  <c r="CN326" i="1"/>
  <c r="CO326" i="1"/>
  <c r="CP326" i="1"/>
  <c r="CZ326" i="1"/>
  <c r="DB326" i="1"/>
  <c r="DF326" i="1"/>
  <c r="AC788" i="1"/>
  <c r="AH788" i="1"/>
  <c r="BS788" i="1"/>
  <c r="BV788" i="1"/>
  <c r="BX788" i="1"/>
  <c r="BY788" i="1"/>
  <c r="BZ788" i="1"/>
  <c r="CH788" i="1"/>
  <c r="CL788" i="1"/>
  <c r="CM788" i="1"/>
  <c r="CN788" i="1"/>
  <c r="CO788" i="1"/>
  <c r="CP788" i="1"/>
  <c r="CZ788" i="1"/>
  <c r="DB788" i="1"/>
  <c r="DF788" i="1"/>
  <c r="AC749" i="1"/>
  <c r="AH749" i="1"/>
  <c r="BS749" i="1"/>
  <c r="BV749" i="1"/>
  <c r="BX749" i="1"/>
  <c r="BY749" i="1"/>
  <c r="BZ749" i="1"/>
  <c r="CA749" i="1"/>
  <c r="CH749" i="1"/>
  <c r="CL749" i="1"/>
  <c r="CM749" i="1"/>
  <c r="CN749" i="1"/>
  <c r="CO749" i="1"/>
  <c r="CP749" i="1"/>
  <c r="CZ749" i="1"/>
  <c r="DB749" i="1"/>
  <c r="DF749" i="1"/>
  <c r="AC1648" i="1"/>
  <c r="AH1648" i="1"/>
  <c r="BS1648" i="1"/>
  <c r="BV1648" i="1"/>
  <c r="BX1648" i="1"/>
  <c r="BY1648" i="1"/>
  <c r="BZ1648" i="1"/>
  <c r="CH1648" i="1"/>
  <c r="CL1648" i="1"/>
  <c r="CM1648" i="1"/>
  <c r="CN1648" i="1"/>
  <c r="CO1648" i="1"/>
  <c r="CP1648" i="1"/>
  <c r="CZ1648" i="1"/>
  <c r="DB1648" i="1"/>
  <c r="DF1648" i="1"/>
  <c r="AC1300" i="1"/>
  <c r="AH1300" i="1"/>
  <c r="BS1300" i="1"/>
  <c r="BV1300" i="1"/>
  <c r="BX1300" i="1"/>
  <c r="BY1300" i="1"/>
  <c r="BZ1300" i="1"/>
  <c r="CH1300" i="1"/>
  <c r="CL1300" i="1"/>
  <c r="CM1300" i="1"/>
  <c r="CN1300" i="1"/>
  <c r="CP1300" i="1"/>
  <c r="CZ1300" i="1"/>
  <c r="DB1300" i="1"/>
  <c r="DF1300" i="1"/>
  <c r="AC183" i="1"/>
  <c r="AH183" i="1"/>
  <c r="BS183" i="1"/>
  <c r="BV183" i="1"/>
  <c r="BX183" i="1"/>
  <c r="BY183" i="1"/>
  <c r="BZ183" i="1"/>
  <c r="CA183" i="1"/>
  <c r="CH183" i="1"/>
  <c r="CL183" i="1"/>
  <c r="CM183" i="1"/>
  <c r="CN183" i="1"/>
  <c r="CO183" i="1"/>
  <c r="CP183" i="1"/>
  <c r="CZ183" i="1"/>
  <c r="DB183" i="1"/>
  <c r="DF183" i="1"/>
  <c r="AC141" i="1"/>
  <c r="AH141" i="1"/>
  <c r="BS141" i="1"/>
  <c r="BV141" i="1"/>
  <c r="BX141" i="1"/>
  <c r="BY141" i="1"/>
  <c r="BZ141" i="1"/>
  <c r="CH141" i="1"/>
  <c r="CL141" i="1"/>
  <c r="CM141" i="1"/>
  <c r="CN141" i="1"/>
  <c r="CO141" i="1"/>
  <c r="CP141" i="1"/>
  <c r="CZ141" i="1"/>
  <c r="DB141" i="1"/>
  <c r="DF141" i="1"/>
  <c r="AC129" i="1"/>
  <c r="AH129" i="1"/>
  <c r="BS129" i="1"/>
  <c r="BV129" i="1"/>
  <c r="BX129" i="1"/>
  <c r="BY129" i="1"/>
  <c r="BZ129" i="1"/>
  <c r="CH129" i="1"/>
  <c r="CL129" i="1"/>
  <c r="CM129" i="1"/>
  <c r="CN129" i="1"/>
  <c r="CO129" i="1"/>
  <c r="CP129" i="1"/>
  <c r="CZ129" i="1"/>
  <c r="DB129" i="1"/>
  <c r="DF129" i="1"/>
  <c r="AC603" i="1"/>
  <c r="AH603" i="1"/>
  <c r="BS603" i="1"/>
  <c r="BV603" i="1"/>
  <c r="BX603" i="1"/>
  <c r="BY603" i="1"/>
  <c r="BZ603" i="1"/>
  <c r="CA603" i="1"/>
  <c r="CH603" i="1"/>
  <c r="CL603" i="1"/>
  <c r="CM603" i="1"/>
  <c r="CN603" i="1"/>
  <c r="CO603" i="1"/>
  <c r="CP603" i="1"/>
  <c r="CZ603" i="1"/>
  <c r="DB603" i="1"/>
  <c r="DF603" i="1"/>
  <c r="AC1918" i="1"/>
  <c r="AH1918" i="1"/>
  <c r="BS1918" i="1"/>
  <c r="BV1918" i="1"/>
  <c r="BX1918" i="1"/>
  <c r="BY1918" i="1"/>
  <c r="BZ1918" i="1"/>
  <c r="CH1918" i="1"/>
  <c r="CL1918" i="1"/>
  <c r="CM1918" i="1"/>
  <c r="CN1918" i="1"/>
  <c r="CP1918" i="1"/>
  <c r="CZ1918" i="1"/>
  <c r="DB1918" i="1"/>
  <c r="DF1918" i="1"/>
  <c r="AC138" i="1"/>
  <c r="AH138" i="1"/>
  <c r="BS138" i="1"/>
  <c r="BV138" i="1"/>
  <c r="BX138" i="1"/>
  <c r="BY138" i="1"/>
  <c r="BZ138" i="1"/>
  <c r="CA138" i="1"/>
  <c r="CH138" i="1"/>
  <c r="CL138" i="1"/>
  <c r="CM138" i="1"/>
  <c r="CN138" i="1"/>
  <c r="CO138" i="1"/>
  <c r="CP138" i="1"/>
  <c r="CZ138" i="1"/>
  <c r="DB138" i="1"/>
  <c r="DF138" i="1"/>
  <c r="AC367" i="1"/>
  <c r="AH367" i="1"/>
  <c r="BS367" i="1"/>
  <c r="BV367" i="1"/>
  <c r="BX367" i="1"/>
  <c r="BY367" i="1"/>
  <c r="BZ367" i="1"/>
  <c r="CH367" i="1"/>
  <c r="CL367" i="1"/>
  <c r="CM367" i="1"/>
  <c r="CN367" i="1"/>
  <c r="CO367" i="1"/>
  <c r="CP367" i="1"/>
  <c r="CZ367" i="1"/>
  <c r="DB367" i="1"/>
  <c r="DF367" i="1"/>
  <c r="AC1340" i="1"/>
  <c r="AH1340" i="1"/>
  <c r="BS1340" i="1"/>
  <c r="BV1340" i="1"/>
  <c r="BX1340" i="1"/>
  <c r="BY1340" i="1"/>
  <c r="BZ1340" i="1"/>
  <c r="CA1340" i="1"/>
  <c r="CH1340" i="1"/>
  <c r="CL1340" i="1"/>
  <c r="CM1340" i="1"/>
  <c r="CN1340" i="1"/>
  <c r="CO1340" i="1"/>
  <c r="CP1340" i="1"/>
  <c r="CZ1340" i="1"/>
  <c r="DB1340" i="1"/>
  <c r="DF1340" i="1"/>
  <c r="AC67" i="1"/>
  <c r="AH67" i="1"/>
  <c r="BS67" i="1"/>
  <c r="BV67" i="1"/>
  <c r="BX67" i="1"/>
  <c r="BY67" i="1"/>
  <c r="BZ67" i="1"/>
  <c r="CA67" i="1"/>
  <c r="CH67" i="1"/>
  <c r="CL67" i="1"/>
  <c r="CM67" i="1"/>
  <c r="CN67" i="1"/>
  <c r="CO67" i="1"/>
  <c r="CP67" i="1"/>
  <c r="CZ67" i="1"/>
  <c r="DB67" i="1"/>
  <c r="DF67" i="1"/>
  <c r="AC559" i="1"/>
  <c r="AH559" i="1"/>
  <c r="BS559" i="1"/>
  <c r="BV559" i="1"/>
  <c r="BX559" i="1"/>
  <c r="BY559" i="1"/>
  <c r="BZ559" i="1"/>
  <c r="CA559" i="1"/>
  <c r="CH559" i="1"/>
  <c r="CL559" i="1"/>
  <c r="CM559" i="1"/>
  <c r="CN559" i="1"/>
  <c r="CO559" i="1"/>
  <c r="CP559" i="1"/>
  <c r="CZ559" i="1"/>
  <c r="DB559" i="1"/>
  <c r="DF559" i="1"/>
  <c r="AC388" i="1"/>
  <c r="AH388" i="1"/>
  <c r="BS388" i="1"/>
  <c r="BV388" i="1"/>
  <c r="BX388" i="1"/>
  <c r="BY388" i="1"/>
  <c r="BZ388" i="1"/>
  <c r="CH388" i="1"/>
  <c r="CL388" i="1"/>
  <c r="CM388" i="1"/>
  <c r="CN388" i="1"/>
  <c r="CO388" i="1"/>
  <c r="CP388" i="1"/>
  <c r="CZ388" i="1"/>
  <c r="DB388" i="1"/>
  <c r="DF388" i="1"/>
  <c r="AC763" i="1"/>
  <c r="AH763" i="1"/>
  <c r="BS763" i="1"/>
  <c r="BV763" i="1"/>
  <c r="BX763" i="1"/>
  <c r="BY763" i="1"/>
  <c r="BZ763" i="1"/>
  <c r="CA763" i="1"/>
  <c r="CH763" i="1"/>
  <c r="CL763" i="1"/>
  <c r="CM763" i="1"/>
  <c r="CN763" i="1"/>
  <c r="CO763" i="1"/>
  <c r="CP763" i="1"/>
  <c r="CZ763" i="1"/>
  <c r="DB763" i="1"/>
  <c r="DF763" i="1"/>
  <c r="AC1280" i="1"/>
  <c r="AH1280" i="1"/>
  <c r="BS1280" i="1"/>
  <c r="BV1280" i="1"/>
  <c r="BX1280" i="1"/>
  <c r="BY1280" i="1"/>
  <c r="BZ1280" i="1"/>
  <c r="CH1280" i="1"/>
  <c r="CL1280" i="1"/>
  <c r="CM1280" i="1"/>
  <c r="CN1280" i="1"/>
  <c r="CP1280" i="1"/>
  <c r="CZ1280" i="1"/>
  <c r="DB1280" i="1"/>
  <c r="DF1280" i="1"/>
  <c r="AC774" i="1"/>
  <c r="AH774" i="1"/>
  <c r="BS774" i="1"/>
  <c r="BV774" i="1"/>
  <c r="BX774" i="1"/>
  <c r="BY774" i="1"/>
  <c r="BZ774" i="1"/>
  <c r="CH774" i="1"/>
  <c r="CL774" i="1"/>
  <c r="CM774" i="1"/>
  <c r="CN774" i="1"/>
  <c r="CO774" i="1"/>
  <c r="CP774" i="1"/>
  <c r="CZ774" i="1"/>
  <c r="DB774" i="1"/>
  <c r="DF774" i="1"/>
  <c r="AC18" i="1"/>
  <c r="AH18" i="1"/>
  <c r="BS18" i="1"/>
  <c r="BV18" i="1"/>
  <c r="BX18" i="1"/>
  <c r="BY18" i="1"/>
  <c r="BZ18" i="1"/>
  <c r="CA18" i="1"/>
  <c r="CH18" i="1"/>
  <c r="CL18" i="1"/>
  <c r="CM18" i="1"/>
  <c r="CN18" i="1"/>
  <c r="CO18" i="1"/>
  <c r="CP18" i="1"/>
  <c r="CZ18" i="1"/>
  <c r="DB18" i="1"/>
  <c r="DF18" i="1"/>
  <c r="AC311" i="1"/>
  <c r="AH311" i="1"/>
  <c r="BS311" i="1"/>
  <c r="BV311" i="1"/>
  <c r="BX311" i="1"/>
  <c r="BY311" i="1"/>
  <c r="BZ311" i="1"/>
  <c r="CA311" i="1"/>
  <c r="CH311" i="1"/>
  <c r="CL311" i="1"/>
  <c r="CM311" i="1"/>
  <c r="CN311" i="1"/>
  <c r="CO311" i="1"/>
  <c r="CP311" i="1"/>
  <c r="CZ311" i="1"/>
  <c r="DB311" i="1"/>
  <c r="DF311" i="1"/>
  <c r="AC2203" i="1"/>
  <c r="AH2203" i="1"/>
  <c r="BS2203" i="1"/>
  <c r="BV2203" i="1"/>
  <c r="BX2203" i="1"/>
  <c r="BY2203" i="1"/>
  <c r="BZ2203" i="1"/>
  <c r="CH2203" i="1"/>
  <c r="CL2203" i="1"/>
  <c r="CM2203" i="1"/>
  <c r="CN2203" i="1"/>
  <c r="CO2203" i="1"/>
  <c r="CP2203" i="1"/>
  <c r="CZ2203" i="1"/>
  <c r="DB2203" i="1"/>
  <c r="DF2203" i="1"/>
  <c r="AC1328" i="1"/>
  <c r="AH1328" i="1"/>
  <c r="BS1328" i="1"/>
  <c r="BV1328" i="1"/>
  <c r="BX1328" i="1"/>
  <c r="BY1328" i="1"/>
  <c r="BZ1328" i="1"/>
  <c r="CH1328" i="1"/>
  <c r="CL1328" i="1"/>
  <c r="CM1328" i="1"/>
  <c r="CN1328" i="1"/>
  <c r="CO1328" i="1"/>
  <c r="CP1328" i="1"/>
  <c r="CZ1328" i="1"/>
  <c r="DB1328" i="1"/>
  <c r="DF1328" i="1"/>
  <c r="AC2296" i="1"/>
  <c r="AH2296" i="1"/>
  <c r="BS2296" i="1"/>
  <c r="BV2296" i="1"/>
  <c r="BX2296" i="1"/>
  <c r="BY2296" i="1"/>
  <c r="BZ2296" i="1"/>
  <c r="CA2296" i="1"/>
  <c r="CH2296" i="1"/>
  <c r="CL2296" i="1"/>
  <c r="CM2296" i="1"/>
  <c r="CN2296" i="1"/>
  <c r="CO2296" i="1"/>
  <c r="CP2296" i="1"/>
  <c r="CZ2296" i="1"/>
  <c r="DB2296" i="1"/>
  <c r="DF2296" i="1"/>
  <c r="AC825" i="1"/>
  <c r="AH825" i="1"/>
  <c r="BS825" i="1"/>
  <c r="BV825" i="1"/>
  <c r="BX825" i="1"/>
  <c r="BY825" i="1"/>
  <c r="BZ825" i="1"/>
  <c r="CH825" i="1"/>
  <c r="CL825" i="1"/>
  <c r="CM825" i="1"/>
  <c r="CN825" i="1"/>
  <c r="CO825" i="1"/>
  <c r="CP825" i="1"/>
  <c r="CZ825" i="1"/>
  <c r="DB825" i="1"/>
  <c r="DF825" i="1"/>
  <c r="AC1123" i="1"/>
  <c r="AH1123" i="1"/>
  <c r="BS1123" i="1"/>
  <c r="BV1123" i="1"/>
  <c r="BX1123" i="1"/>
  <c r="BY1123" i="1"/>
  <c r="BZ1123" i="1"/>
  <c r="CA1123" i="1"/>
  <c r="CH1123" i="1"/>
  <c r="CL1123" i="1"/>
  <c r="CM1123" i="1"/>
  <c r="CN1123" i="1"/>
  <c r="CO1123" i="1"/>
  <c r="CP1123" i="1"/>
  <c r="CZ1123" i="1"/>
  <c r="DB1123" i="1"/>
  <c r="DF1123" i="1"/>
  <c r="AC2227" i="1"/>
  <c r="AH2227" i="1"/>
  <c r="BS2227" i="1"/>
  <c r="BV2227" i="1"/>
  <c r="BX2227" i="1"/>
  <c r="BY2227" i="1"/>
  <c r="BZ2227" i="1"/>
  <c r="CA2227" i="1"/>
  <c r="CH2227" i="1"/>
  <c r="CL2227" i="1"/>
  <c r="CM2227" i="1"/>
  <c r="CN2227" i="1"/>
  <c r="CO2227" i="1"/>
  <c r="CP2227" i="1"/>
  <c r="CZ2227" i="1"/>
  <c r="DB2227" i="1"/>
  <c r="DF2227" i="1"/>
  <c r="AC737" i="1"/>
  <c r="AH737" i="1"/>
  <c r="BS737" i="1"/>
  <c r="BV737" i="1"/>
  <c r="BX737" i="1"/>
  <c r="BY737" i="1"/>
  <c r="BZ737" i="1"/>
  <c r="CA737" i="1"/>
  <c r="CH737" i="1"/>
  <c r="CL737" i="1"/>
  <c r="CM737" i="1"/>
  <c r="CN737" i="1"/>
  <c r="CO737" i="1"/>
  <c r="CP737" i="1"/>
  <c r="CZ737" i="1"/>
  <c r="DB737" i="1"/>
  <c r="DF737" i="1"/>
  <c r="AC892" i="1"/>
  <c r="AH892" i="1"/>
  <c r="BS892" i="1"/>
  <c r="BV892" i="1"/>
  <c r="BX892" i="1"/>
  <c r="BY892" i="1"/>
  <c r="BZ892" i="1"/>
  <c r="CA892" i="1"/>
  <c r="CH892" i="1"/>
  <c r="CL892" i="1"/>
  <c r="CM892" i="1"/>
  <c r="CN892" i="1"/>
  <c r="CO892" i="1"/>
  <c r="CP892" i="1"/>
  <c r="CZ892" i="1"/>
  <c r="DB892" i="1"/>
  <c r="DF892" i="1"/>
  <c r="AC2237" i="1"/>
  <c r="AH2237" i="1"/>
  <c r="BS2237" i="1"/>
  <c r="BV2237" i="1"/>
  <c r="BX2237" i="1"/>
  <c r="BY2237" i="1"/>
  <c r="BZ2237" i="1"/>
  <c r="CA2237" i="1"/>
  <c r="CH2237" i="1"/>
  <c r="CL2237" i="1"/>
  <c r="CM2237" i="1"/>
  <c r="CN2237" i="1"/>
  <c r="CO2237" i="1"/>
  <c r="CP2237" i="1"/>
  <c r="CZ2237" i="1"/>
  <c r="DB2237" i="1"/>
  <c r="DF2237" i="1"/>
  <c r="AC1264" i="1"/>
  <c r="AH1264" i="1"/>
  <c r="BS1264" i="1"/>
  <c r="BV1264" i="1"/>
  <c r="BX1264" i="1"/>
  <c r="BY1264" i="1"/>
  <c r="BZ1264" i="1"/>
  <c r="CA1264" i="1"/>
  <c r="CH1264" i="1"/>
  <c r="CL1264" i="1"/>
  <c r="CM1264" i="1"/>
  <c r="CN1264" i="1"/>
  <c r="CO1264" i="1"/>
  <c r="CP1264" i="1"/>
  <c r="CZ1264" i="1"/>
  <c r="DB1264" i="1"/>
  <c r="DF1264" i="1"/>
  <c r="AC1977" i="1"/>
  <c r="AH1977" i="1"/>
  <c r="BS1977" i="1"/>
  <c r="BV1977" i="1"/>
  <c r="BX1977" i="1"/>
  <c r="BY1977" i="1"/>
  <c r="BZ1977" i="1"/>
  <c r="CA1977" i="1"/>
  <c r="CH1977" i="1"/>
  <c r="CL1977" i="1"/>
  <c r="CM1977" i="1"/>
  <c r="CN1977" i="1"/>
  <c r="CO1977" i="1"/>
  <c r="CP1977" i="1"/>
  <c r="CZ1977" i="1"/>
  <c r="DB1977" i="1"/>
  <c r="DF1977" i="1"/>
  <c r="AC2154" i="1"/>
  <c r="AH2154" i="1"/>
  <c r="BS2154" i="1"/>
  <c r="BV2154" i="1"/>
  <c r="BX2154" i="1"/>
  <c r="BY2154" i="1"/>
  <c r="BZ2154" i="1"/>
  <c r="CH2154" i="1"/>
  <c r="CL2154" i="1"/>
  <c r="CM2154" i="1"/>
  <c r="CN2154" i="1"/>
  <c r="CO2154" i="1"/>
  <c r="CP2154" i="1"/>
  <c r="CZ2154" i="1"/>
  <c r="DB2154" i="1"/>
  <c r="DF2154" i="1"/>
  <c r="AC1025" i="1"/>
  <c r="AH1025" i="1"/>
  <c r="BS1025" i="1"/>
  <c r="BV1025" i="1"/>
  <c r="BX1025" i="1"/>
  <c r="BY1025" i="1"/>
  <c r="BZ1025" i="1"/>
  <c r="CA1025" i="1"/>
  <c r="CH1025" i="1"/>
  <c r="CL1025" i="1"/>
  <c r="CM1025" i="1"/>
  <c r="CN1025" i="1"/>
  <c r="CO1025" i="1"/>
  <c r="CP1025" i="1"/>
  <c r="CZ1025" i="1"/>
  <c r="DB1025" i="1"/>
  <c r="DF1025" i="1"/>
  <c r="AC995" i="1"/>
  <c r="AH995" i="1"/>
  <c r="BS995" i="1"/>
  <c r="BV995" i="1"/>
  <c r="BX995" i="1"/>
  <c r="BY995" i="1"/>
  <c r="BZ995" i="1"/>
  <c r="CA995" i="1"/>
  <c r="CH995" i="1"/>
  <c r="CL995" i="1"/>
  <c r="CM995" i="1"/>
  <c r="CN995" i="1"/>
  <c r="CO995" i="1"/>
  <c r="CP995" i="1"/>
  <c r="CZ995" i="1"/>
  <c r="DB995" i="1"/>
  <c r="DF995" i="1"/>
  <c r="AC1739" i="1"/>
  <c r="AH1739" i="1"/>
  <c r="BS1739" i="1"/>
  <c r="BV1739" i="1"/>
  <c r="BX1739" i="1"/>
  <c r="BY1739" i="1"/>
  <c r="BZ1739" i="1"/>
  <c r="CA1739" i="1"/>
  <c r="CH1739" i="1"/>
  <c r="CL1739" i="1"/>
  <c r="CM1739" i="1"/>
  <c r="CN1739" i="1"/>
  <c r="CO1739" i="1"/>
  <c r="CP1739" i="1"/>
  <c r="CZ1739" i="1"/>
  <c r="DB1739" i="1"/>
  <c r="DF1739" i="1"/>
  <c r="AC857" i="1"/>
  <c r="AH857" i="1"/>
  <c r="BS857" i="1"/>
  <c r="BV857" i="1"/>
  <c r="BX857" i="1"/>
  <c r="BY857" i="1"/>
  <c r="BZ857" i="1"/>
  <c r="CH857" i="1"/>
  <c r="CL857" i="1"/>
  <c r="CM857" i="1"/>
  <c r="CN857" i="1"/>
  <c r="CO857" i="1"/>
  <c r="CP857" i="1"/>
  <c r="CZ857" i="1"/>
  <c r="DB857" i="1"/>
  <c r="DF857" i="1"/>
  <c r="AC414" i="1"/>
  <c r="AH414" i="1"/>
  <c r="BS414" i="1"/>
  <c r="BV414" i="1"/>
  <c r="BX414" i="1"/>
  <c r="BY414" i="1"/>
  <c r="BZ414" i="1"/>
  <c r="CA414" i="1"/>
  <c r="CH414" i="1"/>
  <c r="CL414" i="1"/>
  <c r="CM414" i="1"/>
  <c r="CN414" i="1"/>
  <c r="CO414" i="1"/>
  <c r="CP414" i="1"/>
  <c r="CZ414" i="1"/>
  <c r="DB414" i="1"/>
  <c r="DF414" i="1"/>
  <c r="AC322" i="1"/>
  <c r="AH322" i="1"/>
  <c r="BS322" i="1"/>
  <c r="BV322" i="1"/>
  <c r="BX322" i="1"/>
  <c r="BY322" i="1"/>
  <c r="BZ322" i="1"/>
  <c r="CH322" i="1"/>
  <c r="CL322" i="1"/>
  <c r="CM322" i="1"/>
  <c r="CN322" i="1"/>
  <c r="CO322" i="1"/>
  <c r="CP322" i="1"/>
  <c r="CZ322" i="1"/>
  <c r="DB322" i="1"/>
  <c r="DF322" i="1"/>
  <c r="AC383" i="1"/>
  <c r="AH383" i="1"/>
  <c r="BS383" i="1"/>
  <c r="BV383" i="1"/>
  <c r="BX383" i="1"/>
  <c r="BY383" i="1"/>
  <c r="BZ383" i="1"/>
  <c r="CH383" i="1"/>
  <c r="CL383" i="1"/>
  <c r="CM383" i="1"/>
  <c r="CN383" i="1"/>
  <c r="CO383" i="1"/>
  <c r="CP383" i="1"/>
  <c r="CZ383" i="1"/>
  <c r="DB383" i="1"/>
  <c r="DF383" i="1"/>
  <c r="AC169" i="1"/>
  <c r="AH169" i="1"/>
  <c r="BS169" i="1"/>
  <c r="BV169" i="1"/>
  <c r="BX169" i="1"/>
  <c r="BY169" i="1"/>
  <c r="BZ169" i="1"/>
  <c r="CH169" i="1"/>
  <c r="CL169" i="1"/>
  <c r="CM169" i="1"/>
  <c r="CN169" i="1"/>
  <c r="CO169" i="1"/>
  <c r="CP169" i="1"/>
  <c r="CZ169" i="1"/>
  <c r="DB169" i="1"/>
  <c r="DF169" i="1"/>
  <c r="AC1731" i="1"/>
  <c r="AH1731" i="1"/>
  <c r="BS1731" i="1"/>
  <c r="BV1731" i="1"/>
  <c r="BX1731" i="1"/>
  <c r="BY1731" i="1"/>
  <c r="BZ1731" i="1"/>
  <c r="CA1731" i="1"/>
  <c r="CH1731" i="1"/>
  <c r="CL1731" i="1"/>
  <c r="CM1731" i="1"/>
  <c r="CN1731" i="1"/>
  <c r="CO1731" i="1"/>
  <c r="CP1731" i="1"/>
  <c r="CZ1731" i="1"/>
  <c r="DB1731" i="1"/>
  <c r="DF1731" i="1"/>
  <c r="AC782" i="1"/>
  <c r="AH782" i="1"/>
  <c r="BS782" i="1"/>
  <c r="BV782" i="1"/>
  <c r="BX782" i="1"/>
  <c r="BY782" i="1"/>
  <c r="BZ782" i="1"/>
  <c r="CA782" i="1"/>
  <c r="CH782" i="1"/>
  <c r="CL782" i="1"/>
  <c r="CM782" i="1"/>
  <c r="CN782" i="1"/>
  <c r="CO782" i="1"/>
  <c r="CP782" i="1"/>
  <c r="CZ782" i="1"/>
  <c r="DB782" i="1"/>
  <c r="DF782" i="1"/>
  <c r="AC1693" i="1"/>
  <c r="AH1693" i="1"/>
  <c r="BS1693" i="1"/>
  <c r="BV1693" i="1"/>
  <c r="BX1693" i="1"/>
  <c r="BY1693" i="1"/>
  <c r="BZ1693" i="1"/>
  <c r="CA1693" i="1"/>
  <c r="CH1693" i="1"/>
  <c r="CL1693" i="1"/>
  <c r="CM1693" i="1"/>
  <c r="CN1693" i="1"/>
  <c r="CO1693" i="1"/>
  <c r="CP1693" i="1"/>
  <c r="CZ1693" i="1"/>
  <c r="DB1693" i="1"/>
  <c r="DF1693" i="1"/>
  <c r="AC480" i="1"/>
  <c r="AH480" i="1"/>
  <c r="BS480" i="1"/>
  <c r="BV480" i="1"/>
  <c r="BX480" i="1"/>
  <c r="BY480" i="1"/>
  <c r="BZ480" i="1"/>
  <c r="CA480" i="1"/>
  <c r="CH480" i="1"/>
  <c r="CL480" i="1"/>
  <c r="CM480" i="1"/>
  <c r="CN480" i="1"/>
  <c r="CO480" i="1"/>
  <c r="CP480" i="1"/>
  <c r="CZ480" i="1"/>
  <c r="DB480" i="1"/>
  <c r="DF480" i="1"/>
  <c r="AC978" i="1"/>
  <c r="AH978" i="1"/>
  <c r="BS978" i="1"/>
  <c r="BV978" i="1"/>
  <c r="BX978" i="1"/>
  <c r="BY978" i="1"/>
  <c r="BZ978" i="1"/>
  <c r="CA978" i="1"/>
  <c r="CH978" i="1"/>
  <c r="CL978" i="1"/>
  <c r="CM978" i="1"/>
  <c r="CN978" i="1"/>
  <c r="CO978" i="1"/>
  <c r="CP978" i="1"/>
  <c r="CZ978" i="1"/>
  <c r="DB978" i="1"/>
  <c r="DF978" i="1"/>
  <c r="AC1422" i="1"/>
  <c r="AH1422" i="1"/>
  <c r="BS1422" i="1"/>
  <c r="BV1422" i="1"/>
  <c r="BX1422" i="1"/>
  <c r="BY1422" i="1"/>
  <c r="BZ1422" i="1"/>
  <c r="CH1422" i="1"/>
  <c r="CL1422" i="1"/>
  <c r="CM1422" i="1"/>
  <c r="CN1422" i="1"/>
  <c r="CP1422" i="1"/>
  <c r="CZ1422" i="1"/>
  <c r="DB1422" i="1"/>
  <c r="DF1422" i="1"/>
  <c r="AC1517" i="1"/>
  <c r="AH1517" i="1"/>
  <c r="BS1517" i="1"/>
  <c r="BV1517" i="1"/>
  <c r="BX1517" i="1"/>
  <c r="BY1517" i="1"/>
  <c r="BZ1517" i="1"/>
  <c r="CH1517" i="1"/>
  <c r="CL1517" i="1"/>
  <c r="CM1517" i="1"/>
  <c r="CN1517" i="1"/>
  <c r="CO1517" i="1"/>
  <c r="CP1517" i="1"/>
  <c r="CZ1517" i="1"/>
  <c r="DB1517" i="1"/>
  <c r="DF1517" i="1"/>
  <c r="AC191" i="1"/>
  <c r="AH191" i="1"/>
  <c r="BS191" i="1"/>
  <c r="BV191" i="1"/>
  <c r="BX191" i="1"/>
  <c r="BY191" i="1"/>
  <c r="BZ191" i="1"/>
  <c r="CH191" i="1"/>
  <c r="CL191" i="1"/>
  <c r="CM191" i="1"/>
  <c r="CN191" i="1"/>
  <c r="CO191" i="1"/>
  <c r="CP191" i="1"/>
  <c r="CZ191" i="1"/>
  <c r="DB191" i="1"/>
  <c r="DF191" i="1"/>
  <c r="AC509" i="1"/>
  <c r="AH509" i="1"/>
  <c r="BS509" i="1"/>
  <c r="BV509" i="1"/>
  <c r="BX509" i="1"/>
  <c r="BY509" i="1"/>
  <c r="BZ509" i="1"/>
  <c r="CH509" i="1"/>
  <c r="CL509" i="1"/>
  <c r="CM509" i="1"/>
  <c r="CN509" i="1"/>
  <c r="CO509" i="1"/>
  <c r="CP509" i="1"/>
  <c r="CZ509" i="1"/>
  <c r="DB509" i="1"/>
  <c r="DF509" i="1"/>
  <c r="AC909" i="1"/>
  <c r="AH909" i="1"/>
  <c r="BS909" i="1"/>
  <c r="BV909" i="1"/>
  <c r="BX909" i="1"/>
  <c r="BY909" i="1"/>
  <c r="BZ909" i="1"/>
  <c r="CA909" i="1"/>
  <c r="CH909" i="1"/>
  <c r="CL909" i="1"/>
  <c r="CM909" i="1"/>
  <c r="CN909" i="1"/>
  <c r="CO909" i="1"/>
  <c r="CP909" i="1"/>
  <c r="CZ909" i="1"/>
  <c r="DB909" i="1"/>
  <c r="DF909" i="1"/>
  <c r="AC1833" i="1"/>
  <c r="AH1833" i="1"/>
  <c r="BS1833" i="1"/>
  <c r="BV1833" i="1"/>
  <c r="BX1833" i="1"/>
  <c r="BY1833" i="1"/>
  <c r="BZ1833" i="1"/>
  <c r="CH1833" i="1"/>
  <c r="CL1833" i="1"/>
  <c r="CM1833" i="1"/>
  <c r="CN1833" i="1"/>
  <c r="CO1833" i="1"/>
  <c r="CP1833" i="1"/>
  <c r="CZ1833" i="1"/>
  <c r="DB1833" i="1"/>
  <c r="DF1833" i="1"/>
  <c r="AC809" i="1"/>
  <c r="AH809" i="1"/>
  <c r="BS809" i="1"/>
  <c r="BV809" i="1"/>
  <c r="BX809" i="1"/>
  <c r="BY809" i="1"/>
  <c r="BZ809" i="1"/>
  <c r="CH809" i="1"/>
  <c r="CL809" i="1"/>
  <c r="CM809" i="1"/>
  <c r="CN809" i="1"/>
  <c r="CO809" i="1"/>
  <c r="CP809" i="1"/>
  <c r="CZ809" i="1"/>
  <c r="DB809" i="1"/>
  <c r="DF809" i="1"/>
  <c r="AC2170" i="1"/>
  <c r="AH2170" i="1"/>
  <c r="BS2170" i="1"/>
  <c r="BV2170" i="1"/>
  <c r="BX2170" i="1"/>
  <c r="BY2170" i="1"/>
  <c r="BZ2170" i="1"/>
  <c r="CA2170" i="1"/>
  <c r="CH2170" i="1"/>
  <c r="CL2170" i="1"/>
  <c r="CM2170" i="1"/>
  <c r="CN2170" i="1"/>
  <c r="CO2170" i="1"/>
  <c r="CP2170" i="1"/>
  <c r="CZ2170" i="1"/>
  <c r="DB2170" i="1"/>
  <c r="DF2170" i="1"/>
  <c r="AC1671" i="1"/>
  <c r="AH1671" i="1"/>
  <c r="BS1671" i="1"/>
  <c r="BV1671" i="1"/>
  <c r="BX1671" i="1"/>
  <c r="BY1671" i="1"/>
  <c r="BZ1671" i="1"/>
  <c r="CA1671" i="1"/>
  <c r="CH1671" i="1"/>
  <c r="CL1671" i="1"/>
  <c r="CM1671" i="1"/>
  <c r="CN1671" i="1"/>
  <c r="CP1671" i="1"/>
  <c r="CZ1671" i="1"/>
  <c r="DB1671" i="1"/>
  <c r="DF1671" i="1"/>
  <c r="AC238" i="1"/>
  <c r="AH238" i="1"/>
  <c r="BS238" i="1"/>
  <c r="BV238" i="1"/>
  <c r="BX238" i="1"/>
  <c r="BY238" i="1"/>
  <c r="BZ238" i="1"/>
  <c r="CH238" i="1"/>
  <c r="CL238" i="1"/>
  <c r="CM238" i="1"/>
  <c r="CN238" i="1"/>
  <c r="CO238" i="1"/>
  <c r="CP238" i="1"/>
  <c r="CZ238" i="1"/>
  <c r="DB238" i="1"/>
  <c r="DF238" i="1"/>
  <c r="AC405" i="1"/>
  <c r="AH405" i="1"/>
  <c r="BS405" i="1"/>
  <c r="BV405" i="1"/>
  <c r="BX405" i="1"/>
  <c r="BY405" i="1"/>
  <c r="BZ405" i="1"/>
  <c r="CH405" i="1"/>
  <c r="CL405" i="1"/>
  <c r="CM405" i="1"/>
  <c r="CN405" i="1"/>
  <c r="CO405" i="1"/>
  <c r="CP405" i="1"/>
  <c r="CZ405" i="1"/>
  <c r="DB405" i="1"/>
  <c r="DF405" i="1"/>
  <c r="AC2090" i="1"/>
  <c r="AH2090" i="1"/>
  <c r="BS2090" i="1"/>
  <c r="BV2090" i="1"/>
  <c r="BX2090" i="1"/>
  <c r="BY2090" i="1"/>
  <c r="BZ2090" i="1"/>
  <c r="CA2090" i="1"/>
  <c r="CH2090" i="1"/>
  <c r="CL2090" i="1"/>
  <c r="CM2090" i="1"/>
  <c r="CN2090" i="1"/>
  <c r="CO2090" i="1"/>
  <c r="CP2090" i="1"/>
  <c r="CZ2090" i="1"/>
  <c r="DB2090" i="1"/>
  <c r="DF2090" i="1"/>
  <c r="AC681" i="1"/>
  <c r="AH681" i="1"/>
  <c r="BS681" i="1"/>
  <c r="BV681" i="1"/>
  <c r="BX681" i="1"/>
  <c r="BY681" i="1"/>
  <c r="BZ681" i="1"/>
  <c r="CH681" i="1"/>
  <c r="CL681" i="1"/>
  <c r="CM681" i="1"/>
  <c r="CN681" i="1"/>
  <c r="CO681" i="1"/>
  <c r="CP681" i="1"/>
  <c r="CZ681" i="1"/>
  <c r="DB681" i="1"/>
  <c r="DF681" i="1"/>
  <c r="AC856" i="1"/>
  <c r="AH856" i="1"/>
  <c r="BS856" i="1"/>
  <c r="BV856" i="1"/>
  <c r="BX856" i="1"/>
  <c r="BY856" i="1"/>
  <c r="BZ856" i="1"/>
  <c r="CH856" i="1"/>
  <c r="CL856" i="1"/>
  <c r="CM856" i="1"/>
  <c r="CN856" i="1"/>
  <c r="CO856" i="1"/>
  <c r="CP856" i="1"/>
  <c r="CZ856" i="1"/>
  <c r="DB856" i="1"/>
  <c r="DF856" i="1"/>
  <c r="AC716" i="1"/>
  <c r="AH716" i="1"/>
  <c r="BS716" i="1"/>
  <c r="BV716" i="1"/>
  <c r="BX716" i="1"/>
  <c r="BY716" i="1"/>
  <c r="BZ716" i="1"/>
  <c r="CA716" i="1"/>
  <c r="CH716" i="1"/>
  <c r="CL716" i="1"/>
  <c r="CM716" i="1"/>
  <c r="CN716" i="1"/>
  <c r="CO716" i="1"/>
  <c r="CP716" i="1"/>
  <c r="CZ716" i="1"/>
  <c r="DB716" i="1"/>
  <c r="DF716" i="1"/>
  <c r="AC2070" i="1"/>
  <c r="AH2070" i="1"/>
  <c r="BS2070" i="1"/>
  <c r="BV2070" i="1"/>
  <c r="BX2070" i="1"/>
  <c r="BY2070" i="1"/>
  <c r="BZ2070" i="1"/>
  <c r="CA2070" i="1"/>
  <c r="CH2070" i="1"/>
  <c r="CL2070" i="1"/>
  <c r="CM2070" i="1"/>
  <c r="CN2070" i="1"/>
  <c r="CO2070" i="1"/>
  <c r="CP2070" i="1"/>
  <c r="CZ2070" i="1"/>
  <c r="DB2070" i="1"/>
  <c r="DF2070" i="1"/>
  <c r="AC828" i="1"/>
  <c r="AH828" i="1"/>
  <c r="BS828" i="1"/>
  <c r="BV828" i="1"/>
  <c r="BX828" i="1"/>
  <c r="BY828" i="1"/>
  <c r="BZ828" i="1"/>
  <c r="CA828" i="1"/>
  <c r="CH828" i="1"/>
  <c r="CL828" i="1"/>
  <c r="CM828" i="1"/>
  <c r="CN828" i="1"/>
  <c r="CO828" i="1"/>
  <c r="CP828" i="1"/>
  <c r="CZ828" i="1"/>
  <c r="DB828" i="1"/>
  <c r="DF828" i="1"/>
  <c r="AC1893" i="1"/>
  <c r="AH1893" i="1"/>
  <c r="BS1893" i="1"/>
  <c r="BV1893" i="1"/>
  <c r="BX1893" i="1"/>
  <c r="BY1893" i="1"/>
  <c r="BZ1893" i="1"/>
  <c r="CA1893" i="1"/>
  <c r="CH1893" i="1"/>
  <c r="CL1893" i="1"/>
  <c r="CM1893" i="1"/>
  <c r="CN1893" i="1"/>
  <c r="CP1893" i="1"/>
  <c r="CZ1893" i="1"/>
  <c r="DB1893" i="1"/>
  <c r="DF1893" i="1"/>
  <c r="AC819" i="1"/>
  <c r="AH819" i="1"/>
  <c r="BS819" i="1"/>
  <c r="BV819" i="1"/>
  <c r="BX819" i="1"/>
  <c r="BY819" i="1"/>
  <c r="BZ819" i="1"/>
  <c r="CA819" i="1"/>
  <c r="CH819" i="1"/>
  <c r="CL819" i="1"/>
  <c r="CM819" i="1"/>
  <c r="CN819" i="1"/>
  <c r="CO819" i="1"/>
  <c r="CP819" i="1"/>
  <c r="CZ819" i="1"/>
  <c r="DB819" i="1"/>
  <c r="DF819" i="1"/>
  <c r="AC1520" i="1"/>
  <c r="AH1520" i="1"/>
  <c r="BS1520" i="1"/>
  <c r="BV1520" i="1"/>
  <c r="BX1520" i="1"/>
  <c r="BY1520" i="1"/>
  <c r="BZ1520" i="1"/>
  <c r="CH1520" i="1"/>
  <c r="CL1520" i="1"/>
  <c r="CM1520" i="1"/>
  <c r="CN1520" i="1"/>
  <c r="CO1520" i="1"/>
  <c r="CP1520" i="1"/>
  <c r="CZ1520" i="1"/>
  <c r="DB1520" i="1"/>
  <c r="DF1520" i="1"/>
  <c r="AC1231" i="1"/>
  <c r="AH1231" i="1"/>
  <c r="BS1231" i="1"/>
  <c r="BV1231" i="1"/>
  <c r="BX1231" i="1"/>
  <c r="BY1231" i="1"/>
  <c r="BZ1231" i="1"/>
  <c r="CH1231" i="1"/>
  <c r="CL1231" i="1"/>
  <c r="CM1231" i="1"/>
  <c r="CN1231" i="1"/>
  <c r="CO1231" i="1"/>
  <c r="CP1231" i="1"/>
  <c r="CZ1231" i="1"/>
  <c r="DB1231" i="1"/>
  <c r="DF1231" i="1"/>
  <c r="AC906" i="1"/>
  <c r="AH906" i="1"/>
  <c r="BS906" i="1"/>
  <c r="BV906" i="1"/>
  <c r="BX906" i="1"/>
  <c r="BY906" i="1"/>
  <c r="BZ906" i="1"/>
  <c r="CH906" i="1"/>
  <c r="CL906" i="1"/>
  <c r="CM906" i="1"/>
  <c r="CN906" i="1"/>
  <c r="CO906" i="1"/>
  <c r="CP906" i="1"/>
  <c r="CZ906" i="1"/>
  <c r="DB906" i="1"/>
  <c r="DF906" i="1"/>
  <c r="AC2298" i="1"/>
  <c r="AH2298" i="1"/>
  <c r="BS2298" i="1"/>
  <c r="BV2298" i="1"/>
  <c r="BX2298" i="1"/>
  <c r="BY2298" i="1"/>
  <c r="BZ2298" i="1"/>
  <c r="CA2298" i="1"/>
  <c r="CH2298" i="1"/>
  <c r="CL2298" i="1"/>
  <c r="CM2298" i="1"/>
  <c r="CN2298" i="1"/>
  <c r="CO2298" i="1"/>
  <c r="CP2298" i="1"/>
  <c r="CZ2298" i="1"/>
  <c r="DB2298" i="1"/>
  <c r="DF2298" i="1"/>
  <c r="AC589" i="1"/>
  <c r="AH589" i="1"/>
  <c r="BS589" i="1"/>
  <c r="BV589" i="1"/>
  <c r="BX589" i="1"/>
  <c r="BY589" i="1"/>
  <c r="BZ589" i="1"/>
  <c r="CH589" i="1"/>
  <c r="CL589" i="1"/>
  <c r="CM589" i="1"/>
  <c r="CN589" i="1"/>
  <c r="CO589" i="1"/>
  <c r="CP589" i="1"/>
  <c r="CZ589" i="1"/>
  <c r="DB589" i="1"/>
  <c r="DF589" i="1"/>
  <c r="AC163" i="1"/>
  <c r="AH163" i="1"/>
  <c r="BS163" i="1"/>
  <c r="BV163" i="1"/>
  <c r="BX163" i="1"/>
  <c r="BY163" i="1"/>
  <c r="BZ163" i="1"/>
  <c r="CA163" i="1"/>
  <c r="CH163" i="1"/>
  <c r="CL163" i="1"/>
  <c r="CM163" i="1"/>
  <c r="CN163" i="1"/>
  <c r="CO163" i="1"/>
  <c r="CP163" i="1"/>
  <c r="CZ163" i="1"/>
  <c r="DB163" i="1"/>
  <c r="DF163" i="1"/>
  <c r="AC1430" i="1"/>
  <c r="AH1430" i="1"/>
  <c r="BS1430" i="1"/>
  <c r="BV1430" i="1"/>
  <c r="BX1430" i="1"/>
  <c r="BY1430" i="1"/>
  <c r="BZ1430" i="1"/>
  <c r="CA1430" i="1"/>
  <c r="CH1430" i="1"/>
  <c r="CL1430" i="1"/>
  <c r="CM1430" i="1"/>
  <c r="CN1430" i="1"/>
  <c r="CO1430" i="1"/>
  <c r="CP1430" i="1"/>
  <c r="CZ1430" i="1"/>
  <c r="DB1430" i="1"/>
  <c r="DF1430" i="1"/>
  <c r="AC504" i="1"/>
  <c r="AH504" i="1"/>
  <c r="BS504" i="1"/>
  <c r="BV504" i="1"/>
  <c r="BX504" i="1"/>
  <c r="BY504" i="1"/>
  <c r="BZ504" i="1"/>
  <c r="CA504" i="1"/>
  <c r="CH504" i="1"/>
  <c r="CL504" i="1"/>
  <c r="CM504" i="1"/>
  <c r="CN504" i="1"/>
  <c r="CO504" i="1"/>
  <c r="CP504" i="1"/>
  <c r="CZ504" i="1"/>
  <c r="DB504" i="1"/>
  <c r="DF504" i="1"/>
  <c r="AC260" i="1"/>
  <c r="AH260" i="1"/>
  <c r="BS260" i="1"/>
  <c r="BV260" i="1"/>
  <c r="BX260" i="1"/>
  <c r="BY260" i="1"/>
  <c r="BZ260" i="1"/>
  <c r="CA260" i="1"/>
  <c r="CH260" i="1"/>
  <c r="CL260" i="1"/>
  <c r="CM260" i="1"/>
  <c r="CN260" i="1"/>
  <c r="CO260" i="1"/>
  <c r="CP260" i="1"/>
  <c r="CZ260" i="1"/>
  <c r="DB260" i="1"/>
  <c r="DF260" i="1"/>
  <c r="AC1609" i="1"/>
  <c r="AH1609" i="1"/>
  <c r="BS1609" i="1"/>
  <c r="BV1609" i="1"/>
  <c r="BX1609" i="1"/>
  <c r="BY1609" i="1"/>
  <c r="BZ1609" i="1"/>
  <c r="CA1609" i="1"/>
  <c r="CH1609" i="1"/>
  <c r="CL1609" i="1"/>
  <c r="CM1609" i="1"/>
  <c r="CN1609" i="1"/>
  <c r="CO1609" i="1"/>
  <c r="CP1609" i="1"/>
  <c r="CZ1609" i="1"/>
  <c r="DB1609" i="1"/>
  <c r="DF1609" i="1"/>
  <c r="AC1811" i="1"/>
  <c r="AH1811" i="1"/>
  <c r="BS1811" i="1"/>
  <c r="BV1811" i="1"/>
  <c r="BX1811" i="1"/>
  <c r="BY1811" i="1"/>
  <c r="BZ1811" i="1"/>
  <c r="CA1811" i="1"/>
  <c r="CH1811" i="1"/>
  <c r="CL1811" i="1"/>
  <c r="CM1811" i="1"/>
  <c r="CN1811" i="1"/>
  <c r="CO1811" i="1"/>
  <c r="CP1811" i="1"/>
  <c r="CZ1811" i="1"/>
  <c r="DB1811" i="1"/>
  <c r="DF1811" i="1"/>
  <c r="AC1271" i="1"/>
  <c r="AH1271" i="1"/>
  <c r="BS1271" i="1"/>
  <c r="BV1271" i="1"/>
  <c r="BX1271" i="1"/>
  <c r="BY1271" i="1"/>
  <c r="BZ1271" i="1"/>
  <c r="CA1271" i="1"/>
  <c r="CH1271" i="1"/>
  <c r="CL1271" i="1"/>
  <c r="CM1271" i="1"/>
  <c r="CN1271" i="1"/>
  <c r="CO1271" i="1"/>
  <c r="CP1271" i="1"/>
  <c r="CZ1271" i="1"/>
  <c r="DB1271" i="1"/>
  <c r="DF1271" i="1"/>
  <c r="AC380" i="1"/>
  <c r="AH380" i="1"/>
  <c r="BS380" i="1"/>
  <c r="BV380" i="1"/>
  <c r="BX380" i="1"/>
  <c r="BY380" i="1"/>
  <c r="BZ380" i="1"/>
  <c r="CH380" i="1"/>
  <c r="CL380" i="1"/>
  <c r="CM380" i="1"/>
  <c r="CN380" i="1"/>
  <c r="CO380" i="1"/>
  <c r="CP380" i="1"/>
  <c r="CZ380" i="1"/>
  <c r="DB380" i="1"/>
  <c r="DF380" i="1"/>
  <c r="AC1002" i="1"/>
  <c r="AH1002" i="1"/>
  <c r="BS1002" i="1"/>
  <c r="BV1002" i="1"/>
  <c r="BX1002" i="1"/>
  <c r="BY1002" i="1"/>
  <c r="BZ1002" i="1"/>
  <c r="CH1002" i="1"/>
  <c r="CL1002" i="1"/>
  <c r="CM1002" i="1"/>
  <c r="CN1002" i="1"/>
  <c r="CO1002" i="1"/>
  <c r="CP1002" i="1"/>
  <c r="CZ1002" i="1"/>
  <c r="DB1002" i="1"/>
  <c r="DF1002" i="1"/>
  <c r="AC1702" i="1"/>
  <c r="AH1702" i="1"/>
  <c r="BS1702" i="1"/>
  <c r="BV1702" i="1"/>
  <c r="BX1702" i="1"/>
  <c r="BY1702" i="1"/>
  <c r="BZ1702" i="1"/>
  <c r="CH1702" i="1"/>
  <c r="CL1702" i="1"/>
  <c r="CM1702" i="1"/>
  <c r="CN1702" i="1"/>
  <c r="CO1702" i="1"/>
  <c r="CP1702" i="1"/>
  <c r="CZ1702" i="1"/>
  <c r="DB1702" i="1"/>
  <c r="DF1702" i="1"/>
  <c r="AC128" i="1"/>
  <c r="AH128" i="1"/>
  <c r="BS128" i="1"/>
  <c r="BV128" i="1"/>
  <c r="BX128" i="1"/>
  <c r="BY128" i="1"/>
  <c r="BZ128" i="1"/>
  <c r="CA128" i="1"/>
  <c r="CH128" i="1"/>
  <c r="CL128" i="1"/>
  <c r="CM128" i="1"/>
  <c r="CN128" i="1"/>
  <c r="CO128" i="1"/>
  <c r="CP128" i="1"/>
  <c r="CZ128" i="1"/>
  <c r="DB128" i="1"/>
  <c r="DF128" i="1"/>
  <c r="AC875" i="1"/>
  <c r="AH875" i="1"/>
  <c r="BS875" i="1"/>
  <c r="BV875" i="1"/>
  <c r="BX875" i="1"/>
  <c r="BY875" i="1"/>
  <c r="BZ875" i="1"/>
  <c r="CA875" i="1"/>
  <c r="CH875" i="1"/>
  <c r="CL875" i="1"/>
  <c r="CM875" i="1"/>
  <c r="CN875" i="1"/>
  <c r="CO875" i="1"/>
  <c r="CP875" i="1"/>
  <c r="CZ875" i="1"/>
  <c r="DB875" i="1"/>
  <c r="DF875" i="1"/>
  <c r="AC535" i="1"/>
  <c r="AH535" i="1"/>
  <c r="BS535" i="1"/>
  <c r="BV535" i="1"/>
  <c r="BX535" i="1"/>
  <c r="BY535" i="1"/>
  <c r="BZ535" i="1"/>
  <c r="CA535" i="1"/>
  <c r="CH535" i="1"/>
  <c r="CL535" i="1"/>
  <c r="CM535" i="1"/>
  <c r="CN535" i="1"/>
  <c r="CO535" i="1"/>
  <c r="CP535" i="1"/>
  <c r="CZ535" i="1"/>
  <c r="DB535" i="1"/>
  <c r="DF535" i="1"/>
  <c r="AC724" i="1"/>
  <c r="AH724" i="1"/>
  <c r="BS724" i="1"/>
  <c r="BV724" i="1"/>
  <c r="BX724" i="1"/>
  <c r="BY724" i="1"/>
  <c r="BZ724" i="1"/>
  <c r="CA724" i="1"/>
  <c r="CH724" i="1"/>
  <c r="CL724" i="1"/>
  <c r="CM724" i="1"/>
  <c r="CN724" i="1"/>
  <c r="CO724" i="1"/>
  <c r="CP724" i="1"/>
  <c r="CZ724" i="1"/>
  <c r="DB724" i="1"/>
  <c r="DF724" i="1"/>
  <c r="AC1346" i="1"/>
  <c r="AH1346" i="1"/>
  <c r="BS1346" i="1"/>
  <c r="BV1346" i="1"/>
  <c r="BX1346" i="1"/>
  <c r="BY1346" i="1"/>
  <c r="BZ1346" i="1"/>
  <c r="CA1346" i="1"/>
  <c r="CH1346" i="1"/>
  <c r="CL1346" i="1"/>
  <c r="CM1346" i="1"/>
  <c r="CN1346" i="1"/>
  <c r="CO1346" i="1"/>
  <c r="CP1346" i="1"/>
  <c r="CZ1346" i="1"/>
  <c r="DB1346" i="1"/>
  <c r="DF1346" i="1"/>
  <c r="AC1195" i="1"/>
  <c r="AH1195" i="1"/>
  <c r="BS1195" i="1"/>
  <c r="BV1195" i="1"/>
  <c r="BX1195" i="1"/>
  <c r="BY1195" i="1"/>
  <c r="BZ1195" i="1"/>
  <c r="CA1195" i="1"/>
  <c r="CH1195" i="1"/>
  <c r="CL1195" i="1"/>
  <c r="CM1195" i="1"/>
  <c r="CN1195" i="1"/>
  <c r="CO1195" i="1"/>
  <c r="CP1195" i="1"/>
  <c r="CZ1195" i="1"/>
  <c r="DB1195" i="1"/>
  <c r="DF1195" i="1"/>
  <c r="AC2212" i="1"/>
  <c r="AH2212" i="1"/>
  <c r="BS2212" i="1"/>
  <c r="BV2212" i="1"/>
  <c r="BX2212" i="1"/>
  <c r="BY2212" i="1"/>
  <c r="BZ2212" i="1"/>
  <c r="CH2212" i="1"/>
  <c r="CL2212" i="1"/>
  <c r="CM2212" i="1"/>
  <c r="CN2212" i="1"/>
  <c r="CP2212" i="1"/>
  <c r="CZ2212" i="1"/>
  <c r="DB2212" i="1"/>
  <c r="DF2212" i="1"/>
  <c r="AC1579" i="1"/>
  <c r="AH1579" i="1"/>
  <c r="BS1579" i="1"/>
  <c r="BV1579" i="1"/>
  <c r="BX1579" i="1"/>
  <c r="BY1579" i="1"/>
  <c r="BZ1579" i="1"/>
  <c r="CH1579" i="1"/>
  <c r="CL1579" i="1"/>
  <c r="CM1579" i="1"/>
  <c r="CN1579" i="1"/>
  <c r="CO1579" i="1"/>
  <c r="CP1579" i="1"/>
  <c r="CZ1579" i="1"/>
  <c r="DB1579" i="1"/>
  <c r="DF1579" i="1"/>
  <c r="AC409" i="1"/>
  <c r="AH409" i="1"/>
  <c r="BS409" i="1"/>
  <c r="BV409" i="1"/>
  <c r="BX409" i="1"/>
  <c r="BY409" i="1"/>
  <c r="BZ409" i="1"/>
  <c r="CA409" i="1"/>
  <c r="CH409" i="1"/>
  <c r="CL409" i="1"/>
  <c r="CM409" i="1"/>
  <c r="CN409" i="1"/>
  <c r="CO409" i="1"/>
  <c r="CP409" i="1"/>
  <c r="CZ409" i="1"/>
  <c r="DB409" i="1"/>
  <c r="DF409" i="1"/>
  <c r="AC1780" i="1"/>
  <c r="AH1780" i="1"/>
  <c r="BS1780" i="1"/>
  <c r="BV1780" i="1"/>
  <c r="BX1780" i="1"/>
  <c r="BY1780" i="1"/>
  <c r="BZ1780" i="1"/>
  <c r="CA1780" i="1"/>
  <c r="CH1780" i="1"/>
  <c r="CL1780" i="1"/>
  <c r="CM1780" i="1"/>
  <c r="CN1780" i="1"/>
  <c r="CO1780" i="1"/>
  <c r="CP1780" i="1"/>
  <c r="CZ1780" i="1"/>
  <c r="DB1780" i="1"/>
  <c r="DF1780" i="1"/>
  <c r="AC149" i="1"/>
  <c r="AH149" i="1"/>
  <c r="BS149" i="1"/>
  <c r="BV149" i="1"/>
  <c r="BX149" i="1"/>
  <c r="BY149" i="1"/>
  <c r="BZ149" i="1"/>
  <c r="CA149" i="1"/>
  <c r="CH149" i="1"/>
  <c r="CL149" i="1"/>
  <c r="CM149" i="1"/>
  <c r="CN149" i="1"/>
  <c r="CO149" i="1"/>
  <c r="CP149" i="1"/>
  <c r="CZ149" i="1"/>
  <c r="DB149" i="1"/>
  <c r="DF149" i="1"/>
  <c r="AC775" i="1"/>
  <c r="AH775" i="1"/>
  <c r="BS775" i="1"/>
  <c r="BV775" i="1"/>
  <c r="BX775" i="1"/>
  <c r="BY775" i="1"/>
  <c r="BZ775" i="1"/>
  <c r="CH775" i="1"/>
  <c r="CL775" i="1"/>
  <c r="CM775" i="1"/>
  <c r="CN775" i="1"/>
  <c r="CO775" i="1"/>
  <c r="CP775" i="1"/>
  <c r="CZ775" i="1"/>
  <c r="DB775" i="1"/>
  <c r="DF775" i="1"/>
  <c r="AC675" i="1"/>
  <c r="AH675" i="1"/>
  <c r="BS675" i="1"/>
  <c r="BV675" i="1"/>
  <c r="BX675" i="1"/>
  <c r="BY675" i="1"/>
  <c r="BZ675" i="1"/>
  <c r="CA675" i="1"/>
  <c r="CH675" i="1"/>
  <c r="CL675" i="1"/>
  <c r="CM675" i="1"/>
  <c r="CN675" i="1"/>
  <c r="CO675" i="1"/>
  <c r="CP675" i="1"/>
  <c r="CZ675" i="1"/>
  <c r="DB675" i="1"/>
  <c r="DF675" i="1"/>
  <c r="AC108" i="1"/>
  <c r="AH108" i="1"/>
  <c r="BS108" i="1"/>
  <c r="BV108" i="1"/>
  <c r="BX108" i="1"/>
  <c r="BY108" i="1"/>
  <c r="BZ108" i="1"/>
  <c r="CH108" i="1"/>
  <c r="CL108" i="1"/>
  <c r="CM108" i="1"/>
  <c r="CN108" i="1"/>
  <c r="CO108" i="1"/>
  <c r="CP108" i="1"/>
  <c r="CZ108" i="1"/>
  <c r="DB108" i="1"/>
  <c r="DF108" i="1"/>
  <c r="AC1355" i="1"/>
  <c r="AH1355" i="1"/>
  <c r="BS1355" i="1"/>
  <c r="BV1355" i="1"/>
  <c r="BX1355" i="1"/>
  <c r="BY1355" i="1"/>
  <c r="BZ1355" i="1"/>
  <c r="CH1355" i="1"/>
  <c r="CL1355" i="1"/>
  <c r="CM1355" i="1"/>
  <c r="CN1355" i="1"/>
  <c r="CO1355" i="1"/>
  <c r="CP1355" i="1"/>
  <c r="CZ1355" i="1"/>
  <c r="DB1355" i="1"/>
  <c r="DF1355" i="1"/>
  <c r="AC1183" i="1"/>
  <c r="AH1183" i="1"/>
  <c r="BS1183" i="1"/>
  <c r="BV1183" i="1"/>
  <c r="BX1183" i="1"/>
  <c r="BY1183" i="1"/>
  <c r="BZ1183" i="1"/>
  <c r="CA1183" i="1"/>
  <c r="CH1183" i="1"/>
  <c r="CL1183" i="1"/>
  <c r="CM1183" i="1"/>
  <c r="CN1183" i="1"/>
  <c r="CO1183" i="1"/>
  <c r="CP1183" i="1"/>
  <c r="CZ1183" i="1"/>
  <c r="DB1183" i="1"/>
  <c r="DF1183" i="1"/>
  <c r="AC634" i="1"/>
  <c r="AH634" i="1"/>
  <c r="BS634" i="1"/>
  <c r="BV634" i="1"/>
  <c r="BX634" i="1"/>
  <c r="BY634" i="1"/>
  <c r="BZ634" i="1"/>
  <c r="CA634" i="1"/>
  <c r="CH634" i="1"/>
  <c r="CL634" i="1"/>
  <c r="CM634" i="1"/>
  <c r="CN634" i="1"/>
  <c r="CO634" i="1"/>
  <c r="CP634" i="1"/>
  <c r="CZ634" i="1"/>
  <c r="DB634" i="1"/>
  <c r="DF634" i="1"/>
  <c r="AC1451" i="1"/>
  <c r="AH1451" i="1"/>
  <c r="BS1451" i="1"/>
  <c r="BV1451" i="1"/>
  <c r="BX1451" i="1"/>
  <c r="BY1451" i="1"/>
  <c r="BZ1451" i="1"/>
  <c r="CH1451" i="1"/>
  <c r="CL1451" i="1"/>
  <c r="CM1451" i="1"/>
  <c r="CN1451" i="1"/>
  <c r="CO1451" i="1"/>
  <c r="CP1451" i="1"/>
  <c r="CZ1451" i="1"/>
  <c r="DB1451" i="1"/>
  <c r="DF1451" i="1"/>
  <c r="AC1408" i="1"/>
  <c r="AH1408" i="1"/>
  <c r="BS1408" i="1"/>
  <c r="BV1408" i="1"/>
  <c r="BX1408" i="1"/>
  <c r="BY1408" i="1"/>
  <c r="BZ1408" i="1"/>
  <c r="CA1408" i="1"/>
  <c r="CH1408" i="1"/>
  <c r="CL1408" i="1"/>
  <c r="CM1408" i="1"/>
  <c r="CN1408" i="1"/>
  <c r="CO1408" i="1"/>
  <c r="CP1408" i="1"/>
  <c r="CZ1408" i="1"/>
  <c r="DB1408" i="1"/>
  <c r="DF1408" i="1"/>
  <c r="AC1370" i="1"/>
  <c r="AH1370" i="1"/>
  <c r="BS1370" i="1"/>
  <c r="BV1370" i="1"/>
  <c r="BX1370" i="1"/>
  <c r="BY1370" i="1"/>
  <c r="BZ1370" i="1"/>
  <c r="CA1370" i="1"/>
  <c r="CH1370" i="1"/>
  <c r="CL1370" i="1"/>
  <c r="CM1370" i="1"/>
  <c r="CN1370" i="1"/>
  <c r="CO1370" i="1"/>
  <c r="CP1370" i="1"/>
  <c r="CZ1370" i="1"/>
  <c r="DB1370" i="1"/>
  <c r="DF1370" i="1"/>
  <c r="AC748" i="1"/>
  <c r="AH748" i="1"/>
  <c r="BS748" i="1"/>
  <c r="BV748" i="1"/>
  <c r="BX748" i="1"/>
  <c r="BY748" i="1"/>
  <c r="BZ748" i="1"/>
  <c r="CA748" i="1"/>
  <c r="CH748" i="1"/>
  <c r="CL748" i="1"/>
  <c r="CM748" i="1"/>
  <c r="CN748" i="1"/>
  <c r="CO748" i="1"/>
  <c r="CP748" i="1"/>
  <c r="CZ748" i="1"/>
  <c r="DB748" i="1"/>
  <c r="DF748" i="1"/>
  <c r="AC1721" i="1"/>
  <c r="AH1721" i="1"/>
  <c r="BS1721" i="1"/>
  <c r="BV1721" i="1"/>
  <c r="BX1721" i="1"/>
  <c r="BY1721" i="1"/>
  <c r="BZ1721" i="1"/>
  <c r="CH1721" i="1"/>
  <c r="CL1721" i="1"/>
  <c r="CM1721" i="1"/>
  <c r="CN1721" i="1"/>
  <c r="CO1721" i="1"/>
  <c r="CP1721" i="1"/>
  <c r="CZ1721" i="1"/>
  <c r="DB1721" i="1"/>
  <c r="DF1721" i="1"/>
  <c r="AC1542" i="1"/>
  <c r="AH1542" i="1"/>
  <c r="BS1542" i="1"/>
  <c r="BV1542" i="1"/>
  <c r="BX1542" i="1"/>
  <c r="BY1542" i="1"/>
  <c r="BZ1542" i="1"/>
  <c r="CH1542" i="1"/>
  <c r="CL1542" i="1"/>
  <c r="CM1542" i="1"/>
  <c r="CN1542" i="1"/>
  <c r="CO1542" i="1"/>
  <c r="CP1542" i="1"/>
  <c r="CZ1542" i="1"/>
  <c r="DB1542" i="1"/>
  <c r="DF1542" i="1"/>
  <c r="AC1273" i="1"/>
  <c r="AH1273" i="1"/>
  <c r="BS1273" i="1"/>
  <c r="BV1273" i="1"/>
  <c r="BX1273" i="1"/>
  <c r="BY1273" i="1"/>
  <c r="BZ1273" i="1"/>
  <c r="CA1273" i="1"/>
  <c r="CH1273" i="1"/>
  <c r="CL1273" i="1"/>
  <c r="CM1273" i="1"/>
  <c r="CN1273" i="1"/>
  <c r="CO1273" i="1"/>
  <c r="CP1273" i="1"/>
  <c r="CZ1273" i="1"/>
  <c r="DB1273" i="1"/>
  <c r="DF1273" i="1"/>
  <c r="AC678" i="1"/>
  <c r="AH678" i="1"/>
  <c r="BS678" i="1"/>
  <c r="BV678" i="1"/>
  <c r="BX678" i="1"/>
  <c r="BY678" i="1"/>
  <c r="BZ678" i="1"/>
  <c r="CA678" i="1"/>
  <c r="CH678" i="1"/>
  <c r="CL678" i="1"/>
  <c r="CM678" i="1"/>
  <c r="CN678" i="1"/>
  <c r="CO678" i="1"/>
  <c r="CP678" i="1"/>
  <c r="CZ678" i="1"/>
  <c r="DB678" i="1"/>
  <c r="DF678" i="1"/>
  <c r="AC1876" i="1"/>
  <c r="AH1876" i="1"/>
  <c r="BS1876" i="1"/>
  <c r="BV1876" i="1"/>
  <c r="BX1876" i="1"/>
  <c r="BY1876" i="1"/>
  <c r="BZ1876" i="1"/>
  <c r="CA1876" i="1"/>
  <c r="CH1876" i="1"/>
  <c r="CL1876" i="1"/>
  <c r="CM1876" i="1"/>
  <c r="CN1876" i="1"/>
  <c r="CO1876" i="1"/>
  <c r="CP1876" i="1"/>
  <c r="CZ1876" i="1"/>
  <c r="DB1876" i="1"/>
  <c r="DF1876" i="1"/>
  <c r="AC2309" i="1"/>
  <c r="AH2309" i="1"/>
  <c r="BS2309" i="1"/>
  <c r="BV2309" i="1"/>
  <c r="BX2309" i="1"/>
  <c r="BY2309" i="1"/>
  <c r="BZ2309" i="1"/>
  <c r="CA2309" i="1"/>
  <c r="CH2309" i="1"/>
  <c r="CL2309" i="1"/>
  <c r="CM2309" i="1"/>
  <c r="CN2309" i="1"/>
  <c r="CO2309" i="1"/>
  <c r="CP2309" i="1"/>
  <c r="CZ2309" i="1"/>
  <c r="DB2309" i="1"/>
  <c r="DF2309" i="1"/>
  <c r="AC1788" i="1"/>
  <c r="AH1788" i="1"/>
  <c r="BS1788" i="1"/>
  <c r="BV1788" i="1"/>
  <c r="BX1788" i="1"/>
  <c r="BY1788" i="1"/>
  <c r="BZ1788" i="1"/>
  <c r="CA1788" i="1"/>
  <c r="CH1788" i="1"/>
  <c r="CL1788" i="1"/>
  <c r="CM1788" i="1"/>
  <c r="CN1788" i="1"/>
  <c r="CP1788" i="1"/>
  <c r="CZ1788" i="1"/>
  <c r="DB1788" i="1"/>
  <c r="DF1788" i="1"/>
  <c r="AC37" i="1"/>
  <c r="AH37" i="1"/>
  <c r="BS37" i="1"/>
  <c r="BV37" i="1"/>
  <c r="BX37" i="1"/>
  <c r="BY37" i="1"/>
  <c r="BZ37" i="1"/>
  <c r="CA37" i="1"/>
  <c r="CH37" i="1"/>
  <c r="CL37" i="1"/>
  <c r="CM37" i="1"/>
  <c r="CN37" i="1"/>
  <c r="CO37" i="1"/>
  <c r="CP37" i="1"/>
  <c r="CZ37" i="1"/>
  <c r="DB37" i="1"/>
  <c r="DF37" i="1"/>
  <c r="AC208" i="1"/>
  <c r="AH208" i="1"/>
  <c r="BS208" i="1"/>
  <c r="BV208" i="1"/>
  <c r="BX208" i="1"/>
  <c r="BY208" i="1"/>
  <c r="BZ208" i="1"/>
  <c r="CH208" i="1"/>
  <c r="CL208" i="1"/>
  <c r="CM208" i="1"/>
  <c r="CN208" i="1"/>
  <c r="CO208" i="1"/>
  <c r="CP208" i="1"/>
  <c r="CZ208" i="1"/>
  <c r="DB208" i="1"/>
  <c r="DF208" i="1"/>
  <c r="AC980" i="1"/>
  <c r="AH980" i="1"/>
  <c r="BS980" i="1"/>
  <c r="BV980" i="1"/>
  <c r="BX980" i="1"/>
  <c r="BY980" i="1"/>
  <c r="BZ980" i="1"/>
  <c r="CA980" i="1"/>
  <c r="CH980" i="1"/>
  <c r="CL980" i="1"/>
  <c r="CM980" i="1"/>
  <c r="CN980" i="1"/>
  <c r="CO980" i="1"/>
  <c r="CP980" i="1"/>
  <c r="CZ980" i="1"/>
  <c r="DB980" i="1"/>
  <c r="DF980" i="1"/>
  <c r="AC6" i="1"/>
  <c r="AH6" i="1"/>
  <c r="BS6" i="1"/>
  <c r="BV6" i="1"/>
  <c r="BX6" i="1"/>
  <c r="BY6" i="1"/>
  <c r="BZ6" i="1"/>
  <c r="CA6" i="1"/>
  <c r="CH6" i="1"/>
  <c r="CL6" i="1"/>
  <c r="CM6" i="1"/>
  <c r="CN6" i="1"/>
  <c r="CO6" i="1"/>
  <c r="CP6" i="1"/>
  <c r="CZ6" i="1"/>
  <c r="DB6" i="1"/>
  <c r="DF6" i="1"/>
  <c r="AC2292" i="1"/>
  <c r="AH2292" i="1"/>
  <c r="BS2292" i="1"/>
  <c r="BV2292" i="1"/>
  <c r="BX2292" i="1"/>
  <c r="BY2292" i="1"/>
  <c r="BZ2292" i="1"/>
  <c r="CA2292" i="1"/>
  <c r="CH2292" i="1"/>
  <c r="CL2292" i="1"/>
  <c r="CM2292" i="1"/>
  <c r="CN2292" i="1"/>
  <c r="CO2292" i="1"/>
  <c r="CP2292" i="1"/>
  <c r="CZ2292" i="1"/>
  <c r="DB2292" i="1"/>
  <c r="DF2292" i="1"/>
  <c r="AC1170" i="1"/>
  <c r="AH1170" i="1"/>
  <c r="BS1170" i="1"/>
  <c r="BV1170" i="1"/>
  <c r="BX1170" i="1"/>
  <c r="BY1170" i="1"/>
  <c r="BZ1170" i="1"/>
  <c r="CH1170" i="1"/>
  <c r="CL1170" i="1"/>
  <c r="CM1170" i="1"/>
  <c r="CN1170" i="1"/>
  <c r="CO1170" i="1"/>
  <c r="CP1170" i="1"/>
  <c r="CZ1170" i="1"/>
  <c r="DB1170" i="1"/>
  <c r="DF1170" i="1"/>
  <c r="AC1246" i="1"/>
  <c r="AH1246" i="1"/>
  <c r="BS1246" i="1"/>
  <c r="BV1246" i="1"/>
  <c r="BX1246" i="1"/>
  <c r="BY1246" i="1"/>
  <c r="BZ1246" i="1"/>
  <c r="CA1246" i="1"/>
  <c r="CH1246" i="1"/>
  <c r="CL1246" i="1"/>
  <c r="CM1246" i="1"/>
  <c r="CN1246" i="1"/>
  <c r="CO1246" i="1"/>
  <c r="CP1246" i="1"/>
  <c r="CZ1246" i="1"/>
  <c r="DB1246" i="1"/>
  <c r="DF1246" i="1"/>
  <c r="AC1765" i="1"/>
  <c r="AH1765" i="1"/>
  <c r="BS1765" i="1"/>
  <c r="BV1765" i="1"/>
  <c r="BX1765" i="1"/>
  <c r="BY1765" i="1"/>
  <c r="BZ1765" i="1"/>
  <c r="CH1765" i="1"/>
  <c r="CL1765" i="1"/>
  <c r="CM1765" i="1"/>
  <c r="CN1765" i="1"/>
  <c r="CO1765" i="1"/>
  <c r="CP1765" i="1"/>
  <c r="CZ1765" i="1"/>
  <c r="DB1765" i="1"/>
  <c r="DF1765" i="1"/>
  <c r="AC785" i="1"/>
  <c r="AH785" i="1"/>
  <c r="BS785" i="1"/>
  <c r="BV785" i="1"/>
  <c r="BX785" i="1"/>
  <c r="BY785" i="1"/>
  <c r="BZ785" i="1"/>
  <c r="CA785" i="1"/>
  <c r="CH785" i="1"/>
  <c r="CL785" i="1"/>
  <c r="CM785" i="1"/>
  <c r="CN785" i="1"/>
  <c r="CO785" i="1"/>
  <c r="CP785" i="1"/>
  <c r="CZ785" i="1"/>
  <c r="DB785" i="1"/>
  <c r="DF785" i="1"/>
  <c r="AC1712" i="1"/>
  <c r="AH1712" i="1"/>
  <c r="BS1712" i="1"/>
  <c r="BV1712" i="1"/>
  <c r="BX1712" i="1"/>
  <c r="BY1712" i="1"/>
  <c r="BZ1712" i="1"/>
  <c r="CA1712" i="1"/>
  <c r="CH1712" i="1"/>
  <c r="CL1712" i="1"/>
  <c r="CM1712" i="1"/>
  <c r="CN1712" i="1"/>
  <c r="CO1712" i="1"/>
  <c r="CP1712" i="1"/>
  <c r="CZ1712" i="1"/>
  <c r="DB1712" i="1"/>
  <c r="DF1712" i="1"/>
  <c r="AC2026" i="1"/>
  <c r="AH2026" i="1"/>
  <c r="BS2026" i="1"/>
  <c r="BV2026" i="1"/>
  <c r="BX2026" i="1"/>
  <c r="BY2026" i="1"/>
  <c r="BZ2026" i="1"/>
  <c r="CA2026" i="1"/>
  <c r="CH2026" i="1"/>
  <c r="CL2026" i="1"/>
  <c r="CM2026" i="1"/>
  <c r="CN2026" i="1"/>
  <c r="CO2026" i="1"/>
  <c r="CP2026" i="1"/>
  <c r="CZ2026" i="1"/>
  <c r="DB2026" i="1"/>
  <c r="DF2026" i="1"/>
  <c r="AC1027" i="1"/>
  <c r="AH1027" i="1"/>
  <c r="BS1027" i="1"/>
  <c r="BV1027" i="1"/>
  <c r="BX1027" i="1"/>
  <c r="BY1027" i="1"/>
  <c r="BZ1027" i="1"/>
  <c r="CA1027" i="1"/>
  <c r="CH1027" i="1"/>
  <c r="CL1027" i="1"/>
  <c r="CM1027" i="1"/>
  <c r="CN1027" i="1"/>
  <c r="CO1027" i="1"/>
  <c r="CP1027" i="1"/>
  <c r="CZ1027" i="1"/>
  <c r="DB1027" i="1"/>
  <c r="DF1027" i="1"/>
  <c r="AC256" i="1"/>
  <c r="AH256" i="1"/>
  <c r="BS256" i="1"/>
  <c r="BV256" i="1"/>
  <c r="BX256" i="1"/>
  <c r="BY256" i="1"/>
  <c r="BZ256" i="1"/>
  <c r="CA256" i="1"/>
  <c r="CH256" i="1"/>
  <c r="CL256" i="1"/>
  <c r="CM256" i="1"/>
  <c r="CN256" i="1"/>
  <c r="CO256" i="1"/>
  <c r="CP256" i="1"/>
  <c r="CZ256" i="1"/>
  <c r="DB256" i="1"/>
  <c r="DF256" i="1"/>
  <c r="AC1398" i="1"/>
  <c r="AH1398" i="1"/>
  <c r="BS1398" i="1"/>
  <c r="BV1398" i="1"/>
  <c r="BX1398" i="1"/>
  <c r="BY1398" i="1"/>
  <c r="BZ1398" i="1"/>
  <c r="CA1398" i="1"/>
  <c r="CH1398" i="1"/>
  <c r="CL1398" i="1"/>
  <c r="CM1398" i="1"/>
  <c r="CN1398" i="1"/>
  <c r="CO1398" i="1"/>
  <c r="CP1398" i="1"/>
  <c r="CZ1398" i="1"/>
  <c r="DB1398" i="1"/>
  <c r="DF1398" i="1"/>
  <c r="AC1197" i="1"/>
  <c r="AH1197" i="1"/>
  <c r="BS1197" i="1"/>
  <c r="BV1197" i="1"/>
  <c r="BX1197" i="1"/>
  <c r="BY1197" i="1"/>
  <c r="BZ1197" i="1"/>
  <c r="CA1197" i="1"/>
  <c r="CH1197" i="1"/>
  <c r="CL1197" i="1"/>
  <c r="CM1197" i="1"/>
  <c r="CN1197" i="1"/>
  <c r="CO1197" i="1"/>
  <c r="CP1197" i="1"/>
  <c r="CZ1197" i="1"/>
  <c r="DB1197" i="1"/>
  <c r="DF1197" i="1"/>
  <c r="AC1545" i="1"/>
  <c r="AH1545" i="1"/>
  <c r="BS1545" i="1"/>
  <c r="BV1545" i="1"/>
  <c r="BX1545" i="1"/>
  <c r="BY1545" i="1"/>
  <c r="BZ1545" i="1"/>
  <c r="CA1545" i="1"/>
  <c r="CH1545" i="1"/>
  <c r="CL1545" i="1"/>
  <c r="CM1545" i="1"/>
  <c r="CN1545" i="1"/>
  <c r="CO1545" i="1"/>
  <c r="CP1545" i="1"/>
  <c r="CZ1545" i="1"/>
  <c r="DB1545" i="1"/>
  <c r="DF1545" i="1"/>
  <c r="AC27" i="1"/>
  <c r="AH27" i="1"/>
  <c r="BS27" i="1"/>
  <c r="BV27" i="1"/>
  <c r="BX27" i="1"/>
  <c r="BY27" i="1"/>
  <c r="BZ27" i="1"/>
  <c r="CA27" i="1"/>
  <c r="CH27" i="1"/>
  <c r="CL27" i="1"/>
  <c r="CM27" i="1"/>
  <c r="CN27" i="1"/>
  <c r="CO27" i="1"/>
  <c r="CP27" i="1"/>
  <c r="CZ27" i="1"/>
  <c r="DB27" i="1"/>
  <c r="DF27" i="1"/>
  <c r="AC950" i="1"/>
  <c r="AH950" i="1"/>
  <c r="BS950" i="1"/>
  <c r="BV950" i="1"/>
  <c r="BX950" i="1"/>
  <c r="BY950" i="1"/>
  <c r="BZ950" i="1"/>
  <c r="CA950" i="1"/>
  <c r="CH950" i="1"/>
  <c r="CL950" i="1"/>
  <c r="CM950" i="1"/>
  <c r="CN950" i="1"/>
  <c r="CO950" i="1"/>
  <c r="CP950" i="1"/>
  <c r="CZ950" i="1"/>
  <c r="DB950" i="1"/>
  <c r="DF950" i="1"/>
  <c r="AC712" i="1"/>
  <c r="AH712" i="1"/>
  <c r="BS712" i="1"/>
  <c r="BV712" i="1"/>
  <c r="BX712" i="1"/>
  <c r="BY712" i="1"/>
  <c r="BZ712" i="1"/>
  <c r="CA712" i="1"/>
  <c r="CH712" i="1"/>
  <c r="CL712" i="1"/>
  <c r="CM712" i="1"/>
  <c r="CN712" i="1"/>
  <c r="CO712" i="1"/>
  <c r="CP712" i="1"/>
  <c r="CZ712" i="1"/>
  <c r="DB712" i="1"/>
  <c r="DF712" i="1"/>
  <c r="AC1832" i="1"/>
  <c r="AH1832" i="1"/>
  <c r="BS1832" i="1"/>
  <c r="BV1832" i="1"/>
  <c r="BX1832" i="1"/>
  <c r="BY1832" i="1"/>
  <c r="BZ1832" i="1"/>
  <c r="CH1832" i="1"/>
  <c r="CL1832" i="1"/>
  <c r="CM1832" i="1"/>
  <c r="CN1832" i="1"/>
  <c r="CO1832" i="1"/>
  <c r="CP1832" i="1"/>
  <c r="CZ1832" i="1"/>
  <c r="DB1832" i="1"/>
  <c r="DF1832" i="1"/>
  <c r="AC1743" i="1"/>
  <c r="AH1743" i="1"/>
  <c r="BS1743" i="1"/>
  <c r="BV1743" i="1"/>
  <c r="BX1743" i="1"/>
  <c r="BY1743" i="1"/>
  <c r="BZ1743" i="1"/>
  <c r="CA1743" i="1"/>
  <c r="CH1743" i="1"/>
  <c r="CL1743" i="1"/>
  <c r="CM1743" i="1"/>
  <c r="CN1743" i="1"/>
  <c r="CO1743" i="1"/>
  <c r="CP1743" i="1"/>
  <c r="CZ1743" i="1"/>
  <c r="DB1743" i="1"/>
  <c r="DF1743" i="1"/>
  <c r="AC1259" i="1"/>
  <c r="AH1259" i="1"/>
  <c r="BS1259" i="1"/>
  <c r="BV1259" i="1"/>
  <c r="BX1259" i="1"/>
  <c r="BY1259" i="1"/>
  <c r="BZ1259" i="1"/>
  <c r="CH1259" i="1"/>
  <c r="CL1259" i="1"/>
  <c r="CM1259" i="1"/>
  <c r="CN1259" i="1"/>
  <c r="CP1259" i="1"/>
  <c r="CZ1259" i="1"/>
  <c r="DB1259" i="1"/>
  <c r="DF1259" i="1"/>
  <c r="AC1156" i="1"/>
  <c r="AH1156" i="1"/>
  <c r="BS1156" i="1"/>
  <c r="BV1156" i="1"/>
  <c r="BX1156" i="1"/>
  <c r="BY1156" i="1"/>
  <c r="BZ1156" i="1"/>
  <c r="CA1156" i="1"/>
  <c r="CH1156" i="1"/>
  <c r="CL1156" i="1"/>
  <c r="CM1156" i="1"/>
  <c r="CN1156" i="1"/>
  <c r="CO1156" i="1"/>
  <c r="CP1156" i="1"/>
  <c r="CZ1156" i="1"/>
  <c r="DB1156" i="1"/>
  <c r="DF1156" i="1"/>
  <c r="AC2306" i="1"/>
  <c r="AH2306" i="1"/>
  <c r="BS2306" i="1"/>
  <c r="BV2306" i="1"/>
  <c r="BX2306" i="1"/>
  <c r="BY2306" i="1"/>
  <c r="BZ2306" i="1"/>
  <c r="CH2306" i="1"/>
  <c r="CL2306" i="1"/>
  <c r="CM2306" i="1"/>
  <c r="CN2306" i="1"/>
  <c r="CO2306" i="1"/>
  <c r="CP2306" i="1"/>
  <c r="CZ2306" i="1"/>
  <c r="DB2306" i="1"/>
  <c r="DF2306" i="1"/>
  <c r="AC207" i="1"/>
  <c r="AH207" i="1"/>
  <c r="BS207" i="1"/>
  <c r="BV207" i="1"/>
  <c r="BX207" i="1"/>
  <c r="BY207" i="1"/>
  <c r="BZ207" i="1"/>
  <c r="CH207" i="1"/>
  <c r="CL207" i="1"/>
  <c r="CM207" i="1"/>
  <c r="CN207" i="1"/>
  <c r="CO207" i="1"/>
  <c r="CP207" i="1"/>
  <c r="CZ207" i="1"/>
  <c r="DB207" i="1"/>
  <c r="DF207" i="1"/>
  <c r="AC1605" i="1"/>
  <c r="AH1605" i="1"/>
  <c r="BS1605" i="1"/>
  <c r="BV1605" i="1"/>
  <c r="BX1605" i="1"/>
  <c r="BY1605" i="1"/>
  <c r="BZ1605" i="1"/>
  <c r="CA1605" i="1"/>
  <c r="CH1605" i="1"/>
  <c r="CL1605" i="1"/>
  <c r="CM1605" i="1"/>
  <c r="CN1605" i="1"/>
  <c r="CO1605" i="1"/>
  <c r="CP1605" i="1"/>
  <c r="CZ1605" i="1"/>
  <c r="DB1605" i="1"/>
  <c r="DF1605" i="1"/>
  <c r="AC1516" i="1"/>
  <c r="AH1516" i="1"/>
  <c r="BS1516" i="1"/>
  <c r="BV1516" i="1"/>
  <c r="BX1516" i="1"/>
  <c r="BY1516" i="1"/>
  <c r="BZ1516" i="1"/>
  <c r="CH1516" i="1"/>
  <c r="CL1516" i="1"/>
  <c r="CM1516" i="1"/>
  <c r="CN1516" i="1"/>
  <c r="CO1516" i="1"/>
  <c r="CP1516" i="1"/>
  <c r="CZ1516" i="1"/>
  <c r="DB1516" i="1"/>
  <c r="DF1516" i="1"/>
  <c r="AC1717" i="1"/>
  <c r="AH1717" i="1"/>
  <c r="BS1717" i="1"/>
  <c r="BV1717" i="1"/>
  <c r="BX1717" i="1"/>
  <c r="BY1717" i="1"/>
  <c r="BZ1717" i="1"/>
  <c r="CH1717" i="1"/>
  <c r="CL1717" i="1"/>
  <c r="CM1717" i="1"/>
  <c r="CN1717" i="1"/>
  <c r="CP1717" i="1"/>
  <c r="CZ1717" i="1"/>
  <c r="DB1717" i="1"/>
  <c r="DF1717" i="1"/>
  <c r="AC1683" i="1"/>
  <c r="AH1683" i="1"/>
  <c r="BS1683" i="1"/>
  <c r="BV1683" i="1"/>
  <c r="BX1683" i="1"/>
  <c r="BY1683" i="1"/>
  <c r="BZ1683" i="1"/>
  <c r="CA1683" i="1"/>
  <c r="CH1683" i="1"/>
  <c r="CL1683" i="1"/>
  <c r="CM1683" i="1"/>
  <c r="CN1683" i="1"/>
  <c r="CO1683" i="1"/>
  <c r="CP1683" i="1"/>
  <c r="CZ1683" i="1"/>
  <c r="DB1683" i="1"/>
  <c r="DF1683" i="1"/>
  <c r="AC2178" i="1"/>
  <c r="AH2178" i="1"/>
  <c r="BS2178" i="1"/>
  <c r="BV2178" i="1"/>
  <c r="BX2178" i="1"/>
  <c r="BY2178" i="1"/>
  <c r="BZ2178" i="1"/>
  <c r="CH2178" i="1"/>
  <c r="CL2178" i="1"/>
  <c r="CM2178" i="1"/>
  <c r="CN2178" i="1"/>
  <c r="CO2178" i="1"/>
  <c r="CP2178" i="1"/>
  <c r="CZ2178" i="1"/>
  <c r="DB2178" i="1"/>
  <c r="DF2178" i="1"/>
  <c r="AC1272" i="1"/>
  <c r="AH1272" i="1"/>
  <c r="BS1272" i="1"/>
  <c r="BV1272" i="1"/>
  <c r="BX1272" i="1"/>
  <c r="BY1272" i="1"/>
  <c r="BZ1272" i="1"/>
  <c r="CA1272" i="1"/>
  <c r="CH1272" i="1"/>
  <c r="CL1272" i="1"/>
  <c r="CM1272" i="1"/>
  <c r="CN1272" i="1"/>
  <c r="CO1272" i="1"/>
  <c r="CP1272" i="1"/>
  <c r="CZ1272" i="1"/>
  <c r="DB1272" i="1"/>
  <c r="DF1272" i="1"/>
  <c r="AC1222" i="1"/>
  <c r="AH1222" i="1"/>
  <c r="BS1222" i="1"/>
  <c r="BV1222" i="1"/>
  <c r="BX1222" i="1"/>
  <c r="BY1222" i="1"/>
  <c r="BZ1222" i="1"/>
  <c r="CH1222" i="1"/>
  <c r="CL1222" i="1"/>
  <c r="CM1222" i="1"/>
  <c r="CN1222" i="1"/>
  <c r="CO1222" i="1"/>
  <c r="CP1222" i="1"/>
  <c r="CZ1222" i="1"/>
  <c r="DB1222" i="1"/>
  <c r="DF1222" i="1"/>
  <c r="AC426" i="1"/>
  <c r="AH426" i="1"/>
  <c r="BS426" i="1"/>
  <c r="BV426" i="1"/>
  <c r="BX426" i="1"/>
  <c r="BY426" i="1"/>
  <c r="BZ426" i="1"/>
  <c r="CA426" i="1"/>
  <c r="CH426" i="1"/>
  <c r="CL426" i="1"/>
  <c r="CM426" i="1"/>
  <c r="CN426" i="1"/>
  <c r="CO426" i="1"/>
  <c r="CP426" i="1"/>
  <c r="CZ426" i="1"/>
  <c r="DB426" i="1"/>
  <c r="DF426" i="1"/>
  <c r="AC2226" i="1"/>
  <c r="AH2226" i="1"/>
  <c r="BS2226" i="1"/>
  <c r="BV2226" i="1"/>
  <c r="BX2226" i="1"/>
  <c r="BY2226" i="1"/>
  <c r="BZ2226" i="1"/>
  <c r="CA2226" i="1"/>
  <c r="CH2226" i="1"/>
  <c r="CL2226" i="1"/>
  <c r="CM2226" i="1"/>
  <c r="CN2226" i="1"/>
  <c r="CO2226" i="1"/>
  <c r="CP2226" i="1"/>
  <c r="CZ2226" i="1"/>
  <c r="DB2226" i="1"/>
  <c r="DF2226" i="1"/>
  <c r="AC234" i="1"/>
  <c r="AH234" i="1"/>
  <c r="BS234" i="1"/>
  <c r="BV234" i="1"/>
  <c r="BX234" i="1"/>
  <c r="BY234" i="1"/>
  <c r="BZ234" i="1"/>
  <c r="CA234" i="1"/>
  <c r="CH234" i="1"/>
  <c r="CL234" i="1"/>
  <c r="CM234" i="1"/>
  <c r="CN234" i="1"/>
  <c r="CO234" i="1"/>
  <c r="CP234" i="1"/>
  <c r="CZ234" i="1"/>
  <c r="DB234" i="1"/>
  <c r="DF234" i="1"/>
  <c r="AC1447" i="1"/>
  <c r="AH1447" i="1"/>
  <c r="BS1447" i="1"/>
  <c r="BV1447" i="1"/>
  <c r="BX1447" i="1"/>
  <c r="BY1447" i="1"/>
  <c r="BZ1447" i="1"/>
  <c r="CH1447" i="1"/>
  <c r="CL1447" i="1"/>
  <c r="CM1447" i="1"/>
  <c r="CN1447" i="1"/>
  <c r="CO1447" i="1"/>
  <c r="CP1447" i="1"/>
  <c r="CZ1447" i="1"/>
  <c r="DB1447" i="1"/>
  <c r="DF1447" i="1"/>
  <c r="AC1317" i="1"/>
  <c r="AH1317" i="1"/>
  <c r="BS1317" i="1"/>
  <c r="BV1317" i="1"/>
  <c r="BX1317" i="1"/>
  <c r="BY1317" i="1"/>
  <c r="BZ1317" i="1"/>
  <c r="CA1317" i="1"/>
  <c r="CH1317" i="1"/>
  <c r="CL1317" i="1"/>
  <c r="CM1317" i="1"/>
  <c r="CN1317" i="1"/>
  <c r="CO1317" i="1"/>
  <c r="CP1317" i="1"/>
  <c r="CZ1317" i="1"/>
  <c r="DB1317" i="1"/>
  <c r="DF1317" i="1"/>
  <c r="AC1442" i="1"/>
  <c r="AH1442" i="1"/>
  <c r="BS1442" i="1"/>
  <c r="BV1442" i="1"/>
  <c r="BX1442" i="1"/>
  <c r="BY1442" i="1"/>
  <c r="BZ1442" i="1"/>
  <c r="CH1442" i="1"/>
  <c r="CL1442" i="1"/>
  <c r="CM1442" i="1"/>
  <c r="CN1442" i="1"/>
  <c r="CO1442" i="1"/>
  <c r="CP1442" i="1"/>
  <c r="CZ1442" i="1"/>
  <c r="DB1442" i="1"/>
  <c r="DF1442" i="1"/>
  <c r="AC10" i="1"/>
  <c r="AH10" i="1"/>
  <c r="BS10" i="1"/>
  <c r="BV10" i="1"/>
  <c r="BX10" i="1"/>
  <c r="BY10" i="1"/>
  <c r="BZ10" i="1"/>
  <c r="CA10" i="1"/>
  <c r="CH10" i="1"/>
  <c r="CL10" i="1"/>
  <c r="CM10" i="1"/>
  <c r="CN10" i="1"/>
  <c r="CO10" i="1"/>
  <c r="CP10" i="1"/>
  <c r="CZ10" i="1"/>
  <c r="DB10" i="1"/>
  <c r="DF10" i="1"/>
  <c r="AC1796" i="1"/>
  <c r="AH1796" i="1"/>
  <c r="BS1796" i="1"/>
  <c r="BV1796" i="1"/>
  <c r="BX1796" i="1"/>
  <c r="BY1796" i="1"/>
  <c r="BZ1796" i="1"/>
  <c r="CH1796" i="1"/>
  <c r="CL1796" i="1"/>
  <c r="CM1796" i="1"/>
  <c r="CN1796" i="1"/>
  <c r="CP1796" i="1"/>
  <c r="CZ1796" i="1"/>
  <c r="DB1796" i="1"/>
  <c r="DF1796" i="1"/>
  <c r="AC1226" i="1"/>
  <c r="AH1226" i="1"/>
  <c r="BS1226" i="1"/>
  <c r="BV1226" i="1"/>
  <c r="BX1226" i="1"/>
  <c r="BY1226" i="1"/>
  <c r="BZ1226" i="1"/>
  <c r="CH1226" i="1"/>
  <c r="CL1226" i="1"/>
  <c r="CM1226" i="1"/>
  <c r="CN1226" i="1"/>
  <c r="CO1226" i="1"/>
  <c r="CP1226" i="1"/>
  <c r="CZ1226" i="1"/>
  <c r="DB1226" i="1"/>
  <c r="DF1226" i="1"/>
  <c r="AC85" i="1"/>
  <c r="AH85" i="1"/>
  <c r="BS85" i="1"/>
  <c r="BV85" i="1"/>
  <c r="BX85" i="1"/>
  <c r="BY85" i="1"/>
  <c r="BZ85" i="1"/>
  <c r="CA85" i="1"/>
  <c r="CH85" i="1"/>
  <c r="CL85" i="1"/>
  <c r="CM85" i="1"/>
  <c r="CN85" i="1"/>
  <c r="CO85" i="1"/>
  <c r="CP85" i="1"/>
  <c r="CZ85" i="1"/>
  <c r="DB85" i="1"/>
  <c r="DF85" i="1"/>
  <c r="AC59" i="1"/>
  <c r="AH59" i="1"/>
  <c r="BS59" i="1"/>
  <c r="BV59" i="1"/>
  <c r="BX59" i="1"/>
  <c r="BY59" i="1"/>
  <c r="BZ59" i="1"/>
  <c r="CH59" i="1"/>
  <c r="CL59" i="1"/>
  <c r="CM59" i="1"/>
  <c r="CN59" i="1"/>
  <c r="CO59" i="1"/>
  <c r="CP59" i="1"/>
  <c r="CZ59" i="1"/>
  <c r="DB59" i="1"/>
  <c r="DF59" i="1"/>
  <c r="AC1924" i="1"/>
  <c r="AH1924" i="1"/>
  <c r="BS1924" i="1"/>
  <c r="BV1924" i="1"/>
  <c r="BX1924" i="1"/>
  <c r="BY1924" i="1"/>
  <c r="BZ1924" i="1"/>
  <c r="CA1924" i="1"/>
  <c r="CH1924" i="1"/>
  <c r="CL1924" i="1"/>
  <c r="CM1924" i="1"/>
  <c r="CN1924" i="1"/>
  <c r="CO1924" i="1"/>
  <c r="CP1924" i="1"/>
  <c r="CZ1924" i="1"/>
  <c r="DB1924" i="1"/>
  <c r="DF1924" i="1"/>
  <c r="AC1137" i="1"/>
  <c r="AH1137" i="1"/>
  <c r="BS1137" i="1"/>
  <c r="BV1137" i="1"/>
  <c r="BX1137" i="1"/>
  <c r="BY1137" i="1"/>
  <c r="BZ1137" i="1"/>
  <c r="CA1137" i="1"/>
  <c r="CH1137" i="1"/>
  <c r="CL1137" i="1"/>
  <c r="CM1137" i="1"/>
  <c r="CN1137" i="1"/>
  <c r="CO1137" i="1"/>
  <c r="CP1137" i="1"/>
  <c r="CZ1137" i="1"/>
  <c r="DB1137" i="1"/>
  <c r="DF1137" i="1"/>
  <c r="AC345" i="1"/>
  <c r="AH345" i="1"/>
  <c r="BS345" i="1"/>
  <c r="BV345" i="1"/>
  <c r="BX345" i="1"/>
  <c r="BY345" i="1"/>
  <c r="BZ345" i="1"/>
  <c r="CA345" i="1"/>
  <c r="CH345" i="1"/>
  <c r="CL345" i="1"/>
  <c r="CM345" i="1"/>
  <c r="CN345" i="1"/>
  <c r="CO345" i="1"/>
  <c r="CP345" i="1"/>
  <c r="CZ345" i="1"/>
  <c r="DB345" i="1"/>
  <c r="DF345" i="1"/>
  <c r="AC2315" i="1"/>
  <c r="AH2315" i="1"/>
  <c r="BS2315" i="1"/>
  <c r="BV2315" i="1"/>
  <c r="BX2315" i="1"/>
  <c r="BY2315" i="1"/>
  <c r="BZ2315" i="1"/>
  <c r="CA2315" i="1"/>
  <c r="CH2315" i="1"/>
  <c r="CL2315" i="1"/>
  <c r="CM2315" i="1"/>
  <c r="CN2315" i="1"/>
  <c r="CO2315" i="1"/>
  <c r="CP2315" i="1"/>
  <c r="CZ2315" i="1"/>
  <c r="DB2315" i="1"/>
  <c r="DF2315" i="1"/>
  <c r="AC1047" i="1"/>
  <c r="AH1047" i="1"/>
  <c r="BS1047" i="1"/>
  <c r="BV1047" i="1"/>
  <c r="BX1047" i="1"/>
  <c r="BY1047" i="1"/>
  <c r="BZ1047" i="1"/>
  <c r="CA1047" i="1"/>
  <c r="CH1047" i="1"/>
  <c r="CL1047" i="1"/>
  <c r="CM1047" i="1"/>
  <c r="CN1047" i="1"/>
  <c r="CO1047" i="1"/>
  <c r="CP1047" i="1"/>
  <c r="CZ1047" i="1"/>
  <c r="DB1047" i="1"/>
  <c r="DF1047" i="1"/>
  <c r="AC1339" i="1"/>
  <c r="AH1339" i="1"/>
  <c r="BS1339" i="1"/>
  <c r="BV1339" i="1"/>
  <c r="BX1339" i="1"/>
  <c r="BY1339" i="1"/>
  <c r="BZ1339" i="1"/>
  <c r="CA1339" i="1"/>
  <c r="CH1339" i="1"/>
  <c r="CL1339" i="1"/>
  <c r="CM1339" i="1"/>
  <c r="CN1339" i="1"/>
  <c r="CO1339" i="1"/>
  <c r="CP1339" i="1"/>
  <c r="CZ1339" i="1"/>
  <c r="DB1339" i="1"/>
  <c r="DF1339" i="1"/>
  <c r="AC2069" i="1"/>
  <c r="AH2069" i="1"/>
  <c r="BS2069" i="1"/>
  <c r="BV2069" i="1"/>
  <c r="BX2069" i="1"/>
  <c r="BY2069" i="1"/>
  <c r="BZ2069" i="1"/>
  <c r="CA2069" i="1"/>
  <c r="CH2069" i="1"/>
  <c r="CL2069" i="1"/>
  <c r="CM2069" i="1"/>
  <c r="CN2069" i="1"/>
  <c r="CO2069" i="1"/>
  <c r="CP2069" i="1"/>
  <c r="CZ2069" i="1"/>
  <c r="DB2069" i="1"/>
  <c r="DF2069" i="1"/>
  <c r="AC1537" i="1"/>
  <c r="AH1537" i="1"/>
  <c r="BS1537" i="1"/>
  <c r="BV1537" i="1"/>
  <c r="BX1537" i="1"/>
  <c r="BY1537" i="1"/>
  <c r="BZ1537" i="1"/>
  <c r="CA1537" i="1"/>
  <c r="CH1537" i="1"/>
  <c r="CL1537" i="1"/>
  <c r="CM1537" i="1"/>
  <c r="CN1537" i="1"/>
  <c r="CO1537" i="1"/>
  <c r="CP1537" i="1"/>
  <c r="CZ1537" i="1"/>
  <c r="DB1537" i="1"/>
  <c r="DF1537" i="1"/>
  <c r="AC1421" i="1"/>
  <c r="AH1421" i="1"/>
  <c r="BS1421" i="1"/>
  <c r="BV1421" i="1"/>
  <c r="BX1421" i="1"/>
  <c r="BY1421" i="1"/>
  <c r="BZ1421" i="1"/>
  <c r="CH1421" i="1"/>
  <c r="CL1421" i="1"/>
  <c r="CM1421" i="1"/>
  <c r="CN1421" i="1"/>
  <c r="CP1421" i="1"/>
  <c r="CZ1421" i="1"/>
  <c r="DB1421" i="1"/>
  <c r="DF1421" i="1"/>
  <c r="AC1179" i="1"/>
  <c r="AH1179" i="1"/>
  <c r="BS1179" i="1"/>
  <c r="BV1179" i="1"/>
  <c r="BX1179" i="1"/>
  <c r="BY1179" i="1"/>
  <c r="BZ1179" i="1"/>
  <c r="CH1179" i="1"/>
  <c r="CL1179" i="1"/>
  <c r="CM1179" i="1"/>
  <c r="CN1179" i="1"/>
  <c r="CO1179" i="1"/>
  <c r="CP1179" i="1"/>
  <c r="CZ1179" i="1"/>
  <c r="DB1179" i="1"/>
  <c r="DF1179" i="1"/>
  <c r="AC2031" i="1"/>
  <c r="AH2031" i="1"/>
  <c r="BS2031" i="1"/>
  <c r="BV2031" i="1"/>
  <c r="BX2031" i="1"/>
  <c r="BY2031" i="1"/>
  <c r="BZ2031" i="1"/>
  <c r="CA2031" i="1"/>
  <c r="CH2031" i="1"/>
  <c r="CL2031" i="1"/>
  <c r="CM2031" i="1"/>
  <c r="CN2031" i="1"/>
  <c r="CO2031" i="1"/>
  <c r="CP2031" i="1"/>
  <c r="CZ2031" i="1"/>
  <c r="DB2031" i="1"/>
  <c r="DF2031" i="1"/>
  <c r="AC1611" i="1"/>
  <c r="AH1611" i="1"/>
  <c r="BS1611" i="1"/>
  <c r="BV1611" i="1"/>
  <c r="BX1611" i="1"/>
  <c r="BY1611" i="1"/>
  <c r="BZ1611" i="1"/>
  <c r="CH1611" i="1"/>
  <c r="CL1611" i="1"/>
  <c r="CM1611" i="1"/>
  <c r="CN1611" i="1"/>
  <c r="CO1611" i="1"/>
  <c r="CP1611" i="1"/>
  <c r="CZ1611" i="1"/>
  <c r="DB1611" i="1"/>
  <c r="DF1611" i="1"/>
  <c r="AC2198" i="1"/>
  <c r="AH2198" i="1"/>
  <c r="BS2198" i="1"/>
  <c r="BV2198" i="1"/>
  <c r="BX2198" i="1"/>
  <c r="BY2198" i="1"/>
  <c r="BZ2198" i="1"/>
  <c r="CA2198" i="1"/>
  <c r="CH2198" i="1"/>
  <c r="CL2198" i="1"/>
  <c r="CM2198" i="1"/>
  <c r="CN2198" i="1"/>
  <c r="CO2198" i="1"/>
  <c r="CP2198" i="1"/>
  <c r="CZ2198" i="1"/>
  <c r="DB2198" i="1"/>
  <c r="DF2198" i="1"/>
  <c r="AC1427" i="1"/>
  <c r="AH1427" i="1"/>
  <c r="BS1427" i="1"/>
  <c r="BV1427" i="1"/>
  <c r="BX1427" i="1"/>
  <c r="BY1427" i="1"/>
  <c r="BZ1427" i="1"/>
  <c r="CH1427" i="1"/>
  <c r="CL1427" i="1"/>
  <c r="CM1427" i="1"/>
  <c r="CN1427" i="1"/>
  <c r="CO1427" i="1"/>
  <c r="CP1427" i="1"/>
  <c r="CZ1427" i="1"/>
  <c r="DB1427" i="1"/>
  <c r="DF1427" i="1"/>
  <c r="AC862" i="1"/>
  <c r="AH862" i="1"/>
  <c r="BS862" i="1"/>
  <c r="BV862" i="1"/>
  <c r="BX862" i="1"/>
  <c r="BY862" i="1"/>
  <c r="BZ862" i="1"/>
  <c r="CH862" i="1"/>
  <c r="CL862" i="1"/>
  <c r="CM862" i="1"/>
  <c r="CN862" i="1"/>
  <c r="CO862" i="1"/>
  <c r="CP862" i="1"/>
  <c r="CZ862" i="1"/>
  <c r="DB862" i="1"/>
  <c r="DF862" i="1"/>
  <c r="AC889" i="1"/>
  <c r="AH889" i="1"/>
  <c r="BS889" i="1"/>
  <c r="BV889" i="1"/>
  <c r="BX889" i="1"/>
  <c r="BY889" i="1"/>
  <c r="BZ889" i="1"/>
  <c r="CA889" i="1"/>
  <c r="CH889" i="1"/>
  <c r="CL889" i="1"/>
  <c r="CM889" i="1"/>
  <c r="CN889" i="1"/>
  <c r="CO889" i="1"/>
  <c r="CP889" i="1"/>
  <c r="CZ889" i="1"/>
  <c r="DB889" i="1"/>
  <c r="DF889" i="1"/>
  <c r="AC1577" i="1"/>
  <c r="AH1577" i="1"/>
  <c r="BS1577" i="1"/>
  <c r="BV1577" i="1"/>
  <c r="BX1577" i="1"/>
  <c r="BY1577" i="1"/>
  <c r="BZ1577" i="1"/>
  <c r="CH1577" i="1"/>
  <c r="CL1577" i="1"/>
  <c r="CM1577" i="1"/>
  <c r="CN1577" i="1"/>
  <c r="CO1577" i="1"/>
  <c r="CP1577" i="1"/>
  <c r="CZ1577" i="1"/>
  <c r="DB1577" i="1"/>
  <c r="DF1577" i="1"/>
  <c r="AC1048" i="1"/>
  <c r="AH1048" i="1"/>
  <c r="BS1048" i="1"/>
  <c r="BV1048" i="1"/>
  <c r="BX1048" i="1"/>
  <c r="BY1048" i="1"/>
  <c r="BZ1048" i="1"/>
  <c r="CH1048" i="1"/>
  <c r="CL1048" i="1"/>
  <c r="CM1048" i="1"/>
  <c r="CN1048" i="1"/>
  <c r="CO1048" i="1"/>
  <c r="CP1048" i="1"/>
  <c r="CZ1048" i="1"/>
  <c r="DB1048" i="1"/>
  <c r="DF1048" i="1"/>
  <c r="AC20" i="1"/>
  <c r="AH20" i="1"/>
  <c r="BS20" i="1"/>
  <c r="BV20" i="1"/>
  <c r="BX20" i="1"/>
  <c r="BY20" i="1"/>
  <c r="BZ20" i="1"/>
  <c r="CA20" i="1"/>
  <c r="CH20" i="1"/>
  <c r="CL20" i="1"/>
  <c r="CM20" i="1"/>
  <c r="CN20" i="1"/>
  <c r="CO20" i="1"/>
  <c r="CP20" i="1"/>
  <c r="CZ20" i="1"/>
  <c r="DB20" i="1"/>
  <c r="DF20" i="1"/>
  <c r="AC1514" i="1"/>
  <c r="AH1514" i="1"/>
  <c r="BS1514" i="1"/>
  <c r="BV1514" i="1"/>
  <c r="BX1514" i="1"/>
  <c r="BY1514" i="1"/>
  <c r="BZ1514" i="1"/>
  <c r="CA1514" i="1"/>
  <c r="CH1514" i="1"/>
  <c r="CL1514" i="1"/>
  <c r="CM1514" i="1"/>
  <c r="CN1514" i="1"/>
  <c r="CO1514" i="1"/>
  <c r="CP1514" i="1"/>
  <c r="CZ1514" i="1"/>
  <c r="DB1514" i="1"/>
  <c r="DF1514" i="1"/>
  <c r="AC2230" i="1"/>
  <c r="AH2230" i="1"/>
  <c r="BS2230" i="1"/>
  <c r="BV2230" i="1"/>
  <c r="BX2230" i="1"/>
  <c r="BY2230" i="1"/>
  <c r="BZ2230" i="1"/>
  <c r="CA2230" i="1"/>
  <c r="CH2230" i="1"/>
  <c r="CL2230" i="1"/>
  <c r="CM2230" i="1"/>
  <c r="CN2230" i="1"/>
  <c r="CO2230" i="1"/>
  <c r="CP2230" i="1"/>
  <c r="CZ2230" i="1"/>
  <c r="DB2230" i="1"/>
  <c r="DF2230" i="1"/>
  <c r="AC1792" i="1"/>
  <c r="AH1792" i="1"/>
  <c r="BS1792" i="1"/>
  <c r="BV1792" i="1"/>
  <c r="BX1792" i="1"/>
  <c r="BY1792" i="1"/>
  <c r="BZ1792" i="1"/>
  <c r="CH1792" i="1"/>
  <c r="CL1792" i="1"/>
  <c r="CM1792" i="1"/>
  <c r="CN1792" i="1"/>
  <c r="CO1792" i="1"/>
  <c r="CP1792" i="1"/>
  <c r="CZ1792" i="1"/>
  <c r="DB1792" i="1"/>
  <c r="DF1792" i="1"/>
  <c r="AC1781" i="1"/>
  <c r="AH1781" i="1"/>
  <c r="BS1781" i="1"/>
  <c r="BV1781" i="1"/>
  <c r="BX1781" i="1"/>
  <c r="BY1781" i="1"/>
  <c r="BZ1781" i="1"/>
  <c r="CA1781" i="1"/>
  <c r="CH1781" i="1"/>
  <c r="CL1781" i="1"/>
  <c r="CM1781" i="1"/>
  <c r="CN1781" i="1"/>
  <c r="CO1781" i="1"/>
  <c r="CP1781" i="1"/>
  <c r="CZ1781" i="1"/>
  <c r="DB1781" i="1"/>
  <c r="DF1781" i="1"/>
  <c r="AC2181" i="1"/>
  <c r="AH2181" i="1"/>
  <c r="BS2181" i="1"/>
  <c r="BV2181" i="1"/>
  <c r="BX2181" i="1"/>
  <c r="BY2181" i="1"/>
  <c r="BZ2181" i="1"/>
  <c r="CA2181" i="1"/>
  <c r="CH2181" i="1"/>
  <c r="CL2181" i="1"/>
  <c r="CM2181" i="1"/>
  <c r="CN2181" i="1"/>
  <c r="CO2181" i="1"/>
  <c r="CP2181" i="1"/>
  <c r="CZ2181" i="1"/>
  <c r="DB2181" i="1"/>
  <c r="DF2181" i="1"/>
  <c r="AC939" i="1"/>
  <c r="AH939" i="1"/>
  <c r="BS939" i="1"/>
  <c r="BV939" i="1"/>
  <c r="BX939" i="1"/>
  <c r="BY939" i="1"/>
  <c r="BZ939" i="1"/>
  <c r="CH939" i="1"/>
  <c r="CL939" i="1"/>
  <c r="CM939" i="1"/>
  <c r="CN939" i="1"/>
  <c r="CO939" i="1"/>
  <c r="CP939" i="1"/>
  <c r="CZ939" i="1"/>
  <c r="DB939" i="1"/>
  <c r="DF939" i="1"/>
  <c r="AC1213" i="1"/>
  <c r="AH1213" i="1"/>
  <c r="BS1213" i="1"/>
  <c r="BV1213" i="1"/>
  <c r="BX1213" i="1"/>
  <c r="BY1213" i="1"/>
  <c r="BZ1213" i="1"/>
  <c r="CA1213" i="1"/>
  <c r="CH1213" i="1"/>
  <c r="CL1213" i="1"/>
  <c r="CM1213" i="1"/>
  <c r="CN1213" i="1"/>
  <c r="CO1213" i="1"/>
  <c r="CP1213" i="1"/>
  <c r="CZ1213" i="1"/>
  <c r="DB1213" i="1"/>
  <c r="DF1213" i="1"/>
  <c r="AC1856" i="1"/>
  <c r="AH1856" i="1"/>
  <c r="BS1856" i="1"/>
  <c r="BV1856" i="1"/>
  <c r="BX1856" i="1"/>
  <c r="BY1856" i="1"/>
  <c r="BZ1856" i="1"/>
  <c r="CA1856" i="1"/>
  <c r="CH1856" i="1"/>
  <c r="CL1856" i="1"/>
  <c r="CM1856" i="1"/>
  <c r="CN1856" i="1"/>
  <c r="CO1856" i="1"/>
  <c r="CP1856" i="1"/>
  <c r="CZ1856" i="1"/>
  <c r="DB1856" i="1"/>
  <c r="DF1856" i="1"/>
  <c r="AC1526" i="1"/>
  <c r="AH1526" i="1"/>
  <c r="BS1526" i="1"/>
  <c r="BV1526" i="1"/>
  <c r="BX1526" i="1"/>
  <c r="BY1526" i="1"/>
  <c r="BZ1526" i="1"/>
  <c r="CA1526" i="1"/>
  <c r="CH1526" i="1"/>
  <c r="CL1526" i="1"/>
  <c r="CM1526" i="1"/>
  <c r="CN1526" i="1"/>
  <c r="CP1526" i="1"/>
  <c r="CZ1526" i="1"/>
  <c r="DB1526" i="1"/>
  <c r="DF1526" i="1"/>
  <c r="AC1202" i="1"/>
  <c r="AH1202" i="1"/>
  <c r="BS1202" i="1"/>
  <c r="BV1202" i="1"/>
  <c r="BX1202" i="1"/>
  <c r="BY1202" i="1"/>
  <c r="BZ1202" i="1"/>
  <c r="CA1202" i="1"/>
  <c r="CH1202" i="1"/>
  <c r="CL1202" i="1"/>
  <c r="CM1202" i="1"/>
  <c r="CN1202" i="1"/>
  <c r="CO1202" i="1"/>
  <c r="CP1202" i="1"/>
  <c r="CZ1202" i="1"/>
  <c r="DB1202" i="1"/>
  <c r="DF1202" i="1"/>
  <c r="AC557" i="1"/>
  <c r="AH557" i="1"/>
  <c r="BS557" i="1"/>
  <c r="BV557" i="1"/>
  <c r="BX557" i="1"/>
  <c r="BY557" i="1"/>
  <c r="BZ557" i="1"/>
  <c r="CA557" i="1"/>
  <c r="CH557" i="1"/>
  <c r="CL557" i="1"/>
  <c r="CM557" i="1"/>
  <c r="CN557" i="1"/>
  <c r="CO557" i="1"/>
  <c r="CP557" i="1"/>
  <c r="CZ557" i="1"/>
  <c r="DB557" i="1"/>
  <c r="DF557" i="1"/>
  <c r="AC2312" i="1"/>
  <c r="AH2312" i="1"/>
  <c r="BS2312" i="1"/>
  <c r="BV2312" i="1"/>
  <c r="BX2312" i="1"/>
  <c r="BY2312" i="1"/>
  <c r="BZ2312" i="1"/>
  <c r="CA2312" i="1"/>
  <c r="CH2312" i="1"/>
  <c r="CL2312" i="1"/>
  <c r="CM2312" i="1"/>
  <c r="CN2312" i="1"/>
  <c r="CO2312" i="1"/>
  <c r="CP2312" i="1"/>
  <c r="CZ2312" i="1"/>
  <c r="DB2312" i="1"/>
  <c r="DF2312" i="1"/>
  <c r="AC1102" i="1"/>
  <c r="AH1102" i="1"/>
  <c r="BS1102" i="1"/>
  <c r="BV1102" i="1"/>
  <c r="BX1102" i="1"/>
  <c r="BY1102" i="1"/>
  <c r="BZ1102" i="1"/>
  <c r="CA1102" i="1"/>
  <c r="CH1102" i="1"/>
  <c r="CL1102" i="1"/>
  <c r="CM1102" i="1"/>
  <c r="CN1102" i="1"/>
  <c r="CO1102" i="1"/>
  <c r="CP1102" i="1"/>
  <c r="CZ1102" i="1"/>
  <c r="DB1102" i="1"/>
  <c r="DF1102" i="1"/>
  <c r="AC334" i="1"/>
  <c r="AH334" i="1"/>
  <c r="BS334" i="1"/>
  <c r="BV334" i="1"/>
  <c r="BX334" i="1"/>
  <c r="BY334" i="1"/>
  <c r="BZ334" i="1"/>
  <c r="CA334" i="1"/>
  <c r="CH334" i="1"/>
  <c r="CL334" i="1"/>
  <c r="CM334" i="1"/>
  <c r="CN334" i="1"/>
  <c r="CO334" i="1"/>
  <c r="CP334" i="1"/>
  <c r="CZ334" i="1"/>
  <c r="DB334" i="1"/>
  <c r="DF334" i="1"/>
  <c r="AC1307" i="1"/>
  <c r="AH1307" i="1"/>
  <c r="BS1307" i="1"/>
  <c r="BV1307" i="1"/>
  <c r="BX1307" i="1"/>
  <c r="BY1307" i="1"/>
  <c r="BZ1307" i="1"/>
  <c r="CA1307" i="1"/>
  <c r="CH1307" i="1"/>
  <c r="CL1307" i="1"/>
  <c r="CM1307" i="1"/>
  <c r="CN1307" i="1"/>
  <c r="CO1307" i="1"/>
  <c r="CP1307" i="1"/>
  <c r="CZ1307" i="1"/>
  <c r="DB1307" i="1"/>
  <c r="DF1307" i="1"/>
  <c r="AC293" i="1"/>
  <c r="AH293" i="1"/>
  <c r="BS293" i="1"/>
  <c r="BV293" i="1"/>
  <c r="BX293" i="1"/>
  <c r="BY293" i="1"/>
  <c r="BZ293" i="1"/>
  <c r="CA293" i="1"/>
  <c r="CH293" i="1"/>
  <c r="CL293" i="1"/>
  <c r="CM293" i="1"/>
  <c r="CN293" i="1"/>
  <c r="CO293" i="1"/>
  <c r="CP293" i="1"/>
  <c r="CZ293" i="1"/>
  <c r="DB293" i="1"/>
  <c r="DF293" i="1"/>
  <c r="AC1606" i="1"/>
  <c r="AH1606" i="1"/>
  <c r="BS1606" i="1"/>
  <c r="BV1606" i="1"/>
  <c r="BX1606" i="1"/>
  <c r="BY1606" i="1"/>
  <c r="BZ1606" i="1"/>
  <c r="CA1606" i="1"/>
  <c r="CH1606" i="1"/>
  <c r="CL1606" i="1"/>
  <c r="CM1606" i="1"/>
  <c r="CN1606" i="1"/>
  <c r="CO1606" i="1"/>
  <c r="CP1606" i="1"/>
  <c r="CZ1606" i="1"/>
  <c r="DB1606" i="1"/>
  <c r="DF1606" i="1"/>
  <c r="AC659" i="1"/>
  <c r="AH659" i="1"/>
  <c r="BS659" i="1"/>
  <c r="BV659" i="1"/>
  <c r="BX659" i="1"/>
  <c r="BY659" i="1"/>
  <c r="BZ659" i="1"/>
  <c r="CA659" i="1"/>
  <c r="CH659" i="1"/>
  <c r="CL659" i="1"/>
  <c r="CM659" i="1"/>
  <c r="CN659" i="1"/>
  <c r="CO659" i="1"/>
  <c r="CP659" i="1"/>
  <c r="CZ659" i="1"/>
  <c r="DB659" i="1"/>
  <c r="DF659" i="1"/>
  <c r="AC320" i="1"/>
  <c r="AH320" i="1"/>
  <c r="BS320" i="1"/>
  <c r="BV320" i="1"/>
  <c r="BX320" i="1"/>
  <c r="BY320" i="1"/>
  <c r="BZ320" i="1"/>
  <c r="CH320" i="1"/>
  <c r="CL320" i="1"/>
  <c r="CM320" i="1"/>
  <c r="CN320" i="1"/>
  <c r="CO320" i="1"/>
  <c r="CP320" i="1"/>
  <c r="CZ320" i="1"/>
  <c r="DB320" i="1"/>
  <c r="DF320" i="1"/>
  <c r="AC907" i="1"/>
  <c r="AH907" i="1"/>
  <c r="BS907" i="1"/>
  <c r="BV907" i="1"/>
  <c r="BX907" i="1"/>
  <c r="BY907" i="1"/>
  <c r="BZ907" i="1"/>
  <c r="CA907" i="1"/>
  <c r="CH907" i="1"/>
  <c r="CL907" i="1"/>
  <c r="CM907" i="1"/>
  <c r="CN907" i="1"/>
  <c r="CO907" i="1"/>
  <c r="CP907" i="1"/>
  <c r="CZ907" i="1"/>
  <c r="DB907" i="1"/>
  <c r="DF907" i="1"/>
  <c r="AC1343" i="1"/>
  <c r="AH1343" i="1"/>
  <c r="BS1343" i="1"/>
  <c r="BV1343" i="1"/>
  <c r="BX1343" i="1"/>
  <c r="BY1343" i="1"/>
  <c r="BZ1343" i="1"/>
  <c r="CA1343" i="1"/>
  <c r="CH1343" i="1"/>
  <c r="CL1343" i="1"/>
  <c r="CM1343" i="1"/>
  <c r="CN1343" i="1"/>
  <c r="CO1343" i="1"/>
  <c r="CP1343" i="1"/>
  <c r="CZ1343" i="1"/>
  <c r="DB1343" i="1"/>
  <c r="DF1343" i="1"/>
  <c r="AC2091" i="1"/>
  <c r="AH2091" i="1"/>
  <c r="BS2091" i="1"/>
  <c r="BV2091" i="1"/>
  <c r="BX2091" i="1"/>
  <c r="BY2091" i="1"/>
  <c r="BZ2091" i="1"/>
  <c r="CA2091" i="1"/>
  <c r="CH2091" i="1"/>
  <c r="CL2091" i="1"/>
  <c r="CM2091" i="1"/>
  <c r="CN2091" i="1"/>
  <c r="CO2091" i="1"/>
  <c r="CP2091" i="1"/>
  <c r="CZ2091" i="1"/>
  <c r="DB2091" i="1"/>
  <c r="DF2091" i="1"/>
  <c r="AC714" i="1"/>
  <c r="AH714" i="1"/>
  <c r="BS714" i="1"/>
  <c r="BV714" i="1"/>
  <c r="BX714" i="1"/>
  <c r="BY714" i="1"/>
  <c r="BZ714" i="1"/>
  <c r="CH714" i="1"/>
  <c r="CL714" i="1"/>
  <c r="CM714" i="1"/>
  <c r="CN714" i="1"/>
  <c r="CO714" i="1"/>
  <c r="CP714" i="1"/>
  <c r="CZ714" i="1"/>
  <c r="DB714" i="1"/>
  <c r="DF714" i="1"/>
  <c r="AC1843" i="1"/>
  <c r="AH1843" i="1"/>
  <c r="BS1843" i="1"/>
  <c r="BV1843" i="1"/>
  <c r="BX1843" i="1"/>
  <c r="BY1843" i="1"/>
  <c r="BZ1843" i="1"/>
  <c r="CH1843" i="1"/>
  <c r="CL1843" i="1"/>
  <c r="CM1843" i="1"/>
  <c r="CN1843" i="1"/>
  <c r="CO1843" i="1"/>
  <c r="CP1843" i="1"/>
  <c r="CZ1843" i="1"/>
  <c r="DB1843" i="1"/>
  <c r="DF1843" i="1"/>
  <c r="AC986" i="1"/>
  <c r="AH986" i="1"/>
  <c r="BS986" i="1"/>
  <c r="BV986" i="1"/>
  <c r="BX986" i="1"/>
  <c r="BY986" i="1"/>
  <c r="BZ986" i="1"/>
  <c r="CA986" i="1"/>
  <c r="CH986" i="1"/>
  <c r="CL986" i="1"/>
  <c r="CM986" i="1"/>
  <c r="CN986" i="1"/>
  <c r="CO986" i="1"/>
  <c r="CP986" i="1"/>
  <c r="CZ986" i="1"/>
  <c r="DB986" i="1"/>
  <c r="DF986" i="1"/>
  <c r="AC1528" i="1"/>
  <c r="AH1528" i="1"/>
  <c r="BS1528" i="1"/>
  <c r="BV1528" i="1"/>
  <c r="BX1528" i="1"/>
  <c r="BY1528" i="1"/>
  <c r="BZ1528" i="1"/>
  <c r="CH1528" i="1"/>
  <c r="CL1528" i="1"/>
  <c r="CM1528" i="1"/>
  <c r="CN1528" i="1"/>
  <c r="CO1528" i="1"/>
  <c r="CP1528" i="1"/>
  <c r="CZ1528" i="1"/>
  <c r="DB1528" i="1"/>
  <c r="DF1528" i="1"/>
  <c r="AC550" i="1"/>
  <c r="AH550" i="1"/>
  <c r="BS550" i="1"/>
  <c r="BV550" i="1"/>
  <c r="BX550" i="1"/>
  <c r="BY550" i="1"/>
  <c r="BZ550" i="1"/>
  <c r="CH550" i="1"/>
  <c r="CL550" i="1"/>
  <c r="CM550" i="1"/>
  <c r="CN550" i="1"/>
  <c r="CO550" i="1"/>
  <c r="CP550" i="1"/>
  <c r="CZ550" i="1"/>
  <c r="DB550" i="1"/>
  <c r="DF550" i="1"/>
  <c r="AC1393" i="1"/>
  <c r="AH1393" i="1"/>
  <c r="BS1393" i="1"/>
  <c r="BV1393" i="1"/>
  <c r="BX1393" i="1"/>
  <c r="BY1393" i="1"/>
  <c r="BZ1393" i="1"/>
  <c r="CA1393" i="1"/>
  <c r="CH1393" i="1"/>
  <c r="CL1393" i="1"/>
  <c r="CM1393" i="1"/>
  <c r="CN1393" i="1"/>
  <c r="CO1393" i="1"/>
  <c r="CP1393" i="1"/>
  <c r="CZ1393" i="1"/>
  <c r="DB1393" i="1"/>
  <c r="DF1393" i="1"/>
  <c r="AC2008" i="1"/>
  <c r="AH2008" i="1"/>
  <c r="BS2008" i="1"/>
  <c r="BV2008" i="1"/>
  <c r="BX2008" i="1"/>
  <c r="BY2008" i="1"/>
  <c r="BZ2008" i="1"/>
  <c r="CH2008" i="1"/>
  <c r="CL2008" i="1"/>
  <c r="CM2008" i="1"/>
  <c r="CN2008" i="1"/>
  <c r="CP2008" i="1"/>
  <c r="CZ2008" i="1"/>
  <c r="DB2008" i="1"/>
  <c r="DF2008" i="1"/>
  <c r="AC1675" i="1"/>
  <c r="AH1675" i="1"/>
  <c r="BS1675" i="1"/>
  <c r="BV1675" i="1"/>
  <c r="BX1675" i="1"/>
  <c r="BY1675" i="1"/>
  <c r="BZ1675" i="1"/>
  <c r="CH1675" i="1"/>
  <c r="CL1675" i="1"/>
  <c r="CM1675" i="1"/>
  <c r="CN1675" i="1"/>
  <c r="CO1675" i="1"/>
  <c r="CP1675" i="1"/>
  <c r="CZ1675" i="1"/>
  <c r="DB1675" i="1"/>
  <c r="DF1675" i="1"/>
  <c r="AC1962" i="1"/>
  <c r="AH1962" i="1"/>
  <c r="BS1962" i="1"/>
  <c r="BV1962" i="1"/>
  <c r="BX1962" i="1"/>
  <c r="BY1962" i="1"/>
  <c r="BZ1962" i="1"/>
  <c r="CA1962" i="1"/>
  <c r="CH1962" i="1"/>
  <c r="CL1962" i="1"/>
  <c r="CM1962" i="1"/>
  <c r="CN1962" i="1"/>
  <c r="CO1962" i="1"/>
  <c r="CP1962" i="1"/>
  <c r="CZ1962" i="1"/>
  <c r="DB1962" i="1"/>
  <c r="DF1962" i="1"/>
  <c r="AC973" i="1"/>
  <c r="AH973" i="1"/>
  <c r="BS973" i="1"/>
  <c r="BV973" i="1"/>
  <c r="BX973" i="1"/>
  <c r="BY973" i="1"/>
  <c r="BZ973" i="1"/>
  <c r="CH973" i="1"/>
  <c r="CL973" i="1"/>
  <c r="CM973" i="1"/>
  <c r="CN973" i="1"/>
  <c r="CO973" i="1"/>
  <c r="CP973" i="1"/>
  <c r="CZ973" i="1"/>
  <c r="DB973" i="1"/>
  <c r="DF973" i="1"/>
  <c r="AC594" i="1"/>
  <c r="AH594" i="1"/>
  <c r="BS594" i="1"/>
  <c r="BV594" i="1"/>
  <c r="BX594" i="1"/>
  <c r="BY594" i="1"/>
  <c r="BZ594" i="1"/>
  <c r="CH594" i="1"/>
  <c r="CL594" i="1"/>
  <c r="CM594" i="1"/>
  <c r="CN594" i="1"/>
  <c r="CO594" i="1"/>
  <c r="CP594" i="1"/>
  <c r="CZ594" i="1"/>
  <c r="DB594" i="1"/>
  <c r="DF594" i="1"/>
  <c r="AC1445" i="1"/>
  <c r="AH1445" i="1"/>
  <c r="BS1445" i="1"/>
  <c r="BV1445" i="1"/>
  <c r="BX1445" i="1"/>
  <c r="BY1445" i="1"/>
  <c r="BZ1445" i="1"/>
  <c r="CA1445" i="1"/>
  <c r="CH1445" i="1"/>
  <c r="CL1445" i="1"/>
  <c r="CM1445" i="1"/>
  <c r="CN1445" i="1"/>
  <c r="CO1445" i="1"/>
  <c r="CP1445" i="1"/>
  <c r="CZ1445" i="1"/>
  <c r="DB1445" i="1"/>
  <c r="DF1445" i="1"/>
  <c r="AC989" i="1"/>
  <c r="AH989" i="1"/>
  <c r="BS989" i="1"/>
  <c r="BV989" i="1"/>
  <c r="BX989" i="1"/>
  <c r="BY989" i="1"/>
  <c r="BZ989" i="1"/>
  <c r="CA989" i="1"/>
  <c r="CH989" i="1"/>
  <c r="CL989" i="1"/>
  <c r="CM989" i="1"/>
  <c r="CN989" i="1"/>
  <c r="CO989" i="1"/>
  <c r="CP989" i="1"/>
  <c r="CZ989" i="1"/>
  <c r="DB989" i="1"/>
  <c r="DF989" i="1"/>
  <c r="AC2024" i="1"/>
  <c r="AH2024" i="1"/>
  <c r="BS2024" i="1"/>
  <c r="BV2024" i="1"/>
  <c r="BX2024" i="1"/>
  <c r="BY2024" i="1"/>
  <c r="BZ2024" i="1"/>
  <c r="CH2024" i="1"/>
  <c r="CL2024" i="1"/>
  <c r="CM2024" i="1"/>
  <c r="CN2024" i="1"/>
  <c r="CO2024" i="1"/>
  <c r="CP2024" i="1"/>
  <c r="CZ2024" i="1"/>
  <c r="DB2024" i="1"/>
  <c r="DF2024" i="1"/>
  <c r="AC2241" i="1"/>
  <c r="AH2241" i="1"/>
  <c r="BS2241" i="1"/>
  <c r="BV2241" i="1"/>
  <c r="BX2241" i="1"/>
  <c r="BY2241" i="1"/>
  <c r="BZ2241" i="1"/>
  <c r="CH2241" i="1"/>
  <c r="CL2241" i="1"/>
  <c r="CM2241" i="1"/>
  <c r="CN2241" i="1"/>
  <c r="CO2241" i="1"/>
  <c r="CP2241" i="1"/>
  <c r="CZ2241" i="1"/>
  <c r="DB2241" i="1"/>
  <c r="DF2241" i="1"/>
  <c r="AC124" i="1"/>
  <c r="AH124" i="1"/>
  <c r="BS124" i="1"/>
  <c r="BV124" i="1"/>
  <c r="BX124" i="1"/>
  <c r="BY124" i="1"/>
  <c r="BZ124" i="1"/>
  <c r="CH124" i="1"/>
  <c r="CL124" i="1"/>
  <c r="CM124" i="1"/>
  <c r="CN124" i="1"/>
  <c r="CO124" i="1"/>
  <c r="CP124" i="1"/>
  <c r="CZ124" i="1"/>
  <c r="DB124" i="1"/>
  <c r="DF124" i="1"/>
  <c r="AC1030" i="1"/>
  <c r="AH1030" i="1"/>
  <c r="BS1030" i="1"/>
  <c r="BV1030" i="1"/>
  <c r="BX1030" i="1"/>
  <c r="BY1030" i="1"/>
  <c r="BZ1030" i="1"/>
  <c r="CA1030" i="1"/>
  <c r="CH1030" i="1"/>
  <c r="CL1030" i="1"/>
  <c r="CM1030" i="1"/>
  <c r="CN1030" i="1"/>
  <c r="CO1030" i="1"/>
  <c r="CP1030" i="1"/>
  <c r="CZ1030" i="1"/>
  <c r="DB1030" i="1"/>
  <c r="DF1030" i="1"/>
  <c r="AC1719" i="1"/>
  <c r="AH1719" i="1"/>
  <c r="BS1719" i="1"/>
  <c r="BV1719" i="1"/>
  <c r="BX1719" i="1"/>
  <c r="BY1719" i="1"/>
  <c r="BZ1719" i="1"/>
  <c r="CA1719" i="1"/>
  <c r="CH1719" i="1"/>
  <c r="CL1719" i="1"/>
  <c r="CM1719" i="1"/>
  <c r="CN1719" i="1"/>
  <c r="CO1719" i="1"/>
  <c r="CP1719" i="1"/>
  <c r="CZ1719" i="1"/>
  <c r="DB1719" i="1"/>
  <c r="DF1719" i="1"/>
  <c r="AC2096" i="1"/>
  <c r="AH2096" i="1"/>
  <c r="BS2096" i="1"/>
  <c r="BV2096" i="1"/>
  <c r="BX2096" i="1"/>
  <c r="BY2096" i="1"/>
  <c r="BZ2096" i="1"/>
  <c r="CA2096" i="1"/>
  <c r="CH2096" i="1"/>
  <c r="CL2096" i="1"/>
  <c r="CM2096" i="1"/>
  <c r="CN2096" i="1"/>
  <c r="CO2096" i="1"/>
  <c r="CP2096" i="1"/>
  <c r="CZ2096" i="1"/>
  <c r="DB2096" i="1"/>
  <c r="DF2096" i="1"/>
  <c r="AC1673" i="1"/>
  <c r="AH1673" i="1"/>
  <c r="BS1673" i="1"/>
  <c r="BV1673" i="1"/>
  <c r="BX1673" i="1"/>
  <c r="BY1673" i="1"/>
  <c r="BZ1673" i="1"/>
  <c r="CH1673" i="1"/>
  <c r="CL1673" i="1"/>
  <c r="CM1673" i="1"/>
  <c r="CN1673" i="1"/>
  <c r="CO1673" i="1"/>
  <c r="CP1673" i="1"/>
  <c r="CZ1673" i="1"/>
  <c r="DB1673" i="1"/>
  <c r="DF1673" i="1"/>
  <c r="AC662" i="1"/>
  <c r="AH662" i="1"/>
  <c r="BS662" i="1"/>
  <c r="BV662" i="1"/>
  <c r="BX662" i="1"/>
  <c r="BY662" i="1"/>
  <c r="BZ662" i="1"/>
  <c r="CH662" i="1"/>
  <c r="CL662" i="1"/>
  <c r="CM662" i="1"/>
  <c r="CN662" i="1"/>
  <c r="CO662" i="1"/>
  <c r="CP662" i="1"/>
  <c r="CZ662" i="1"/>
  <c r="DB662" i="1"/>
  <c r="DF662" i="1"/>
  <c r="AC1127" i="1"/>
  <c r="AH1127" i="1"/>
  <c r="BS1127" i="1"/>
  <c r="BV1127" i="1"/>
  <c r="BX1127" i="1"/>
  <c r="BY1127" i="1"/>
  <c r="BZ1127" i="1"/>
  <c r="CA1127" i="1"/>
  <c r="CH1127" i="1"/>
  <c r="CL1127" i="1"/>
  <c r="CM1127" i="1"/>
  <c r="CN1127" i="1"/>
  <c r="CO1127" i="1"/>
  <c r="CP1127" i="1"/>
  <c r="CZ1127" i="1"/>
  <c r="DB1127" i="1"/>
  <c r="DF1127" i="1"/>
  <c r="AC1867" i="1"/>
  <c r="AH1867" i="1"/>
  <c r="BS1867" i="1"/>
  <c r="BV1867" i="1"/>
  <c r="BX1867" i="1"/>
  <c r="BY1867" i="1"/>
  <c r="BZ1867" i="1"/>
  <c r="CA1867" i="1"/>
  <c r="CH1867" i="1"/>
  <c r="CL1867" i="1"/>
  <c r="CM1867" i="1"/>
  <c r="CN1867" i="1"/>
  <c r="CO1867" i="1"/>
  <c r="CP1867" i="1"/>
  <c r="CZ1867" i="1"/>
  <c r="DB1867" i="1"/>
  <c r="DF1867" i="1"/>
  <c r="AC1265" i="1"/>
  <c r="AH1265" i="1"/>
  <c r="BS1265" i="1"/>
  <c r="BV1265" i="1"/>
  <c r="BX1265" i="1"/>
  <c r="BY1265" i="1"/>
  <c r="BZ1265" i="1"/>
  <c r="CA1265" i="1"/>
  <c r="CH1265" i="1"/>
  <c r="CL1265" i="1"/>
  <c r="CM1265" i="1"/>
  <c r="CN1265" i="1"/>
  <c r="CP1265" i="1"/>
  <c r="CZ1265" i="1"/>
  <c r="DB1265" i="1"/>
  <c r="DF1265" i="1"/>
  <c r="AC284" i="1"/>
  <c r="AH284" i="1"/>
  <c r="BS284" i="1"/>
  <c r="BV284" i="1"/>
  <c r="BX284" i="1"/>
  <c r="BY284" i="1"/>
  <c r="BZ284" i="1"/>
  <c r="CH284" i="1"/>
  <c r="CL284" i="1"/>
  <c r="CM284" i="1"/>
  <c r="CN284" i="1"/>
  <c r="CO284" i="1"/>
  <c r="CP284" i="1"/>
  <c r="CZ284" i="1"/>
  <c r="DB284" i="1"/>
  <c r="DF284" i="1"/>
  <c r="AC2167" i="1"/>
  <c r="AH2167" i="1"/>
  <c r="BS2167" i="1"/>
  <c r="BV2167" i="1"/>
  <c r="BX2167" i="1"/>
  <c r="BY2167" i="1"/>
  <c r="BZ2167" i="1"/>
  <c r="CH2167" i="1"/>
  <c r="CL2167" i="1"/>
  <c r="CM2167" i="1"/>
  <c r="CN2167" i="1"/>
  <c r="CO2167" i="1"/>
  <c r="CP2167" i="1"/>
  <c r="CZ2167" i="1"/>
  <c r="DB2167" i="1"/>
  <c r="DF2167" i="1"/>
  <c r="AC1018" i="1"/>
  <c r="AH1018" i="1"/>
  <c r="BS1018" i="1"/>
  <c r="BV1018" i="1"/>
  <c r="BX1018" i="1"/>
  <c r="BY1018" i="1"/>
  <c r="BZ1018" i="1"/>
  <c r="CA1018" i="1"/>
  <c r="CH1018" i="1"/>
  <c r="CL1018" i="1"/>
  <c r="CM1018" i="1"/>
  <c r="CN1018" i="1"/>
  <c r="CO1018" i="1"/>
  <c r="CP1018" i="1"/>
  <c r="CZ1018" i="1"/>
  <c r="DB1018" i="1"/>
  <c r="DF1018" i="1"/>
  <c r="AC561" i="1"/>
  <c r="AH561" i="1"/>
  <c r="BS561" i="1"/>
  <c r="BV561" i="1"/>
  <c r="BX561" i="1"/>
  <c r="BY561" i="1"/>
  <c r="BZ561" i="1"/>
  <c r="CA561" i="1"/>
  <c r="CH561" i="1"/>
  <c r="CL561" i="1"/>
  <c r="CM561" i="1"/>
  <c r="CN561" i="1"/>
  <c r="CO561" i="1"/>
  <c r="CP561" i="1"/>
  <c r="CZ561" i="1"/>
  <c r="DB561" i="1"/>
  <c r="DF561" i="1"/>
  <c r="AC2291" i="1"/>
  <c r="AH2291" i="1"/>
  <c r="BS2291" i="1"/>
  <c r="BV2291" i="1"/>
  <c r="BX2291" i="1"/>
  <c r="BY2291" i="1"/>
  <c r="BZ2291" i="1"/>
  <c r="CA2291" i="1"/>
  <c r="CH2291" i="1"/>
  <c r="CL2291" i="1"/>
  <c r="CM2291" i="1"/>
  <c r="CN2291" i="1"/>
  <c r="CO2291" i="1"/>
  <c r="CP2291" i="1"/>
  <c r="CZ2291" i="1"/>
  <c r="DB2291" i="1"/>
  <c r="DF2291" i="1"/>
  <c r="AC1787" i="1"/>
  <c r="AH1787" i="1"/>
  <c r="BS1787" i="1"/>
  <c r="BV1787" i="1"/>
  <c r="BX1787" i="1"/>
  <c r="BY1787" i="1"/>
  <c r="BZ1787" i="1"/>
  <c r="CA1787" i="1"/>
  <c r="CH1787" i="1"/>
  <c r="CL1787" i="1"/>
  <c r="CM1787" i="1"/>
  <c r="CN1787" i="1"/>
  <c r="CO1787" i="1"/>
  <c r="CP1787" i="1"/>
  <c r="CZ1787" i="1"/>
  <c r="DB1787" i="1"/>
  <c r="DF1787" i="1"/>
  <c r="AC1266" i="1"/>
  <c r="AH1266" i="1"/>
  <c r="BS1266" i="1"/>
  <c r="BV1266" i="1"/>
  <c r="BX1266" i="1"/>
  <c r="BY1266" i="1"/>
  <c r="BZ1266" i="1"/>
  <c r="CH1266" i="1"/>
  <c r="CL1266" i="1"/>
  <c r="CM1266" i="1"/>
  <c r="CN1266" i="1"/>
  <c r="CO1266" i="1"/>
  <c r="CP1266" i="1"/>
  <c r="CZ1266" i="1"/>
  <c r="DB1266" i="1"/>
  <c r="DF1266" i="1"/>
  <c r="AC546" i="1"/>
  <c r="AH546" i="1"/>
  <c r="BS546" i="1"/>
  <c r="BV546" i="1"/>
  <c r="BX546" i="1"/>
  <c r="BY546" i="1"/>
  <c r="BZ546" i="1"/>
  <c r="CA546" i="1"/>
  <c r="CH546" i="1"/>
  <c r="CL546" i="1"/>
  <c r="CM546" i="1"/>
  <c r="CN546" i="1"/>
  <c r="CO546" i="1"/>
  <c r="CP546" i="1"/>
  <c r="CZ546" i="1"/>
  <c r="DB546" i="1"/>
  <c r="DF546" i="1"/>
  <c r="AC922" i="1"/>
  <c r="AH922" i="1"/>
  <c r="BS922" i="1"/>
  <c r="BV922" i="1"/>
  <c r="BX922" i="1"/>
  <c r="BY922" i="1"/>
  <c r="BZ922" i="1"/>
  <c r="CH922" i="1"/>
  <c r="CL922" i="1"/>
  <c r="CM922" i="1"/>
  <c r="CN922" i="1"/>
  <c r="CO922" i="1"/>
  <c r="CP922" i="1"/>
  <c r="CZ922" i="1"/>
  <c r="DB922" i="1"/>
  <c r="DF922" i="1"/>
  <c r="AC542" i="1"/>
  <c r="AH542" i="1"/>
  <c r="BS542" i="1"/>
  <c r="BV542" i="1"/>
  <c r="BX542" i="1"/>
  <c r="BY542" i="1"/>
  <c r="BZ542" i="1"/>
  <c r="CH542" i="1"/>
  <c r="CL542" i="1"/>
  <c r="CM542" i="1"/>
  <c r="CN542" i="1"/>
  <c r="CO542" i="1"/>
  <c r="CP542" i="1"/>
  <c r="CZ542" i="1"/>
  <c r="DB542" i="1"/>
  <c r="DF542" i="1"/>
  <c r="AC364" i="1"/>
  <c r="AH364" i="1"/>
  <c r="BS364" i="1"/>
  <c r="BV364" i="1"/>
  <c r="BX364" i="1"/>
  <c r="BY364" i="1"/>
  <c r="BZ364" i="1"/>
  <c r="CA364" i="1"/>
  <c r="CH364" i="1"/>
  <c r="CL364" i="1"/>
  <c r="CM364" i="1"/>
  <c r="CN364" i="1"/>
  <c r="CO364" i="1"/>
  <c r="CP364" i="1"/>
  <c r="CZ364" i="1"/>
  <c r="DB364" i="1"/>
  <c r="DF364" i="1"/>
  <c r="AC1374" i="1"/>
  <c r="AH1374" i="1"/>
  <c r="BS1374" i="1"/>
  <c r="BV1374" i="1"/>
  <c r="BX1374" i="1"/>
  <c r="BY1374" i="1"/>
  <c r="BZ1374" i="1"/>
  <c r="CA1374" i="1"/>
  <c r="CH1374" i="1"/>
  <c r="CL1374" i="1"/>
  <c r="CM1374" i="1"/>
  <c r="CN1374" i="1"/>
  <c r="CO1374" i="1"/>
  <c r="CP1374" i="1"/>
  <c r="CZ1374" i="1"/>
  <c r="DB1374" i="1"/>
  <c r="DF1374" i="1"/>
  <c r="AC1003" i="1"/>
  <c r="AH1003" i="1"/>
  <c r="BS1003" i="1"/>
  <c r="BV1003" i="1"/>
  <c r="BX1003" i="1"/>
  <c r="BY1003" i="1"/>
  <c r="BZ1003" i="1"/>
  <c r="CA1003" i="1"/>
  <c r="CH1003" i="1"/>
  <c r="CL1003" i="1"/>
  <c r="CM1003" i="1"/>
  <c r="CN1003" i="1"/>
  <c r="CO1003" i="1"/>
  <c r="CP1003" i="1"/>
  <c r="CZ1003" i="1"/>
  <c r="DB1003" i="1"/>
  <c r="DF1003" i="1"/>
  <c r="AC2310" i="1"/>
  <c r="AH2310" i="1"/>
  <c r="BS2310" i="1"/>
  <c r="BV2310" i="1"/>
  <c r="BX2310" i="1"/>
  <c r="BY2310" i="1"/>
  <c r="BZ2310" i="1"/>
  <c r="CA2310" i="1"/>
  <c r="CH2310" i="1"/>
  <c r="CL2310" i="1"/>
  <c r="CM2310" i="1"/>
  <c r="CN2310" i="1"/>
  <c r="CO2310" i="1"/>
  <c r="CP2310" i="1"/>
  <c r="CZ2310" i="1"/>
  <c r="DB2310" i="1"/>
  <c r="DF2310" i="1"/>
  <c r="AC513" i="1"/>
  <c r="AH513" i="1"/>
  <c r="BS513" i="1"/>
  <c r="BV513" i="1"/>
  <c r="BX513" i="1"/>
  <c r="BY513" i="1"/>
  <c r="BZ513" i="1"/>
  <c r="CA513" i="1"/>
  <c r="CH513" i="1"/>
  <c r="CL513" i="1"/>
  <c r="CM513" i="1"/>
  <c r="CN513" i="1"/>
  <c r="CO513" i="1"/>
  <c r="CP513" i="1"/>
  <c r="CZ513" i="1"/>
  <c r="DB513" i="1"/>
  <c r="DF513" i="1"/>
  <c r="AC798" i="1"/>
  <c r="AH798" i="1"/>
  <c r="BS798" i="1"/>
  <c r="BV798" i="1"/>
  <c r="BX798" i="1"/>
  <c r="BY798" i="1"/>
  <c r="BZ798" i="1"/>
  <c r="CH798" i="1"/>
  <c r="CL798" i="1"/>
  <c r="CM798" i="1"/>
  <c r="CN798" i="1"/>
  <c r="CO798" i="1"/>
  <c r="CP798" i="1"/>
  <c r="CZ798" i="1"/>
  <c r="DB798" i="1"/>
  <c r="DF798" i="1"/>
  <c r="AC47" i="1"/>
  <c r="AH47" i="1"/>
  <c r="BS47" i="1"/>
  <c r="BV47" i="1"/>
  <c r="BX47" i="1"/>
  <c r="BY47" i="1"/>
  <c r="BZ47" i="1"/>
  <c r="CA47" i="1"/>
  <c r="CH47" i="1"/>
  <c r="CL47" i="1"/>
  <c r="CM47" i="1"/>
  <c r="CN47" i="1"/>
  <c r="CO47" i="1"/>
  <c r="CP47" i="1"/>
  <c r="CZ47" i="1"/>
  <c r="DB47" i="1"/>
  <c r="DF47" i="1"/>
  <c r="AC935" i="1"/>
  <c r="AH935" i="1"/>
  <c r="BS935" i="1"/>
  <c r="BV935" i="1"/>
  <c r="BX935" i="1"/>
  <c r="BY935" i="1"/>
  <c r="BZ935" i="1"/>
  <c r="CA935" i="1"/>
  <c r="CH935" i="1"/>
  <c r="CL935" i="1"/>
  <c r="CM935" i="1"/>
  <c r="CN935" i="1"/>
  <c r="CO935" i="1"/>
  <c r="CP935" i="1"/>
  <c r="CZ935" i="1"/>
  <c r="DB935" i="1"/>
  <c r="DF935" i="1"/>
  <c r="AC954" i="1"/>
  <c r="AH954" i="1"/>
  <c r="BS954" i="1"/>
  <c r="BV954" i="1"/>
  <c r="BX954" i="1"/>
  <c r="BY954" i="1"/>
  <c r="BZ954" i="1"/>
  <c r="CA954" i="1"/>
  <c r="CH954" i="1"/>
  <c r="CL954" i="1"/>
  <c r="CM954" i="1"/>
  <c r="CN954" i="1"/>
  <c r="CO954" i="1"/>
  <c r="CP954" i="1"/>
  <c r="CZ954" i="1"/>
  <c r="DB954" i="1"/>
  <c r="DF954" i="1"/>
  <c r="AC435" i="1"/>
  <c r="AH435" i="1"/>
  <c r="BS435" i="1"/>
  <c r="BV435" i="1"/>
  <c r="BX435" i="1"/>
  <c r="BY435" i="1"/>
  <c r="BZ435" i="1"/>
  <c r="CA435" i="1"/>
  <c r="CH435" i="1"/>
  <c r="CL435" i="1"/>
  <c r="CM435" i="1"/>
  <c r="CN435" i="1"/>
  <c r="CO435" i="1"/>
  <c r="CP435" i="1"/>
  <c r="CZ435" i="1"/>
  <c r="DB435" i="1"/>
  <c r="DF435" i="1"/>
  <c r="AC1464" i="1"/>
  <c r="AH1464" i="1"/>
  <c r="BS1464" i="1"/>
  <c r="BV1464" i="1"/>
  <c r="BX1464" i="1"/>
  <c r="BY1464" i="1"/>
  <c r="BZ1464" i="1"/>
  <c r="CA1464" i="1"/>
  <c r="CH1464" i="1"/>
  <c r="CL1464" i="1"/>
  <c r="CM1464" i="1"/>
  <c r="CN1464" i="1"/>
  <c r="CP1464" i="1"/>
  <c r="CZ1464" i="1"/>
  <c r="DB1464" i="1"/>
  <c r="DF1464" i="1"/>
  <c r="AC3" i="1"/>
  <c r="AH3" i="1"/>
  <c r="BS3" i="1"/>
  <c r="BV3" i="1"/>
  <c r="BX3" i="1"/>
  <c r="BY3" i="1"/>
  <c r="BZ3" i="1"/>
  <c r="CA3" i="1"/>
  <c r="CH3" i="1"/>
  <c r="CL3" i="1"/>
  <c r="CM3" i="1"/>
  <c r="CN3" i="1"/>
  <c r="CO3" i="1"/>
  <c r="CP3" i="1"/>
  <c r="CZ3" i="1"/>
  <c r="DB3" i="1"/>
  <c r="DF3" i="1"/>
  <c r="AC1051" i="1"/>
  <c r="AH1051" i="1"/>
  <c r="BS1051" i="1"/>
  <c r="BV1051" i="1"/>
  <c r="BY1051" i="1"/>
  <c r="BZ1051" i="1"/>
  <c r="CA1051" i="1"/>
  <c r="CH1051" i="1"/>
  <c r="CL1051" i="1"/>
  <c r="CM1051" i="1"/>
  <c r="CN1051" i="1"/>
  <c r="CO1051" i="1"/>
  <c r="CP1051" i="1"/>
  <c r="CZ1051" i="1"/>
  <c r="DB1051" i="1"/>
  <c r="DF1051" i="1"/>
  <c r="AC252" i="1"/>
  <c r="AH252" i="1"/>
  <c r="BS252" i="1"/>
  <c r="BV252" i="1"/>
  <c r="BX252" i="1"/>
  <c r="BY252" i="1"/>
  <c r="BZ252" i="1"/>
  <c r="CA252" i="1"/>
  <c r="CH252" i="1"/>
  <c r="CL252" i="1"/>
  <c r="CM252" i="1"/>
  <c r="CN252" i="1"/>
  <c r="CO252" i="1"/>
  <c r="CP252" i="1"/>
  <c r="CZ252" i="1"/>
  <c r="DB252" i="1"/>
  <c r="DF252" i="1"/>
  <c r="AC35" i="1"/>
  <c r="AH35" i="1"/>
  <c r="BS35" i="1"/>
  <c r="BV35" i="1"/>
  <c r="BX35" i="1"/>
  <c r="BY35" i="1"/>
  <c r="BZ35" i="1"/>
  <c r="CH35" i="1"/>
  <c r="CL35" i="1"/>
  <c r="CM35" i="1"/>
  <c r="CN35" i="1"/>
  <c r="CO35" i="1"/>
  <c r="CP35" i="1"/>
  <c r="CZ35" i="1"/>
  <c r="DB35" i="1"/>
  <c r="DF35" i="1"/>
  <c r="AC182" i="1"/>
  <c r="AH182" i="1"/>
  <c r="BS182" i="1"/>
  <c r="BV182" i="1"/>
  <c r="BX182" i="1"/>
  <c r="BY182" i="1"/>
  <c r="BZ182" i="1"/>
  <c r="CA182" i="1"/>
  <c r="CH182" i="1"/>
  <c r="CL182" i="1"/>
  <c r="CM182" i="1"/>
  <c r="CN182" i="1"/>
  <c r="CO182" i="1"/>
  <c r="CP182" i="1"/>
  <c r="CZ182" i="1"/>
  <c r="DB182" i="1"/>
  <c r="DF182" i="1"/>
  <c r="AC1906" i="1"/>
  <c r="AH1906" i="1"/>
  <c r="BS1906" i="1"/>
  <c r="BV1906" i="1"/>
  <c r="BX1906" i="1"/>
  <c r="BY1906" i="1"/>
  <c r="BZ1906" i="1"/>
  <c r="CH1906" i="1"/>
  <c r="CL1906" i="1"/>
  <c r="CM1906" i="1"/>
  <c r="CN1906" i="1"/>
  <c r="CO1906" i="1"/>
  <c r="CP1906" i="1"/>
  <c r="CZ1906" i="1"/>
  <c r="DB1906" i="1"/>
  <c r="DF1906" i="1"/>
  <c r="AC432" i="1"/>
  <c r="AH432" i="1"/>
  <c r="BS432" i="1"/>
  <c r="BV432" i="1"/>
  <c r="BX432" i="1"/>
  <c r="BY432" i="1"/>
  <c r="BZ432" i="1"/>
  <c r="CA432" i="1"/>
  <c r="CH432" i="1"/>
  <c r="CL432" i="1"/>
  <c r="CM432" i="1"/>
  <c r="CN432" i="1"/>
  <c r="CO432" i="1"/>
  <c r="CP432" i="1"/>
  <c r="CZ432" i="1"/>
  <c r="DB432" i="1"/>
  <c r="DF432" i="1"/>
  <c r="AC718" i="1"/>
  <c r="AH718" i="1"/>
  <c r="BS718" i="1"/>
  <c r="BV718" i="1"/>
  <c r="BX718" i="1"/>
  <c r="BY718" i="1"/>
  <c r="BZ718" i="1"/>
  <c r="CA718" i="1"/>
  <c r="CH718" i="1"/>
  <c r="CL718" i="1"/>
  <c r="CM718" i="1"/>
  <c r="CN718" i="1"/>
  <c r="CO718" i="1"/>
  <c r="CP718" i="1"/>
  <c r="CZ718" i="1"/>
  <c r="DB718" i="1"/>
  <c r="DF718" i="1"/>
  <c r="AC1917" i="1"/>
  <c r="AH1917" i="1"/>
  <c r="BS1917" i="1"/>
  <c r="BV1917" i="1"/>
  <c r="BX1917" i="1"/>
  <c r="BY1917" i="1"/>
  <c r="BZ1917" i="1"/>
  <c r="CH1917" i="1"/>
  <c r="CL1917" i="1"/>
  <c r="CM1917" i="1"/>
  <c r="CN1917" i="1"/>
  <c r="CP1917" i="1"/>
  <c r="CZ1917" i="1"/>
  <c r="DB1917" i="1"/>
  <c r="DF1917" i="1"/>
  <c r="AC1931" i="1"/>
  <c r="AH1931" i="1"/>
  <c r="BS1931" i="1"/>
  <c r="BV1931" i="1"/>
  <c r="BX1931" i="1"/>
  <c r="BY1931" i="1"/>
  <c r="BZ1931" i="1"/>
  <c r="CH1931" i="1"/>
  <c r="CL1931" i="1"/>
  <c r="CM1931" i="1"/>
  <c r="CN1931" i="1"/>
  <c r="CP1931" i="1"/>
  <c r="CZ1931" i="1"/>
  <c r="DB1931" i="1"/>
  <c r="DF1931" i="1"/>
  <c r="AC1566" i="1"/>
  <c r="AH1566" i="1"/>
  <c r="BS1566" i="1"/>
  <c r="BV1566" i="1"/>
  <c r="BY1566" i="1"/>
  <c r="BZ1566" i="1"/>
  <c r="CA1566" i="1"/>
  <c r="CH1566" i="1"/>
  <c r="CL1566" i="1"/>
  <c r="CM1566" i="1"/>
  <c r="CN1566" i="1"/>
  <c r="CO1566" i="1"/>
  <c r="CP1566" i="1"/>
  <c r="CZ1566" i="1"/>
  <c r="DB1566" i="1"/>
  <c r="DF1566" i="1"/>
  <c r="AC1199" i="1"/>
  <c r="AH1199" i="1"/>
  <c r="BS1199" i="1"/>
  <c r="BV1199" i="1"/>
  <c r="BX1199" i="1"/>
  <c r="BY1199" i="1"/>
  <c r="BZ1199" i="1"/>
  <c r="CA1199" i="1"/>
  <c r="CH1199" i="1"/>
  <c r="CL1199" i="1"/>
  <c r="CM1199" i="1"/>
  <c r="CN1199" i="1"/>
  <c r="CO1199" i="1"/>
  <c r="CP1199" i="1"/>
  <c r="CZ1199" i="1"/>
  <c r="DB1199" i="1"/>
  <c r="DF1199" i="1"/>
  <c r="AC853" i="1"/>
  <c r="AH853" i="1"/>
  <c r="BS853" i="1"/>
  <c r="BV853" i="1"/>
  <c r="BX853" i="1"/>
  <c r="BY853" i="1"/>
  <c r="BZ853" i="1"/>
  <c r="CA853" i="1"/>
  <c r="CH853" i="1"/>
  <c r="CL853" i="1"/>
  <c r="CM853" i="1"/>
  <c r="CN853" i="1"/>
  <c r="CO853" i="1"/>
  <c r="CP853" i="1"/>
  <c r="CZ853" i="1"/>
  <c r="DB853" i="1"/>
  <c r="DF853" i="1"/>
  <c r="AC2121" i="1"/>
  <c r="AH2121" i="1"/>
  <c r="BS2121" i="1"/>
  <c r="BV2121" i="1"/>
  <c r="BX2121" i="1"/>
  <c r="BY2121" i="1"/>
  <c r="BZ2121" i="1"/>
  <c r="CA2121" i="1"/>
  <c r="CH2121" i="1"/>
  <c r="CL2121" i="1"/>
  <c r="CM2121" i="1"/>
  <c r="CN2121" i="1"/>
  <c r="CO2121" i="1"/>
  <c r="CP2121" i="1"/>
  <c r="CZ2121" i="1"/>
  <c r="DB2121" i="1"/>
  <c r="DF2121" i="1"/>
  <c r="AC2269" i="1"/>
  <c r="AH2269" i="1"/>
  <c r="BS2269" i="1"/>
  <c r="BV2269" i="1"/>
  <c r="BX2269" i="1"/>
  <c r="BY2269" i="1"/>
  <c r="BZ2269" i="1"/>
  <c r="CA2269" i="1"/>
  <c r="CH2269" i="1"/>
  <c r="CL2269" i="1"/>
  <c r="CM2269" i="1"/>
  <c r="CN2269" i="1"/>
  <c r="CO2269" i="1"/>
  <c r="CP2269" i="1"/>
  <c r="CZ2269" i="1"/>
  <c r="DB2269" i="1"/>
  <c r="DF2269" i="1"/>
  <c r="AC1026" i="1"/>
  <c r="AH1026" i="1"/>
  <c r="BS1026" i="1"/>
  <c r="BV1026" i="1"/>
  <c r="BX1026" i="1"/>
  <c r="BY1026" i="1"/>
  <c r="BZ1026" i="1"/>
  <c r="CA1026" i="1"/>
  <c r="CH1026" i="1"/>
  <c r="CL1026" i="1"/>
  <c r="CM1026" i="1"/>
  <c r="CN1026" i="1"/>
  <c r="CO1026" i="1"/>
  <c r="CP1026" i="1"/>
  <c r="CZ1026" i="1"/>
  <c r="DB1026" i="1"/>
  <c r="DF1026" i="1"/>
  <c r="AC115" i="1"/>
  <c r="AH115" i="1"/>
  <c r="BS115" i="1"/>
  <c r="BV115" i="1"/>
  <c r="BX115" i="1"/>
  <c r="BY115" i="1"/>
  <c r="BZ115" i="1"/>
  <c r="CA115" i="1"/>
  <c r="CH115" i="1"/>
  <c r="CL115" i="1"/>
  <c r="CM115" i="1"/>
  <c r="CN115" i="1"/>
  <c r="CO115" i="1"/>
  <c r="CP115" i="1"/>
  <c r="CZ115" i="1"/>
  <c r="DB115" i="1"/>
  <c r="DF115" i="1"/>
  <c r="AC1100" i="1"/>
  <c r="AH1100" i="1"/>
  <c r="BS1100" i="1"/>
  <c r="BV1100" i="1"/>
  <c r="BX1100" i="1"/>
  <c r="BY1100" i="1"/>
  <c r="BZ1100" i="1"/>
  <c r="CA1100" i="1"/>
  <c r="CH1100" i="1"/>
  <c r="CL1100" i="1"/>
  <c r="CM1100" i="1"/>
  <c r="CN1100" i="1"/>
  <c r="CO1100" i="1"/>
  <c r="CP1100" i="1"/>
  <c r="CZ1100" i="1"/>
  <c r="DB1100" i="1"/>
  <c r="DF1100" i="1"/>
  <c r="AC75" i="1"/>
  <c r="AH75" i="1"/>
  <c r="BS75" i="1"/>
  <c r="BV75" i="1"/>
  <c r="BX75" i="1"/>
  <c r="BY75" i="1"/>
  <c r="BZ75" i="1"/>
  <c r="CA75" i="1"/>
  <c r="CH75" i="1"/>
  <c r="CL75" i="1"/>
  <c r="CM75" i="1"/>
  <c r="CN75" i="1"/>
  <c r="CO75" i="1"/>
  <c r="CP75" i="1"/>
  <c r="CZ75" i="1"/>
  <c r="DB75" i="1"/>
  <c r="DF75" i="1"/>
  <c r="AC219" i="1"/>
  <c r="AH219" i="1"/>
  <c r="BS219" i="1"/>
  <c r="BV219" i="1"/>
  <c r="BX219" i="1"/>
  <c r="BY219" i="1"/>
  <c r="BZ219" i="1"/>
  <c r="CH219" i="1"/>
  <c r="CL219" i="1"/>
  <c r="CM219" i="1"/>
  <c r="CN219" i="1"/>
  <c r="CO219" i="1"/>
  <c r="CP219" i="1"/>
  <c r="CZ219" i="1"/>
  <c r="DB219" i="1"/>
  <c r="DF219" i="1"/>
  <c r="AC1940" i="1"/>
  <c r="AH1940" i="1"/>
  <c r="BS1940" i="1"/>
  <c r="BV1940" i="1"/>
  <c r="BX1940" i="1"/>
  <c r="BY1940" i="1"/>
  <c r="BZ1940" i="1"/>
  <c r="CA1940" i="1"/>
  <c r="CH1940" i="1"/>
  <c r="CL1940" i="1"/>
  <c r="CM1940" i="1"/>
  <c r="CN1940" i="1"/>
  <c r="CO1940" i="1"/>
  <c r="CP1940" i="1"/>
  <c r="CZ1940" i="1"/>
  <c r="DB1940" i="1"/>
  <c r="DF1940" i="1"/>
  <c r="AC607" i="1"/>
  <c r="AH607" i="1"/>
  <c r="BS607" i="1"/>
  <c r="BV607" i="1"/>
  <c r="BX607" i="1"/>
  <c r="BY607" i="1"/>
  <c r="BZ607" i="1"/>
  <c r="CA607" i="1"/>
  <c r="CH607" i="1"/>
  <c r="CL607" i="1"/>
  <c r="CM607" i="1"/>
  <c r="CN607" i="1"/>
  <c r="CO607" i="1"/>
  <c r="CP607" i="1"/>
  <c r="CZ607" i="1"/>
  <c r="DB607" i="1"/>
  <c r="DF607" i="1"/>
  <c r="AC2285" i="1"/>
  <c r="AH2285" i="1"/>
  <c r="BS2285" i="1"/>
  <c r="BV2285" i="1"/>
  <c r="BX2285" i="1"/>
  <c r="BY2285" i="1"/>
  <c r="BZ2285" i="1"/>
  <c r="CA2285" i="1"/>
  <c r="CH2285" i="1"/>
  <c r="CL2285" i="1"/>
  <c r="CM2285" i="1"/>
  <c r="CN2285" i="1"/>
  <c r="CO2285" i="1"/>
  <c r="CP2285" i="1"/>
  <c r="CZ2285" i="1"/>
  <c r="DB2285" i="1"/>
  <c r="DF2285" i="1"/>
  <c r="AC2016" i="1"/>
  <c r="AH2016" i="1"/>
  <c r="BS2016" i="1"/>
  <c r="BV2016" i="1"/>
  <c r="BX2016" i="1"/>
  <c r="BY2016" i="1"/>
  <c r="BZ2016" i="1"/>
  <c r="CH2016" i="1"/>
  <c r="CL2016" i="1"/>
  <c r="CM2016" i="1"/>
  <c r="CN2016" i="1"/>
  <c r="CP2016" i="1"/>
  <c r="CZ2016" i="1"/>
  <c r="DB2016" i="1"/>
  <c r="DF2016" i="1"/>
  <c r="AC4" i="1"/>
  <c r="AH4" i="1"/>
  <c r="BS4" i="1"/>
  <c r="BV4" i="1"/>
  <c r="BX4" i="1"/>
  <c r="BY4" i="1"/>
  <c r="BZ4" i="1"/>
  <c r="CH4" i="1"/>
  <c r="CL4" i="1"/>
  <c r="CM4" i="1"/>
  <c r="CN4" i="1"/>
  <c r="CO4" i="1"/>
  <c r="CP4" i="1"/>
  <c r="CZ4" i="1"/>
  <c r="DB4" i="1"/>
  <c r="DF4" i="1"/>
  <c r="AC1230" i="1"/>
  <c r="AH1230" i="1"/>
  <c r="BS1230" i="1"/>
  <c r="BV1230" i="1"/>
  <c r="BX1230" i="1"/>
  <c r="BY1230" i="1"/>
  <c r="BZ1230" i="1"/>
  <c r="CH1230" i="1"/>
  <c r="CL1230" i="1"/>
  <c r="CM1230" i="1"/>
  <c r="CN1230" i="1"/>
  <c r="CP1230" i="1"/>
  <c r="CZ1230" i="1"/>
  <c r="DB1230" i="1"/>
  <c r="DF1230" i="1"/>
  <c r="AC2049" i="1"/>
  <c r="AH2049" i="1"/>
  <c r="BS2049" i="1"/>
  <c r="BV2049" i="1"/>
  <c r="BX2049" i="1"/>
  <c r="BY2049" i="1"/>
  <c r="BZ2049" i="1"/>
  <c r="CA2049" i="1"/>
  <c r="CH2049" i="1"/>
  <c r="CL2049" i="1"/>
  <c r="CM2049" i="1"/>
  <c r="CN2049" i="1"/>
  <c r="CO2049" i="1"/>
  <c r="CP2049" i="1"/>
  <c r="CZ2049" i="1"/>
  <c r="DB2049" i="1"/>
  <c r="DF2049" i="1"/>
  <c r="AC2" i="1"/>
  <c r="AH2" i="1"/>
  <c r="BS2" i="1"/>
  <c r="BV2" i="1"/>
  <c r="BX2" i="1"/>
  <c r="BY2" i="1"/>
  <c r="BZ2" i="1"/>
  <c r="CA2" i="1"/>
  <c r="CH2" i="1"/>
  <c r="CL2" i="1"/>
  <c r="CM2" i="1"/>
  <c r="CN2" i="1"/>
  <c r="CO2" i="1"/>
  <c r="CP2" i="1"/>
  <c r="CZ2" i="1"/>
  <c r="DB2" i="1"/>
  <c r="DF2" i="1"/>
  <c r="AC837" i="1"/>
  <c r="AH837" i="1"/>
  <c r="BS837" i="1"/>
  <c r="BV837" i="1"/>
  <c r="BX837" i="1"/>
  <c r="BY837" i="1"/>
  <c r="BZ837" i="1"/>
  <c r="CA837" i="1"/>
  <c r="CH837" i="1"/>
  <c r="CL837" i="1"/>
  <c r="CM837" i="1"/>
  <c r="CN837" i="1"/>
  <c r="CO837" i="1"/>
  <c r="CP837" i="1"/>
  <c r="CZ837" i="1"/>
  <c r="DB837" i="1"/>
  <c r="DF837" i="1"/>
  <c r="AC1293" i="1"/>
  <c r="AH1293" i="1"/>
  <c r="BS1293" i="1"/>
  <c r="BV1293" i="1"/>
  <c r="BX1293" i="1"/>
  <c r="BY1293" i="1"/>
  <c r="BZ1293" i="1"/>
  <c r="CH1293" i="1"/>
  <c r="CL1293" i="1"/>
  <c r="CM1293" i="1"/>
  <c r="CN1293" i="1"/>
  <c r="CP1293" i="1"/>
  <c r="CZ1293" i="1"/>
  <c r="DB1293" i="1"/>
  <c r="DF1293" i="1"/>
  <c r="AC1589" i="1"/>
  <c r="AH1589" i="1"/>
  <c r="BS1589" i="1"/>
  <c r="BV1589" i="1"/>
  <c r="BX1589" i="1"/>
  <c r="BY1589" i="1"/>
  <c r="BZ1589" i="1"/>
  <c r="CH1589" i="1"/>
  <c r="CL1589" i="1"/>
  <c r="CM1589" i="1"/>
  <c r="CN1589" i="1"/>
  <c r="CO1589" i="1"/>
  <c r="CP1589" i="1"/>
  <c r="CZ1589" i="1"/>
  <c r="DB1589" i="1"/>
  <c r="DF1589" i="1"/>
  <c r="AC418" i="1"/>
  <c r="AH418" i="1"/>
  <c r="BS418" i="1"/>
  <c r="BV418" i="1"/>
  <c r="BX418" i="1"/>
  <c r="BY418" i="1"/>
  <c r="BZ418" i="1"/>
  <c r="CA418" i="1"/>
  <c r="CH418" i="1"/>
  <c r="CL418" i="1"/>
  <c r="CM418" i="1"/>
  <c r="CN418" i="1"/>
  <c r="CO418" i="1"/>
  <c r="CP418" i="1"/>
  <c r="CZ418" i="1"/>
  <c r="DB418" i="1"/>
  <c r="DF418" i="1"/>
  <c r="AC1748" i="1"/>
  <c r="AH1748" i="1"/>
  <c r="BS1748" i="1"/>
  <c r="BV1748" i="1"/>
  <c r="BX1748" i="1"/>
  <c r="BY1748" i="1"/>
  <c r="BZ1748" i="1"/>
  <c r="CA1748" i="1"/>
  <c r="CH1748" i="1"/>
  <c r="CL1748" i="1"/>
  <c r="CM1748" i="1"/>
  <c r="CN1748" i="1"/>
  <c r="CO1748" i="1"/>
  <c r="CP1748" i="1"/>
  <c r="CZ1748" i="1"/>
  <c r="DB1748" i="1"/>
  <c r="DF1748" i="1"/>
  <c r="AC1997" i="1"/>
  <c r="AH1997" i="1"/>
  <c r="BS1997" i="1"/>
  <c r="BV1997" i="1"/>
  <c r="BX1997" i="1"/>
  <c r="BY1997" i="1"/>
  <c r="BZ1997" i="1"/>
  <c r="CA1997" i="1"/>
  <c r="CH1997" i="1"/>
  <c r="CL1997" i="1"/>
  <c r="CM1997" i="1"/>
  <c r="CN1997" i="1"/>
  <c r="CO1997" i="1"/>
  <c r="CP1997" i="1"/>
  <c r="CZ1997" i="1"/>
  <c r="DB1997" i="1"/>
  <c r="DF1997" i="1"/>
  <c r="AC679" i="1"/>
  <c r="AH679" i="1"/>
  <c r="BS679" i="1"/>
  <c r="BV679" i="1"/>
  <c r="BX679" i="1"/>
  <c r="BY679" i="1"/>
  <c r="BZ679" i="1"/>
  <c r="CA679" i="1"/>
  <c r="CH679" i="1"/>
  <c r="CL679" i="1"/>
  <c r="CM679" i="1"/>
  <c r="CN679" i="1"/>
  <c r="CO679" i="1"/>
  <c r="CP679" i="1"/>
  <c r="CZ679" i="1"/>
  <c r="DB679" i="1"/>
  <c r="DF679" i="1"/>
  <c r="AC1915" i="1"/>
  <c r="AH1915" i="1"/>
  <c r="BS1915" i="1"/>
  <c r="BV1915" i="1"/>
  <c r="BX1915" i="1"/>
  <c r="BY1915" i="1"/>
  <c r="BZ1915" i="1"/>
  <c r="CA1915" i="1"/>
  <c r="CH1915" i="1"/>
  <c r="CL1915" i="1"/>
  <c r="CM1915" i="1"/>
  <c r="CN1915" i="1"/>
  <c r="CO1915" i="1"/>
  <c r="CP1915" i="1"/>
  <c r="CZ1915" i="1"/>
  <c r="DB1915" i="1"/>
  <c r="DF1915" i="1"/>
  <c r="AC212" i="1"/>
  <c r="AH212" i="1"/>
  <c r="BS212" i="1"/>
  <c r="BV212" i="1"/>
  <c r="BX212" i="1"/>
  <c r="BY212" i="1"/>
  <c r="BZ212" i="1"/>
  <c r="CH212" i="1"/>
  <c r="CL212" i="1"/>
  <c r="CM212" i="1"/>
  <c r="CN212" i="1"/>
  <c r="CO212" i="1"/>
  <c r="CP212" i="1"/>
  <c r="CZ212" i="1"/>
  <c r="DB212" i="1"/>
  <c r="DF212" i="1"/>
  <c r="AC1929" i="1"/>
  <c r="AH1929" i="1"/>
  <c r="BS1929" i="1"/>
  <c r="BV1929" i="1"/>
  <c r="BX1929" i="1"/>
  <c r="BY1929" i="1"/>
  <c r="BZ1929" i="1"/>
  <c r="CH1929" i="1"/>
  <c r="CL1929" i="1"/>
  <c r="CM1929" i="1"/>
  <c r="CN1929" i="1"/>
  <c r="CO1929" i="1"/>
  <c r="CP1929" i="1"/>
  <c r="CZ1929" i="1"/>
  <c r="DB1929" i="1"/>
  <c r="DF1929" i="1"/>
  <c r="AC645" i="1"/>
  <c r="AH645" i="1"/>
  <c r="BS645" i="1"/>
  <c r="BV645" i="1"/>
  <c r="BX645" i="1"/>
  <c r="BY645" i="1"/>
  <c r="BZ645" i="1"/>
  <c r="CH645" i="1"/>
  <c r="CL645" i="1"/>
  <c r="CM645" i="1"/>
  <c r="CN645" i="1"/>
  <c r="CO645" i="1"/>
  <c r="CP645" i="1"/>
  <c r="CZ645" i="1"/>
  <c r="DB645" i="1"/>
  <c r="DF645" i="1"/>
  <c r="AC921" i="1"/>
  <c r="AH921" i="1"/>
  <c r="BS921" i="1"/>
  <c r="BV921" i="1"/>
  <c r="BX921" i="1"/>
  <c r="BY921" i="1"/>
  <c r="BZ921" i="1"/>
  <c r="CH921" i="1"/>
  <c r="CL921" i="1"/>
  <c r="CM921" i="1"/>
  <c r="CN921" i="1"/>
  <c r="CO921" i="1"/>
  <c r="CP921" i="1"/>
  <c r="CZ921" i="1"/>
  <c r="DB921" i="1"/>
  <c r="DF921" i="1"/>
  <c r="AC1807" i="1"/>
  <c r="AH1807" i="1"/>
  <c r="BS1807" i="1"/>
  <c r="BV1807" i="1"/>
  <c r="BX1807" i="1"/>
  <c r="BY1807" i="1"/>
  <c r="BZ1807" i="1"/>
  <c r="CH1807" i="1"/>
  <c r="CL1807" i="1"/>
  <c r="CM1807" i="1"/>
  <c r="CN1807" i="1"/>
  <c r="CO1807" i="1"/>
  <c r="CP1807" i="1"/>
  <c r="CZ1807" i="1"/>
  <c r="DB1807" i="1"/>
  <c r="DF1807" i="1"/>
  <c r="AC454" i="1"/>
  <c r="AH454" i="1"/>
  <c r="BS454" i="1"/>
  <c r="BV454" i="1"/>
  <c r="BX454" i="1"/>
  <c r="BY454" i="1"/>
  <c r="BZ454" i="1"/>
  <c r="CA454" i="1"/>
  <c r="CH454" i="1"/>
  <c r="CL454" i="1"/>
  <c r="CM454" i="1"/>
  <c r="CN454" i="1"/>
  <c r="CO454" i="1"/>
  <c r="CP454" i="1"/>
  <c r="CZ454" i="1"/>
  <c r="DB454" i="1"/>
  <c r="DF454" i="1"/>
  <c r="AC1510" i="1"/>
  <c r="AH1510" i="1"/>
  <c r="BS1510" i="1"/>
  <c r="BV1510" i="1"/>
  <c r="BX1510" i="1"/>
  <c r="BY1510" i="1"/>
  <c r="BZ1510" i="1"/>
  <c r="CH1510" i="1"/>
  <c r="CL1510" i="1"/>
  <c r="CM1510" i="1"/>
  <c r="CN1510" i="1"/>
  <c r="CO1510" i="1"/>
  <c r="CP1510" i="1"/>
  <c r="CZ1510" i="1"/>
  <c r="DB1510" i="1"/>
  <c r="DF1510" i="1"/>
  <c r="AC1891" i="1"/>
  <c r="AH1891" i="1"/>
  <c r="BS1891" i="1"/>
  <c r="BV1891" i="1"/>
  <c r="BX1891" i="1"/>
  <c r="BY1891" i="1"/>
  <c r="BZ1891" i="1"/>
  <c r="CH1891" i="1"/>
  <c r="CL1891" i="1"/>
  <c r="CM1891" i="1"/>
  <c r="CN1891" i="1"/>
  <c r="CO1891" i="1"/>
  <c r="CP1891" i="1"/>
  <c r="CZ1891" i="1"/>
  <c r="DB1891" i="1"/>
  <c r="DF1891" i="1"/>
  <c r="AC268" i="1"/>
  <c r="AH268" i="1"/>
  <c r="BS268" i="1"/>
  <c r="BV268" i="1"/>
  <c r="BX268" i="1"/>
  <c r="BY268" i="1"/>
  <c r="BZ268" i="1"/>
  <c r="CA268" i="1"/>
  <c r="CH268" i="1"/>
  <c r="CL268" i="1"/>
  <c r="CM268" i="1"/>
  <c r="CN268" i="1"/>
  <c r="CO268" i="1"/>
  <c r="CP268" i="1"/>
  <c r="CZ268" i="1"/>
  <c r="DB268" i="1"/>
  <c r="DF268" i="1"/>
  <c r="AC2223" i="1"/>
  <c r="AH2223" i="1"/>
  <c r="BS2223" i="1"/>
  <c r="BV2223" i="1"/>
  <c r="BX2223" i="1"/>
  <c r="BY2223" i="1"/>
  <c r="BZ2223" i="1"/>
  <c r="CA2223" i="1"/>
  <c r="CH2223" i="1"/>
  <c r="CL2223" i="1"/>
  <c r="CM2223" i="1"/>
  <c r="CN2223" i="1"/>
  <c r="CO2223" i="1"/>
  <c r="CP2223" i="1"/>
  <c r="CZ2223" i="1"/>
  <c r="DB2223" i="1"/>
  <c r="DF2223" i="1"/>
  <c r="AC832" i="1"/>
  <c r="AH832" i="1"/>
  <c r="BS832" i="1"/>
  <c r="BV832" i="1"/>
  <c r="BX832" i="1"/>
  <c r="BY832" i="1"/>
  <c r="BZ832" i="1"/>
  <c r="CH832" i="1"/>
  <c r="CL832" i="1"/>
  <c r="CM832" i="1"/>
  <c r="CN832" i="1"/>
  <c r="CO832" i="1"/>
  <c r="CP832" i="1"/>
  <c r="CZ832" i="1"/>
  <c r="DB832" i="1"/>
  <c r="DF832" i="1"/>
  <c r="AC197" i="1"/>
  <c r="AH197" i="1"/>
  <c r="BS197" i="1"/>
  <c r="BV197" i="1"/>
  <c r="BX197" i="1"/>
  <c r="BY197" i="1"/>
  <c r="BZ197" i="1"/>
  <c r="CA197" i="1"/>
  <c r="CH197" i="1"/>
  <c r="CL197" i="1"/>
  <c r="CM197" i="1"/>
  <c r="CN197" i="1"/>
  <c r="CO197" i="1"/>
  <c r="CP197" i="1"/>
  <c r="CZ197" i="1"/>
  <c r="DB197" i="1"/>
  <c r="DF197" i="1"/>
  <c r="AC947" i="1"/>
  <c r="AH947" i="1"/>
  <c r="BS947" i="1"/>
  <c r="BV947" i="1"/>
  <c r="BX947" i="1"/>
  <c r="BY947" i="1"/>
  <c r="BZ947" i="1"/>
  <c r="CA947" i="1"/>
  <c r="CH947" i="1"/>
  <c r="CL947" i="1"/>
  <c r="CM947" i="1"/>
  <c r="CN947" i="1"/>
  <c r="CO947" i="1"/>
  <c r="CP947" i="1"/>
  <c r="CZ947" i="1"/>
  <c r="DB947" i="1"/>
  <c r="DF947" i="1"/>
  <c r="AC43" i="1"/>
  <c r="AH43" i="1"/>
  <c r="BS43" i="1"/>
  <c r="BV43" i="1"/>
  <c r="BX43" i="1"/>
  <c r="BY43" i="1"/>
  <c r="BZ43" i="1"/>
  <c r="CA43" i="1"/>
  <c r="CH43" i="1"/>
  <c r="CL43" i="1"/>
  <c r="CM43" i="1"/>
  <c r="CN43" i="1"/>
  <c r="CO43" i="1"/>
  <c r="CP43" i="1"/>
  <c r="CZ43" i="1"/>
  <c r="DB43" i="1"/>
  <c r="DF43" i="1"/>
  <c r="AC506" i="1"/>
  <c r="AH506" i="1"/>
  <c r="BS506" i="1"/>
  <c r="BV506" i="1"/>
  <c r="BX506" i="1"/>
  <c r="BY506" i="1"/>
  <c r="BZ506" i="1"/>
  <c r="CH506" i="1"/>
  <c r="CL506" i="1"/>
  <c r="CM506" i="1"/>
  <c r="CN506" i="1"/>
  <c r="CO506" i="1"/>
  <c r="CP506" i="1"/>
  <c r="CZ506" i="1"/>
  <c r="DB506" i="1"/>
  <c r="DF506" i="1"/>
  <c r="AC1380" i="1"/>
  <c r="AH1380" i="1"/>
  <c r="BS1380" i="1"/>
  <c r="BV1380" i="1"/>
  <c r="BX1380" i="1"/>
  <c r="BY1380" i="1"/>
  <c r="BZ1380" i="1"/>
  <c r="CA1380" i="1"/>
  <c r="CH1380" i="1"/>
  <c r="CL1380" i="1"/>
  <c r="CM1380" i="1"/>
  <c r="CN1380" i="1"/>
  <c r="CO1380" i="1"/>
  <c r="CP1380" i="1"/>
  <c r="CZ1380" i="1"/>
  <c r="DB1380" i="1"/>
  <c r="DF1380" i="1"/>
  <c r="AC1487" i="1"/>
  <c r="AH1487" i="1"/>
  <c r="BS1487" i="1"/>
  <c r="BV1487" i="1"/>
  <c r="BX1487" i="1"/>
  <c r="BY1487" i="1"/>
  <c r="BZ1487" i="1"/>
  <c r="CH1487" i="1"/>
  <c r="CL1487" i="1"/>
  <c r="CM1487" i="1"/>
  <c r="CN1487" i="1"/>
  <c r="CP1487" i="1"/>
  <c r="CZ1487" i="1"/>
  <c r="DB1487" i="1"/>
  <c r="DF1487" i="1"/>
  <c r="AC977" i="1"/>
  <c r="AH977" i="1"/>
  <c r="BS977" i="1"/>
  <c r="BV977" i="1"/>
  <c r="BX977" i="1"/>
  <c r="BY977" i="1"/>
  <c r="BZ977" i="1"/>
  <c r="CH977" i="1"/>
  <c r="CL977" i="1"/>
  <c r="CM977" i="1"/>
  <c r="CN977" i="1"/>
  <c r="CO977" i="1"/>
  <c r="CP977" i="1"/>
  <c r="CZ977" i="1"/>
  <c r="DB977" i="1"/>
  <c r="DF977" i="1"/>
  <c r="AC1321" i="1"/>
  <c r="AH1321" i="1"/>
  <c r="BS1321" i="1"/>
  <c r="BV1321" i="1"/>
  <c r="BX1321" i="1"/>
  <c r="BY1321" i="1"/>
  <c r="BZ1321" i="1"/>
  <c r="CH1321" i="1"/>
  <c r="CL1321" i="1"/>
  <c r="CM1321" i="1"/>
  <c r="CN1321" i="1"/>
  <c r="CO1321" i="1"/>
  <c r="CP1321" i="1"/>
  <c r="CZ1321" i="1"/>
  <c r="DB1321" i="1"/>
  <c r="DF1321" i="1"/>
  <c r="AC279" i="1"/>
  <c r="AH279" i="1"/>
  <c r="BS279" i="1"/>
  <c r="BV279" i="1"/>
  <c r="BX279" i="1"/>
  <c r="BY279" i="1"/>
  <c r="BZ279" i="1"/>
  <c r="CH279" i="1"/>
  <c r="CL279" i="1"/>
  <c r="CM279" i="1"/>
  <c r="CN279" i="1"/>
  <c r="CO279" i="1"/>
  <c r="CP279" i="1"/>
  <c r="CZ279" i="1"/>
  <c r="DB279" i="1"/>
  <c r="DF279" i="1"/>
  <c r="AC2258" i="1"/>
  <c r="AH2258" i="1"/>
  <c r="BS2258" i="1"/>
  <c r="BV2258" i="1"/>
  <c r="BX2258" i="1"/>
  <c r="BY2258" i="1"/>
  <c r="BZ2258" i="1"/>
  <c r="CA2258" i="1"/>
  <c r="CH2258" i="1"/>
  <c r="CL2258" i="1"/>
  <c r="CM2258" i="1"/>
  <c r="CN2258" i="1"/>
  <c r="CO2258" i="1"/>
  <c r="CP2258" i="1"/>
  <c r="CZ2258" i="1"/>
  <c r="DB2258" i="1"/>
  <c r="DF2258" i="1"/>
  <c r="AC1734" i="1"/>
  <c r="AH1734" i="1"/>
  <c r="BS1734" i="1"/>
  <c r="BV1734" i="1"/>
  <c r="BX1734" i="1"/>
  <c r="BY1734" i="1"/>
  <c r="BZ1734" i="1"/>
  <c r="CA1734" i="1"/>
  <c r="CH1734" i="1"/>
  <c r="CL1734" i="1"/>
  <c r="CM1734" i="1"/>
  <c r="CN1734" i="1"/>
  <c r="CO1734" i="1"/>
  <c r="CP1734" i="1"/>
  <c r="CZ1734" i="1"/>
  <c r="DB1734" i="1"/>
  <c r="DF1734" i="1"/>
  <c r="AC1941" i="1"/>
  <c r="AH1941" i="1"/>
  <c r="BS1941" i="1"/>
  <c r="BV1941" i="1"/>
  <c r="BX1941" i="1"/>
  <c r="BY1941" i="1"/>
  <c r="BZ1941" i="1"/>
  <c r="CH1941" i="1"/>
  <c r="CL1941" i="1"/>
  <c r="CM1941" i="1"/>
  <c r="CN1941" i="1"/>
  <c r="CP1941" i="1"/>
  <c r="CZ1941" i="1"/>
  <c r="DB1941" i="1"/>
  <c r="DF1941" i="1"/>
  <c r="AC1038" i="1"/>
  <c r="AH1038" i="1"/>
  <c r="BS1038" i="1"/>
  <c r="BV1038" i="1"/>
  <c r="BX1038" i="1"/>
  <c r="BY1038" i="1"/>
  <c r="BZ1038" i="1"/>
  <c r="CA1038" i="1"/>
  <c r="CH1038" i="1"/>
  <c r="CL1038" i="1"/>
  <c r="CM1038" i="1"/>
  <c r="CN1038" i="1"/>
  <c r="CO1038" i="1"/>
  <c r="CP1038" i="1"/>
  <c r="CZ1038" i="1"/>
  <c r="DB1038" i="1"/>
  <c r="DF1038" i="1"/>
  <c r="AC1960" i="1"/>
  <c r="AH1960" i="1"/>
  <c r="BS1960" i="1"/>
  <c r="BV1960" i="1"/>
  <c r="BX1960" i="1"/>
  <c r="BY1960" i="1"/>
  <c r="BZ1960" i="1"/>
  <c r="CH1960" i="1"/>
  <c r="CL1960" i="1"/>
  <c r="CM1960" i="1"/>
  <c r="CN1960" i="1"/>
  <c r="CP1960" i="1"/>
  <c r="CZ1960" i="1"/>
  <c r="DB1960" i="1"/>
  <c r="DF1960" i="1"/>
  <c r="AC1112" i="1"/>
  <c r="AH1112" i="1"/>
  <c r="BS1112" i="1"/>
  <c r="BV1112" i="1"/>
  <c r="BX1112" i="1"/>
  <c r="BY1112" i="1"/>
  <c r="BZ1112" i="1"/>
  <c r="CA1112" i="1"/>
  <c r="CH1112" i="1"/>
  <c r="CL1112" i="1"/>
  <c r="CM1112" i="1"/>
  <c r="CN1112" i="1"/>
  <c r="CO1112" i="1"/>
  <c r="CP1112" i="1"/>
  <c r="CZ1112" i="1"/>
  <c r="DB1112" i="1"/>
  <c r="DF1112" i="1"/>
  <c r="AC1358" i="1"/>
  <c r="AH1358" i="1"/>
  <c r="BS1358" i="1"/>
  <c r="BV1358" i="1"/>
  <c r="BX1358" i="1"/>
  <c r="BY1358" i="1"/>
  <c r="BZ1358" i="1"/>
  <c r="CA1358" i="1"/>
  <c r="CH1358" i="1"/>
  <c r="CL1358" i="1"/>
  <c r="CM1358" i="1"/>
  <c r="CN1358" i="1"/>
  <c r="CO1358" i="1"/>
  <c r="CP1358" i="1"/>
  <c r="CZ1358" i="1"/>
  <c r="DB1358" i="1"/>
  <c r="DF1358" i="1"/>
  <c r="AC1583" i="1"/>
  <c r="AH1583" i="1"/>
  <c r="BS1583" i="1"/>
  <c r="BV1583" i="1"/>
  <c r="BX1583" i="1"/>
  <c r="BY1583" i="1"/>
  <c r="BZ1583" i="1"/>
  <c r="CH1583" i="1"/>
  <c r="CL1583" i="1"/>
  <c r="CM1583" i="1"/>
  <c r="CN1583" i="1"/>
  <c r="CO1583" i="1"/>
  <c r="CP1583" i="1"/>
  <c r="CZ1583" i="1"/>
  <c r="DB1583" i="1"/>
  <c r="DF1583" i="1"/>
  <c r="AC1410" i="1"/>
  <c r="AH1410" i="1"/>
  <c r="BS1410" i="1"/>
  <c r="BV1410" i="1"/>
  <c r="BX1410" i="1"/>
  <c r="BY1410" i="1"/>
  <c r="BZ1410" i="1"/>
  <c r="CH1410" i="1"/>
  <c r="CL1410" i="1"/>
  <c r="CM1410" i="1"/>
  <c r="CN1410" i="1"/>
  <c r="CO1410" i="1"/>
  <c r="CP1410" i="1"/>
  <c r="CZ1410" i="1"/>
  <c r="DB1410" i="1"/>
  <c r="DF1410" i="1"/>
  <c r="AC751" i="1"/>
  <c r="AH751" i="1"/>
  <c r="BS751" i="1"/>
  <c r="BV751" i="1"/>
  <c r="BX751" i="1"/>
  <c r="BY751" i="1"/>
  <c r="BZ751" i="1"/>
  <c r="CA751" i="1"/>
  <c r="CH751" i="1"/>
  <c r="CL751" i="1"/>
  <c r="CM751" i="1"/>
  <c r="CN751" i="1"/>
  <c r="CO751" i="1"/>
  <c r="CP751" i="1"/>
  <c r="CZ751" i="1"/>
  <c r="DB751" i="1"/>
  <c r="DF751" i="1"/>
  <c r="AC303" i="1"/>
  <c r="AH303" i="1"/>
  <c r="BS303" i="1"/>
  <c r="BV303" i="1"/>
  <c r="BX303" i="1"/>
  <c r="BY303" i="1"/>
  <c r="BZ303" i="1"/>
  <c r="CA303" i="1"/>
  <c r="CH303" i="1"/>
  <c r="CL303" i="1"/>
  <c r="CM303" i="1"/>
  <c r="CN303" i="1"/>
  <c r="CO303" i="1"/>
  <c r="CP303" i="1"/>
  <c r="CZ303" i="1"/>
  <c r="DB303" i="1"/>
  <c r="DF303" i="1"/>
  <c r="AC776" i="1"/>
  <c r="AH776" i="1"/>
  <c r="BS776" i="1"/>
  <c r="BV776" i="1"/>
  <c r="BX776" i="1"/>
  <c r="BY776" i="1"/>
  <c r="BZ776" i="1"/>
  <c r="CH776" i="1"/>
  <c r="CL776" i="1"/>
  <c r="CM776" i="1"/>
  <c r="CN776" i="1"/>
  <c r="CO776" i="1"/>
  <c r="CP776" i="1"/>
  <c r="CZ776" i="1"/>
  <c r="DB776" i="1"/>
  <c r="DF776" i="1"/>
  <c r="AC1075" i="1"/>
  <c r="AH1075" i="1"/>
  <c r="BS1075" i="1"/>
  <c r="BV1075" i="1"/>
  <c r="BX1075" i="1"/>
  <c r="BY1075" i="1"/>
  <c r="BZ1075" i="1"/>
  <c r="CA1075" i="1"/>
  <c r="CH1075" i="1"/>
  <c r="CL1075" i="1"/>
  <c r="CM1075" i="1"/>
  <c r="CN1075" i="1"/>
  <c r="CO1075" i="1"/>
  <c r="CP1075" i="1"/>
  <c r="CZ1075" i="1"/>
  <c r="DB1075" i="1"/>
  <c r="DF1075" i="1"/>
  <c r="AC2007" i="1"/>
  <c r="AH2007" i="1"/>
  <c r="BS2007" i="1"/>
  <c r="BV2007" i="1"/>
  <c r="BX2007" i="1"/>
  <c r="BY2007" i="1"/>
  <c r="BZ2007" i="1"/>
  <c r="CA2007" i="1"/>
  <c r="CH2007" i="1"/>
  <c r="CL2007" i="1"/>
  <c r="CM2007" i="1"/>
  <c r="CN2007" i="1"/>
  <c r="CO2007" i="1"/>
  <c r="CP2007" i="1"/>
  <c r="CZ2007" i="1"/>
  <c r="DB2007" i="1"/>
  <c r="DF2007" i="1"/>
  <c r="AC1151" i="1"/>
  <c r="AH1151" i="1"/>
  <c r="BS1151" i="1"/>
  <c r="BV1151" i="1"/>
  <c r="BX1151" i="1"/>
  <c r="BY1151" i="1"/>
  <c r="BZ1151" i="1"/>
  <c r="CA1151" i="1"/>
  <c r="CH1151" i="1"/>
  <c r="CL1151" i="1"/>
  <c r="CM1151" i="1"/>
  <c r="CN1151" i="1"/>
  <c r="CO1151" i="1"/>
  <c r="CP1151" i="1"/>
  <c r="CZ1151" i="1"/>
  <c r="DB1151" i="1"/>
  <c r="DF1151" i="1"/>
  <c r="AC1872" i="1"/>
  <c r="AH1872" i="1"/>
  <c r="BS1872" i="1"/>
  <c r="BV1872" i="1"/>
  <c r="BX1872" i="1"/>
  <c r="BY1872" i="1"/>
  <c r="BZ1872" i="1"/>
  <c r="CA1872" i="1"/>
  <c r="CH1872" i="1"/>
  <c r="CL1872" i="1"/>
  <c r="CM1872" i="1"/>
  <c r="CN1872" i="1"/>
  <c r="CO1872" i="1"/>
  <c r="CP1872" i="1"/>
  <c r="CZ1872" i="1"/>
  <c r="DB1872" i="1"/>
  <c r="DF1872" i="1"/>
  <c r="AC1905" i="1"/>
  <c r="AH1905" i="1"/>
  <c r="BS1905" i="1"/>
  <c r="BV1905" i="1"/>
  <c r="BX1905" i="1"/>
  <c r="BY1905" i="1"/>
  <c r="BZ1905" i="1"/>
  <c r="CA1905" i="1"/>
  <c r="CH1905" i="1"/>
  <c r="CL1905" i="1"/>
  <c r="CM1905" i="1"/>
  <c r="CN1905" i="1"/>
  <c r="CO1905" i="1"/>
  <c r="CP1905" i="1"/>
  <c r="CZ1905" i="1"/>
  <c r="DB1905" i="1"/>
  <c r="DF1905" i="1"/>
  <c r="AC1804" i="1"/>
  <c r="AH1804" i="1"/>
  <c r="BS1804" i="1"/>
  <c r="BV1804" i="1"/>
  <c r="BX1804" i="1"/>
  <c r="BY1804" i="1"/>
  <c r="BZ1804" i="1"/>
  <c r="CH1804" i="1"/>
  <c r="CL1804" i="1"/>
  <c r="CM1804" i="1"/>
  <c r="CN1804" i="1"/>
  <c r="CO1804" i="1"/>
  <c r="CP1804" i="1"/>
  <c r="CZ1804" i="1"/>
  <c r="DB1804" i="1"/>
  <c r="DF1804" i="1"/>
  <c r="AC698" i="1"/>
  <c r="AH698" i="1"/>
  <c r="BS698" i="1"/>
  <c r="BV698" i="1"/>
  <c r="BX698" i="1"/>
  <c r="BY698" i="1"/>
  <c r="BZ698" i="1"/>
  <c r="CA698" i="1"/>
  <c r="CH698" i="1"/>
  <c r="CL698" i="1"/>
  <c r="CM698" i="1"/>
  <c r="CN698" i="1"/>
  <c r="CO698" i="1"/>
  <c r="CP698" i="1"/>
  <c r="CZ698" i="1"/>
  <c r="DB698" i="1"/>
  <c r="DF698" i="1"/>
  <c r="AC2165" i="1"/>
  <c r="AH2165" i="1"/>
  <c r="BS2165" i="1"/>
  <c r="BV2165" i="1"/>
  <c r="BX2165" i="1"/>
  <c r="BY2165" i="1"/>
  <c r="BZ2165" i="1"/>
  <c r="CH2165" i="1"/>
  <c r="CL2165" i="1"/>
  <c r="CM2165" i="1"/>
  <c r="CN2165" i="1"/>
  <c r="CO2165" i="1"/>
  <c r="CP2165" i="1"/>
  <c r="CZ2165" i="1"/>
  <c r="DB2165" i="1"/>
  <c r="DF2165" i="1"/>
  <c r="AC56" i="1"/>
  <c r="AH56" i="1"/>
  <c r="BS56" i="1"/>
  <c r="BV56" i="1"/>
  <c r="BX56" i="1"/>
  <c r="BY56" i="1"/>
  <c r="BZ56" i="1"/>
  <c r="CA56" i="1"/>
  <c r="CH56" i="1"/>
  <c r="CL56" i="1"/>
  <c r="CM56" i="1"/>
  <c r="CN56" i="1"/>
  <c r="CO56" i="1"/>
  <c r="CP56" i="1"/>
  <c r="CZ56" i="1"/>
  <c r="DB56" i="1"/>
  <c r="DF56" i="1"/>
  <c r="AC795" i="1"/>
  <c r="AH795" i="1"/>
  <c r="BS795" i="1"/>
  <c r="BV795" i="1"/>
  <c r="BX795" i="1"/>
  <c r="BY795" i="1"/>
  <c r="BZ795" i="1"/>
  <c r="CH795" i="1"/>
  <c r="CL795" i="1"/>
  <c r="CM795" i="1"/>
  <c r="CN795" i="1"/>
  <c r="CO795" i="1"/>
  <c r="CP795" i="1"/>
  <c r="CZ795" i="1"/>
  <c r="DB795" i="1"/>
  <c r="DF795" i="1"/>
  <c r="AC2038" i="1"/>
  <c r="AH2038" i="1"/>
  <c r="BS2038" i="1"/>
  <c r="BV2038" i="1"/>
  <c r="BX2038" i="1"/>
  <c r="BY2038" i="1"/>
  <c r="BZ2038" i="1"/>
  <c r="CA2038" i="1"/>
  <c r="CH2038" i="1"/>
  <c r="CL2038" i="1"/>
  <c r="CM2038" i="1"/>
  <c r="CN2038" i="1"/>
  <c r="CO2038" i="1"/>
  <c r="CP2038" i="1"/>
  <c r="CZ2038" i="1"/>
  <c r="DB2038" i="1"/>
  <c r="DF2038" i="1"/>
  <c r="AC340" i="1"/>
  <c r="AH340" i="1"/>
  <c r="BS340" i="1"/>
  <c r="BV340" i="1"/>
  <c r="BX340" i="1"/>
  <c r="BY340" i="1"/>
  <c r="BZ340" i="1"/>
  <c r="CA340" i="1"/>
  <c r="CH340" i="1"/>
  <c r="CL340" i="1"/>
  <c r="CM340" i="1"/>
  <c r="CN340" i="1"/>
  <c r="CO340" i="1"/>
  <c r="CP340" i="1"/>
  <c r="CZ340" i="1"/>
  <c r="DB340" i="1"/>
  <c r="DF340" i="1"/>
  <c r="AC578" i="1"/>
  <c r="AH578" i="1"/>
  <c r="BS578" i="1"/>
  <c r="BV578" i="1"/>
  <c r="BX578" i="1"/>
  <c r="BY578" i="1"/>
  <c r="BZ578" i="1"/>
  <c r="CA578" i="1"/>
  <c r="CH578" i="1"/>
  <c r="CL578" i="1"/>
  <c r="CM578" i="1"/>
  <c r="CN578" i="1"/>
  <c r="CO578" i="1"/>
  <c r="CP578" i="1"/>
  <c r="CZ578" i="1"/>
  <c r="DB578" i="1"/>
  <c r="DF578" i="1"/>
  <c r="AC2302" i="1"/>
  <c r="AH2302" i="1"/>
  <c r="BS2302" i="1"/>
  <c r="BV2302" i="1"/>
  <c r="BX2302" i="1"/>
  <c r="BY2302" i="1"/>
  <c r="BZ2302" i="1"/>
  <c r="CA2302" i="1"/>
  <c r="CH2302" i="1"/>
  <c r="CL2302" i="1"/>
  <c r="CM2302" i="1"/>
  <c r="CN2302" i="1"/>
  <c r="CO2302" i="1"/>
  <c r="CP2302" i="1"/>
  <c r="CZ2302" i="1"/>
  <c r="DB2302" i="1"/>
  <c r="DF2302" i="1"/>
  <c r="AC431" i="1"/>
  <c r="AH431" i="1"/>
  <c r="BS431" i="1"/>
  <c r="BV431" i="1"/>
  <c r="BX431" i="1"/>
  <c r="BY431" i="1"/>
  <c r="BZ431" i="1"/>
  <c r="CH431" i="1"/>
  <c r="CL431" i="1"/>
  <c r="CM431" i="1"/>
  <c r="CN431" i="1"/>
  <c r="CO431" i="1"/>
  <c r="CP431" i="1"/>
  <c r="CZ431" i="1"/>
  <c r="DB431" i="1"/>
  <c r="DF431" i="1"/>
  <c r="AC1288" i="1"/>
  <c r="AH1288" i="1"/>
  <c r="BS1288" i="1"/>
  <c r="BV1288" i="1"/>
  <c r="BX1288" i="1"/>
  <c r="BY1288" i="1"/>
  <c r="BZ1288" i="1"/>
  <c r="CA1288" i="1"/>
  <c r="CH1288" i="1"/>
  <c r="CL1288" i="1"/>
  <c r="CM1288" i="1"/>
  <c r="CN1288" i="1"/>
  <c r="CO1288" i="1"/>
  <c r="CP1288" i="1"/>
  <c r="CZ1288" i="1"/>
  <c r="DB1288" i="1"/>
  <c r="DF1288" i="1"/>
  <c r="AC396" i="1"/>
  <c r="AH396" i="1"/>
  <c r="BS396" i="1"/>
  <c r="BV396" i="1"/>
  <c r="BX396" i="1"/>
  <c r="BY396" i="1"/>
  <c r="BZ396" i="1"/>
  <c r="CA396" i="1"/>
  <c r="CH396" i="1"/>
  <c r="CL396" i="1"/>
  <c r="CM396" i="1"/>
  <c r="CN396" i="1"/>
  <c r="CO396" i="1"/>
  <c r="CP396" i="1"/>
  <c r="CZ396" i="1"/>
  <c r="DB396" i="1"/>
  <c r="DF396" i="1"/>
  <c r="AC1913" i="1"/>
  <c r="AH1913" i="1"/>
  <c r="BS1913" i="1"/>
  <c r="BV1913" i="1"/>
  <c r="BX1913" i="1"/>
  <c r="BY1913" i="1"/>
  <c r="BZ1913" i="1"/>
  <c r="CA1913" i="1"/>
  <c r="CH1913" i="1"/>
  <c r="CL1913" i="1"/>
  <c r="CM1913" i="1"/>
  <c r="CN1913" i="1"/>
  <c r="CO1913" i="1"/>
  <c r="CP1913" i="1"/>
  <c r="CZ1913" i="1"/>
  <c r="DB1913" i="1"/>
  <c r="DF1913" i="1"/>
  <c r="AC1776" i="1"/>
  <c r="AH1776" i="1"/>
  <c r="BS1776" i="1"/>
  <c r="BV1776" i="1"/>
  <c r="BX1776" i="1"/>
  <c r="BY1776" i="1"/>
  <c r="BZ1776" i="1"/>
  <c r="CH1776" i="1"/>
  <c r="CL1776" i="1"/>
  <c r="CM1776" i="1"/>
  <c r="CN1776" i="1"/>
  <c r="CO1776" i="1"/>
  <c r="CP1776" i="1"/>
  <c r="CZ1776" i="1"/>
  <c r="DB1776" i="1"/>
  <c r="DF1776" i="1"/>
  <c r="AC956" i="1"/>
  <c r="AH956" i="1"/>
  <c r="BS956" i="1"/>
  <c r="BV956" i="1"/>
  <c r="BX956" i="1"/>
  <c r="BY956" i="1"/>
  <c r="BZ956" i="1"/>
  <c r="CA956" i="1"/>
  <c r="CH956" i="1"/>
  <c r="CL956" i="1"/>
  <c r="CM956" i="1"/>
  <c r="CN956" i="1"/>
  <c r="CO956" i="1"/>
  <c r="CP956" i="1"/>
  <c r="CZ956" i="1"/>
  <c r="DB956" i="1"/>
  <c r="DF956" i="1"/>
  <c r="AC1615" i="1"/>
  <c r="AH1615" i="1"/>
  <c r="BS1615" i="1"/>
  <c r="BV1615" i="1"/>
  <c r="BX1615" i="1"/>
  <c r="BY1615" i="1"/>
  <c r="BZ1615" i="1"/>
  <c r="CA1615" i="1"/>
  <c r="CH1615" i="1"/>
  <c r="CL1615" i="1"/>
  <c r="CM1615" i="1"/>
  <c r="CN1615" i="1"/>
  <c r="CO1615" i="1"/>
  <c r="CP1615" i="1"/>
  <c r="CZ1615" i="1"/>
  <c r="DB1615" i="1"/>
  <c r="DF1615" i="1"/>
  <c r="AC1550" i="1"/>
  <c r="AH1550" i="1"/>
  <c r="BS1550" i="1"/>
  <c r="BV1550" i="1"/>
  <c r="BX1550" i="1"/>
  <c r="BY1550" i="1"/>
  <c r="BZ1550" i="1"/>
  <c r="CA1550" i="1"/>
  <c r="CH1550" i="1"/>
  <c r="CL1550" i="1"/>
  <c r="CM1550" i="1"/>
  <c r="CN1550" i="1"/>
  <c r="CO1550" i="1"/>
  <c r="CP1550" i="1"/>
  <c r="CZ1550" i="1"/>
  <c r="DB1550" i="1"/>
  <c r="DF1550" i="1"/>
  <c r="AC1034" i="1"/>
  <c r="AH1034" i="1"/>
  <c r="BS1034" i="1"/>
  <c r="BV1034" i="1"/>
  <c r="BX1034" i="1"/>
  <c r="BY1034" i="1"/>
  <c r="BZ1034" i="1"/>
  <c r="CA1034" i="1"/>
  <c r="CH1034" i="1"/>
  <c r="CL1034" i="1"/>
  <c r="CM1034" i="1"/>
  <c r="CN1034" i="1"/>
  <c r="CO1034" i="1"/>
  <c r="CP1034" i="1"/>
  <c r="CZ1034" i="1"/>
  <c r="DB1034" i="1"/>
  <c r="DF1034" i="1"/>
  <c r="AC1190" i="1"/>
  <c r="AH1190" i="1"/>
  <c r="BS1190" i="1"/>
  <c r="BV1190" i="1"/>
  <c r="BX1190" i="1"/>
  <c r="BY1190" i="1"/>
  <c r="BZ1190" i="1"/>
  <c r="CA1190" i="1"/>
  <c r="CH1190" i="1"/>
  <c r="CL1190" i="1"/>
  <c r="CM1190" i="1"/>
  <c r="CN1190" i="1"/>
  <c r="CO1190" i="1"/>
  <c r="CP1190" i="1"/>
  <c r="CZ1190" i="1"/>
  <c r="DB1190" i="1"/>
  <c r="DF1190" i="1"/>
  <c r="AC1987" i="1"/>
  <c r="AH1987" i="1"/>
  <c r="BS1987" i="1"/>
  <c r="BV1987" i="1"/>
  <c r="BX1987" i="1"/>
  <c r="BY1987" i="1"/>
  <c r="BZ1987" i="1"/>
  <c r="CH1987" i="1"/>
  <c r="CL1987" i="1"/>
  <c r="CM1987" i="1"/>
  <c r="CN1987" i="1"/>
  <c r="CO1987" i="1"/>
  <c r="CP1987" i="1"/>
  <c r="CZ1987" i="1"/>
  <c r="DB1987" i="1"/>
  <c r="DF1987" i="1"/>
  <c r="AC511" i="1"/>
  <c r="AH511" i="1"/>
  <c r="BS511" i="1"/>
  <c r="BV511" i="1"/>
  <c r="BX511" i="1"/>
  <c r="BY511" i="1"/>
  <c r="BZ511" i="1"/>
  <c r="CA511" i="1"/>
  <c r="CH511" i="1"/>
  <c r="CL511" i="1"/>
  <c r="CM511" i="1"/>
  <c r="CN511" i="1"/>
  <c r="CO511" i="1"/>
  <c r="CP511" i="1"/>
  <c r="CZ511" i="1"/>
  <c r="DB511" i="1"/>
  <c r="DF511" i="1"/>
  <c r="AC1858" i="1"/>
  <c r="AH1858" i="1"/>
  <c r="BS1858" i="1"/>
  <c r="BV1858" i="1"/>
  <c r="BX1858" i="1"/>
  <c r="BY1858" i="1"/>
  <c r="BZ1858" i="1"/>
  <c r="CH1858" i="1"/>
  <c r="CL1858" i="1"/>
  <c r="CM1858" i="1"/>
  <c r="CN1858" i="1"/>
  <c r="CP1858" i="1"/>
  <c r="CZ1858" i="1"/>
  <c r="DB1858" i="1"/>
  <c r="DF1858" i="1"/>
  <c r="AC1011" i="1"/>
  <c r="AH1011" i="1"/>
  <c r="BS1011" i="1"/>
  <c r="BV1011" i="1"/>
  <c r="BX1011" i="1"/>
  <c r="BY1011" i="1"/>
  <c r="BZ1011" i="1"/>
  <c r="CA1011" i="1"/>
  <c r="CH1011" i="1"/>
  <c r="CL1011" i="1"/>
  <c r="CM1011" i="1"/>
  <c r="CN1011" i="1"/>
  <c r="CO1011" i="1"/>
  <c r="CP1011" i="1"/>
  <c r="CZ1011" i="1"/>
  <c r="DB1011" i="1"/>
  <c r="DF1011" i="1"/>
  <c r="AC1221" i="1"/>
  <c r="AH1221" i="1"/>
  <c r="BS1221" i="1"/>
  <c r="BV1221" i="1"/>
  <c r="BX1221" i="1"/>
  <c r="BY1221" i="1"/>
  <c r="BZ1221" i="1"/>
  <c r="CA1221" i="1"/>
  <c r="CH1221" i="1"/>
  <c r="CL1221" i="1"/>
  <c r="CM1221" i="1"/>
  <c r="CN1221" i="1"/>
  <c r="CO1221" i="1"/>
  <c r="CP1221" i="1"/>
  <c r="CZ1221" i="1"/>
  <c r="DB1221" i="1"/>
  <c r="DF1221" i="1"/>
  <c r="AC1182" i="1"/>
  <c r="AH1182" i="1"/>
  <c r="BS1182" i="1"/>
  <c r="BV1182" i="1"/>
  <c r="BX1182" i="1"/>
  <c r="BY1182" i="1"/>
  <c r="BZ1182" i="1"/>
  <c r="CA1182" i="1"/>
  <c r="CH1182" i="1"/>
  <c r="CL1182" i="1"/>
  <c r="CM1182" i="1"/>
  <c r="CN1182" i="1"/>
  <c r="CO1182" i="1"/>
  <c r="CP1182" i="1"/>
  <c r="CZ1182" i="1"/>
  <c r="DB1182" i="1"/>
  <c r="DF1182" i="1"/>
  <c r="AC2010" i="1"/>
  <c r="AH2010" i="1"/>
  <c r="BS2010" i="1"/>
  <c r="BV2010" i="1"/>
  <c r="BX2010" i="1"/>
  <c r="BY2010" i="1"/>
  <c r="BZ2010" i="1"/>
  <c r="CA2010" i="1"/>
  <c r="CH2010" i="1"/>
  <c r="CL2010" i="1"/>
  <c r="CM2010" i="1"/>
  <c r="CN2010" i="1"/>
  <c r="CO2010" i="1"/>
  <c r="CP2010" i="1"/>
  <c r="CZ2010" i="1"/>
  <c r="DB2010" i="1"/>
  <c r="DF2010" i="1"/>
  <c r="AC2021" i="1"/>
  <c r="AH2021" i="1"/>
  <c r="BS2021" i="1"/>
  <c r="BV2021" i="1"/>
  <c r="BX2021" i="1"/>
  <c r="BY2021" i="1"/>
  <c r="BZ2021" i="1"/>
  <c r="CH2021" i="1"/>
  <c r="CL2021" i="1"/>
  <c r="CM2021" i="1"/>
  <c r="CN2021" i="1"/>
  <c r="CO2021" i="1"/>
  <c r="CP2021" i="1"/>
  <c r="CZ2021" i="1"/>
  <c r="DB2021" i="1"/>
  <c r="DF2021" i="1"/>
  <c r="AC1757" i="1"/>
  <c r="AH1757" i="1"/>
  <c r="BS1757" i="1"/>
  <c r="BV1757" i="1"/>
  <c r="BX1757" i="1"/>
  <c r="BY1757" i="1"/>
  <c r="BZ1757" i="1"/>
  <c r="CH1757" i="1"/>
  <c r="CL1757" i="1"/>
  <c r="CM1757" i="1"/>
  <c r="CN1757" i="1"/>
  <c r="CO1757" i="1"/>
  <c r="CP1757" i="1"/>
  <c r="CZ1757" i="1"/>
  <c r="DB1757" i="1"/>
  <c r="DF1757" i="1"/>
  <c r="AC117" i="1"/>
  <c r="AH117" i="1"/>
  <c r="BS117" i="1"/>
  <c r="BV117" i="1"/>
  <c r="BX117" i="1"/>
  <c r="BY117" i="1"/>
  <c r="BZ117" i="1"/>
  <c r="CH117" i="1"/>
  <c r="CL117" i="1"/>
  <c r="CM117" i="1"/>
  <c r="CN117" i="1"/>
  <c r="CO117" i="1"/>
  <c r="CP117" i="1"/>
  <c r="CZ117" i="1"/>
  <c r="DB117" i="1"/>
  <c r="DF117" i="1"/>
  <c r="AC351" i="1"/>
  <c r="AH351" i="1"/>
  <c r="BS351" i="1"/>
  <c r="BV351" i="1"/>
  <c r="BX351" i="1"/>
  <c r="BY351" i="1"/>
  <c r="BZ351" i="1"/>
  <c r="CH351" i="1"/>
  <c r="CL351" i="1"/>
  <c r="CM351" i="1"/>
  <c r="CN351" i="1"/>
  <c r="CO351" i="1"/>
  <c r="CP351" i="1"/>
  <c r="CZ351" i="1"/>
  <c r="DB351" i="1"/>
  <c r="DF351" i="1"/>
  <c r="AC873" i="1"/>
  <c r="AH873" i="1"/>
  <c r="BS873" i="1"/>
  <c r="BV873" i="1"/>
  <c r="BX873" i="1"/>
  <c r="BY873" i="1"/>
  <c r="BZ873" i="1"/>
  <c r="CA873" i="1"/>
  <c r="CH873" i="1"/>
  <c r="CL873" i="1"/>
  <c r="CM873" i="1"/>
  <c r="CN873" i="1"/>
  <c r="CO873" i="1"/>
  <c r="CP873" i="1"/>
  <c r="CZ873" i="1"/>
  <c r="DB873" i="1"/>
  <c r="DF873" i="1"/>
  <c r="AC2081" i="1"/>
  <c r="AH2081" i="1"/>
  <c r="BS2081" i="1"/>
  <c r="BV2081" i="1"/>
  <c r="BX2081" i="1"/>
  <c r="BY2081" i="1"/>
  <c r="BZ2081" i="1"/>
  <c r="CH2081" i="1"/>
  <c r="CL2081" i="1"/>
  <c r="CM2081" i="1"/>
  <c r="CN2081" i="1"/>
  <c r="CO2081" i="1"/>
  <c r="CP2081" i="1"/>
  <c r="CZ2081" i="1"/>
  <c r="DB2081" i="1"/>
  <c r="DF2081" i="1"/>
  <c r="AC879" i="1"/>
  <c r="AH879" i="1"/>
  <c r="BS879" i="1"/>
  <c r="BV879" i="1"/>
  <c r="BX879" i="1"/>
  <c r="BY879" i="1"/>
  <c r="BZ879" i="1"/>
  <c r="CA879" i="1"/>
  <c r="CH879" i="1"/>
  <c r="CL879" i="1"/>
  <c r="CM879" i="1"/>
  <c r="CN879" i="1"/>
  <c r="CO879" i="1"/>
  <c r="CP879" i="1"/>
  <c r="CZ879" i="1"/>
  <c r="DB879" i="1"/>
  <c r="DF879" i="1"/>
  <c r="AC2034" i="1"/>
  <c r="AH2034" i="1"/>
  <c r="BS2034" i="1"/>
  <c r="BV2034" i="1"/>
  <c r="BX2034" i="1"/>
  <c r="BY2034" i="1"/>
  <c r="BZ2034" i="1"/>
  <c r="CA2034" i="1"/>
  <c r="CH2034" i="1"/>
  <c r="CL2034" i="1"/>
  <c r="CM2034" i="1"/>
  <c r="CN2034" i="1"/>
  <c r="CO2034" i="1"/>
  <c r="CP2034" i="1"/>
  <c r="CZ2034" i="1"/>
  <c r="DB2034" i="1"/>
  <c r="DF2034" i="1"/>
  <c r="AC1791" i="1"/>
  <c r="AH1791" i="1"/>
  <c r="BS1791" i="1"/>
  <c r="BV1791" i="1"/>
  <c r="BX1791" i="1"/>
  <c r="BY1791" i="1"/>
  <c r="BZ1791" i="1"/>
  <c r="CA1791" i="1"/>
  <c r="CH1791" i="1"/>
  <c r="CL1791" i="1"/>
  <c r="CM1791" i="1"/>
  <c r="CN1791" i="1"/>
  <c r="CO1791" i="1"/>
  <c r="CP1791" i="1"/>
  <c r="CZ1791" i="1"/>
  <c r="DB1791" i="1"/>
  <c r="DF1791" i="1"/>
  <c r="AC1420" i="1"/>
  <c r="AH1420" i="1"/>
  <c r="BS1420" i="1"/>
  <c r="BV1420" i="1"/>
  <c r="BX1420" i="1"/>
  <c r="BY1420" i="1"/>
  <c r="BZ1420" i="1"/>
  <c r="CA1420" i="1"/>
  <c r="CH1420" i="1"/>
  <c r="CL1420" i="1"/>
  <c r="CM1420" i="1"/>
  <c r="CN1420" i="1"/>
  <c r="CO1420" i="1"/>
  <c r="CP1420" i="1"/>
  <c r="CZ1420" i="1"/>
  <c r="DB1420" i="1"/>
  <c r="DF1420" i="1"/>
  <c r="AC1790" i="1"/>
  <c r="AH1790" i="1"/>
  <c r="BS1790" i="1"/>
  <c r="BV1790" i="1"/>
  <c r="BX1790" i="1"/>
  <c r="BY1790" i="1"/>
  <c r="BZ1790" i="1"/>
  <c r="CA1790" i="1"/>
  <c r="CH1790" i="1"/>
  <c r="CL1790" i="1"/>
  <c r="CM1790" i="1"/>
  <c r="CN1790" i="1"/>
  <c r="CO1790" i="1"/>
  <c r="CP1790" i="1"/>
  <c r="CZ1790" i="1"/>
  <c r="DB1790" i="1"/>
  <c r="DF1790" i="1"/>
  <c r="AC1932" i="1"/>
  <c r="AH1932" i="1"/>
  <c r="BS1932" i="1"/>
  <c r="BV1932" i="1"/>
  <c r="BX1932" i="1"/>
  <c r="BY1932" i="1"/>
  <c r="BZ1932" i="1"/>
  <c r="CH1932" i="1"/>
  <c r="CL1932" i="1"/>
  <c r="CM1932" i="1"/>
  <c r="CN1932" i="1"/>
  <c r="CP1932" i="1"/>
  <c r="CZ1932" i="1"/>
  <c r="DB1932" i="1"/>
  <c r="DF1932" i="1"/>
  <c r="AC55" i="1"/>
  <c r="AH55" i="1"/>
  <c r="BS55" i="1"/>
  <c r="BV55" i="1"/>
  <c r="BX55" i="1"/>
  <c r="BY55" i="1"/>
  <c r="BZ55" i="1"/>
  <c r="CA55" i="1"/>
  <c r="CH55" i="1"/>
  <c r="CL55" i="1"/>
  <c r="CM55" i="1"/>
  <c r="CN55" i="1"/>
  <c r="CO55" i="1"/>
  <c r="CP55" i="1"/>
  <c r="CZ55" i="1"/>
  <c r="DB55" i="1"/>
  <c r="DF55" i="1"/>
  <c r="AC533" i="1"/>
  <c r="AH533" i="1"/>
  <c r="BS533" i="1"/>
  <c r="BV533" i="1"/>
  <c r="BX533" i="1"/>
  <c r="BY533" i="1"/>
  <c r="BZ533" i="1"/>
  <c r="CA533" i="1"/>
  <c r="CH533" i="1"/>
  <c r="CL533" i="1"/>
  <c r="CM533" i="1"/>
  <c r="CN533" i="1"/>
  <c r="CO533" i="1"/>
  <c r="CP533" i="1"/>
  <c r="CZ533" i="1"/>
  <c r="DB533" i="1"/>
  <c r="DF533" i="1"/>
  <c r="AC1726" i="1"/>
  <c r="AH1726" i="1"/>
  <c r="BS1726" i="1"/>
  <c r="BV1726" i="1"/>
  <c r="BX1726" i="1"/>
  <c r="BY1726" i="1"/>
  <c r="BZ1726" i="1"/>
  <c r="CH1726" i="1"/>
  <c r="CL1726" i="1"/>
  <c r="CM1726" i="1"/>
  <c r="CN1726" i="1"/>
  <c r="CO1726" i="1"/>
  <c r="CP1726" i="1"/>
  <c r="CZ1726" i="1"/>
  <c r="DB1726" i="1"/>
  <c r="DF1726" i="1"/>
  <c r="AC2254" i="1"/>
  <c r="AH2254" i="1"/>
  <c r="BS2254" i="1"/>
  <c r="BV2254" i="1"/>
  <c r="BX2254" i="1"/>
  <c r="BY2254" i="1"/>
  <c r="BZ2254" i="1"/>
  <c r="CA2254" i="1"/>
  <c r="CH2254" i="1"/>
  <c r="CL2254" i="1"/>
  <c r="CM2254" i="1"/>
  <c r="CN2254" i="1"/>
  <c r="CO2254" i="1"/>
  <c r="CP2254" i="1"/>
  <c r="CZ2254" i="1"/>
  <c r="DB2254" i="1"/>
  <c r="DF2254" i="1"/>
  <c r="AC1556" i="1"/>
  <c r="AH1556" i="1"/>
  <c r="BS1556" i="1"/>
  <c r="BV1556" i="1"/>
  <c r="BX1556" i="1"/>
  <c r="BY1556" i="1"/>
  <c r="BZ1556" i="1"/>
  <c r="CH1556" i="1"/>
  <c r="CL1556" i="1"/>
  <c r="CM1556" i="1"/>
  <c r="CN1556" i="1"/>
  <c r="CO1556" i="1"/>
  <c r="CP1556" i="1"/>
  <c r="CZ1556" i="1"/>
  <c r="DB1556" i="1"/>
  <c r="DF1556" i="1"/>
  <c r="AC290" i="1"/>
  <c r="AH290" i="1"/>
  <c r="BS290" i="1"/>
  <c r="BV290" i="1"/>
  <c r="BX290" i="1"/>
  <c r="BY290" i="1"/>
  <c r="BZ290" i="1"/>
  <c r="CH290" i="1"/>
  <c r="CL290" i="1"/>
  <c r="CM290" i="1"/>
  <c r="CN290" i="1"/>
  <c r="CO290" i="1"/>
  <c r="CP290" i="1"/>
  <c r="CZ290" i="1"/>
  <c r="DB290" i="1"/>
  <c r="DF290" i="1"/>
  <c r="AC1036" i="1"/>
  <c r="AH1036" i="1"/>
  <c r="BS1036" i="1"/>
  <c r="BV1036" i="1"/>
  <c r="BX1036" i="1"/>
  <c r="BY1036" i="1"/>
  <c r="BZ1036" i="1"/>
  <c r="CA1036" i="1"/>
  <c r="CH1036" i="1"/>
  <c r="CL1036" i="1"/>
  <c r="CM1036" i="1"/>
  <c r="CN1036" i="1"/>
  <c r="CO1036" i="1"/>
  <c r="CP1036" i="1"/>
  <c r="CZ1036" i="1"/>
  <c r="DB1036" i="1"/>
  <c r="DF1036" i="1"/>
  <c r="AC1595" i="1"/>
  <c r="AH1595" i="1"/>
  <c r="BS1595" i="1"/>
  <c r="BV1595" i="1"/>
  <c r="BX1595" i="1"/>
  <c r="BY1595" i="1"/>
  <c r="BZ1595" i="1"/>
  <c r="CA1595" i="1"/>
  <c r="CH1595" i="1"/>
  <c r="CL1595" i="1"/>
  <c r="CM1595" i="1"/>
  <c r="CN1595" i="1"/>
  <c r="CO1595" i="1"/>
  <c r="CP1595" i="1"/>
  <c r="CZ1595" i="1"/>
  <c r="DB1595" i="1"/>
  <c r="DF1595" i="1"/>
  <c r="AC333" i="1"/>
  <c r="AH333" i="1"/>
  <c r="BS333" i="1"/>
  <c r="BV333" i="1"/>
  <c r="BX333" i="1"/>
  <c r="BY333" i="1"/>
  <c r="BZ333" i="1"/>
  <c r="CA333" i="1"/>
  <c r="CH333" i="1"/>
  <c r="CL333" i="1"/>
  <c r="CM333" i="1"/>
  <c r="CN333" i="1"/>
  <c r="CO333" i="1"/>
  <c r="CP333" i="1"/>
  <c r="CZ333" i="1"/>
  <c r="DB333" i="1"/>
  <c r="DF333" i="1"/>
  <c r="AC984" i="1"/>
  <c r="AH984" i="1"/>
  <c r="BS984" i="1"/>
  <c r="BV984" i="1"/>
  <c r="BX984" i="1"/>
  <c r="BY984" i="1"/>
  <c r="BZ984" i="1"/>
  <c r="CA984" i="1"/>
  <c r="CH984" i="1"/>
  <c r="CL984" i="1"/>
  <c r="CM984" i="1"/>
  <c r="CN984" i="1"/>
  <c r="CO984" i="1"/>
  <c r="CP984" i="1"/>
  <c r="CZ984" i="1"/>
  <c r="DB984" i="1"/>
  <c r="DF984" i="1"/>
  <c r="AC68" i="1"/>
  <c r="AH68" i="1"/>
  <c r="BS68" i="1"/>
  <c r="BV68" i="1"/>
  <c r="BX68" i="1"/>
  <c r="BY68" i="1"/>
  <c r="BZ68" i="1"/>
  <c r="CA68" i="1"/>
  <c r="CH68" i="1"/>
  <c r="CL68" i="1"/>
  <c r="CM68" i="1"/>
  <c r="CN68" i="1"/>
  <c r="CO68" i="1"/>
  <c r="CP68" i="1"/>
  <c r="CZ68" i="1"/>
  <c r="DB68" i="1"/>
  <c r="DF68" i="1"/>
  <c r="AC2014" i="1"/>
  <c r="AH2014" i="1"/>
  <c r="BS2014" i="1"/>
  <c r="BV2014" i="1"/>
  <c r="BX2014" i="1"/>
  <c r="BY2014" i="1"/>
  <c r="BZ2014" i="1"/>
  <c r="CA2014" i="1"/>
  <c r="CH2014" i="1"/>
  <c r="CL2014" i="1"/>
  <c r="CM2014" i="1"/>
  <c r="CN2014" i="1"/>
  <c r="CO2014" i="1"/>
  <c r="CP2014" i="1"/>
  <c r="CZ2014" i="1"/>
  <c r="DB2014" i="1"/>
  <c r="DF2014" i="1"/>
  <c r="AC584" i="1"/>
  <c r="AH584" i="1"/>
  <c r="BS584" i="1"/>
  <c r="BV584" i="1"/>
  <c r="BX584" i="1"/>
  <c r="BY584" i="1"/>
  <c r="BZ584" i="1"/>
  <c r="CA584" i="1"/>
  <c r="CH584" i="1"/>
  <c r="CL584" i="1"/>
  <c r="CM584" i="1"/>
  <c r="CN584" i="1"/>
  <c r="CO584" i="1"/>
  <c r="CP584" i="1"/>
  <c r="CZ584" i="1"/>
  <c r="DB584" i="1"/>
  <c r="DF584" i="1"/>
  <c r="AC167" i="1"/>
  <c r="AH167" i="1"/>
  <c r="BS167" i="1"/>
  <c r="BV167" i="1"/>
  <c r="BX167" i="1"/>
  <c r="BY167" i="1"/>
  <c r="BZ167" i="1"/>
  <c r="CA167" i="1"/>
  <c r="CH167" i="1"/>
  <c r="CL167" i="1"/>
  <c r="CM167" i="1"/>
  <c r="CN167" i="1"/>
  <c r="CO167" i="1"/>
  <c r="CP167" i="1"/>
  <c r="CZ167" i="1"/>
  <c r="DB167" i="1"/>
  <c r="DF167" i="1"/>
  <c r="AC937" i="1"/>
  <c r="AH937" i="1"/>
  <c r="BS937" i="1"/>
  <c r="BV937" i="1"/>
  <c r="BX937" i="1"/>
  <c r="BY937" i="1"/>
  <c r="BZ937" i="1"/>
  <c r="CH937" i="1"/>
  <c r="CL937" i="1"/>
  <c r="CM937" i="1"/>
  <c r="CN937" i="1"/>
  <c r="CO937" i="1"/>
  <c r="CP937" i="1"/>
  <c r="CZ937" i="1"/>
  <c r="DB937" i="1"/>
  <c r="DF937" i="1"/>
  <c r="AC1546" i="1"/>
  <c r="AH1546" i="1"/>
  <c r="BS1546" i="1"/>
  <c r="BV1546" i="1"/>
  <c r="BX1546" i="1"/>
  <c r="BY1546" i="1"/>
  <c r="BZ1546" i="1"/>
  <c r="CA1546" i="1"/>
  <c r="CH1546" i="1"/>
  <c r="CL1546" i="1"/>
  <c r="CM1546" i="1"/>
  <c r="CN1546" i="1"/>
  <c r="CO1546" i="1"/>
  <c r="CP1546" i="1"/>
  <c r="CZ1546" i="1"/>
  <c r="DB1546" i="1"/>
  <c r="DF1546" i="1"/>
  <c r="AC811" i="1"/>
  <c r="AH811" i="1"/>
  <c r="BS811" i="1"/>
  <c r="BV811" i="1"/>
  <c r="BX811" i="1"/>
  <c r="BY811" i="1"/>
  <c r="BZ811" i="1"/>
  <c r="CH811" i="1"/>
  <c r="CL811" i="1"/>
  <c r="CM811" i="1"/>
  <c r="CN811" i="1"/>
  <c r="CO811" i="1"/>
  <c r="CP811" i="1"/>
  <c r="CZ811" i="1"/>
  <c r="DB811" i="1"/>
  <c r="DF811" i="1"/>
  <c r="AC259" i="1"/>
  <c r="AH259" i="1"/>
  <c r="BS259" i="1"/>
  <c r="BV259" i="1"/>
  <c r="BX259" i="1"/>
  <c r="BY259" i="1"/>
  <c r="BZ259" i="1"/>
  <c r="CH259" i="1"/>
  <c r="CL259" i="1"/>
  <c r="CM259" i="1"/>
  <c r="CN259" i="1"/>
  <c r="CO259" i="1"/>
  <c r="CP259" i="1"/>
  <c r="CZ259" i="1"/>
  <c r="DB259" i="1"/>
  <c r="DF259" i="1"/>
  <c r="AC1457" i="1"/>
  <c r="AH1457" i="1"/>
  <c r="BS1457" i="1"/>
  <c r="BV1457" i="1"/>
  <c r="BX1457" i="1"/>
  <c r="BY1457" i="1"/>
  <c r="BZ1457" i="1"/>
  <c r="CH1457" i="1"/>
  <c r="CL1457" i="1"/>
  <c r="CM1457" i="1"/>
  <c r="CN1457" i="1"/>
  <c r="CP1457" i="1"/>
  <c r="CZ1457" i="1"/>
  <c r="DB1457" i="1"/>
  <c r="DF1457" i="1"/>
  <c r="AC1501" i="1"/>
  <c r="AH1501" i="1"/>
  <c r="BS1501" i="1"/>
  <c r="BV1501" i="1"/>
  <c r="BX1501" i="1"/>
  <c r="BY1501" i="1"/>
  <c r="BZ1501" i="1"/>
  <c r="CA1501" i="1"/>
  <c r="CH1501" i="1"/>
  <c r="CL1501" i="1"/>
  <c r="CM1501" i="1"/>
  <c r="CN1501" i="1"/>
  <c r="CO1501" i="1"/>
  <c r="CP1501" i="1"/>
  <c r="CZ1501" i="1"/>
  <c r="DB1501" i="1"/>
  <c r="DF1501" i="1"/>
  <c r="AC53" i="1"/>
  <c r="AH53" i="1"/>
  <c r="BS53" i="1"/>
  <c r="BV53" i="1"/>
  <c r="BX53" i="1"/>
  <c r="BY53" i="1"/>
  <c r="BZ53" i="1"/>
  <c r="CA53" i="1"/>
  <c r="CH53" i="1"/>
  <c r="CL53" i="1"/>
  <c r="CM53" i="1"/>
  <c r="CN53" i="1"/>
  <c r="CO53" i="1"/>
  <c r="CP53" i="1"/>
  <c r="CZ53" i="1"/>
  <c r="DB53" i="1"/>
  <c r="DF53" i="1"/>
  <c r="AC2145" i="1"/>
  <c r="AH2145" i="1"/>
  <c r="BS2145" i="1"/>
  <c r="BV2145" i="1"/>
  <c r="BX2145" i="1"/>
  <c r="BY2145" i="1"/>
  <c r="BZ2145" i="1"/>
  <c r="CH2145" i="1"/>
  <c r="CL2145" i="1"/>
  <c r="CM2145" i="1"/>
  <c r="CN2145" i="1"/>
  <c r="CO2145" i="1"/>
  <c r="CP2145" i="1"/>
  <c r="CT2145" i="1"/>
  <c r="CZ2145" i="1"/>
  <c r="DB2145" i="1"/>
  <c r="DF2145" i="1"/>
  <c r="AC728" i="1"/>
  <c r="AH728" i="1"/>
  <c r="BS728" i="1"/>
  <c r="BV728" i="1"/>
  <c r="BX728" i="1"/>
  <c r="BY728" i="1"/>
  <c r="BZ728" i="1"/>
  <c r="CA728" i="1"/>
  <c r="CH728" i="1"/>
  <c r="CL728" i="1"/>
  <c r="CM728" i="1"/>
  <c r="CN728" i="1"/>
  <c r="CO728" i="1"/>
  <c r="CP728" i="1"/>
  <c r="CZ728" i="1"/>
  <c r="DB728" i="1"/>
  <c r="DF728" i="1"/>
  <c r="AC255" i="1"/>
  <c r="AH255" i="1"/>
  <c r="BS255" i="1"/>
  <c r="BV255" i="1"/>
  <c r="BX255" i="1"/>
  <c r="BY255" i="1"/>
  <c r="BZ255" i="1"/>
  <c r="CA255" i="1"/>
  <c r="CH255" i="1"/>
  <c r="CL255" i="1"/>
  <c r="CM255" i="1"/>
  <c r="CN255" i="1"/>
  <c r="CO255" i="1"/>
  <c r="CP255" i="1"/>
  <c r="CZ255" i="1"/>
  <c r="DB255" i="1"/>
  <c r="DF255" i="1"/>
  <c r="AC1640" i="1"/>
  <c r="AH1640" i="1"/>
  <c r="BS1640" i="1"/>
  <c r="BV1640" i="1"/>
  <c r="BX1640" i="1"/>
  <c r="BY1640" i="1"/>
  <c r="BZ1640" i="1"/>
  <c r="CH1640" i="1"/>
  <c r="CL1640" i="1"/>
  <c r="CM1640" i="1"/>
  <c r="CN1640" i="1"/>
  <c r="CO1640" i="1"/>
  <c r="CP1640" i="1"/>
  <c r="CZ1640" i="1"/>
  <c r="DB1640" i="1"/>
  <c r="DF1640" i="1"/>
  <c r="AC1641" i="1"/>
  <c r="AH1641" i="1"/>
  <c r="BS1641" i="1"/>
  <c r="BV1641" i="1"/>
  <c r="BX1641" i="1"/>
  <c r="BY1641" i="1"/>
  <c r="BZ1641" i="1"/>
  <c r="CA1641" i="1"/>
  <c r="CH1641" i="1"/>
  <c r="CL1641" i="1"/>
  <c r="CM1641" i="1"/>
  <c r="CN1641" i="1"/>
  <c r="CP1641" i="1"/>
  <c r="CZ1641" i="1"/>
  <c r="DB1641" i="1"/>
  <c r="DF1641" i="1"/>
  <c r="AC2221" i="1"/>
  <c r="AH2221" i="1"/>
  <c r="BS2221" i="1"/>
  <c r="BV2221" i="1"/>
  <c r="BX2221" i="1"/>
  <c r="BY2221" i="1"/>
  <c r="BZ2221" i="1"/>
  <c r="CA2221" i="1"/>
  <c r="CH2221" i="1"/>
  <c r="CL2221" i="1"/>
  <c r="CM2221" i="1"/>
  <c r="CN2221" i="1"/>
  <c r="CO2221" i="1"/>
  <c r="CP2221" i="1"/>
  <c r="CZ2221" i="1"/>
  <c r="DB2221" i="1"/>
  <c r="DF2221" i="1"/>
  <c r="AC2153" i="1"/>
  <c r="AH2153" i="1"/>
  <c r="BS2153" i="1"/>
  <c r="BV2153" i="1"/>
  <c r="BX2153" i="1"/>
  <c r="BY2153" i="1"/>
  <c r="BZ2153" i="1"/>
  <c r="CH2153" i="1"/>
  <c r="CL2153" i="1"/>
  <c r="CM2153" i="1"/>
  <c r="CN2153" i="1"/>
  <c r="CO2153" i="1"/>
  <c r="CP2153" i="1"/>
  <c r="CZ2153" i="1"/>
  <c r="DB2153" i="1"/>
  <c r="DF2153" i="1"/>
  <c r="AC38" i="1"/>
  <c r="AH38" i="1"/>
  <c r="BS38" i="1"/>
  <c r="BV38" i="1"/>
  <c r="BX38" i="1"/>
  <c r="BY38" i="1"/>
  <c r="BZ38" i="1"/>
  <c r="CA38" i="1"/>
  <c r="CH38" i="1"/>
  <c r="CL38" i="1"/>
  <c r="CM38" i="1"/>
  <c r="CN38" i="1"/>
  <c r="CO38" i="1"/>
  <c r="CP38" i="1"/>
  <c r="CZ38" i="1"/>
  <c r="DB38" i="1"/>
  <c r="DF38" i="1"/>
  <c r="AC1166" i="1"/>
  <c r="AH1166" i="1"/>
  <c r="BS1166" i="1"/>
  <c r="BV1166" i="1"/>
  <c r="BX1166" i="1"/>
  <c r="BY1166" i="1"/>
  <c r="BZ1166" i="1"/>
  <c r="CH1166" i="1"/>
  <c r="CL1166" i="1"/>
  <c r="CM1166" i="1"/>
  <c r="CN1166" i="1"/>
  <c r="CO1166" i="1"/>
  <c r="CP1166" i="1"/>
  <c r="CZ1166" i="1"/>
  <c r="DB1166" i="1"/>
  <c r="DF1166" i="1"/>
  <c r="AC2197" i="1"/>
  <c r="AH2197" i="1"/>
  <c r="BS2197" i="1"/>
  <c r="BV2197" i="1"/>
  <c r="BX2197" i="1"/>
  <c r="BY2197" i="1"/>
  <c r="BZ2197" i="1"/>
  <c r="CH2197" i="1"/>
  <c r="CL2197" i="1"/>
  <c r="CM2197" i="1"/>
  <c r="CN2197" i="1"/>
  <c r="CO2197" i="1"/>
  <c r="CP2197" i="1"/>
  <c r="CZ2197" i="1"/>
  <c r="DB2197" i="1"/>
  <c r="DF2197" i="1"/>
  <c r="AC904" i="1"/>
  <c r="AH904" i="1"/>
  <c r="BS904" i="1"/>
  <c r="BV904" i="1"/>
  <c r="BX904" i="1"/>
  <c r="BY904" i="1"/>
  <c r="BZ904" i="1"/>
  <c r="CA904" i="1"/>
  <c r="CH904" i="1"/>
  <c r="CL904" i="1"/>
  <c r="CM904" i="1"/>
  <c r="CN904" i="1"/>
  <c r="CO904" i="1"/>
  <c r="CP904" i="1"/>
  <c r="CZ904" i="1"/>
  <c r="DB904" i="1"/>
  <c r="DF904" i="1"/>
  <c r="AC1118" i="1"/>
  <c r="AH1118" i="1"/>
  <c r="BS1118" i="1"/>
  <c r="BV1118" i="1"/>
  <c r="BX1118" i="1"/>
  <c r="BY1118" i="1"/>
  <c r="BZ1118" i="1"/>
  <c r="CH1118" i="1"/>
  <c r="CL1118" i="1"/>
  <c r="CM1118" i="1"/>
  <c r="CN1118" i="1"/>
  <c r="CO1118" i="1"/>
  <c r="CP1118" i="1"/>
  <c r="CZ1118" i="1"/>
  <c r="DB1118" i="1"/>
  <c r="DF1118" i="1"/>
  <c r="AC2074" i="1"/>
  <c r="AH2074" i="1"/>
  <c r="BS2074" i="1"/>
  <c r="BV2074" i="1"/>
  <c r="BX2074" i="1"/>
  <c r="BY2074" i="1"/>
  <c r="BZ2074" i="1"/>
  <c r="CA2074" i="1"/>
  <c r="CH2074" i="1"/>
  <c r="CL2074" i="1"/>
  <c r="CM2074" i="1"/>
  <c r="CN2074" i="1"/>
  <c r="CO2074" i="1"/>
  <c r="CP2074" i="1"/>
  <c r="CZ2074" i="1"/>
  <c r="DB2074" i="1"/>
  <c r="DF2074" i="1"/>
  <c r="AC1979" i="1"/>
  <c r="AH1979" i="1"/>
  <c r="BS1979" i="1"/>
  <c r="BV1979" i="1"/>
  <c r="BX1979" i="1"/>
  <c r="BY1979" i="1"/>
  <c r="BZ1979" i="1"/>
  <c r="CA1979" i="1"/>
  <c r="CH1979" i="1"/>
  <c r="CL1979" i="1"/>
  <c r="CM1979" i="1"/>
  <c r="CN1979" i="1"/>
  <c r="CO1979" i="1"/>
  <c r="CP1979" i="1"/>
  <c r="CZ1979" i="1"/>
  <c r="DB1979" i="1"/>
  <c r="DF1979" i="1"/>
  <c r="AC1174" i="1"/>
  <c r="AH1174" i="1"/>
  <c r="BS1174" i="1"/>
  <c r="BV1174" i="1"/>
  <c r="BX1174" i="1"/>
  <c r="BY1174" i="1"/>
  <c r="BZ1174" i="1"/>
  <c r="CA1174" i="1"/>
  <c r="CH1174" i="1"/>
  <c r="CL1174" i="1"/>
  <c r="CM1174" i="1"/>
  <c r="CN1174" i="1"/>
  <c r="CO1174" i="1"/>
  <c r="CP1174" i="1"/>
  <c r="CZ1174" i="1"/>
  <c r="DB1174" i="1"/>
  <c r="DF1174" i="1"/>
  <c r="AC1692" i="1"/>
  <c r="AH1692" i="1"/>
  <c r="BS1692" i="1"/>
  <c r="BV1692" i="1"/>
  <c r="BX1692" i="1"/>
  <c r="BY1692" i="1"/>
  <c r="BZ1692" i="1"/>
  <c r="CA1692" i="1"/>
  <c r="CH1692" i="1"/>
  <c r="CL1692" i="1"/>
  <c r="CM1692" i="1"/>
  <c r="CN1692" i="1"/>
  <c r="CO1692" i="1"/>
  <c r="CP1692" i="1"/>
  <c r="CZ1692" i="1"/>
  <c r="DB1692" i="1"/>
  <c r="DF1692" i="1"/>
  <c r="AC1758" i="1"/>
  <c r="AH1758" i="1"/>
  <c r="BS1758" i="1"/>
  <c r="BV1758" i="1"/>
  <c r="BX1758" i="1"/>
  <c r="BY1758" i="1"/>
  <c r="BZ1758" i="1"/>
  <c r="CH1758" i="1"/>
  <c r="CL1758" i="1"/>
  <c r="CM1758" i="1"/>
  <c r="CN1758" i="1"/>
  <c r="CP1758" i="1"/>
  <c r="CZ1758" i="1"/>
  <c r="DB1758" i="1"/>
  <c r="DF1758" i="1"/>
  <c r="AC512" i="1"/>
  <c r="AH512" i="1"/>
  <c r="BS512" i="1"/>
  <c r="BV512" i="1"/>
  <c r="BX512" i="1"/>
  <c r="BY512" i="1"/>
  <c r="BZ512" i="1"/>
  <c r="CH512" i="1"/>
  <c r="CL512" i="1"/>
  <c r="CM512" i="1"/>
  <c r="CN512" i="1"/>
  <c r="CO512" i="1"/>
  <c r="CP512" i="1"/>
  <c r="CZ512" i="1"/>
  <c r="DB512" i="1"/>
  <c r="DF512" i="1"/>
  <c r="AC912" i="1"/>
  <c r="AH912" i="1"/>
  <c r="BS912" i="1"/>
  <c r="BV912" i="1"/>
  <c r="BX912" i="1"/>
  <c r="BY912" i="1"/>
  <c r="BZ912" i="1"/>
  <c r="CA912" i="1"/>
  <c r="CH912" i="1"/>
  <c r="CL912" i="1"/>
  <c r="CM912" i="1"/>
  <c r="CN912" i="1"/>
  <c r="CO912" i="1"/>
  <c r="CP912" i="1"/>
  <c r="CZ912" i="1"/>
  <c r="DB912" i="1"/>
  <c r="DF912" i="1"/>
  <c r="AC818" i="1"/>
  <c r="AH818" i="1"/>
  <c r="BS818" i="1"/>
  <c r="BV818" i="1"/>
  <c r="BX818" i="1"/>
  <c r="BY818" i="1"/>
  <c r="BZ818" i="1"/>
  <c r="CA818" i="1"/>
  <c r="CH818" i="1"/>
  <c r="CL818" i="1"/>
  <c r="CM818" i="1"/>
  <c r="CN818" i="1"/>
  <c r="CO818" i="1"/>
  <c r="CP818" i="1"/>
  <c r="CZ818" i="1"/>
  <c r="DB818" i="1"/>
  <c r="DF818" i="1"/>
  <c r="AC277" i="1"/>
  <c r="AH277" i="1"/>
  <c r="BS277" i="1"/>
  <c r="BV277" i="1"/>
  <c r="BX277" i="1"/>
  <c r="BY277" i="1"/>
  <c r="BZ277" i="1"/>
  <c r="CA277" i="1"/>
  <c r="CH277" i="1"/>
  <c r="CL277" i="1"/>
  <c r="CM277" i="1"/>
  <c r="CN277" i="1"/>
  <c r="CO277" i="1"/>
  <c r="CP277" i="1"/>
  <c r="CZ277" i="1"/>
  <c r="DB277" i="1"/>
  <c r="DF277" i="1"/>
  <c r="AC302" i="1"/>
  <c r="AH302" i="1"/>
  <c r="BS302" i="1"/>
  <c r="BV302" i="1"/>
  <c r="BX302" i="1"/>
  <c r="BY302" i="1"/>
  <c r="BZ302" i="1"/>
  <c r="CA302" i="1"/>
  <c r="CH302" i="1"/>
  <c r="CL302" i="1"/>
  <c r="CM302" i="1"/>
  <c r="CN302" i="1"/>
  <c r="CO302" i="1"/>
  <c r="CP302" i="1"/>
  <c r="CZ302" i="1"/>
  <c r="DB302" i="1"/>
  <c r="DF302" i="1"/>
  <c r="AC310" i="1"/>
  <c r="AH310" i="1"/>
  <c r="BS310" i="1"/>
  <c r="BV310" i="1"/>
  <c r="BX310" i="1"/>
  <c r="BY310" i="1"/>
  <c r="BZ310" i="1"/>
  <c r="CA310" i="1"/>
  <c r="CH310" i="1"/>
  <c r="CL310" i="1"/>
  <c r="CM310" i="1"/>
  <c r="CN310" i="1"/>
  <c r="CO310" i="1"/>
  <c r="CP310" i="1"/>
  <c r="CZ310" i="1"/>
  <c r="DB310" i="1"/>
  <c r="DF310" i="1"/>
  <c r="AC1052" i="1"/>
  <c r="AH1052" i="1"/>
  <c r="BS1052" i="1"/>
  <c r="BV1052" i="1"/>
  <c r="BX1052" i="1"/>
  <c r="BY1052" i="1"/>
  <c r="BZ1052" i="1"/>
  <c r="CA1052" i="1"/>
  <c r="CH1052" i="1"/>
  <c r="CL1052" i="1"/>
  <c r="CM1052" i="1"/>
  <c r="CN1052" i="1"/>
  <c r="CO1052" i="1"/>
  <c r="CP1052" i="1"/>
  <c r="CZ1052" i="1"/>
  <c r="DB1052" i="1"/>
  <c r="DF1052" i="1"/>
  <c r="AC2188" i="1"/>
  <c r="AH2188" i="1"/>
  <c r="BS2188" i="1"/>
  <c r="BV2188" i="1"/>
  <c r="BX2188" i="1"/>
  <c r="BY2188" i="1"/>
  <c r="BZ2188" i="1"/>
  <c r="CH2188" i="1"/>
  <c r="CL2188" i="1"/>
  <c r="CM2188" i="1"/>
  <c r="CN2188" i="1"/>
  <c r="CO2188" i="1"/>
  <c r="CP2188" i="1"/>
  <c r="CZ2188" i="1"/>
  <c r="DB2188" i="1"/>
  <c r="DF2188" i="1"/>
  <c r="AC1812" i="1"/>
  <c r="AH1812" i="1"/>
  <c r="BS1812" i="1"/>
  <c r="BV1812" i="1"/>
  <c r="BX1812" i="1"/>
  <c r="BY1812" i="1"/>
  <c r="BZ1812" i="1"/>
  <c r="CA1812" i="1"/>
  <c r="CH1812" i="1"/>
  <c r="CL1812" i="1"/>
  <c r="CM1812" i="1"/>
  <c r="CN1812" i="1"/>
  <c r="CO1812" i="1"/>
  <c r="CP1812" i="1"/>
  <c r="CZ1812" i="1"/>
  <c r="DB1812" i="1"/>
  <c r="DF1812" i="1"/>
  <c r="AC2277" i="1"/>
  <c r="AH2277" i="1"/>
  <c r="BS2277" i="1"/>
  <c r="BV2277" i="1"/>
  <c r="BX2277" i="1"/>
  <c r="BY2277" i="1"/>
  <c r="BZ2277" i="1"/>
  <c r="CA2277" i="1"/>
  <c r="CH2277" i="1"/>
  <c r="CL2277" i="1"/>
  <c r="CM2277" i="1"/>
  <c r="CN2277" i="1"/>
  <c r="CO2277" i="1"/>
  <c r="CP2277" i="1"/>
  <c r="CZ2277" i="1"/>
  <c r="DB2277" i="1"/>
  <c r="DF2277" i="1"/>
  <c r="AC1309" i="1"/>
  <c r="AH1309" i="1"/>
  <c r="BS1309" i="1"/>
  <c r="BV1309" i="1"/>
  <c r="BX1309" i="1"/>
  <c r="BY1309" i="1"/>
  <c r="BZ1309" i="1"/>
  <c r="CA1309" i="1"/>
  <c r="CH1309" i="1"/>
  <c r="CL1309" i="1"/>
  <c r="CM1309" i="1"/>
  <c r="CN1309" i="1"/>
  <c r="CO1309" i="1"/>
  <c r="CP1309" i="1"/>
  <c r="CZ1309" i="1"/>
  <c r="DB1309" i="1"/>
  <c r="DF1309" i="1"/>
  <c r="AC73" i="1"/>
  <c r="AH73" i="1"/>
  <c r="BS73" i="1"/>
  <c r="BV73" i="1"/>
  <c r="BX73" i="1"/>
  <c r="BY73" i="1"/>
  <c r="BZ73" i="1"/>
  <c r="CA73" i="1"/>
  <c r="CH73" i="1"/>
  <c r="CL73" i="1"/>
  <c r="CM73" i="1"/>
  <c r="CN73" i="1"/>
  <c r="CO73" i="1"/>
  <c r="CP73" i="1"/>
  <c r="CZ73" i="1"/>
  <c r="DB73" i="1"/>
  <c r="DF73" i="1"/>
  <c r="AC106" i="1"/>
  <c r="AH106" i="1"/>
  <c r="BS106" i="1"/>
  <c r="BV106" i="1"/>
  <c r="BX106" i="1"/>
  <c r="BY106" i="1"/>
  <c r="BZ106" i="1"/>
  <c r="CA106" i="1"/>
  <c r="CH106" i="1"/>
  <c r="CL106" i="1"/>
  <c r="CM106" i="1"/>
  <c r="CN106" i="1"/>
  <c r="CO106" i="1"/>
  <c r="CP106" i="1"/>
  <c r="CZ106" i="1"/>
  <c r="DB106" i="1"/>
  <c r="DF106" i="1"/>
  <c r="AC1010" i="1"/>
  <c r="AH1010" i="1"/>
  <c r="BS1010" i="1"/>
  <c r="BV1010" i="1"/>
  <c r="BX1010" i="1"/>
  <c r="BY1010" i="1"/>
  <c r="BZ1010" i="1"/>
  <c r="CA1010" i="1"/>
  <c r="CH1010" i="1"/>
  <c r="CL1010" i="1"/>
  <c r="CM1010" i="1"/>
  <c r="CN1010" i="1"/>
  <c r="CO1010" i="1"/>
  <c r="CP1010" i="1"/>
  <c r="CZ1010" i="1"/>
  <c r="DB1010" i="1"/>
  <c r="DF1010" i="1"/>
  <c r="AC307" i="1"/>
  <c r="AH307" i="1"/>
  <c r="BS307" i="1"/>
  <c r="BV307" i="1"/>
  <c r="BX307" i="1"/>
  <c r="BY307" i="1"/>
  <c r="BZ307" i="1"/>
  <c r="CH307" i="1"/>
  <c r="CL307" i="1"/>
  <c r="CM307" i="1"/>
  <c r="CN307" i="1"/>
  <c r="CO307" i="1"/>
  <c r="CP307" i="1"/>
  <c r="CZ307" i="1"/>
  <c r="DB307" i="1"/>
  <c r="DF307" i="1"/>
  <c r="AC1232" i="1"/>
  <c r="AH1232" i="1"/>
  <c r="BS1232" i="1"/>
  <c r="BV1232" i="1"/>
  <c r="BX1232" i="1"/>
  <c r="BY1232" i="1"/>
  <c r="BZ1232" i="1"/>
  <c r="CH1232" i="1"/>
  <c r="CL1232" i="1"/>
  <c r="CM1232" i="1"/>
  <c r="CN1232" i="1"/>
  <c r="CO1232" i="1"/>
  <c r="CP1232" i="1"/>
  <c r="CZ1232" i="1"/>
  <c r="DB1232" i="1"/>
  <c r="DF1232" i="1"/>
  <c r="AC1013" i="1"/>
  <c r="AH1013" i="1"/>
  <c r="BS1013" i="1"/>
  <c r="BV1013" i="1"/>
  <c r="BX1013" i="1"/>
  <c r="BY1013" i="1"/>
  <c r="BZ1013" i="1"/>
  <c r="CH1013" i="1"/>
  <c r="CL1013" i="1"/>
  <c r="CM1013" i="1"/>
  <c r="CN1013" i="1"/>
  <c r="CO1013" i="1"/>
  <c r="CP1013" i="1"/>
  <c r="CZ1013" i="1"/>
  <c r="DB1013" i="1"/>
  <c r="DF1013" i="1"/>
  <c r="AC2308" i="1"/>
  <c r="AH2308" i="1"/>
  <c r="BS2308" i="1"/>
  <c r="BV2308" i="1"/>
  <c r="BX2308" i="1"/>
  <c r="BY2308" i="1"/>
  <c r="BZ2308" i="1"/>
  <c r="CH2308" i="1"/>
  <c r="CL2308" i="1"/>
  <c r="CM2308" i="1"/>
  <c r="CN2308" i="1"/>
  <c r="CO2308" i="1"/>
  <c r="CP2308" i="1"/>
  <c r="CZ2308" i="1"/>
  <c r="DB2308" i="1"/>
  <c r="DF2308" i="1"/>
  <c r="AC1210" i="1"/>
  <c r="AH1210" i="1"/>
  <c r="BS1210" i="1"/>
  <c r="BV1210" i="1"/>
  <c r="BX1210" i="1"/>
  <c r="BY1210" i="1"/>
  <c r="BZ1210" i="1"/>
  <c r="CA1210" i="1"/>
  <c r="CH1210" i="1"/>
  <c r="CL1210" i="1"/>
  <c r="CM1210" i="1"/>
  <c r="CN1210" i="1"/>
  <c r="CO1210" i="1"/>
  <c r="CP1210" i="1"/>
  <c r="CZ1210" i="1"/>
  <c r="DB1210" i="1"/>
  <c r="DF1210" i="1"/>
  <c r="AC656" i="1"/>
  <c r="AH656" i="1"/>
  <c r="BS656" i="1"/>
  <c r="BV656" i="1"/>
  <c r="BX656" i="1"/>
  <c r="BY656" i="1"/>
  <c r="BZ656" i="1"/>
  <c r="CA656" i="1"/>
  <c r="CH656" i="1"/>
  <c r="CL656" i="1"/>
  <c r="CM656" i="1"/>
  <c r="CN656" i="1"/>
  <c r="CO656" i="1"/>
  <c r="CP656" i="1"/>
  <c r="CZ656" i="1"/>
  <c r="DB656" i="1"/>
  <c r="DF656" i="1"/>
  <c r="AC2150" i="1"/>
  <c r="AH2150" i="1"/>
  <c r="BS2150" i="1"/>
  <c r="BV2150" i="1"/>
  <c r="BX2150" i="1"/>
  <c r="BY2150" i="1"/>
  <c r="BZ2150" i="1"/>
  <c r="CA2150" i="1"/>
  <c r="CH2150" i="1"/>
  <c r="CL2150" i="1"/>
  <c r="CM2150" i="1"/>
  <c r="CN2150" i="1"/>
  <c r="CP2150" i="1"/>
  <c r="CZ2150" i="1"/>
  <c r="DB2150" i="1"/>
  <c r="DF2150" i="1"/>
  <c r="AC1286" i="1"/>
  <c r="AH1286" i="1"/>
  <c r="BS1286" i="1"/>
  <c r="BV1286" i="1"/>
  <c r="BX1286" i="1"/>
  <c r="BY1286" i="1"/>
  <c r="BZ1286" i="1"/>
  <c r="CA1286" i="1"/>
  <c r="CH1286" i="1"/>
  <c r="CL1286" i="1"/>
  <c r="CM1286" i="1"/>
  <c r="CN1286" i="1"/>
  <c r="CO1286" i="1"/>
  <c r="CP1286" i="1"/>
  <c r="CZ1286" i="1"/>
  <c r="DB1286" i="1"/>
  <c r="DF1286" i="1"/>
  <c r="AC1676" i="1"/>
  <c r="AH1676" i="1"/>
  <c r="BS1676" i="1"/>
  <c r="BV1676" i="1"/>
  <c r="BX1676" i="1"/>
  <c r="BY1676" i="1"/>
  <c r="BZ1676" i="1"/>
  <c r="CA1676" i="1"/>
  <c r="CH1676" i="1"/>
  <c r="CL1676" i="1"/>
  <c r="CM1676" i="1"/>
  <c r="CN1676" i="1"/>
  <c r="CO1676" i="1"/>
  <c r="CP1676" i="1"/>
  <c r="CZ1676" i="1"/>
  <c r="DB1676" i="1"/>
  <c r="DF1676" i="1"/>
  <c r="AC596" i="1"/>
  <c r="AH596" i="1"/>
  <c r="BS596" i="1"/>
  <c r="BV596" i="1"/>
  <c r="BX596" i="1"/>
  <c r="BY596" i="1"/>
  <c r="BZ596" i="1"/>
  <c r="CH596" i="1"/>
  <c r="CL596" i="1"/>
  <c r="CM596" i="1"/>
  <c r="CN596" i="1"/>
  <c r="CO596" i="1"/>
  <c r="CP596" i="1"/>
  <c r="CZ596" i="1"/>
  <c r="DB596" i="1"/>
  <c r="DF596" i="1"/>
  <c r="AC1714" i="1"/>
  <c r="AH1714" i="1"/>
  <c r="BS1714" i="1"/>
  <c r="BV1714" i="1"/>
  <c r="BX1714" i="1"/>
  <c r="BY1714" i="1"/>
  <c r="BZ1714" i="1"/>
  <c r="CH1714" i="1"/>
  <c r="CL1714" i="1"/>
  <c r="CM1714" i="1"/>
  <c r="CN1714" i="1"/>
  <c r="CO1714" i="1"/>
  <c r="CP1714" i="1"/>
  <c r="CZ1714" i="1"/>
  <c r="DB1714" i="1"/>
  <c r="DF1714" i="1"/>
  <c r="AC2128" i="1"/>
  <c r="AH2128" i="1"/>
  <c r="BS2128" i="1"/>
  <c r="BV2128" i="1"/>
  <c r="BX2128" i="1"/>
  <c r="BY2128" i="1"/>
  <c r="BZ2128" i="1"/>
  <c r="CA2128" i="1"/>
  <c r="CH2128" i="1"/>
  <c r="CL2128" i="1"/>
  <c r="CM2128" i="1"/>
  <c r="CN2128" i="1"/>
  <c r="CO2128" i="1"/>
  <c r="CP2128" i="1"/>
  <c r="CZ2128" i="1"/>
  <c r="DB2128" i="1"/>
  <c r="DF2128" i="1"/>
  <c r="AC1434" i="1"/>
  <c r="AH1434" i="1"/>
  <c r="BS1434" i="1"/>
  <c r="BV1434" i="1"/>
  <c r="BX1434" i="1"/>
  <c r="BY1434" i="1"/>
  <c r="BZ1434" i="1"/>
  <c r="CH1434" i="1"/>
  <c r="CL1434" i="1"/>
  <c r="CM1434" i="1"/>
  <c r="CN1434" i="1"/>
  <c r="CO1434" i="1"/>
  <c r="CP1434" i="1"/>
  <c r="CZ1434" i="1"/>
  <c r="DB1434" i="1"/>
  <c r="DF1434" i="1"/>
  <c r="AC475" i="1"/>
  <c r="AH475" i="1"/>
  <c r="BS475" i="1"/>
  <c r="BV475" i="1"/>
  <c r="BX475" i="1"/>
  <c r="BY475" i="1"/>
  <c r="BZ475" i="1"/>
  <c r="CA475" i="1"/>
  <c r="CH475" i="1"/>
  <c r="CL475" i="1"/>
  <c r="CM475" i="1"/>
  <c r="CN475" i="1"/>
  <c r="CO475" i="1"/>
  <c r="CP475" i="1"/>
  <c r="CZ475" i="1"/>
  <c r="DB475" i="1"/>
  <c r="DF475" i="1"/>
  <c r="AC1571" i="1"/>
  <c r="AH1571" i="1"/>
  <c r="BS1571" i="1"/>
  <c r="BV1571" i="1"/>
  <c r="BX1571" i="1"/>
  <c r="BY1571" i="1"/>
  <c r="BZ1571" i="1"/>
  <c r="CH1571" i="1"/>
  <c r="CL1571" i="1"/>
  <c r="CM1571" i="1"/>
  <c r="CN1571" i="1"/>
  <c r="CO1571" i="1"/>
  <c r="CP1571" i="1"/>
  <c r="CZ1571" i="1"/>
  <c r="DB1571" i="1"/>
  <c r="DF1571" i="1"/>
  <c r="AC1337" i="1"/>
  <c r="AH1337" i="1"/>
  <c r="BS1337" i="1"/>
  <c r="BV1337" i="1"/>
  <c r="BX1337" i="1"/>
  <c r="BY1337" i="1"/>
  <c r="BZ1337" i="1"/>
  <c r="CA1337" i="1"/>
  <c r="CH1337" i="1"/>
  <c r="CL1337" i="1"/>
  <c r="CM1337" i="1"/>
  <c r="CN1337" i="1"/>
  <c r="CO1337" i="1"/>
  <c r="CP1337" i="1"/>
  <c r="CZ1337" i="1"/>
  <c r="DB1337" i="1"/>
  <c r="DF1337" i="1"/>
  <c r="AC692" i="1"/>
  <c r="AH692" i="1"/>
  <c r="BS692" i="1"/>
  <c r="BV692" i="1"/>
  <c r="BX692" i="1"/>
  <c r="BY692" i="1"/>
  <c r="BZ692" i="1"/>
  <c r="CA692" i="1"/>
  <c r="CH692" i="1"/>
  <c r="CL692" i="1"/>
  <c r="CM692" i="1"/>
  <c r="CN692" i="1"/>
  <c r="CO692" i="1"/>
  <c r="CP692" i="1"/>
  <c r="CZ692" i="1"/>
  <c r="DB692" i="1"/>
  <c r="DF692" i="1"/>
  <c r="AC447" i="1"/>
  <c r="AH447" i="1"/>
  <c r="BS447" i="1"/>
  <c r="BV447" i="1"/>
  <c r="BX447" i="1"/>
  <c r="BY447" i="1"/>
  <c r="BZ447" i="1"/>
  <c r="CA447" i="1"/>
  <c r="CH447" i="1"/>
  <c r="CL447" i="1"/>
  <c r="CM447" i="1"/>
  <c r="CN447" i="1"/>
  <c r="CO447" i="1"/>
  <c r="CP447" i="1"/>
  <c r="CZ447" i="1"/>
  <c r="DB447" i="1"/>
  <c r="DF447" i="1"/>
  <c r="AC1344" i="1"/>
  <c r="AH1344" i="1"/>
  <c r="BS1344" i="1"/>
  <c r="BV1344" i="1"/>
  <c r="BX1344" i="1"/>
  <c r="BY1344" i="1"/>
  <c r="BZ1344" i="1"/>
  <c r="CA1344" i="1"/>
  <c r="CH1344" i="1"/>
  <c r="CL1344" i="1"/>
  <c r="CM1344" i="1"/>
  <c r="CN1344" i="1"/>
  <c r="CO1344" i="1"/>
  <c r="CP1344" i="1"/>
  <c r="CZ1344" i="1"/>
  <c r="DB1344" i="1"/>
  <c r="DF1344" i="1"/>
  <c r="AC1900" i="1"/>
  <c r="AH1900" i="1"/>
  <c r="BS1900" i="1"/>
  <c r="BV1900" i="1"/>
  <c r="BX1900" i="1"/>
  <c r="BY1900" i="1"/>
  <c r="BZ1900" i="1"/>
  <c r="CH1900" i="1"/>
  <c r="CL1900" i="1"/>
  <c r="CM1900" i="1"/>
  <c r="CN1900" i="1"/>
  <c r="CO1900" i="1"/>
  <c r="CP1900" i="1"/>
  <c r="CZ1900" i="1"/>
  <c r="DB1900" i="1"/>
  <c r="DF1900" i="1"/>
  <c r="AC1735" i="1"/>
  <c r="AH1735" i="1"/>
  <c r="BS1735" i="1"/>
  <c r="BV1735" i="1"/>
  <c r="BX1735" i="1"/>
  <c r="BY1735" i="1"/>
  <c r="BZ1735" i="1"/>
  <c r="CH1735" i="1"/>
  <c r="CL1735" i="1"/>
  <c r="CM1735" i="1"/>
  <c r="CN1735" i="1"/>
  <c r="CO1735" i="1"/>
  <c r="CP1735" i="1"/>
  <c r="CZ1735" i="1"/>
  <c r="DB1735" i="1"/>
  <c r="DF1735" i="1"/>
  <c r="AC538" i="1"/>
  <c r="AH538" i="1"/>
  <c r="BS538" i="1"/>
  <c r="BV538" i="1"/>
  <c r="BX538" i="1"/>
  <c r="BY538" i="1"/>
  <c r="BZ538" i="1"/>
  <c r="CA538" i="1"/>
  <c r="CH538" i="1"/>
  <c r="CL538" i="1"/>
  <c r="CM538" i="1"/>
  <c r="CN538" i="1"/>
  <c r="CO538" i="1"/>
  <c r="CP538" i="1"/>
  <c r="CZ538" i="1"/>
  <c r="DB538" i="1"/>
  <c r="DF538" i="1"/>
  <c r="AC490" i="1"/>
  <c r="AH490" i="1"/>
  <c r="BS490" i="1"/>
  <c r="BV490" i="1"/>
  <c r="BX490" i="1"/>
  <c r="BY490" i="1"/>
  <c r="BZ490" i="1"/>
  <c r="CA490" i="1"/>
  <c r="CH490" i="1"/>
  <c r="CL490" i="1"/>
  <c r="CM490" i="1"/>
  <c r="CN490" i="1"/>
  <c r="CO490" i="1"/>
  <c r="CP490" i="1"/>
  <c r="CZ490" i="1"/>
  <c r="DB490" i="1"/>
  <c r="DF490" i="1"/>
  <c r="AC2290" i="1"/>
  <c r="AH2290" i="1"/>
  <c r="BS2290" i="1"/>
  <c r="BV2290" i="1"/>
  <c r="BX2290" i="1"/>
  <c r="BY2290" i="1"/>
  <c r="BZ2290" i="1"/>
  <c r="CA2290" i="1"/>
  <c r="CH2290" i="1"/>
  <c r="CL2290" i="1"/>
  <c r="CM2290" i="1"/>
  <c r="CN2290" i="1"/>
  <c r="CO2290" i="1"/>
  <c r="CP2290" i="1"/>
  <c r="CZ2290" i="1"/>
  <c r="DB2290" i="1"/>
  <c r="DF2290" i="1"/>
  <c r="AC888" i="1"/>
  <c r="AH888" i="1"/>
  <c r="BS888" i="1"/>
  <c r="BV888" i="1"/>
  <c r="BX888" i="1"/>
  <c r="BY888" i="1"/>
  <c r="BZ888" i="1"/>
  <c r="CH888" i="1"/>
  <c r="CL888" i="1"/>
  <c r="CM888" i="1"/>
  <c r="CN888" i="1"/>
  <c r="CO888" i="1"/>
  <c r="CP888" i="1"/>
  <c r="CZ888" i="1"/>
  <c r="DB888" i="1"/>
  <c r="DF888" i="1"/>
  <c r="AC1656" i="1"/>
  <c r="AH1656" i="1"/>
  <c r="BS1656" i="1"/>
  <c r="BV1656" i="1"/>
  <c r="BX1656" i="1"/>
  <c r="BY1656" i="1"/>
  <c r="BZ1656" i="1"/>
  <c r="CA1656" i="1"/>
  <c r="CH1656" i="1"/>
  <c r="CL1656" i="1"/>
  <c r="CM1656" i="1"/>
  <c r="CN1656" i="1"/>
  <c r="CP1656" i="1"/>
  <c r="CZ1656" i="1"/>
  <c r="DB1656" i="1"/>
  <c r="DF1656" i="1"/>
  <c r="AC2157" i="1"/>
  <c r="AH2157" i="1"/>
  <c r="BS2157" i="1"/>
  <c r="BV2157" i="1"/>
  <c r="BX2157" i="1"/>
  <c r="BY2157" i="1"/>
  <c r="BZ2157" i="1"/>
  <c r="CH2157" i="1"/>
  <c r="CL2157" i="1"/>
  <c r="CM2157" i="1"/>
  <c r="CN2157" i="1"/>
  <c r="CO2157" i="1"/>
  <c r="CP2157" i="1"/>
  <c r="CZ2157" i="1"/>
  <c r="DB2157" i="1"/>
  <c r="DF2157" i="1"/>
  <c r="AC289" i="1"/>
  <c r="AH289" i="1"/>
  <c r="BS289" i="1"/>
  <c r="BV289" i="1"/>
  <c r="BX289" i="1"/>
  <c r="BY289" i="1"/>
  <c r="BZ289" i="1"/>
  <c r="CH289" i="1"/>
  <c r="CL289" i="1"/>
  <c r="CM289" i="1"/>
  <c r="CN289" i="1"/>
  <c r="CO289" i="1"/>
  <c r="CP289" i="1"/>
  <c r="CZ289" i="1"/>
  <c r="DB289" i="1"/>
  <c r="DF289" i="1"/>
  <c r="AC1730" i="1"/>
  <c r="AH1730" i="1"/>
  <c r="BS1730" i="1"/>
  <c r="BV1730" i="1"/>
  <c r="BX1730" i="1"/>
  <c r="BY1730" i="1"/>
  <c r="BZ1730" i="1"/>
  <c r="CH1730" i="1"/>
  <c r="CL1730" i="1"/>
  <c r="CM1730" i="1"/>
  <c r="CN1730" i="1"/>
  <c r="CO1730" i="1"/>
  <c r="CP1730" i="1"/>
  <c r="CZ1730" i="1"/>
  <c r="DB1730" i="1"/>
  <c r="DF1730" i="1"/>
  <c r="AC1009" i="1"/>
  <c r="AH1009" i="1"/>
  <c r="BS1009" i="1"/>
  <c r="BV1009" i="1"/>
  <c r="BX1009" i="1"/>
  <c r="BY1009" i="1"/>
  <c r="BZ1009" i="1"/>
  <c r="CH1009" i="1"/>
  <c r="CL1009" i="1"/>
  <c r="CM1009" i="1"/>
  <c r="CN1009" i="1"/>
  <c r="CO1009" i="1"/>
  <c r="CP1009" i="1"/>
  <c r="CZ1009" i="1"/>
  <c r="DB1009" i="1"/>
  <c r="DF1009" i="1"/>
  <c r="AC2116" i="1"/>
  <c r="AH2116" i="1"/>
  <c r="BS2116" i="1"/>
  <c r="BV2116" i="1"/>
  <c r="BX2116" i="1"/>
  <c r="BY2116" i="1"/>
  <c r="BZ2116" i="1"/>
  <c r="CH2116" i="1"/>
  <c r="CL2116" i="1"/>
  <c r="CM2116" i="1"/>
  <c r="CN2116" i="1"/>
  <c r="CP2116" i="1"/>
  <c r="CZ2116" i="1"/>
  <c r="DB2116" i="1"/>
  <c r="DF2116" i="1"/>
  <c r="AC793" i="1"/>
  <c r="AH793" i="1"/>
  <c r="BS793" i="1"/>
  <c r="BV793" i="1"/>
  <c r="BX793" i="1"/>
  <c r="BY793" i="1"/>
  <c r="BZ793" i="1"/>
  <c r="CH793" i="1"/>
  <c r="CL793" i="1"/>
  <c r="CM793" i="1"/>
  <c r="CN793" i="1"/>
  <c r="CO793" i="1"/>
  <c r="CP793" i="1"/>
  <c r="CZ793" i="1"/>
  <c r="DB793" i="1"/>
  <c r="DF793" i="1"/>
  <c r="AC2244" i="1"/>
  <c r="AH2244" i="1"/>
  <c r="BS2244" i="1"/>
  <c r="BV2244" i="1"/>
  <c r="BX2244" i="1"/>
  <c r="BY2244" i="1"/>
  <c r="BZ2244" i="1"/>
  <c r="CA2244" i="1"/>
  <c r="CH2244" i="1"/>
  <c r="CL2244" i="1"/>
  <c r="CM2244" i="1"/>
  <c r="CN2244" i="1"/>
  <c r="CO2244" i="1"/>
  <c r="CP2244" i="1"/>
  <c r="CZ2244" i="1"/>
  <c r="DB2244" i="1"/>
  <c r="DF2244" i="1"/>
  <c r="AC357" i="1"/>
  <c r="AH357" i="1"/>
  <c r="BS357" i="1"/>
  <c r="BV357" i="1"/>
  <c r="BX357" i="1"/>
  <c r="BY357" i="1"/>
  <c r="BZ357" i="1"/>
  <c r="CA357" i="1"/>
  <c r="CH357" i="1"/>
  <c r="CL357" i="1"/>
  <c r="CM357" i="1"/>
  <c r="CN357" i="1"/>
  <c r="CO357" i="1"/>
  <c r="CP357" i="1"/>
  <c r="CZ357" i="1"/>
  <c r="DB357" i="1"/>
  <c r="DF357" i="1"/>
  <c r="AC741" i="1"/>
  <c r="AH741" i="1"/>
  <c r="BS741" i="1"/>
  <c r="BV741" i="1"/>
  <c r="BX741" i="1"/>
  <c r="BY741" i="1"/>
  <c r="BZ741" i="1"/>
  <c r="CA741" i="1"/>
  <c r="CH741" i="1"/>
  <c r="CL741" i="1"/>
  <c r="CM741" i="1"/>
  <c r="CN741" i="1"/>
  <c r="CO741" i="1"/>
  <c r="CP741" i="1"/>
  <c r="CZ741" i="1"/>
  <c r="DB741" i="1"/>
  <c r="DF741" i="1"/>
  <c r="AC60" i="1"/>
  <c r="AH60" i="1"/>
  <c r="BS60" i="1"/>
  <c r="BV60" i="1"/>
  <c r="BX60" i="1"/>
  <c r="BY60" i="1"/>
  <c r="BZ60" i="1"/>
  <c r="CA60" i="1"/>
  <c r="CH60" i="1"/>
  <c r="CL60" i="1"/>
  <c r="CM60" i="1"/>
  <c r="CN60" i="1"/>
  <c r="CO60" i="1"/>
  <c r="CP60" i="1"/>
  <c r="CZ60" i="1"/>
  <c r="DB60" i="1"/>
  <c r="DF60" i="1"/>
  <c r="AC668" i="1"/>
  <c r="AH668" i="1"/>
  <c r="BS668" i="1"/>
  <c r="BV668" i="1"/>
  <c r="BX668" i="1"/>
  <c r="BY668" i="1"/>
  <c r="BZ668" i="1"/>
  <c r="CA668" i="1"/>
  <c r="CH668" i="1"/>
  <c r="CL668" i="1"/>
  <c r="CM668" i="1"/>
  <c r="CN668" i="1"/>
  <c r="CO668" i="1"/>
  <c r="CP668" i="1"/>
  <c r="CZ668" i="1"/>
  <c r="DB668" i="1"/>
  <c r="DF668" i="1"/>
  <c r="AC1634" i="1"/>
  <c r="AH1634" i="1"/>
  <c r="BS1634" i="1"/>
  <c r="BV1634" i="1"/>
  <c r="BX1634" i="1"/>
  <c r="BY1634" i="1"/>
  <c r="BZ1634" i="1"/>
  <c r="CA1634" i="1"/>
  <c r="CH1634" i="1"/>
  <c r="CL1634" i="1"/>
  <c r="CM1634" i="1"/>
  <c r="CN1634" i="1"/>
  <c r="CO1634" i="1"/>
  <c r="CP1634" i="1"/>
  <c r="CZ1634" i="1"/>
  <c r="DB1634" i="1"/>
  <c r="DF1634" i="1"/>
  <c r="AC436" i="1"/>
  <c r="AH436" i="1"/>
  <c r="BS436" i="1"/>
  <c r="BV436" i="1"/>
  <c r="BX436" i="1"/>
  <c r="BY436" i="1"/>
  <c r="BZ436" i="1"/>
  <c r="CH436" i="1"/>
  <c r="CL436" i="1"/>
  <c r="CM436" i="1"/>
  <c r="CN436" i="1"/>
  <c r="CO436" i="1"/>
  <c r="CP436" i="1"/>
  <c r="CZ436" i="1"/>
  <c r="DB436" i="1"/>
  <c r="DF436" i="1"/>
  <c r="AC831" i="1"/>
  <c r="AH831" i="1"/>
  <c r="BS831" i="1"/>
  <c r="BV831" i="1"/>
  <c r="BX831" i="1"/>
  <c r="BY831" i="1"/>
  <c r="BZ831" i="1"/>
  <c r="CH831" i="1"/>
  <c r="CL831" i="1"/>
  <c r="CM831" i="1"/>
  <c r="CN831" i="1"/>
  <c r="CO831" i="1"/>
  <c r="CP831" i="1"/>
  <c r="CZ831" i="1"/>
  <c r="DB831" i="1"/>
  <c r="DF831" i="1"/>
  <c r="AC495" i="1"/>
  <c r="AH495" i="1"/>
  <c r="BS495" i="1"/>
  <c r="BV495" i="1"/>
  <c r="BX495" i="1"/>
  <c r="BY495" i="1"/>
  <c r="BZ495" i="1"/>
  <c r="CA495" i="1"/>
  <c r="CH495" i="1"/>
  <c r="CL495" i="1"/>
  <c r="CM495" i="1"/>
  <c r="CN495" i="1"/>
  <c r="CO495" i="1"/>
  <c r="CP495" i="1"/>
  <c r="CZ495" i="1"/>
  <c r="DB495" i="1"/>
  <c r="DF495" i="1"/>
  <c r="AC1024" i="1"/>
  <c r="AH1024" i="1"/>
  <c r="BS1024" i="1"/>
  <c r="BV1024" i="1"/>
  <c r="BX1024" i="1"/>
  <c r="BY1024" i="1"/>
  <c r="BZ1024" i="1"/>
  <c r="CA1024" i="1"/>
  <c r="CH1024" i="1"/>
  <c r="CL1024" i="1"/>
  <c r="CM1024" i="1"/>
  <c r="CN1024" i="1"/>
  <c r="CO1024" i="1"/>
  <c r="CP1024" i="1"/>
  <c r="CZ1024" i="1"/>
  <c r="DB1024" i="1"/>
  <c r="DF1024" i="1"/>
  <c r="AC1446" i="1"/>
  <c r="AH1446" i="1"/>
  <c r="BS1446" i="1"/>
  <c r="BV1446" i="1"/>
  <c r="BX1446" i="1"/>
  <c r="BY1446" i="1"/>
  <c r="BZ1446" i="1"/>
  <c r="CA1446" i="1"/>
  <c r="CH1446" i="1"/>
  <c r="CL1446" i="1"/>
  <c r="CM1446" i="1"/>
  <c r="CN1446" i="1"/>
  <c r="CO1446" i="1"/>
  <c r="CP1446" i="1"/>
  <c r="CZ1446" i="1"/>
  <c r="DB1446" i="1"/>
  <c r="DF1446" i="1"/>
  <c r="AC1607" i="1"/>
  <c r="AH1607" i="1"/>
  <c r="BS1607" i="1"/>
  <c r="BV1607" i="1"/>
  <c r="BX1607" i="1"/>
  <c r="BY1607" i="1"/>
  <c r="BZ1607" i="1"/>
  <c r="CH1607" i="1"/>
  <c r="CL1607" i="1"/>
  <c r="CM1607" i="1"/>
  <c r="CN1607" i="1"/>
  <c r="CO1607" i="1"/>
  <c r="CP1607" i="1"/>
  <c r="CZ1607" i="1"/>
  <c r="DB1607" i="1"/>
  <c r="DF1607" i="1"/>
  <c r="AC2159" i="1"/>
  <c r="AH2159" i="1"/>
  <c r="BS2159" i="1"/>
  <c r="BV2159" i="1"/>
  <c r="BX2159" i="1"/>
  <c r="BY2159" i="1"/>
  <c r="BZ2159" i="1"/>
  <c r="CH2159" i="1"/>
  <c r="CL2159" i="1"/>
  <c r="CM2159" i="1"/>
  <c r="CN2159" i="1"/>
  <c r="CO2159" i="1"/>
  <c r="CP2159" i="1"/>
  <c r="CZ2159" i="1"/>
  <c r="DB2159" i="1"/>
  <c r="DF2159" i="1"/>
  <c r="AC1005" i="1"/>
  <c r="AH1005" i="1"/>
  <c r="BS1005" i="1"/>
  <c r="BV1005" i="1"/>
  <c r="BX1005" i="1"/>
  <c r="BY1005" i="1"/>
  <c r="BZ1005" i="1"/>
  <c r="CA1005" i="1"/>
  <c r="CH1005" i="1"/>
  <c r="CL1005" i="1"/>
  <c r="CM1005" i="1"/>
  <c r="CN1005" i="1"/>
  <c r="CO1005" i="1"/>
  <c r="CP1005" i="1"/>
  <c r="CZ1005" i="1"/>
  <c r="DB1005" i="1"/>
  <c r="DF1005" i="1"/>
  <c r="AC201" i="1"/>
  <c r="AH201" i="1"/>
  <c r="BS201" i="1"/>
  <c r="BV201" i="1"/>
  <c r="BX201" i="1"/>
  <c r="BY201" i="1"/>
  <c r="BZ201" i="1"/>
  <c r="CA201" i="1"/>
  <c r="CH201" i="1"/>
  <c r="CL201" i="1"/>
  <c r="CM201" i="1"/>
  <c r="CN201" i="1"/>
  <c r="CO201" i="1"/>
  <c r="CP201" i="1"/>
  <c r="CZ201" i="1"/>
  <c r="DB201" i="1"/>
  <c r="DF201" i="1"/>
  <c r="AC1711" i="1"/>
  <c r="AH1711" i="1"/>
  <c r="BS1711" i="1"/>
  <c r="BV1711" i="1"/>
  <c r="BX1711" i="1"/>
  <c r="BY1711" i="1"/>
  <c r="BZ1711" i="1"/>
  <c r="CA1711" i="1"/>
  <c r="CH1711" i="1"/>
  <c r="CL1711" i="1"/>
  <c r="CM1711" i="1"/>
  <c r="CN1711" i="1"/>
  <c r="CO1711" i="1"/>
  <c r="CP1711" i="1"/>
  <c r="CZ1711" i="1"/>
  <c r="DB1711" i="1"/>
  <c r="DF1711" i="1"/>
  <c r="AC1128" i="1"/>
  <c r="AH1128" i="1"/>
  <c r="BS1128" i="1"/>
  <c r="BV1128" i="1"/>
  <c r="BX1128" i="1"/>
  <c r="BY1128" i="1"/>
  <c r="BZ1128" i="1"/>
  <c r="CA1128" i="1"/>
  <c r="CH1128" i="1"/>
  <c r="CL1128" i="1"/>
  <c r="CM1128" i="1"/>
  <c r="CN1128" i="1"/>
  <c r="CO1128" i="1"/>
  <c r="CP1128" i="1"/>
  <c r="CZ1128" i="1"/>
  <c r="DB1128" i="1"/>
  <c r="DF1128" i="1"/>
  <c r="AC52" i="1"/>
  <c r="AH52" i="1"/>
  <c r="BS52" i="1"/>
  <c r="BV52" i="1"/>
  <c r="BX52" i="1"/>
  <c r="BY52" i="1"/>
  <c r="BZ52" i="1"/>
  <c r="CA52" i="1"/>
  <c r="CH52" i="1"/>
  <c r="CL52" i="1"/>
  <c r="CM52" i="1"/>
  <c r="CN52" i="1"/>
  <c r="CO52" i="1"/>
  <c r="CP52" i="1"/>
  <c r="CZ52" i="1"/>
  <c r="DB52" i="1"/>
  <c r="DF52" i="1"/>
  <c r="AC1824" i="1"/>
  <c r="AH1824" i="1"/>
  <c r="BS1824" i="1"/>
  <c r="BV1824" i="1"/>
  <c r="BX1824" i="1"/>
  <c r="BY1824" i="1"/>
  <c r="BZ1824" i="1"/>
  <c r="CH1824" i="1"/>
  <c r="CL1824" i="1"/>
  <c r="CM1824" i="1"/>
  <c r="CN1824" i="1"/>
  <c r="CP1824" i="1"/>
  <c r="CZ1824" i="1"/>
  <c r="DB1824" i="1"/>
  <c r="DF1824" i="1"/>
  <c r="AC1533" i="1"/>
  <c r="AH1533" i="1"/>
  <c r="BS1533" i="1"/>
  <c r="BV1533" i="1"/>
  <c r="BX1533" i="1"/>
  <c r="BY1533" i="1"/>
  <c r="BZ1533" i="1"/>
  <c r="CA1533" i="1"/>
  <c r="CH1533" i="1"/>
  <c r="CL1533" i="1"/>
  <c r="CM1533" i="1"/>
  <c r="CN1533" i="1"/>
  <c r="CO1533" i="1"/>
  <c r="CP1533" i="1"/>
  <c r="CZ1533" i="1"/>
  <c r="DB1533" i="1"/>
  <c r="DF1533" i="1"/>
  <c r="AC676" i="1"/>
  <c r="AH676" i="1"/>
  <c r="BS676" i="1"/>
  <c r="BV676" i="1"/>
  <c r="BX676" i="1"/>
  <c r="BY676" i="1"/>
  <c r="BZ676" i="1"/>
  <c r="CA676" i="1"/>
  <c r="CH676" i="1"/>
  <c r="CL676" i="1"/>
  <c r="CM676" i="1"/>
  <c r="CN676" i="1"/>
  <c r="CO676" i="1"/>
  <c r="CP676" i="1"/>
  <c r="CZ676" i="1"/>
  <c r="DB676" i="1"/>
  <c r="DF676" i="1"/>
  <c r="AC114" i="1"/>
  <c r="AH114" i="1"/>
  <c r="BS114" i="1"/>
  <c r="BV114" i="1"/>
  <c r="BX114" i="1"/>
  <c r="BY114" i="1"/>
  <c r="BZ114" i="1"/>
  <c r="CA114" i="1"/>
  <c r="CH114" i="1"/>
  <c r="CL114" i="1"/>
  <c r="CM114" i="1"/>
  <c r="CN114" i="1"/>
  <c r="CO114" i="1"/>
  <c r="CP114" i="1"/>
  <c r="CZ114" i="1"/>
  <c r="DB114" i="1"/>
  <c r="DF114" i="1"/>
  <c r="AC1627" i="1"/>
  <c r="AH1627" i="1"/>
  <c r="BS1627" i="1"/>
  <c r="BV1627" i="1"/>
  <c r="BX1627" i="1"/>
  <c r="BY1627" i="1"/>
  <c r="BZ1627" i="1"/>
  <c r="CH1627" i="1"/>
  <c r="CL1627" i="1"/>
  <c r="CM1627" i="1"/>
  <c r="CN1627" i="1"/>
  <c r="CO1627" i="1"/>
  <c r="CP1627" i="1"/>
  <c r="CZ1627" i="1"/>
  <c r="DB1627" i="1"/>
  <c r="DF1627" i="1"/>
  <c r="AC985" i="1"/>
  <c r="AH985" i="1"/>
  <c r="BS985" i="1"/>
  <c r="BV985" i="1"/>
  <c r="BX985" i="1"/>
  <c r="BY985" i="1"/>
  <c r="BZ985" i="1"/>
  <c r="CA985" i="1"/>
  <c r="CH985" i="1"/>
  <c r="CL985" i="1"/>
  <c r="CM985" i="1"/>
  <c r="CN985" i="1"/>
  <c r="CO985" i="1"/>
  <c r="CP985" i="1"/>
  <c r="CZ985" i="1"/>
  <c r="DB985" i="1"/>
  <c r="DF985" i="1"/>
  <c r="AC299" i="1"/>
  <c r="AH299" i="1"/>
  <c r="BS299" i="1"/>
  <c r="BV299" i="1"/>
  <c r="BX299" i="1"/>
  <c r="BY299" i="1"/>
  <c r="BZ299" i="1"/>
  <c r="CA299" i="1"/>
  <c r="CH299" i="1"/>
  <c r="CL299" i="1"/>
  <c r="CM299" i="1"/>
  <c r="CN299" i="1"/>
  <c r="CO299" i="1"/>
  <c r="CP299" i="1"/>
  <c r="CZ299" i="1"/>
  <c r="DB299" i="1"/>
  <c r="DF299" i="1"/>
  <c r="AC633" i="1"/>
  <c r="AH633" i="1"/>
  <c r="BS633" i="1"/>
  <c r="BV633" i="1"/>
  <c r="BX633" i="1"/>
  <c r="BY633" i="1"/>
  <c r="BZ633" i="1"/>
  <c r="CA633" i="1"/>
  <c r="CH633" i="1"/>
  <c r="CL633" i="1"/>
  <c r="CM633" i="1"/>
  <c r="CN633" i="1"/>
  <c r="CO633" i="1"/>
  <c r="CP633" i="1"/>
  <c r="CZ633" i="1"/>
  <c r="DB633" i="1"/>
  <c r="DF633" i="1"/>
  <c r="AC1395" i="1"/>
  <c r="AH1395" i="1"/>
  <c r="BS1395" i="1"/>
  <c r="BV1395" i="1"/>
  <c r="BY1395" i="1"/>
  <c r="BZ1395" i="1"/>
  <c r="CH1395" i="1"/>
  <c r="CL1395" i="1"/>
  <c r="CM1395" i="1"/>
  <c r="CN1395" i="1"/>
  <c r="CO1395" i="1"/>
  <c r="CP1395" i="1"/>
  <c r="CZ1395" i="1"/>
  <c r="DB1395" i="1"/>
  <c r="DF1395" i="1"/>
  <c r="AC1206" i="1"/>
  <c r="AH1206" i="1"/>
  <c r="BS1206" i="1"/>
  <c r="BV1206" i="1"/>
  <c r="BX1206" i="1"/>
  <c r="BY1206" i="1"/>
  <c r="BZ1206" i="1"/>
  <c r="CA1206" i="1"/>
  <c r="CH1206" i="1"/>
  <c r="CL1206" i="1"/>
  <c r="CM1206" i="1"/>
  <c r="CN1206" i="1"/>
  <c r="CO1206" i="1"/>
  <c r="CP1206" i="1"/>
  <c r="CZ1206" i="1"/>
  <c r="DB1206" i="1"/>
  <c r="DF1206" i="1"/>
  <c r="AC244" i="1"/>
  <c r="AH244" i="1"/>
  <c r="BS244" i="1"/>
  <c r="BV244" i="1"/>
  <c r="BX244" i="1"/>
  <c r="BY244" i="1"/>
  <c r="BZ244" i="1"/>
  <c r="CA244" i="1"/>
  <c r="CH244" i="1"/>
  <c r="CL244" i="1"/>
  <c r="CM244" i="1"/>
  <c r="CN244" i="1"/>
  <c r="CO244" i="1"/>
  <c r="CP244" i="1"/>
  <c r="CZ244" i="1"/>
  <c r="DB244" i="1"/>
  <c r="DF244" i="1"/>
  <c r="AC1458" i="1"/>
  <c r="AH1458" i="1"/>
  <c r="BS1458" i="1"/>
  <c r="BV1458" i="1"/>
  <c r="BY1458" i="1"/>
  <c r="BZ1458" i="1"/>
  <c r="CA1458" i="1"/>
  <c r="CH1458" i="1"/>
  <c r="CL1458" i="1"/>
  <c r="CM1458" i="1"/>
  <c r="CN1458" i="1"/>
  <c r="CO1458" i="1"/>
  <c r="CP1458" i="1"/>
  <c r="CZ1458" i="1"/>
  <c r="DB1458" i="1"/>
  <c r="DF1458" i="1"/>
  <c r="AC2110" i="1"/>
  <c r="AH2110" i="1"/>
  <c r="BS2110" i="1"/>
  <c r="BV2110" i="1"/>
  <c r="BX2110" i="1"/>
  <c r="BY2110" i="1"/>
  <c r="BZ2110" i="1"/>
  <c r="CH2110" i="1"/>
  <c r="CL2110" i="1"/>
  <c r="CM2110" i="1"/>
  <c r="CN2110" i="1"/>
  <c r="CO2110" i="1"/>
  <c r="CP2110" i="1"/>
  <c r="CZ2110" i="1"/>
  <c r="DB2110" i="1"/>
  <c r="DF2110" i="1"/>
  <c r="AC583" i="1"/>
  <c r="AH583" i="1"/>
  <c r="BS583" i="1"/>
  <c r="BV583" i="1"/>
  <c r="BX583" i="1"/>
  <c r="BY583" i="1"/>
  <c r="BZ583" i="1"/>
  <c r="CA583" i="1"/>
  <c r="CH583" i="1"/>
  <c r="CL583" i="1"/>
  <c r="CM583" i="1"/>
  <c r="CN583" i="1"/>
  <c r="CO583" i="1"/>
  <c r="CP583" i="1"/>
  <c r="CZ583" i="1"/>
  <c r="DB583" i="1"/>
  <c r="DF583" i="1"/>
  <c r="AC1269" i="1"/>
  <c r="AH1269" i="1"/>
  <c r="BS1269" i="1"/>
  <c r="BV1269" i="1"/>
  <c r="BX1269" i="1"/>
  <c r="BY1269" i="1"/>
  <c r="BZ1269" i="1"/>
  <c r="CA1269" i="1"/>
  <c r="CH1269" i="1"/>
  <c r="CL1269" i="1"/>
  <c r="CM1269" i="1"/>
  <c r="CN1269" i="1"/>
  <c r="CO1269" i="1"/>
  <c r="CP1269" i="1"/>
  <c r="CZ1269" i="1"/>
  <c r="DB1269" i="1"/>
  <c r="DF1269" i="1"/>
  <c r="AC1401" i="1"/>
  <c r="AH1401" i="1"/>
  <c r="BS1401" i="1"/>
  <c r="BV1401" i="1"/>
  <c r="BX1401" i="1"/>
  <c r="BY1401" i="1"/>
  <c r="BZ1401" i="1"/>
  <c r="CA1401" i="1"/>
  <c r="CH1401" i="1"/>
  <c r="CL1401" i="1"/>
  <c r="CM1401" i="1"/>
  <c r="CN1401" i="1"/>
  <c r="CO1401" i="1"/>
  <c r="CP1401" i="1"/>
  <c r="CZ1401" i="1"/>
  <c r="DB1401" i="1"/>
  <c r="DF1401" i="1"/>
  <c r="AC577" i="1"/>
  <c r="AH577" i="1"/>
  <c r="BS577" i="1"/>
  <c r="BV577" i="1"/>
  <c r="BX577" i="1"/>
  <c r="BY577" i="1"/>
  <c r="BZ577" i="1"/>
  <c r="CA577" i="1"/>
  <c r="CH577" i="1"/>
  <c r="CL577" i="1"/>
  <c r="CM577" i="1"/>
  <c r="CN577" i="1"/>
  <c r="CO577" i="1"/>
  <c r="CP577" i="1"/>
  <c r="CZ577" i="1"/>
  <c r="DB577" i="1"/>
  <c r="DF577" i="1"/>
  <c r="AC2260" i="1"/>
  <c r="AH2260" i="1"/>
  <c r="BS2260" i="1"/>
  <c r="BV2260" i="1"/>
  <c r="BX2260" i="1"/>
  <c r="BY2260" i="1"/>
  <c r="BZ2260" i="1"/>
  <c r="CH2260" i="1"/>
  <c r="CL2260" i="1"/>
  <c r="CM2260" i="1"/>
  <c r="CN2260" i="1"/>
  <c r="CO2260" i="1"/>
  <c r="CP2260" i="1"/>
  <c r="CZ2260" i="1"/>
  <c r="DB2260" i="1"/>
  <c r="DF2260" i="1"/>
  <c r="AC1324" i="1"/>
  <c r="AH1324" i="1"/>
  <c r="BS1324" i="1"/>
  <c r="BV1324" i="1"/>
  <c r="BX1324" i="1"/>
  <c r="BY1324" i="1"/>
  <c r="BZ1324" i="1"/>
  <c r="CA1324" i="1"/>
  <c r="CH1324" i="1"/>
  <c r="CL1324" i="1"/>
  <c r="CM1324" i="1"/>
  <c r="CN1324" i="1"/>
  <c r="CO1324" i="1"/>
  <c r="CP1324" i="1"/>
  <c r="CZ1324" i="1"/>
  <c r="DB1324" i="1"/>
  <c r="DF1324" i="1"/>
  <c r="AC1861" i="1"/>
  <c r="AH1861" i="1"/>
  <c r="BS1861" i="1"/>
  <c r="BV1861" i="1"/>
  <c r="BX1861" i="1"/>
  <c r="BY1861" i="1"/>
  <c r="BZ1861" i="1"/>
  <c r="CH1861" i="1"/>
  <c r="CL1861" i="1"/>
  <c r="CM1861" i="1"/>
  <c r="CN1861" i="1"/>
  <c r="CO1861" i="1"/>
  <c r="CP1861" i="1"/>
  <c r="CZ1861" i="1"/>
  <c r="DB1861" i="1"/>
  <c r="DF1861" i="1"/>
  <c r="AC2262" i="1"/>
  <c r="AH2262" i="1"/>
  <c r="BS2262" i="1"/>
  <c r="BV2262" i="1"/>
  <c r="BX2262" i="1"/>
  <c r="BY2262" i="1"/>
  <c r="BZ2262" i="1"/>
  <c r="CH2262" i="1"/>
  <c r="CL2262" i="1"/>
  <c r="CM2262" i="1"/>
  <c r="CN2262" i="1"/>
  <c r="CO2262" i="1"/>
  <c r="CP2262" i="1"/>
  <c r="CZ2262" i="1"/>
  <c r="DB2262" i="1"/>
  <c r="DF2262" i="1"/>
  <c r="AC527" i="1"/>
  <c r="AH527" i="1"/>
  <c r="BS527" i="1"/>
  <c r="BV527" i="1"/>
  <c r="BX527" i="1"/>
  <c r="BY527" i="1"/>
  <c r="BZ527" i="1"/>
  <c r="CH527" i="1"/>
  <c r="CL527" i="1"/>
  <c r="CM527" i="1"/>
  <c r="CN527" i="1"/>
  <c r="CO527" i="1"/>
  <c r="CP527" i="1"/>
  <c r="CZ527" i="1"/>
  <c r="DB527" i="1"/>
  <c r="DF527" i="1"/>
  <c r="AC1554" i="1"/>
  <c r="AH1554" i="1"/>
  <c r="BS1554" i="1"/>
  <c r="BV1554" i="1"/>
  <c r="BX1554" i="1"/>
  <c r="BY1554" i="1"/>
  <c r="BZ1554" i="1"/>
  <c r="CH1554" i="1"/>
  <c r="CL1554" i="1"/>
  <c r="CM1554" i="1"/>
  <c r="CN1554" i="1"/>
  <c r="CO1554" i="1"/>
  <c r="CP1554" i="1"/>
  <c r="CZ1554" i="1"/>
  <c r="DB1554" i="1"/>
  <c r="DF1554" i="1"/>
  <c r="AC1814" i="1"/>
  <c r="AH1814" i="1"/>
  <c r="BS1814" i="1"/>
  <c r="BV1814" i="1"/>
  <c r="BX1814" i="1"/>
  <c r="BY1814" i="1"/>
  <c r="BZ1814" i="1"/>
  <c r="CA1814" i="1"/>
  <c r="CH1814" i="1"/>
  <c r="CL1814" i="1"/>
  <c r="CM1814" i="1"/>
  <c r="CN1814" i="1"/>
  <c r="CO1814" i="1"/>
  <c r="CP1814" i="1"/>
  <c r="CZ1814" i="1"/>
  <c r="DB1814" i="1"/>
  <c r="DF1814" i="1"/>
  <c r="AC1496" i="1"/>
  <c r="AH1496" i="1"/>
  <c r="BS1496" i="1"/>
  <c r="BV1496" i="1"/>
  <c r="BX1496" i="1"/>
  <c r="BY1496" i="1"/>
  <c r="BZ1496" i="1"/>
  <c r="CA1496" i="1"/>
  <c r="CH1496" i="1"/>
  <c r="CL1496" i="1"/>
  <c r="CM1496" i="1"/>
  <c r="CN1496" i="1"/>
  <c r="CO1496" i="1"/>
  <c r="CP1496" i="1"/>
  <c r="CZ1496" i="1"/>
  <c r="DB1496" i="1"/>
  <c r="DF1496" i="1"/>
  <c r="AC1318" i="1"/>
  <c r="AH1318" i="1"/>
  <c r="BS1318" i="1"/>
  <c r="BV1318" i="1"/>
  <c r="BX1318" i="1"/>
  <c r="BY1318" i="1"/>
  <c r="BZ1318" i="1"/>
  <c r="CA1318" i="1"/>
  <c r="CH1318" i="1"/>
  <c r="CL1318" i="1"/>
  <c r="CM1318" i="1"/>
  <c r="CN1318" i="1"/>
  <c r="CO1318" i="1"/>
  <c r="CP1318" i="1"/>
  <c r="CZ1318" i="1"/>
  <c r="DB1318" i="1"/>
  <c r="DF1318" i="1"/>
  <c r="AC1016" i="1"/>
  <c r="AH1016" i="1"/>
  <c r="BS1016" i="1"/>
  <c r="BV1016" i="1"/>
  <c r="BX1016" i="1"/>
  <c r="BY1016" i="1"/>
  <c r="BZ1016" i="1"/>
  <c r="CA1016" i="1"/>
  <c r="CH1016" i="1"/>
  <c r="CL1016" i="1"/>
  <c r="CM1016" i="1"/>
  <c r="CN1016" i="1"/>
  <c r="CO1016" i="1"/>
  <c r="CP1016" i="1"/>
  <c r="CZ1016" i="1"/>
  <c r="DB1016" i="1"/>
  <c r="DF1016" i="1"/>
  <c r="AC2206" i="1"/>
  <c r="AH2206" i="1"/>
  <c r="BS2206" i="1"/>
  <c r="BV2206" i="1"/>
  <c r="BX2206" i="1"/>
  <c r="BY2206" i="1"/>
  <c r="BZ2206" i="1"/>
  <c r="CA2206" i="1"/>
  <c r="CH2206" i="1"/>
  <c r="CL2206" i="1"/>
  <c r="CM2206" i="1"/>
  <c r="CN2206" i="1"/>
  <c r="CO2206" i="1"/>
  <c r="CP2206" i="1"/>
  <c r="CZ2206" i="1"/>
  <c r="DB2206" i="1"/>
  <c r="DF2206" i="1"/>
  <c r="AC1006" i="1"/>
  <c r="AH1006" i="1"/>
  <c r="BS1006" i="1"/>
  <c r="BV1006" i="1"/>
  <c r="BX1006" i="1"/>
  <c r="BY1006" i="1"/>
  <c r="BZ1006" i="1"/>
  <c r="CA1006" i="1"/>
  <c r="CH1006" i="1"/>
  <c r="CL1006" i="1"/>
  <c r="CM1006" i="1"/>
  <c r="CN1006" i="1"/>
  <c r="CO1006" i="1"/>
  <c r="CP1006" i="1"/>
  <c r="CZ1006" i="1"/>
  <c r="DB1006" i="1"/>
  <c r="DF1006" i="1"/>
  <c r="AC1308" i="1"/>
  <c r="AH1308" i="1"/>
  <c r="BS1308" i="1"/>
  <c r="BV1308" i="1"/>
  <c r="BX1308" i="1"/>
  <c r="BY1308" i="1"/>
  <c r="BZ1308" i="1"/>
  <c r="CA1308" i="1"/>
  <c r="CH1308" i="1"/>
  <c r="CL1308" i="1"/>
  <c r="CM1308" i="1"/>
  <c r="CN1308" i="1"/>
  <c r="CO1308" i="1"/>
  <c r="CP1308" i="1"/>
  <c r="CZ1308" i="1"/>
  <c r="DB1308" i="1"/>
  <c r="DF1308" i="1"/>
  <c r="AC2194" i="1"/>
  <c r="AH2194" i="1"/>
  <c r="BS2194" i="1"/>
  <c r="BV2194" i="1"/>
  <c r="BX2194" i="1"/>
  <c r="BY2194" i="1"/>
  <c r="BZ2194" i="1"/>
  <c r="CH2194" i="1"/>
  <c r="CL2194" i="1"/>
  <c r="CM2194" i="1"/>
  <c r="CN2194" i="1"/>
  <c r="CO2194" i="1"/>
  <c r="CP2194" i="1"/>
  <c r="CZ2194" i="1"/>
  <c r="DB2194" i="1"/>
  <c r="DF2194" i="1"/>
  <c r="AC729" i="1"/>
  <c r="AH729" i="1"/>
  <c r="BS729" i="1"/>
  <c r="BV729" i="1"/>
  <c r="BX729" i="1"/>
  <c r="BY729" i="1"/>
  <c r="BZ729" i="1"/>
  <c r="CA729" i="1"/>
  <c r="CH729" i="1"/>
  <c r="CL729" i="1"/>
  <c r="CM729" i="1"/>
  <c r="CN729" i="1"/>
  <c r="CO729" i="1"/>
  <c r="CP729" i="1"/>
  <c r="CZ729" i="1"/>
  <c r="DB729" i="1"/>
  <c r="DF729" i="1"/>
  <c r="AC112" i="1"/>
  <c r="AH112" i="1"/>
  <c r="BS112" i="1"/>
  <c r="BV112" i="1"/>
  <c r="BX112" i="1"/>
  <c r="BY112" i="1"/>
  <c r="BZ112" i="1"/>
  <c r="CA112" i="1"/>
  <c r="CH112" i="1"/>
  <c r="CL112" i="1"/>
  <c r="CM112" i="1"/>
  <c r="CN112" i="1"/>
  <c r="CO112" i="1"/>
  <c r="CP112" i="1"/>
  <c r="CZ112" i="1"/>
  <c r="DB112" i="1"/>
  <c r="DF112" i="1"/>
  <c r="AC1518" i="1"/>
  <c r="AH1518" i="1"/>
  <c r="BS1518" i="1"/>
  <c r="BV1518" i="1"/>
  <c r="BX1518" i="1"/>
  <c r="BY1518" i="1"/>
  <c r="BZ1518" i="1"/>
  <c r="CH1518" i="1"/>
  <c r="CL1518" i="1"/>
  <c r="CM1518" i="1"/>
  <c r="CN1518" i="1"/>
  <c r="CO1518" i="1"/>
  <c r="CP1518" i="1"/>
  <c r="CZ1518" i="1"/>
  <c r="DB1518" i="1"/>
  <c r="DF1518" i="1"/>
  <c r="AC1680" i="1"/>
  <c r="AH1680" i="1"/>
  <c r="BS1680" i="1"/>
  <c r="BV1680" i="1"/>
  <c r="BX1680" i="1"/>
  <c r="BY1680" i="1"/>
  <c r="BZ1680" i="1"/>
  <c r="CA1680" i="1"/>
  <c r="CH1680" i="1"/>
  <c r="CL1680" i="1"/>
  <c r="CM1680" i="1"/>
  <c r="CN1680" i="1"/>
  <c r="CO1680" i="1"/>
  <c r="CP1680" i="1"/>
  <c r="CZ1680" i="1"/>
  <c r="DB1680" i="1"/>
  <c r="DF1680" i="1"/>
  <c r="AC769" i="1"/>
  <c r="AH769" i="1"/>
  <c r="BS769" i="1"/>
  <c r="BV769" i="1"/>
  <c r="BX769" i="1"/>
  <c r="BY769" i="1"/>
  <c r="BZ769" i="1"/>
  <c r="CA769" i="1"/>
  <c r="CH769" i="1"/>
  <c r="CL769" i="1"/>
  <c r="CM769" i="1"/>
  <c r="CN769" i="1"/>
  <c r="CO769" i="1"/>
  <c r="CP769" i="1"/>
  <c r="CZ769" i="1"/>
  <c r="DB769" i="1"/>
  <c r="DF769" i="1"/>
  <c r="AC1275" i="1"/>
  <c r="AH1275" i="1"/>
  <c r="BS1275" i="1"/>
  <c r="BV1275" i="1"/>
  <c r="BX1275" i="1"/>
  <c r="BY1275" i="1"/>
  <c r="BZ1275" i="1"/>
  <c r="CH1275" i="1"/>
  <c r="CL1275" i="1"/>
  <c r="CM1275" i="1"/>
  <c r="CN1275" i="1"/>
  <c r="CP1275" i="1"/>
  <c r="CZ1275" i="1"/>
  <c r="DB1275" i="1"/>
  <c r="DF1275" i="1"/>
  <c r="AC2148" i="1"/>
  <c r="AH2148" i="1"/>
  <c r="BS2148" i="1"/>
  <c r="BV2148" i="1"/>
  <c r="BX2148" i="1"/>
  <c r="BY2148" i="1"/>
  <c r="BZ2148" i="1"/>
  <c r="CA2148" i="1"/>
  <c r="CH2148" i="1"/>
  <c r="CL2148" i="1"/>
  <c r="CM2148" i="1"/>
  <c r="CN2148" i="1"/>
  <c r="CO2148" i="1"/>
  <c r="CP2148" i="1"/>
  <c r="CZ2148" i="1"/>
  <c r="DB2148" i="1"/>
  <c r="DF2148" i="1"/>
  <c r="AC574" i="1"/>
  <c r="AH574" i="1"/>
  <c r="BS574" i="1"/>
  <c r="BV574" i="1"/>
  <c r="BX574" i="1"/>
  <c r="BY574" i="1"/>
  <c r="BZ574" i="1"/>
  <c r="CA574" i="1"/>
  <c r="CH574" i="1"/>
  <c r="CL574" i="1"/>
  <c r="CM574" i="1"/>
  <c r="CN574" i="1"/>
  <c r="CO574" i="1"/>
  <c r="CP574" i="1"/>
  <c r="CZ574" i="1"/>
  <c r="DB574" i="1"/>
  <c r="DF574" i="1"/>
  <c r="AC1207" i="1"/>
  <c r="AH1207" i="1"/>
  <c r="BS1207" i="1"/>
  <c r="BV1207" i="1"/>
  <c r="BX1207" i="1"/>
  <c r="BY1207" i="1"/>
  <c r="BZ1207" i="1"/>
  <c r="CA1207" i="1"/>
  <c r="CH1207" i="1"/>
  <c r="CL1207" i="1"/>
  <c r="CM1207" i="1"/>
  <c r="CN1207" i="1"/>
  <c r="CO1207" i="1"/>
  <c r="CP1207" i="1"/>
  <c r="CZ1207" i="1"/>
  <c r="DB1207" i="1"/>
  <c r="DF1207" i="1"/>
  <c r="AC1632" i="1"/>
  <c r="AH1632" i="1"/>
  <c r="BS1632" i="1"/>
  <c r="BV1632" i="1"/>
  <c r="BX1632" i="1"/>
  <c r="BY1632" i="1"/>
  <c r="BZ1632" i="1"/>
  <c r="CA1632" i="1"/>
  <c r="CH1632" i="1"/>
  <c r="CL1632" i="1"/>
  <c r="CM1632" i="1"/>
  <c r="CN1632" i="1"/>
  <c r="CO1632" i="1"/>
  <c r="CP1632" i="1"/>
  <c r="CZ1632" i="1"/>
  <c r="DB1632" i="1"/>
  <c r="DF1632" i="1"/>
  <c r="AC2246" i="1"/>
  <c r="AH2246" i="1"/>
  <c r="BS2246" i="1"/>
  <c r="BV2246" i="1"/>
  <c r="BX2246" i="1"/>
  <c r="BY2246" i="1"/>
  <c r="BZ2246" i="1"/>
  <c r="CA2246" i="1"/>
  <c r="CH2246" i="1"/>
  <c r="CL2246" i="1"/>
  <c r="CM2246" i="1"/>
  <c r="CN2246" i="1"/>
  <c r="CO2246" i="1"/>
  <c r="CP2246" i="1"/>
  <c r="CZ2246" i="1"/>
  <c r="DB2246" i="1"/>
  <c r="DF2246" i="1"/>
  <c r="AC515" i="1"/>
  <c r="AH515" i="1"/>
  <c r="BS515" i="1"/>
  <c r="BV515" i="1"/>
  <c r="BX515" i="1"/>
  <c r="BY515" i="1"/>
  <c r="BZ515" i="1"/>
  <c r="CA515" i="1"/>
  <c r="CH515" i="1"/>
  <c r="CL515" i="1"/>
  <c r="CM515" i="1"/>
  <c r="CN515" i="1"/>
  <c r="CO515" i="1"/>
  <c r="CP515" i="1"/>
  <c r="CZ515" i="1"/>
  <c r="DB515" i="1"/>
  <c r="DF515" i="1"/>
  <c r="AC286" i="1"/>
  <c r="AH286" i="1"/>
  <c r="BS286" i="1"/>
  <c r="BV286" i="1"/>
  <c r="BX286" i="1"/>
  <c r="BY286" i="1"/>
  <c r="BZ286" i="1"/>
  <c r="CA286" i="1"/>
  <c r="CH286" i="1"/>
  <c r="CL286" i="1"/>
  <c r="CM286" i="1"/>
  <c r="CN286" i="1"/>
  <c r="CO286" i="1"/>
  <c r="CP286" i="1"/>
  <c r="CZ286" i="1"/>
  <c r="DB286" i="1"/>
  <c r="DF286" i="1"/>
  <c r="AC2036" i="1"/>
  <c r="AH2036" i="1"/>
  <c r="BS2036" i="1"/>
  <c r="BV2036" i="1"/>
  <c r="BX2036" i="1"/>
  <c r="BY2036" i="1"/>
  <c r="BZ2036" i="1"/>
  <c r="CA2036" i="1"/>
  <c r="CH2036" i="1"/>
  <c r="CL2036" i="1"/>
  <c r="CM2036" i="1"/>
  <c r="CN2036" i="1"/>
  <c r="CO2036" i="1"/>
  <c r="CP2036" i="1"/>
  <c r="CZ2036" i="1"/>
  <c r="DB2036" i="1"/>
  <c r="DF2036" i="1"/>
  <c r="AC859" i="1"/>
  <c r="AH859" i="1"/>
  <c r="BS859" i="1"/>
  <c r="BV859" i="1"/>
  <c r="BX859" i="1"/>
  <c r="BY859" i="1"/>
  <c r="BZ859" i="1"/>
  <c r="CH859" i="1"/>
  <c r="CL859" i="1"/>
  <c r="CM859" i="1"/>
  <c r="CN859" i="1"/>
  <c r="CO859" i="1"/>
  <c r="CP859" i="1"/>
  <c r="CZ859" i="1"/>
  <c r="DB859" i="1"/>
  <c r="DF859" i="1"/>
  <c r="AC92" i="1"/>
  <c r="AH92" i="1"/>
  <c r="BS92" i="1"/>
  <c r="BV92" i="1"/>
  <c r="BX92" i="1"/>
  <c r="BY92" i="1"/>
  <c r="BZ92" i="1"/>
  <c r="CA92" i="1"/>
  <c r="CH92" i="1"/>
  <c r="CL92" i="1"/>
  <c r="CM92" i="1"/>
  <c r="CN92" i="1"/>
  <c r="CO92" i="1"/>
  <c r="CP92" i="1"/>
  <c r="CZ92" i="1"/>
  <c r="DB92" i="1"/>
  <c r="DF92" i="1"/>
  <c r="AC348" i="1"/>
  <c r="AH348" i="1"/>
  <c r="BS348" i="1"/>
  <c r="BV348" i="1"/>
  <c r="BX348" i="1"/>
  <c r="BY348" i="1"/>
  <c r="BZ348" i="1"/>
  <c r="CA348" i="1"/>
  <c r="CH348" i="1"/>
  <c r="CL348" i="1"/>
  <c r="CM348" i="1"/>
  <c r="CN348" i="1"/>
  <c r="CO348" i="1"/>
  <c r="CP348" i="1"/>
  <c r="CZ348" i="1"/>
  <c r="DB348" i="1"/>
  <c r="DF348" i="1"/>
  <c r="AC1770" i="1"/>
  <c r="AH1770" i="1"/>
  <c r="BS1770" i="1"/>
  <c r="BV1770" i="1"/>
  <c r="BX1770" i="1"/>
  <c r="BY1770" i="1"/>
  <c r="BZ1770" i="1"/>
  <c r="CH1770" i="1"/>
  <c r="CL1770" i="1"/>
  <c r="CM1770" i="1"/>
  <c r="CN1770" i="1"/>
  <c r="CO1770" i="1"/>
  <c r="CP1770" i="1"/>
  <c r="CZ1770" i="1"/>
  <c r="DB1770" i="1"/>
  <c r="DF1770" i="1"/>
  <c r="AC1122" i="1"/>
  <c r="AH1122" i="1"/>
  <c r="BS1122" i="1"/>
  <c r="BV1122" i="1"/>
  <c r="BX1122" i="1"/>
  <c r="BY1122" i="1"/>
  <c r="BZ1122" i="1"/>
  <c r="CA1122" i="1"/>
  <c r="CH1122" i="1"/>
  <c r="CL1122" i="1"/>
  <c r="CM1122" i="1"/>
  <c r="CN1122" i="1"/>
  <c r="CO1122" i="1"/>
  <c r="CP1122" i="1"/>
  <c r="CZ1122" i="1"/>
  <c r="DB1122" i="1"/>
  <c r="DF1122" i="1"/>
  <c r="AC910" i="1"/>
  <c r="AH910" i="1"/>
  <c r="BS910" i="1"/>
  <c r="BV910" i="1"/>
  <c r="BX910" i="1"/>
  <c r="BY910" i="1"/>
  <c r="BZ910" i="1"/>
  <c r="CA910" i="1"/>
  <c r="CH910" i="1"/>
  <c r="CL910" i="1"/>
  <c r="CM910" i="1"/>
  <c r="CN910" i="1"/>
  <c r="CO910" i="1"/>
  <c r="CP910" i="1"/>
  <c r="CZ910" i="1"/>
  <c r="DB910" i="1"/>
  <c r="DF910" i="1"/>
  <c r="AC283" i="1"/>
  <c r="AH283" i="1"/>
  <c r="BS283" i="1"/>
  <c r="BV283" i="1"/>
  <c r="BX283" i="1"/>
  <c r="BY283" i="1"/>
  <c r="BZ283" i="1"/>
  <c r="CA283" i="1"/>
  <c r="CH283" i="1"/>
  <c r="CL283" i="1"/>
  <c r="CM283" i="1"/>
  <c r="CN283" i="1"/>
  <c r="CO283" i="1"/>
  <c r="CP283" i="1"/>
  <c r="CZ283" i="1"/>
  <c r="DB283" i="1"/>
  <c r="DF283" i="1"/>
  <c r="AC215" i="1"/>
  <c r="AH215" i="1"/>
  <c r="BS215" i="1"/>
  <c r="BV215" i="1"/>
  <c r="BX215" i="1"/>
  <c r="BY215" i="1"/>
  <c r="BZ215" i="1"/>
  <c r="CA215" i="1"/>
  <c r="CH215" i="1"/>
  <c r="CL215" i="1"/>
  <c r="CM215" i="1"/>
  <c r="CN215" i="1"/>
  <c r="CO215" i="1"/>
  <c r="CP215" i="1"/>
  <c r="CZ215" i="1"/>
  <c r="DB215" i="1"/>
  <c r="DF215" i="1"/>
  <c r="AC192" i="1"/>
  <c r="AH192" i="1"/>
  <c r="BS192" i="1"/>
  <c r="BV192" i="1"/>
  <c r="BX192" i="1"/>
  <c r="BY192" i="1"/>
  <c r="BZ192" i="1"/>
  <c r="CA192" i="1"/>
  <c r="CH192" i="1"/>
  <c r="CL192" i="1"/>
  <c r="CM192" i="1"/>
  <c r="CN192" i="1"/>
  <c r="CO192" i="1"/>
  <c r="CP192" i="1"/>
  <c r="CZ192" i="1"/>
  <c r="DB192" i="1"/>
  <c r="DF192" i="1"/>
  <c r="AC1042" i="1"/>
  <c r="AH1042" i="1"/>
  <c r="BS1042" i="1"/>
  <c r="BV1042" i="1"/>
  <c r="BX1042" i="1"/>
  <c r="BY1042" i="1"/>
  <c r="BZ1042" i="1"/>
  <c r="CH1042" i="1"/>
  <c r="CL1042" i="1"/>
  <c r="CM1042" i="1"/>
  <c r="CN1042" i="1"/>
  <c r="CO1042" i="1"/>
  <c r="CP1042" i="1"/>
  <c r="CZ1042" i="1"/>
  <c r="DB1042" i="1"/>
  <c r="DF1042" i="1"/>
  <c r="AC890" i="1"/>
  <c r="AH890" i="1"/>
  <c r="BS890" i="1"/>
  <c r="BV890" i="1"/>
  <c r="BX890" i="1"/>
  <c r="BY890" i="1"/>
  <c r="BZ890" i="1"/>
  <c r="CH890" i="1"/>
  <c r="CL890" i="1"/>
  <c r="CM890" i="1"/>
  <c r="CN890" i="1"/>
  <c r="CO890" i="1"/>
  <c r="CP890" i="1"/>
  <c r="CZ890" i="1"/>
  <c r="DB890" i="1"/>
  <c r="DF890" i="1"/>
  <c r="AC398" i="1"/>
  <c r="AH398" i="1"/>
  <c r="BS398" i="1"/>
  <c r="BV398" i="1"/>
  <c r="BX398" i="1"/>
  <c r="BY398" i="1"/>
  <c r="BZ398" i="1"/>
  <c r="CA398" i="1"/>
  <c r="CH398" i="1"/>
  <c r="CL398" i="1"/>
  <c r="CM398" i="1"/>
  <c r="CN398" i="1"/>
  <c r="CO398" i="1"/>
  <c r="CP398" i="1"/>
  <c r="CZ398" i="1"/>
  <c r="DB398" i="1"/>
  <c r="DF398" i="1"/>
  <c r="AC1600" i="1"/>
  <c r="AH1600" i="1"/>
  <c r="BS1600" i="1"/>
  <c r="BV1600" i="1"/>
  <c r="BX1600" i="1"/>
  <c r="BY1600" i="1"/>
  <c r="BZ1600" i="1"/>
  <c r="CA1600" i="1"/>
  <c r="CH1600" i="1"/>
  <c r="CL1600" i="1"/>
  <c r="CM1600" i="1"/>
  <c r="CN1600" i="1"/>
  <c r="CP1600" i="1"/>
  <c r="CZ1600" i="1"/>
  <c r="DB1600" i="1"/>
  <c r="DF1600" i="1"/>
  <c r="AC2040" i="1"/>
  <c r="AH2040" i="1"/>
  <c r="BS2040" i="1"/>
  <c r="BV2040" i="1"/>
  <c r="BX2040" i="1"/>
  <c r="BY2040" i="1"/>
  <c r="BZ2040" i="1"/>
  <c r="CA2040" i="1"/>
  <c r="CH2040" i="1"/>
  <c r="CL2040" i="1"/>
  <c r="CM2040" i="1"/>
  <c r="CN2040" i="1"/>
  <c r="CO2040" i="1"/>
  <c r="CP2040" i="1"/>
  <c r="CZ2040" i="1"/>
  <c r="DB2040" i="1"/>
  <c r="DF2040" i="1"/>
  <c r="AC918" i="1"/>
  <c r="AH918" i="1"/>
  <c r="BS918" i="1"/>
  <c r="BV918" i="1"/>
  <c r="BX918" i="1"/>
  <c r="BY918" i="1"/>
  <c r="BZ918" i="1"/>
  <c r="CA918" i="1"/>
  <c r="CH918" i="1"/>
  <c r="CL918" i="1"/>
  <c r="CM918" i="1"/>
  <c r="CN918" i="1"/>
  <c r="CO918" i="1"/>
  <c r="CP918" i="1"/>
  <c r="CZ918" i="1"/>
  <c r="DB918" i="1"/>
  <c r="DF918" i="1"/>
  <c r="AC635" i="1"/>
  <c r="AH635" i="1"/>
  <c r="BS635" i="1"/>
  <c r="BV635" i="1"/>
  <c r="BX635" i="1"/>
  <c r="BY635" i="1"/>
  <c r="BZ635" i="1"/>
  <c r="CA635" i="1"/>
  <c r="CH635" i="1"/>
  <c r="CL635" i="1"/>
  <c r="CM635" i="1"/>
  <c r="CN635" i="1"/>
  <c r="CO635" i="1"/>
  <c r="CP635" i="1"/>
  <c r="CZ635" i="1"/>
  <c r="DB635" i="1"/>
  <c r="DF635" i="1"/>
  <c r="AC1760" i="1"/>
  <c r="AH1760" i="1"/>
  <c r="BS1760" i="1"/>
  <c r="BV1760" i="1"/>
  <c r="BX1760" i="1"/>
  <c r="BY1760" i="1"/>
  <c r="BZ1760" i="1"/>
  <c r="CA1760" i="1"/>
  <c r="CH1760" i="1"/>
  <c r="CL1760" i="1"/>
  <c r="CM1760" i="1"/>
  <c r="CN1760" i="1"/>
  <c r="CO1760" i="1"/>
  <c r="CP1760" i="1"/>
  <c r="CZ1760" i="1"/>
  <c r="DB1760" i="1"/>
  <c r="DF1760" i="1"/>
  <c r="AC652" i="1"/>
  <c r="AH652" i="1"/>
  <c r="BS652" i="1"/>
  <c r="BV652" i="1"/>
  <c r="BX652" i="1"/>
  <c r="BY652" i="1"/>
  <c r="BZ652" i="1"/>
  <c r="CA652" i="1"/>
  <c r="CH652" i="1"/>
  <c r="CL652" i="1"/>
  <c r="CM652" i="1"/>
  <c r="CN652" i="1"/>
  <c r="CO652" i="1"/>
  <c r="CP652" i="1"/>
  <c r="CZ652" i="1"/>
  <c r="DB652" i="1"/>
  <c r="DF652" i="1"/>
  <c r="AC216" i="1"/>
  <c r="AH216" i="1"/>
  <c r="BS216" i="1"/>
  <c r="BV216" i="1"/>
  <c r="BX216" i="1"/>
  <c r="BY216" i="1"/>
  <c r="BZ216" i="1"/>
  <c r="CA216" i="1"/>
  <c r="CH216" i="1"/>
  <c r="CL216" i="1"/>
  <c r="CM216" i="1"/>
  <c r="CN216" i="1"/>
  <c r="CO216" i="1"/>
  <c r="CP216" i="1"/>
  <c r="CZ216" i="1"/>
  <c r="DB216" i="1"/>
  <c r="DF216" i="1"/>
  <c r="AC661" i="1"/>
  <c r="AH661" i="1"/>
  <c r="BS661" i="1"/>
  <c r="BV661" i="1"/>
  <c r="BX661" i="1"/>
  <c r="BY661" i="1"/>
  <c r="BZ661" i="1"/>
  <c r="CA661" i="1"/>
  <c r="CH661" i="1"/>
  <c r="CL661" i="1"/>
  <c r="CM661" i="1"/>
  <c r="CN661" i="1"/>
  <c r="CO661" i="1"/>
  <c r="CP661" i="1"/>
  <c r="CZ661" i="1"/>
  <c r="DB661" i="1"/>
  <c r="DF661" i="1"/>
  <c r="AC205" i="1"/>
  <c r="AH205" i="1"/>
  <c r="BS205" i="1"/>
  <c r="BV205" i="1"/>
  <c r="BX205" i="1"/>
  <c r="BY205" i="1"/>
  <c r="BZ205" i="1"/>
  <c r="CH205" i="1"/>
  <c r="CL205" i="1"/>
  <c r="CM205" i="1"/>
  <c r="CN205" i="1"/>
  <c r="CO205" i="1"/>
  <c r="CP205" i="1"/>
  <c r="CZ205" i="1"/>
  <c r="DB205" i="1"/>
  <c r="DF205" i="1"/>
  <c r="AC368" i="1"/>
  <c r="AH368" i="1"/>
  <c r="BS368" i="1"/>
  <c r="BV368" i="1"/>
  <c r="BX368" i="1"/>
  <c r="BY368" i="1"/>
  <c r="BZ368" i="1"/>
  <c r="CA368" i="1"/>
  <c r="CH368" i="1"/>
  <c r="CL368" i="1"/>
  <c r="CM368" i="1"/>
  <c r="CN368" i="1"/>
  <c r="CO368" i="1"/>
  <c r="CP368" i="1"/>
  <c r="CZ368" i="1"/>
  <c r="DB368" i="1"/>
  <c r="DF368" i="1"/>
  <c r="AC1278" i="1"/>
  <c r="AH1278" i="1"/>
  <c r="BS1278" i="1"/>
  <c r="BV1278" i="1"/>
  <c r="BX1278" i="1"/>
  <c r="BY1278" i="1"/>
  <c r="BZ1278" i="1"/>
  <c r="CH1278" i="1"/>
  <c r="CL1278" i="1"/>
  <c r="CM1278" i="1"/>
  <c r="CN1278" i="1"/>
  <c r="CO1278" i="1"/>
  <c r="CP1278" i="1"/>
  <c r="CZ1278" i="1"/>
  <c r="DB1278" i="1"/>
  <c r="DF1278" i="1"/>
  <c r="AC952" i="1"/>
  <c r="AH952" i="1"/>
  <c r="BS952" i="1"/>
  <c r="BV952" i="1"/>
  <c r="BX952" i="1"/>
  <c r="BY952" i="1"/>
  <c r="BZ952" i="1"/>
  <c r="CA952" i="1"/>
  <c r="CH952" i="1"/>
  <c r="CL952" i="1"/>
  <c r="CM952" i="1"/>
  <c r="CN952" i="1"/>
  <c r="CO952" i="1"/>
  <c r="CP952" i="1"/>
  <c r="CZ952" i="1"/>
  <c r="DB952" i="1"/>
  <c r="DF952" i="1"/>
  <c r="AC424" i="1"/>
  <c r="AH424" i="1"/>
  <c r="BS424" i="1"/>
  <c r="BV424" i="1"/>
  <c r="BX424" i="1"/>
  <c r="BY424" i="1"/>
  <c r="BZ424" i="1"/>
  <c r="CA424" i="1"/>
  <c r="CH424" i="1"/>
  <c r="CL424" i="1"/>
  <c r="CM424" i="1"/>
  <c r="CN424" i="1"/>
  <c r="CO424" i="1"/>
  <c r="CP424" i="1"/>
  <c r="CZ424" i="1"/>
  <c r="DB424" i="1"/>
  <c r="DF424" i="1"/>
  <c r="AC951" i="1"/>
  <c r="AH951" i="1"/>
  <c r="BS951" i="1"/>
  <c r="BV951" i="1"/>
  <c r="BX951" i="1"/>
  <c r="BY951" i="1"/>
  <c r="BZ951" i="1"/>
  <c r="CA951" i="1"/>
  <c r="CH951" i="1"/>
  <c r="CL951" i="1"/>
  <c r="CM951" i="1"/>
  <c r="CN951" i="1"/>
  <c r="CO951" i="1"/>
  <c r="CP951" i="1"/>
  <c r="CZ951" i="1"/>
  <c r="DB951" i="1"/>
  <c r="DF951" i="1"/>
  <c r="AC1569" i="1"/>
  <c r="AH1569" i="1"/>
  <c r="BS1569" i="1"/>
  <c r="BV1569" i="1"/>
  <c r="BX1569" i="1"/>
  <c r="BY1569" i="1"/>
  <c r="BZ1569" i="1"/>
  <c r="CH1569" i="1"/>
  <c r="CL1569" i="1"/>
  <c r="CM1569" i="1"/>
  <c r="CN1569" i="1"/>
  <c r="CO1569" i="1"/>
  <c r="CP1569" i="1"/>
  <c r="CZ1569" i="1"/>
  <c r="DB1569" i="1"/>
  <c r="DF1569" i="1"/>
  <c r="AC220" i="1"/>
  <c r="AH220" i="1"/>
  <c r="BS220" i="1"/>
  <c r="BV220" i="1"/>
  <c r="BX220" i="1"/>
  <c r="BY220" i="1"/>
  <c r="BZ220" i="1"/>
  <c r="CA220" i="1"/>
  <c r="CH220" i="1"/>
  <c r="CL220" i="1"/>
  <c r="CM220" i="1"/>
  <c r="CN220" i="1"/>
  <c r="CO220" i="1"/>
  <c r="CP220" i="1"/>
  <c r="CZ220" i="1"/>
  <c r="DB220" i="1"/>
  <c r="DF220" i="1"/>
  <c r="AC123" i="1"/>
  <c r="AH123" i="1"/>
  <c r="BS123" i="1"/>
  <c r="BV123" i="1"/>
  <c r="BX123" i="1"/>
  <c r="BY123" i="1"/>
  <c r="BZ123" i="1"/>
  <c r="CH123" i="1"/>
  <c r="CL123" i="1"/>
  <c r="CM123" i="1"/>
  <c r="CN123" i="1"/>
  <c r="CO123" i="1"/>
  <c r="CP123" i="1"/>
  <c r="CZ123" i="1"/>
  <c r="DB123" i="1"/>
  <c r="DF123" i="1"/>
  <c r="AC497" i="1"/>
  <c r="AH497" i="1"/>
  <c r="BS497" i="1"/>
  <c r="BV497" i="1"/>
  <c r="BX497" i="1"/>
  <c r="BY497" i="1"/>
  <c r="BZ497" i="1"/>
  <c r="CA497" i="1"/>
  <c r="CH497" i="1"/>
  <c r="CL497" i="1"/>
  <c r="CM497" i="1"/>
  <c r="CN497" i="1"/>
  <c r="CO497" i="1"/>
  <c r="CP497" i="1"/>
  <c r="CZ497" i="1"/>
  <c r="DB497" i="1"/>
  <c r="DF497" i="1"/>
  <c r="AC958" i="1"/>
  <c r="AH958" i="1"/>
  <c r="BS958" i="1"/>
  <c r="BV958" i="1"/>
  <c r="BX958" i="1"/>
  <c r="BY958" i="1"/>
  <c r="BZ958" i="1"/>
  <c r="CA958" i="1"/>
  <c r="CH958" i="1"/>
  <c r="CL958" i="1"/>
  <c r="CM958" i="1"/>
  <c r="CN958" i="1"/>
  <c r="CO958" i="1"/>
  <c r="CP958" i="1"/>
  <c r="CZ958" i="1"/>
  <c r="DB958" i="1"/>
  <c r="DF958" i="1"/>
  <c r="AC961" i="1"/>
  <c r="AH961" i="1"/>
  <c r="BS961" i="1"/>
  <c r="BV961" i="1"/>
  <c r="BX961" i="1"/>
  <c r="BY961" i="1"/>
  <c r="BZ961" i="1"/>
  <c r="CA961" i="1"/>
  <c r="CH961" i="1"/>
  <c r="CL961" i="1"/>
  <c r="CM961" i="1"/>
  <c r="CN961" i="1"/>
  <c r="CO961" i="1"/>
  <c r="CP961" i="1"/>
  <c r="CZ961" i="1"/>
  <c r="DB961" i="1"/>
  <c r="DF961" i="1"/>
  <c r="AC1536" i="1"/>
  <c r="AH1536" i="1"/>
  <c r="BS1536" i="1"/>
  <c r="BV1536" i="1"/>
  <c r="BX1536" i="1"/>
  <c r="BY1536" i="1"/>
  <c r="BZ1536" i="1"/>
  <c r="CA1536" i="1"/>
  <c r="CH1536" i="1"/>
  <c r="CL1536" i="1"/>
  <c r="CM1536" i="1"/>
  <c r="CN1536" i="1"/>
  <c r="CO1536" i="1"/>
  <c r="CP1536" i="1"/>
  <c r="CZ1536" i="1"/>
  <c r="DB1536" i="1"/>
  <c r="DF1536" i="1"/>
  <c r="AC1789" i="1"/>
  <c r="AH1789" i="1"/>
  <c r="BS1789" i="1"/>
  <c r="BV1789" i="1"/>
  <c r="BX1789" i="1"/>
  <c r="BY1789" i="1"/>
  <c r="BZ1789" i="1"/>
  <c r="CA1789" i="1"/>
  <c r="CH1789" i="1"/>
  <c r="CL1789" i="1"/>
  <c r="CM1789" i="1"/>
  <c r="CN1789" i="1"/>
  <c r="CO1789" i="1"/>
  <c r="CP1789" i="1"/>
  <c r="CZ1789" i="1"/>
  <c r="DB1789" i="1"/>
  <c r="DF1789" i="1"/>
  <c r="AC2314" i="1"/>
  <c r="AH2314" i="1"/>
  <c r="BS2314" i="1"/>
  <c r="BV2314" i="1"/>
  <c r="BX2314" i="1"/>
  <c r="BY2314" i="1"/>
  <c r="BZ2314" i="1"/>
  <c r="CA2314" i="1"/>
  <c r="CH2314" i="1"/>
  <c r="CL2314" i="1"/>
  <c r="CM2314" i="1"/>
  <c r="CN2314" i="1"/>
  <c r="CO2314" i="1"/>
  <c r="CP2314" i="1"/>
  <c r="CZ2314" i="1"/>
  <c r="DB2314" i="1"/>
  <c r="DF2314" i="1"/>
  <c r="AC848" i="1"/>
  <c r="AH848" i="1"/>
  <c r="BS848" i="1"/>
  <c r="BV848" i="1"/>
  <c r="BX848" i="1"/>
  <c r="BY848" i="1"/>
  <c r="BZ848" i="1"/>
  <c r="CA848" i="1"/>
  <c r="CH848" i="1"/>
  <c r="CL848" i="1"/>
  <c r="CM848" i="1"/>
  <c r="CN848" i="1"/>
  <c r="CO848" i="1"/>
  <c r="CP848" i="1"/>
  <c r="CZ848" i="1"/>
  <c r="DB848" i="1"/>
  <c r="DF848" i="1"/>
  <c r="AC2222" i="1"/>
  <c r="AH2222" i="1"/>
  <c r="BS2222" i="1"/>
  <c r="BV2222" i="1"/>
  <c r="BX2222" i="1"/>
  <c r="BY2222" i="1"/>
  <c r="BZ2222" i="1"/>
  <c r="CA2222" i="1"/>
  <c r="CH2222" i="1"/>
  <c r="CL2222" i="1"/>
  <c r="CM2222" i="1"/>
  <c r="CN2222" i="1"/>
  <c r="CO2222" i="1"/>
  <c r="CP2222" i="1"/>
  <c r="CZ2222" i="1"/>
  <c r="DB2222" i="1"/>
  <c r="DF2222" i="1"/>
  <c r="AC1610" i="1"/>
  <c r="AH1610" i="1"/>
  <c r="BS1610" i="1"/>
  <c r="BV1610" i="1"/>
  <c r="BX1610" i="1"/>
  <c r="BY1610" i="1"/>
  <c r="BZ1610" i="1"/>
  <c r="CA1610" i="1"/>
  <c r="CH1610" i="1"/>
  <c r="CL1610" i="1"/>
  <c r="CM1610" i="1"/>
  <c r="CN1610" i="1"/>
  <c r="CO1610" i="1"/>
  <c r="CP1610" i="1"/>
  <c r="CZ1610" i="1"/>
  <c r="DB1610" i="1"/>
  <c r="DF1610" i="1"/>
  <c r="AC1846" i="1"/>
  <c r="AH1846" i="1"/>
  <c r="BS1846" i="1"/>
  <c r="BV1846" i="1"/>
  <c r="BX1846" i="1"/>
  <c r="BY1846" i="1"/>
  <c r="BZ1846" i="1"/>
  <c r="CA1846" i="1"/>
  <c r="CH1846" i="1"/>
  <c r="CL1846" i="1"/>
  <c r="CM1846" i="1"/>
  <c r="CN1846" i="1"/>
  <c r="CO1846" i="1"/>
  <c r="CP1846" i="1"/>
  <c r="CZ1846" i="1"/>
  <c r="DB1846" i="1"/>
  <c r="DF1846" i="1"/>
  <c r="AC1402" i="1"/>
  <c r="AH1402" i="1"/>
  <c r="BS1402" i="1"/>
  <c r="BV1402" i="1"/>
  <c r="BX1402" i="1"/>
  <c r="BY1402" i="1"/>
  <c r="BZ1402" i="1"/>
  <c r="CH1402" i="1"/>
  <c r="CL1402" i="1"/>
  <c r="CM1402" i="1"/>
  <c r="CN1402" i="1"/>
  <c r="CP1402" i="1"/>
  <c r="CZ1402" i="1"/>
  <c r="DB1402" i="1"/>
  <c r="DF1402" i="1"/>
  <c r="AC408" i="1"/>
  <c r="AH408" i="1"/>
  <c r="BS408" i="1"/>
  <c r="BV408" i="1"/>
  <c r="BX408" i="1"/>
  <c r="BY408" i="1"/>
  <c r="BZ408" i="1"/>
  <c r="CH408" i="1"/>
  <c r="CL408" i="1"/>
  <c r="CM408" i="1"/>
  <c r="CN408" i="1"/>
  <c r="CO408" i="1"/>
  <c r="CP408" i="1"/>
  <c r="CZ408" i="1"/>
  <c r="DB408" i="1"/>
  <c r="DF408" i="1"/>
  <c r="AC1200" i="1"/>
  <c r="AH1200" i="1"/>
  <c r="BS1200" i="1"/>
  <c r="BV1200" i="1"/>
  <c r="BX1200" i="1"/>
  <c r="BY1200" i="1"/>
  <c r="BZ1200" i="1"/>
  <c r="CH1200" i="1"/>
  <c r="CL1200" i="1"/>
  <c r="CM1200" i="1"/>
  <c r="CN1200" i="1"/>
  <c r="CO1200" i="1"/>
  <c r="CP1200" i="1"/>
  <c r="CZ1200" i="1"/>
  <c r="DB1200" i="1"/>
  <c r="DF1200" i="1"/>
  <c r="AC1212" i="1"/>
  <c r="AH1212" i="1"/>
  <c r="BS1212" i="1"/>
  <c r="BV1212" i="1"/>
  <c r="BX1212" i="1"/>
  <c r="BY1212" i="1"/>
  <c r="BZ1212" i="1"/>
  <c r="CA1212" i="1"/>
  <c r="CH1212" i="1"/>
  <c r="CL1212" i="1"/>
  <c r="CM1212" i="1"/>
  <c r="CN1212" i="1"/>
  <c r="CO1212" i="1"/>
  <c r="CP1212" i="1"/>
  <c r="CZ1212" i="1"/>
  <c r="DB1212" i="1"/>
  <c r="DF1212" i="1"/>
  <c r="AC1827" i="1"/>
  <c r="AH1827" i="1"/>
  <c r="BS1827" i="1"/>
  <c r="BV1827" i="1"/>
  <c r="BX1827" i="1"/>
  <c r="BY1827" i="1"/>
  <c r="BZ1827" i="1"/>
  <c r="CH1827" i="1"/>
  <c r="CL1827" i="1"/>
  <c r="CM1827" i="1"/>
  <c r="CN1827" i="1"/>
  <c r="CP1827" i="1"/>
  <c r="CZ1827" i="1"/>
  <c r="DB1827" i="1"/>
  <c r="DF1827" i="1"/>
  <c r="AC1957" i="1"/>
  <c r="AH1957" i="1"/>
  <c r="BS1957" i="1"/>
  <c r="BV1957" i="1"/>
  <c r="BX1957" i="1"/>
  <c r="BY1957" i="1"/>
  <c r="BZ1957" i="1"/>
  <c r="CH1957" i="1"/>
  <c r="CL1957" i="1"/>
  <c r="CM1957" i="1"/>
  <c r="CN1957" i="1"/>
  <c r="CO1957" i="1"/>
  <c r="CP1957" i="1"/>
  <c r="CZ1957" i="1"/>
  <c r="DB1957" i="1"/>
  <c r="DF1957" i="1"/>
  <c r="AC752" i="1"/>
  <c r="AH752" i="1"/>
  <c r="BS752" i="1"/>
  <c r="BV752" i="1"/>
  <c r="BX752" i="1"/>
  <c r="BY752" i="1"/>
  <c r="BZ752" i="1"/>
  <c r="CA752" i="1"/>
  <c r="CH752" i="1"/>
  <c r="CL752" i="1"/>
  <c r="CM752" i="1"/>
  <c r="CN752" i="1"/>
  <c r="CO752" i="1"/>
  <c r="CP752" i="1"/>
  <c r="CZ752" i="1"/>
  <c r="DB752" i="1"/>
  <c r="DF752" i="1"/>
  <c r="AC378" i="1"/>
  <c r="AH378" i="1"/>
  <c r="BS378" i="1"/>
  <c r="BV378" i="1"/>
  <c r="BX378" i="1"/>
  <c r="BY378" i="1"/>
  <c r="BZ378" i="1"/>
  <c r="CH378" i="1"/>
  <c r="CL378" i="1"/>
  <c r="CM378" i="1"/>
  <c r="CN378" i="1"/>
  <c r="CO378" i="1"/>
  <c r="CP378" i="1"/>
  <c r="CZ378" i="1"/>
  <c r="DB378" i="1"/>
  <c r="DF378" i="1"/>
  <c r="AC2041" i="1"/>
  <c r="AH2041" i="1"/>
  <c r="BS2041" i="1"/>
  <c r="BV2041" i="1"/>
  <c r="BX2041" i="1"/>
  <c r="BY2041" i="1"/>
  <c r="BZ2041" i="1"/>
  <c r="CA2041" i="1"/>
  <c r="CH2041" i="1"/>
  <c r="CL2041" i="1"/>
  <c r="CM2041" i="1"/>
  <c r="CN2041" i="1"/>
  <c r="CO2041" i="1"/>
  <c r="CP2041" i="1"/>
  <c r="CZ2041" i="1"/>
  <c r="DB2041" i="1"/>
  <c r="DF2041" i="1"/>
  <c r="AC2220" i="1"/>
  <c r="AH2220" i="1"/>
  <c r="BS2220" i="1"/>
  <c r="BV2220" i="1"/>
  <c r="BX2220" i="1"/>
  <c r="BY2220" i="1"/>
  <c r="BZ2220" i="1"/>
  <c r="CH2220" i="1"/>
  <c r="CL2220" i="1"/>
  <c r="CM2220" i="1"/>
  <c r="CN2220" i="1"/>
  <c r="CP2220" i="1"/>
  <c r="CZ2220" i="1"/>
  <c r="DB2220" i="1"/>
  <c r="DF2220" i="1"/>
  <c r="AC871" i="1"/>
  <c r="AH871" i="1"/>
  <c r="BS871" i="1"/>
  <c r="BV871" i="1"/>
  <c r="BX871" i="1"/>
  <c r="BY871" i="1"/>
  <c r="BZ871" i="1"/>
  <c r="CA871" i="1"/>
  <c r="CH871" i="1"/>
  <c r="CL871" i="1"/>
  <c r="CM871" i="1"/>
  <c r="CN871" i="1"/>
  <c r="CO871" i="1"/>
  <c r="CP871" i="1"/>
  <c r="CZ871" i="1"/>
  <c r="DB871" i="1"/>
  <c r="DF871" i="1"/>
  <c r="AC2000" i="1"/>
  <c r="AH2000" i="1"/>
  <c r="BS2000" i="1"/>
  <c r="BV2000" i="1"/>
  <c r="BX2000" i="1"/>
  <c r="BY2000" i="1"/>
  <c r="BZ2000" i="1"/>
  <c r="CH2000" i="1"/>
  <c r="CL2000" i="1"/>
  <c r="CM2000" i="1"/>
  <c r="CN2000" i="1"/>
  <c r="CO2000" i="1"/>
  <c r="CP2000" i="1"/>
  <c r="CZ2000" i="1"/>
  <c r="DB2000" i="1"/>
  <c r="DF2000" i="1"/>
  <c r="AC443" i="1"/>
  <c r="AH443" i="1"/>
  <c r="BS443" i="1"/>
  <c r="BV443" i="1"/>
  <c r="BX443" i="1"/>
  <c r="BY443" i="1"/>
  <c r="BZ443" i="1"/>
  <c r="CH443" i="1"/>
  <c r="CL443" i="1"/>
  <c r="CM443" i="1"/>
  <c r="CN443" i="1"/>
  <c r="CO443" i="1"/>
  <c r="CP443" i="1"/>
  <c r="CZ443" i="1"/>
  <c r="DB443" i="1"/>
  <c r="DF443" i="1"/>
  <c r="AC1312" i="1"/>
  <c r="AH1312" i="1"/>
  <c r="BS1312" i="1"/>
  <c r="BV1312" i="1"/>
  <c r="BX1312" i="1"/>
  <c r="BY1312" i="1"/>
  <c r="BZ1312" i="1"/>
  <c r="CA1312" i="1"/>
  <c r="CH1312" i="1"/>
  <c r="CL1312" i="1"/>
  <c r="CM1312" i="1"/>
  <c r="CN1312" i="1"/>
  <c r="CO1312" i="1"/>
  <c r="CP1312" i="1"/>
  <c r="CZ1312" i="1"/>
  <c r="DB1312" i="1"/>
  <c r="DF1312" i="1"/>
  <c r="AC505" i="1"/>
  <c r="AH505" i="1"/>
  <c r="BS505" i="1"/>
  <c r="BV505" i="1"/>
  <c r="BX505" i="1"/>
  <c r="BY505" i="1"/>
  <c r="BZ505" i="1"/>
  <c r="CH505" i="1"/>
  <c r="CL505" i="1"/>
  <c r="CM505" i="1"/>
  <c r="CN505" i="1"/>
  <c r="CO505" i="1"/>
  <c r="CP505" i="1"/>
  <c r="CZ505" i="1"/>
  <c r="DB505" i="1"/>
  <c r="DF505" i="1"/>
  <c r="AC972" i="1"/>
  <c r="AH972" i="1"/>
  <c r="BS972" i="1"/>
  <c r="BV972" i="1"/>
  <c r="BX972" i="1"/>
  <c r="BY972" i="1"/>
  <c r="BZ972" i="1"/>
  <c r="CH972" i="1"/>
  <c r="CL972" i="1"/>
  <c r="CM972" i="1"/>
  <c r="CN972" i="1"/>
  <c r="CO972" i="1"/>
  <c r="CP972" i="1"/>
  <c r="CZ972" i="1"/>
  <c r="DB972" i="1"/>
  <c r="DF972" i="1"/>
  <c r="AC1854" i="1"/>
  <c r="AH1854" i="1"/>
  <c r="BS1854" i="1"/>
  <c r="BV1854" i="1"/>
  <c r="BX1854" i="1"/>
  <c r="BY1854" i="1"/>
  <c r="BZ1854" i="1"/>
  <c r="CH1854" i="1"/>
  <c r="CL1854" i="1"/>
  <c r="CM1854" i="1"/>
  <c r="CN1854" i="1"/>
  <c r="CP1854" i="1"/>
  <c r="CZ1854" i="1"/>
  <c r="DB1854" i="1"/>
  <c r="DF1854" i="1"/>
  <c r="AC2104" i="1"/>
  <c r="AH2104" i="1"/>
  <c r="BS2104" i="1"/>
  <c r="BV2104" i="1"/>
  <c r="BX2104" i="1"/>
  <c r="BY2104" i="1"/>
  <c r="BZ2104" i="1"/>
  <c r="CH2104" i="1"/>
  <c r="CL2104" i="1"/>
  <c r="CM2104" i="1"/>
  <c r="CN2104" i="1"/>
  <c r="CP2104" i="1"/>
  <c r="CZ2104" i="1"/>
  <c r="DB2104" i="1"/>
  <c r="DF2104" i="1"/>
  <c r="AC687" i="1"/>
  <c r="AH687" i="1"/>
  <c r="BS687" i="1"/>
  <c r="BV687" i="1"/>
  <c r="BX687" i="1"/>
  <c r="BY687" i="1"/>
  <c r="BZ687" i="1"/>
  <c r="CA687" i="1"/>
  <c r="CH687" i="1"/>
  <c r="CL687" i="1"/>
  <c r="CM687" i="1"/>
  <c r="CN687" i="1"/>
  <c r="CO687" i="1"/>
  <c r="CP687" i="1"/>
  <c r="CZ687" i="1"/>
  <c r="DB687" i="1"/>
  <c r="DF687" i="1"/>
  <c r="AC229" i="1"/>
  <c r="AH229" i="1"/>
  <c r="BS229" i="1"/>
  <c r="BV229" i="1"/>
  <c r="BX229" i="1"/>
  <c r="BY229" i="1"/>
  <c r="BZ229" i="1"/>
  <c r="CH229" i="1"/>
  <c r="CL229" i="1"/>
  <c r="CM229" i="1"/>
  <c r="CN229" i="1"/>
  <c r="CO229" i="1"/>
  <c r="CP229" i="1"/>
  <c r="CZ229" i="1"/>
  <c r="DB229" i="1"/>
  <c r="DF229" i="1"/>
  <c r="AC1184" i="1"/>
  <c r="AH1184" i="1"/>
  <c r="BS1184" i="1"/>
  <c r="BV1184" i="1"/>
  <c r="BX1184" i="1"/>
  <c r="BY1184" i="1"/>
  <c r="BZ1184" i="1"/>
  <c r="CA1184" i="1"/>
  <c r="CH1184" i="1"/>
  <c r="CL1184" i="1"/>
  <c r="CM1184" i="1"/>
  <c r="CN1184" i="1"/>
  <c r="CO1184" i="1"/>
  <c r="CP1184" i="1"/>
  <c r="CZ1184" i="1"/>
  <c r="DB1184" i="1"/>
  <c r="DF1184" i="1"/>
  <c r="AC425" i="1"/>
  <c r="AH425" i="1"/>
  <c r="BS425" i="1"/>
  <c r="BV425" i="1"/>
  <c r="BX425" i="1"/>
  <c r="BY425" i="1"/>
  <c r="BZ425" i="1"/>
  <c r="CA425" i="1"/>
  <c r="CH425" i="1"/>
  <c r="CL425" i="1"/>
  <c r="CM425" i="1"/>
  <c r="CN425" i="1"/>
  <c r="CO425" i="1"/>
  <c r="CP425" i="1"/>
  <c r="CZ425" i="1"/>
  <c r="DB425" i="1"/>
  <c r="DF425" i="1"/>
  <c r="AC1414" i="1"/>
  <c r="AH1414" i="1"/>
  <c r="BS1414" i="1"/>
  <c r="BV1414" i="1"/>
  <c r="BX1414" i="1"/>
  <c r="BY1414" i="1"/>
  <c r="BZ1414" i="1"/>
  <c r="CH1414" i="1"/>
  <c r="CL1414" i="1"/>
  <c r="CM1414" i="1"/>
  <c r="CN1414" i="1"/>
  <c r="CO1414" i="1"/>
  <c r="CP1414" i="1"/>
  <c r="CZ1414" i="1"/>
  <c r="DB1414" i="1"/>
  <c r="DF1414" i="1"/>
  <c r="AC243" i="1"/>
  <c r="AH243" i="1"/>
  <c r="BS243" i="1"/>
  <c r="BV243" i="1"/>
  <c r="BX243" i="1"/>
  <c r="BY243" i="1"/>
  <c r="BZ243" i="1"/>
  <c r="CA243" i="1"/>
  <c r="CH243" i="1"/>
  <c r="CL243" i="1"/>
  <c r="CM243" i="1"/>
  <c r="CN243" i="1"/>
  <c r="CO243" i="1"/>
  <c r="CP243" i="1"/>
  <c r="CZ243" i="1"/>
  <c r="DB243" i="1"/>
  <c r="DF243" i="1"/>
  <c r="AC1920" i="1"/>
  <c r="AH1920" i="1"/>
  <c r="BS1920" i="1"/>
  <c r="BV1920" i="1"/>
  <c r="BX1920" i="1"/>
  <c r="BY1920" i="1"/>
  <c r="BZ1920" i="1"/>
  <c r="CH1920" i="1"/>
  <c r="CL1920" i="1"/>
  <c r="CM1920" i="1"/>
  <c r="CN1920" i="1"/>
  <c r="CO1920" i="1"/>
  <c r="CP1920" i="1"/>
  <c r="CZ1920" i="1"/>
  <c r="DB1920" i="1"/>
  <c r="DF1920" i="1"/>
  <c r="AC1592" i="1"/>
  <c r="AH1592" i="1"/>
  <c r="BS1592" i="1"/>
  <c r="BV1592" i="1"/>
  <c r="BX1592" i="1"/>
  <c r="BY1592" i="1"/>
  <c r="BZ1592" i="1"/>
  <c r="CH1592" i="1"/>
  <c r="CL1592" i="1"/>
  <c r="CM1592" i="1"/>
  <c r="CN1592" i="1"/>
  <c r="CP1592" i="1"/>
  <c r="CZ1592" i="1"/>
  <c r="DB1592" i="1"/>
  <c r="DF1592" i="1"/>
  <c r="AC488" i="1"/>
  <c r="AH488" i="1"/>
  <c r="BS488" i="1"/>
  <c r="BV488" i="1"/>
  <c r="BX488" i="1"/>
  <c r="BY488" i="1"/>
  <c r="BZ488" i="1"/>
  <c r="CH488" i="1"/>
  <c r="CL488" i="1"/>
  <c r="CM488" i="1"/>
  <c r="CN488" i="1"/>
  <c r="CO488" i="1"/>
  <c r="CP488" i="1"/>
  <c r="CZ488" i="1"/>
  <c r="DB488" i="1"/>
  <c r="DF488" i="1"/>
  <c r="AC501" i="1"/>
  <c r="AH501" i="1"/>
  <c r="BS501" i="1"/>
  <c r="BV501" i="1"/>
  <c r="BX501" i="1"/>
  <c r="BY501" i="1"/>
  <c r="BZ501" i="1"/>
  <c r="CH501" i="1"/>
  <c r="CL501" i="1"/>
  <c r="CM501" i="1"/>
  <c r="CN501" i="1"/>
  <c r="CO501" i="1"/>
  <c r="CP501" i="1"/>
  <c r="CZ501" i="1"/>
  <c r="DB501" i="1"/>
  <c r="DF501" i="1"/>
  <c r="AC1437" i="1"/>
  <c r="AH1437" i="1"/>
  <c r="BS1437" i="1"/>
  <c r="BV1437" i="1"/>
  <c r="BX1437" i="1"/>
  <c r="BY1437" i="1"/>
  <c r="BZ1437" i="1"/>
  <c r="CH1437" i="1"/>
  <c r="CL1437" i="1"/>
  <c r="CM1437" i="1"/>
  <c r="CN1437" i="1"/>
  <c r="CP1437" i="1"/>
  <c r="CZ1437" i="1"/>
  <c r="DB1437" i="1"/>
  <c r="DF1437" i="1"/>
  <c r="AC77" i="1"/>
  <c r="AH77" i="1"/>
  <c r="BS77" i="1"/>
  <c r="BV77" i="1"/>
  <c r="BX77" i="1"/>
  <c r="BY77" i="1"/>
  <c r="BZ77" i="1"/>
  <c r="CA77" i="1"/>
  <c r="CH77" i="1"/>
  <c r="CL77" i="1"/>
  <c r="CM77" i="1"/>
  <c r="CN77" i="1"/>
  <c r="CO77" i="1"/>
  <c r="CP77" i="1"/>
  <c r="CZ77" i="1"/>
  <c r="DB77" i="1"/>
  <c r="DF77" i="1"/>
  <c r="AC2058" i="1"/>
  <c r="AH2058" i="1"/>
  <c r="BS2058" i="1"/>
  <c r="BV2058" i="1"/>
  <c r="BX2058" i="1"/>
  <c r="BY2058" i="1"/>
  <c r="BZ2058" i="1"/>
  <c r="CH2058" i="1"/>
  <c r="CL2058" i="1"/>
  <c r="CM2058" i="1"/>
  <c r="CN2058" i="1"/>
  <c r="CO2058" i="1"/>
  <c r="CP2058" i="1"/>
  <c r="CZ2058" i="1"/>
  <c r="DB2058" i="1"/>
  <c r="DF2058" i="1"/>
  <c r="AC1336" i="1"/>
  <c r="AH1336" i="1"/>
  <c r="BS1336" i="1"/>
  <c r="BV1336" i="1"/>
  <c r="BX1336" i="1"/>
  <c r="BY1336" i="1"/>
  <c r="BZ1336" i="1"/>
  <c r="CA1336" i="1"/>
  <c r="CH1336" i="1"/>
  <c r="CL1336" i="1"/>
  <c r="CM1336" i="1"/>
  <c r="CN1336" i="1"/>
  <c r="CO1336" i="1"/>
  <c r="CP1336" i="1"/>
  <c r="CZ1336" i="1"/>
  <c r="DB1336" i="1"/>
  <c r="DF1336" i="1"/>
  <c r="AC2147" i="1"/>
  <c r="AH2147" i="1"/>
  <c r="BS2147" i="1"/>
  <c r="BV2147" i="1"/>
  <c r="BX2147" i="1"/>
  <c r="BY2147" i="1"/>
  <c r="BZ2147" i="1"/>
  <c r="CH2147" i="1"/>
  <c r="CL2147" i="1"/>
  <c r="CM2147" i="1"/>
  <c r="CN2147" i="1"/>
  <c r="CO2147" i="1"/>
  <c r="CP2147" i="1"/>
  <c r="CZ2147" i="1"/>
  <c r="DB2147" i="1"/>
  <c r="DF2147" i="1"/>
  <c r="AC45" i="1"/>
  <c r="AH45" i="1"/>
  <c r="BS45" i="1"/>
  <c r="BV45" i="1"/>
  <c r="BX45" i="1"/>
  <c r="BY45" i="1"/>
  <c r="BZ45" i="1"/>
  <c r="CA45" i="1"/>
  <c r="CH45" i="1"/>
  <c r="CL45" i="1"/>
  <c r="CM45" i="1"/>
  <c r="CN45" i="1"/>
  <c r="CO45" i="1"/>
  <c r="CP45" i="1"/>
  <c r="CZ45" i="1"/>
  <c r="DB45" i="1"/>
  <c r="DF45" i="1"/>
  <c r="AC1360" i="1"/>
  <c r="AH1360" i="1"/>
  <c r="BS1360" i="1"/>
  <c r="BV1360" i="1"/>
  <c r="BX1360" i="1"/>
  <c r="BY1360" i="1"/>
  <c r="BZ1360" i="1"/>
  <c r="CA1360" i="1"/>
  <c r="CH1360" i="1"/>
  <c r="CL1360" i="1"/>
  <c r="CM1360" i="1"/>
  <c r="CN1360" i="1"/>
  <c r="CO1360" i="1"/>
  <c r="CP1360" i="1"/>
  <c r="CZ1360" i="1"/>
  <c r="DB1360" i="1"/>
  <c r="DF1360" i="1"/>
  <c r="AC2001" i="1"/>
  <c r="AH2001" i="1"/>
  <c r="BS2001" i="1"/>
  <c r="BV2001" i="1"/>
  <c r="BX2001" i="1"/>
  <c r="BY2001" i="1"/>
  <c r="BZ2001" i="1"/>
  <c r="CH2001" i="1"/>
  <c r="CL2001" i="1"/>
  <c r="CM2001" i="1"/>
  <c r="CN2001" i="1"/>
  <c r="CO2001" i="1"/>
  <c r="CP2001" i="1"/>
  <c r="CZ2001" i="1"/>
  <c r="DB2001" i="1"/>
  <c r="DF2001" i="1"/>
  <c r="AC780" i="1"/>
  <c r="AH780" i="1"/>
  <c r="BS780" i="1"/>
  <c r="BV780" i="1"/>
  <c r="BX780" i="1"/>
  <c r="BY780" i="1"/>
  <c r="BZ780" i="1"/>
  <c r="CA780" i="1"/>
  <c r="CH780" i="1"/>
  <c r="CL780" i="1"/>
  <c r="CM780" i="1"/>
  <c r="CN780" i="1"/>
  <c r="CO780" i="1"/>
  <c r="CP780" i="1"/>
  <c r="CZ780" i="1"/>
  <c r="DB780" i="1"/>
  <c r="DF780" i="1"/>
  <c r="AC477" i="1"/>
  <c r="AH477" i="1"/>
  <c r="BS477" i="1"/>
  <c r="BV477" i="1"/>
  <c r="BX477" i="1"/>
  <c r="BY477" i="1"/>
  <c r="BZ477" i="1"/>
  <c r="CA477" i="1"/>
  <c r="CH477" i="1"/>
  <c r="CL477" i="1"/>
  <c r="CM477" i="1"/>
  <c r="CN477" i="1"/>
  <c r="CO477" i="1"/>
  <c r="CP477" i="1"/>
  <c r="CZ477" i="1"/>
  <c r="DB477" i="1"/>
  <c r="DF477" i="1"/>
  <c r="AC305" i="1"/>
  <c r="AH305" i="1"/>
  <c r="BS305" i="1"/>
  <c r="BV305" i="1"/>
  <c r="BX305" i="1"/>
  <c r="BY305" i="1"/>
  <c r="BZ305" i="1"/>
  <c r="CH305" i="1"/>
  <c r="CL305" i="1"/>
  <c r="CM305" i="1"/>
  <c r="CN305" i="1"/>
  <c r="CO305" i="1"/>
  <c r="CP305" i="1"/>
  <c r="CZ305" i="1"/>
  <c r="DB305" i="1"/>
  <c r="DF305" i="1"/>
  <c r="AC1852" i="1"/>
  <c r="AH1852" i="1"/>
  <c r="BS1852" i="1"/>
  <c r="BV1852" i="1"/>
  <c r="BX1852" i="1"/>
  <c r="BY1852" i="1"/>
  <c r="BZ1852" i="1"/>
  <c r="CH1852" i="1"/>
  <c r="CL1852" i="1"/>
  <c r="CM1852" i="1"/>
  <c r="CN1852" i="1"/>
  <c r="CO1852" i="1"/>
  <c r="CP1852" i="1"/>
  <c r="CZ1852" i="1"/>
  <c r="DB1852" i="1"/>
  <c r="DF1852" i="1"/>
  <c r="AC1970" i="1"/>
  <c r="AH1970" i="1"/>
  <c r="BS1970" i="1"/>
  <c r="BV1970" i="1"/>
  <c r="BX1970" i="1"/>
  <c r="BY1970" i="1"/>
  <c r="BZ1970" i="1"/>
  <c r="CA1970" i="1"/>
  <c r="CH1970" i="1"/>
  <c r="CL1970" i="1"/>
  <c r="CM1970" i="1"/>
  <c r="CN1970" i="1"/>
  <c r="CO1970" i="1"/>
  <c r="CP1970" i="1"/>
  <c r="CZ1970" i="1"/>
  <c r="DB1970" i="1"/>
  <c r="DF1970" i="1"/>
  <c r="AC1841" i="1"/>
  <c r="AH1841" i="1"/>
  <c r="BS1841" i="1"/>
  <c r="BV1841" i="1"/>
  <c r="BX1841" i="1"/>
  <c r="BY1841" i="1"/>
  <c r="BZ1841" i="1"/>
  <c r="CH1841" i="1"/>
  <c r="CL1841" i="1"/>
  <c r="CM1841" i="1"/>
  <c r="CN1841" i="1"/>
  <c r="CO1841" i="1"/>
  <c r="CP1841" i="1"/>
  <c r="CZ1841" i="1"/>
  <c r="DB1841" i="1"/>
  <c r="DF1841" i="1"/>
  <c r="AC15" i="1"/>
  <c r="AH15" i="1"/>
  <c r="BS15" i="1"/>
  <c r="BV15" i="1"/>
  <c r="BX15" i="1"/>
  <c r="BY15" i="1"/>
  <c r="BZ15" i="1"/>
  <c r="CA15" i="1"/>
  <c r="CH15" i="1"/>
  <c r="CL15" i="1"/>
  <c r="CM15" i="1"/>
  <c r="CN15" i="1"/>
  <c r="CO15" i="1"/>
  <c r="CP15" i="1"/>
  <c r="CZ15" i="1"/>
  <c r="DB15" i="1"/>
  <c r="DF15" i="1"/>
  <c r="AC1869" i="1"/>
  <c r="AH1869" i="1"/>
  <c r="BS1869" i="1"/>
  <c r="BV1869" i="1"/>
  <c r="BX1869" i="1"/>
  <c r="BY1869" i="1"/>
  <c r="BZ1869" i="1"/>
  <c r="CA1869" i="1"/>
  <c r="CH1869" i="1"/>
  <c r="CL1869" i="1"/>
  <c r="CM1869" i="1"/>
  <c r="CN1869" i="1"/>
  <c r="CO1869" i="1"/>
  <c r="CP1869" i="1"/>
  <c r="CZ1869" i="1"/>
  <c r="DB1869" i="1"/>
  <c r="DF1869" i="1"/>
  <c r="AC346" i="1"/>
  <c r="AH346" i="1"/>
  <c r="BS346" i="1"/>
  <c r="BV346" i="1"/>
  <c r="BX346" i="1"/>
  <c r="BY346" i="1"/>
  <c r="BZ346" i="1"/>
  <c r="CA346" i="1"/>
  <c r="CH346" i="1"/>
  <c r="CL346" i="1"/>
  <c r="CM346" i="1"/>
  <c r="CN346" i="1"/>
  <c r="CO346" i="1"/>
  <c r="CP346" i="1"/>
  <c r="CZ346" i="1"/>
  <c r="DB346" i="1"/>
  <c r="DF346" i="1"/>
  <c r="AC1060" i="1"/>
  <c r="AH1060" i="1"/>
  <c r="BS1060" i="1"/>
  <c r="BV1060" i="1"/>
  <c r="BX1060" i="1"/>
  <c r="BY1060" i="1"/>
  <c r="BZ1060" i="1"/>
  <c r="CA1060" i="1"/>
  <c r="CH1060" i="1"/>
  <c r="CL1060" i="1"/>
  <c r="CM1060" i="1"/>
  <c r="CN1060" i="1"/>
  <c r="CO1060" i="1"/>
  <c r="CP1060" i="1"/>
  <c r="CZ1060" i="1"/>
  <c r="DB1060" i="1"/>
  <c r="DF1060" i="1"/>
  <c r="AC1968" i="1"/>
  <c r="AH1968" i="1"/>
  <c r="BS1968" i="1"/>
  <c r="BV1968" i="1"/>
  <c r="BX1968" i="1"/>
  <c r="BY1968" i="1"/>
  <c r="BZ1968" i="1"/>
  <c r="CA1968" i="1"/>
  <c r="CH1968" i="1"/>
  <c r="CL1968" i="1"/>
  <c r="CM1968" i="1"/>
  <c r="CN1968" i="1"/>
  <c r="CO1968" i="1"/>
  <c r="CP1968" i="1"/>
  <c r="CZ1968" i="1"/>
  <c r="DB1968" i="1"/>
  <c r="DF1968" i="1"/>
  <c r="AC125" i="1"/>
  <c r="AH125" i="1"/>
  <c r="BS125" i="1"/>
  <c r="BV125" i="1"/>
  <c r="BX125" i="1"/>
  <c r="BY125" i="1"/>
  <c r="BZ125" i="1"/>
  <c r="CA125" i="1"/>
  <c r="CH125" i="1"/>
  <c r="CL125" i="1"/>
  <c r="CM125" i="1"/>
  <c r="CN125" i="1"/>
  <c r="CO125" i="1"/>
  <c r="CP125" i="1"/>
  <c r="CZ125" i="1"/>
  <c r="DB125" i="1"/>
  <c r="DF125" i="1"/>
</calcChain>
</file>

<file path=xl/sharedStrings.xml><?xml version="1.0" encoding="utf-8"?>
<sst xmlns="http://schemas.openxmlformats.org/spreadsheetml/2006/main" count="136580" uniqueCount="20208">
  <si>
    <t>CASE_NUMBER</t>
  </si>
  <si>
    <t>CASE_STATUS</t>
  </si>
  <si>
    <t>RECEIVED_DATE</t>
  </si>
  <si>
    <t>DETERMINATION_DATE</t>
  </si>
  <si>
    <t>REDETERMINATION_DATE</t>
  </si>
  <si>
    <t>CENTER_DIRECTOR_REVIEW_DATE</t>
  </si>
  <si>
    <t>WITHDRAWAL_DATE</t>
  </si>
  <si>
    <t>VISA_CLASS</t>
  </si>
  <si>
    <t>EMPLOYER_POC_LAST_NAME</t>
  </si>
  <si>
    <t>EMPLOYER_POC_FIRST_NAME</t>
  </si>
  <si>
    <t>EMPLOYER_POC_MIDDLE_NAME</t>
  </si>
  <si>
    <t>EMPLOYER_POC_JOB_TITLE</t>
  </si>
  <si>
    <t>EMPLOYER_POC_ADDRESS1</t>
  </si>
  <si>
    <t>EMPLOYER_POC_ADDRESS2</t>
  </si>
  <si>
    <t>EMPLOYER_POC_CITY</t>
  </si>
  <si>
    <t>EMPLOYER_POC_STATE</t>
  </si>
  <si>
    <t>EMPLOYER_POC_POSTAL_CODE</t>
  </si>
  <si>
    <t>EMPLOYER_POC_COUNTRY</t>
  </si>
  <si>
    <t>EMPLOYER_POC_PROVINCE</t>
  </si>
  <si>
    <t>EMPLOYER_POC_PHONE</t>
  </si>
  <si>
    <t>EMPLOYER_POC_PHONE_EXT</t>
  </si>
  <si>
    <t>EMPLOYER_POC_EMAIL</t>
  </si>
  <si>
    <t>EMPLOYER_LEGAL_BUSINESS_NAME</t>
  </si>
  <si>
    <t>TRADE_NAME_DBA</t>
  </si>
  <si>
    <t>EMPLOYER_ADDRESS_1</t>
  </si>
  <si>
    <t>EMPLOYER_ADDRESS_2</t>
  </si>
  <si>
    <t>EMPLOYER_CITY</t>
  </si>
  <si>
    <t>EMPLOYER_STATE</t>
  </si>
  <si>
    <t>EMPLOYER_POSTAL_CODE</t>
  </si>
  <si>
    <t>EMPLOYER_COUNTRY</t>
  </si>
  <si>
    <t>EMPLOYER_PROVINCE</t>
  </si>
  <si>
    <t>EMPLOYER_PHONE</t>
  </si>
  <si>
    <t>EMPLOYER_EXTENSION</t>
  </si>
  <si>
    <t>NAICS_CODE</t>
  </si>
  <si>
    <t>TYPE_OF_REPRESENTATION</t>
  </si>
  <si>
    <t>AGENT_ATTORNEY_LAST_NAME</t>
  </si>
  <si>
    <t>AGENT_ATTORNEY_FIRST_NAME</t>
  </si>
  <si>
    <t>AGENT_ATTORNEY_MIDDLE_NAME</t>
  </si>
  <si>
    <t>AGENT_ATTORNEY_ADDRESS_1</t>
  </si>
  <si>
    <t>AGENT_ATTORNEY_ADDRESS_2</t>
  </si>
  <si>
    <t>AGENT_ATTORNEY_CITY</t>
  </si>
  <si>
    <t>AGENT_ATTORNEY_STATE</t>
  </si>
  <si>
    <t>AGENT_ATTORNEY_POSTAL_CODE</t>
  </si>
  <si>
    <t>AGENT_ATTORNEY_COUNTRY</t>
  </si>
  <si>
    <t>AGENT_ATTORNEY_PROVINCE</t>
  </si>
  <si>
    <t>AGENT_ATTORNEY_PHONE</t>
  </si>
  <si>
    <t>AGENT_ATTORNEY_PHONE_EXT</t>
  </si>
  <si>
    <t>AGENT_ATTORNEY_EMAIL_ADDRESS</t>
  </si>
  <si>
    <t>LAWFIRM_NAME_BUSINESS_NAME</t>
  </si>
  <si>
    <t>COVERED_BY_ACWIA</t>
  </si>
  <si>
    <t>ACWIA_INST_HIGHER_EDUCATION</t>
  </si>
  <si>
    <t>ACWIA_AFFILIATED_NON_PROFIT</t>
  </si>
  <si>
    <t>ACWIA_RESEARCH_ORG</t>
  </si>
  <si>
    <t>ACWIA_STATUS_CHANGED</t>
  </si>
  <si>
    <t>PROF_SPORTS_LEAGUE</t>
  </si>
  <si>
    <t>CBA</t>
  </si>
  <si>
    <t>SURVEY_NAME</t>
  </si>
  <si>
    <t>SURVEY_PUBLICATION_DATE</t>
  </si>
  <si>
    <t>JOB_TITLE</t>
  </si>
  <si>
    <t>SUPERVISE_OTHER_EMP</t>
  </si>
  <si>
    <t>EMP_SOC_CODES</t>
  </si>
  <si>
    <t>EMP_SOC_TITLES</t>
  </si>
  <si>
    <t>REQUIRED_EDUCATION_LEVEL</t>
  </si>
  <si>
    <t>REQUIRED_OTHER_DEGREE</t>
  </si>
  <si>
    <t>REQUIRED_EDUCATION_MAJOR</t>
  </si>
  <si>
    <t>SECOND_EDUCATION</t>
  </si>
  <si>
    <t>SECOND_EDUCATION_MAJOR</t>
  </si>
  <si>
    <t>REQUIRED_TRAINING</t>
  </si>
  <si>
    <t>REQUIRED_TRAINING_MONTHS</t>
  </si>
  <si>
    <t>REQUIRED_TRAINING_NAME</t>
  </si>
  <si>
    <t>REQUIRED_EXPERIENCE</t>
  </si>
  <si>
    <t>REQUIRED_EXPERIENCE_MONTHS</t>
  </si>
  <si>
    <t>REQUIRED_OCCUPATION</t>
  </si>
  <si>
    <t>SPECIAL_SKILLS_REQUIREMENTS</t>
  </si>
  <si>
    <t>SPEC_REQ_LICENSE_CERT</t>
  </si>
  <si>
    <t>SPEC_REQ_FOREIGN_LANG</t>
  </si>
  <si>
    <t>SPEC_REQ_RES_FELLOW</t>
  </si>
  <si>
    <t>SPEC_REQ_OTHER</t>
  </si>
  <si>
    <t>ALTERNATIVE_REQUIREMENTS</t>
  </si>
  <si>
    <t>ALT_EDUCATION_LEVEL</t>
  </si>
  <si>
    <t>ALT_OTHER_DEGREE</t>
  </si>
  <si>
    <t>ALT_EDUCATION_MAJOR</t>
  </si>
  <si>
    <t>ALT_TRAINING</t>
  </si>
  <si>
    <t>ALT_TRAINING_MONTHS</t>
  </si>
  <si>
    <t>ALT_TRAINING_NAME</t>
  </si>
  <si>
    <t>ALT_EXPERIENCE</t>
  </si>
  <si>
    <t>ALT_EXPERIENCE_MONTHS</t>
  </si>
  <si>
    <t>ALT_SPECIAL_SKILLS</t>
  </si>
  <si>
    <t>ALT_LICENSE_CERT</t>
  </si>
  <si>
    <t>ALT_FOREIGN_LANGUAGE</t>
  </si>
  <si>
    <t>ALT_RES_FELLOWSHIP</t>
  </si>
  <si>
    <t>ALT_OTHER_REQ</t>
  </si>
  <si>
    <t>SUGGESTED_SOC_CODE</t>
  </si>
  <si>
    <t>SUGGESTED_SOC_TITLE</t>
  </si>
  <si>
    <t>SUPERVISOR_JOB_TITLE</t>
  </si>
  <si>
    <t>TRAVEL_REQUIRED</t>
  </si>
  <si>
    <t>TRAVEL_DETAILS</t>
  </si>
  <si>
    <t>PRIMARY_WORKSITE_ADDRESS_1</t>
  </si>
  <si>
    <t>PRIMARY_WORKSITE_ADDRESS_2</t>
  </si>
  <si>
    <t>PRIMARY_WORKSITE_CITY</t>
  </si>
  <si>
    <t>PRIMARY_WORKSITE_STATE</t>
  </si>
  <si>
    <t>PRIMARY_WORKSITE_COUNTY</t>
  </si>
  <si>
    <t>PRIMARY_WORKSITE_POSTAL_CODE</t>
  </si>
  <si>
    <t>OTHER_WORKSITE_LOCATION</t>
  </si>
  <si>
    <t>PWD_SOC_CODE</t>
  </si>
  <si>
    <t>PWD_SOC_TITLE</t>
  </si>
  <si>
    <t>O_NET_CODE</t>
  </si>
  <si>
    <t>O_NET_TITLE</t>
  </si>
  <si>
    <t>O_NET_CODE_COMBO</t>
  </si>
  <si>
    <t>O_NET_TITLE_COMBO</t>
  </si>
  <si>
    <t>PWD_WAGE_RATE</t>
  </si>
  <si>
    <t>PWD_UNIT_OF_PAY</t>
  </si>
  <si>
    <t>PWD_OES_WAGE_LEVEL</t>
  </si>
  <si>
    <t>PWD_WAGE_SOURCE</t>
  </si>
  <si>
    <t>PWD_SURVEY_NAME</t>
  </si>
  <si>
    <t>ALT_PWD_WAGE_RATE</t>
  </si>
  <si>
    <t>ALT_PWD_UNIT_OF_PAY</t>
  </si>
  <si>
    <t>ALT_PWD_OES_WAGE_LEVEL</t>
  </si>
  <si>
    <t>ALT_PWD_WAGE_SOURCE</t>
  </si>
  <si>
    <t>ALT_PWD_SURVEY_NAME</t>
  </si>
  <si>
    <t>BLS_AREA</t>
  </si>
  <si>
    <t>H2B_HIGHEST_PWD</t>
  </si>
  <si>
    <t>WAGE_DET_NOTES</t>
  </si>
  <si>
    <t>PREVAIL_WAGE_DETERM_DATE</t>
  </si>
  <si>
    <t>PWD_WAGE_EXPIRATION_DATE</t>
  </si>
  <si>
    <t>PERM</t>
  </si>
  <si>
    <t>ATTORNEY</t>
  </si>
  <si>
    <t>NY</t>
  </si>
  <si>
    <t>UNITED STATES OF AMERICA</t>
  </si>
  <si>
    <t>NEW YORK</t>
  </si>
  <si>
    <t>Attorney</t>
  </si>
  <si>
    <t>N</t>
  </si>
  <si>
    <t>OES</t>
  </si>
  <si>
    <t>Bachelor's</t>
  </si>
  <si>
    <t>N/A</t>
  </si>
  <si>
    <t>Y</t>
  </si>
  <si>
    <t>Engineering Manager</t>
  </si>
  <si>
    <t>P-100-21145-343188</t>
  </si>
  <si>
    <t>Withdrawn</t>
  </si>
  <si>
    <t>Ariza</t>
  </si>
  <si>
    <t>Ivan</t>
  </si>
  <si>
    <t>In-House Corporate Attorney</t>
  </si>
  <si>
    <t>One Microsoft Way</t>
  </si>
  <si>
    <t>Redmond</t>
  </si>
  <si>
    <t>WA</t>
  </si>
  <si>
    <t>msperm@microsoft.com</t>
  </si>
  <si>
    <t>MICROSOFT CORPORATION</t>
  </si>
  <si>
    <t>ONE MICROSOFT WAY</t>
  </si>
  <si>
    <t>REDMOND</t>
  </si>
  <si>
    <t>WASHINGTON</t>
  </si>
  <si>
    <t>Kuo</t>
  </si>
  <si>
    <t>Tony</t>
  </si>
  <si>
    <t>700 WEST GEORGIA STREET</t>
  </si>
  <si>
    <t>FLOOR 16</t>
  </si>
  <si>
    <t>VANCOUVER</t>
  </si>
  <si>
    <t>V7Y1A1</t>
  </si>
  <si>
    <t>CANADA</t>
  </si>
  <si>
    <t>BRITISH COLUMBIA</t>
  </si>
  <si>
    <t>MICROSOFTPERM@CA.EY.COM</t>
  </si>
  <si>
    <t>EY Law LLP</t>
  </si>
  <si>
    <t>Survey</t>
  </si>
  <si>
    <t>Radford Global Sales Survey</t>
  </si>
  <si>
    <t>Partner Sales Executive</t>
  </si>
  <si>
    <t>11-2022.00</t>
  </si>
  <si>
    <t>Sales Managers</t>
  </si>
  <si>
    <t>Business Administration, Finance, Marketing, Computer Science, Engineering or a related field</t>
  </si>
  <si>
    <t>="-Education: Bachelor’s or foreign equivalent degree in Business Administration, Finance, Marketing, Computer Science, Engineering or a related field. 
-2 years of experience in technical account management and/or sales experience.  
- In lieu of a Bac</t>
  </si>
  <si>
    <t>None</t>
  </si>
  <si>
    <t>Devices Director</t>
  </si>
  <si>
    <t xml:space="preserve">Requires domestic and international travel up to 25%. Telecommuting permitted. Candidate must reside in California. </t>
  </si>
  <si>
    <t>3 Park Plaza</t>
  </si>
  <si>
    <t>Irvine</t>
  </si>
  <si>
    <t>CALIFORNIA</t>
  </si>
  <si>
    <t>SLANEY</t>
  </si>
  <si>
    <t>LISA</t>
  </si>
  <si>
    <t>CONTROLLER</t>
  </si>
  <si>
    <t>1611 TELEGRAPH AVENUE, #1500</t>
  </si>
  <si>
    <t>OAKLAND</t>
  </si>
  <si>
    <t>CA</t>
  </si>
  <si>
    <t>lslaney@terrainstudio.net</t>
  </si>
  <si>
    <t>TERRAIN STUDIO INC.</t>
  </si>
  <si>
    <t>CAI</t>
  </si>
  <si>
    <t>TERESA</t>
  </si>
  <si>
    <t>731 BODEGA COURT</t>
  </si>
  <si>
    <t>FREMONT</t>
  </si>
  <si>
    <t>LAW@TERESACAI.COM</t>
  </si>
  <si>
    <t>LAW OFFICES OF TERESA CAI</t>
  </si>
  <si>
    <t>LANDSCAPE DESIGNER</t>
  </si>
  <si>
    <t>Master's</t>
  </si>
  <si>
    <t>LANDSCAPE ARCHITECTURE</t>
  </si>
  <si>
    <t>Landscape Architects</t>
  </si>
  <si>
    <t>LICENSED LANDSCAPE ARCHITECT</t>
  </si>
  <si>
    <t>M</t>
  </si>
  <si>
    <t xml:space="preserve">Operations Manager </t>
  </si>
  <si>
    <t>FL</t>
  </si>
  <si>
    <t>FLORIDA</t>
  </si>
  <si>
    <t>Amit</t>
  </si>
  <si>
    <t>Tampa</t>
  </si>
  <si>
    <t>Software Developers, Applications</t>
  </si>
  <si>
    <t>Operations Manager</t>
  </si>
  <si>
    <t>West Palm Beach</t>
  </si>
  <si>
    <t>Pater / Rodriguez</t>
  </si>
  <si>
    <t>Michael / Jean Carlos</t>
  </si>
  <si>
    <t>HR Senior Associate</t>
  </si>
  <si>
    <t>4040 W BOY SCOUT BLVD</t>
  </si>
  <si>
    <t>TAMPA</t>
  </si>
  <si>
    <t>us_inbound_immigration@pwc.com</t>
  </si>
  <si>
    <t>PRICEWATERHOUSECOOPERS LLP</t>
  </si>
  <si>
    <t>4040 WEST BOY SCOUT BOULEVARD</t>
  </si>
  <si>
    <t>Singh</t>
  </si>
  <si>
    <t>Channpreet</t>
  </si>
  <si>
    <t>Kaur</t>
  </si>
  <si>
    <t>18 York Street</t>
  </si>
  <si>
    <t>Suite 2500</t>
  </si>
  <si>
    <t>Toronto</t>
  </si>
  <si>
    <t>M5J0B2</t>
  </si>
  <si>
    <t>Ontario</t>
  </si>
  <si>
    <t>ca_permivteam@pwc.com</t>
  </si>
  <si>
    <t>PwC Law LLP</t>
  </si>
  <si>
    <t>Computer Occupations, All Other</t>
  </si>
  <si>
    <t>San Francisco</t>
  </si>
  <si>
    <t>GARCIA</t>
  </si>
  <si>
    <t>MANUEL</t>
  </si>
  <si>
    <t>PRESIDENT</t>
  </si>
  <si>
    <t>7345 WOODLAND DRIVE</t>
  </si>
  <si>
    <t>Suite A</t>
  </si>
  <si>
    <t>IN</t>
  </si>
  <si>
    <t>SUITE A</t>
  </si>
  <si>
    <t>Indianapolis</t>
  </si>
  <si>
    <t>INDIANA</t>
  </si>
  <si>
    <t>Registered Nurse</t>
  </si>
  <si>
    <t xml:space="preserve">NURSING
</t>
  </si>
  <si>
    <t>Registered Nurses</t>
  </si>
  <si>
    <t>SUPERVISOR</t>
  </si>
  <si>
    <t>ca_microsoft_perm@pwc.com</t>
  </si>
  <si>
    <t xml:space="preserve">Microsoft Corporation </t>
  </si>
  <si>
    <t xml:space="preserve">One Microsoft Way </t>
  </si>
  <si>
    <t>Lin</t>
  </si>
  <si>
    <t>Sherry</t>
  </si>
  <si>
    <t>250 Howe Street</t>
  </si>
  <si>
    <t>Suite 1400</t>
  </si>
  <si>
    <t>Vancouver</t>
  </si>
  <si>
    <t>V6C3S7</t>
  </si>
  <si>
    <t>British Columbia</t>
  </si>
  <si>
    <t>PWC Law LLP</t>
  </si>
  <si>
    <t>Financial Analysts</t>
  </si>
  <si>
    <t>Jennifer</t>
  </si>
  <si>
    <t>Suite 315</t>
  </si>
  <si>
    <t>MN</t>
  </si>
  <si>
    <t>MINNESOTA</t>
  </si>
  <si>
    <t>Anahid</t>
  </si>
  <si>
    <t>Corporate Immigration Partners, LLP</t>
  </si>
  <si>
    <t>Market Research Analysts and Marketing Specialists</t>
  </si>
  <si>
    <t>Wilkins</t>
  </si>
  <si>
    <t>Michelle</t>
  </si>
  <si>
    <t>St. Louis</t>
  </si>
  <si>
    <t>MO</t>
  </si>
  <si>
    <t>7700 Forsyth Blvd.</t>
  </si>
  <si>
    <t>MISSOURI</t>
  </si>
  <si>
    <t>Warren</t>
  </si>
  <si>
    <t>Michael</t>
  </si>
  <si>
    <t>15th Floor</t>
  </si>
  <si>
    <t>Chicago</t>
  </si>
  <si>
    <t>ILLINOIS</t>
  </si>
  <si>
    <t>Fragomen Del Rey Bernsen &amp; Loewy LLP</t>
  </si>
  <si>
    <t>Business Intelligence Analysts</t>
  </si>
  <si>
    <t>Rubenstein</t>
  </si>
  <si>
    <t>Sunday</t>
  </si>
  <si>
    <t>D</t>
  </si>
  <si>
    <t>Associate Director, Americas Talent Team</t>
  </si>
  <si>
    <t>200 Plaza Drive</t>
  </si>
  <si>
    <t>Suite 2222</t>
  </si>
  <si>
    <t>Secaucus</t>
  </si>
  <si>
    <t>NJ</t>
  </si>
  <si>
    <t>EYUSPERM@CA.EY.COM</t>
  </si>
  <si>
    <t>Ernst &amp; Young U.S. LLP</t>
  </si>
  <si>
    <t>NEW JERSEY</t>
  </si>
  <si>
    <t>Lindsey</t>
  </si>
  <si>
    <t>100 Adelaide Street West</t>
  </si>
  <si>
    <t>Floor 31</t>
  </si>
  <si>
    <t>M5H0B3</t>
  </si>
  <si>
    <t>Radford Global Technology Survey 2021</t>
  </si>
  <si>
    <t>15-1121.00</t>
  </si>
  <si>
    <t>Computer Systems Analysts</t>
  </si>
  <si>
    <t>Little</t>
  </si>
  <si>
    <t xml:space="preserve">Rick </t>
  </si>
  <si>
    <t>Director</t>
  </si>
  <si>
    <t>Agent</t>
  </si>
  <si>
    <t>Jesus</t>
  </si>
  <si>
    <t>Weston</t>
  </si>
  <si>
    <t>Development Manager</t>
  </si>
  <si>
    <t xml:space="preserve">Business Administration </t>
  </si>
  <si>
    <t>Management Analysts</t>
  </si>
  <si>
    <t>VILLEGAS</t>
  </si>
  <si>
    <t>RAMON</t>
  </si>
  <si>
    <t>ENRIQUEZ</t>
  </si>
  <si>
    <t>VP - HUMAN RESOURCES</t>
  </si>
  <si>
    <t>SUITE D</t>
  </si>
  <si>
    <t>mon@rnstaff.com</t>
  </si>
  <si>
    <t>RN STAFF INC.</t>
  </si>
  <si>
    <t>REHABILITY CARE</t>
  </si>
  <si>
    <t>Robert</t>
  </si>
  <si>
    <t>E</t>
  </si>
  <si>
    <t>Vice President</t>
  </si>
  <si>
    <t>50 Cragwood Road</t>
  </si>
  <si>
    <t>South Plainfield</t>
  </si>
  <si>
    <t>VIRGINIA</t>
  </si>
  <si>
    <t>Associate's</t>
  </si>
  <si>
    <t>Software Quality Assurance Engineers and Testers</t>
  </si>
  <si>
    <t>Denise</t>
  </si>
  <si>
    <t>Philadelphia</t>
  </si>
  <si>
    <t>PA</t>
  </si>
  <si>
    <t>PENNSYLVANIA</t>
  </si>
  <si>
    <t>William</t>
  </si>
  <si>
    <t>A.</t>
  </si>
  <si>
    <t>1601 Market Street</t>
  </si>
  <si>
    <t>Klasko Immigration Law Partners, LLP</t>
  </si>
  <si>
    <t>P-400-21146-345764</t>
  </si>
  <si>
    <t>Determination Issued</t>
  </si>
  <si>
    <t>H-2B</t>
  </si>
  <si>
    <t>Troja</t>
  </si>
  <si>
    <t>Erald</t>
  </si>
  <si>
    <t>Employer/Parent</t>
  </si>
  <si>
    <t>240 GARTH RD</t>
  </si>
  <si>
    <t>APT 7E2</t>
  </si>
  <si>
    <t>SCARSDALE</t>
  </si>
  <si>
    <t>eraldtroja@gmail.com</t>
  </si>
  <si>
    <t>E.T. Computer Consulting LLC</t>
  </si>
  <si>
    <t>Erald Troja</t>
  </si>
  <si>
    <t>240 Garth Rd</t>
  </si>
  <si>
    <t>Floyd Nielsen</t>
  </si>
  <si>
    <t>Trisha</t>
  </si>
  <si>
    <t>Ann</t>
  </si>
  <si>
    <t>36 Richmond Terrace</t>
  </si>
  <si>
    <t>Suite 307</t>
  </si>
  <si>
    <t>Staten Island</t>
  </si>
  <si>
    <t>tfloyd@migrationusa.org</t>
  </si>
  <si>
    <t>Migration Resource Center</t>
  </si>
  <si>
    <t>In-Home Nanny</t>
  </si>
  <si>
    <t>Nannies</t>
  </si>
  <si>
    <t>Will travel daily in the BLS area to schools, social outings and medical appointments.</t>
  </si>
  <si>
    <t>Apt. 7E2</t>
  </si>
  <si>
    <t>Childcare Workers</t>
  </si>
  <si>
    <t>39-9011.01</t>
  </si>
  <si>
    <t>Hour</t>
  </si>
  <si>
    <t>OES (All Industries)</t>
  </si>
  <si>
    <t>New York-Newark-Jersey City, NY-NJ-PA</t>
  </si>
  <si>
    <t>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The wage entered in item G.7 reflects the area of intended employment entered in F.e.4 and F.e.5.</t>
  </si>
  <si>
    <t>Lisa</t>
  </si>
  <si>
    <t>Human Resources Manager</t>
  </si>
  <si>
    <t>4420 Pendola Point Road</t>
  </si>
  <si>
    <t>Puraglobe USA, LLC</t>
  </si>
  <si>
    <t>Wayne</t>
  </si>
  <si>
    <t>Schoener</t>
  </si>
  <si>
    <t>Jane</t>
  </si>
  <si>
    <t>M.</t>
  </si>
  <si>
    <t>PO Box 43558</t>
  </si>
  <si>
    <t>jmschoener@maneygordon.com</t>
  </si>
  <si>
    <t>Maney Gordon Zeller PA</t>
  </si>
  <si>
    <t>Process Engineer</t>
  </si>
  <si>
    <t>Industrial Engineers</t>
  </si>
  <si>
    <t>Managing Director</t>
  </si>
  <si>
    <t>Suite 301</t>
  </si>
  <si>
    <t>Piscataway</t>
  </si>
  <si>
    <t>SULTAN</t>
  </si>
  <si>
    <t>B</t>
  </si>
  <si>
    <t>BERRY APPLEMAN &amp; LEIDEN LLP</t>
  </si>
  <si>
    <t>Berry Appleman &amp; Leiden LLP</t>
  </si>
  <si>
    <t>Van Den Handel/Jensen/Wu</t>
  </si>
  <si>
    <t>Daniel/Sarah/Chongli</t>
  </si>
  <si>
    <t>2021 7th Avenue</t>
  </si>
  <si>
    <t>Seattle</t>
  </si>
  <si>
    <t>AMAZONPWD@FRAGOMEN.COM</t>
  </si>
  <si>
    <t>STOCKLEY</t>
  </si>
  <si>
    <t>100 High Street</t>
  </si>
  <si>
    <t>3rd Floor</t>
  </si>
  <si>
    <t>Boston</t>
  </si>
  <si>
    <t>MASSACHUSETTS</t>
  </si>
  <si>
    <t>Fragomen, Del Rey, Bernsen, and Loewy LLP</t>
  </si>
  <si>
    <t>Statisticians</t>
  </si>
  <si>
    <t>Suite 600</t>
  </si>
  <si>
    <t>Baltimore</t>
  </si>
  <si>
    <t>MARYLAND</t>
  </si>
  <si>
    <t xml:space="preserve">Elizabeth </t>
  </si>
  <si>
    <t xml:space="preserve">Roseland </t>
  </si>
  <si>
    <t>Roseland</t>
  </si>
  <si>
    <t>Fragomen, Del Rey, Bernsen &amp; Loewy, LLP</t>
  </si>
  <si>
    <t>R.</t>
  </si>
  <si>
    <t>WI</t>
  </si>
  <si>
    <t>WISCONSIN</t>
  </si>
  <si>
    <t>NICOLE</t>
  </si>
  <si>
    <t>COLUMBIA</t>
  </si>
  <si>
    <t>MANAGER</t>
  </si>
  <si>
    <t>Construction Laborers</t>
  </si>
  <si>
    <t>Donald</t>
  </si>
  <si>
    <t>President</t>
  </si>
  <si>
    <t>AR</t>
  </si>
  <si>
    <t>ARKANSAS</t>
  </si>
  <si>
    <t>7th Floor</t>
  </si>
  <si>
    <t>Dallas</t>
  </si>
  <si>
    <t>TEXAS</t>
  </si>
  <si>
    <t>High School/GED</t>
  </si>
  <si>
    <t>Operating Engineers and Other Construction Equipment Operators</t>
  </si>
  <si>
    <t>Immigration</t>
  </si>
  <si>
    <t>AGENT</t>
  </si>
  <si>
    <t>ORLANDO</t>
  </si>
  <si>
    <t>Secretaries and Administrative Assistants, Except Legal, Medical, and Executive</t>
  </si>
  <si>
    <t>P-400-21133-311739</t>
  </si>
  <si>
    <t>Butler</t>
  </si>
  <si>
    <t>Ryan</t>
  </si>
  <si>
    <t>2724 Prestige Rd.</t>
  </si>
  <si>
    <t>Keller</t>
  </si>
  <si>
    <t>TX</t>
  </si>
  <si>
    <t>Southern Refractories, Inc.</t>
  </si>
  <si>
    <t>Wingfield</t>
  </si>
  <si>
    <t>L.</t>
  </si>
  <si>
    <t>8340 Meadow Road</t>
  </si>
  <si>
    <t>Suite 132</t>
  </si>
  <si>
    <t>norma@amigos-inc.com</t>
  </si>
  <si>
    <t xml:space="preserve">Amigos Labor Solutions, Inc. </t>
  </si>
  <si>
    <t>Brickmason</t>
  </si>
  <si>
    <t>="MUST PERFORM PHYSICAL ACTIVITIES THAT REQUIRE CLIMBING, LIFTING, BALANCING, WALKING, STOOPING, AND HANDLING OF MATERIALS, LIFT 75 LBS.
MUST BE AVAILABLE 24/7 FOR EMERGENCY REPAIRS. WORK SCHEDULE VARIES DURING THE WEEK MON-SUN WITH POSSIBLE WEEKDAYS OFF</t>
  </si>
  <si>
    <t>Brickmasons and Blockmasons</t>
  </si>
  <si>
    <t>Dallas-Fort Worth-Arlington, TX</t>
  </si>
  <si>
    <t>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t>
  </si>
  <si>
    <t>PUNHANI</t>
  </si>
  <si>
    <t>ANKUSH</t>
  </si>
  <si>
    <t>1279 ROUTE 46</t>
  </si>
  <si>
    <t>BUILDING C, SUITE 202</t>
  </si>
  <si>
    <t>PARSIPPANY</t>
  </si>
  <si>
    <t>AARUSHI@PUNHANILAW.COM</t>
  </si>
  <si>
    <t>PUNHANI LAW FIRM LLC</t>
  </si>
  <si>
    <t>Suite 310</t>
  </si>
  <si>
    <t>Farmers Branch</t>
  </si>
  <si>
    <t>Hedien</t>
  </si>
  <si>
    <t>Mark</t>
  </si>
  <si>
    <t>Johnston</t>
  </si>
  <si>
    <t>Senior Associate General Counsel</t>
  </si>
  <si>
    <t>1590 North High Street</t>
  </si>
  <si>
    <t>Suite 500</t>
  </si>
  <si>
    <t>Columbus</t>
  </si>
  <si>
    <t>OH</t>
  </si>
  <si>
    <t>hedien.1@osu.edu</t>
  </si>
  <si>
    <t>The Ohio State University</t>
  </si>
  <si>
    <t>OHIO</t>
  </si>
  <si>
    <t>1590 North High Street, OSU Legal Affairs</t>
  </si>
  <si>
    <t>Assistant Professor</t>
  </si>
  <si>
    <t>Doctorate (PhD)</t>
  </si>
  <si>
    <t>Division Director</t>
  </si>
  <si>
    <t>Aboobaker</t>
  </si>
  <si>
    <t>Azmina</t>
  </si>
  <si>
    <t>US Immigration Manager</t>
  </si>
  <si>
    <t>1 Hacker Way (aka 1601 Willow Rd.)</t>
  </si>
  <si>
    <t>Menlo Park</t>
  </si>
  <si>
    <t>immigrationfyi@fb.com</t>
  </si>
  <si>
    <t>Facebook, Inc.</t>
  </si>
  <si>
    <t>2400 N Glenville Drive</t>
  </si>
  <si>
    <t>Building A, Suite 100</t>
  </si>
  <si>
    <t>Richardson</t>
  </si>
  <si>
    <t>See F.a.2</t>
  </si>
  <si>
    <t>Manager</t>
  </si>
  <si>
    <t>P-400-21137-320592</t>
  </si>
  <si>
    <t>Henry</t>
  </si>
  <si>
    <t>Krystina</t>
  </si>
  <si>
    <t>Senior Relationship Manager, Talent Acquisition</t>
  </si>
  <si>
    <t>390 Interlocken Crescent</t>
  </si>
  <si>
    <t>Broomfield</t>
  </si>
  <si>
    <t>CO</t>
  </si>
  <si>
    <t>Khenry2@vailresorts.com</t>
  </si>
  <si>
    <t>Vail Corporation</t>
  </si>
  <si>
    <t>Crested Butte Mountain Resort</t>
  </si>
  <si>
    <t>COLORADO</t>
  </si>
  <si>
    <t>Blocker</t>
  </si>
  <si>
    <t>Chad</t>
  </si>
  <si>
    <t>C.</t>
  </si>
  <si>
    <t>444 South Flower Street</t>
  </si>
  <si>
    <t>Los Angeles</t>
  </si>
  <si>
    <t>cblocker@fragomen.com</t>
  </si>
  <si>
    <t>Advanced Housekeeper</t>
  </si>
  <si>
    <t>Maids and Housekeeping Cleaners</t>
  </si>
  <si>
    <t>Housekeeping Inspectors/Attendants</t>
  </si>
  <si>
    <t>6 Emmons Street</t>
  </si>
  <si>
    <t>Mount Crested Butte</t>
  </si>
  <si>
    <t xml:space="preserve">Vasquez </t>
  </si>
  <si>
    <t xml:space="preserve">Vice President, Global Immigration Lead </t>
  </si>
  <si>
    <t>400 Bellevue Parkway</t>
  </si>
  <si>
    <t>Wilmington</t>
  </si>
  <si>
    <t>DE</t>
  </si>
  <si>
    <t>elbert.vasquez@blackrock.com</t>
  </si>
  <si>
    <t xml:space="preserve">BLACKROCK FINANCIAL MANAGEMENT, INC. </t>
  </si>
  <si>
    <t>DELAWARE</t>
  </si>
  <si>
    <t>Allen</t>
  </si>
  <si>
    <t>Sarah</t>
  </si>
  <si>
    <t>1400 Broadway</t>
  </si>
  <si>
    <t>New York</t>
  </si>
  <si>
    <t>morganlarkin@fragomen.com</t>
  </si>
  <si>
    <t>400 Howard Street</t>
  </si>
  <si>
    <t>BRONX</t>
  </si>
  <si>
    <t>SCA</t>
  </si>
  <si>
    <t>Home Health Aides</t>
  </si>
  <si>
    <t>SOFTWARE ENGINEER</t>
  </si>
  <si>
    <t>IRVINE</t>
  </si>
  <si>
    <t>Hines</t>
  </si>
  <si>
    <t>Natasha</t>
  </si>
  <si>
    <t>Talent Mobility Program Manager, Immigration</t>
  </si>
  <si>
    <t>13250 N. Haggerty Rd.</t>
  </si>
  <si>
    <t>Plymouth</t>
  </si>
  <si>
    <t>MI</t>
  </si>
  <si>
    <t>nhines@rivian.com</t>
  </si>
  <si>
    <t>RIVIAN AUTOMOTIVE, LLC</t>
  </si>
  <si>
    <t>13250 N. Haggerty Road</t>
  </si>
  <si>
    <t>MICHIGAN</t>
  </si>
  <si>
    <t>MEERSCHWAM</t>
  </si>
  <si>
    <t>AVIVA</t>
  </si>
  <si>
    <t>1400 BROADWAY</t>
  </si>
  <si>
    <t>9TH FLOOR</t>
  </si>
  <si>
    <t>rivianivteam@fragomen.com</t>
  </si>
  <si>
    <t>FRAGOMEN, DEL REY, BERNSEN &amp; LOEWY, LLP</t>
  </si>
  <si>
    <t>Mechanical Engineers</t>
  </si>
  <si>
    <t xml:space="preserve">Rivian Automotive LLC </t>
  </si>
  <si>
    <t>607 Hansen Way</t>
  </si>
  <si>
    <t>Palo Alto</t>
  </si>
  <si>
    <t>Danielle</t>
  </si>
  <si>
    <t xml:space="preserve">San Francisco </t>
  </si>
  <si>
    <t>Jaclyn</t>
  </si>
  <si>
    <t>230 W. Monroe Street</t>
  </si>
  <si>
    <t>Suite 2800</t>
  </si>
  <si>
    <t>gov@giafirm.com</t>
  </si>
  <si>
    <t>Global Immigration Associates, P.C.</t>
  </si>
  <si>
    <t>Data Scientist</t>
  </si>
  <si>
    <t>Immigration Specialist</t>
  </si>
  <si>
    <t>Business Teachers, Postsecondary</t>
  </si>
  <si>
    <t>Alves</t>
  </si>
  <si>
    <t>Francis</t>
  </si>
  <si>
    <t>Davis</t>
  </si>
  <si>
    <t>1359 East Sample Road</t>
  </si>
  <si>
    <t>Pompano Beach</t>
  </si>
  <si>
    <t>perm@theepsteingroup.org</t>
  </si>
  <si>
    <t xml:space="preserve">Law Office of Shayne Epstein </t>
  </si>
  <si>
    <t>IL</t>
  </si>
  <si>
    <t>230 W Monroe St.</t>
  </si>
  <si>
    <t>Software Engineer II</t>
  </si>
  <si>
    <t>Software Engineer</t>
  </si>
  <si>
    <t>Computer Science, Engineering, Mathematics, Information Systems, Physics, or a related field.</t>
  </si>
  <si>
    <t>Schrager</t>
  </si>
  <si>
    <t>Jenny</t>
  </si>
  <si>
    <t>Spring</t>
  </si>
  <si>
    <t>9th Floor</t>
  </si>
  <si>
    <t>Fragomen, Del Rey, Bernsen &amp; Loewy LLP</t>
  </si>
  <si>
    <t>MIRAJ</t>
  </si>
  <si>
    <t>VANESSA</t>
  </si>
  <si>
    <t>VMIRAJ@FRAGOMEN.COM</t>
  </si>
  <si>
    <t>Financial Quantitative Analysts</t>
  </si>
  <si>
    <t>Senior Counsel, Employment</t>
  </si>
  <si>
    <t>Suite 400</t>
  </si>
  <si>
    <t>Ralph</t>
  </si>
  <si>
    <t>1201 Third Avenue</t>
  </si>
  <si>
    <t>Suite 2750</t>
  </si>
  <si>
    <t>sea-immigration@fisherphillips.com</t>
  </si>
  <si>
    <t>Fisher &amp; Phillips LLP</t>
  </si>
  <si>
    <t>Amy</t>
  </si>
  <si>
    <t>Global Mobility Partner</t>
  </si>
  <si>
    <t>Catherine</t>
  </si>
  <si>
    <t>Margaret</t>
  </si>
  <si>
    <t>465 California St.</t>
  </si>
  <si>
    <t>Suite 700</t>
  </si>
  <si>
    <t>P-400-21146-344847</t>
  </si>
  <si>
    <t>SPADAFORA</t>
  </si>
  <si>
    <t>JOSEPH</t>
  </si>
  <si>
    <t>GENERAL MANAGER</t>
  </si>
  <si>
    <t>10600 Pine Tree Terrace</t>
  </si>
  <si>
    <t>Boynton Beach</t>
  </si>
  <si>
    <t xml:space="preserve">PINE TREE GOLF CLUB </t>
  </si>
  <si>
    <t>PETRINA</t>
  </si>
  <si>
    <t>PETER</t>
  </si>
  <si>
    <t>21 SUN PATH RD</t>
  </si>
  <si>
    <t>ITHACA</t>
  </si>
  <si>
    <t>INFO@PETRINAGROUP.COM</t>
  </si>
  <si>
    <t>PETRINA GROUP INTERNATIONAL INC.</t>
  </si>
  <si>
    <t xml:space="preserve">COOK </t>
  </si>
  <si>
    <t xml:space="preserve">="Experience must be verifiable.
Pre-hire background check &amp; post hire drug test, carried out equally between U.S. workers and H-2B workers. 
Must be available to work split-shifts, nights, weekends &amp; holidays as needed. 
Must be able to lift, pull, push </t>
  </si>
  <si>
    <t>Cooks, Restaurant</t>
  </si>
  <si>
    <t>RODRIGUEZ</t>
  </si>
  <si>
    <t>CEO</t>
  </si>
  <si>
    <t>MIAMI</t>
  </si>
  <si>
    <t>MODESTA</t>
  </si>
  <si>
    <t>Personal Financial Advisors</t>
  </si>
  <si>
    <t>HR Manager</t>
  </si>
  <si>
    <t>VA</t>
  </si>
  <si>
    <t>L</t>
  </si>
  <si>
    <t>16th Floor</t>
  </si>
  <si>
    <t>Auditors</t>
  </si>
  <si>
    <t>Donna</t>
  </si>
  <si>
    <t>NC</t>
  </si>
  <si>
    <t>NORTH CAROLINA</t>
  </si>
  <si>
    <t>DISTRICT OF COLUMBIA</t>
  </si>
  <si>
    <t>Senior Manager, Software Engineering</t>
  </si>
  <si>
    <t>15-1132.00</t>
  </si>
  <si>
    <t>Computer and Information Systems Managers</t>
  </si>
  <si>
    <t>Director, Software Engineering</t>
  </si>
  <si>
    <t>Charlotte</t>
  </si>
  <si>
    <t>Sioux Falls</t>
  </si>
  <si>
    <t>SD</t>
  </si>
  <si>
    <t>SOUTH DAKOTA</t>
  </si>
  <si>
    <t>Nursing</t>
  </si>
  <si>
    <t>IOWA</t>
  </si>
  <si>
    <t>BROWN</t>
  </si>
  <si>
    <t>CLEVELAND</t>
  </si>
  <si>
    <t>AUSTIN</t>
  </si>
  <si>
    <t>SHARMA</t>
  </si>
  <si>
    <t>R</t>
  </si>
  <si>
    <t>Suite 300</t>
  </si>
  <si>
    <t>Reston</t>
  </si>
  <si>
    <t>Law Offices of Rakesh Mehrotra</t>
  </si>
  <si>
    <t>Business Analyst</t>
  </si>
  <si>
    <t>Claudia</t>
  </si>
  <si>
    <t>Miami</t>
  </si>
  <si>
    <t>Estrella</t>
  </si>
  <si>
    <t>David</t>
  </si>
  <si>
    <t>Suite 210</t>
  </si>
  <si>
    <t>Coral Gables</t>
  </si>
  <si>
    <t>Marketing Managers</t>
  </si>
  <si>
    <t>P-100-21126-291861</t>
  </si>
  <si>
    <t>435 Devon Park Drive</t>
  </si>
  <si>
    <t>Building 200</t>
  </si>
  <si>
    <t>Industrial, Manufacturing or Production Engineering or related Engineering field</t>
  </si>
  <si>
    <t>="Qualified applicant must have demonstrated experience preparing business case studies for investment in capital projects and advanced technologies to support operational efficiency and improved performance.  Applicant will be skilled in data modeling an</t>
  </si>
  <si>
    <t xml:space="preserve">Shelby </t>
  </si>
  <si>
    <t>Director of Human Resources</t>
  </si>
  <si>
    <t>MS</t>
  </si>
  <si>
    <t>MISSISSIPPI</t>
  </si>
  <si>
    <t>Suzanne</t>
  </si>
  <si>
    <t>Property, Real Estate, and Community Association Managers</t>
  </si>
  <si>
    <t>HR</t>
  </si>
  <si>
    <t>Westlake</t>
  </si>
  <si>
    <t>Cozart Martin</t>
  </si>
  <si>
    <t>Stacy</t>
  </si>
  <si>
    <t>6050 Oak Tree Blvd.</t>
  </si>
  <si>
    <t>Ste. 250</t>
  </si>
  <si>
    <t xml:space="preserve">Independence </t>
  </si>
  <si>
    <t>stacy@mjbimmigration.com</t>
  </si>
  <si>
    <t>Martin Jolic and Bratton, LLC</t>
  </si>
  <si>
    <t>Atlanta</t>
  </si>
  <si>
    <t>GEORGIA</t>
  </si>
  <si>
    <t>Hackensack</t>
  </si>
  <si>
    <t>Scott</t>
  </si>
  <si>
    <t>Suite 120</t>
  </si>
  <si>
    <t>Fremont</t>
  </si>
  <si>
    <t>Software Developers, Systems Software</t>
  </si>
  <si>
    <t>Electrical Engineers</t>
  </si>
  <si>
    <t>Santa Clara</t>
  </si>
  <si>
    <t>Lee</t>
  </si>
  <si>
    <t>Kristina</t>
  </si>
  <si>
    <t>Bryan</t>
  </si>
  <si>
    <t>Jeffrey</t>
  </si>
  <si>
    <t>S</t>
  </si>
  <si>
    <t>Suite 900</t>
  </si>
  <si>
    <t>Kansas City</t>
  </si>
  <si>
    <t>Other degree (JD, MD, etc.)</t>
  </si>
  <si>
    <t>Medicine</t>
  </si>
  <si>
    <t>Hospitalists</t>
  </si>
  <si>
    <t>Foster City</t>
  </si>
  <si>
    <t>Cheryl</t>
  </si>
  <si>
    <t>2755 Orchard Parkway</t>
  </si>
  <si>
    <t>San Jose</t>
  </si>
  <si>
    <t>Biochemists and Biophysicists</t>
  </si>
  <si>
    <t>Mitchell</t>
  </si>
  <si>
    <t>S.</t>
  </si>
  <si>
    <t>Partner</t>
  </si>
  <si>
    <t>Skokie</t>
  </si>
  <si>
    <t>Troy</t>
  </si>
  <si>
    <t>Accountant</t>
  </si>
  <si>
    <t>Accountants and Auditors</t>
  </si>
  <si>
    <t>H-1B</t>
  </si>
  <si>
    <t>Greene</t>
  </si>
  <si>
    <t>Human Resources Director</t>
  </si>
  <si>
    <t>IA</t>
  </si>
  <si>
    <t>Asheville</t>
  </si>
  <si>
    <t>Langroodi</t>
  </si>
  <si>
    <t>Ellie</t>
  </si>
  <si>
    <t>230 W Monroe Street</t>
  </si>
  <si>
    <t>ellie.langroodi@giafirm.com</t>
  </si>
  <si>
    <t>Managing Partner</t>
  </si>
  <si>
    <t>Suite 108</t>
  </si>
  <si>
    <t>Matthew</t>
  </si>
  <si>
    <t>441 Vine Street</t>
  </si>
  <si>
    <t>Suite 3200</t>
  </si>
  <si>
    <t>Cincinnati</t>
  </si>
  <si>
    <t>Katherine</t>
  </si>
  <si>
    <t>ERICKA</t>
  </si>
  <si>
    <t>STE. 1100</t>
  </si>
  <si>
    <t>ARLINGTON</t>
  </si>
  <si>
    <t>Erickson Immigration Group</t>
  </si>
  <si>
    <t>Berry</t>
  </si>
  <si>
    <t>Campbell</t>
  </si>
  <si>
    <t>Marie</t>
  </si>
  <si>
    <t>Application Development Manager</t>
  </si>
  <si>
    <t>Information Technology Project Managers</t>
  </si>
  <si>
    <t>Suite 100</t>
  </si>
  <si>
    <t>San Antonio</t>
  </si>
  <si>
    <t>Kelly</t>
  </si>
  <si>
    <t>Human Resources</t>
  </si>
  <si>
    <t>CT</t>
  </si>
  <si>
    <t>CONNECTICUT</t>
  </si>
  <si>
    <t>Alan</t>
  </si>
  <si>
    <t>Barry</t>
  </si>
  <si>
    <t>1201 Harmon Place</t>
  </si>
  <si>
    <t>Minneapolis</t>
  </si>
  <si>
    <t>Veterinarian</t>
  </si>
  <si>
    <t>Mountain View</t>
  </si>
  <si>
    <t>Richard</t>
  </si>
  <si>
    <t>Information Security Analysts</t>
  </si>
  <si>
    <t>Lexington</t>
  </si>
  <si>
    <t>Dustin</t>
  </si>
  <si>
    <t>Wallace</t>
  </si>
  <si>
    <t>Henrico</t>
  </si>
  <si>
    <t>Foreign Language and Literature Teachers, Postsecondary</t>
  </si>
  <si>
    <t>Department Chair</t>
  </si>
  <si>
    <t>Patricia</t>
  </si>
  <si>
    <t>Framingham</t>
  </si>
  <si>
    <t>MA</t>
  </si>
  <si>
    <t>Kate</t>
  </si>
  <si>
    <t>HR Immigration</t>
  </si>
  <si>
    <t>AMAZON.COM SERVICES LLC</t>
  </si>
  <si>
    <t>See F.b.5.a(IV)</t>
  </si>
  <si>
    <t>See F.c.5.a(IV)</t>
  </si>
  <si>
    <t>Computer and Information Research Scientists</t>
  </si>
  <si>
    <t>Marketing Specialist</t>
  </si>
  <si>
    <t>Business Administration</t>
  </si>
  <si>
    <t>Pasadena</t>
  </si>
  <si>
    <t>P</t>
  </si>
  <si>
    <t>Suite 1050</t>
  </si>
  <si>
    <t>Graham Adair</t>
  </si>
  <si>
    <t>ATLANTA</t>
  </si>
  <si>
    <t xml:space="preserve"> </t>
  </si>
  <si>
    <t>Alpharetta</t>
  </si>
  <si>
    <t>Lerner</t>
  </si>
  <si>
    <t>Nicole</t>
  </si>
  <si>
    <t>Gloria</t>
  </si>
  <si>
    <t>K.</t>
  </si>
  <si>
    <t>3590 North First Street</t>
  </si>
  <si>
    <t>Immigration Law Group LLP</t>
  </si>
  <si>
    <t>Richmond</t>
  </si>
  <si>
    <t>Nicole M. Fuscaldo</t>
  </si>
  <si>
    <t>Willy</t>
  </si>
  <si>
    <t>George</t>
  </si>
  <si>
    <t>PO Box 1607</t>
  </si>
  <si>
    <t>Stafford</t>
  </si>
  <si>
    <t>dolteam@grwpc.com</t>
  </si>
  <si>
    <t>Willy, Nanayakkara &amp; Associates</t>
  </si>
  <si>
    <t>="High school diploma or equivalent plus 2 years of experience in the job offered or as a Private Nanny. Must have a valid Driver’s License and CPR/First Aid certificate or willing and able to obtain one. Must be able to cook and prepare meals according t</t>
  </si>
  <si>
    <t>Children's Parents</t>
  </si>
  <si>
    <t>Choudhary</t>
  </si>
  <si>
    <t>Vikrant</t>
  </si>
  <si>
    <t>Senior Immigration Officer</t>
  </si>
  <si>
    <t xml:space="preserve">Binarius Deepak Complex Yerwada </t>
  </si>
  <si>
    <t>Fl 5</t>
  </si>
  <si>
    <t>Pune</t>
  </si>
  <si>
    <t>INDIA</t>
  </si>
  <si>
    <t>Maharashtra</t>
  </si>
  <si>
    <t>vikrant.choudhary@bcone.com</t>
  </si>
  <si>
    <t>Bristlecone Inc.</t>
  </si>
  <si>
    <t>10 Almaden Blvd</t>
  </si>
  <si>
    <t>STE 990</t>
  </si>
  <si>
    <t xml:space="preserve">Langroodi </t>
  </si>
  <si>
    <t>230 W Monroe St</t>
  </si>
  <si>
    <t xml:space="preserve">Chicago </t>
  </si>
  <si>
    <t xml:space="preserve">Associate Principal </t>
  </si>
  <si>
    <t>17-3029.00</t>
  </si>
  <si>
    <t>Engineering Technicians, Except Drafters, All Other</t>
  </si>
  <si>
    <t>="REQUIRES A BACHELOR’S DEGREE IN INFORMATION TECHNOLOGY OR RELATED. REQUIRES 8 YEARS OF RELATED EMPLOYMENT EXPERIENCE. REQUIRES 5 YEARS OF EXPERIENCE WITH SAP MATERIAL MANAGEMENT (MM); MASTER DATA - SAP ECC, &amp; S/4 HANA; SAP ARIBA SUPPLIER LIFECYCLE &amp; PER</t>
  </si>
  <si>
    <t>DIRECTOR</t>
  </si>
  <si>
    <t>LOCATIONS IN TEXAS, AS PER CUSTOMER REQUIREMENTS.</t>
  </si>
  <si>
    <t>15950 N. Dallas Pkwy</t>
  </si>
  <si>
    <t xml:space="preserve">President </t>
  </si>
  <si>
    <t>Office and Administrative Support Workers, All Other</t>
  </si>
  <si>
    <t>Ward</t>
  </si>
  <si>
    <t>Angela</t>
  </si>
  <si>
    <t>TN</t>
  </si>
  <si>
    <t>TENNESSEE</t>
  </si>
  <si>
    <t>WILLIAM</t>
  </si>
  <si>
    <t>Hannah</t>
  </si>
  <si>
    <t>Human Resources Specialist</t>
  </si>
  <si>
    <t>Hernandez</t>
  </si>
  <si>
    <t>Eugenio</t>
  </si>
  <si>
    <t>Suite 1225</t>
  </si>
  <si>
    <t>Avila Rodriguez Hernandez Mena &amp; Garro LLP</t>
  </si>
  <si>
    <t>Civil Engineers</t>
  </si>
  <si>
    <t>Suite 200</t>
  </si>
  <si>
    <t xml:space="preserve">Nicole </t>
  </si>
  <si>
    <t>VP Human Resources</t>
  </si>
  <si>
    <t>San Diego</t>
  </si>
  <si>
    <t xml:space="preserve">San Diego </t>
  </si>
  <si>
    <t>Janitor</t>
  </si>
  <si>
    <t>Janitors and Cleaners, Except Maids and Housekeeping Cleaners</t>
  </si>
  <si>
    <t>ANN</t>
  </si>
  <si>
    <t>SUITE 401</t>
  </si>
  <si>
    <t>RESTON</t>
  </si>
  <si>
    <t>SHANNON</t>
  </si>
  <si>
    <t>Washington</t>
  </si>
  <si>
    <t>Tara</t>
  </si>
  <si>
    <t>Midland</t>
  </si>
  <si>
    <t>Bloom</t>
  </si>
  <si>
    <t>Jill</t>
  </si>
  <si>
    <t>Stephanie</t>
  </si>
  <si>
    <t>7500 N Dreamy Draw Drive</t>
  </si>
  <si>
    <t>Ste 230</t>
  </si>
  <si>
    <t>Phoenix</t>
  </si>
  <si>
    <t>ARIZONA</t>
  </si>
  <si>
    <t>acarrillo@fragomen.com</t>
  </si>
  <si>
    <t>Financial Managers</t>
  </si>
  <si>
    <t>SC</t>
  </si>
  <si>
    <t>SOUTH CAROLINA</t>
  </si>
  <si>
    <t>Elizabeth</t>
  </si>
  <si>
    <t>Montenegro</t>
  </si>
  <si>
    <t>Senior Vice President Talent Acquisition</t>
  </si>
  <si>
    <t xml:space="preserve">1626 Jeurgens Court  </t>
  </si>
  <si>
    <t>Norcross</t>
  </si>
  <si>
    <t>GA</t>
  </si>
  <si>
    <t>AMontenegro@pruitthealth.com</t>
  </si>
  <si>
    <t>Smalley</t>
  </si>
  <si>
    <t>Anita</t>
  </si>
  <si>
    <t>Britney-Sue</t>
  </si>
  <si>
    <t>anita.smalley@hammondlawgroup.com</t>
  </si>
  <si>
    <t>Hammond Neal Moore, LLC</t>
  </si>
  <si>
    <t>Rockville</t>
  </si>
  <si>
    <t>MD</t>
  </si>
  <si>
    <t>K</t>
  </si>
  <si>
    <t>Suite 2700</t>
  </si>
  <si>
    <t>P-100-21152-358889</t>
  </si>
  <si>
    <t>PAL</t>
  </si>
  <si>
    <t>Sagorika</t>
  </si>
  <si>
    <t>HR MANAGER</t>
  </si>
  <si>
    <t>1000 RT 9N</t>
  </si>
  <si>
    <t>SUITE 102</t>
  </si>
  <si>
    <t>WOODBRIDGE</t>
  </si>
  <si>
    <t>hr@netlintechnologies.com</t>
  </si>
  <si>
    <t>NETLINE TECHNOLOGIES LLC</t>
  </si>
  <si>
    <t>ALLEN</t>
  </si>
  <si>
    <t>THOMAS</t>
  </si>
  <si>
    <t>V</t>
  </si>
  <si>
    <t>50 CRAGWOOD ROAD</t>
  </si>
  <si>
    <t>SUITE 100</t>
  </si>
  <si>
    <t>SOUTH PLAINFIELD</t>
  </si>
  <si>
    <t>ICERT@THOMASVALLEN.COM</t>
  </si>
  <si>
    <t>Law Offices Of Thomas V Allen, PLLC</t>
  </si>
  <si>
    <t>SOFTWARE DEVELOPER</t>
  </si>
  <si>
    <t>SCIENCE, TECHNOLOGY, ENGINEERING, OR ANY RELATED FIELD.</t>
  </si>
  <si>
    <t>="MASTER’S DEGREE IN SCIENCE, TECHNOLOGY, ENGINEERING, OR ANY RELATED FIELD WITH 1 YEAR OF EXPERIENCE IN THE JOB OFFERED OR RELATED OCCUPATION IS REQUIRED. BACHELOR’S DEGREE IN THE ABOVE MENTIONED FIELDS ALONG WITH 5 YEARS OF EXPERIENCE IN THE JOB OFFERED</t>
  </si>
  <si>
    <t>PROJECT MANAGER</t>
  </si>
  <si>
    <t>SUITE 102 AND VARIOUS UNANTICIPATED LOCATIONS THROUGHOUT THE U.S.</t>
  </si>
  <si>
    <t>Heider</t>
  </si>
  <si>
    <t>Sheila</t>
  </si>
  <si>
    <t>U.S. Immigrations Ops Manager</t>
  </si>
  <si>
    <t>4500 S. Dobson Rd</t>
  </si>
  <si>
    <t>OC2-265</t>
  </si>
  <si>
    <t>Chandler</t>
  </si>
  <si>
    <t>AZ</t>
  </si>
  <si>
    <t>Intel Corporation</t>
  </si>
  <si>
    <t>2200 Mission College Blvd</t>
  </si>
  <si>
    <t>Williams</t>
  </si>
  <si>
    <t>7500 N. Dreamy Draw Drive</t>
  </si>
  <si>
    <t>intel_pw@fragomen.com</t>
  </si>
  <si>
    <t>2021 Radford Global Technology Survey</t>
  </si>
  <si>
    <t>Electrical/Electronic Engineering, &amp;/or Computer Engineering, or Science, or related Science or Engineering Discipline</t>
  </si>
  <si>
    <t>Electronics Engineers, Except Computer</t>
  </si>
  <si>
    <t>Njegovan</t>
  </si>
  <si>
    <t>Jovanka</t>
  </si>
  <si>
    <t>HR Business Partner</t>
  </si>
  <si>
    <t>300 Park Blvd</t>
  </si>
  <si>
    <t>Ste 500</t>
  </si>
  <si>
    <t>Itasca</t>
  </si>
  <si>
    <t>jnjegovan@flexera.com</t>
  </si>
  <si>
    <t>Flexera Software</t>
  </si>
  <si>
    <t>Hanson</t>
  </si>
  <si>
    <t>Dawn</t>
  </si>
  <si>
    <t>220 Virginia Avenue</t>
  </si>
  <si>
    <t>immigration@anthem.com</t>
  </si>
  <si>
    <t>Love</t>
  </si>
  <si>
    <t>Ian</t>
  </si>
  <si>
    <t>ian.love@giafirm.com</t>
  </si>
  <si>
    <t>Norfolk</t>
  </si>
  <si>
    <t>Senior Immigration Specialist</t>
  </si>
  <si>
    <t>3 Greenway Plaza</t>
  </si>
  <si>
    <t>Suite 800</t>
  </si>
  <si>
    <t>Houston</t>
  </si>
  <si>
    <t>Foster LLP</t>
  </si>
  <si>
    <t>Operations Research Analysts</t>
  </si>
  <si>
    <t xml:space="preserve">Browning </t>
  </si>
  <si>
    <t xml:space="preserve">Melissa </t>
  </si>
  <si>
    <t xml:space="preserve">Immigration Manager, Global Mobility &amp; Immigration </t>
  </si>
  <si>
    <t>415 Mission Street</t>
  </si>
  <si>
    <t>melissa.browning@salesforce.com</t>
  </si>
  <si>
    <t xml:space="preserve">Salesforce.com, Inc. </t>
  </si>
  <si>
    <t xml:space="preserve">Brown </t>
  </si>
  <si>
    <t xml:space="preserve">Ashley </t>
  </si>
  <si>
    <t>Lynn</t>
  </si>
  <si>
    <t xml:space="preserve">2101 Wilson Blvd. </t>
  </si>
  <si>
    <t xml:space="preserve">Suite 1100 </t>
  </si>
  <si>
    <t>Arlington</t>
  </si>
  <si>
    <t>ashleyb@eiglaw.com</t>
  </si>
  <si>
    <t>Kim</t>
  </si>
  <si>
    <t>Human Resources Generalist</t>
  </si>
  <si>
    <t>STE 300</t>
  </si>
  <si>
    <t>Suite 150</t>
  </si>
  <si>
    <t>Nelson</t>
  </si>
  <si>
    <t>Kristen</t>
  </si>
  <si>
    <t>Controller</t>
  </si>
  <si>
    <t>12775 Hwy 6</t>
  </si>
  <si>
    <t>Gypsum</t>
  </si>
  <si>
    <t>kristen@thelandscapecenter.com</t>
  </si>
  <si>
    <t>G.H. Daniels III  &amp; Associates, Inc.</t>
  </si>
  <si>
    <t>Pooley</t>
  </si>
  <si>
    <t>Christopher</t>
  </si>
  <si>
    <t>P.O. Box 5130</t>
  </si>
  <si>
    <t>Avon</t>
  </si>
  <si>
    <t>cpooley2009@gmail.com</t>
  </si>
  <si>
    <t>Law Office of Chris Pooley, Esq.</t>
  </si>
  <si>
    <t>Supervisor</t>
  </si>
  <si>
    <t>37-3011.00</t>
  </si>
  <si>
    <t>Landscaping and Groundskeeping Workers</t>
  </si>
  <si>
    <t>First-Line Supervisors of Landscaping, Lawn Service, and Groundskeeping Workers</t>
  </si>
  <si>
    <t>Megan</t>
  </si>
  <si>
    <t>Corporate Counsel</t>
  </si>
  <si>
    <t>ME</t>
  </si>
  <si>
    <t>MAINE</t>
  </si>
  <si>
    <t>Sara</t>
  </si>
  <si>
    <t>66 Pearl Street</t>
  </si>
  <si>
    <t>Portland</t>
  </si>
  <si>
    <t>Practice Manager</t>
  </si>
  <si>
    <t>General Counsel</t>
  </si>
  <si>
    <t>Peng</t>
  </si>
  <si>
    <t>Suite 3000</t>
  </si>
  <si>
    <t>Cypher</t>
  </si>
  <si>
    <t>Brandi</t>
  </si>
  <si>
    <t>Immigration Analyst</t>
  </si>
  <si>
    <t>821 2nd Avenue</t>
  </si>
  <si>
    <t>SUITE 1900</t>
  </si>
  <si>
    <t>BRANDIC@SLALOM.COM</t>
  </si>
  <si>
    <t>Slalom, LLC</t>
  </si>
  <si>
    <t>Suite 1900</t>
  </si>
  <si>
    <t>Toy</t>
  </si>
  <si>
    <t>Yvonne</t>
  </si>
  <si>
    <t>465 CALIFORNIA ST</t>
  </si>
  <si>
    <t>SAN FRANCISCO</t>
  </si>
  <si>
    <t>Technology Consultant</t>
  </si>
  <si>
    <t>P-100-21145-342377</t>
  </si>
  <si>
    <t>Eberlin</t>
  </si>
  <si>
    <t>Rick</t>
  </si>
  <si>
    <t xml:space="preserve">Director of Human Resources </t>
  </si>
  <si>
    <t>5535 Peach Street</t>
  </si>
  <si>
    <t>Erie</t>
  </si>
  <si>
    <t>reberlin@lecomslc.org</t>
  </si>
  <si>
    <t>LECOM at Presque Isle</t>
  </si>
  <si>
    <t>LECOM Health Nursing and Rehabilitation</t>
  </si>
  <si>
    <t>4114 Schaper Avenue</t>
  </si>
  <si>
    <t>Goldstein</t>
  </si>
  <si>
    <t>Joshua</t>
  </si>
  <si>
    <t>Princeton</t>
  </si>
  <si>
    <t>Suite 240</t>
  </si>
  <si>
    <t>Network and Computer Systems Administrators</t>
  </si>
  <si>
    <t>PHYSICAL THERAPIST</t>
  </si>
  <si>
    <t>Physical Therapists</t>
  </si>
  <si>
    <t>Amazon.com Services LLC</t>
  </si>
  <si>
    <t>SEATTLE</t>
  </si>
  <si>
    <t>Floor 11</t>
  </si>
  <si>
    <t>Santa Rosa</t>
  </si>
  <si>
    <t>Shapiro</t>
  </si>
  <si>
    <t>Attorney in Fact/Exec. Dir., Asst. Gen. Counsel</t>
  </si>
  <si>
    <t>10 South Dearborn Street</t>
  </si>
  <si>
    <t>20th Floor, IL1-0043</t>
  </si>
  <si>
    <t>JPMORGAN CHASE &amp; CO.</t>
  </si>
  <si>
    <t>JEFFREY</t>
  </si>
  <si>
    <t>8529 Six Forks Road</t>
  </si>
  <si>
    <t>Forum IV, Suite 600</t>
  </si>
  <si>
    <t>Raleigh</t>
  </si>
  <si>
    <t>Ogletree, Deakins, Nash, Smoak &amp; Stewart, P.C.</t>
  </si>
  <si>
    <t>2020 US MERCER BENCHMARK DATABASE SURVEY</t>
  </si>
  <si>
    <t>NA</t>
  </si>
  <si>
    <t>Hicksville</t>
  </si>
  <si>
    <t>Samantha</t>
  </si>
  <si>
    <t>Livonia</t>
  </si>
  <si>
    <t>Baggett</t>
  </si>
  <si>
    <t>D. Earl</t>
  </si>
  <si>
    <t>200 S 10th St</t>
  </si>
  <si>
    <t>Suite 1600</t>
  </si>
  <si>
    <t>ebaggett@williamsmullen.com</t>
  </si>
  <si>
    <t>Williams Mullen</t>
  </si>
  <si>
    <t>Database Architects</t>
  </si>
  <si>
    <t>Coppell</t>
  </si>
  <si>
    <t>2021 7TH AVENUE</t>
  </si>
  <si>
    <t xml:space="preserve">3rd Floor   </t>
  </si>
  <si>
    <t>Sam</t>
  </si>
  <si>
    <t>Choi</t>
  </si>
  <si>
    <t>Anna</t>
  </si>
  <si>
    <t>1055 West 7th Street</t>
  </si>
  <si>
    <t>Data Warehousing Specialists</t>
  </si>
  <si>
    <t>4th Floor</t>
  </si>
  <si>
    <t>Gardena</t>
  </si>
  <si>
    <t>P-400-21146-344418</t>
  </si>
  <si>
    <t>Shafter</t>
  </si>
  <si>
    <t xml:space="preserve">Assistant Director, Human Resources </t>
  </si>
  <si>
    <t>State Highway 210</t>
  </si>
  <si>
    <t>Snowbird</t>
  </si>
  <si>
    <t>UT</t>
  </si>
  <si>
    <t>saraj@snowbird.com</t>
  </si>
  <si>
    <t>Snowbird Operations LLC</t>
  </si>
  <si>
    <t>Snowbird Ski and Summer Resort</t>
  </si>
  <si>
    <t>UTAH</t>
  </si>
  <si>
    <t>Melendez</t>
  </si>
  <si>
    <t>Barbara</t>
  </si>
  <si>
    <t>111 E Broadway</t>
  </si>
  <si>
    <t>Salt Lake City</t>
  </si>
  <si>
    <t>barbara-melendez@rbmn.com</t>
  </si>
  <si>
    <t>Richards Brandt Miller Nelson</t>
  </si>
  <si>
    <t xml:space="preserve">Restaurant Attendants </t>
  </si>
  <si>
    <t>Dining Room and Cafeteria Attendants and Bartender Helpers</t>
  </si>
  <si>
    <t>P-400-21154-365480</t>
  </si>
  <si>
    <t>DUNN</t>
  </si>
  <si>
    <t>1680 US ROUTE 1</t>
  </si>
  <si>
    <t>CAPE NEDDICK</t>
  </si>
  <si>
    <t>USAMERICANS@AOL.COM</t>
  </si>
  <si>
    <t xml:space="preserve">STONEY BROOK LANDSCAPING LLC </t>
  </si>
  <si>
    <t xml:space="preserve">1680 US ROUTE 1 </t>
  </si>
  <si>
    <t>GISMONDI</t>
  </si>
  <si>
    <t>JOHN</t>
  </si>
  <si>
    <t>888 BALDWIN DRIVE</t>
  </si>
  <si>
    <t>WESTBURY</t>
  </si>
  <si>
    <t>US AMERICANS INC</t>
  </si>
  <si>
    <t>GENERAL LABORER</t>
  </si>
  <si>
    <t>Laborers and Freight, Stock, and Material Movers, Hand</t>
  </si>
  <si>
    <t>OWNER</t>
  </si>
  <si>
    <t>MULTIPLE SITES IN YORK COUNTY</t>
  </si>
  <si>
    <t>Portsmouth, NH-ME</t>
  </si>
  <si>
    <t>RALEIGH</t>
  </si>
  <si>
    <t>Cruz</t>
  </si>
  <si>
    <t>Andrew</t>
  </si>
  <si>
    <t>Director of Nursing</t>
  </si>
  <si>
    <t>Merritt</t>
  </si>
  <si>
    <t>10721 Domain Drive</t>
  </si>
  <si>
    <t>Austin</t>
  </si>
  <si>
    <t>limmipwd@indeed.com</t>
  </si>
  <si>
    <t>Indeed, Inc.</t>
  </si>
  <si>
    <t>Stamford</t>
  </si>
  <si>
    <t>ANNE</t>
  </si>
  <si>
    <t>2600 BEAUMONT STREET</t>
  </si>
  <si>
    <t>GREEN BAY</t>
  </si>
  <si>
    <t>WYNGAARD LAW FIRM LLC</t>
  </si>
  <si>
    <t>SILIE</t>
  </si>
  <si>
    <t>CATHERINE</t>
  </si>
  <si>
    <t>F.</t>
  </si>
  <si>
    <t>VICE PRESIDENT, HUMAN CAPITAL MANAGEMENT</t>
  </si>
  <si>
    <t>30 HUDSON STREET</t>
  </si>
  <si>
    <t>JERSEY CITY</t>
  </si>
  <si>
    <t>AMERICAS_IMMIGRATION@NY.EMAIL.GS.COM</t>
  </si>
  <si>
    <t>GOLDMAN SACHS &amp; CO. LLC</t>
  </si>
  <si>
    <t>200 West Street</t>
  </si>
  <si>
    <t>Jacqueline</t>
  </si>
  <si>
    <t>Dan</t>
  </si>
  <si>
    <t>Eric</t>
  </si>
  <si>
    <t>John</t>
  </si>
  <si>
    <t>Woodland Hills</t>
  </si>
  <si>
    <t>Wolfsdorf Rosenthal LLP</t>
  </si>
  <si>
    <t>Senior Data Engineer</t>
  </si>
  <si>
    <t>See F.b.5.a.</t>
  </si>
  <si>
    <t>Computer Network Architects</t>
  </si>
  <si>
    <t>Angel</t>
  </si>
  <si>
    <t>ENGLEWOOD CLIFFS</t>
  </si>
  <si>
    <t>Director of Engineering</t>
  </si>
  <si>
    <t>Irving</t>
  </si>
  <si>
    <t>Mills</t>
  </si>
  <si>
    <t>James</t>
  </si>
  <si>
    <t>Suite 102</t>
  </si>
  <si>
    <t>NEVADA</t>
  </si>
  <si>
    <t>KIM</t>
  </si>
  <si>
    <t xml:space="preserve">1400 BROADWAY </t>
  </si>
  <si>
    <t>Winter Garden</t>
  </si>
  <si>
    <t>Cerritos</t>
  </si>
  <si>
    <t xml:space="preserve">Project Manager </t>
  </si>
  <si>
    <t>Senior Manager</t>
  </si>
  <si>
    <t>Cook</t>
  </si>
  <si>
    <t>Sharon</t>
  </si>
  <si>
    <t>1075 Peachtree Street NE</t>
  </si>
  <si>
    <t>Seyfarth Shaw LLP</t>
  </si>
  <si>
    <t>2020 US MBD: Mercer Benchmark Database Survey</t>
  </si>
  <si>
    <t>Assistant Professor Clinical</t>
  </si>
  <si>
    <t>M.D.</t>
  </si>
  <si>
    <t>Health Specialties Teachers, Postsecondary</t>
  </si>
  <si>
    <t>395 West 12th Avenue</t>
  </si>
  <si>
    <t>Chief Financial Officer</t>
  </si>
  <si>
    <t>Books</t>
  </si>
  <si>
    <t>Rachelle</t>
  </si>
  <si>
    <t>Global Mobility Manager</t>
  </si>
  <si>
    <t>8500 Governors Hill Drive</t>
  </si>
  <si>
    <t>rachelle.books@fisglobal.com</t>
  </si>
  <si>
    <t>FIS Management Services, LLC</t>
  </si>
  <si>
    <t>1 NEW YORK PLAZA</t>
  </si>
  <si>
    <t>SUITE 4500</t>
  </si>
  <si>
    <t>Gregorio</t>
  </si>
  <si>
    <t>Senior Director</t>
  </si>
  <si>
    <t>601 Riverside Avenue</t>
  </si>
  <si>
    <t>Jacksonville</t>
  </si>
  <si>
    <t>DETROIT</t>
  </si>
  <si>
    <t>Dentists, General</t>
  </si>
  <si>
    <t>DENTAL DIRECTOR</t>
  </si>
  <si>
    <t>Owner</t>
  </si>
  <si>
    <t>Wright</t>
  </si>
  <si>
    <t>Evelyn</t>
  </si>
  <si>
    <t>Amanda</t>
  </si>
  <si>
    <t>114 Lexington Turnpike, Suite 200</t>
  </si>
  <si>
    <t>P. O. Box 1226</t>
  </si>
  <si>
    <t>Amherst</t>
  </si>
  <si>
    <t>amanda@phoenixlabor.us</t>
  </si>
  <si>
    <t>Phoenix Labor Consultants LLC</t>
  </si>
  <si>
    <t>Meat, Poultry, and Fish Cutters and Trimmers</t>
  </si>
  <si>
    <t>Solis</t>
  </si>
  <si>
    <t>Jose</t>
  </si>
  <si>
    <t>100 Wayland Smith Drive</t>
  </si>
  <si>
    <t>Uniontown</t>
  </si>
  <si>
    <t>elpatron.uniontown@gmail.com</t>
  </si>
  <si>
    <t>El Patron Uniontown Mexican Grill LLC</t>
  </si>
  <si>
    <t>Contreras</t>
  </si>
  <si>
    <t>Michele</t>
  </si>
  <si>
    <t>1040 North Kings Highway</t>
  </si>
  <si>
    <t>Suite 302</t>
  </si>
  <si>
    <t>Cherry Hill</t>
  </si>
  <si>
    <t>New Jersey</t>
  </si>
  <si>
    <t>office@h-2visas.com</t>
  </si>
  <si>
    <t>Law Office of Michele Contreras, LLC</t>
  </si>
  <si>
    <t>Food Service Supervisor</t>
  </si>
  <si>
    <t>35-2014.00; 35-2021.00; 35-9099.00</t>
  </si>
  <si>
    <t>Cooks, Restaurant; Food Preparation Workers; Food Preparation and Serving Related Workers, All Other</t>
  </si>
  <si>
    <t>First-Line Supervisors of Food Preparation and Serving Workers</t>
  </si>
  <si>
    <t>Software Developer</t>
  </si>
  <si>
    <t>San Mateo</t>
  </si>
  <si>
    <t>Schaham Gordon</t>
  </si>
  <si>
    <t>Gali</t>
  </si>
  <si>
    <t>461 2nd Street</t>
  </si>
  <si>
    <t>#C301</t>
  </si>
  <si>
    <t>team@gordonlawgrouppc.com</t>
  </si>
  <si>
    <t>Gordon Law Group PC</t>
  </si>
  <si>
    <t>Please see Section F.b.5.a(iv)</t>
  </si>
  <si>
    <t>Lleras</t>
  </si>
  <si>
    <t>Lorenzo</t>
  </si>
  <si>
    <t>150 NW 75th Drive</t>
  </si>
  <si>
    <t>Gainesville</t>
  </si>
  <si>
    <t>lorenzo@usvisanews.com</t>
  </si>
  <si>
    <t>Encore Rehabilitation Services, LLC</t>
  </si>
  <si>
    <t>Farmington Hills</t>
  </si>
  <si>
    <t>Lorenzo M. Lleras, P.A.</t>
  </si>
  <si>
    <t>Physical Therapist</t>
  </si>
  <si>
    <t>Physical Therapy</t>
  </si>
  <si>
    <t>Detroit</t>
  </si>
  <si>
    <t>STEVEN</t>
  </si>
  <si>
    <t>SOMERSET</t>
  </si>
  <si>
    <t>Somerset</t>
  </si>
  <si>
    <t>Newark</t>
  </si>
  <si>
    <t>Justin</t>
  </si>
  <si>
    <t>Project Manager</t>
  </si>
  <si>
    <t>Stone</t>
  </si>
  <si>
    <t>Fred</t>
  </si>
  <si>
    <t>Executive Counsel</t>
  </si>
  <si>
    <t>399 Park Avenue</t>
  </si>
  <si>
    <t>HRImmigration@mlp.com</t>
  </si>
  <si>
    <t>MPG Operations LLC</t>
  </si>
  <si>
    <t>Millennium Management LLC</t>
  </si>
  <si>
    <t>Umeh</t>
  </si>
  <si>
    <t>Nneka</t>
  </si>
  <si>
    <t>300 North LaSalle Street</t>
  </si>
  <si>
    <t>Suite 4000</t>
  </si>
  <si>
    <t>stephanie.rackow@quarles.com</t>
  </si>
  <si>
    <t>Quarles &amp; Brady LLP</t>
  </si>
  <si>
    <t>Lead Developer</t>
  </si>
  <si>
    <t>Beaverton</t>
  </si>
  <si>
    <t>OR</t>
  </si>
  <si>
    <t>Omaha</t>
  </si>
  <si>
    <t>NEBRASKA</t>
  </si>
  <si>
    <t>Principal</t>
  </si>
  <si>
    <t>ABDELAZIZ</t>
  </si>
  <si>
    <t>AHMED</t>
  </si>
  <si>
    <t>EVP OPERATIONS</t>
  </si>
  <si>
    <t>500 S KRAEMER BOULEVARD</t>
  </si>
  <si>
    <t>SUITE 301</t>
  </si>
  <si>
    <t>BREA</t>
  </si>
  <si>
    <t>NISUM TECHNOLOGIES INC</t>
  </si>
  <si>
    <t>CHUGH</t>
  </si>
  <si>
    <t>NAVNEET</t>
  </si>
  <si>
    <t>SINGH</t>
  </si>
  <si>
    <t>1600 DUANE AVENUE</t>
  </si>
  <si>
    <t>SANTA CLARA</t>
  </si>
  <si>
    <t>JAGMINDER@CHUGH.COM</t>
  </si>
  <si>
    <t>CHUGH LLP</t>
  </si>
  <si>
    <t>Computer Science, Computer Engineering, Computer Applications, Computer Information Systems, Engineering in the technological / scientific field, or related field.</t>
  </si>
  <si>
    <t>Travel to unanticipated client/work sites and/or relocate throughout the U.S.</t>
  </si>
  <si>
    <t>500 S KRAEMER BOULEVARD SUITE 301</t>
  </si>
  <si>
    <t>Other unanticipated client sites throughout the US.</t>
  </si>
  <si>
    <t>Schaumburg</t>
  </si>
  <si>
    <t>Choe</t>
  </si>
  <si>
    <t>A</t>
  </si>
  <si>
    <t>30300 Agoura Road, Suite B100</t>
  </si>
  <si>
    <t>Agoura Hills</t>
  </si>
  <si>
    <t>perm@gip-us.com</t>
  </si>
  <si>
    <t>Global Immigration Partners, Inc.</t>
  </si>
  <si>
    <t>CTO</t>
  </si>
  <si>
    <t>PAUL</t>
  </si>
  <si>
    <t>General Manager</t>
  </si>
  <si>
    <t>Sarasota</t>
  </si>
  <si>
    <t>SEHEULT</t>
  </si>
  <si>
    <t>MALCOLM</t>
  </si>
  <si>
    <t>7601 EAST TREASURE DR</t>
  </si>
  <si>
    <t>North Bay Village</t>
  </si>
  <si>
    <t>ges-america@outlook.com</t>
  </si>
  <si>
    <t>GLOBAL EMPLOYMENT SERVICES</t>
  </si>
  <si>
    <t>Server</t>
  </si>
  <si>
    <t>Waiters and Waitresses</t>
  </si>
  <si>
    <t>Moore</t>
  </si>
  <si>
    <t>Decatur</t>
  </si>
  <si>
    <t>AL</t>
  </si>
  <si>
    <t>ALABAMA</t>
  </si>
  <si>
    <t>Wang</t>
  </si>
  <si>
    <t>Huntsville</t>
  </si>
  <si>
    <t>KYLE</t>
  </si>
  <si>
    <t>Stephen</t>
  </si>
  <si>
    <t>P-400-21142-336090</t>
  </si>
  <si>
    <t>MCCUBBIN</t>
  </si>
  <si>
    <t>ROBERT</t>
  </si>
  <si>
    <t>OPERATIONS MANAGER</t>
  </si>
  <si>
    <t>19365 FM 2252</t>
  </si>
  <si>
    <t>SUITE 9</t>
  </si>
  <si>
    <t>GARDEN RIDGE</t>
  </si>
  <si>
    <t>paolar@h2visaconsultants.com</t>
  </si>
  <si>
    <t>TRANSPORT LEASING COMPANY, LLC</t>
  </si>
  <si>
    <t>1901 BENEFIS COURT</t>
  </si>
  <si>
    <t>GREAT FALLS</t>
  </si>
  <si>
    <t>MONTANA</t>
  </si>
  <si>
    <t>process@h2visaconsultants.com</t>
  </si>
  <si>
    <t>H2 VISA CONSULTANTS, LLC</t>
  </si>
  <si>
    <t>TRUCK DRIVER</t>
  </si>
  <si>
    <t>Heavy and Tractor-Trailer Truck Drivers</t>
  </si>
  <si>
    <t>VICE PRESIDENT OF SAFETY</t>
  </si>
  <si>
    <t>WILL TRAVEL TO VARIOUS SUGAR BEET HARVEST PILE SITES.</t>
  </si>
  <si>
    <t>1027 BLUE LAKES BLVD</t>
  </si>
  <si>
    <t>TWIN FALLS</t>
  </si>
  <si>
    <t>IDAHO</t>
  </si>
  <si>
    <t>P-100-21138-321513</t>
  </si>
  <si>
    <t xml:space="preserve">VANESSA </t>
  </si>
  <si>
    <t>SENIOR BUSINESS IMMIGRATION ANALYST</t>
  </si>
  <si>
    <t>vmiraj@fragomen.com</t>
  </si>
  <si>
    <t>Associate</t>
  </si>
  <si>
    <t>Information Systems, Computer Science, Electronic Engineering, or a related field of study.</t>
  </si>
  <si>
    <t>="utilizing business process innovation and automation tools to digitize operations processes; executing business process re-engineering projects by conducting business analysis functions in collaboration with cross functional teams; and utilizing busines</t>
  </si>
  <si>
    <t xml:space="preserve">725 Ponce De Leon Avenue NE </t>
  </si>
  <si>
    <t>Shawn</t>
  </si>
  <si>
    <t>n/a</t>
  </si>
  <si>
    <t>H</t>
  </si>
  <si>
    <t>Senior Information Security Analyst</t>
  </si>
  <si>
    <t>Suite 204</t>
  </si>
  <si>
    <t>Encino</t>
  </si>
  <si>
    <t>Civil Engineering</t>
  </si>
  <si>
    <t>Sacramento</t>
  </si>
  <si>
    <t>People Operations Manager</t>
  </si>
  <si>
    <t>Maria</t>
  </si>
  <si>
    <t>Suite 2400</t>
  </si>
  <si>
    <t>Manager, Software Engineering</t>
  </si>
  <si>
    <t>Director of Operations</t>
  </si>
  <si>
    <t>Carpenter</t>
  </si>
  <si>
    <t>Krista</t>
  </si>
  <si>
    <t>Louise</t>
  </si>
  <si>
    <t>314 Town Center Drive</t>
  </si>
  <si>
    <t>greencard@piston.net</t>
  </si>
  <si>
    <t>Piston &amp; Carpenter P.C.</t>
  </si>
  <si>
    <t>Fort Worth</t>
  </si>
  <si>
    <t>Pearland</t>
  </si>
  <si>
    <t>Painters, Construction and Maintenance</t>
  </si>
  <si>
    <t>Clark</t>
  </si>
  <si>
    <t>Erin</t>
  </si>
  <si>
    <t>Bloomington</t>
  </si>
  <si>
    <t>Research Associate</t>
  </si>
  <si>
    <t>Jessica</t>
  </si>
  <si>
    <t>Project Engineer</t>
  </si>
  <si>
    <t>San Marcos</t>
  </si>
  <si>
    <t>CFO</t>
  </si>
  <si>
    <t>Westlake Village</t>
  </si>
  <si>
    <t>30300 Agoura Road, Ste. B-100</t>
  </si>
  <si>
    <t xml:space="preserve">See F.a.2. </t>
  </si>
  <si>
    <t>Chief Technology Officer</t>
  </si>
  <si>
    <t>Medikundam</t>
  </si>
  <si>
    <t xml:space="preserve">Attorney At Law </t>
  </si>
  <si>
    <t>802 E. Woodfield Road</t>
  </si>
  <si>
    <t>icert@bizlegalservices.com</t>
  </si>
  <si>
    <t>Haripriya</t>
  </si>
  <si>
    <t>Suite G 400</t>
  </si>
  <si>
    <t>Armstrong</t>
  </si>
  <si>
    <t>100 Pine Street</t>
  </si>
  <si>
    <t>Suite 1250</t>
  </si>
  <si>
    <t>MCCOWN &amp; EVANS LLP</t>
  </si>
  <si>
    <t>General and Operations Managers</t>
  </si>
  <si>
    <t>Park</t>
  </si>
  <si>
    <t>Gump/ D'Souza</t>
  </si>
  <si>
    <t>Geri/ Kyle</t>
  </si>
  <si>
    <t>Mobility Specialist/ Mobility Cons., Immigration Manager</t>
  </si>
  <si>
    <t>170 West Tasman Drive</t>
  </si>
  <si>
    <t>ems-immigration@cisco.com</t>
  </si>
  <si>
    <t>Cisco Systems, Inc.</t>
  </si>
  <si>
    <t>Da'Niel</t>
  </si>
  <si>
    <t>cisco@fragomen.com</t>
  </si>
  <si>
    <t xml:space="preserve">Master’s or foreign degree equivalent in Computer Science, Computer Engineering, Electrical Engineering, or related field. </t>
  </si>
  <si>
    <t xml:space="preserve">170 W. Tasman Drive </t>
  </si>
  <si>
    <t xml:space="preserve">San Jose </t>
  </si>
  <si>
    <t>Li</t>
  </si>
  <si>
    <t>Chief Executive Officer</t>
  </si>
  <si>
    <t>Chen</t>
  </si>
  <si>
    <t>Daniel</t>
  </si>
  <si>
    <t>Melissa</t>
  </si>
  <si>
    <t>Adrienne</t>
  </si>
  <si>
    <t>McLean</t>
  </si>
  <si>
    <t>Software Development Engineer</t>
  </si>
  <si>
    <t>See F.b.5.a</t>
  </si>
  <si>
    <t>Tempe</t>
  </si>
  <si>
    <t>Jackson</t>
  </si>
  <si>
    <t>Jorinne</t>
  </si>
  <si>
    <t>1450 Veterans Blvd.</t>
  </si>
  <si>
    <t>Redwood City</t>
  </si>
  <si>
    <t>jorinnej@dpr.com</t>
  </si>
  <si>
    <t>DPR Construction, A General Partnership</t>
  </si>
  <si>
    <t>DPR Construction</t>
  </si>
  <si>
    <t>Cohn-Mintz</t>
  </si>
  <si>
    <t>Beth</t>
  </si>
  <si>
    <t>180 Sutter Street</t>
  </si>
  <si>
    <t>bcoh@vblaw.com</t>
  </si>
  <si>
    <t>Van Der Hout LLP</t>
  </si>
  <si>
    <t>Construction Managers</t>
  </si>
  <si>
    <t>225 N Peters Ave</t>
  </si>
  <si>
    <t>Norman</t>
  </si>
  <si>
    <t>OK</t>
  </si>
  <si>
    <t>contact@velie.us</t>
  </si>
  <si>
    <t>OKLAHOMA</t>
  </si>
  <si>
    <t>Suite 1</t>
  </si>
  <si>
    <t>William Velie, Attorney at Law PLLC</t>
  </si>
  <si>
    <t>Sewing Machine Operators</t>
  </si>
  <si>
    <t>Memphis</t>
  </si>
  <si>
    <t>Ruby</t>
  </si>
  <si>
    <t>Jay</t>
  </si>
  <si>
    <t>P-100-21160-381385</t>
  </si>
  <si>
    <t>GODOI</t>
  </si>
  <si>
    <t>Lorena</t>
  </si>
  <si>
    <t>Immigration &amp; Global Mobility Consultant</t>
  </si>
  <si>
    <t>2500 Lake Cook Road</t>
  </si>
  <si>
    <t>Riverwoods</t>
  </si>
  <si>
    <t>lorenagodoi@discover.com</t>
  </si>
  <si>
    <t>Discover Products Inc.</t>
  </si>
  <si>
    <t>2500 LAKE COOK ROAD</t>
  </si>
  <si>
    <t>Almonte</t>
  </si>
  <si>
    <t>charles.sutter@fragomen.com</t>
  </si>
  <si>
    <t>Lead Data Science Analyst</t>
  </si>
  <si>
    <t>STATISTICS, ANALYTICS, MATHEMATICS, DATA SCIENCE OR RELATED FIELD.</t>
  </si>
  <si>
    <t>="Four (4) years of experience in the job offered or related occupation: applying statistical techniques, including decision trees and regression analysis; performing experimental design with A/B testing; utilizing building tools, including Tableau, Power</t>
  </si>
  <si>
    <t>="Two (2) years of experience in the job offered or related occupation: applying statistical techniques, including decision trees and regression analysis; performing experimental design with A/B testing; utilizing building tools, including Tableau, PowerB</t>
  </si>
  <si>
    <t>Director Operations Strategy</t>
  </si>
  <si>
    <t>P-400-21130-299380</t>
  </si>
  <si>
    <t>Harrison</t>
  </si>
  <si>
    <t>Russ</t>
  </si>
  <si>
    <t>5935 N. Highland Park Dr.</t>
  </si>
  <si>
    <t>Hernando</t>
  </si>
  <si>
    <t>rudyseastcoast@aol.com</t>
  </si>
  <si>
    <t>Rudy's, Inc.</t>
  </si>
  <si>
    <t>Judkins</t>
  </si>
  <si>
    <t>Kendrick</t>
  </si>
  <si>
    <t>806 Morgan Boulevard</t>
  </si>
  <si>
    <t>Suite J</t>
  </si>
  <si>
    <t>Harlingen</t>
  </si>
  <si>
    <t>james.k.judkins@jkjworkforce.com</t>
  </si>
  <si>
    <t>JKJ Workforce Agency, Inc.</t>
  </si>
  <si>
    <t>Amusement &amp; Recreation Attendant – Food Concessions</t>
  </si>
  <si>
    <t>Amusement and Recreation Attendants</t>
  </si>
  <si>
    <t>Manager or Supervisor</t>
  </si>
  <si>
    <t xml:space="preserve">Employer is an Outdoor Traveling Amusement Attraction.  Travel is required from event location to event location as per the itinerary as detailed in Addendum Section E.c.7.a: Additional Worksites.  
Optional mobile housing &amp; local convenience travel are available.  
</t>
  </si>
  <si>
    <t>5935 N. Highland Park Drive</t>
  </si>
  <si>
    <t>Peterson</t>
  </si>
  <si>
    <t>Tracie</t>
  </si>
  <si>
    <t>Training and Recruitment Manager, Human Resources</t>
  </si>
  <si>
    <t>85 Parsenn Road</t>
  </si>
  <si>
    <t>Winter Park</t>
  </si>
  <si>
    <t>TPeterson@winterparkresort.com</t>
  </si>
  <si>
    <t>Intrawest Hospitality Management, Inc.</t>
  </si>
  <si>
    <t>Winter Park Resort</t>
  </si>
  <si>
    <t>Pabian</t>
  </si>
  <si>
    <t>Keith</t>
  </si>
  <si>
    <t>40 Speen Street</t>
  </si>
  <si>
    <t>keith.pabian@pabianlaw.com</t>
  </si>
  <si>
    <t xml:space="preserve">Pabian Law, LLC </t>
  </si>
  <si>
    <t>Food &amp; Beverage Manager</t>
  </si>
  <si>
    <t>Chefs and Head Cooks</t>
  </si>
  <si>
    <t>See F.b.5</t>
  </si>
  <si>
    <t>Logistics Engineers</t>
  </si>
  <si>
    <t>2005 Swift Avenue</t>
  </si>
  <si>
    <t>North Kansas City</t>
  </si>
  <si>
    <t>elisa@kcimmigrationlaw.com</t>
  </si>
  <si>
    <t xml:space="preserve">The McCrummen Immigration Law Group, LLC </t>
  </si>
  <si>
    <t>Farmers, Ranchers, and Other Agricultural Managers</t>
  </si>
  <si>
    <t xml:space="preserve">Manager </t>
  </si>
  <si>
    <t>Barafwala</t>
  </si>
  <si>
    <t>Tarique</t>
  </si>
  <si>
    <t>2211 North First Street</t>
  </si>
  <si>
    <t>global_mobility@paypal.com</t>
  </si>
  <si>
    <t>PayPal, Inc.</t>
  </si>
  <si>
    <t>PARSONS</t>
  </si>
  <si>
    <t>TIMOTHY</t>
  </si>
  <si>
    <t>2101 WILSON BLVD.</t>
  </si>
  <si>
    <t>TIM@EIGLAW.COM</t>
  </si>
  <si>
    <t>msperm@Microsoft.com</t>
  </si>
  <si>
    <t>Microsoft Corporation</t>
  </si>
  <si>
    <t>Genise</t>
  </si>
  <si>
    <t>Pamela</t>
  </si>
  <si>
    <t>10451 Mill Run Circle</t>
  </si>
  <si>
    <t>Owings Mills</t>
  </si>
  <si>
    <t>Murthy Law Firm</t>
  </si>
  <si>
    <t>Computer Science, Engineering, Math, Information Systems, Physics or related</t>
  </si>
  <si>
    <t>Reno</t>
  </si>
  <si>
    <t>Andrea</t>
  </si>
  <si>
    <t>Holt</t>
  </si>
  <si>
    <t>800 NW 62nd Avenue</t>
  </si>
  <si>
    <t>Suite 590</t>
  </si>
  <si>
    <t>jestrella@fragomen.com</t>
  </si>
  <si>
    <t>49-9043.00</t>
  </si>
  <si>
    <t>Maintenance Workers, Machinery</t>
  </si>
  <si>
    <t>Maintenance Manager</t>
  </si>
  <si>
    <t>Contreras/ D'Souza</t>
  </si>
  <si>
    <t>Sergio/ Kyle</t>
  </si>
  <si>
    <t>Immigration Consultant/ Mobility Cons., Immigration Manager</t>
  </si>
  <si>
    <t>Aries</t>
  </si>
  <si>
    <t>Sr. Immigration Case Manager</t>
  </si>
  <si>
    <t>One Market, Spear Street Tower, 31th Floor</t>
  </si>
  <si>
    <t>nutanixpermteam@morganlewis.com</t>
  </si>
  <si>
    <t>Nutanix Inc.</t>
  </si>
  <si>
    <t>1740 Technology Drive</t>
  </si>
  <si>
    <t>Gonzaga</t>
  </si>
  <si>
    <t>Christina</t>
  </si>
  <si>
    <t>1400 Page Mill Road</t>
  </si>
  <si>
    <t>94304-1124</t>
  </si>
  <si>
    <t>Morgan Lewis &amp; Bockius LLP</t>
  </si>
  <si>
    <t>Sr. People Business Partner</t>
  </si>
  <si>
    <t>Human Resources Specialists</t>
  </si>
  <si>
    <t>1745 Technology Drive</t>
  </si>
  <si>
    <t>Anne</t>
  </si>
  <si>
    <t>Laurie</t>
  </si>
  <si>
    <t>Suite 1800</t>
  </si>
  <si>
    <t>Plano</t>
  </si>
  <si>
    <t>Johnson</t>
  </si>
  <si>
    <t>Marin</t>
  </si>
  <si>
    <t xml:space="preserve">Registered Nurse </t>
  </si>
  <si>
    <t xml:space="preserve">Nursing </t>
  </si>
  <si>
    <t>Nurse Manager</t>
  </si>
  <si>
    <t>PHYSICAL THERAPY</t>
  </si>
  <si>
    <t>Carrie</t>
  </si>
  <si>
    <t>Kirby</t>
  </si>
  <si>
    <t>Leslie</t>
  </si>
  <si>
    <t>P-100-21165-393815</t>
  </si>
  <si>
    <t>Sanchez</t>
  </si>
  <si>
    <t>Veronica</t>
  </si>
  <si>
    <t>Immigration Director</t>
  </si>
  <si>
    <t>11750 Katy Freeway</t>
  </si>
  <si>
    <t>Suite 750</t>
  </si>
  <si>
    <t>v.sanchez@conexusmedstaff.com</t>
  </si>
  <si>
    <t>Conexus Medstaff LLC</t>
  </si>
  <si>
    <t>4725 Piedmont Row Drive</t>
  </si>
  <si>
    <t>Suite 420</t>
  </si>
  <si>
    <t>Moss</t>
  </si>
  <si>
    <t>Karen</t>
  </si>
  <si>
    <t>Gabriel</t>
  </si>
  <si>
    <t>25 W. Prospect Ave.</t>
  </si>
  <si>
    <t>Cleveland</t>
  </si>
  <si>
    <t>moss@nicola.com</t>
  </si>
  <si>
    <t>Nicola, Gudbranson &amp; Cooper, LLC</t>
  </si>
  <si>
    <t>Medical Technologist</t>
  </si>
  <si>
    <t>Medical Lab Science or Medical Technology</t>
  </si>
  <si>
    <t>Medical and Clinical Laboratory Technologists</t>
  </si>
  <si>
    <t>Brown</t>
  </si>
  <si>
    <t>8th Floor</t>
  </si>
  <si>
    <t>EDISON</t>
  </si>
  <si>
    <t>Radford Global Technology Survey Custom Report</t>
  </si>
  <si>
    <t>Baird</t>
  </si>
  <si>
    <t>Vice President Human Resources</t>
  </si>
  <si>
    <t>101 South Tryon Street</t>
  </si>
  <si>
    <t>nklestinske@scor.com</t>
  </si>
  <si>
    <t>SCOR Global Life Americas Reinsurance Company</t>
  </si>
  <si>
    <t>Flynn</t>
  </si>
  <si>
    <t>Laura</t>
  </si>
  <si>
    <t>janielle.adams@fragomen.com</t>
  </si>
  <si>
    <t>Core Data Scientist</t>
  </si>
  <si>
    <t>="One (1) year of experience in the job offered or a related occupation: utilizing cloud computer platforms, Linux, Python, and visualization tools including MS Power BI and Tableau; performing upgrades to intellectual property and coaching data science t</t>
  </si>
  <si>
    <t>SVP, Underwriting Innovation</t>
  </si>
  <si>
    <t>Nate</t>
  </si>
  <si>
    <t>Thomas</t>
  </si>
  <si>
    <t>Case Manager</t>
  </si>
  <si>
    <t>Ste. 700</t>
  </si>
  <si>
    <t>tom.nate@cipllp.com</t>
  </si>
  <si>
    <t>Director of Product Management</t>
  </si>
  <si>
    <t>Architectural and Engineering Managers</t>
  </si>
  <si>
    <t>Dana</t>
  </si>
  <si>
    <t>Brooklyn</t>
  </si>
  <si>
    <t>Senior Software Engineer</t>
  </si>
  <si>
    <t>Treasurer</t>
  </si>
  <si>
    <t>Helpers--Installation, Maintenance, and Repair Workers</t>
  </si>
  <si>
    <t>Burke</t>
  </si>
  <si>
    <t>Alexandra</t>
  </si>
  <si>
    <t>Sunnyvale</t>
  </si>
  <si>
    <t>Suite 3500</t>
  </si>
  <si>
    <t>intelpwd@intel.com</t>
  </si>
  <si>
    <t>Electrical/Electronic Engineering, &amp;/or Computer Engineering, or Science, or related Science or Engineering Discipline.</t>
  </si>
  <si>
    <t>2111 NE 25th Ave</t>
  </si>
  <si>
    <t>Hillsboro</t>
  </si>
  <si>
    <t>OREGON</t>
  </si>
  <si>
    <t>DALLAS</t>
  </si>
  <si>
    <t>Jones</t>
  </si>
  <si>
    <t>13111 N CENTRAL EXPRESSWAY</t>
  </si>
  <si>
    <t>STE 150</t>
  </si>
  <si>
    <t>Supply Chain Managers</t>
  </si>
  <si>
    <t>Torres</t>
  </si>
  <si>
    <t>Ellen</t>
  </si>
  <si>
    <t>Benitez</t>
  </si>
  <si>
    <t>Doral</t>
  </si>
  <si>
    <t>Kadison</t>
  </si>
  <si>
    <t>Executive Office Manager</t>
  </si>
  <si>
    <t>Suite 2</t>
  </si>
  <si>
    <t>Concord</t>
  </si>
  <si>
    <t>will@poolplastering.com</t>
  </si>
  <si>
    <t>Kadison Pool Plastering</t>
  </si>
  <si>
    <t>D'Arrigo</t>
  </si>
  <si>
    <t>Leonard</t>
  </si>
  <si>
    <t>677 Broadway</t>
  </si>
  <si>
    <t>Suite 1101</t>
  </si>
  <si>
    <t>Albany</t>
  </si>
  <si>
    <t>H2@HarrisBeach.com</t>
  </si>
  <si>
    <t>Harris Beach PLLC</t>
  </si>
  <si>
    <t>Helpers--Painters, Paperhangers, Plasterers, and Stucco Masons</t>
  </si>
  <si>
    <t>9 Old Sudbury Road</t>
  </si>
  <si>
    <t>Maynard</t>
  </si>
  <si>
    <t>GEORGE</t>
  </si>
  <si>
    <t>MORRISTOWN</t>
  </si>
  <si>
    <t>Chris</t>
  </si>
  <si>
    <t>Villalobos</t>
  </si>
  <si>
    <t>Melina</t>
  </si>
  <si>
    <t>Senior Software Architect</t>
  </si>
  <si>
    <t>BARBARA</t>
  </si>
  <si>
    <t>SENIOR PARALEGAL</t>
  </si>
  <si>
    <t>Cambridge</t>
  </si>
  <si>
    <t>2121 Tasman Drive</t>
  </si>
  <si>
    <t>Bothell</t>
  </si>
  <si>
    <t>Cory</t>
  </si>
  <si>
    <t>Overland Park</t>
  </si>
  <si>
    <t>KANSAS</t>
  </si>
  <si>
    <t>Schulten</t>
  </si>
  <si>
    <t xml:space="preserve">Mark </t>
  </si>
  <si>
    <t xml:space="preserve">Immigration Program Manager </t>
  </si>
  <si>
    <t>One Apple Park Way</t>
  </si>
  <si>
    <t>Cupertino</t>
  </si>
  <si>
    <t>usimmigration@apple.com</t>
  </si>
  <si>
    <t>APPLE INC.</t>
  </si>
  <si>
    <t>ONE APPLE PARK WAY</t>
  </si>
  <si>
    <t xml:space="preserve">CUPERTINO </t>
  </si>
  <si>
    <t>Bathija</t>
  </si>
  <si>
    <t>Monica</t>
  </si>
  <si>
    <t>555 Montgomery Street</t>
  </si>
  <si>
    <t>apple-usimm@fragomen.com</t>
  </si>
  <si>
    <t xml:space="preserve">2021 RADFORD GLOBAL TECHNOLOGY SURVEY </t>
  </si>
  <si>
    <t>Please See Section F.a.2.</t>
  </si>
  <si>
    <t>Chan</t>
  </si>
  <si>
    <t>C</t>
  </si>
  <si>
    <t>191 Peachtree Street NE</t>
  </si>
  <si>
    <t>Ogletree, Deakins, Nash, Smoak, &amp; Stewart P.C.</t>
  </si>
  <si>
    <t>KEVIN</t>
  </si>
  <si>
    <t>BAHNAN</t>
  </si>
  <si>
    <t>NADINE</t>
  </si>
  <si>
    <t>555 MONTGOMERY STREET</t>
  </si>
  <si>
    <t>4TH FLOOR</t>
  </si>
  <si>
    <t>Database Administrators</t>
  </si>
  <si>
    <t>Moret</t>
  </si>
  <si>
    <t>Joan</t>
  </si>
  <si>
    <t>2815 Old Lee Hwy</t>
  </si>
  <si>
    <t>Fairfax</t>
  </si>
  <si>
    <t>jmoret@sevatec.com</t>
  </si>
  <si>
    <t>Sevatec Inc</t>
  </si>
  <si>
    <t>Gao</t>
  </si>
  <si>
    <t>Yaming</t>
  </si>
  <si>
    <t>1765 Greensboro Station Place Suite 900</t>
  </si>
  <si>
    <t>gao@lawyergao.com</t>
  </si>
  <si>
    <t>Gao &amp; Associates PC</t>
  </si>
  <si>
    <t>Computer science or similar field</t>
  </si>
  <si>
    <t>Program Manager</t>
  </si>
  <si>
    <t>Chu</t>
  </si>
  <si>
    <t>Tricia</t>
  </si>
  <si>
    <t>Daphne</t>
  </si>
  <si>
    <t>Physicists</t>
  </si>
  <si>
    <t>Martin</t>
  </si>
  <si>
    <t>Alexander</t>
  </si>
  <si>
    <t>Dentons Cohen &amp; Grigsby P.C.</t>
  </si>
  <si>
    <t>Pittsburgh</t>
  </si>
  <si>
    <t>Shin</t>
  </si>
  <si>
    <t>HR Specialist</t>
  </si>
  <si>
    <t>ALEXANDER CITY</t>
  </si>
  <si>
    <t>Jason</t>
  </si>
  <si>
    <t>Auburn</t>
  </si>
  <si>
    <t>Mechanical Engineering or related</t>
  </si>
  <si>
    <t>Snyder</t>
  </si>
  <si>
    <t>Bellevue</t>
  </si>
  <si>
    <t>Wedel</t>
  </si>
  <si>
    <t>LeeAnn</t>
  </si>
  <si>
    <t>211 S. Clark St.</t>
  </si>
  <si>
    <t>Suite 735</t>
  </si>
  <si>
    <t>gov@meltzerhellrung.com</t>
  </si>
  <si>
    <t>Meltzer Hellrung, LLC</t>
  </si>
  <si>
    <t>Radford Global Technology Survey</t>
  </si>
  <si>
    <t>eyusperm@ca.ey.com</t>
  </si>
  <si>
    <t>P-100-21139-325704</t>
  </si>
  <si>
    <t>Ramesh</t>
  </si>
  <si>
    <t>Joseph</t>
  </si>
  <si>
    <t>Manager – Immigration</t>
  </si>
  <si>
    <t>25 Independence Blvd.</t>
  </si>
  <si>
    <t>Suite 401</t>
  </si>
  <si>
    <t>Joseph.Ramesh@mindtree.com</t>
  </si>
  <si>
    <t>Mindtree Limited</t>
  </si>
  <si>
    <t>Coughlin</t>
  </si>
  <si>
    <t>Brian</t>
  </si>
  <si>
    <t>J</t>
  </si>
  <si>
    <t>161 Worcester Rd</t>
  </si>
  <si>
    <t>Ste 501</t>
  </si>
  <si>
    <t>VCHAU@FLETCHERTILTON.COM</t>
  </si>
  <si>
    <t>FLETCHER TILTON P.C.</t>
  </si>
  <si>
    <t>Technical Lead</t>
  </si>
  <si>
    <t>CS,ENG(ANY),IT,CIS,MIS OR RLTD FLD</t>
  </si>
  <si>
    <t>="Bachelor’s degree (or foreign equivalent) in Computer Science, Engineering (any), Information Technology, Computer Information Systems, Management Information Systems OR a related field PLUS two (2) years of experience in the job offered or in a related</t>
  </si>
  <si>
    <t>IT Manager</t>
  </si>
  <si>
    <t>Travel to unanticipated client locations approximately 30%, as required.</t>
  </si>
  <si>
    <t>PROGRAMMER ANALYST</t>
  </si>
  <si>
    <t>Programmer Analyst</t>
  </si>
  <si>
    <t>Park City</t>
  </si>
  <si>
    <t>O'Brien</t>
  </si>
  <si>
    <t>Alexandria</t>
  </si>
  <si>
    <t>Housekeeper</t>
  </si>
  <si>
    <t xml:space="preserve">Global Mobility Specialist </t>
  </si>
  <si>
    <t>SUITE 300</t>
  </si>
  <si>
    <t>SUITE 250</t>
  </si>
  <si>
    <t>DENVER</t>
  </si>
  <si>
    <t>2400 N. Glenville Drive</t>
  </si>
  <si>
    <t>5th Floor</t>
  </si>
  <si>
    <t>Director, Human Resources</t>
  </si>
  <si>
    <t>Waltham</t>
  </si>
  <si>
    <t>Quinn</t>
  </si>
  <si>
    <t>177 Milk Street</t>
  </si>
  <si>
    <t>Suite 605</t>
  </si>
  <si>
    <t>info@gossimmigration.com</t>
  </si>
  <si>
    <t>Goss Associates, LLC</t>
  </si>
  <si>
    <t>Eunryong</t>
  </si>
  <si>
    <t>2109 E. 27th Street</t>
  </si>
  <si>
    <t>Vernon</t>
  </si>
  <si>
    <t>hemandthread2109@gmail.com</t>
  </si>
  <si>
    <t>HEM &amp; THREAD, INC</t>
  </si>
  <si>
    <t>CHUNG</t>
  </si>
  <si>
    <t>JANE</t>
  </si>
  <si>
    <t>G</t>
  </si>
  <si>
    <t>3435 WILSHIRE BLVD</t>
  </si>
  <si>
    <t>SUITE 3050</t>
  </si>
  <si>
    <t>LOS ANGELES</t>
  </si>
  <si>
    <t>LAW@JANECHUNGLAW.COM</t>
  </si>
  <si>
    <t>LAW OFFICES OF JANE CHUNG, APLC</t>
  </si>
  <si>
    <t>Fashion Designer</t>
  </si>
  <si>
    <t>Fashion Designers</t>
  </si>
  <si>
    <t>Emily</t>
  </si>
  <si>
    <t>Buffalo</t>
  </si>
  <si>
    <t>Suite 2600</t>
  </si>
  <si>
    <t>Rita</t>
  </si>
  <si>
    <t>SOFTWARE ENGINEER II</t>
  </si>
  <si>
    <t>Nancy</t>
  </si>
  <si>
    <t>Lincoln</t>
  </si>
  <si>
    <t>NE</t>
  </si>
  <si>
    <t>Computer Network Support Specialists</t>
  </si>
  <si>
    <t>Scottsdale</t>
  </si>
  <si>
    <t>cathy.jkjworkforce@yahoo.com</t>
  </si>
  <si>
    <t>Laredo</t>
  </si>
  <si>
    <t>Reed</t>
  </si>
  <si>
    <t>Suite 410</t>
  </si>
  <si>
    <t>Woolston</t>
  </si>
  <si>
    <t>Principal Global Mobility</t>
  </si>
  <si>
    <t>3150 Sabre Drive</t>
  </si>
  <si>
    <t>Southlake</t>
  </si>
  <si>
    <t>jane.woolston@sabre.com</t>
  </si>
  <si>
    <t>Sabre GLBL Inc.</t>
  </si>
  <si>
    <t>Sharma</t>
  </si>
  <si>
    <t>Tina</t>
  </si>
  <si>
    <t>8403 Colesville Road</t>
  </si>
  <si>
    <t>Suite1100</t>
  </si>
  <si>
    <t>Silver Spring</t>
  </si>
  <si>
    <t>tsharma@tinasharmalaw.com</t>
  </si>
  <si>
    <t>Manager Software Engineering</t>
  </si>
  <si>
    <t>ASHLEY</t>
  </si>
  <si>
    <t>any field of study</t>
  </si>
  <si>
    <t>2300 Oracle Way</t>
  </si>
  <si>
    <t>Oracle America, Inc.</t>
  </si>
  <si>
    <t>2nd Floor</t>
  </si>
  <si>
    <t>P-400-21134-315067</t>
  </si>
  <si>
    <t>Gil Martinez</t>
  </si>
  <si>
    <t>Victor</t>
  </si>
  <si>
    <t>Dispatcher</t>
  </si>
  <si>
    <t>3680 E. Chaparral Way</t>
  </si>
  <si>
    <t xml:space="preserve">Yuma </t>
  </si>
  <si>
    <t>victor.gilstrucking@gmail.com</t>
  </si>
  <si>
    <t>Gil's Trucking, LLC</t>
  </si>
  <si>
    <t>Yuma</t>
  </si>
  <si>
    <t>Malitz</t>
  </si>
  <si>
    <t>Jeanne</t>
  </si>
  <si>
    <t>1295 Scott Street</t>
  </si>
  <si>
    <t>info@malitzlaw.com</t>
  </si>
  <si>
    <t>Malitzlaw, Inc.</t>
  </si>
  <si>
    <t>Truck Driver</t>
  </si>
  <si>
    <t>="Truck drivers must be able to drive commercial trucks with 2 years truck driving experience. Each worker is expected to drive vehicles efficiently and safely through all types of roadways. Workers must be able to operate tractors, trailers, semi-trailer</t>
  </si>
  <si>
    <t xml:space="preserve">The truck drivers depart from one main location each day and return to the same point of departure at the end of each day. The truck pitck-up/drop off location, the worksite of the truck drivers, is 15740 S Ave G Somerton, AZ 85350. 
The drivers pick up the crops in the fields and deliver them to packing/cooler sheds located within 50 miles of the field sites. The crop pickup locations in the fields include the cities of Yuma, Arizona; San Luis Arizona, and Somerton, Arizona—all in Yuma County and within the Yuma Metropolitan Statistical Area. The crop pickup locations in the fields also include Imperial County, California. The crop pick-up field locations are not worksites.
The cooler delivery locations are also not worksites. The drivers repeat the pick-up and delivery cycle several times a day and do not remain at any crop pick-up or delivery point for long periods of time.
</t>
  </si>
  <si>
    <t xml:space="preserve">15740 S. Avenue G </t>
  </si>
  <si>
    <t>Somerton</t>
  </si>
  <si>
    <t>Cleaners of Vehicles and Equipment</t>
  </si>
  <si>
    <t>PHOENIX</t>
  </si>
  <si>
    <t>Technology Manager</t>
  </si>
  <si>
    <t>Floor 5</t>
  </si>
  <si>
    <t>Linda</t>
  </si>
  <si>
    <t>Materials Engineers</t>
  </si>
  <si>
    <t>Changjae</t>
  </si>
  <si>
    <t>NORTHPORT</t>
  </si>
  <si>
    <t>cjlee@cjleelawgroup.com</t>
  </si>
  <si>
    <t>The Law Office of Changjae Lee</t>
  </si>
  <si>
    <t>Burlingame</t>
  </si>
  <si>
    <t>Edison</t>
  </si>
  <si>
    <t>P-400-21126-293676</t>
  </si>
  <si>
    <t>Novak</t>
  </si>
  <si>
    <t>2077 N. Frontage Rd. West Suite 111 Vail, Co. 81657(physical</t>
  </si>
  <si>
    <t>PO Box 3487 Vail, Co. 81658 (mailing)</t>
  </si>
  <si>
    <t>Vail</t>
  </si>
  <si>
    <t>amy@novaklawoffice.com</t>
  </si>
  <si>
    <t>Group 970</t>
  </si>
  <si>
    <t>Blue Moose Pizza</t>
  </si>
  <si>
    <t>63 Avondale Lane, Suite C1 (physical)</t>
  </si>
  <si>
    <t>PO Box 5549, Avon Co. 81620 (mailing)</t>
  </si>
  <si>
    <t>2077 North Frontage Rd. West Suite 111 (physical)</t>
  </si>
  <si>
    <t>PO Box 3487, Vail Co. 81658</t>
  </si>
  <si>
    <t>Novak Law Office</t>
  </si>
  <si>
    <t>Food Preparation worker</t>
  </si>
  <si>
    <t>Chef</t>
  </si>
  <si>
    <t>Employer owns two restaurants in Eagle County. One in Vail, a 10 mile commuting distance. Workers will be assigned to one of the two locations depending on staffing needs.</t>
  </si>
  <si>
    <t>63 Avondale Lane, Suite C1</t>
  </si>
  <si>
    <t>675 Lionshead  Place</t>
  </si>
  <si>
    <t>Food Preparation Workers</t>
  </si>
  <si>
    <t>Northwest Colorado nonmetropolitan area</t>
  </si>
  <si>
    <t>Engineering Teachers, Postsecondary</t>
  </si>
  <si>
    <t>Global Mobility Specialist</t>
  </si>
  <si>
    <t>Suite 601</t>
  </si>
  <si>
    <t>P-400-21131-302899</t>
  </si>
  <si>
    <t>Dardar-Zarraga</t>
  </si>
  <si>
    <t>Virginia</t>
  </si>
  <si>
    <t>Assistant</t>
  </si>
  <si>
    <t>111 Jane Avenue</t>
  </si>
  <si>
    <t>Houma</t>
  </si>
  <si>
    <t>LA</t>
  </si>
  <si>
    <t>jrzoystersboats@comcast.net</t>
  </si>
  <si>
    <t>Jesus Zarraga</t>
  </si>
  <si>
    <t>LOUISIANA</t>
  </si>
  <si>
    <t>Lau</t>
  </si>
  <si>
    <t>1523 Polymnia Street</t>
  </si>
  <si>
    <t>New Orleans</t>
  </si>
  <si>
    <t>mlau@burnettlawoffices.com</t>
  </si>
  <si>
    <t>Law Offices of Malvern C. Burnett, APLC</t>
  </si>
  <si>
    <t>Deckhand, Oyster Boat</t>
  </si>
  <si>
    <t>Fishers and Related Fishing Workers</t>
  </si>
  <si>
    <t>Boat Captain</t>
  </si>
  <si>
    <t>6037 Hwy. 56</t>
  </si>
  <si>
    <t>Chauvin</t>
  </si>
  <si>
    <t>Houma-Thibodaux, LA</t>
  </si>
  <si>
    <t>Smith</t>
  </si>
  <si>
    <t>HR Generalist</t>
  </si>
  <si>
    <t xml:space="preserve">Global Immigration Partners, LLC. </t>
  </si>
  <si>
    <t>Astoria</t>
  </si>
  <si>
    <t>Suite 1000</t>
  </si>
  <si>
    <t>Fairfield</t>
  </si>
  <si>
    <t>Accounting</t>
  </si>
  <si>
    <t>Camilo</t>
  </si>
  <si>
    <t>Bookkeeping, Accounting, and Auditing Clerks</t>
  </si>
  <si>
    <t>Rowan</t>
  </si>
  <si>
    <t>Hardware Engineer</t>
  </si>
  <si>
    <t>170 W. Tasman Drive</t>
  </si>
  <si>
    <t>Adejumo</t>
  </si>
  <si>
    <t>Adekunbi</t>
  </si>
  <si>
    <t>RADFORD GLOBAL TECHNOLOGY SURVEY (US)</t>
  </si>
  <si>
    <t>Tools and Automation Engineer</t>
  </si>
  <si>
    <t>Hermitage</t>
  </si>
  <si>
    <t>manager</t>
  </si>
  <si>
    <t>HR Director</t>
  </si>
  <si>
    <t xml:space="preserve"> N/A</t>
  </si>
  <si>
    <t>Staff Accountant</t>
  </si>
  <si>
    <t>Accountants</t>
  </si>
  <si>
    <t>Accounting Manager</t>
  </si>
  <si>
    <t>Ste. 100</t>
  </si>
  <si>
    <t>Ravindra</t>
  </si>
  <si>
    <t>Beaumont</t>
  </si>
  <si>
    <t>Kelley</t>
  </si>
  <si>
    <t>International Students and Scholars Services</t>
  </si>
  <si>
    <t>Morgantown</t>
  </si>
  <si>
    <t>WV</t>
  </si>
  <si>
    <t>West Virginia University</t>
  </si>
  <si>
    <t>Higher Education</t>
  </si>
  <si>
    <t>103 Purinton House, PO Box 6313</t>
  </si>
  <si>
    <t>WEST VIRGINIA</t>
  </si>
  <si>
    <t>Stuart</t>
  </si>
  <si>
    <t>Chief People Officer</t>
  </si>
  <si>
    <t>Susan</t>
  </si>
  <si>
    <t>Boca Raton</t>
  </si>
  <si>
    <t>Holly</t>
  </si>
  <si>
    <t>Software Engineering Manager</t>
  </si>
  <si>
    <t>PLANO</t>
  </si>
  <si>
    <t>Madeline</t>
  </si>
  <si>
    <t>Suite 103</t>
  </si>
  <si>
    <t>Sales Engineers</t>
  </si>
  <si>
    <t>CHOI</t>
  </si>
  <si>
    <t>JEAN</t>
  </si>
  <si>
    <t>SUITE 201</t>
  </si>
  <si>
    <t>Baker</t>
  </si>
  <si>
    <t>Burlington</t>
  </si>
  <si>
    <t>Song</t>
  </si>
  <si>
    <t>JLUO@fragomen.com</t>
  </si>
  <si>
    <t>Herrera</t>
  </si>
  <si>
    <t>Jaime</t>
  </si>
  <si>
    <t>Immigration Process Manager II</t>
  </si>
  <si>
    <t>608 SW 8th Street</t>
  </si>
  <si>
    <t>Bentonville</t>
  </si>
  <si>
    <t>Jaime.Deakins@walmart.com</t>
  </si>
  <si>
    <t>WAL-MART ASSOCIATES, INC.</t>
  </si>
  <si>
    <t>702 S.W. 8TH STREET</t>
  </si>
  <si>
    <t>MAIL STOP 0215</t>
  </si>
  <si>
    <t>BENTONVILLE</t>
  </si>
  <si>
    <t>NIEVES</t>
  </si>
  <si>
    <t xml:space="preserve">JENNY </t>
  </si>
  <si>
    <t xml:space="preserve">1400 BROADWAY	</t>
  </si>
  <si>
    <t>OZNUR.PARLAKKILIC@FRAGOMEN.COM</t>
  </si>
  <si>
    <t>FRAGOMEN, DEL REY, BERNSEN &amp; LOEWY LLP</t>
  </si>
  <si>
    <t>Systems Analyst</t>
  </si>
  <si>
    <t xml:space="preserve">Computer Science, Information Technology, Engineering, or related field </t>
  </si>
  <si>
    <t>Ortiz</t>
  </si>
  <si>
    <t>See Box F.a.2</t>
  </si>
  <si>
    <t>Sales Representatives, Wholesale and Manufacturing, Except Technical and Scientific Products</t>
  </si>
  <si>
    <t>Katie</t>
  </si>
  <si>
    <t>IMMIGRATION MANAGER</t>
  </si>
  <si>
    <t>P-400-21130-299310</t>
  </si>
  <si>
    <t>Frazier</t>
  </si>
  <si>
    <t>Ranae</t>
  </si>
  <si>
    <t>General Manager/Chief Operating Officer</t>
  </si>
  <si>
    <t>8600 Legends Boulevard</t>
  </si>
  <si>
    <t>Fort Myers</t>
  </si>
  <si>
    <t>Ranae@legendscc.com</t>
  </si>
  <si>
    <t>Legends Golf &amp; Country Club Master Association, Inc.</t>
  </si>
  <si>
    <t>Legends Golf &amp; Country Club</t>
  </si>
  <si>
    <t>Bartender</t>
  </si>
  <si>
    <t>="The Petitioner will consider for employment any person who possesses at least six (6) months of service experience in a fine-dining or high-volume environment at a high-end restaurant, resort, or private club.  
Applicant must complete pre-employment b</t>
  </si>
  <si>
    <t>Bartenders</t>
  </si>
  <si>
    <t>Food and Beverage Management Team</t>
  </si>
  <si>
    <t>Ashley</t>
  </si>
  <si>
    <t>3655 North First Street</t>
  </si>
  <si>
    <t>Samsung Semiconductor, Inc.</t>
  </si>
  <si>
    <t>3655 N First Street</t>
  </si>
  <si>
    <t>CHERYL</t>
  </si>
  <si>
    <t>SAN JOSE</t>
  </si>
  <si>
    <t>Engineer</t>
  </si>
  <si>
    <t>Electrical Engineering, or related field</t>
  </si>
  <si>
    <t>Position may require up to 15% domestic and/or international travel.</t>
  </si>
  <si>
    <t>9868 Scranton Road</t>
  </si>
  <si>
    <t>Alberto</t>
  </si>
  <si>
    <t>Jersey City</t>
  </si>
  <si>
    <t>Burritt</t>
  </si>
  <si>
    <t>975 F Street, N.W.</t>
  </si>
  <si>
    <t>Novi</t>
  </si>
  <si>
    <t>Andrews</t>
  </si>
  <si>
    <t>Shane</t>
  </si>
  <si>
    <t>Please see F.a.2.</t>
  </si>
  <si>
    <t>Knoxville</t>
  </si>
  <si>
    <t>SUITE 203</t>
  </si>
  <si>
    <t>Suite 303</t>
  </si>
  <si>
    <t>Newton Center</t>
  </si>
  <si>
    <t>Suite 203</t>
  </si>
  <si>
    <t>5080 Spectrum Drive</t>
  </si>
  <si>
    <t>Suite 850W</t>
  </si>
  <si>
    <t>Addison</t>
  </si>
  <si>
    <t xml:space="preserve">Myung-Sun </t>
  </si>
  <si>
    <t xml:space="preserve">Caitlyn </t>
  </si>
  <si>
    <t xml:space="preserve">3449 Lawrenceville-Suwanee Rd </t>
  </si>
  <si>
    <t>Ste. C</t>
  </si>
  <si>
    <t>Suwanee</t>
  </si>
  <si>
    <t>info@mcglawoffice.com</t>
  </si>
  <si>
    <t>Production Workers, All Other</t>
  </si>
  <si>
    <t>Kater</t>
  </si>
  <si>
    <t>Rob</t>
  </si>
  <si>
    <t>1540 W. Happy Valley Road</t>
  </si>
  <si>
    <t>katirlaw@aol.com</t>
  </si>
  <si>
    <t>ENVIRONMENTS BY ROB KATER</t>
  </si>
  <si>
    <t>Katiraei</t>
  </si>
  <si>
    <t>Ron</t>
  </si>
  <si>
    <t>60 East 42nd Street</t>
  </si>
  <si>
    <t>Suite 4600</t>
  </si>
  <si>
    <t>Law Offices of Ron Katiraei</t>
  </si>
  <si>
    <t>Light Truck or Delivery Services Drivers</t>
  </si>
  <si>
    <t>2400 North Glenville Drive</t>
  </si>
  <si>
    <t>Aviva</t>
  </si>
  <si>
    <t>Starr</t>
  </si>
  <si>
    <t>Bob</t>
  </si>
  <si>
    <t>Vice President, Human Resources</t>
  </si>
  <si>
    <t>590 Taylor Way, Suite A</t>
  </si>
  <si>
    <t>San Carlos</t>
  </si>
  <si>
    <t>Bob@zapsurgical.com</t>
  </si>
  <si>
    <t>Zap Surgical Systems, Inc.</t>
  </si>
  <si>
    <t>SAN CARLOS</t>
  </si>
  <si>
    <t>Gotcher</t>
  </si>
  <si>
    <t>H.</t>
  </si>
  <si>
    <t>Sr. Clinical Applications Engineer</t>
  </si>
  <si>
    <t>Please see F.a.2</t>
  </si>
  <si>
    <t>Biomedical Engineers</t>
  </si>
  <si>
    <t>VP, Product Management &amp; Clinical Support</t>
  </si>
  <si>
    <t>Vanessa</t>
  </si>
  <si>
    <t>Kludt</t>
  </si>
  <si>
    <t>Curran, Berger &amp; Kludt</t>
  </si>
  <si>
    <t>79 Masonic Street</t>
  </si>
  <si>
    <t>Northampton</t>
  </si>
  <si>
    <t>megan@cbkimmigration.com</t>
  </si>
  <si>
    <t>vchau@fletchertilton.com</t>
  </si>
  <si>
    <t>Engagement Manager</t>
  </si>
  <si>
    <t>Suite 215</t>
  </si>
  <si>
    <t>Suite 270</t>
  </si>
  <si>
    <t>Gervacio</t>
  </si>
  <si>
    <t>Gladys</t>
  </si>
  <si>
    <t>V.</t>
  </si>
  <si>
    <t>15925 Carmenita Road</t>
  </si>
  <si>
    <t>gladys.gervacio@chugh.com</t>
  </si>
  <si>
    <t>Albert</t>
  </si>
  <si>
    <t>Watts</t>
  </si>
  <si>
    <t>Operations Director</t>
  </si>
  <si>
    <t>Irina</t>
  </si>
  <si>
    <t>Bakers</t>
  </si>
  <si>
    <t>Executive Chef</t>
  </si>
  <si>
    <t>Jean</t>
  </si>
  <si>
    <t>Woburn</t>
  </si>
  <si>
    <t>Senior Software Developer</t>
  </si>
  <si>
    <t>Food Preparation Worker</t>
  </si>
  <si>
    <t>Sugar Land</t>
  </si>
  <si>
    <t>Yan</t>
  </si>
  <si>
    <t>DBA</t>
  </si>
  <si>
    <t>Paul</t>
  </si>
  <si>
    <t>65 Broadway</t>
  </si>
  <si>
    <t>Suite 1603</t>
  </si>
  <si>
    <t>labor@lawapj.com</t>
  </si>
  <si>
    <t>Law Offices of Andrew P. Johnson, Esq.</t>
  </si>
  <si>
    <t>Dennis</t>
  </si>
  <si>
    <t>Bernard</t>
  </si>
  <si>
    <t>Aaron</t>
  </si>
  <si>
    <t>226 South 3rd Street</t>
  </si>
  <si>
    <t>Ames</t>
  </si>
  <si>
    <t>attorney@bernardfirm.com</t>
  </si>
  <si>
    <t>The Bernard Firm PLC</t>
  </si>
  <si>
    <t>April</t>
  </si>
  <si>
    <t>Administrative Services Managers</t>
  </si>
  <si>
    <t>Office Assistant</t>
  </si>
  <si>
    <t>Kathleen</t>
  </si>
  <si>
    <t>56 Livingston Avenue</t>
  </si>
  <si>
    <t>Gilbert</t>
  </si>
  <si>
    <t>CARREAU</t>
  </si>
  <si>
    <t>Associate General Counsel</t>
  </si>
  <si>
    <t>201 S Presidents Circle</t>
  </si>
  <si>
    <t>309 Park Building</t>
  </si>
  <si>
    <t>katie.carreau@legal.utah.edu</t>
  </si>
  <si>
    <t xml:space="preserve">University of Utah </t>
  </si>
  <si>
    <t>Filipour</t>
  </si>
  <si>
    <t>Amir</t>
  </si>
  <si>
    <t>4060 Walney Road</t>
  </si>
  <si>
    <t>Chantilly</t>
  </si>
  <si>
    <t>ajfhamilton@hotmail.com</t>
  </si>
  <si>
    <t>W</t>
  </si>
  <si>
    <t>1688 East Gude Drive</t>
  </si>
  <si>
    <t>Suite 201</t>
  </si>
  <si>
    <t>wws@mirbagherismith.com</t>
  </si>
  <si>
    <t>Mirbagheri &amp; Smith LLP</t>
  </si>
  <si>
    <t>Marketing Data Scientist</t>
  </si>
  <si>
    <t>Computer Science</t>
  </si>
  <si>
    <t>P-100-21146-346464</t>
  </si>
  <si>
    <t>BENHAN</t>
  </si>
  <si>
    <t>AMIN</t>
  </si>
  <si>
    <t>18 YORK ST.</t>
  </si>
  <si>
    <t>SUITE 2500</t>
  </si>
  <si>
    <t>TORONTO</t>
  </si>
  <si>
    <t>ONTARIO</t>
  </si>
  <si>
    <t>Process Assurance Senior Associate (Multiple Positions)</t>
  </si>
  <si>
    <t>13-2011.00</t>
  </si>
  <si>
    <t>Accounting, Business Administration, Finance, Computer Science, Engineering, or a related field</t>
  </si>
  <si>
    <t>="Minimum Requirements:
Must have a Bachelor’s degree or foreign equivalent in Accounting, Business Administration, Finance, Computer Science, Engineering, or a related field, plus three (3) years of related work experience; OR a Master’s degree or forei</t>
  </si>
  <si>
    <t xml:space="preserve">Accounting, Business Administration, Finance, Computer Science, Engineering, or a related field. </t>
  </si>
  <si>
    <t>Travel up to 60% required.</t>
  </si>
  <si>
    <t>2121 North Pearl Street</t>
  </si>
  <si>
    <t xml:space="preserve">Dallas </t>
  </si>
  <si>
    <t>465 California Street</t>
  </si>
  <si>
    <t>msperm@ogletreedeakins.com</t>
  </si>
  <si>
    <t>302 West Third Street</t>
  </si>
  <si>
    <t>Suite 710</t>
  </si>
  <si>
    <t>Jorge</t>
  </si>
  <si>
    <t>2025 Hamilton Ave.</t>
  </si>
  <si>
    <t>global_mobility@ebay.com</t>
  </si>
  <si>
    <t>801 E. Campbell road, Suite 130</t>
  </si>
  <si>
    <t>acc@immigrationwork.net</t>
  </si>
  <si>
    <t>Callegher</t>
  </si>
  <si>
    <t>North America - Immigration &amp; Relocation Manager</t>
  </si>
  <si>
    <t>600 Mountain Avenue</t>
  </si>
  <si>
    <t>Murray Hill</t>
  </si>
  <si>
    <t>FP_Patricia_Rodriguez@fragomen.com</t>
  </si>
  <si>
    <t>NOKIA OF AMERICA CORPORATION</t>
  </si>
  <si>
    <t>600 MOUNTAIN AVENUE</t>
  </si>
  <si>
    <t>ROOM 6D-401E</t>
  </si>
  <si>
    <t>MURRAY HILL</t>
  </si>
  <si>
    <t>DUONG</t>
  </si>
  <si>
    <t>DAVID</t>
  </si>
  <si>
    <t>5080 SPECTRUM DRIVE</t>
  </si>
  <si>
    <t>SUITE 850W</t>
  </si>
  <si>
    <t>ADDISON</t>
  </si>
  <si>
    <t>Fragomen Partners, LLP</t>
  </si>
  <si>
    <t>Coconut Creek</t>
  </si>
  <si>
    <t>Miami Beach</t>
  </si>
  <si>
    <t>35-2014.00; 35-2021.00</t>
  </si>
  <si>
    <t>Cooks, Restaurant; Food Preparation Workers</t>
  </si>
  <si>
    <t>McKinney</t>
  </si>
  <si>
    <t>Dgebuadze</t>
  </si>
  <si>
    <t>21700 Oxnard Street, Suite 860</t>
  </si>
  <si>
    <t>ad@sostrin.com</t>
  </si>
  <si>
    <t>Sostrin Immigration Lawyers, LLP</t>
  </si>
  <si>
    <t>Quality Engineer</t>
  </si>
  <si>
    <t>Mary</t>
  </si>
  <si>
    <t>Herndon</t>
  </si>
  <si>
    <t>Young</t>
  </si>
  <si>
    <t>13-2051.00</t>
  </si>
  <si>
    <t>Aldrich</t>
  </si>
  <si>
    <t>P-400-21130-301590</t>
  </si>
  <si>
    <t>Hazimihalis</t>
  </si>
  <si>
    <t>Todd</t>
  </si>
  <si>
    <t>91 Struthers Liberty Road</t>
  </si>
  <si>
    <t xml:space="preserve">Youngstown </t>
  </si>
  <si>
    <t>thazimihalis@morrisptginc.com</t>
  </si>
  <si>
    <t>Morris Painting, Inc.</t>
  </si>
  <si>
    <t>THODE</t>
  </si>
  <si>
    <t>MONICA</t>
  </si>
  <si>
    <t>1831 N. LAKEWOOD DR.</t>
  </si>
  <si>
    <t>SUITE B</t>
  </si>
  <si>
    <t>COEUR D' ALENE</t>
  </si>
  <si>
    <t>MONICA@LABORCI.COM</t>
  </si>
  <si>
    <t>LABOR CONSULTANTS INTERNATIONAL</t>
  </si>
  <si>
    <t>Painters</t>
  </si>
  <si>
    <t>="Must be 18 due to insurance. Must show proof of legal authorization to work in the United States. Drug/alcohol/tobacco free work zone. Perform physical activities: such as lift, balance, walk, stoop, handle, position, move, manipulate materials use stat</t>
  </si>
  <si>
    <t xml:space="preserve">Transport provided, designated locale to job site. Begin in Mahoning County, OH. Continue in counties/areas: Mahoning, Ashtabula, Summit, Geauga, Cuyahoga, OH, North Northeastern Ohio non-metropolitan area (non-contiguous), Cleveland-Elyria, OH MSA, Youngstown-Warren-Boardman, OH-PA MSA, Akron, OH MSA. </t>
  </si>
  <si>
    <t>91 Struthers Liberty Rd (report to work)</t>
  </si>
  <si>
    <t>Youngstown</t>
  </si>
  <si>
    <t>Youngstown-Warren-Boardman, OH-PA</t>
  </si>
  <si>
    <t>Bunker</t>
  </si>
  <si>
    <t>james-gbi@mediacombb.net</t>
  </si>
  <si>
    <t>Carpenters</t>
  </si>
  <si>
    <t xml:space="preserve">Will travel to work site daily. </t>
  </si>
  <si>
    <t>Greenwood</t>
  </si>
  <si>
    <t>Birmingham</t>
  </si>
  <si>
    <t>Suite 115</t>
  </si>
  <si>
    <t>Julie</t>
  </si>
  <si>
    <t>King of Prussia</t>
  </si>
  <si>
    <t>Knapp</t>
  </si>
  <si>
    <t>Kyle</t>
  </si>
  <si>
    <t>Christian</t>
  </si>
  <si>
    <t>Greenville</t>
  </si>
  <si>
    <t>Dublin</t>
  </si>
  <si>
    <t>P-400-21154-366655</t>
  </si>
  <si>
    <t>KRIEGER</t>
  </si>
  <si>
    <t>JORDAN</t>
  </si>
  <si>
    <t>DIRECTOR OF HUMAN RESOURCES</t>
  </si>
  <si>
    <t>2001 SOUTH ROOSEVELT BLVD</t>
  </si>
  <si>
    <t>KEY WEST</t>
  </si>
  <si>
    <t>Jordan.krieger@barbarybeachhouse.com</t>
  </si>
  <si>
    <t>GLOBAL HOSPITALITY MANAGEMENT LLC</t>
  </si>
  <si>
    <t>BARBARY BEACH HOUSE</t>
  </si>
  <si>
    <t>PH220</t>
  </si>
  <si>
    <t>NORTH BAY VILLAGE</t>
  </si>
  <si>
    <t>WAITER/WAITRESS</t>
  </si>
  <si>
    <t>South Florida nonmetropolitan area</t>
  </si>
  <si>
    <t>N.</t>
  </si>
  <si>
    <t>200 Vesey Street</t>
  </si>
  <si>
    <t>Slidell</t>
  </si>
  <si>
    <t>Dees</t>
  </si>
  <si>
    <t>Foret</t>
  </si>
  <si>
    <t>517 Broad Street</t>
  </si>
  <si>
    <t>Lake Charles</t>
  </si>
  <si>
    <t>ashley@afdees.com</t>
  </si>
  <si>
    <t>Ashley Foret Dees, LLC</t>
  </si>
  <si>
    <t>Groundskeeper</t>
  </si>
  <si>
    <t>Grounds Maintenance Workers, All Other</t>
  </si>
  <si>
    <t>HUMAN RESOURCES</t>
  </si>
  <si>
    <t>Passaic</t>
  </si>
  <si>
    <t>manuel@accesstherapies.com</t>
  </si>
  <si>
    <t>ACCESS THERAPIES, INC.</t>
  </si>
  <si>
    <t>Wickenburg Community Hospital</t>
  </si>
  <si>
    <t>520 Rose Lane</t>
  </si>
  <si>
    <t>Wickenburg</t>
  </si>
  <si>
    <t>Wendy</t>
  </si>
  <si>
    <t>VP</t>
  </si>
  <si>
    <t>Diego</t>
  </si>
  <si>
    <t>Head of Household</t>
  </si>
  <si>
    <t>Julio</t>
  </si>
  <si>
    <t>Nanny</t>
  </si>
  <si>
    <t>VICE PRESIDENT</t>
  </si>
  <si>
    <t>SCHAUMBURG</t>
  </si>
  <si>
    <t>cwatts@fragomen.com</t>
  </si>
  <si>
    <t>TUCKER</t>
  </si>
  <si>
    <t>90 New Montgomery Street</t>
  </si>
  <si>
    <t>Cindy</t>
  </si>
  <si>
    <t>Kang</t>
  </si>
  <si>
    <t>Morgan</t>
  </si>
  <si>
    <t>Vice President of Finance</t>
  </si>
  <si>
    <t>23rd Floor</t>
  </si>
  <si>
    <t>Patrick</t>
  </si>
  <si>
    <t>Cathy</t>
  </si>
  <si>
    <t>D.</t>
  </si>
  <si>
    <t>2 Seaport Lane - Seaport East</t>
  </si>
  <si>
    <t>Steve</t>
  </si>
  <si>
    <t>Senior Manager, Global Mobility</t>
  </si>
  <si>
    <t>O.</t>
  </si>
  <si>
    <t>alexa@immigrationlawgroup.net</t>
  </si>
  <si>
    <t>F</t>
  </si>
  <si>
    <t>BURKIC</t>
  </si>
  <si>
    <t>BELMA</t>
  </si>
  <si>
    <t>Costa</t>
  </si>
  <si>
    <t>Miriam</t>
  </si>
  <si>
    <t>1385 English St NW</t>
  </si>
  <si>
    <t>stonecm67@gmail.com</t>
  </si>
  <si>
    <t>Stonecrafters USA Inc</t>
  </si>
  <si>
    <t>Suite C</t>
  </si>
  <si>
    <t>Maurice</t>
  </si>
  <si>
    <t>5944 Highway 92 Unit 2827</t>
  </si>
  <si>
    <t>Acworth</t>
  </si>
  <si>
    <t>JMJ Immigration Services</t>
  </si>
  <si>
    <t>CORAL GABLES</t>
  </si>
  <si>
    <t>Ste. 200</t>
  </si>
  <si>
    <t>Veterinary Technologists and Technicians</t>
  </si>
  <si>
    <t>Assistant General Counsel</t>
  </si>
  <si>
    <t xml:space="preserve">NEW YORK </t>
  </si>
  <si>
    <t>Travers</t>
  </si>
  <si>
    <t>Maura</t>
  </si>
  <si>
    <t>mtravers@seyfarth.com</t>
  </si>
  <si>
    <t>Ho</t>
  </si>
  <si>
    <t>Nashville</t>
  </si>
  <si>
    <t>JWEBBER@FRAGOMEN.COM</t>
  </si>
  <si>
    <t>P-400-21140-329888</t>
  </si>
  <si>
    <t>Pressly</t>
  </si>
  <si>
    <t>P. Kristen</t>
  </si>
  <si>
    <t>One South County Road</t>
  </si>
  <si>
    <t>Palm Beach</t>
  </si>
  <si>
    <t>The Breakers Palm Beach, Inc.</t>
  </si>
  <si>
    <t>F&amp;B Assistant II</t>
  </si>
  <si>
    <t>Restaurant Manager</t>
  </si>
  <si>
    <t>Miami-Fort Lauderdale-West Palm Beach, FL</t>
  </si>
  <si>
    <t>Rodgers</t>
  </si>
  <si>
    <t>9176 Mansfield Road</t>
  </si>
  <si>
    <t>Shreveport</t>
  </si>
  <si>
    <t>mikee@shanesseafood.com</t>
  </si>
  <si>
    <t>Shane's of Shreveport</t>
  </si>
  <si>
    <t>Shane's Seafood and Bar-BQ</t>
  </si>
  <si>
    <t>Claire</t>
  </si>
  <si>
    <t>Kitchen Workers</t>
  </si>
  <si>
    <t>P-100-21131-304358</t>
  </si>
  <si>
    <t>KOTHARI</t>
  </si>
  <si>
    <t>AMI</t>
  </si>
  <si>
    <t>GLOBAL HEAD OF IMMIGRATION</t>
  </si>
  <si>
    <t>1515 THIRD STREET</t>
  </si>
  <si>
    <t>IMMI-US@UBER.COM</t>
  </si>
  <si>
    <t>UBER TECHNOLOGIES, INC.</t>
  </si>
  <si>
    <t>Idiart</t>
  </si>
  <si>
    <t>JGJ</t>
  </si>
  <si>
    <t>sfimmigration@fragomen.com</t>
  </si>
  <si>
    <t>Business Systems Analyst (5506305)</t>
  </si>
  <si>
    <t>See job duties (sect. F.a.2.)</t>
  </si>
  <si>
    <t>225 W Randolph</t>
  </si>
  <si>
    <t>P-400-21126-292933</t>
  </si>
  <si>
    <t xml:space="preserve">Montanile </t>
  </si>
  <si>
    <t xml:space="preserve">Domenick </t>
  </si>
  <si>
    <t xml:space="preserve">Owner </t>
  </si>
  <si>
    <t xml:space="preserve">1445 W 12th Place </t>
  </si>
  <si>
    <t xml:space="preserve">Suite 103 </t>
  </si>
  <si>
    <t xml:space="preserve">Phoenix </t>
  </si>
  <si>
    <t>dom@venezias.com</t>
  </si>
  <si>
    <t xml:space="preserve">Venezia's C&amp;C, LLC </t>
  </si>
  <si>
    <t xml:space="preserve">Venezia's Pizzeria </t>
  </si>
  <si>
    <t xml:space="preserve">Tempe </t>
  </si>
  <si>
    <t>Tirado</t>
  </si>
  <si>
    <t>Rafael</t>
  </si>
  <si>
    <t>3101 N Central Ave</t>
  </si>
  <si>
    <t>ldahdah@tiradolaw.com</t>
  </si>
  <si>
    <t>Rafael Tirado and Associates, PLC</t>
  </si>
  <si>
    <t xml:space="preserve">Food Preparation Worker </t>
  </si>
  <si>
    <t>Phoenix-Mesa-Scottsdale, AZ</t>
  </si>
  <si>
    <t>Floor 16</t>
  </si>
  <si>
    <t>P-400-21133-311259</t>
  </si>
  <si>
    <t>NIGRINIS</t>
  </si>
  <si>
    <t>DIRECTOR OF HUMAN RESOURCES AND RECRUITING</t>
  </si>
  <si>
    <t>1012 UNION CENTER DRIVE</t>
  </si>
  <si>
    <t>ALPHARETTA</t>
  </si>
  <si>
    <t>MONICA@CRABAPPLE.COM</t>
  </si>
  <si>
    <t>Crabapple Turf Management Inc.</t>
  </si>
  <si>
    <t>Crabapple Landscapexperts</t>
  </si>
  <si>
    <t>Birkenstock</t>
  </si>
  <si>
    <t>T.</t>
  </si>
  <si>
    <t>7776 Main Street</t>
  </si>
  <si>
    <t>Frisco</t>
  </si>
  <si>
    <t>aaron@pesusa.com</t>
  </si>
  <si>
    <t>Practical Employee Solutions</t>
  </si>
  <si>
    <t>Landscape Laborer</t>
  </si>
  <si>
    <t xml:space="preserve">Transportation provided from central location to various worksites within intended area of employment. </t>
  </si>
  <si>
    <t>1012 Union Center Drive</t>
  </si>
  <si>
    <t>Atlanta-Sandy Springs-Roswell, GA</t>
  </si>
  <si>
    <t>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The wage entered in item G.4 reflects the area of intended employment entered in F.e.4 and F.e.5.</t>
  </si>
  <si>
    <t>P-100-21175-424643</t>
  </si>
  <si>
    <t>Shelby</t>
  </si>
  <si>
    <t>Arthur</t>
  </si>
  <si>
    <t xml:space="preserve">HR Manager </t>
  </si>
  <si>
    <t>5 Jonathan Road</t>
  </si>
  <si>
    <t>lditrani@wolfsdorf.com</t>
  </si>
  <si>
    <t>WRapid Training Corporation</t>
  </si>
  <si>
    <t xml:space="preserve">55 Sunshine Road </t>
  </si>
  <si>
    <t>Santa Monica</t>
  </si>
  <si>
    <t>Ditrani</t>
  </si>
  <si>
    <t>100 Low Street</t>
  </si>
  <si>
    <t xml:space="preserve">WRapid Training Corporation </t>
  </si>
  <si>
    <t>Regional Program Director/Global Head Functional Safety</t>
  </si>
  <si>
    <t>*Please see Box F.b.5.</t>
  </si>
  <si>
    <t>="From Boxes F.b.1b and F.1b.4b: Minimum Requirements: Bachelor’s Degree in Electrical Engineering or related field; or foreign degree equivalent plus 5 years of experience in Testing, Inspection and Certification (TIC).
Must have: engineering experience</t>
  </si>
  <si>
    <t>Chief Executives</t>
  </si>
  <si>
    <t>Some International/Domestic Travel required.</t>
  </si>
  <si>
    <t>1 College Lane</t>
  </si>
  <si>
    <t xml:space="preserve">Waltham </t>
  </si>
  <si>
    <t>Shor</t>
  </si>
  <si>
    <t>Adam</t>
  </si>
  <si>
    <t>JN</t>
  </si>
  <si>
    <t>2021 Radford Global Technology Survey (US)</t>
  </si>
  <si>
    <t>See Job Duties (Sect.F.a.2.)</t>
  </si>
  <si>
    <t>P-100-21174-420806</t>
  </si>
  <si>
    <t>Wilson</t>
  </si>
  <si>
    <t>MacDonald</t>
  </si>
  <si>
    <t>Lippes Mathias Wexler Friedman</t>
  </si>
  <si>
    <t>50 Fountain Plaza, Suite 1700</t>
  </si>
  <si>
    <t>awilson@lippes.com</t>
  </si>
  <si>
    <t>INIT Innovations in Transportation Inc.</t>
  </si>
  <si>
    <t>INIT</t>
  </si>
  <si>
    <t>424 Network Station</t>
  </si>
  <si>
    <t>Chesapeake</t>
  </si>
  <si>
    <t>ANDREW</t>
  </si>
  <si>
    <t>Lippes Mathias Wexler Friedman, LLP</t>
  </si>
  <si>
    <t xml:space="preserve">Software Engineer </t>
  </si>
  <si>
    <t xml:space="preserve">Bachelor’s degree in Computer Science or related field </t>
  </si>
  <si>
    <t xml:space="preserve">The position is located in Chesapeake, Virginia with 5% travel.  </t>
  </si>
  <si>
    <t xml:space="preserve">Ivan </t>
  </si>
  <si>
    <t xml:space="preserve">Abarcar </t>
  </si>
  <si>
    <t xml:space="preserve">Katrina </t>
  </si>
  <si>
    <t>Regina</t>
  </si>
  <si>
    <t>seris@murthy.com</t>
  </si>
  <si>
    <t xml:space="preserve">Pater / Rodriguez </t>
  </si>
  <si>
    <t>PRICEWATERHOUSECOOPERS ADVISORY SERVICES LLC</t>
  </si>
  <si>
    <t>Travel up to 80% is required.</t>
  </si>
  <si>
    <t>Helen</t>
  </si>
  <si>
    <t>Please see job description.</t>
  </si>
  <si>
    <t>Computer Systems Engineers/Architects</t>
  </si>
  <si>
    <t>P-100-21125-289108</t>
  </si>
  <si>
    <t>Bretzer</t>
  </si>
  <si>
    <t>Z</t>
  </si>
  <si>
    <t>Immigration Paralegal</t>
  </si>
  <si>
    <t>1700 W Van Buren Street</t>
  </si>
  <si>
    <t>ann_bretzer@rush.edu</t>
  </si>
  <si>
    <t>Rush University Medical Center</t>
  </si>
  <si>
    <t>Nash</t>
  </si>
  <si>
    <t>300 N Lasalle Street</t>
  </si>
  <si>
    <t>william.nash@quarles.com</t>
  </si>
  <si>
    <t>Senior Application Analyst (EPIC)</t>
  </si>
  <si>
    <t>Management Information Systems, Health Systems Management, or a related field</t>
  </si>
  <si>
    <t>MARTINEZ</t>
  </si>
  <si>
    <t>EMILIO</t>
  </si>
  <si>
    <t>FERNANDO</t>
  </si>
  <si>
    <t>12940 SW 128 ST</t>
  </si>
  <si>
    <t>emilio@martinezsordolaw.com</t>
  </si>
  <si>
    <t>MARTINEZ &amp; SORDO, P.A.</t>
  </si>
  <si>
    <t>Warehouse Supervisor</t>
  </si>
  <si>
    <t>Satish</t>
  </si>
  <si>
    <t>Suite 205</t>
  </si>
  <si>
    <t>Associate Counsel</t>
  </si>
  <si>
    <t>Administrator</t>
  </si>
  <si>
    <t>STE 200</t>
  </si>
  <si>
    <t>Wu</t>
  </si>
  <si>
    <t>Clifton</t>
  </si>
  <si>
    <t>Senior Developer</t>
  </si>
  <si>
    <t>Ann Arbor</t>
  </si>
  <si>
    <t>Guzelordu</t>
  </si>
  <si>
    <t>Seyhan</t>
  </si>
  <si>
    <t>Sole Member</t>
  </si>
  <si>
    <t>17446 Kuykendahl Rd.</t>
  </si>
  <si>
    <t>Suite D</t>
  </si>
  <si>
    <t>harvestblossom@gmail.com</t>
  </si>
  <si>
    <t>White</t>
  </si>
  <si>
    <t xml:space="preserve">Garrett </t>
  </si>
  <si>
    <t>4151 Southwest Freeway, Suite 770</t>
  </si>
  <si>
    <t>gwhitevisa@hotmail.com</t>
  </si>
  <si>
    <t>Law Office of Garrett White</t>
  </si>
  <si>
    <t>Supply Chain Management, Logistics, Industrial Engineering, OR Systems Engineering</t>
  </si>
  <si>
    <t>="Experience to include 24 months’ experience in a job which involved the management of a supply chain. Experience to include 12 months’ experience managing e-commerce activities. Experience to include 6 months’ experience in a job which involved using th</t>
  </si>
  <si>
    <t>P-400-21140-329690</t>
  </si>
  <si>
    <t>Thelen</t>
  </si>
  <si>
    <t>Peter</t>
  </si>
  <si>
    <t>W.</t>
  </si>
  <si>
    <t>Vice President Finance &amp; Operations</t>
  </si>
  <si>
    <t>559 S Cemetery St</t>
  </si>
  <si>
    <t>peter@landmarklandscapes.net</t>
  </si>
  <si>
    <t>Thelen and Associates Inc.</t>
  </si>
  <si>
    <t>Landmark Landscapes</t>
  </si>
  <si>
    <t>stacey@pesusa.com</t>
  </si>
  <si>
    <t>Transportation provided from a central location to multiple worksites within the area of intended employment.</t>
  </si>
  <si>
    <t>5412 US-70</t>
  </si>
  <si>
    <t>Durham</t>
  </si>
  <si>
    <t>Durham-Chapel Hill, NC</t>
  </si>
  <si>
    <t>P-100-21123-282308</t>
  </si>
  <si>
    <t>Samudrala</t>
  </si>
  <si>
    <t>Madhavi</t>
  </si>
  <si>
    <t>In-House Immigration Attorney</t>
  </si>
  <si>
    <t>3000 BAYPORT DRIVE</t>
  </si>
  <si>
    <t>SUITE 840</t>
  </si>
  <si>
    <t>Madhavi.Samudrala@sstech.us</t>
  </si>
  <si>
    <t>SYSTEM SOFT TECHNOLOGIES LLC</t>
  </si>
  <si>
    <t>Computer Science, Computer Information Systems, Engineering (Comp/Mech/Elec) or a related field.</t>
  </si>
  <si>
    <t>="Experience to include working with, React JavaScript, Selenium WebDriver, JIRA, Confluence, ALM, Honeywell CT40 mobile device, Android OS, Google Cloud Platform (GCP), SOAP UI, POSTMAN, POS register, SQL server, Oracle, and Jbehave/Cucumber BDD.
Travel</t>
  </si>
  <si>
    <t>3000 Bayport Drive, Suite 840</t>
  </si>
  <si>
    <t>Other unanticipated locations across the U.S.</t>
  </si>
  <si>
    <t>Woody</t>
  </si>
  <si>
    <t>Manager, U.S. &amp; Canada Immigration</t>
  </si>
  <si>
    <t>11401 LAMAR AVE</t>
  </si>
  <si>
    <t>KS</t>
  </si>
  <si>
    <t>woodyd@bv.com</t>
  </si>
  <si>
    <t>Black &amp; Veatch Corporation</t>
  </si>
  <si>
    <t>Thea</t>
  </si>
  <si>
    <t>thea@kcimmigrationlaw.com</t>
  </si>
  <si>
    <t>The McCrummen Immigration Law Group, LLC</t>
  </si>
  <si>
    <t>Dietrich Fall 2020 Engineering Salary Survey</t>
  </si>
  <si>
    <t>Hollis</t>
  </si>
  <si>
    <t xml:space="preserve">Los Angeles </t>
  </si>
  <si>
    <t>ZHONG</t>
  </si>
  <si>
    <t>CHIEF EXECUTIVE OFFICER</t>
  </si>
  <si>
    <t>Seadie</t>
  </si>
  <si>
    <t>Keshab</t>
  </si>
  <si>
    <t>Raj</t>
  </si>
  <si>
    <t>246 West 38th Street</t>
  </si>
  <si>
    <t>8TH FLOOR</t>
  </si>
  <si>
    <t>keshabperm@gmail.com</t>
  </si>
  <si>
    <t>Law Office of Keshab Raj Seadie, PC</t>
  </si>
  <si>
    <t xml:space="preserve">Santa Clara </t>
  </si>
  <si>
    <t>P-100-21148-355484</t>
  </si>
  <si>
    <t>Drake</t>
  </si>
  <si>
    <t>Mollie</t>
  </si>
  <si>
    <t>Alma</t>
  </si>
  <si>
    <t>Operation’s manager</t>
  </si>
  <si>
    <t>2401 W Spring Creek Parkway</t>
  </si>
  <si>
    <t>APT 2803</t>
  </si>
  <si>
    <t>mollie@statusjet.com</t>
  </si>
  <si>
    <t>Status Jet, LLC</t>
  </si>
  <si>
    <t>10440 N Central Expy Suite 1425</t>
  </si>
  <si>
    <t>Aircraft sales and charter specialist</t>
  </si>
  <si>
    <t>Sales Representatives, Wholesale and Manufacturing, Technical and Scientific Products</t>
  </si>
  <si>
    <t>Taylor</t>
  </si>
  <si>
    <t>Rachel</t>
  </si>
  <si>
    <t>Chang</t>
  </si>
  <si>
    <t>T</t>
  </si>
  <si>
    <t>Paralegal</t>
  </si>
  <si>
    <t>lca@mindylaw.com</t>
  </si>
  <si>
    <t>Suite B</t>
  </si>
  <si>
    <t>Human Resources Assistants, Except Payroll and Timekeeping</t>
  </si>
  <si>
    <t>P-400-21130-300179</t>
  </si>
  <si>
    <t>Hahn</t>
  </si>
  <si>
    <t>Jeff</t>
  </si>
  <si>
    <t>7275 Bridgewater Rd</t>
  </si>
  <si>
    <t>Huber Heights</t>
  </si>
  <si>
    <t>jeffh@groundscapemaintenance.com</t>
  </si>
  <si>
    <t>Groundscape Maintenance, LLC</t>
  </si>
  <si>
    <t>Dayton, OH</t>
  </si>
  <si>
    <t>P-400-21148-353948</t>
  </si>
  <si>
    <t>Leauri</t>
  </si>
  <si>
    <t>Karin</t>
  </si>
  <si>
    <t>Vice President, HR and Administration</t>
  </si>
  <si>
    <t>4 Nickerson Street</t>
  </si>
  <si>
    <t>leaurimoore@npsi.us</t>
  </si>
  <si>
    <t>North Pacific Seafoods, Inc.</t>
  </si>
  <si>
    <t>Isohata</t>
  </si>
  <si>
    <t>Satoru</t>
  </si>
  <si>
    <t>6100 219th Street SW</t>
  </si>
  <si>
    <t>Suite 480</t>
  </si>
  <si>
    <t>Mountlake Terrace</t>
  </si>
  <si>
    <t>isohata@kandilawyers.com</t>
  </si>
  <si>
    <t>Kotokawa &amp; Isohata, PS</t>
  </si>
  <si>
    <t>Pollock Roe Technician</t>
  </si>
  <si>
    <t>Food Batchmakers</t>
  </si>
  <si>
    <t>Plant Manager</t>
  </si>
  <si>
    <t>627 Shelikof Street</t>
  </si>
  <si>
    <t>Kodiak</t>
  </si>
  <si>
    <t>ALASKA</t>
  </si>
  <si>
    <t>Augusta</t>
  </si>
  <si>
    <t>Myung-Sun</t>
  </si>
  <si>
    <t>Caitlyn</t>
  </si>
  <si>
    <t>Curtis</t>
  </si>
  <si>
    <t>Yu</t>
  </si>
  <si>
    <t>Columbia</t>
  </si>
  <si>
    <t>Ogletree, Deakins, Nash, Smoak &amp; Stewart P.C.</t>
  </si>
  <si>
    <t>GONZALEZ</t>
  </si>
  <si>
    <t>SUITE 400</t>
  </si>
  <si>
    <t>DEL CAMPO</t>
  </si>
  <si>
    <t>KATHRYN</t>
  </si>
  <si>
    <t>1700 MARKET STREET</t>
  </si>
  <si>
    <t xml:space="preserve">PHILADELPHIA </t>
  </si>
  <si>
    <t>usdeloitteimmigration@deloitte.com</t>
  </si>
  <si>
    <t>Deloitte Consulting LLP</t>
  </si>
  <si>
    <t>265 FRANKLIN STREET</t>
  </si>
  <si>
    <t>SUITE 502</t>
  </si>
  <si>
    <t>BOSTON</t>
  </si>
  <si>
    <t>DCPERM@BALGLOBAL.COM</t>
  </si>
  <si>
    <t>Hamilton</t>
  </si>
  <si>
    <t>Rama</t>
  </si>
  <si>
    <t>Kimberly</t>
  </si>
  <si>
    <t>Elaine</t>
  </si>
  <si>
    <t xml:space="preserve">Schneider </t>
  </si>
  <si>
    <t xml:space="preserve">Debra </t>
  </si>
  <si>
    <t xml:space="preserve">200 South 6th Street </t>
  </si>
  <si>
    <t xml:space="preserve">Minneapolis </t>
  </si>
  <si>
    <t>dschneider@fredlaw.com</t>
  </si>
  <si>
    <t>Fredrikson &amp; Byron PA</t>
  </si>
  <si>
    <t>KENTUCKY</t>
  </si>
  <si>
    <t>SUSAN</t>
  </si>
  <si>
    <t>RICHARDSON</t>
  </si>
  <si>
    <t>333 West Wacker Drive</t>
  </si>
  <si>
    <t>Bridgewater</t>
  </si>
  <si>
    <t>LAURA</t>
  </si>
  <si>
    <t>Huynh</t>
  </si>
  <si>
    <t>Loan</t>
  </si>
  <si>
    <t>Thi</t>
  </si>
  <si>
    <t>200 South Sixth St.</t>
  </si>
  <si>
    <t>lhuynh@fredlaw.com</t>
  </si>
  <si>
    <t>Fredrikson &amp; Byron, P.A.</t>
  </si>
  <si>
    <t xml:space="preserve">Administrator </t>
  </si>
  <si>
    <t>Neal</t>
  </si>
  <si>
    <t>P-400-21140-330844</t>
  </si>
  <si>
    <t>Pachota</t>
  </si>
  <si>
    <t>205 Base Avenue E.</t>
  </si>
  <si>
    <t>Venice</t>
  </si>
  <si>
    <t>pshooter16@aol.com</t>
  </si>
  <si>
    <t>Venice Pier Group, Inc.</t>
  </si>
  <si>
    <t>Sharky's on the Pier and Fin's at Sharky's</t>
  </si>
  <si>
    <t>Service Assistant</t>
  </si>
  <si>
    <t>="The Petitioner will consider for employment any person who possesses at least three (3) months of experience in a fine-dining or high-volume environment at a high-end restaurant, resort, or private club.  Applicant must complete pre-employment backgroun</t>
  </si>
  <si>
    <t>1600 S. Harbor Drive</t>
  </si>
  <si>
    <t>Briard</t>
  </si>
  <si>
    <t>10 Orchard</t>
  </si>
  <si>
    <t>Lake Forest</t>
  </si>
  <si>
    <t>abriard@tohigherground.com</t>
  </si>
  <si>
    <t>Guidepost A LLC</t>
  </si>
  <si>
    <t>Huddleston</t>
  </si>
  <si>
    <t>Brent</t>
  </si>
  <si>
    <t>10440 N. Central Expressway</t>
  </si>
  <si>
    <t>Suite 970</t>
  </si>
  <si>
    <t>brent@huddlawgroup.com</t>
  </si>
  <si>
    <t>Huddleston Law Group PLLC</t>
  </si>
  <si>
    <t>Kindergarten Teachers, Except Special Education</t>
  </si>
  <si>
    <t>Tom</t>
  </si>
  <si>
    <t>Crowley</t>
  </si>
  <si>
    <t>Morristown</t>
  </si>
  <si>
    <t>Shah</t>
  </si>
  <si>
    <t>90 Matawan Road</t>
  </si>
  <si>
    <t>Matawan</t>
  </si>
  <si>
    <t>Software Engineer III</t>
  </si>
  <si>
    <t>Manager-Immigration Americas</t>
  </si>
  <si>
    <t>5950 Hazeltine National Dr</t>
  </si>
  <si>
    <t>Ste. 210</t>
  </si>
  <si>
    <t>Orlando</t>
  </si>
  <si>
    <t>Amadeus Airport IT Americas, Inc.</t>
  </si>
  <si>
    <t>Senior Technical Business Analyst</t>
  </si>
  <si>
    <t>MIS, COMP SCI, IT OR RLTD FLD</t>
  </si>
  <si>
    <t>="Master’s degree (or foreign equivalent) in Management Information Systems, Computer Science, IT or a related field, PLUS two (2) years of experience in the job offered or a related position. Experience must include demonstrable knowledge of: Object Orie</t>
  </si>
  <si>
    <t>3470 NW 82nd Avenue</t>
  </si>
  <si>
    <t>JENNIFER</t>
  </si>
  <si>
    <t>6th Floor</t>
  </si>
  <si>
    <t>VP Business Development</t>
  </si>
  <si>
    <t>Socol Esq</t>
  </si>
  <si>
    <t>Fernando</t>
  </si>
  <si>
    <t>Suite 134</t>
  </si>
  <si>
    <t>Miramar</t>
  </si>
  <si>
    <t>fsocol@socollaw.com</t>
  </si>
  <si>
    <t>KatieO@murthy.com</t>
  </si>
  <si>
    <t>Computer Science, Engineering, Mathematics, Information Systems, Physics or related field of education.</t>
  </si>
  <si>
    <t>Lashway</t>
  </si>
  <si>
    <t>Radford Global Technology Survey (US)</t>
  </si>
  <si>
    <t>Manufacturing Engineers</t>
  </si>
  <si>
    <t xml:space="preserve">5 INDEPENDENCE WAY </t>
  </si>
  <si>
    <t>SUITE # 414</t>
  </si>
  <si>
    <t>THE PRINCIPAL CONSULTING INC</t>
  </si>
  <si>
    <t xml:space="preserve">ALLEN </t>
  </si>
  <si>
    <t xml:space="preserve">50 CRAGWOOD ROAD </t>
  </si>
  <si>
    <t xml:space="preserve">SYSTEM ANALYST </t>
  </si>
  <si>
    <t xml:space="preserve">Science, Computer Applications,  Technology, Engineering, or any related field </t>
  </si>
  <si>
    <t>="Master’s degree in Science, Computer Applications,  Technology, Engineering, or any related field with 1 year of experience in the job offered or related occupation is required. Bachelor’s degree in the above-mentioned fields along with 5 years of exper</t>
  </si>
  <si>
    <t xml:space="preserve">PROJECT MANAGER </t>
  </si>
  <si>
    <t>Derek</t>
  </si>
  <si>
    <t>Suite 1150</t>
  </si>
  <si>
    <t>Data Engineer</t>
  </si>
  <si>
    <t>See F.a.2.</t>
  </si>
  <si>
    <t>Bennett</t>
  </si>
  <si>
    <t>Newport Beach</t>
  </si>
  <si>
    <t>Sandy</t>
  </si>
  <si>
    <t>Medford</t>
  </si>
  <si>
    <t>Robin</t>
  </si>
  <si>
    <t>Manager/Team Lead</t>
  </si>
  <si>
    <t>Nguyen</t>
  </si>
  <si>
    <t>Hien</t>
  </si>
  <si>
    <t>HR Shared Services - Domestic Mobility</t>
  </si>
  <si>
    <t>1020 Kifer Road</t>
  </si>
  <si>
    <t>Hien.Nguyen@intusurg.com</t>
  </si>
  <si>
    <t>Intuitive Surgical Operations, Inc.</t>
  </si>
  <si>
    <t>Kinger</t>
  </si>
  <si>
    <t>Sonal</t>
  </si>
  <si>
    <t>Sr Manager, Manufacturing Engineering</t>
  </si>
  <si>
    <t>Larry</t>
  </si>
  <si>
    <t>Miner</t>
  </si>
  <si>
    <t xml:space="preserve">Kevin </t>
  </si>
  <si>
    <t>1355 Peachtree St. NE</t>
  </si>
  <si>
    <t>FRAGOMEN, DEL REY, BERNSEN, &amp; LOEWY, LLP</t>
  </si>
  <si>
    <t>Data Analyst</t>
  </si>
  <si>
    <t>Senior Analyst</t>
  </si>
  <si>
    <t>Pinon Health Center</t>
  </si>
  <si>
    <t>Navajo Route 4</t>
  </si>
  <si>
    <t>Pinon</t>
  </si>
  <si>
    <t>Research Triangle Park</t>
  </si>
  <si>
    <t>P-400-21154-366852</t>
  </si>
  <si>
    <t>Geiger</t>
  </si>
  <si>
    <t>Judith</t>
  </si>
  <si>
    <t>4763 Killington Road</t>
  </si>
  <si>
    <t>Killington</t>
  </si>
  <si>
    <t>VT</t>
  </si>
  <si>
    <t>RReed@killington.com</t>
  </si>
  <si>
    <t>Killington/Pico Ski Resort Partners, LLC</t>
  </si>
  <si>
    <t>Killington/Pico Ski Resort</t>
  </si>
  <si>
    <t>VERMONT</t>
  </si>
  <si>
    <t>Dishwasher</t>
  </si>
  <si>
    <t>="The Petitioner will consider for employment any person who possesses at least three (3) months of experience in a high-end or high-volume restaurant, resort, or private club environment.
Applicant may be required to complete pre-employment COVID-19 tes</t>
  </si>
  <si>
    <t>Dishwashers</t>
  </si>
  <si>
    <t xml:space="preserve">Food and Beverage Manager </t>
  </si>
  <si>
    <t xml:space="preserve">Occasional travel is required between worksites within Killington, Vermont.  Daily transportation between worksites is provided. </t>
  </si>
  <si>
    <t>4701 Patrick Henry Drive</t>
  </si>
  <si>
    <t>Building 12</t>
  </si>
  <si>
    <t>Rebecca</t>
  </si>
  <si>
    <t>Suite 1100</t>
  </si>
  <si>
    <t>Gupta</t>
  </si>
  <si>
    <t>Suite 330</t>
  </si>
  <si>
    <t>Account Manager</t>
  </si>
  <si>
    <t>ATTORNEY AT LAW</t>
  </si>
  <si>
    <t>Lawyers</t>
  </si>
  <si>
    <t>P-100-21144-338937</t>
  </si>
  <si>
    <t>ATTORNEY-AT-LAW</t>
  </si>
  <si>
    <t>PRONIX INC</t>
  </si>
  <si>
    <t>666 PLAINSBORO ROAD</t>
  </si>
  <si>
    <t>SUITE 615</t>
  </si>
  <si>
    <t>PLAINSBORO</t>
  </si>
  <si>
    <t>LAW OFFICES OF THOMAS V ALLEN, PLLC</t>
  </si>
  <si>
    <t>SCIENCE, TECHNOLOGY, ENGINEERING OR ANY RELATED FIELD</t>
  </si>
  <si>
    <t>="Master’s degree in Science, Technology, Engineering, or any related field is required. Bachelor’s degree in the above-mentioned fields along with 5 years of experience in job offered or related occupation is acceptable in lieu of Master’s degree. Any su</t>
  </si>
  <si>
    <t>SUITE 615 &amp; Various unanticipated locations throughout the U.S</t>
  </si>
  <si>
    <t>600 Sylvan Avenue</t>
  </si>
  <si>
    <t>Suite 109</t>
  </si>
  <si>
    <t>Englewood Cliffs</t>
  </si>
  <si>
    <t>myang@millerchoelaw.com</t>
  </si>
  <si>
    <t>Law Offices of Miller and Choe PC</t>
  </si>
  <si>
    <t>Assistant Manager</t>
  </si>
  <si>
    <t>35-3021.00</t>
  </si>
  <si>
    <t>Combined Food Preparation and Serving Workers, Including Fast Food</t>
  </si>
  <si>
    <t>P-400-21139-327178</t>
  </si>
  <si>
    <t xml:space="preserve">Miller </t>
  </si>
  <si>
    <t>515 Fulton St</t>
  </si>
  <si>
    <t>Port LaVaca</t>
  </si>
  <si>
    <t>Miller Seafood Company, INC</t>
  </si>
  <si>
    <t>515 Fulton Street</t>
  </si>
  <si>
    <t>Mullinax</t>
  </si>
  <si>
    <t>4622 Boring Pond Rd</t>
  </si>
  <si>
    <t>Valdosta</t>
  </si>
  <si>
    <t>h2visas@aol.com</t>
  </si>
  <si>
    <t>USA Works Inc</t>
  </si>
  <si>
    <t>Deckhands</t>
  </si>
  <si>
    <t>Port Lavaca</t>
  </si>
  <si>
    <t>Fishers and Related Fishing Workers; Fishers and Related Fishing Workers</t>
  </si>
  <si>
    <t>PISCATAWAY</t>
  </si>
  <si>
    <t>Anil</t>
  </si>
  <si>
    <t>Suite 502</t>
  </si>
  <si>
    <t>Bethesda</t>
  </si>
  <si>
    <t>E.</t>
  </si>
  <si>
    <t>Haven</t>
  </si>
  <si>
    <t>mike@gpimmigration.com</t>
  </si>
  <si>
    <t>Goldman &amp; Partners Immigration Law, LLP</t>
  </si>
  <si>
    <t>Senior Scientist</t>
  </si>
  <si>
    <t>Taveras</t>
  </si>
  <si>
    <t>Maribel</t>
  </si>
  <si>
    <t>475 Park Avenue South</t>
  </si>
  <si>
    <t>Connell Foley</t>
  </si>
  <si>
    <t>P-100-21181-438192</t>
  </si>
  <si>
    <t>Zneimer</t>
  </si>
  <si>
    <t>Sofia</t>
  </si>
  <si>
    <t xml:space="preserve">Attorney </t>
  </si>
  <si>
    <t>4141 North Western Avenue</t>
  </si>
  <si>
    <t>Sofia@zneimerlaw.com</t>
  </si>
  <si>
    <t xml:space="preserve">OSF Healthcare System </t>
  </si>
  <si>
    <t xml:space="preserve">800 N.E. Glen Oak Avenue </t>
  </si>
  <si>
    <t>Peoria</t>
  </si>
  <si>
    <t>4141 N. Western Avenue</t>
  </si>
  <si>
    <t>sofia@zneimerlaw.com</t>
  </si>
  <si>
    <t>Zneimer &amp; Zneimer PC</t>
  </si>
  <si>
    <t>Clinical Laboratory Scientist</t>
  </si>
  <si>
    <t xml:space="preserve">Medical Technology or Clinical Laboratory </t>
  </si>
  <si>
    <t>="Bachelor of Science in Medical Technology, Clinical Laboratory or foreign equivalent; One-year experience in clinical laboratory as a Clinical Laboratory Scientist, Medical Laboratory Technologist, or Medical Technologist is required to enable the succe</t>
  </si>
  <si>
    <t xml:space="preserve">Registered Medical Technologist </t>
  </si>
  <si>
    <t>1224 N. Berkeley Ave.</t>
  </si>
  <si>
    <t>248 3rd Street</t>
  </si>
  <si>
    <t>Suite 433</t>
  </si>
  <si>
    <t>Oakland</t>
  </si>
  <si>
    <t>perm-oak@wolfsdorf.com</t>
  </si>
  <si>
    <t>P-100-21126-293870</t>
  </si>
  <si>
    <t>Black</t>
  </si>
  <si>
    <t>Immigration Program Manager (IV)</t>
  </si>
  <si>
    <t>20 Kimball Ave.</t>
  </si>
  <si>
    <t>Suite 303N</t>
  </si>
  <si>
    <t>South Burlington</t>
  </si>
  <si>
    <t>vblack@itechus.net</t>
  </si>
  <si>
    <t>iTech US, Inc.</t>
  </si>
  <si>
    <t xml:space="preserve">Computer Science, Software/Computer Engineering, Information Systems or related </t>
  </si>
  <si>
    <t>="Master’s degree in Computer Science, Software/Computer Engineering, Information Systems or related and 2 years of programmer analyst/software development/systems engineer experience with 2 years with Oracle Portals, WebCenter Suite, ADF, Java, PL/SQL, J</t>
  </si>
  <si>
    <t>*Work is at unanticipated project sites throughout the US, with infrequent relocations. No other travel is involved.</t>
  </si>
  <si>
    <t>South Burlington*</t>
  </si>
  <si>
    <t>P-400-21131-303187</t>
  </si>
  <si>
    <t>Wildridge</t>
  </si>
  <si>
    <t>1883 W Royal Hunte Dr</t>
  </si>
  <si>
    <t>Suite 200A</t>
  </si>
  <si>
    <t>Cedar City</t>
  </si>
  <si>
    <t>taylor@southernimpact.com</t>
  </si>
  <si>
    <t>W.R. Logistics, LLC</t>
  </si>
  <si>
    <t>Hester</t>
  </si>
  <si>
    <t>6747 Foxbriar Dr</t>
  </si>
  <si>
    <t>Tulsa</t>
  </si>
  <si>
    <t>Oklahoma</t>
  </si>
  <si>
    <t>Southern Impact</t>
  </si>
  <si>
    <t>Light Truck Driver</t>
  </si>
  <si>
    <t>3355 S Arlington Ave</t>
  </si>
  <si>
    <t>Indianapolis-Carmel-Anderson, IN</t>
  </si>
  <si>
    <t>Kennedy</t>
  </si>
  <si>
    <t>Building B</t>
  </si>
  <si>
    <t>TEVAR</t>
  </si>
  <si>
    <t>NEEL</t>
  </si>
  <si>
    <t>G.</t>
  </si>
  <si>
    <t>30 Hudson Street</t>
  </si>
  <si>
    <t>GOLDMAN SACHS SERVICES LLC</t>
  </si>
  <si>
    <t>GDiDonato@Fragomen.com</t>
  </si>
  <si>
    <t>Carrollton</t>
  </si>
  <si>
    <t>Paris</t>
  </si>
  <si>
    <t>Lawrence</t>
  </si>
  <si>
    <t>Architect</t>
  </si>
  <si>
    <t>Architecture</t>
  </si>
  <si>
    <t>Architects, Except Landscape and Naval</t>
  </si>
  <si>
    <t>P-400-21123-282445</t>
  </si>
  <si>
    <t>Dougherty</t>
  </si>
  <si>
    <t>Edward</t>
  </si>
  <si>
    <t>2505 Trails End Ln.</t>
  </si>
  <si>
    <t>NV</t>
  </si>
  <si>
    <t>tomd_sls@yahoo.com</t>
  </si>
  <si>
    <t>Seasonal Labor Solutions Ltd.</t>
  </si>
  <si>
    <t>Experienced Snowmaker</t>
  </si>
  <si>
    <t>Snowmaking Supervisor</t>
  </si>
  <si>
    <t>1007 Beech Mountain Pkwy</t>
  </si>
  <si>
    <t>Beech Mountain</t>
  </si>
  <si>
    <t>Mountain North Carolina nonmetropolitan area</t>
  </si>
  <si>
    <t>Gaffney</t>
  </si>
  <si>
    <t>Production Helper</t>
  </si>
  <si>
    <t>Helpers--Production Workers</t>
  </si>
  <si>
    <t>Suite 1200</t>
  </si>
  <si>
    <t>WATERTOWN</t>
  </si>
  <si>
    <t>Watertown</t>
  </si>
  <si>
    <t>Charles</t>
  </si>
  <si>
    <t>Suite 1300</t>
  </si>
  <si>
    <t>Computer Science or related field</t>
  </si>
  <si>
    <t>Hall</t>
  </si>
  <si>
    <t>Senior Data Scientist</t>
  </si>
  <si>
    <t>Price</t>
  </si>
  <si>
    <t>31-2021.00</t>
  </si>
  <si>
    <t>Physical Therapist Assistants</t>
  </si>
  <si>
    <t>Commercial Pilots</t>
  </si>
  <si>
    <t>Hurricane</t>
  </si>
  <si>
    <t>Ali</t>
  </si>
  <si>
    <t>President &amp; CEO</t>
  </si>
  <si>
    <t>Clark Hill PLC</t>
  </si>
  <si>
    <t>Electrical Engineering</t>
  </si>
  <si>
    <t>Melanie</t>
  </si>
  <si>
    <t>Loren</t>
  </si>
  <si>
    <t>Automotive Engineers</t>
  </si>
  <si>
    <t>SUITE 302</t>
  </si>
  <si>
    <t>SAN DIEGO</t>
  </si>
  <si>
    <t>Personal Care Aides</t>
  </si>
  <si>
    <t>Saebom</t>
  </si>
  <si>
    <t>764 W Veterans Blvd</t>
  </si>
  <si>
    <t>sblee@scaalabama.net</t>
  </si>
  <si>
    <t>SCA, Inc.</t>
  </si>
  <si>
    <t>PO Box 422</t>
  </si>
  <si>
    <t>Senior Production Planner</t>
  </si>
  <si>
    <t>Any major</t>
  </si>
  <si>
    <t>Production, Planning, and Expediting Clerks</t>
  </si>
  <si>
    <t>Thornton</t>
  </si>
  <si>
    <t>Sr. HR Specialist</t>
  </si>
  <si>
    <t>1155 Coleman Ave.</t>
  </si>
  <si>
    <t>lthornton@roku.com</t>
  </si>
  <si>
    <t>Roku, Inc.</t>
  </si>
  <si>
    <t>1155 Coleman Avenue</t>
  </si>
  <si>
    <t>Karl</t>
  </si>
  <si>
    <t>Vida</t>
  </si>
  <si>
    <t>909 Montgomery Street</t>
  </si>
  <si>
    <t>ksunnen@jackson-hertogs.com</t>
  </si>
  <si>
    <t>Jackson &amp; Hertogs LLP</t>
  </si>
  <si>
    <t>Lopez</t>
  </si>
  <si>
    <t>Elkhart</t>
  </si>
  <si>
    <t>35-2014.00; 35-9021.00</t>
  </si>
  <si>
    <t>Cooks, Restaurant; Dishwashers</t>
  </si>
  <si>
    <t>Ellis</t>
  </si>
  <si>
    <t>Preston</t>
  </si>
  <si>
    <t>Lead Engineer</t>
  </si>
  <si>
    <t>Kirk-Johnson</t>
  </si>
  <si>
    <t>13495 Tournament Drive</t>
  </si>
  <si>
    <t>Palm Beach Gardens</t>
  </si>
  <si>
    <t>Frenchman's Creek Beach &amp; Country Club</t>
  </si>
  <si>
    <t>Noel</t>
  </si>
  <si>
    <t>Golf Attendant</t>
  </si>
  <si>
    <t>Mancini</t>
  </si>
  <si>
    <t>Martha</t>
  </si>
  <si>
    <t>1401 Brickell Ave</t>
  </si>
  <si>
    <t>Suite 1500</t>
  </si>
  <si>
    <t>mmancini@bpi-gruposantander.com</t>
  </si>
  <si>
    <t>Banco Santander International</t>
  </si>
  <si>
    <t>Requejo</t>
  </si>
  <si>
    <t>Karina</t>
  </si>
  <si>
    <t>800 South Douglas Road</t>
  </si>
  <si>
    <t>Suite 350</t>
  </si>
  <si>
    <t>krequejo@corderoassociates.com</t>
  </si>
  <si>
    <t>Cordero &amp; associates P.A.</t>
  </si>
  <si>
    <t>Anthony</t>
  </si>
  <si>
    <t>Managing Member</t>
  </si>
  <si>
    <t>Sabine</t>
  </si>
  <si>
    <t>P-400-21133-310943</t>
  </si>
  <si>
    <t>Fulcher</t>
  </si>
  <si>
    <t>Garland</t>
  </si>
  <si>
    <t>101 South Avenue</t>
  </si>
  <si>
    <t>Oriental</t>
  </si>
  <si>
    <t>lilliebelle101@aol.com</t>
  </si>
  <si>
    <t>Lillie Belle, LLC</t>
  </si>
  <si>
    <t>Fishers &amp; Related Fishing Workers</t>
  </si>
  <si>
    <t>="Worker must have "sea legs" and be able to work on a fishing trawler in slightly turbulent waters for periods longer than a couple of weeks to several months depending on the catch . Must have basic knowledge of safety aboard a fishing trawler. Full tim</t>
  </si>
  <si>
    <t>Work will be performed in the Atlantic waters off the coast of North Carolina, and the Gulf of Mexico off the coast of Tampa Bay, Florida</t>
  </si>
  <si>
    <t xml:space="preserve">Oriental </t>
  </si>
  <si>
    <t>New Bern, NC</t>
  </si>
  <si>
    <t>Application Engineer</t>
  </si>
  <si>
    <t>King</t>
  </si>
  <si>
    <t>Chesterfield</t>
  </si>
  <si>
    <t xml:space="preserve">Immigration Manager/ Immigration Specialist </t>
  </si>
  <si>
    <t>3225 Oakmead Village Drive</t>
  </si>
  <si>
    <t>HR_Immigration@amat.com</t>
  </si>
  <si>
    <t>Tafapolsky &amp; Smith LLP</t>
  </si>
  <si>
    <t>P-100-21139-326173</t>
  </si>
  <si>
    <t>TRISYNC TECHNOLOGIES, INC.</t>
  </si>
  <si>
    <t>5001 HADLEY ROAD</t>
  </si>
  <si>
    <t>SUITE 205A</t>
  </si>
  <si>
    <t>LAW OFFICES OF THOMAS V. ALLEN, PLLC.</t>
  </si>
  <si>
    <t>SCIENCE, TECHNOLOGY, ENGINEERING, OR ANY RELATED FILED.</t>
  </si>
  <si>
    <t>="Master’s degree in Science, Technology, Engineering, or any related field with 6 months of experience in the job offered or related occupation is required. Bachelor’s degree in the above mentioned fields along with 5 years of experience in job offered o</t>
  </si>
  <si>
    <t>Computer Programmers</t>
  </si>
  <si>
    <t>SUITE 205A AND VARIOUS UNANTICIPATED LOCATIONS THROUGHOUT THE U.S.</t>
  </si>
  <si>
    <t>CHEN</t>
  </si>
  <si>
    <t>Science, Technology, Engineering, or any related field</t>
  </si>
  <si>
    <t xml:space="preserve">Science, Technology, Engineering, or any related field </t>
  </si>
  <si>
    <t>Steven</t>
  </si>
  <si>
    <t>Attorney, U.S. Immigration</t>
  </si>
  <si>
    <t>555 W. Fifth Street</t>
  </si>
  <si>
    <t>Suite 4510</t>
  </si>
  <si>
    <t>FLAG-LA@tandslaw.com</t>
  </si>
  <si>
    <t>P.O. Box 31608</t>
  </si>
  <si>
    <t>Arun</t>
  </si>
  <si>
    <t>Senior Manager - Human Resources</t>
  </si>
  <si>
    <t>5 Polaris Way</t>
  </si>
  <si>
    <t>Aliso Viejo</t>
  </si>
  <si>
    <t>arun.joseph@ust.com</t>
  </si>
  <si>
    <t>UST Global Inc</t>
  </si>
  <si>
    <t>Chugh, LLP</t>
  </si>
  <si>
    <t>="- THE 2 YEARS' EXPERIENCE REQUIRED MUST INCLUDE GLOBAL DELIVERY MODEL EXPERIENCE AND TO COMMUNICATE COMPLEX, TECHNICAL CONCEPTS TO ALL LEVELS.
- TRAVEL AND/OR RELOCATE TO UNANTICIPATED CLIENT SITE LOCATIONS THROUGHOUT THE U.S. AS NEEDED BY THE COMPANY W</t>
  </si>
  <si>
    <t>3 Years of University/College Level Education</t>
  </si>
  <si>
    <t>Delivery Manager/Project Manager/Account Manager</t>
  </si>
  <si>
    <t>Unanticipated client site throughout the U.S.</t>
  </si>
  <si>
    <t>JOAN</t>
  </si>
  <si>
    <t>Self-Enrichment Education Teachers</t>
  </si>
  <si>
    <t>50 California St</t>
  </si>
  <si>
    <t>Trevino/ Llanos</t>
  </si>
  <si>
    <t>Monica/ Daisy</t>
  </si>
  <si>
    <t>3225 OAKMEAD VILLAGE DRIVE</t>
  </si>
  <si>
    <t>BUILDING 12</t>
  </si>
  <si>
    <t>Applied Materials, Inc</t>
  </si>
  <si>
    <t>Ashika</t>
  </si>
  <si>
    <t>flag-SF1@tsmimmigration.com</t>
  </si>
  <si>
    <t xml:space="preserve">Computer Science, Computer Engineering, or related field </t>
  </si>
  <si>
    <t>280 Trumbull Street, Floor 28</t>
  </si>
  <si>
    <t>Hartford</t>
  </si>
  <si>
    <t>Robinson &amp; Cole LLP</t>
  </si>
  <si>
    <t>7373 Gateway Blvd.</t>
  </si>
  <si>
    <t>Gammon</t>
  </si>
  <si>
    <t xml:space="preserve">7373 Gateway Blvd. </t>
  </si>
  <si>
    <t>LEE</t>
  </si>
  <si>
    <t>Sr. Project Manager</t>
  </si>
  <si>
    <t>Suite 650</t>
  </si>
  <si>
    <t>Morrisville</t>
  </si>
  <si>
    <t>NONE</t>
  </si>
  <si>
    <t>CHICAGO</t>
  </si>
  <si>
    <t>Managers, All Other</t>
  </si>
  <si>
    <t>Choudhry</t>
  </si>
  <si>
    <t>Erum</t>
  </si>
  <si>
    <t>PO BOX #191710</t>
  </si>
  <si>
    <t>E&amp;M Mayock</t>
  </si>
  <si>
    <t>HOUSTON</t>
  </si>
  <si>
    <t>10100 Katy Freeway</t>
  </si>
  <si>
    <t>Mechanical Engineering or related field</t>
  </si>
  <si>
    <t>Office Administrator</t>
  </si>
  <si>
    <t>365 Northridge Road</t>
  </si>
  <si>
    <t>Middle School Teachers, Except Special and Career/Technical Education</t>
  </si>
  <si>
    <t>Windsor</t>
  </si>
  <si>
    <t>Sanford</t>
  </si>
  <si>
    <t>Greeley</t>
  </si>
  <si>
    <t xml:space="preserve">Mary </t>
  </si>
  <si>
    <t xml:space="preserve">T </t>
  </si>
  <si>
    <t>370 Franklin Street</t>
  </si>
  <si>
    <t>mlamancuso@serottelaw.com</t>
  </si>
  <si>
    <t xml:space="preserve">Serotte Law Firm LLC </t>
  </si>
  <si>
    <t>Shannon</t>
  </si>
  <si>
    <t>Nashua</t>
  </si>
  <si>
    <t>NH</t>
  </si>
  <si>
    <t>NEW HAMPSHIRE</t>
  </si>
  <si>
    <t>See F.b.5.</t>
  </si>
  <si>
    <t>295 Pierson Avenue</t>
  </si>
  <si>
    <t>Chugh LLP</t>
  </si>
  <si>
    <t>Product Manager</t>
  </si>
  <si>
    <t>Brighton</t>
  </si>
  <si>
    <t>P-100-21130-301364</t>
  </si>
  <si>
    <t xml:space="preserve">Condon / Cotier </t>
  </si>
  <si>
    <t xml:space="preserve">Kieran / Samantha </t>
  </si>
  <si>
    <t>Director, Compensation, HR / Manager, HR</t>
  </si>
  <si>
    <t>100 Federal Street</t>
  </si>
  <si>
    <t>Floor 25</t>
  </si>
  <si>
    <t>BDonegan@fragomen.com</t>
  </si>
  <si>
    <t>Putnam U.S. Holdings I, LLC</t>
  </si>
  <si>
    <t xml:space="preserve">Roskom </t>
  </si>
  <si>
    <t xml:space="preserve">R. </t>
  </si>
  <si>
    <t xml:space="preserve">Computer Science, Engineering (any), or a directly related field. </t>
  </si>
  <si>
    <t>="Three (3) years of experience in each of the following:
- Experience in a financial accounting and reporting environment 
- Experience with SAP modules, including business process flows, configuration, and RICEFW objects (reports, interfaces, conversion</t>
  </si>
  <si>
    <t>Director, Apps</t>
  </si>
  <si>
    <t>Elgin</t>
  </si>
  <si>
    <t>ND</t>
  </si>
  <si>
    <t>NORTH DAKOTA</t>
  </si>
  <si>
    <t>Perez</t>
  </si>
  <si>
    <t>J.</t>
  </si>
  <si>
    <t>AMAZON WEB SERVICES, INC.</t>
  </si>
  <si>
    <t>SELA</t>
  </si>
  <si>
    <t xml:space="preserve">3rd Floor </t>
  </si>
  <si>
    <t>Data Scientist II</t>
  </si>
  <si>
    <t>Domestic travel required up to 15%.</t>
  </si>
  <si>
    <t>HI</t>
  </si>
  <si>
    <t>HAWAII</t>
  </si>
  <si>
    <t>Animal Trainers</t>
  </si>
  <si>
    <t>P-100-21159-378701</t>
  </si>
  <si>
    <t>CHAMORRO</t>
  </si>
  <si>
    <t>ADMINISTRATOR</t>
  </si>
  <si>
    <t>206 ST ROSARIO</t>
  </si>
  <si>
    <t>SAN JUAN</t>
  </si>
  <si>
    <t>PR</t>
  </si>
  <si>
    <t>ADMIN@AFPUERTORICO.ORG</t>
  </si>
  <si>
    <t>ALLIANCE  FRANCAISE OF PORTO RICO</t>
  </si>
  <si>
    <t>CALLE ROSARIO 206</t>
  </si>
  <si>
    <t>PUERTO RICO</t>
  </si>
  <si>
    <t>SCALLEY</t>
  </si>
  <si>
    <t>KAREN</t>
  </si>
  <si>
    <t>MARIE</t>
  </si>
  <si>
    <t>239 ARTERIAL HOSTOS CAPITAL CENTER I</t>
  </si>
  <si>
    <t>KSCALLEY@KSIMMIGRATION.COM</t>
  </si>
  <si>
    <t>KS IMMIGRATION SOLUTIONS</t>
  </si>
  <si>
    <t>Professor of French as a Foreign Language</t>
  </si>
  <si>
    <t>Master’s Degree in French as Foreign Language or related</t>
  </si>
  <si>
    <t>AMINISTRATOR</t>
  </si>
  <si>
    <t>Computer Science, Computer Engineering, or closely related quantitative discipline.</t>
  </si>
  <si>
    <t>Alex</t>
  </si>
  <si>
    <t>Medical Scientists, Except Epidemiologists</t>
  </si>
  <si>
    <t>Legal Counsel</t>
  </si>
  <si>
    <t>605 Castro Street</t>
  </si>
  <si>
    <t>lmcintosh@quora.com</t>
  </si>
  <si>
    <t>Quora, Inc.</t>
  </si>
  <si>
    <t>ESCARIO/as(QUO/KET,K-5513616)</t>
  </si>
  <si>
    <t>2755 ORCHARD PKWY</t>
  </si>
  <si>
    <t>asegura@fragomen.com</t>
  </si>
  <si>
    <t>Electrical Engineering, Computer Engineering, Computer Science, Information Systems, Information Technology, Physics, Statistics, Systems Biology, or related field</t>
  </si>
  <si>
    <t>P-400-21145-343102</t>
  </si>
  <si>
    <t>Habeck Jr.</t>
  </si>
  <si>
    <t>257 Norwood Ave</t>
  </si>
  <si>
    <t>Mailing: 10 Primrose Lane ,  West Long Branch, NJ 07764</t>
  </si>
  <si>
    <t>Long Branch</t>
  </si>
  <si>
    <t>Shady Tree Lawn &amp; Garden LLC</t>
  </si>
  <si>
    <t>Kenefick</t>
  </si>
  <si>
    <t>Devon</t>
  </si>
  <si>
    <t>400 Front Street</t>
  </si>
  <si>
    <t>P.O. Box 507</t>
  </si>
  <si>
    <t>Lovingston</t>
  </si>
  <si>
    <t>jones1138@maslabor.com</t>
  </si>
  <si>
    <t>MAS Labor H2B, LLC</t>
  </si>
  <si>
    <t>Supervisor/Foreman</t>
  </si>
  <si>
    <t>Employer provides incidental transportation between worksites as necessary.</t>
  </si>
  <si>
    <t>Terry</t>
  </si>
  <si>
    <t>Trenton</t>
  </si>
  <si>
    <t>Farmington</t>
  </si>
  <si>
    <t>Professor</t>
  </si>
  <si>
    <t>B.</t>
  </si>
  <si>
    <t>Asst. General Counsel, Legal &amp; Regulatory Affairs–Employment</t>
  </si>
  <si>
    <t>41 Rachel Drive</t>
  </si>
  <si>
    <t>PRImmigration@bbandt.com</t>
  </si>
  <si>
    <t>Truist Bank</t>
  </si>
  <si>
    <t>214 North Tryon Street</t>
  </si>
  <si>
    <t>Scofield</t>
  </si>
  <si>
    <t>Eileen</t>
  </si>
  <si>
    <t>1201 W. Peachtree Street</t>
  </si>
  <si>
    <t>Alston &amp; Bird LLP</t>
  </si>
  <si>
    <t>eileen.scofield@alston.com</t>
  </si>
  <si>
    <t>P-400-21148-354209</t>
  </si>
  <si>
    <t>Holiman</t>
  </si>
  <si>
    <t>Director Human Resources</t>
  </si>
  <si>
    <t>4201 North Beach Street</t>
  </si>
  <si>
    <t>lisa.holiman@kpsglobal.com</t>
  </si>
  <si>
    <t>KPS Global, LLC</t>
  </si>
  <si>
    <t>Machine Operator</t>
  </si>
  <si>
    <t>Multiple Machine Tool Setters, Operators, and Tenders, Metal and Plastic</t>
  </si>
  <si>
    <t>Taki</t>
  </si>
  <si>
    <t>Yoshiyuki</t>
  </si>
  <si>
    <t>21221 S. Western Ave. Suite 215</t>
  </si>
  <si>
    <t>Torrance</t>
  </si>
  <si>
    <t>taki@takilawoffice.com</t>
  </si>
  <si>
    <t>Taki Law Offices, A Professional Corporation</t>
  </si>
  <si>
    <t>NORCROSS</t>
  </si>
  <si>
    <t>P-200-21134-314336</t>
  </si>
  <si>
    <t>Berryhill</t>
  </si>
  <si>
    <t>Nichole</t>
  </si>
  <si>
    <t>Immigration Specialist, ISSS</t>
  </si>
  <si>
    <t>International Students and Scholar Services</t>
  </si>
  <si>
    <t>ashley.berryhill@mail.wvu.edu</t>
  </si>
  <si>
    <t>Assistant Professor (Pediatrics)</t>
  </si>
  <si>
    <t>Physicians and Surgeons, All Other</t>
  </si>
  <si>
    <t>830 Pennsylvania Avenue, Suite 103</t>
  </si>
  <si>
    <t>Charleston</t>
  </si>
  <si>
    <t>Gerald</t>
  </si>
  <si>
    <t>Suite 620</t>
  </si>
  <si>
    <t>Jeanette</t>
  </si>
  <si>
    <t>Authorized Representative</t>
  </si>
  <si>
    <t>Devore</t>
  </si>
  <si>
    <t>4100 RCA Blvd.</t>
  </si>
  <si>
    <t>Suite 110</t>
  </si>
  <si>
    <t>pw@devorelawgroup.com</t>
  </si>
  <si>
    <t>Devore Law Group PA</t>
  </si>
  <si>
    <t>Vetlyn</t>
  </si>
  <si>
    <t>Lancaster</t>
  </si>
  <si>
    <t>Kara</t>
  </si>
  <si>
    <t>Magnolia Manor South</t>
  </si>
  <si>
    <t>3011 Veterans Parkway South</t>
  </si>
  <si>
    <t>Moultrie</t>
  </si>
  <si>
    <t>Elliott</t>
  </si>
  <si>
    <t>East New Market</t>
  </si>
  <si>
    <t>bluecrab64@yahoo.com</t>
  </si>
  <si>
    <t>Pamela Ann Elliott</t>
  </si>
  <si>
    <t>3525 Indian Grant Road</t>
  </si>
  <si>
    <t>Entry Level Seafood Packer</t>
  </si>
  <si>
    <t>Packers and Packagers, Hand</t>
  </si>
  <si>
    <t>Waters of the Chesapeake Bay</t>
  </si>
  <si>
    <t>P-400-21128-297906</t>
  </si>
  <si>
    <t>Pruitt</t>
  </si>
  <si>
    <t>Deputy CHRO, Sr. Legal Counsel</t>
  </si>
  <si>
    <t>3501 County Road 6 East</t>
  </si>
  <si>
    <t>elkhart</t>
  </si>
  <si>
    <t>epruitt@lci1.com</t>
  </si>
  <si>
    <t>Lippert Components, Inc.</t>
  </si>
  <si>
    <t>Long</t>
  </si>
  <si>
    <t>Sari</t>
  </si>
  <si>
    <t>1050 K St NW</t>
  </si>
  <si>
    <t>sari.long@faegredrinker.com</t>
  </si>
  <si>
    <t>Faegre Drinker Biddle &amp; Reath LLP</t>
  </si>
  <si>
    <t>Chassis Fab Jig/Welder</t>
  </si>
  <si>
    <t>="MUST BE ABLE TO STAND, WALK, BEND, KNEEL, STOOP, CROUCH, CRAWL, AND CLIMB. MUST BE ABLE TO LIFT A MINIMUM OF 25 POUNDS. MUST HAVE DEMONSTRATED ABILITY PERFORMING MANUAL LABOR USING HAND TOOLS (E.G., HAMMER, SAW, SCREWDRIVER, DRILL). MUST BE ABLE TO READ</t>
  </si>
  <si>
    <t>Welders, Cutters, and Welder Fitters</t>
  </si>
  <si>
    <t>Team Leader</t>
  </si>
  <si>
    <t>168 S. Spruce St.</t>
  </si>
  <si>
    <t>Rialto</t>
  </si>
  <si>
    <t>Team Assemblers</t>
  </si>
  <si>
    <t>P-100-21159-377899</t>
  </si>
  <si>
    <t>Cerveny</t>
  </si>
  <si>
    <t>CEO &amp; Founder</t>
  </si>
  <si>
    <t>16 W. Martin St.</t>
  </si>
  <si>
    <t>steve.cerveny@kaleido.io</t>
  </si>
  <si>
    <t xml:space="preserve">Kaleido, Inc. </t>
  </si>
  <si>
    <t>Zaritzky</t>
  </si>
  <si>
    <t>201 North 13th Street</t>
  </si>
  <si>
    <t>dol@brownimmigrationlaw.com</t>
  </si>
  <si>
    <t>Brown Immigration Law P.C., L.L.O.</t>
  </si>
  <si>
    <t>Fullstack Engineer</t>
  </si>
  <si>
    <t>Computer Science, Software Engineering, or related field (or foreign equivalent).</t>
  </si>
  <si>
    <t>="2 years of experience using at least 3 of the following technologies: Javascript, Node.js, GraphQL, Cypress, Puppeteer, SaSS, and React.js; 2 years of experience building large scale applications to production; 2 years of experience working with test-au</t>
  </si>
  <si>
    <t xml:space="preserve">Computer Science, Software Engineering, or related field (or foreign equivalent). </t>
  </si>
  <si>
    <t>BROOKE</t>
  </si>
  <si>
    <t>Han</t>
  </si>
  <si>
    <t>HR Coordinator</t>
  </si>
  <si>
    <t>Coupang Global LLC</t>
  </si>
  <si>
    <t>Im</t>
  </si>
  <si>
    <t>Jang</t>
  </si>
  <si>
    <t>Suite 105</t>
  </si>
  <si>
    <t>Senior Manager II</t>
  </si>
  <si>
    <t>805 Moberly Lane</t>
  </si>
  <si>
    <t>Zhu</t>
  </si>
  <si>
    <t>Suite 206</t>
  </si>
  <si>
    <t>Sr. Software Engineer</t>
  </si>
  <si>
    <t>Long Island City</t>
  </si>
  <si>
    <t>Levine</t>
  </si>
  <si>
    <t>Geotechnical Engineer</t>
  </si>
  <si>
    <t>Adhipathi</t>
  </si>
  <si>
    <t>Sandeep</t>
  </si>
  <si>
    <t>5755 North Point Pkwy</t>
  </si>
  <si>
    <t>Ste 24</t>
  </si>
  <si>
    <t>perm@sikal.com</t>
  </si>
  <si>
    <t>Sikal, Adhipathi &amp; Rowles, LLC</t>
  </si>
  <si>
    <t>Travel/relocation involved to unanticipated client locations within U.S.</t>
  </si>
  <si>
    <t>and other unanticipated client locations within U.S.</t>
  </si>
  <si>
    <t>MENDEZ</t>
  </si>
  <si>
    <t>JULIETA</t>
  </si>
  <si>
    <t>DIRECTOR OFFICE OF INTERNATIONAL SERVICES</t>
  </si>
  <si>
    <t>2500 NORTH STATE STREET</t>
  </si>
  <si>
    <t>JACKSON</t>
  </si>
  <si>
    <t>jmendez@umc.edu</t>
  </si>
  <si>
    <t>UNIVERSITY OF MISSISSIPPI MEDICAL CENTER</t>
  </si>
  <si>
    <t>WALKER</t>
  </si>
  <si>
    <t>BARRY</t>
  </si>
  <si>
    <t>JOE</t>
  </si>
  <si>
    <t>P O BOX 1023</t>
  </si>
  <si>
    <t>TUPELO</t>
  </si>
  <si>
    <t>danane@walker-immigration.com</t>
  </si>
  <si>
    <t>BARRY J WALKER, ATTY P A</t>
  </si>
  <si>
    <t>MEDICAL DEGREE</t>
  </si>
  <si>
    <t>MEDICINE</t>
  </si>
  <si>
    <t>Theriault</t>
  </si>
  <si>
    <t>Practice Lead – Global Immigration</t>
  </si>
  <si>
    <t>Suite C150</t>
  </si>
  <si>
    <t>PRProgram@INFOSYS.COM</t>
  </si>
  <si>
    <t>Infosys Limited</t>
  </si>
  <si>
    <t>infosys_initiations@fragomen.com</t>
  </si>
  <si>
    <t>2400 N. Glenville Drive, Suite C150</t>
  </si>
  <si>
    <t>and various and unanticipated locations throughout the U.S.</t>
  </si>
  <si>
    <t>See Section F.a.2</t>
  </si>
  <si>
    <t>P-400-21125-289255</t>
  </si>
  <si>
    <t>Kope</t>
  </si>
  <si>
    <t>Ken</t>
  </si>
  <si>
    <t>10287 W State St</t>
  </si>
  <si>
    <t>Star</t>
  </si>
  <si>
    <t>ID</t>
  </si>
  <si>
    <t>kkope1@msn.com</t>
  </si>
  <si>
    <t>Syringa Landscape Construction LLC</t>
  </si>
  <si>
    <t>Syringa Landscape Construction</t>
  </si>
  <si>
    <t>Zavaletta</t>
  </si>
  <si>
    <t>9726 Darnell Ln</t>
  </si>
  <si>
    <t>P.O.Box 85</t>
  </si>
  <si>
    <t>Sweet</t>
  </si>
  <si>
    <t>joseph@issacharlaw.com</t>
  </si>
  <si>
    <t>Issachar Law</t>
  </si>
  <si>
    <t>Landscape Construction Worker</t>
  </si>
  <si>
    <t>Foreman</t>
  </si>
  <si>
    <t>All travel will be within the Boise MSA, depending on clients needs. Employer provides all transportation and tools.</t>
  </si>
  <si>
    <t xml:space="preserve">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ETA Form 9141.
The wage entered in item G.7 reflects the area of intended employment entered in F.e.4 and F.e.5.
</t>
  </si>
  <si>
    <t>Attorney At Law</t>
  </si>
  <si>
    <t>International Legal and Business Services Group, LLP</t>
  </si>
  <si>
    <t>Sandra</t>
  </si>
  <si>
    <t>Java Developer</t>
  </si>
  <si>
    <t>Gallina</t>
  </si>
  <si>
    <t>Director of Physician Visa Relations</t>
  </si>
  <si>
    <t xml:space="preserve">8117 Preston Rd </t>
  </si>
  <si>
    <t>jacqueline.gallina@apogeephysicians.com</t>
  </si>
  <si>
    <t>8117 Preston Rd</t>
  </si>
  <si>
    <t>Medical Degree</t>
  </si>
  <si>
    <t xml:space="preserve">Program Director </t>
  </si>
  <si>
    <t>NEW MEXICO</t>
  </si>
  <si>
    <t>P-100-21151-356948</t>
  </si>
  <si>
    <t>Raab</t>
  </si>
  <si>
    <t>Alison</t>
  </si>
  <si>
    <t>Manager, Talent &amp; Acquisition</t>
  </si>
  <si>
    <t>8452 118th Ave. N.</t>
  </si>
  <si>
    <t>Largo</t>
  </si>
  <si>
    <t>alison.raab@baycare.org</t>
  </si>
  <si>
    <t>BayCare HomeCare, Inc.</t>
  </si>
  <si>
    <t>Bradshaw</t>
  </si>
  <si>
    <t>Penni</t>
  </si>
  <si>
    <t>Constangy, Brooks, Smith &amp; Prophete, LLP</t>
  </si>
  <si>
    <t>100 N. Cherry St., Suite 300</t>
  </si>
  <si>
    <t>Winston-Salem</t>
  </si>
  <si>
    <t>pbradshaw@constangy.com</t>
  </si>
  <si>
    <t>Constangy Brooks Smith &amp; Prophete</t>
  </si>
  <si>
    <t>Home Health Physical Theapist</t>
  </si>
  <si>
    <t>31-1011.00</t>
  </si>
  <si>
    <t>Patient Care Supervisor</t>
  </si>
  <si>
    <t xml:space="preserve">Travel to patient homes in the county of the work location. </t>
  </si>
  <si>
    <t>8020 Woodland Center Blvd.</t>
  </si>
  <si>
    <t>Meredith</t>
  </si>
  <si>
    <t>P-400-21133-311065</t>
  </si>
  <si>
    <t>Sabala</t>
  </si>
  <si>
    <t>Bonnie</t>
  </si>
  <si>
    <t>4949 E Lincoln Drive</t>
  </si>
  <si>
    <t>bonnie.sabala@omnihotels.com</t>
  </si>
  <si>
    <t>Omni Montelucia, LLC</t>
  </si>
  <si>
    <t>Omni Scottsdale Resort &amp; Spa at Montelucia</t>
  </si>
  <si>
    <t>P-100-21153-360691</t>
  </si>
  <si>
    <t xml:space="preserve">H. </t>
  </si>
  <si>
    <t xml:space="preserve">Data &amp; Applied Scientist </t>
  </si>
  <si>
    <t>See E.A.5.</t>
  </si>
  <si>
    <t>="This position also requires education or experience in: System Design; Data Modeling and Analysis; Natural Language Processing; Web Services; Coordinating program development of computer software applications/systems/services from design through product</t>
  </si>
  <si>
    <t>Principal Software Engineering Manager</t>
  </si>
  <si>
    <t>Suite 1700</t>
  </si>
  <si>
    <t>Teaneck</t>
  </si>
  <si>
    <t>Gibney, Anthony &amp; Flaherty LLP</t>
  </si>
  <si>
    <t>665 Fifth Avenue</t>
  </si>
  <si>
    <t>Janice</t>
  </si>
  <si>
    <t>Little Rock</t>
  </si>
  <si>
    <t>P-400-21146-347208</t>
  </si>
  <si>
    <t>Burr</t>
  </si>
  <si>
    <t>Josh</t>
  </si>
  <si>
    <t>5398 FM 2484</t>
  </si>
  <si>
    <t>Mailing: 18 Rough Rider Ct, Belton, TX 76513</t>
  </si>
  <si>
    <t>Salado</t>
  </si>
  <si>
    <t>josh@texasnativescapesllc.com</t>
  </si>
  <si>
    <t>Texas Nativescapes, LLC</t>
  </si>
  <si>
    <t>Mailing: 18 Rough Rider Ct., Belton, TX 76513</t>
  </si>
  <si>
    <t>Cowan</t>
  </si>
  <si>
    <t>2901 Bucks Bayou Road</t>
  </si>
  <si>
    <t>Bay City</t>
  </si>
  <si>
    <t>bcowan@fewaglobal.org</t>
  </si>
  <si>
    <t>Federation of Employers and Workers of America</t>
  </si>
  <si>
    <t>Daily transportation will be provided from a central location to and from worksites</t>
  </si>
  <si>
    <t>Pena</t>
  </si>
  <si>
    <t>Carolina</t>
  </si>
  <si>
    <t>The University of Texas M.D. Anderson Cancer Center</t>
  </si>
  <si>
    <t>Institution of Higher Education</t>
  </si>
  <si>
    <t>1515 Holcombe Blvd.</t>
  </si>
  <si>
    <t>Sang</t>
  </si>
  <si>
    <t>Chemical Engineers</t>
  </si>
  <si>
    <t>10% travel required.</t>
  </si>
  <si>
    <t>P-100-21130-299329</t>
  </si>
  <si>
    <t>Momin</t>
  </si>
  <si>
    <t>Dilawar</t>
  </si>
  <si>
    <t>7102 North Freeway</t>
  </si>
  <si>
    <t>momindsw@gmail.com</t>
  </si>
  <si>
    <t>North Freeway Enterprise LLC</t>
  </si>
  <si>
    <t>Easy Stop Food Mart</t>
  </si>
  <si>
    <t>Ruknuddin</t>
  </si>
  <si>
    <t>PO Box 1836</t>
  </si>
  <si>
    <t>77487-1836</t>
  </si>
  <si>
    <t>legal@anilalilaw.com</t>
  </si>
  <si>
    <t>Anil Ali PC</t>
  </si>
  <si>
    <t>Store Manager</t>
  </si>
  <si>
    <t>First-Line Supervisors of Retail Sales Workers</t>
  </si>
  <si>
    <t>Data &amp; Applied Scientist</t>
  </si>
  <si>
    <t>Renee</t>
  </si>
  <si>
    <t>Hawkins</t>
  </si>
  <si>
    <t>Janora</t>
  </si>
  <si>
    <t>1355 Peachtree Street NE</t>
  </si>
  <si>
    <t>pwatlsherhawk@fragomen.com</t>
  </si>
  <si>
    <t>Fragomen, Del Rey, Bernsen, &amp; Lowey LLP</t>
  </si>
  <si>
    <t>STE 400</t>
  </si>
  <si>
    <t>Sankararaman</t>
  </si>
  <si>
    <t>Sharadha</t>
  </si>
  <si>
    <t>5959 Royal Ln</t>
  </si>
  <si>
    <t>#670746</t>
  </si>
  <si>
    <t>immigration@kodemlaw.com</t>
  </si>
  <si>
    <t>Kodem Law Firm PLLC</t>
  </si>
  <si>
    <t>Howell</t>
  </si>
  <si>
    <t>47-3012.00</t>
  </si>
  <si>
    <t>Helpers--Carpenters</t>
  </si>
  <si>
    <t>9920 Pacific Heights Blvd.</t>
  </si>
  <si>
    <t>Larrabee Albi Coker LLP</t>
  </si>
  <si>
    <t>Nursery Workers</t>
  </si>
  <si>
    <t xml:space="preserve">Nelson </t>
  </si>
  <si>
    <t>Camri</t>
  </si>
  <si>
    <t xml:space="preserve">Immigration Specialist </t>
  </si>
  <si>
    <t>5995 Windward Parkway</t>
  </si>
  <si>
    <t>Change Healthcare Technologies, LLC</t>
  </si>
  <si>
    <t xml:space="preserve">Olivar </t>
  </si>
  <si>
    <t>gillian.ward@ogletreedeakins.com</t>
  </si>
  <si>
    <t>Computer Science Teachers, Postsecondary</t>
  </si>
  <si>
    <t xml:space="preserve">Vice President </t>
  </si>
  <si>
    <t>222 Merchandise Mart Plaza</t>
  </si>
  <si>
    <t>Graphic Designers</t>
  </si>
  <si>
    <t>Ronald</t>
  </si>
  <si>
    <t>PARK</t>
  </si>
  <si>
    <t>KAWAHARA</t>
  </si>
  <si>
    <t>GLENN</t>
  </si>
  <si>
    <t>1055 WILSHIRE BLVD.</t>
  </si>
  <si>
    <t>SUITE 1890</t>
  </si>
  <si>
    <t>gkawa@sbcglobal.net</t>
  </si>
  <si>
    <t>LAW OFFICE OF GLENN N. KAWAHARA</t>
  </si>
  <si>
    <t>KITCHEN SUPERVISOR</t>
  </si>
  <si>
    <t xml:space="preserve">MOHAMMAD </t>
  </si>
  <si>
    <t>AMEENA</t>
  </si>
  <si>
    <t>AKBAR</t>
  </si>
  <si>
    <t xml:space="preserve">Arlington </t>
  </si>
  <si>
    <t>ameena@eiglaw.com</t>
  </si>
  <si>
    <t>P-400-21154-365876</t>
  </si>
  <si>
    <t>MAINTENANCE WORKER</t>
  </si>
  <si>
    <t>500 WEST 45 SOUTH</t>
  </si>
  <si>
    <t>Manning</t>
  </si>
  <si>
    <t>PAM</t>
  </si>
  <si>
    <t>HUMAN RESOURCES MANAGER</t>
  </si>
  <si>
    <t>TAYLOR</t>
  </si>
  <si>
    <t>PAIGE</t>
  </si>
  <si>
    <t>PTAYLORNIV@FRAGOMEN.COM</t>
  </si>
  <si>
    <t>1800 Century Place NE</t>
  </si>
  <si>
    <t>PFEO LLC</t>
  </si>
  <si>
    <t>Clairmont Cafe</t>
  </si>
  <si>
    <t>Woon</t>
  </si>
  <si>
    <t>Suite 1510</t>
  </si>
  <si>
    <t>Duluth</t>
  </si>
  <si>
    <t>Georgia</t>
  </si>
  <si>
    <t>Accounting Associate</t>
  </si>
  <si>
    <t>Lowe</t>
  </si>
  <si>
    <t>333 S.E. 2nd Avenue</t>
  </si>
  <si>
    <t>P-400-21145-340329</t>
  </si>
  <si>
    <t>Mount Snow Limited</t>
  </si>
  <si>
    <t>Mount Snow Resort</t>
  </si>
  <si>
    <t>89 Grand Summit Way</t>
  </si>
  <si>
    <t>West Dover</t>
  </si>
  <si>
    <t>P-400-21141-334782</t>
  </si>
  <si>
    <t>PO BOX 292</t>
  </si>
  <si>
    <t>WARTRACE</t>
  </si>
  <si>
    <t>BTHOMAS@HPMAIL.US</t>
  </si>
  <si>
    <t>HAWKINS ASPHALT PAVING, LLC</t>
  </si>
  <si>
    <t>YOUNGBLOOD</t>
  </si>
  <si>
    <t>KARA</t>
  </si>
  <si>
    <t>203 E MORFORD ST</t>
  </si>
  <si>
    <t>MCMINNVILLE</t>
  </si>
  <si>
    <t>H2@YOUNGBLOODASSOCIATES.COM</t>
  </si>
  <si>
    <t>YOUNGBLOOD &amp; ASSOCIATES, PLLC</t>
  </si>
  <si>
    <t>CONSTRUCTION LABORER</t>
  </si>
  <si>
    <t>6015 HWY 64 E</t>
  </si>
  <si>
    <t>South Central Tennessee nonmetropolitan area</t>
  </si>
  <si>
    <t>Petroleum Engineers</t>
  </si>
  <si>
    <t>apollock@grahamadair.com</t>
  </si>
  <si>
    <t>1 New York Plaza</t>
  </si>
  <si>
    <t>DAVIS YOUNG</t>
  </si>
  <si>
    <t>TWILLIKKI</t>
  </si>
  <si>
    <t>5660 NEW NORTHSIDE DRIVE</t>
  </si>
  <si>
    <t>3RD FLOOR</t>
  </si>
  <si>
    <t>Twillikki.Young@ice.com</t>
  </si>
  <si>
    <t>cgregorio@fragomen.com</t>
  </si>
  <si>
    <t>Manager, Business Analysis</t>
  </si>
  <si>
    <t>Finance, Business Administration or a related field.</t>
  </si>
  <si>
    <t>="Five (5) years of progressively responsible experience in the job offered or related occupation: performing analysis for a stock exchange or IT company; identifying solutions, processes or changes based on analysis of existing systems; testing systems f</t>
  </si>
  <si>
    <t>Computer Science, Engineering, Mathematics, Information Systems, Physics or a related field.</t>
  </si>
  <si>
    <t>Senior Staff Software Engineer</t>
  </si>
  <si>
    <t>P-100-21139-324982</t>
  </si>
  <si>
    <t xml:space="preserve">PRATHIBHA </t>
  </si>
  <si>
    <t xml:space="preserve"> CHALLURI</t>
  </si>
  <si>
    <t xml:space="preserve">PRESIDENT </t>
  </si>
  <si>
    <t>1600 GOLF ROAD</t>
  </si>
  <si>
    <t>SUITE 1200</t>
  </si>
  <si>
    <t>ROLLING MEADOWS</t>
  </si>
  <si>
    <t>accounts@siritek.com</t>
  </si>
  <si>
    <t>SIRITEK, INC.</t>
  </si>
  <si>
    <t>IT SERVICES</t>
  </si>
  <si>
    <t>DWORSKY</t>
  </si>
  <si>
    <t>790 W FRONTAGE RD</t>
  </si>
  <si>
    <t>SUITE 222</t>
  </si>
  <si>
    <t>NORTHFIELD</t>
  </si>
  <si>
    <t>ASHLEY@DWORSKYLAW.COM</t>
  </si>
  <si>
    <t>The Dworsky Law Firm</t>
  </si>
  <si>
    <t>BUSINESS ANALYST</t>
  </si>
  <si>
    <t>COMPUTER SCIENCE, TECHNOLOGY, MANAGEMENT INFORMATION SYSTEM, BUSINESS ADMINISTRATION, COMMERCE, FINANCE OR RELATED FIELD.</t>
  </si>
  <si>
    <t>="MASTERS OR FOREIGN EQUIVALENT IN CCOMPUTER SCIENCE, TECHNOLOGY, MANAGEMENT INFORMATION SYSTEM, BUSINESS ADMINISTRATION, COMMERCE, FINANCE  OR RELATED FILED. IN THE ALTERNATIVE, WILL ACCEPT BACHELORS OR FOREIGN EQUIVALENT IN COMPUTER SCIENCE, TECHNOLOGY,</t>
  </si>
  <si>
    <t>MAY TRAVEL TO VARIOUS CLIENT LOCATIONS THROUGHOUT THE UNITED STATES WITH EXPENSES PAID BY THE EMPLOYER.</t>
  </si>
  <si>
    <t xml:space="preserve">Chavez </t>
  </si>
  <si>
    <t>Chief Operating Officer</t>
  </si>
  <si>
    <t>SUITE 104</t>
  </si>
  <si>
    <t>SUWANEE</t>
  </si>
  <si>
    <t>Asheesh</t>
  </si>
  <si>
    <t>Kumar</t>
  </si>
  <si>
    <t>2255 Cumberland Pkwy, Bldg 1200,</t>
  </si>
  <si>
    <t>info@elawimmigration.com</t>
  </si>
  <si>
    <t>Sharma Law Offices, LLC</t>
  </si>
  <si>
    <t>P-400-21124-285088</t>
  </si>
  <si>
    <t>Homan</t>
  </si>
  <si>
    <t>Kurt</t>
  </si>
  <si>
    <t>kurt@nativeresources.com</t>
  </si>
  <si>
    <t>NATIVE RESOURCES INTERNATIONAL, INC.</t>
  </si>
  <si>
    <t>Irrigation Worker</t>
  </si>
  <si>
    <t>2751 Prosperity Avenue</t>
  </si>
  <si>
    <t>SMITH</t>
  </si>
  <si>
    <t>IRINA</t>
  </si>
  <si>
    <t>DIRECTOR, IMMIGRATION AND GLOBAL MOBILITY</t>
  </si>
  <si>
    <t>850 CHERRY AVENUE</t>
  </si>
  <si>
    <t>SAN BRUNO</t>
  </si>
  <si>
    <t>ISMITH@WALMART.COM</t>
  </si>
  <si>
    <t xml:space="preserve">Tsolakidis </t>
  </si>
  <si>
    <t>npuzio@fragomen.com</t>
  </si>
  <si>
    <t>Senior Manager I</t>
  </si>
  <si>
    <t>860 W. California Avenue</t>
  </si>
  <si>
    <t>Lesa</t>
  </si>
  <si>
    <t>Senior Engineering Manager</t>
  </si>
  <si>
    <t>P-100-21137-318720</t>
  </si>
  <si>
    <t>METASENSE INC</t>
  </si>
  <si>
    <t>403 COMMERCE LANE</t>
  </si>
  <si>
    <t>SUITE 5</t>
  </si>
  <si>
    <t>WEST BERLIN</t>
  </si>
  <si>
    <t>LAW OFFICES OF THOMAS V. ALLEN, PLLC</t>
  </si>
  <si>
    <t xml:space="preserve">SCIENCE, TECHNOLOGY, BUSINESS ADMINISTRATION , ENGINEERING OR ANY RELATED FIELD.
</t>
  </si>
  <si>
    <t>SUITE 5 &amp; VARIOUS UNANTICIPATED LOCATIONS THROUGHOUT THE U.S.</t>
  </si>
  <si>
    <t>Carver</t>
  </si>
  <si>
    <t>Vincent</t>
  </si>
  <si>
    <t>Director &amp; Sr. Attorney</t>
  </si>
  <si>
    <t>1 Skyview Drive</t>
  </si>
  <si>
    <t>vincent.carver@aa.com</t>
  </si>
  <si>
    <t>American Airlines, Inc.</t>
  </si>
  <si>
    <t>Ft. Worth</t>
  </si>
  <si>
    <t>Depret-Bixio</t>
  </si>
  <si>
    <t>lee.depret-bixio@ogletree.com</t>
  </si>
  <si>
    <t>Ogletree Deakins Law Firm</t>
  </si>
  <si>
    <t>Manager, IT Applications</t>
  </si>
  <si>
    <t>Clarksville</t>
  </si>
  <si>
    <t>Frederick</t>
  </si>
  <si>
    <t>Rochester</t>
  </si>
  <si>
    <t>Suite 208</t>
  </si>
  <si>
    <t>Branch Manager</t>
  </si>
  <si>
    <t>ROCHESTER</t>
  </si>
  <si>
    <t xml:space="preserve">Senior Software Engineer </t>
  </si>
  <si>
    <t>San Bruno</t>
  </si>
  <si>
    <t>Bernardo</t>
  </si>
  <si>
    <t>bermartinez@balglobal.com</t>
  </si>
  <si>
    <t>Visa Technology &amp; Operations LLC</t>
  </si>
  <si>
    <t>900 Metro Center Boulevard</t>
  </si>
  <si>
    <t>Martinez</t>
  </si>
  <si>
    <t>Sumter</t>
  </si>
  <si>
    <t>Hu</t>
  </si>
  <si>
    <t>STE A</t>
  </si>
  <si>
    <t>Shirley</t>
  </si>
  <si>
    <t>Administrative Assistant</t>
  </si>
  <si>
    <t>2021 RADFORD GLOBAL TECHNOLOGY SURVEY</t>
  </si>
  <si>
    <t xml:space="preserve">Stephen </t>
  </si>
  <si>
    <t>jbastos@connellfoley.com</t>
  </si>
  <si>
    <t>Floor 4</t>
  </si>
  <si>
    <t xml:space="preserve">Dornbaum </t>
  </si>
  <si>
    <t xml:space="preserve">Neil </t>
  </si>
  <si>
    <t xml:space="preserve">56 Livingston Avenue </t>
  </si>
  <si>
    <t xml:space="preserve">Connell Foley </t>
  </si>
  <si>
    <t xml:space="preserve">Computer Engineering </t>
  </si>
  <si>
    <t>Jukic</t>
  </si>
  <si>
    <t>Anja</t>
  </si>
  <si>
    <t>Attorney At Law for US Market</t>
  </si>
  <si>
    <t>Roaming Networks Inc</t>
  </si>
  <si>
    <t>Tower Technician</t>
  </si>
  <si>
    <t>Radio, Cellular, and Tower Equipment Installers and Repairers</t>
  </si>
  <si>
    <t>Waco</t>
  </si>
  <si>
    <t>MICHAEL</t>
  </si>
  <si>
    <t xml:space="preserve">Ariza </t>
  </si>
  <si>
    <t xml:space="preserve">In-House Corporate Attorney </t>
  </si>
  <si>
    <t>JordanL@murthy.com</t>
  </si>
  <si>
    <t>Principal Software Engineer</t>
  </si>
  <si>
    <t>Goodyear</t>
  </si>
  <si>
    <t>43-9199.00</t>
  </si>
  <si>
    <t>30 Hudson Yards</t>
  </si>
  <si>
    <t>SUITE 200</t>
  </si>
  <si>
    <t>JAMES</t>
  </si>
  <si>
    <t>NURSING</t>
  </si>
  <si>
    <t>HAMILTON</t>
  </si>
  <si>
    <t>BRIAN</t>
  </si>
  <si>
    <t>MONROVIA</t>
  </si>
  <si>
    <t>KADICH</t>
  </si>
  <si>
    <t>JUSTIN</t>
  </si>
  <si>
    <t>Carlos</t>
  </si>
  <si>
    <t>DC</t>
  </si>
  <si>
    <t>Karnani</t>
  </si>
  <si>
    <t>Nisha</t>
  </si>
  <si>
    <t>2751 Buford Highway NE</t>
  </si>
  <si>
    <t>karnani@antoniniandcohen.com</t>
  </si>
  <si>
    <t>Antonini and Cohen Immigration Law Group</t>
  </si>
  <si>
    <t>ELLISVILLE</t>
  </si>
  <si>
    <t>Suite 320</t>
  </si>
  <si>
    <t>P-400-21153-361790</t>
  </si>
  <si>
    <t>Kristyn</t>
  </si>
  <si>
    <t>5 Village Lodge Road</t>
  </si>
  <si>
    <t>Stratton</t>
  </si>
  <si>
    <t>KGreene@stratton.com</t>
  </si>
  <si>
    <t>The Stratton Corporation</t>
  </si>
  <si>
    <t>Stratton Mountain Resort</t>
  </si>
  <si>
    <t xml:space="preserve">Housekeeping Manager or Resort Appearance Manager </t>
  </si>
  <si>
    <t>P-400-21130-299637</t>
  </si>
  <si>
    <t>Dlugosch</t>
  </si>
  <si>
    <t>Brianne</t>
  </si>
  <si>
    <t>1506 Tamm Road</t>
  </si>
  <si>
    <t>Yorktown</t>
  </si>
  <si>
    <t>brianne@5dsteakhouse.com</t>
  </si>
  <si>
    <t>BKD Industries, LLC</t>
  </si>
  <si>
    <t>5D Steakhouse</t>
  </si>
  <si>
    <t xml:space="preserve">Yorktown </t>
  </si>
  <si>
    <t>Castro</t>
  </si>
  <si>
    <t>Juan</t>
  </si>
  <si>
    <t>Ramon</t>
  </si>
  <si>
    <t>PO Box 780611</t>
  </si>
  <si>
    <t>info@attorneycastro.com</t>
  </si>
  <si>
    <t xml:space="preserve">Castro Law PLLC DBA Castro Law Firm </t>
  </si>
  <si>
    <t>="Ability to follow instructions and directions. Active listening skills, some coordination and ability to focus on tasks as well as skills in handling and moving objects quickly. Must be able to follow health, hygiene, and safety codes and guidelines rel</t>
  </si>
  <si>
    <t>Cooks, Short Order</t>
  </si>
  <si>
    <t>4904 North Navarro Street</t>
  </si>
  <si>
    <t xml:space="preserve">Victoria </t>
  </si>
  <si>
    <t>Victoria, TX</t>
  </si>
  <si>
    <t>President and CEO</t>
  </si>
  <si>
    <t>2717 S. Hill St</t>
  </si>
  <si>
    <t>frbk103@gmail.com</t>
  </si>
  <si>
    <t>FRBK, INC.</t>
  </si>
  <si>
    <t>YOUNGOK</t>
  </si>
  <si>
    <t>3700 Wilshire Blvd.</t>
  </si>
  <si>
    <t>ep@hopelaw.com</t>
  </si>
  <si>
    <t>HOPE LAW GROUP PC</t>
  </si>
  <si>
    <t>Textile CAD Designer</t>
  </si>
  <si>
    <t xml:space="preserve">Graphic Design, Painting, Fine Arts or related. </t>
  </si>
  <si>
    <t>Gray</t>
  </si>
  <si>
    <t>6433 Champion Grandview Way</t>
  </si>
  <si>
    <t xml:space="preserve">Software Development Engineer </t>
  </si>
  <si>
    <t>Sherman</t>
  </si>
  <si>
    <t>Franklin</t>
  </si>
  <si>
    <t>Gilmore</t>
  </si>
  <si>
    <t>Sasha</t>
  </si>
  <si>
    <t>Director and Counsel, Employment Legal, Americas</t>
  </si>
  <si>
    <t>315 Deaderick Street</t>
  </si>
  <si>
    <t>UBS Business Solutions US LLC</t>
  </si>
  <si>
    <t>Petty</t>
  </si>
  <si>
    <t>Marianne</t>
  </si>
  <si>
    <t>Joy</t>
  </si>
  <si>
    <t>Global Mobility &amp; Immigration Leader</t>
  </si>
  <si>
    <t>1550 Peachtree Street NW</t>
  </si>
  <si>
    <t>J-42A</t>
  </si>
  <si>
    <t>Marianne.Petty@equifax.com</t>
  </si>
  <si>
    <t>Equifax Inc.</t>
  </si>
  <si>
    <t>osilva@seyfarth.com</t>
  </si>
  <si>
    <t>Global Mobility Program Manager</t>
  </si>
  <si>
    <t>Glenview</t>
  </si>
  <si>
    <t>Technical Product Manager</t>
  </si>
  <si>
    <t>SAIPAN</t>
  </si>
  <si>
    <t>MP</t>
  </si>
  <si>
    <t>NORTHERN MARIANA ISLANDS</t>
  </si>
  <si>
    <t>Jariwala</t>
  </si>
  <si>
    <t>Lina</t>
  </si>
  <si>
    <t>900 METRO CENTER BLVD.</t>
  </si>
  <si>
    <t>IMMIGRATION@VISA.COM</t>
  </si>
  <si>
    <t>Brittany</t>
  </si>
  <si>
    <t>4555 Great America Pkwy</t>
  </si>
  <si>
    <t>bdelbridge@balglobal.com</t>
  </si>
  <si>
    <t>Staff SW Engineer</t>
  </si>
  <si>
    <t>Building II</t>
  </si>
  <si>
    <t>ANTHONY</t>
  </si>
  <si>
    <t>VP, Human Resources</t>
  </si>
  <si>
    <t>Food Scientists and Technologists</t>
  </si>
  <si>
    <t>Perry</t>
  </si>
  <si>
    <t>West Chester</t>
  </si>
  <si>
    <t>Tsolakidis</t>
  </si>
  <si>
    <t>MSalama@Fragomen.com</t>
  </si>
  <si>
    <t>Director, Engineering</t>
  </si>
  <si>
    <t>See F.B.5</t>
  </si>
  <si>
    <t>Senior Director, People Operations</t>
  </si>
  <si>
    <t>Baldwin</t>
  </si>
  <si>
    <t>Celina</t>
  </si>
  <si>
    <t>Moon-Kyung</t>
  </si>
  <si>
    <t>Suite 305</t>
  </si>
  <si>
    <t>Palisades Park</t>
  </si>
  <si>
    <t>immigration@kcllawfirm.com</t>
  </si>
  <si>
    <t>Kim, Cho &amp; Lim, LLC</t>
  </si>
  <si>
    <t>Suite 4</t>
  </si>
  <si>
    <t>RI</t>
  </si>
  <si>
    <t>RHODE ISLAND</t>
  </si>
  <si>
    <t>Chelsea</t>
  </si>
  <si>
    <t>Henderson</t>
  </si>
  <si>
    <t>Suite 312</t>
  </si>
  <si>
    <t>Technical Program Manager</t>
  </si>
  <si>
    <t>East Brunswick</t>
  </si>
  <si>
    <t>Harvey</t>
  </si>
  <si>
    <t>260 Madison Avenue</t>
  </si>
  <si>
    <t>kate@harveyshapiro.com</t>
  </si>
  <si>
    <t>Law Offices of Harvey Shapiro</t>
  </si>
  <si>
    <t>Southfield</t>
  </si>
  <si>
    <t>NISHIMURA</t>
  </si>
  <si>
    <t>Bert</t>
  </si>
  <si>
    <t>Suite 1780</t>
  </si>
  <si>
    <t>engnishlaw1@aol.com</t>
  </si>
  <si>
    <t>ENG &amp; NISHIMURA</t>
  </si>
  <si>
    <t>Myrtle Beach</t>
  </si>
  <si>
    <t>Elliot</t>
  </si>
  <si>
    <t>100 E Linton Blvd</t>
  </si>
  <si>
    <t>Suite 304B</t>
  </si>
  <si>
    <t>Delray Beach</t>
  </si>
  <si>
    <t>elliot@legalimmigrationservices.net</t>
  </si>
  <si>
    <t>Legal Immigration Services</t>
  </si>
  <si>
    <t>Training and Development Managers</t>
  </si>
  <si>
    <t>Chemists</t>
  </si>
  <si>
    <t>P-400-21133-310830</t>
  </si>
  <si>
    <t>DeHart</t>
  </si>
  <si>
    <t>Kevin</t>
  </si>
  <si>
    <t>2208 Richland Avenue</t>
  </si>
  <si>
    <t>Metairie</t>
  </si>
  <si>
    <t>CatrachoOysters@gmail.com</t>
  </si>
  <si>
    <t>Catracho Oysters LLC</t>
  </si>
  <si>
    <t>Deckhands, Oyster Boat</t>
  </si>
  <si>
    <t>1900-1934 Montegut Road</t>
  </si>
  <si>
    <t>Montegut</t>
  </si>
  <si>
    <t>Clay</t>
  </si>
  <si>
    <t>Steinle</t>
  </si>
  <si>
    <t>Mueller</t>
  </si>
  <si>
    <t>renee.steinle@stinson.com</t>
  </si>
  <si>
    <t>Stinson LLP</t>
  </si>
  <si>
    <t>Raymond</t>
  </si>
  <si>
    <t>Olivar</t>
  </si>
  <si>
    <t xml:space="preserve">Physical Therapist </t>
  </si>
  <si>
    <t>One Rotary Center</t>
  </si>
  <si>
    <t>1560 Sherman Avenue, 8th Floor</t>
  </si>
  <si>
    <t>Evanston</t>
  </si>
  <si>
    <t>ZS Associates, Inc.</t>
  </si>
  <si>
    <t>Jacob</t>
  </si>
  <si>
    <t>1075 Peachtree St. NE</t>
  </si>
  <si>
    <t>30309-3958</t>
  </si>
  <si>
    <t>strattler@seyfarth.com</t>
  </si>
  <si>
    <t>Domestic/International travel required based on company/client need.</t>
  </si>
  <si>
    <t>Thousand Oaks</t>
  </si>
  <si>
    <t>Assistant General Counsel - Immigration</t>
  </si>
  <si>
    <t>360 Huntington Ave.</t>
  </si>
  <si>
    <t>Suite 301 CP</t>
  </si>
  <si>
    <t>OGCImmigration@northeastern.edu</t>
  </si>
  <si>
    <t>Northeastern University</t>
  </si>
  <si>
    <t xml:space="preserve">360 Huntington Ave. </t>
  </si>
  <si>
    <t>Lang</t>
  </si>
  <si>
    <t>75 Park Plaza</t>
  </si>
  <si>
    <t>Jessica.Lang@jacksonlewis.com</t>
  </si>
  <si>
    <t>Jackson Lewis P.C.</t>
  </si>
  <si>
    <t>Please see F.b.5.</t>
  </si>
  <si>
    <t>PROFESSOR &amp; CHAIR, MECHANICAL AND INDUSTRIAL ENGINEERING</t>
  </si>
  <si>
    <t>360 Huntington Avenue</t>
  </si>
  <si>
    <t xml:space="preserve">Director </t>
  </si>
  <si>
    <t>Corpus Christi</t>
  </si>
  <si>
    <t>System Administrator</t>
  </si>
  <si>
    <t>Lawrenceville</t>
  </si>
  <si>
    <t>Law</t>
  </si>
  <si>
    <t xml:space="preserve">Radford Global Technology Survey Custom Report </t>
  </si>
  <si>
    <t>Manager, Software Development 2</t>
  </si>
  <si>
    <t>P-400-21154-365801</t>
  </si>
  <si>
    <t>STEWART, JR</t>
  </si>
  <si>
    <t>JESSE</t>
  </si>
  <si>
    <t>61 HAWKS CAY BLVD</t>
  </si>
  <si>
    <t>DUCK KEY</t>
  </si>
  <si>
    <t>Jesse.Stewart@hawkscay.com</t>
  </si>
  <si>
    <t>BENCHMARK DUCK KEY LLC</t>
  </si>
  <si>
    <t>HAWKS CAY RESORT</t>
  </si>
  <si>
    <t>Riccio</t>
  </si>
  <si>
    <t>18 Tremont Street</t>
  </si>
  <si>
    <t>RidaH@costariccio.com</t>
  </si>
  <si>
    <t>Costa &amp; Riccio LLP</t>
  </si>
  <si>
    <t>Denver</t>
  </si>
  <si>
    <t>Vepanjeri</t>
  </si>
  <si>
    <t xml:space="preserve">Kavitha </t>
  </si>
  <si>
    <t>Officer</t>
  </si>
  <si>
    <t>5150 WARREN PKWY</t>
  </si>
  <si>
    <t>STE 720</t>
  </si>
  <si>
    <t>FRISCO</t>
  </si>
  <si>
    <t>hr@aezion.com</t>
  </si>
  <si>
    <t>Aezion, Inc.</t>
  </si>
  <si>
    <t>5150 Warren Pkwy</t>
  </si>
  <si>
    <t>Suite 720</t>
  </si>
  <si>
    <t>Rahmani</t>
  </si>
  <si>
    <t>Shirin</t>
  </si>
  <si>
    <t>17400 Dallas Parkway</t>
  </si>
  <si>
    <t>Suite 216</t>
  </si>
  <si>
    <t>shirin.rahmani@akulalaw.com</t>
  </si>
  <si>
    <t>Akula &amp; Associates, P.C.</t>
  </si>
  <si>
    <t xml:space="preserve">Database Administrator </t>
  </si>
  <si>
    <t>Unanticipated work site locations throughout U.S.</t>
  </si>
  <si>
    <t>5150 Warren Parkway, Suite 720</t>
  </si>
  <si>
    <t>Computer Science or Computer Engineering</t>
  </si>
  <si>
    <t>VP Engineering</t>
  </si>
  <si>
    <t>424 Church Street</t>
  </si>
  <si>
    <t>SAP.LOCAL.HR.SERVICES.NA.IMMIGRATION@SAP.COM</t>
  </si>
  <si>
    <t>3999 West Chester Pike</t>
  </si>
  <si>
    <t>Newtown Square</t>
  </si>
  <si>
    <t>P-100-21153-363408</t>
  </si>
  <si>
    <t>Elise</t>
  </si>
  <si>
    <t>P-100-21159-378970</t>
  </si>
  <si>
    <t>Stott</t>
  </si>
  <si>
    <t>Carol</t>
  </si>
  <si>
    <t>Chief People &amp; Culture Officer</t>
  </si>
  <si>
    <t>1375 Broadway</t>
  </si>
  <si>
    <t>Flr. 11</t>
  </si>
  <si>
    <t>deni.stott@vroom.com</t>
  </si>
  <si>
    <t>Vroom Automotive, LLC</t>
  </si>
  <si>
    <t>d/b/a Texas Direct Auto and d/b/a Vroom</t>
  </si>
  <si>
    <t>12053 Southwest Freeway</t>
  </si>
  <si>
    <t>Tahtouh</t>
  </si>
  <si>
    <t>456 Montgomery Street</t>
  </si>
  <si>
    <t>FLR 19</t>
  </si>
  <si>
    <t>nicole@jspvisa.com</t>
  </si>
  <si>
    <t>JEWELL STEWART &amp; PRATT PC</t>
  </si>
  <si>
    <t>DevOps Engineer</t>
  </si>
  <si>
    <t>Computer Science, Computer Engineering, or related</t>
  </si>
  <si>
    <t>="Background with cloud computing using AWS, two or more container-based applications, and Terraform, CloudFormation, or a similar tool. Knowledge of scalable software infrastructure in a public cloud environment, including Amazon Web Services (AWS) or Go</t>
  </si>
  <si>
    <t>Requires up to 4 visits per year to the New York, NY office</t>
  </si>
  <si>
    <t>***See Box E.a.5 for more Place of Employment Information***</t>
  </si>
  <si>
    <t>Simon</t>
  </si>
  <si>
    <t>Stacey</t>
  </si>
  <si>
    <t>15-1199.09</t>
  </si>
  <si>
    <t>Murfreesboro</t>
  </si>
  <si>
    <t>Douglas</t>
  </si>
  <si>
    <t>Production Associate</t>
  </si>
  <si>
    <t>Production Supervisor</t>
  </si>
  <si>
    <t>Rodriguez</t>
  </si>
  <si>
    <t>Vice President, Software Engineering</t>
  </si>
  <si>
    <t>Dorsthorst</t>
  </si>
  <si>
    <t>Imelda</t>
  </si>
  <si>
    <t>sdorsthorst@FosterGlobal.com</t>
  </si>
  <si>
    <t>Senior Project Manager</t>
  </si>
  <si>
    <t>Fort Lauderdale</t>
  </si>
  <si>
    <t>388 Greenwich Street</t>
  </si>
  <si>
    <t>17th Floor</t>
  </si>
  <si>
    <t>jose2.martinez@citi.com</t>
  </si>
  <si>
    <t>Citibank, N.A.</t>
  </si>
  <si>
    <t>388 GREENWICH STREET</t>
  </si>
  <si>
    <t>17TH FLOOR</t>
  </si>
  <si>
    <t>STE 110</t>
  </si>
  <si>
    <t xml:space="preserve">PRAVEEN KUMAR </t>
  </si>
  <si>
    <t>TALENT ACQUISITION MANAGER</t>
  </si>
  <si>
    <t>120 W GOLF ROAD</t>
  </si>
  <si>
    <t>SUITE #200</t>
  </si>
  <si>
    <t>accounts@savvyinfosystems.com</t>
  </si>
  <si>
    <t>SAVVY INFO SYSTEMS, INC.</t>
  </si>
  <si>
    <t>790 W. FRONTAGE ROAD</t>
  </si>
  <si>
    <t>="MASTERS OR FOREIGN EQUIVALENT IN COMPUTER SCIENCE, TECHNOLOGY, MANAGEMENT INFORMATION SYSTEM, BUSINESS ADMINISTRATION, COMMERCE, FINANCE OR RELATED FIELD. IN THE ALTERNATIVE, WILL ACCEPT BACHELORS OR FOREIGN EQUIVALENT IN COMPUTER SCIENCE, TECHNOLOGY, M</t>
  </si>
  <si>
    <t>P-100-21153-361768</t>
  </si>
  <si>
    <t>Manager, HR Operations</t>
  </si>
  <si>
    <t>3440 E University Drive</t>
  </si>
  <si>
    <t>HR.USA@asm.com</t>
  </si>
  <si>
    <t>ASM AMERICA INC.</t>
  </si>
  <si>
    <t>3440 E. UNIVERSITY DRIVE</t>
  </si>
  <si>
    <t>llyman@fragomen.com</t>
  </si>
  <si>
    <t>Senior Mechanical Engineer I</t>
  </si>
  <si>
    <t xml:space="preserve">Mechanical Engineering and 2 years of experience in semiconductor equipment development. </t>
  </si>
  <si>
    <t>Senior Director Engineering</t>
  </si>
  <si>
    <t>3440 E. University Drive</t>
  </si>
  <si>
    <t>333 SE 2nd Avenue</t>
  </si>
  <si>
    <t>Sturman</t>
  </si>
  <si>
    <t>Pailla</t>
  </si>
  <si>
    <t>Venkat</t>
  </si>
  <si>
    <t>1503 Lyndon B Johnson Fwy</t>
  </si>
  <si>
    <t>STE 250</t>
  </si>
  <si>
    <t>hr@ravensoftwaresolutions.com</t>
  </si>
  <si>
    <t>Raven Software Solutions Inc</t>
  </si>
  <si>
    <t>Suite 250</t>
  </si>
  <si>
    <t>Peck</t>
  </si>
  <si>
    <t>10050 Regency Circle</t>
  </si>
  <si>
    <t>Jackson Lewis PC</t>
  </si>
  <si>
    <t>Principal Consultant</t>
  </si>
  <si>
    <t>Economists</t>
  </si>
  <si>
    <t>Finance Manager</t>
  </si>
  <si>
    <t>Apple-usimm@fragomen.com</t>
  </si>
  <si>
    <t>CR</t>
  </si>
  <si>
    <t>Zhang</t>
  </si>
  <si>
    <t>Rees</t>
  </si>
  <si>
    <t>kevin.gauch@ogletree.com</t>
  </si>
  <si>
    <t>P-100-21147-351740</t>
  </si>
  <si>
    <t>Alston</t>
  </si>
  <si>
    <t xml:space="preserve">HR Manager, SHRM-CP  Human Resources </t>
  </si>
  <si>
    <t>35 West Wacker Drive</t>
  </si>
  <si>
    <t>caroline.alston@dfinsolutions.com</t>
  </si>
  <si>
    <t>DONNELLEY FINANCIAL LLC</t>
  </si>
  <si>
    <t>Sanger</t>
  </si>
  <si>
    <t xml:space="preserve">Toronto </t>
  </si>
  <si>
    <t>eyimmgovtnotices@ca.ey.com</t>
  </si>
  <si>
    <t>SAP Technical Lead</t>
  </si>
  <si>
    <t xml:space="preserve">="Bachelor’s degree in Computer Engineering, Electronic Engineering, or a related field and 10 years of progressive, post-baccalaureate experience in SAP ABAP development.
Must also have 5 years of experience in each of the following:
•	Developing test </t>
  </si>
  <si>
    <t>Director - IT Corporate Technology, Internal Sys Support</t>
  </si>
  <si>
    <t>600 Hidden Ridge</t>
  </si>
  <si>
    <t>Verizon Communications, Inc. and all its subsidiaries and affiliates</t>
  </si>
  <si>
    <t xml:space="preserve">N/A </t>
  </si>
  <si>
    <t>1095 AVENUE OF THE AMERICAS</t>
  </si>
  <si>
    <t>850W</t>
  </si>
  <si>
    <t>Cho</t>
  </si>
  <si>
    <t>Bioinformatics Scientists</t>
  </si>
  <si>
    <t>Retail Salespersons</t>
  </si>
  <si>
    <t>Suite M</t>
  </si>
  <si>
    <t>Victoria</t>
  </si>
  <si>
    <t>Suite 160</t>
  </si>
  <si>
    <t>raygan.hansley@odnss.com</t>
  </si>
  <si>
    <t>Ogletree Deakins, Nash, Smoak &amp; Stewart, P.C.</t>
  </si>
  <si>
    <t>Clement</t>
  </si>
  <si>
    <t>Solutions Engineer</t>
  </si>
  <si>
    <t>Floor 10</t>
  </si>
  <si>
    <t>Montan</t>
  </si>
  <si>
    <t>Sylvia</t>
  </si>
  <si>
    <t>gmedina@fragomen.com</t>
  </si>
  <si>
    <t>Mastercard International Incorporated</t>
  </si>
  <si>
    <t>2000 Purchase Street</t>
  </si>
  <si>
    <t>Purchase</t>
  </si>
  <si>
    <t>HONG</t>
  </si>
  <si>
    <t>STACY</t>
  </si>
  <si>
    <t>Shepherd</t>
  </si>
  <si>
    <t>Philip</t>
  </si>
  <si>
    <t>Ogletree Deakins</t>
  </si>
  <si>
    <t>lpaquette@fragomen.com</t>
  </si>
  <si>
    <t>Kabita</t>
  </si>
  <si>
    <t xml:space="preserve">1081 Cambridge Square, Suite B, </t>
  </si>
  <si>
    <t>hr@spryinfosol.com</t>
  </si>
  <si>
    <t>Spry Info Solutions, Inc</t>
  </si>
  <si>
    <t>1081 Cambridge Square, Suite B</t>
  </si>
  <si>
    <t>Splunk Engineer</t>
  </si>
  <si>
    <t>MS or foreign equivalent in Computer Science or Information Technology or IS or Engineering (any) or Related</t>
  </si>
  <si>
    <t>Suite 220</t>
  </si>
  <si>
    <t>800 West Cummings Park</t>
  </si>
  <si>
    <t>north carolina</t>
  </si>
  <si>
    <t xml:space="preserve">Richardson </t>
  </si>
  <si>
    <t>Azizi</t>
  </si>
  <si>
    <t>Maryam</t>
  </si>
  <si>
    <t>177 Post St</t>
  </si>
  <si>
    <t>Suite 890</t>
  </si>
  <si>
    <t>maryam@eiglaw.com</t>
  </si>
  <si>
    <t>41-9031.00</t>
  </si>
  <si>
    <t>Please see section F.b.5.a.</t>
  </si>
  <si>
    <t>Hazelwood</t>
  </si>
  <si>
    <t>Computer Science or related field.</t>
  </si>
  <si>
    <t>Fuller</t>
  </si>
  <si>
    <t>Ketchum</t>
  </si>
  <si>
    <t>P-100-21132-305747</t>
  </si>
  <si>
    <t>NAM</t>
  </si>
  <si>
    <t>JENNY</t>
  </si>
  <si>
    <t xml:space="preserve">ATTORNEY </t>
  </si>
  <si>
    <t xml:space="preserve">6071 BEACH BLVD </t>
  </si>
  <si>
    <t xml:space="preserve">BUENA PARK </t>
  </si>
  <si>
    <t>jennynam@newstarrealty.com</t>
  </si>
  <si>
    <t xml:space="preserve">NEW STAR REALTY INC </t>
  </si>
  <si>
    <t>K FREEMAN</t>
  </si>
  <si>
    <t>4801 wilshire blvd #308</t>
  </si>
  <si>
    <t>Los angeles</t>
  </si>
  <si>
    <t>kfreeman7120@gmail.com</t>
  </si>
  <si>
    <t>LAW OFFICE OF K FREEMAN LEE</t>
  </si>
  <si>
    <t xml:space="preserve">accounting manager </t>
  </si>
  <si>
    <t>43-3031.00</t>
  </si>
  <si>
    <t xml:space="preserve">Economics or related filed </t>
  </si>
  <si>
    <t>3030 W 8TH ST</t>
  </si>
  <si>
    <t>P-400-21137-317804</t>
  </si>
  <si>
    <t>Mulhare</t>
  </si>
  <si>
    <t>Becky</t>
  </si>
  <si>
    <t>Office Manager</t>
  </si>
  <si>
    <t>18 Aspetuck Ridge Road</t>
  </si>
  <si>
    <t>New Milford</t>
  </si>
  <si>
    <t>YardApes, Inc.</t>
  </si>
  <si>
    <t>DBA YardScapes Landscape Professionals</t>
  </si>
  <si>
    <t>400 Preston Ave, Suite 300</t>
  </si>
  <si>
    <t>Charlottesville</t>
  </si>
  <si>
    <t>corea1131@maslabor.com</t>
  </si>
  <si>
    <t>Grounds/Maintenance Specialists</t>
  </si>
  <si>
    <t>="Must lift/carry 50 lbs., when necessary.  Saturday and Sunday work required, when necessary.  Post-hire upon suspicion of use and post-accident drug testing required of foreign and domestic workers. Motor vehicle background check required of all new hir</t>
  </si>
  <si>
    <t>18 Aspetuck Ridge Rd,</t>
  </si>
  <si>
    <t>See F.B.5.</t>
  </si>
  <si>
    <t>Wells</t>
  </si>
  <si>
    <t>Landscape Laborers</t>
  </si>
  <si>
    <t>Morrow</t>
  </si>
  <si>
    <t>Attorney at Law</t>
  </si>
  <si>
    <t>Rai</t>
  </si>
  <si>
    <t>Hardeep</t>
  </si>
  <si>
    <t>39111 Paseo Padre Parkway</t>
  </si>
  <si>
    <t>Suite 117</t>
  </si>
  <si>
    <t>hr@railaw.com</t>
  </si>
  <si>
    <t>Rai &amp; Associates</t>
  </si>
  <si>
    <t>Suite 1428</t>
  </si>
  <si>
    <t>jeanettes@klc-ltd.com</t>
  </si>
  <si>
    <t>Kempster, Corcoran, Quiceno &amp; Lenz-Calvo, LTD</t>
  </si>
  <si>
    <t>Manager - Immigration</t>
  </si>
  <si>
    <t>FRANCIS</t>
  </si>
  <si>
    <t>California</t>
  </si>
  <si>
    <t>Pikman</t>
  </si>
  <si>
    <t>Dany</t>
  </si>
  <si>
    <t>Konrad</t>
  </si>
  <si>
    <t>1111 E. Main Street</t>
  </si>
  <si>
    <t>Suite 2100</t>
  </si>
  <si>
    <t>hkonrad@lawmh.com</t>
  </si>
  <si>
    <t>McCandlish Holton, PC</t>
  </si>
  <si>
    <t>Danville</t>
  </si>
  <si>
    <t>Dentistry</t>
  </si>
  <si>
    <t>Russell</t>
  </si>
  <si>
    <t xml:space="preserve">Senior Manager, Local HR Services Americas </t>
  </si>
  <si>
    <t>jessica.cross@fragomen.com</t>
  </si>
  <si>
    <t xml:space="preserve">MANAGER </t>
  </si>
  <si>
    <t>Brooks</t>
  </si>
  <si>
    <t>Pleasanton</t>
  </si>
  <si>
    <t>SUITE 210</t>
  </si>
  <si>
    <t>Pharmacists</t>
  </si>
  <si>
    <t>Powell</t>
  </si>
  <si>
    <t>Compliance Officers</t>
  </si>
  <si>
    <t>ANIL</t>
  </si>
  <si>
    <t>Software Architect</t>
  </si>
  <si>
    <t>Green</t>
  </si>
  <si>
    <t>Director of Finance</t>
  </si>
  <si>
    <t>IRVING</t>
  </si>
  <si>
    <t>Suite 202</t>
  </si>
  <si>
    <t>Farmworkers and Laborers, Crop, Nursery, and Greenhouse</t>
  </si>
  <si>
    <t>P-400-21127-295368</t>
  </si>
  <si>
    <t>Vega</t>
  </si>
  <si>
    <t>9549 Linwood Avenue</t>
  </si>
  <si>
    <t>Vega's Lawn Service, LLC</t>
  </si>
  <si>
    <t>208 Colony Dr</t>
  </si>
  <si>
    <t>2b.seasonalagency@gmail.com</t>
  </si>
  <si>
    <t xml:space="preserve">2B Seasonal Agency </t>
  </si>
  <si>
    <t xml:space="preserve">Shreveport </t>
  </si>
  <si>
    <t>Shreveport-Bossier City, LA</t>
  </si>
  <si>
    <t>P-100-21148-352827</t>
  </si>
  <si>
    <t>Wills</t>
  </si>
  <si>
    <t>Timothy</t>
  </si>
  <si>
    <t>Advisor, HR Operations, EDM</t>
  </si>
  <si>
    <t>5100 Rings Road</t>
  </si>
  <si>
    <t>tompthy.wills@cardinalhealth.com</t>
  </si>
  <si>
    <t xml:space="preserve">Cardinal Health </t>
  </si>
  <si>
    <t>7000 Cardinal Place</t>
  </si>
  <si>
    <t>Feinstein</t>
  </si>
  <si>
    <t>10050 Regency Cir</t>
  </si>
  <si>
    <t>jessica.feinstein@jacksonlewis.com</t>
  </si>
  <si>
    <t>Sr. Engineer, Software Engineering</t>
  </si>
  <si>
    <t xml:space="preserve">Computer Science or Related </t>
  </si>
  <si>
    <t>=" Demonstrated ability with: 
•         Managed services agreements with an onshore/offshore model.
•         SAP SD (Sales and Distribution module) within S/4 HANA Enterprise Management and Vistex and RNI knowledge 
•         SAP standards and best prac</t>
  </si>
  <si>
    <t>="Demonstrated ability with: 
•         Managed services agreements with an onshore/offshore model.
•         SAP SD (Sales and Distribution module) within S/4 HANA Enterprise Management and Vistex and RNI knowledge 
•         SAP standards and best pract</t>
  </si>
  <si>
    <t>5100 Rings Rd</t>
  </si>
  <si>
    <t>Kuznetsova</t>
  </si>
  <si>
    <t>Elena</t>
  </si>
  <si>
    <t xml:space="preserve">Senior Lead - Immigration Services </t>
  </si>
  <si>
    <t>2035 LINCOLN HIGHWAY</t>
  </si>
  <si>
    <t>SUITE 3000/3005, EDISON SQUARE WEST</t>
  </si>
  <si>
    <t>gc.officer@lntinfotech.com</t>
  </si>
  <si>
    <t>Larsen &amp; Toubro  InfoTech Limited</t>
  </si>
  <si>
    <t>Mathews</t>
  </si>
  <si>
    <t>Diya</t>
  </si>
  <si>
    <t>chughedison@chugh.com</t>
  </si>
  <si>
    <t>Travel and relocation possible to unanticipated client locations throughout the U.S.</t>
  </si>
  <si>
    <t>Hai</t>
  </si>
  <si>
    <t>Scientist</t>
  </si>
  <si>
    <t>9100 Foothills Blvd.</t>
  </si>
  <si>
    <t>Roseville</t>
  </si>
  <si>
    <t>P-400-21138-322681</t>
  </si>
  <si>
    <t>Rose</t>
  </si>
  <si>
    <t>H2B Case Specialist</t>
  </si>
  <si>
    <t>6747 Foxbriar Dr.</t>
  </si>
  <si>
    <t>julie@southernimpact.com</t>
  </si>
  <si>
    <t>Woodland Hospitality Inc.</t>
  </si>
  <si>
    <t>1012 Woodland Dr.</t>
  </si>
  <si>
    <t>Devils Lake</t>
  </si>
  <si>
    <t>Maids</t>
  </si>
  <si>
    <t>Trujillo</t>
  </si>
  <si>
    <t>2840 Oxford Road</t>
  </si>
  <si>
    <t>PO Box 3228</t>
  </si>
  <si>
    <t>elaine@laborservicesinternational.com</t>
  </si>
  <si>
    <t>Baton Rouge</t>
  </si>
  <si>
    <t>Hudson</t>
  </si>
  <si>
    <t>Labor Services International, LLC</t>
  </si>
  <si>
    <t>Baton Rouge, LA</t>
  </si>
  <si>
    <t>Kearney</t>
  </si>
  <si>
    <t>929 108th Ave NE</t>
  </si>
  <si>
    <t>TRAVEL AND/OR RELOCATE TO UNANTICIPATED CLIENT SITE LOCATIONS THROUGHOUT THE U.S. AS NEEDED BY THE COMPANY WITH EXPENSES PAID BY THE EMPLOYER.</t>
  </si>
  <si>
    <t>Global Mobility</t>
  </si>
  <si>
    <t>Rosenberg</t>
  </si>
  <si>
    <t xml:space="preserve">New York </t>
  </si>
  <si>
    <t>Principal Software Engineer Manager</t>
  </si>
  <si>
    <t>Research Scientist</t>
  </si>
  <si>
    <t>Malvern</t>
  </si>
  <si>
    <t>Cannon</t>
  </si>
  <si>
    <t>Associate Director</t>
  </si>
  <si>
    <t xml:space="preserve">Computer Science, Engineering or related field </t>
  </si>
  <si>
    <t>Dayton</t>
  </si>
  <si>
    <t>Gaithersburg</t>
  </si>
  <si>
    <t>Computer Science, Computer Engineering, or related field</t>
  </si>
  <si>
    <t>P-400-21154-365901</t>
  </si>
  <si>
    <t>Roos</t>
  </si>
  <si>
    <t>Louis</t>
  </si>
  <si>
    <t>530 Commerce Dr.</t>
  </si>
  <si>
    <t>Harrodsburg</t>
  </si>
  <si>
    <t>KY</t>
  </si>
  <si>
    <t>B&amp;Bpowdercoating17@gmail.com</t>
  </si>
  <si>
    <t>B&amp;B Powder Coating &amp; Sandblasting, LLC</t>
  </si>
  <si>
    <t>Buckley</t>
  </si>
  <si>
    <t>135 Walton Avenue</t>
  </si>
  <si>
    <t>elizabethbuckley@conleyimmigration.com</t>
  </si>
  <si>
    <t>Conley Law Group, PLLC</t>
  </si>
  <si>
    <t>Engineers, All Other</t>
  </si>
  <si>
    <t>P-100-21126-294403</t>
  </si>
  <si>
    <t>Machine Learning Engineer</t>
  </si>
  <si>
    <t>See section F.a.2.</t>
  </si>
  <si>
    <t>CUPERTINO</t>
  </si>
  <si>
    <t>Please see section F.a.2.</t>
  </si>
  <si>
    <t>P-400-21125-289095</t>
  </si>
  <si>
    <t>Runte</t>
  </si>
  <si>
    <t>Carmen</t>
  </si>
  <si>
    <t>4825 McCullough Ave</t>
  </si>
  <si>
    <t>CR Horticulture &amp; Irrigation Solutions, LLC</t>
  </si>
  <si>
    <t>WINGFIELD</t>
  </si>
  <si>
    <t xml:space="preserve">8340 MEADOW ROAD, SUITE 132 </t>
  </si>
  <si>
    <t>ANITA@AMIGOS-INC.COM</t>
  </si>
  <si>
    <t>AMIGOS LABOR SOLUTIONS, INC.</t>
  </si>
  <si>
    <t>San Antonio-New Braunfels, TX</t>
  </si>
  <si>
    <t>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ETA Form 9141.</t>
  </si>
  <si>
    <t>Member</t>
  </si>
  <si>
    <t>Eduardo</t>
  </si>
  <si>
    <t>MEMBER MANAGER</t>
  </si>
  <si>
    <t>HONOLULU</t>
  </si>
  <si>
    <t>737 BISHOP STREET</t>
  </si>
  <si>
    <t>SUITE 1640</t>
  </si>
  <si>
    <t>thk@teahikimlaw.com</t>
  </si>
  <si>
    <t>LAW OFFICE OF TEA H. KIM LLLC</t>
  </si>
  <si>
    <t>COOK</t>
  </si>
  <si>
    <t>Comp Sci, IT, Electrical Engg or related</t>
  </si>
  <si>
    <t>Deborah</t>
  </si>
  <si>
    <t>17-2141.00</t>
  </si>
  <si>
    <t>Chatham</t>
  </si>
  <si>
    <t>Cargo and Freight Agents</t>
  </si>
  <si>
    <t>Jeremy</t>
  </si>
  <si>
    <t>Computer User Support Specialists</t>
  </si>
  <si>
    <t>P-100-21131-305419</t>
  </si>
  <si>
    <t>Trammel</t>
  </si>
  <si>
    <t>Kalynn</t>
  </si>
  <si>
    <t>ANALYST-COMPENSATION, BENEFITS, TALENT ACQUISITION</t>
  </si>
  <si>
    <t>515 W. GREENS ROAD</t>
  </si>
  <si>
    <t>KALYNN.TRAMMEL@NABORS.COM</t>
  </si>
  <si>
    <t>Nabors Drilling Technologies USA, Inc.</t>
  </si>
  <si>
    <t>CHAPMAN/6606.493</t>
  </si>
  <si>
    <t>P.</t>
  </si>
  <si>
    <t>10100 Katy Freeway, Suite 600</t>
  </si>
  <si>
    <t>TCHAPMAN@BALGLOBAL.COM</t>
  </si>
  <si>
    <t>MPD Engineer</t>
  </si>
  <si>
    <t>**Please see F.A.2**</t>
  </si>
  <si>
    <t>MPD Manager</t>
  </si>
  <si>
    <t xml:space="preserve">Travel to various unanticipated sites throughout the United States required. </t>
  </si>
  <si>
    <t>515 W. Greens Road</t>
  </si>
  <si>
    <t>Alanis</t>
  </si>
  <si>
    <t>Krystal</t>
  </si>
  <si>
    <t>P.O. Box 421409</t>
  </si>
  <si>
    <t>catalina.casarez@rnlawgroup.com</t>
  </si>
  <si>
    <t>Reddy &amp; Neumann, P.C.</t>
  </si>
  <si>
    <t>Will work in unanticipated locations.</t>
  </si>
  <si>
    <t>SAMONTE</t>
  </si>
  <si>
    <t>Dan Jeffrey</t>
  </si>
  <si>
    <t>333 East 34th Street, Suite 1E</t>
  </si>
  <si>
    <t>New York City</t>
  </si>
  <si>
    <t>djsamonte@verticalstaffings.com</t>
  </si>
  <si>
    <t>Vertical Staffing Corporation</t>
  </si>
  <si>
    <t>LINGAS</t>
  </si>
  <si>
    <t>Elino</t>
  </si>
  <si>
    <t>Belisario</t>
  </si>
  <si>
    <t>139 Fulton Street</t>
  </si>
  <si>
    <t>Suite 819</t>
  </si>
  <si>
    <t>elinob.lingas@verizon.net</t>
  </si>
  <si>
    <t>Lingas law office</t>
  </si>
  <si>
    <t xml:space="preserve">HR Manager/Administrator </t>
  </si>
  <si>
    <t xml:space="preserve">Philadelphia </t>
  </si>
  <si>
    <t>WAYNE</t>
  </si>
  <si>
    <t>P-400-21145-342583</t>
  </si>
  <si>
    <t>2077 N Frontage Rd W STE 111 Vail CO 81657 (physical)</t>
  </si>
  <si>
    <t>PO Box 3487 Vail CO 81658 (mailing)</t>
  </si>
  <si>
    <t>amy@novaklawwoffice.com</t>
  </si>
  <si>
    <t>Elite Sportswear</t>
  </si>
  <si>
    <t>2136 N 13th St. Reading PA, 19604</t>
  </si>
  <si>
    <t>Reading</t>
  </si>
  <si>
    <t>2077 N Frontage Rd W STE 111 Vail Co 81658 (physical)</t>
  </si>
  <si>
    <t>PO Box 3487 Vail CO 81658</t>
  </si>
  <si>
    <t>Sewing machine operator</t>
  </si>
  <si>
    <t xml:space="preserve">VP of manufacturing </t>
  </si>
  <si>
    <t>2136 N 13th St. Reading PA 19064</t>
  </si>
  <si>
    <t>Reading, PA</t>
  </si>
  <si>
    <t>Monroe</t>
  </si>
  <si>
    <t>Tafapolsky</t>
  </si>
  <si>
    <t>Tyler</t>
  </si>
  <si>
    <t>Amber</t>
  </si>
  <si>
    <t>Theresa</t>
  </si>
  <si>
    <t>Laborer</t>
  </si>
  <si>
    <t>Savely</t>
  </si>
  <si>
    <t>GMS Representative</t>
  </si>
  <si>
    <t>1300 River Drive</t>
  </si>
  <si>
    <t>Moline</t>
  </si>
  <si>
    <t>SavelyCindyP@JohnDeere.com</t>
  </si>
  <si>
    <t>Deere &amp; Company</t>
  </si>
  <si>
    <t>One John Deere Place</t>
  </si>
  <si>
    <t>Susie</t>
  </si>
  <si>
    <t>135 S LaSalle St</t>
  </si>
  <si>
    <t>smocuta@zulkiepartners.com</t>
  </si>
  <si>
    <t>Zulkie Partners LLC</t>
  </si>
  <si>
    <t xml:space="preserve">Computer Science, Engineering, IT, or related field </t>
  </si>
  <si>
    <t>Engineering Manager – Supply Chain Planning &amp; Global ATP</t>
  </si>
  <si>
    <t>Ruehlman</t>
  </si>
  <si>
    <t>Manager, Immigration</t>
  </si>
  <si>
    <t>100 Huntington Avenue</t>
  </si>
  <si>
    <t>4 Copley Place</t>
  </si>
  <si>
    <t>usimmigration@wayfair.com</t>
  </si>
  <si>
    <t>Mariah</t>
  </si>
  <si>
    <t>packardteam@fragomen.com</t>
  </si>
  <si>
    <t>Fragomen, Del Rey, Bernsen, &amp; Loewy, LLP</t>
  </si>
  <si>
    <t>Senior Engineer</t>
  </si>
  <si>
    <t>VAN AUKEN</t>
  </si>
  <si>
    <t>Farmer</t>
  </si>
  <si>
    <t>14949 FM 1826</t>
  </si>
  <si>
    <t>info@farmerlawpc.com</t>
  </si>
  <si>
    <t>Farmer Law PC</t>
  </si>
  <si>
    <t>Maintenance and Repair Workers, General</t>
  </si>
  <si>
    <t>P-100-21175-425577</t>
  </si>
  <si>
    <t>2525 Ponce de Leon Blvd.</t>
  </si>
  <si>
    <t>ehernandez@avilalaw.com</t>
  </si>
  <si>
    <t xml:space="preserve">Garba Industrial Service Inc. </t>
  </si>
  <si>
    <t>4915 Denver Street</t>
  </si>
  <si>
    <t xml:space="preserve">Marine Electrical Engineer </t>
  </si>
  <si>
    <t xml:space="preserve">Tampa </t>
  </si>
  <si>
    <t>Colorado Springs</t>
  </si>
  <si>
    <t>Becht</t>
  </si>
  <si>
    <t>Heather</t>
  </si>
  <si>
    <t>Manager of Club Administration and Human Resources</t>
  </si>
  <si>
    <t>23101 Copperleaf Blvd</t>
  </si>
  <si>
    <t>Bonita Springs</t>
  </si>
  <si>
    <t>heatherb@copperleafgc.com</t>
  </si>
  <si>
    <t>Copperleaf Golf Club Community Association, Inc.</t>
  </si>
  <si>
    <t>Cape Coral-Fort Myers, FL</t>
  </si>
  <si>
    <t>Bumgardner</t>
  </si>
  <si>
    <t>Herman</t>
  </si>
  <si>
    <t>immigration@databricks.com</t>
  </si>
  <si>
    <t>Databricks, Inc.</t>
  </si>
  <si>
    <t>Plumbers, Pipefitters, and Steamfitters</t>
  </si>
  <si>
    <t>Caroline</t>
  </si>
  <si>
    <t>Construction Laborer</t>
  </si>
  <si>
    <t>Wong</t>
  </si>
  <si>
    <t>PRESIDENT/CEO</t>
  </si>
  <si>
    <t>P-100-21133-312802</t>
  </si>
  <si>
    <t>HWANG</t>
  </si>
  <si>
    <t>3550 WILSHIRE BVD. STE. 640</t>
  </si>
  <si>
    <t>PHWANG@DAVIDKIMLAW.COM</t>
  </si>
  <si>
    <t>KMEA, INC.</t>
  </si>
  <si>
    <t>2423 HOOVER AVENUE</t>
  </si>
  <si>
    <t>NATIONAL CITY</t>
  </si>
  <si>
    <t>3550 WILSHIRE BLVD. STE. 640</t>
  </si>
  <si>
    <t>PETER I. HWANG, ESQ. / CHRIS S. KIM, ESQ.</t>
  </si>
  <si>
    <t>CIVIL ENGINEER</t>
  </si>
  <si>
    <t>ENGINEERING</t>
  </si>
  <si>
    <t>1203 SOPRIS DRIVE</t>
  </si>
  <si>
    <t>6100 Fairview Road</t>
  </si>
  <si>
    <t>Garfinkel Immigration Law Firm</t>
  </si>
  <si>
    <t>13-1111.00</t>
  </si>
  <si>
    <t>Natural Sciences Managers</t>
  </si>
  <si>
    <t>Parsippany</t>
  </si>
  <si>
    <t>Sr. SW Engineer</t>
  </si>
  <si>
    <t>1075 Peachtree Street</t>
  </si>
  <si>
    <t>Jayden</t>
  </si>
  <si>
    <t>Benjamin</t>
  </si>
  <si>
    <t>5 Times Square</t>
  </si>
  <si>
    <t>Building Cleaning Workers, All Other</t>
  </si>
  <si>
    <t>Dang</t>
  </si>
  <si>
    <t xml:space="preserve">Irving </t>
  </si>
  <si>
    <t>100 N. Cherry Street</t>
  </si>
  <si>
    <t>Constangy Brooks Smith &amp; Prophete LLP</t>
  </si>
  <si>
    <t>Lansing</t>
  </si>
  <si>
    <t xml:space="preserve">Data Scientist </t>
  </si>
  <si>
    <t>LaValle</t>
  </si>
  <si>
    <t>Ivey</t>
  </si>
  <si>
    <t>2400 Yorkmont Road</t>
  </si>
  <si>
    <t>Ivey.Lavalle@compass-usa.com</t>
  </si>
  <si>
    <t>Compass Group USA Inc.</t>
  </si>
  <si>
    <t>Hummel</t>
  </si>
  <si>
    <t>Ste 200</t>
  </si>
  <si>
    <t>PHILADELPHIA</t>
  </si>
  <si>
    <t>GANDHI</t>
  </si>
  <si>
    <t>2400 NORTH GLENVILLE DRIVE</t>
  </si>
  <si>
    <t>Building A, SUITE 100</t>
  </si>
  <si>
    <t>DCPERM@balglobal.com</t>
  </si>
  <si>
    <t>Consulting, Senior Consultant</t>
  </si>
  <si>
    <t xml:space="preserve">="Minimum Requirements: Bachelor’s degree (or foreign equivalent) in Business Administration, or any STEM field or a related field and two (2) years of related work experience in the job offered or in a related occupation. Must also have two (2) years of </t>
  </si>
  <si>
    <t>50% Travel required nationally.</t>
  </si>
  <si>
    <t>Jensen</t>
  </si>
  <si>
    <t>Architectural Drafters</t>
  </si>
  <si>
    <t>Honigman LLP</t>
  </si>
  <si>
    <t>Pipelayers</t>
  </si>
  <si>
    <t>Agricultural Equipment Operators</t>
  </si>
  <si>
    <t>New Haven</t>
  </si>
  <si>
    <t>CHRISTIAN</t>
  </si>
  <si>
    <t>SHAUN</t>
  </si>
  <si>
    <t>HANGAR ONE WEST TINIAN INTERNATION AIRPORT</t>
  </si>
  <si>
    <t>P.O. BOX 520461</t>
  </si>
  <si>
    <t>TINIAN</t>
  </si>
  <si>
    <t>hrdept@starmarianasair.com</t>
  </si>
  <si>
    <t>Star Marianas Air, Inc.</t>
  </si>
  <si>
    <t>The 2020 PWS, CNMI</t>
  </si>
  <si>
    <t>Su</t>
  </si>
  <si>
    <t>Chenping</t>
  </si>
  <si>
    <t>1065 6th Avenue</t>
  </si>
  <si>
    <t>Suite 1025</t>
  </si>
  <si>
    <t>INFO@NYISLAWFIRM.COM</t>
  </si>
  <si>
    <t>NYIS Law Firm</t>
  </si>
  <si>
    <t>Lead Global Mobility Consultant</t>
  </si>
  <si>
    <t>33 South 6th Street, CC-17613</t>
  </si>
  <si>
    <t>DavidW.Johnson@target.com</t>
  </si>
  <si>
    <t>Target Enterprise, Inc.</t>
  </si>
  <si>
    <t>1000 Nicollet Mall</t>
  </si>
  <si>
    <t>Gurley</t>
  </si>
  <si>
    <t>Marit</t>
  </si>
  <si>
    <t>2950 Metro Drive</t>
  </si>
  <si>
    <t>marit@karamlaw.com</t>
  </si>
  <si>
    <t>Karam Law</t>
  </si>
  <si>
    <t>Allentown</t>
  </si>
  <si>
    <t>Alice</t>
  </si>
  <si>
    <t>2720 BEE CAVES RD</t>
  </si>
  <si>
    <t>Azarmehr Law Group</t>
  </si>
  <si>
    <t>Mariana</t>
  </si>
  <si>
    <t>Kane</t>
  </si>
  <si>
    <t>P-400-21138-322898</t>
  </si>
  <si>
    <t xml:space="preserve">Cripps </t>
  </si>
  <si>
    <t>Production Manager</t>
  </si>
  <si>
    <t>1601 Dielman Road</t>
  </si>
  <si>
    <t>bcripps@horstmannbrothers.com</t>
  </si>
  <si>
    <t>Horstmann Brothers, LLC</t>
  </si>
  <si>
    <t>Ibarra</t>
  </si>
  <si>
    <t>408 West Marion Ave.</t>
  </si>
  <si>
    <t>Lake Park</t>
  </si>
  <si>
    <t>groupmegan@agworksh2.com</t>
  </si>
  <si>
    <t>AgWorks H2, LLC</t>
  </si>
  <si>
    <t>St. Louis, MO-IL</t>
  </si>
  <si>
    <t>P-400-21130-299294</t>
  </si>
  <si>
    <t>="The Petitioner will consider for employment any person who possesses at least six (6) months of service experience in a fine-dining or high-volume environment at a high-end restaurant, resort, or private club.
Applicant must complete pre-employment bac</t>
  </si>
  <si>
    <t>Logistics Analysts</t>
  </si>
  <si>
    <t>Roanoke</t>
  </si>
  <si>
    <t>Woodbridge</t>
  </si>
  <si>
    <t>P-400-21154-366151</t>
  </si>
  <si>
    <t>Kissel</t>
  </si>
  <si>
    <t>Tammy</t>
  </si>
  <si>
    <t>3748 South State Line Street</t>
  </si>
  <si>
    <t>Okeana</t>
  </si>
  <si>
    <t>tammykissel@yahoo.com</t>
  </si>
  <si>
    <t>Event EZ LLC</t>
  </si>
  <si>
    <t>Ohio</t>
  </si>
  <si>
    <t>Pierce</t>
  </si>
  <si>
    <t>133 Defense Highway</t>
  </si>
  <si>
    <t>Annapolis</t>
  </si>
  <si>
    <t>obowp@adventurelaw.com</t>
  </si>
  <si>
    <t>The Pierce Law Firm, LLC</t>
  </si>
  <si>
    <t>Maintenance Helper</t>
  </si>
  <si>
    <t>17606 US Highway 31 North</t>
  </si>
  <si>
    <t>Clanton</t>
  </si>
  <si>
    <t>Birmingham-Hoover, AL</t>
  </si>
  <si>
    <t>Alicia</t>
  </si>
  <si>
    <t xml:space="preserve">Physical Therapy </t>
  </si>
  <si>
    <t>BANSAL</t>
  </si>
  <si>
    <t>NIDHI</t>
  </si>
  <si>
    <t>11490 COMMERCE PARK DRIVE</t>
  </si>
  <si>
    <t>nidhi@IMMIGRATIONONLINE.COM</t>
  </si>
  <si>
    <t>Lawson</t>
  </si>
  <si>
    <t>FORT LAUDERDALE</t>
  </si>
  <si>
    <t>Interior Designers</t>
  </si>
  <si>
    <t>Cao</t>
  </si>
  <si>
    <t>Short Hills</t>
  </si>
  <si>
    <t>Spencer</t>
  </si>
  <si>
    <t>Palter</t>
  </si>
  <si>
    <t>lisa@mccownevans.com</t>
  </si>
  <si>
    <t>450 West 33rd Street</t>
  </si>
  <si>
    <t>IHS Markit</t>
  </si>
  <si>
    <t>Industrial Engineer</t>
  </si>
  <si>
    <t xml:space="preserve">Software Developer </t>
  </si>
  <si>
    <t>P-400-21134-313256</t>
  </si>
  <si>
    <t>Imm</t>
  </si>
  <si>
    <t>1751 SW 8TH STREET</t>
  </si>
  <si>
    <t>simm@solgroup-marketing.com</t>
  </si>
  <si>
    <t>Sortpack Inc.</t>
  </si>
  <si>
    <t>1751 SW 8th Street</t>
  </si>
  <si>
    <t>Agricultural Grader, Sorter, Packer (Fruit)</t>
  </si>
  <si>
    <t>Graders and Sorters, Agricultural Products</t>
  </si>
  <si>
    <t>Warehouse Supervisor/ Warehouse Manager</t>
  </si>
  <si>
    <t xml:space="preserve">Pompano Beach </t>
  </si>
  <si>
    <t>IT Services</t>
  </si>
  <si>
    <t>Bloomfield Hills</t>
  </si>
  <si>
    <t>P-400-21144-338988</t>
  </si>
  <si>
    <t>Plaitis</t>
  </si>
  <si>
    <t>Niki</t>
  </si>
  <si>
    <t>HR DIRECTOR</t>
  </si>
  <si>
    <t>12600 Harbour Ridge Blvd</t>
  </si>
  <si>
    <t>Palm City</t>
  </si>
  <si>
    <t>34990-8007</t>
  </si>
  <si>
    <t>N.PLAITIS@HRYCC.ORG</t>
  </si>
  <si>
    <t>HARBOUR RIDGE YACHT &amp; COUNTRY CLUB</t>
  </si>
  <si>
    <t>12600 HARBOUR RIDGE BLVD</t>
  </si>
  <si>
    <t>palm city</t>
  </si>
  <si>
    <t xml:space="preserve">CLUB HOUSEKEEPER </t>
  </si>
  <si>
    <t>CLUB HOUSEKEEPER/ LAUNDRY ATTENDANT</t>
  </si>
  <si>
    <t>PALM CITY</t>
  </si>
  <si>
    <t>Cooks, Private Household</t>
  </si>
  <si>
    <t>Del Vento</t>
  </si>
  <si>
    <t>Daniella</t>
  </si>
  <si>
    <t>SVP, HR Business Partner</t>
  </si>
  <si>
    <t>401 Congress Ave</t>
  </si>
  <si>
    <t>Daniella.DelVento@pimco.com</t>
  </si>
  <si>
    <t>650 Newport Center Drive</t>
  </si>
  <si>
    <t>Dogan</t>
  </si>
  <si>
    <t>Irem</t>
  </si>
  <si>
    <t>idogan@gibney.com</t>
  </si>
  <si>
    <t>Computer Science, Computer Engineering or related field</t>
  </si>
  <si>
    <t>Toledo</t>
  </si>
  <si>
    <t>HERNDON</t>
  </si>
  <si>
    <t>Mattingly</t>
  </si>
  <si>
    <t>701 Fee Fee Road</t>
  </si>
  <si>
    <t>Maryland Heights</t>
  </si>
  <si>
    <t>kelly.mattingly@wwt.com</t>
  </si>
  <si>
    <t>Sandler</t>
  </si>
  <si>
    <t>Bradley</t>
  </si>
  <si>
    <t>brad.sandler@stinson.com</t>
  </si>
  <si>
    <t>62 Weldon Parkway</t>
  </si>
  <si>
    <t>Poulton</t>
  </si>
  <si>
    <t>Luka</t>
  </si>
  <si>
    <t>AVP, Immigration N.A.</t>
  </si>
  <si>
    <t>502 Carnegie Center Dr</t>
  </si>
  <si>
    <t>coforge@gtlaw.com</t>
  </si>
  <si>
    <t>Coforge Limited f/k/a NIIT Technologies Limited</t>
  </si>
  <si>
    <t>502 Carnegie Center Drive</t>
  </si>
  <si>
    <t>CAPPELLARI</t>
  </si>
  <si>
    <t>G. CATERINA</t>
  </si>
  <si>
    <t>3333 PIEDMONT RD NE</t>
  </si>
  <si>
    <t>COFORGE@GTLAW.COM</t>
  </si>
  <si>
    <t>Greenberg Traurig, LLP</t>
  </si>
  <si>
    <t>Project Manager, TPF Application Development</t>
  </si>
  <si>
    <t>="Must have a Bachelor’s Degree or foreign equivalent degree in Computer Science, Information Technology, Engineering or a related field and five years of experience in the development of TPF application utilizing TPF Assembler, TPFC/C++, TPFDF, TPFDFC, S</t>
  </si>
  <si>
    <t>Computer Science, Information Technology, Engineering or a related field</t>
  </si>
  <si>
    <t>="Master’s Degree or foreign equivalent degree in Computer Science, Information Technology, Engineering or a related field and three years of experience in the development of TPF application utilizing TPF Assembler, TPFC/C++, TPFDF, TPFDFC, SPM, JCL, zTPF</t>
  </si>
  <si>
    <t>Periodic relocation and/or travel may be required to various unanticipated work sites in the U.S.</t>
  </si>
  <si>
    <t>502 Carnegie Center Drive, Suite 301</t>
  </si>
  <si>
    <t>and other various unanticipated worksites in the U.S.</t>
  </si>
  <si>
    <t>1 Market Street</t>
  </si>
  <si>
    <t>occupation.specialist@autodesk.com</t>
  </si>
  <si>
    <t>Autodesk, Inc.</t>
  </si>
  <si>
    <t>111 McInnis Parkway</t>
  </si>
  <si>
    <t>San Rafael</t>
  </si>
  <si>
    <t>autodesk@cipllp.com</t>
  </si>
  <si>
    <t>Credit Karma, LLC</t>
  </si>
  <si>
    <t>1100 Broadway</t>
  </si>
  <si>
    <t>18th Floor</t>
  </si>
  <si>
    <t>Umstadter</t>
  </si>
  <si>
    <t>Christy</t>
  </si>
  <si>
    <t>creditkarma@cipllp.com</t>
  </si>
  <si>
    <t>P.O Box 31608</t>
  </si>
  <si>
    <t>harrison.marshall@ogletree.com</t>
  </si>
  <si>
    <t>Ogletree, Deakins, Nash, Smoak, &amp; Stewart, P.C.</t>
  </si>
  <si>
    <t>P-100-21152-358950</t>
  </si>
  <si>
    <t>="SKILLS REQUIRED: INFORMATICA POWER CENTER, ORACLE ODI, ORACLE OWB, SQL PL/SQL, DATASTAGE, UNIX, TERADATA, AND COGNOS. MASTER’S DEGREE IN SCIENCE, TECHNOLOGY, ENGINEERING, OR ANY RELATED FIELD WITH 1 YEAR OF EXPERIENCE IN THE JOB OFFERED OR RELATED OCCUP</t>
  </si>
  <si>
    <t>705 Second Avenue</t>
  </si>
  <si>
    <t>MacDonald Hoague &amp; Bayless</t>
  </si>
  <si>
    <t>Engineering, Computer Science, or a related field.</t>
  </si>
  <si>
    <t>Carroll</t>
  </si>
  <si>
    <t>SVP Human Resources</t>
  </si>
  <si>
    <t>5701 Stirling Road</t>
  </si>
  <si>
    <t>Davie</t>
  </si>
  <si>
    <t>david.carroll@shrss.com</t>
  </si>
  <si>
    <t>Seminole Hard Rock Support Services</t>
  </si>
  <si>
    <t>Busser</t>
  </si>
  <si>
    <t>1 Seminole Way</t>
  </si>
  <si>
    <t>LUTSEN MOUNTAINS CORPORATION</t>
  </si>
  <si>
    <t>467 SKI HILL ROAD</t>
  </si>
  <si>
    <t>LUTSEN</t>
  </si>
  <si>
    <t>HOUSEKEEPER</t>
  </si>
  <si>
    <t>467 SKI HILL RD</t>
  </si>
  <si>
    <t>P-400-21137-320538</t>
  </si>
  <si>
    <t>Sharp</t>
  </si>
  <si>
    <t xml:space="preserve">956 Enterprise Court </t>
  </si>
  <si>
    <t>ksharp@greensolutionslandcare.com</t>
  </si>
  <si>
    <t>Green Solutions Landcare LLC</t>
  </si>
  <si>
    <t>SCHINDLER</t>
  </si>
  <si>
    <t>5428 REGIO PL</t>
  </si>
  <si>
    <t>ATASCADERO</t>
  </si>
  <si>
    <t>KSCHINDLER@AZTECLABOR.COM</t>
  </si>
  <si>
    <t>AZTEC FOREIGN LABOR, INC</t>
  </si>
  <si>
    <t>Landscape crew member</t>
  </si>
  <si>
    <t>956 Enterprise Court</t>
  </si>
  <si>
    <t>Freeman</t>
  </si>
  <si>
    <t>Suite 510</t>
  </si>
  <si>
    <t>Des Plaines</t>
  </si>
  <si>
    <t>Fragomen, Del Rey, Bernsen and Loewy, LLP</t>
  </si>
  <si>
    <t>P-400-21130-298506</t>
  </si>
  <si>
    <t>4340 E Paradise Lane</t>
  </si>
  <si>
    <t>ENVIRONMENTS BY ROB KATER INC</t>
  </si>
  <si>
    <t>Arborist</t>
  </si>
  <si>
    <t>Tree Trimmers and Pruners</t>
  </si>
  <si>
    <t>S Wilmot Road &amp; E Camino Boleanoras</t>
  </si>
  <si>
    <t>Tucson</t>
  </si>
  <si>
    <t>Tucson, AZ</t>
  </si>
  <si>
    <t>P-400-21153-362164</t>
  </si>
  <si>
    <t>198 Old Hwy 10</t>
  </si>
  <si>
    <t>Sweet Water</t>
  </si>
  <si>
    <t>comartin@tds.net</t>
  </si>
  <si>
    <t>Pritchett Forestry Services, Inc.</t>
  </si>
  <si>
    <t>Forest Workers</t>
  </si>
  <si>
    <t>="Must be 18 years or older. Requires physical stamina.  Extensive walking over rough terrain.  Work is in adverse weather. Must lift and carry 50 lbs. Production standard of 2000 trees correctly planted per 8 hour day after one week of on the job trainin</t>
  </si>
  <si>
    <t>Forest and Conservation Workers</t>
  </si>
  <si>
    <t>198 Old Highway 10</t>
  </si>
  <si>
    <t>Apopka</t>
  </si>
  <si>
    <t>Business Administration, Computer Science, MIS, CIS, Engineering-any branch or related</t>
  </si>
  <si>
    <t>Computer Hardware Engineers</t>
  </si>
  <si>
    <t>P-100-21173-417676</t>
  </si>
  <si>
    <t xml:space="preserve">Taeme </t>
  </si>
  <si>
    <t>Meri</t>
  </si>
  <si>
    <t xml:space="preserve">1201 Hunt Ave </t>
  </si>
  <si>
    <t>parksideadmin@socket.net</t>
  </si>
  <si>
    <t>N&amp;R of Columbia, LLC</t>
  </si>
  <si>
    <t>Parkside Manor</t>
  </si>
  <si>
    <t>1201 Hunt Ave</t>
  </si>
  <si>
    <t>De La Rosa King</t>
  </si>
  <si>
    <t>Karla</t>
  </si>
  <si>
    <t>Karyna</t>
  </si>
  <si>
    <t>4320 Winfield Road</t>
  </si>
  <si>
    <t xml:space="preserve">Warrenville </t>
  </si>
  <si>
    <t>karla@delarosaimmigration.com</t>
  </si>
  <si>
    <t>Karla De La Rosa, Attorney at Law</t>
  </si>
  <si>
    <t>E-3 Australian</t>
  </si>
  <si>
    <t>ELIZABETH</t>
  </si>
  <si>
    <t>Pediatricians, General</t>
  </si>
  <si>
    <t>630 Dartmouth Place</t>
  </si>
  <si>
    <t>Northwestern University</t>
  </si>
  <si>
    <t>Research Specialist</t>
  </si>
  <si>
    <t>Brooke</t>
  </si>
  <si>
    <t>OVERLAND PARK</t>
  </si>
  <si>
    <t>Prochaska</t>
  </si>
  <si>
    <t>4400 post oak parkway</t>
  </si>
  <si>
    <t>Brenda</t>
  </si>
  <si>
    <t>Hospitalist Physician</t>
  </si>
  <si>
    <t>Chief of Staff</t>
  </si>
  <si>
    <t>WALNUT CREEK</t>
  </si>
  <si>
    <t>2650 US 130</t>
  </si>
  <si>
    <t>SUITE # E</t>
  </si>
  <si>
    <t>CRANBURY</t>
  </si>
  <si>
    <t xml:space="preserve">="Master’s degree in Science, Technology, Engineering, or any related field with 1 year of experience in the job offered or related occupation is required. Bachelor’s degree in the above-mentioned fields along with 5 years of experience in job offered or </t>
  </si>
  <si>
    <t>SUITE # E AND VARIOUS UNANTICIPATED LOCATIONS THROUGHOUT THE U.S.</t>
  </si>
  <si>
    <t>SULLIVAN</t>
  </si>
  <si>
    <t>DANIEL</t>
  </si>
  <si>
    <t>815 HORSEBLOCK RD</t>
  </si>
  <si>
    <t>FARMINGVILLE</t>
  </si>
  <si>
    <t>SULLIVANLEGAL@AOL.COM</t>
  </si>
  <si>
    <t>Souza</t>
  </si>
  <si>
    <t>Christine</t>
  </si>
  <si>
    <t>Global Mobility and Immigration Director</t>
  </si>
  <si>
    <t>45 Glover Avenue</t>
  </si>
  <si>
    <t>Norwalk</t>
  </si>
  <si>
    <t>csouza@factset.com</t>
  </si>
  <si>
    <t>FactSet Research Systems Inc.</t>
  </si>
  <si>
    <t>Mason</t>
  </si>
  <si>
    <t>NELSON</t>
  </si>
  <si>
    <t>Santa Ana</t>
  </si>
  <si>
    <t>JILL</t>
  </si>
  <si>
    <t>Maggie</t>
  </si>
  <si>
    <t>P-400-21131-303284</t>
  </si>
  <si>
    <t>Geissler</t>
  </si>
  <si>
    <t>Rickey</t>
  </si>
  <si>
    <t>1051 Cross Keys Road</t>
  </si>
  <si>
    <t>Mailing: PO Box 756 , Leesport, PA 19533</t>
  </si>
  <si>
    <t>Leesport</t>
  </si>
  <si>
    <t>Geissler Tree Farms, Inc.</t>
  </si>
  <si>
    <t>400 Preston Ave Suite 300</t>
  </si>
  <si>
    <t>clarke1165@maslabor.com</t>
  </si>
  <si>
    <t>alexandra.cornel@fragomen.com</t>
  </si>
  <si>
    <t>Principal Investigator</t>
  </si>
  <si>
    <t>Salinas</t>
  </si>
  <si>
    <t>Lara</t>
  </si>
  <si>
    <t xml:space="preserve">Sandra </t>
  </si>
  <si>
    <t>Quan</t>
  </si>
  <si>
    <t>5444 Westheimer Road</t>
  </si>
  <si>
    <t>Anzoategui</t>
  </si>
  <si>
    <t>7240 SW 39th Terrace</t>
  </si>
  <si>
    <t>Fernando.Anzoategui@ProConEngineers.net</t>
  </si>
  <si>
    <t>ProCon Engineering, Inc.</t>
  </si>
  <si>
    <t>161 Worcester Road</t>
  </si>
  <si>
    <t>Suite 501</t>
  </si>
  <si>
    <t>kisenberg@fletchertilton.com</t>
  </si>
  <si>
    <t>Fletcher Tilton, P.C.</t>
  </si>
  <si>
    <t>Electrical Engineer</t>
  </si>
  <si>
    <t>LI</t>
  </si>
  <si>
    <t>Blake</t>
  </si>
  <si>
    <t>Garrick</t>
  </si>
  <si>
    <t>Employer</t>
  </si>
  <si>
    <t>Telemarketers</t>
  </si>
  <si>
    <t>Kirste</t>
  </si>
  <si>
    <t>Ariba, Inc.</t>
  </si>
  <si>
    <t xml:space="preserve">Palo Alto </t>
  </si>
  <si>
    <t xml:space="preserve">Dela Merced </t>
  </si>
  <si>
    <t xml:space="preserve">43 West 46th Street </t>
  </si>
  <si>
    <t>gdmlaw43w46@gmail.com</t>
  </si>
  <si>
    <t>Law Office of Gabriel S Dela Merced</t>
  </si>
  <si>
    <t xml:space="preserve">Architectural Designer </t>
  </si>
  <si>
    <t xml:space="preserve">Registered Architect/Principal </t>
  </si>
  <si>
    <t>Randall</t>
  </si>
  <si>
    <t>Neurologists</t>
  </si>
  <si>
    <t>Financial Analyst</t>
  </si>
  <si>
    <t>Naples</t>
  </si>
  <si>
    <t>P-400-21133-311997</t>
  </si>
  <si>
    <t>Savvides</t>
  </si>
  <si>
    <t>16104 Mizner Club Drive</t>
  </si>
  <si>
    <t>JMaddox@miznercc.org</t>
  </si>
  <si>
    <t>Mizner Country Club, Inc.</t>
  </si>
  <si>
    <t>="The Petitioner will consider for employment any person who possesses at least one (1) year of culinary experience in a fine-dining or high-volume environment at a high-end restaurant, resort, or private club.
Applicant must complete pre-employment back</t>
  </si>
  <si>
    <t>Training Manager and Executive Chef</t>
  </si>
  <si>
    <t>Staff Software Engineer</t>
  </si>
  <si>
    <t>Roman</t>
  </si>
  <si>
    <t>Iyer</t>
  </si>
  <si>
    <t>155 North Wacker Drive</t>
  </si>
  <si>
    <t>Suite 3100</t>
  </si>
  <si>
    <t>siyer@honigman.com</t>
  </si>
  <si>
    <t>Aron</t>
  </si>
  <si>
    <t>Grand Rapids</t>
  </si>
  <si>
    <t>Covington</t>
  </si>
  <si>
    <t>Suite 430</t>
  </si>
  <si>
    <t>South San Francisco</t>
  </si>
  <si>
    <t xml:space="preserve">675 North 1st Street </t>
  </si>
  <si>
    <t>19-1029.02</t>
  </si>
  <si>
    <t>Molecular and Cellular Biologists</t>
  </si>
  <si>
    <t>Senior Paralegal</t>
  </si>
  <si>
    <t>Dentist</t>
  </si>
  <si>
    <t>Consulting, Project Delivery Senior Analyst</t>
  </si>
  <si>
    <t>Consultant</t>
  </si>
  <si>
    <t>Public Relations Specialists</t>
  </si>
  <si>
    <t>Rhonda</t>
  </si>
  <si>
    <t>P-100-21145-342511</t>
  </si>
  <si>
    <t>2020 US MBD/TRS Mercer Benchmark Database/Total Remuneration</t>
  </si>
  <si>
    <t>Collaboration Engineer</t>
  </si>
  <si>
    <t>TELECOMMUNICATIONS, TELECOMMUNICATIONS ENGINEERING, OR RELATED FIELD OF STUDY</t>
  </si>
  <si>
    <t>="THIS POSITION REQUIRES EXPERIENCE IN THE FOLLOWING: CISCO COLLABORATION SUITE, INCLUDING CUCM, UNITY, UCCX, EXPRESSWAY, MEETING PLACE, AND CUCM SME; CISCO CALL MANAGER; CISCO SESSION LAYER; LEGACY TDM AND ANALOG TECHNOLOGIES; PYTHON AND JAVA DEVELOPMENT</t>
  </si>
  <si>
    <t>575 Washington Boulevard</t>
  </si>
  <si>
    <t>MUST BE WILLING TO TRAVEL AND RELOCATE TO UNANTICIPATED CLIENT LOCATIONS IN THE U.S.</t>
  </si>
  <si>
    <t>Shana</t>
  </si>
  <si>
    <t>Chief Human Resources Officer</t>
  </si>
  <si>
    <t>Springer</t>
  </si>
  <si>
    <t>Sr. Manager, Global Mobility</t>
  </si>
  <si>
    <t>27870 Cabot Drive</t>
  </si>
  <si>
    <t>blake.springer@dana.com</t>
  </si>
  <si>
    <t>Dana Heavy Vehicle Systems Group, LLC</t>
  </si>
  <si>
    <t>3939 Technology Drive</t>
  </si>
  <si>
    <t>Maumee</t>
  </si>
  <si>
    <t>Winarsky</t>
  </si>
  <si>
    <t>SMcMahan@Fragomen.com</t>
  </si>
  <si>
    <t>Sr. Manager, Vehicle Architecture</t>
  </si>
  <si>
    <t>Systems Engineering, Mechanical Engineering, Electrical Engineering or related technical field</t>
  </si>
  <si>
    <t>="Must have at least a Bachelor’s degree, or foreign equivalent, in Systems Engineering, Mechanical Engineering, Electrical Engineering or related technical field, and at least 10 years of experience in the job offered or 10 years of powertrain developmen</t>
  </si>
  <si>
    <t>Director of Systems Architecture – Commercial Vehicle</t>
  </si>
  <si>
    <t>BOUDIA</t>
  </si>
  <si>
    <t>jjb@boudia.com</t>
  </si>
  <si>
    <t>15875 MIDDLEBELT ROAD</t>
  </si>
  <si>
    <t>LIVONIA</t>
  </si>
  <si>
    <t>LCA@BOUDIA.COM</t>
  </si>
  <si>
    <t>JOHN J. BOUDIA &amp; ASSOCIATES PLC</t>
  </si>
  <si>
    <t>Hurtado</t>
  </si>
  <si>
    <t>Bernadine</t>
  </si>
  <si>
    <t>Immigration Paralegal Specialist</t>
  </si>
  <si>
    <t>Advanced Micro Devices, Inc.</t>
  </si>
  <si>
    <t>2485 Augustine Drive</t>
  </si>
  <si>
    <t>Kadel</t>
  </si>
  <si>
    <t>Maxwell</t>
  </si>
  <si>
    <t>301 Congress Ave</t>
  </si>
  <si>
    <t>SMTS Silicon Design Engineer</t>
  </si>
  <si>
    <t>90 Central Street</t>
  </si>
  <si>
    <t>Boxborough</t>
  </si>
  <si>
    <t>1075 Peachtree Street, NE</t>
  </si>
  <si>
    <t>jcook@fisherphillips.com</t>
  </si>
  <si>
    <t>Software QA Engineer</t>
  </si>
  <si>
    <t>Boise</t>
  </si>
  <si>
    <t>Pascual</t>
  </si>
  <si>
    <t>margaret@pascuallaw.com</t>
  </si>
  <si>
    <t>Pascual Law, PLLC</t>
  </si>
  <si>
    <t>Nonfarm Animal Caretakers</t>
  </si>
  <si>
    <t>Jon</t>
  </si>
  <si>
    <t>190 N Independence Mall West</t>
  </si>
  <si>
    <t>Suite 602</t>
  </si>
  <si>
    <t>Landau, Hess, Simon, Choi &amp; Doebley</t>
  </si>
  <si>
    <t>Education Administrator</t>
  </si>
  <si>
    <t>Clifford</t>
  </si>
  <si>
    <t>4555 Great America Parkway</t>
  </si>
  <si>
    <t>Susser</t>
  </si>
  <si>
    <t>1028 Oakhaven Road</t>
  </si>
  <si>
    <t>lsusser@visalaw.com</t>
  </si>
  <si>
    <t>Siskind Susser PC</t>
  </si>
  <si>
    <t>6th Fl</t>
  </si>
  <si>
    <t>Nursing Assistants</t>
  </si>
  <si>
    <t>Albuquerque</t>
  </si>
  <si>
    <t>Lead Guide - Kindergarten</t>
  </si>
  <si>
    <t>Key West</t>
  </si>
  <si>
    <t>Hotel, Motel, and Resort Desk Clerks</t>
  </si>
  <si>
    <t>OFFICE CLERK</t>
  </si>
  <si>
    <t>Office Clerks, General</t>
  </si>
  <si>
    <t>Preschool Teachers, Except Special Education</t>
  </si>
  <si>
    <t>405 Lexington Avenue</t>
  </si>
  <si>
    <t>Bozeman</t>
  </si>
  <si>
    <t>MT</t>
  </si>
  <si>
    <t>Dawson</t>
  </si>
  <si>
    <t>Jasper</t>
  </si>
  <si>
    <t>Gail</t>
  </si>
  <si>
    <t>Landscaper</t>
  </si>
  <si>
    <t>P-400-21144-339079</t>
  </si>
  <si>
    <t>DiLeo</t>
  </si>
  <si>
    <t>Milagros</t>
  </si>
  <si>
    <t>3202 Olde Dekalb Way</t>
  </si>
  <si>
    <t>mdileo@panamericanlabor.com</t>
  </si>
  <si>
    <t>Rivera Concrete LLC</t>
  </si>
  <si>
    <t>854 Terrace Trace</t>
  </si>
  <si>
    <t>PAN AMERICAN LABOR</t>
  </si>
  <si>
    <t>Construction Helper</t>
  </si>
  <si>
    <t>Helpers--Brickmasons, Blockmasons, Stonemasons, and Tile and Marble Setters</t>
  </si>
  <si>
    <t>Prieto</t>
  </si>
  <si>
    <t>Global Immigration Program Manager</t>
  </si>
  <si>
    <t>One Bowerman Drive</t>
  </si>
  <si>
    <t>talentmobility@Nike.com</t>
  </si>
  <si>
    <t>Nike Inc.</t>
  </si>
  <si>
    <t>One Bowerman Dr.</t>
  </si>
  <si>
    <t>Buidling A, Suite 100</t>
  </si>
  <si>
    <t>lstowe@balglobal.com</t>
  </si>
  <si>
    <t>Art Director (20742.608)</t>
  </si>
  <si>
    <t>27-1024.00</t>
  </si>
  <si>
    <t>="Employer will accept Bachelor’s degree in Industrial Design, Graphic Design, Fashion Design, or Textile Design and 5 years of progressive post-baccalaureate experience in the job offered or a related occupation. Experience must include: 
1.	Adobe Creat</t>
  </si>
  <si>
    <t>Art Directors</t>
  </si>
  <si>
    <t>Rubinstein</t>
  </si>
  <si>
    <t>Natalia</t>
  </si>
  <si>
    <t>Manager, Compensation &amp; Global Mobility</t>
  </si>
  <si>
    <t>benjaminbaney@discover.com</t>
  </si>
  <si>
    <t>DFS Corporate Services LLC</t>
  </si>
  <si>
    <t>rcistaro@fragomen.com</t>
  </si>
  <si>
    <t>Lead Scrum Master</t>
  </si>
  <si>
    <t>Information Technology, Computer Science, Mathematics or a related field.</t>
  </si>
  <si>
    <t>="Four (4) years of experience in the job offered or related occupation: working with  core banking and credit card domain; working with banking and lending products, including deposits, personal loans, and student loans; working with banking platforms su</t>
  </si>
  <si>
    <t>Chief Operations Officer</t>
  </si>
  <si>
    <t>Byrapogula</t>
  </si>
  <si>
    <t>Abhishek</t>
  </si>
  <si>
    <t>51 JFK Parkway</t>
  </si>
  <si>
    <t>1st Floor West, Suite 129</t>
  </si>
  <si>
    <t>schow@fragomen.com</t>
  </si>
  <si>
    <t>Assistant Vice President</t>
  </si>
  <si>
    <t>MINIHANE</t>
  </si>
  <si>
    <t>GUADALUPE</t>
  </si>
  <si>
    <t>LILBURN</t>
  </si>
  <si>
    <t>info@latintax.us</t>
  </si>
  <si>
    <t>LATIN PRO SERVICES INC</t>
  </si>
  <si>
    <t>="Two years of experience in managing multiple business projects simultaneously, proven history of personal initiative, efficiency, attention to detail, proficient in personal computer systems installation and MS Office Excel, development training program</t>
  </si>
  <si>
    <t>Insurance Sales Agents</t>
  </si>
  <si>
    <t>Randhawa/Salal</t>
  </si>
  <si>
    <t>Raman/Eman</t>
  </si>
  <si>
    <t xml:space="preserve">Global Mobility Advisor – Human Resources </t>
  </si>
  <si>
    <t>60 South 6th Street</t>
  </si>
  <si>
    <t>14th Floor</t>
  </si>
  <si>
    <t>usimmrel@rbc.com</t>
  </si>
  <si>
    <t>RBC Capital Markets LLC</t>
  </si>
  <si>
    <t>14th floor</t>
  </si>
  <si>
    <t>Maryland</t>
  </si>
  <si>
    <t>Conyers</t>
  </si>
  <si>
    <t>Courtney</t>
  </si>
  <si>
    <t>Kan</t>
  </si>
  <si>
    <t>Grace</t>
  </si>
  <si>
    <t>Sue</t>
  </si>
  <si>
    <t>1750 Valley View Lane</t>
  </si>
  <si>
    <t>Suite 339</t>
  </si>
  <si>
    <t>gkan@kanlaw.net</t>
  </si>
  <si>
    <t>Kan Law, PC</t>
  </si>
  <si>
    <t>Centennial</t>
  </si>
  <si>
    <t>Kamat</t>
  </si>
  <si>
    <t>Leena</t>
  </si>
  <si>
    <t>7567 Amador Valley Blvd</t>
  </si>
  <si>
    <t>Suite 304</t>
  </si>
  <si>
    <t>DUBLIN</t>
  </si>
  <si>
    <t>Leena@leenakamat.com</t>
  </si>
  <si>
    <t>Kamat Law Corporation</t>
  </si>
  <si>
    <t>Computer Science, Engineering, or related</t>
  </si>
  <si>
    <t>Wellington</t>
  </si>
  <si>
    <t>lissette123@comcast.net</t>
  </si>
  <si>
    <t>HILDESHEIM</t>
  </si>
  <si>
    <t>LISSETTE</t>
  </si>
  <si>
    <t>1939 NE SAN CARLOS CALLE</t>
  </si>
  <si>
    <t>Immigration USA</t>
  </si>
  <si>
    <t xml:space="preserve">Employer will provide transportation to job sites from central location. </t>
  </si>
  <si>
    <t>SEE F.A.2</t>
  </si>
  <si>
    <t>Wood</t>
  </si>
  <si>
    <t>Pete</t>
  </si>
  <si>
    <t>Paving, Surfacing, and Tamping Equipment Operators</t>
  </si>
  <si>
    <t>13800 Coppermine Road</t>
  </si>
  <si>
    <t>13800  Coppermine Road</t>
  </si>
  <si>
    <t>Sumner</t>
  </si>
  <si>
    <t>7229 Forest Ave</t>
  </si>
  <si>
    <t>esumner@sumnerimmigration.com</t>
  </si>
  <si>
    <t>Sumner Immigration Law PLLC</t>
  </si>
  <si>
    <t>230 W. Monroe St.</t>
  </si>
  <si>
    <t>Treasurers and Controllers</t>
  </si>
  <si>
    <t>Prep Cook</t>
  </si>
  <si>
    <t>Miguel</t>
  </si>
  <si>
    <t>2600 Casey Avenue</t>
  </si>
  <si>
    <t>Intuit Inc.</t>
  </si>
  <si>
    <t>LYNN</t>
  </si>
  <si>
    <t>THI</t>
  </si>
  <si>
    <t>lbonnello@balglobal.com</t>
  </si>
  <si>
    <t xml:space="preserve">2021 7th Avenue </t>
  </si>
  <si>
    <t>Computer Science or a closely related field</t>
  </si>
  <si>
    <t>P-400-21142-336079</t>
  </si>
  <si>
    <t xml:space="preserve">SUITE 9 </t>
  </si>
  <si>
    <t>FRONTAGE ROAD NORTH</t>
  </si>
  <si>
    <t>DRAYTON</t>
  </si>
  <si>
    <t>LEWISVILLE</t>
  </si>
  <si>
    <t xml:space="preserve"> Suite 200</t>
  </si>
  <si>
    <t xml:space="preserve">Redwood City </t>
  </si>
  <si>
    <t>REDWOOD CITY</t>
  </si>
  <si>
    <t>Suite 66</t>
  </si>
  <si>
    <t>Tredence Inc.</t>
  </si>
  <si>
    <t>1900 Camden Ave.</t>
  </si>
  <si>
    <t>Computer Science, Engineering, Mathematics, or a related field</t>
  </si>
  <si>
    <t>Manager of Registrar and Human Resources</t>
  </si>
  <si>
    <t>328 7th Avenue</t>
  </si>
  <si>
    <t>jkim@piartcenter.com</t>
  </si>
  <si>
    <t>Phil Art Studio &amp; Sci TOEFL in NY Inc.</t>
  </si>
  <si>
    <t>P.I. Art Center</t>
  </si>
  <si>
    <t>Ste 305</t>
  </si>
  <si>
    <t>Marketing, Advertising, or related</t>
  </si>
  <si>
    <t xml:space="preserve">Jennifer </t>
  </si>
  <si>
    <t>shivani.gill@FRAGOMEN.COM</t>
  </si>
  <si>
    <t>23-2011.00</t>
  </si>
  <si>
    <t>Paralegals and Legal Assistants</t>
  </si>
  <si>
    <t>Lewis</t>
  </si>
  <si>
    <t>Drobot</t>
  </si>
  <si>
    <t>Violetta</t>
  </si>
  <si>
    <t>Human Resources Business Partner</t>
  </si>
  <si>
    <t>75 Sidney Street</t>
  </si>
  <si>
    <t>vdrobot@vygr.com</t>
  </si>
  <si>
    <t>Pampanin</t>
  </si>
  <si>
    <t>2343  Massachusetts Avenue</t>
  </si>
  <si>
    <t>apampanin@pampaninlaw.com</t>
  </si>
  <si>
    <t>PampaninFoster, LLC</t>
  </si>
  <si>
    <t>Manuel</t>
  </si>
  <si>
    <t>P-400-21130-300392</t>
  </si>
  <si>
    <t>Vecellio</t>
  </si>
  <si>
    <t>Human Resource Director</t>
  </si>
  <si>
    <t>11520 Lost Tree Way</t>
  </si>
  <si>
    <t>North Palm Beach</t>
  </si>
  <si>
    <t>mvecellio@losttreeclub.com</t>
  </si>
  <si>
    <t>Lost Tree Club, Inc.</t>
  </si>
  <si>
    <t xml:space="preserve">="The Petitioner will consider for employment any person who possesses at least one (1) year of service experience in a fine-dining or high-volume environment at a high-end restaurant, resort, or private club.  Applicant must complete pre-employment drug </t>
  </si>
  <si>
    <t xml:space="preserve">Clubhouse Manager </t>
  </si>
  <si>
    <t>Dorothy</t>
  </si>
  <si>
    <t>Vasquez</t>
  </si>
  <si>
    <t>P-400-21146-344875</t>
  </si>
  <si>
    <t>JIMENEZ</t>
  </si>
  <si>
    <t>CAROLINA</t>
  </si>
  <si>
    <t>7667 Victory Lane</t>
  </si>
  <si>
    <t>GLENEAGLES COUNTRY CLUB, INC.</t>
  </si>
  <si>
    <t xml:space="preserve">SERVER CAPTAIN </t>
  </si>
  <si>
    <t>35-3031.00</t>
  </si>
  <si>
    <t xml:space="preserve">="Experience must be verifiable
Pre-hire drug test, carried out equally between U.S. workers and H-2B workers 
Must be available to work split-shifts, nights, weekends &amp; holidays as needed. 
Must be able to lift, pull, push or carry up to 25 lbs or more, </t>
  </si>
  <si>
    <t>Wen</t>
  </si>
  <si>
    <t>Budike</t>
  </si>
  <si>
    <t>Marianthe</t>
  </si>
  <si>
    <t>850 West Chester Pike</t>
  </si>
  <si>
    <t>Havertown</t>
  </si>
  <si>
    <t>marianthe@budikelaw.com</t>
  </si>
  <si>
    <t>Patel</t>
  </si>
  <si>
    <t>Dave</t>
  </si>
  <si>
    <t>aparnadave@immigration2us.com</t>
  </si>
  <si>
    <t>Law Office of Aparna Dave</t>
  </si>
  <si>
    <t>COO</t>
  </si>
  <si>
    <t>Hollywood</t>
  </si>
  <si>
    <t>Suite E</t>
  </si>
  <si>
    <t>Garcia</t>
  </si>
  <si>
    <t>First-Line Supervisors of Construction Trades and Extraction Workers</t>
  </si>
  <si>
    <t>Wasserstein</t>
  </si>
  <si>
    <t>1101 Connecticut Avenue NW</t>
  </si>
  <si>
    <t>Suite 450</t>
  </si>
  <si>
    <t>jen@immigrationgroup.com</t>
  </si>
  <si>
    <t>IMMIGRATION LAW GROUP</t>
  </si>
  <si>
    <t>Of Counsel</t>
  </si>
  <si>
    <t>2121 TASMAN DRIVE</t>
  </si>
  <si>
    <t>Sr. Technical Program Manager</t>
  </si>
  <si>
    <t>Martinez Senftner</t>
  </si>
  <si>
    <t>Associate Attorney</t>
  </si>
  <si>
    <t xml:space="preserve">1600 Sacramento Inn Way </t>
  </si>
  <si>
    <t>Suite 116</t>
  </si>
  <si>
    <t>gloria.martinezsenftner@gmail.com</t>
  </si>
  <si>
    <t>Martinez Law Group, P.C.</t>
  </si>
  <si>
    <t>Pharmacist</t>
  </si>
  <si>
    <t>Lead Software Engineer</t>
  </si>
  <si>
    <t>Forsyth</t>
  </si>
  <si>
    <t xml:space="preserve">SOUTH PLAINFIELD </t>
  </si>
  <si>
    <t xml:space="preserve">SCIENCE, TECHNOLOGY, ENGINEERING, OR ANY RELATED FIELD </t>
  </si>
  <si>
    <t xml:space="preserve">SCIENCE, TECHNOLOGY, ENGINEERING OR ANY RELATED FIELD </t>
  </si>
  <si>
    <t>Coaches and Scouts</t>
  </si>
  <si>
    <t>Gandapodivasu</t>
  </si>
  <si>
    <t>Sridevi</t>
  </si>
  <si>
    <t>2 Brier Hill Ct., 2B Building F</t>
  </si>
  <si>
    <t>sridevi.g@prowessitsolutions.com</t>
  </si>
  <si>
    <t>Prowess IT Solutions LLC</t>
  </si>
  <si>
    <t>50 Brier Hill Ct., 2B Building F</t>
  </si>
  <si>
    <t>Shankar</t>
  </si>
  <si>
    <t>Sweekrutha</t>
  </si>
  <si>
    <t>875 Sixth Avenue</t>
  </si>
  <si>
    <t>Suite #1810</t>
  </si>
  <si>
    <t>labor@shankarninan.com</t>
  </si>
  <si>
    <t xml:space="preserve">Shankar Ninan &amp; Co., LLP </t>
  </si>
  <si>
    <t xml:space="preserve">Pharmacy or Pharmaceutical Science </t>
  </si>
  <si>
    <t>Validation Engineers</t>
  </si>
  <si>
    <t xml:space="preserve">The individual will be traveling to any unanticipated client sites within the U.S. for temporary projects. 
Job Locations: 		
East Brunswick, NJ or unanticipated client sites within the U.S
Must be available to travel and relocate to client sites for temporary projects.
</t>
  </si>
  <si>
    <t>1831 N Lakewood Drive</t>
  </si>
  <si>
    <t>Labor Consultants International</t>
  </si>
  <si>
    <t>Nursery Worker</t>
  </si>
  <si>
    <t>Klein</t>
  </si>
  <si>
    <t>Sanders</t>
  </si>
  <si>
    <t>P-100-21137-319122</t>
  </si>
  <si>
    <t>Raimo</t>
  </si>
  <si>
    <t>1501 Hughes Way</t>
  </si>
  <si>
    <t>Long Beach</t>
  </si>
  <si>
    <t>traimo@erp-is.com</t>
  </si>
  <si>
    <t>ERP Integrated Solutions, LLC</t>
  </si>
  <si>
    <t>ShipERP</t>
  </si>
  <si>
    <t>Allen Binsfeld</t>
  </si>
  <si>
    <t>Misti</t>
  </si>
  <si>
    <t>790 Cleveland Ave S</t>
  </si>
  <si>
    <t>Ste 206</t>
  </si>
  <si>
    <t>St. Paul</t>
  </si>
  <si>
    <t>misti@binsfeldlaw.com</t>
  </si>
  <si>
    <t>Binsfeld Law Firm, PLLC</t>
  </si>
  <si>
    <t>ShipERP ABAP Developer</t>
  </si>
  <si>
    <t>Computer Science or related technical</t>
  </si>
  <si>
    <t>P-100-21168-406051</t>
  </si>
  <si>
    <t>13-1071.00</t>
  </si>
  <si>
    <t>800 NW 62nd Avenue,</t>
  </si>
  <si>
    <t>Hobe Sound</t>
  </si>
  <si>
    <t>Kitchen Helper</t>
  </si>
  <si>
    <t>Port St. Lucie, FL</t>
  </si>
  <si>
    <t>ins_us@oracle.com</t>
  </si>
  <si>
    <t>2300 ORACLE WAY</t>
  </si>
  <si>
    <t>sang.kim@balglobal.com</t>
  </si>
  <si>
    <t>Mohamed</t>
  </si>
  <si>
    <t>Upholsterers</t>
  </si>
  <si>
    <t>Secretary</t>
  </si>
  <si>
    <t>Glenn</t>
  </si>
  <si>
    <t>Visa U.S.A. Inc.</t>
  </si>
  <si>
    <t>BAYER</t>
  </si>
  <si>
    <t>See F.b.5.a(iv)</t>
  </si>
  <si>
    <t>COFFEY</t>
  </si>
  <si>
    <t xml:space="preserve">8414 FALLS OF NEUSE RD. </t>
  </si>
  <si>
    <t>SUITE 206</t>
  </si>
  <si>
    <t>JCOFFEY@CONSTANGY.COM</t>
  </si>
  <si>
    <t xml:space="preserve">FEDEX CORPORATE SERVICES, INC. </t>
  </si>
  <si>
    <t>CRODRIGUEZ@CONSTANGY.COM</t>
  </si>
  <si>
    <t>CONSTANGY, BROOKS, SMITH &amp; PROPHETE, LLP</t>
  </si>
  <si>
    <t xml:space="preserve">Lakeland </t>
  </si>
  <si>
    <t>Hess</t>
  </si>
  <si>
    <t>11-9051.00</t>
  </si>
  <si>
    <t>Food Service Managers</t>
  </si>
  <si>
    <t>Culver City</t>
  </si>
  <si>
    <t>Ste A</t>
  </si>
  <si>
    <t>P-400-21134-316268</t>
  </si>
  <si>
    <t>MARTIN</t>
  </si>
  <si>
    <t>KARRIE</t>
  </si>
  <si>
    <t>802 MERCURY AVENUE</t>
  </si>
  <si>
    <t>IDAHO FALLS</t>
  </si>
  <si>
    <t>KARRIE.BK@GMAIL.COM</t>
  </si>
  <si>
    <t>B&amp;K PROFESSIONAL SERVICES, INC.</t>
  </si>
  <si>
    <t>MAILING: PO BOX 51355 IDAHO FALLS, ID 83405</t>
  </si>
  <si>
    <t>kathleen@pesusa.com</t>
  </si>
  <si>
    <t>TRANSPORTATION PROVIDED FROM A CENTRAL LOCATION TO MULTIPLE WORKSITES WITHIN THE AREA OF INTENDED EMPLOYMENT.</t>
  </si>
  <si>
    <t>802 Mercury Avenue</t>
  </si>
  <si>
    <t>Idaho Falls</t>
  </si>
  <si>
    <t>Idaho Falls, ID</t>
  </si>
  <si>
    <t>Roberts</t>
  </si>
  <si>
    <t>Tabitha</t>
  </si>
  <si>
    <t xml:space="preserve">Sr. Immigration Specialist, Global Mobility Solutions </t>
  </si>
  <si>
    <t>tabitha.roberts@rockwellcollins.com</t>
  </si>
  <si>
    <t>Chula Vista</t>
  </si>
  <si>
    <t>Mirer</t>
  </si>
  <si>
    <t>jmirer@rc.com</t>
  </si>
  <si>
    <t>Cedar Rapids</t>
  </si>
  <si>
    <t>Rockwell Collins Inc.</t>
  </si>
  <si>
    <t>Collins Aerospace</t>
  </si>
  <si>
    <t>400 COLLINS RD NE</t>
  </si>
  <si>
    <t>Stone Cutters and Carvers, Manufacturing</t>
  </si>
  <si>
    <t>="Must have a Master’s Degree or foreign equivalent degree in Computer Science, Information Technology, Engineering or a related field and three years of experience in the development of TPF application utilizing TPF Assembler, TPFC/C++, TPFDF, TPFDFC, SP</t>
  </si>
  <si>
    <t> Periodic relocation and/or travel may be required to various unanticipated work sites in the U.S.</t>
  </si>
  <si>
    <t>Senior Product Marketing Manager</t>
  </si>
  <si>
    <t>Edwin</t>
  </si>
  <si>
    <t>Lashus</t>
  </si>
  <si>
    <t>3355 Bee Caves Rd</t>
  </si>
  <si>
    <t>Ste. 307</t>
  </si>
  <si>
    <t>3501 Gateway Blvd</t>
  </si>
  <si>
    <t>fenzhang@pony.ai</t>
  </si>
  <si>
    <t>PONY.AI, INC.</t>
  </si>
  <si>
    <t>Bian</t>
  </si>
  <si>
    <t>Fangming</t>
  </si>
  <si>
    <t>39120 Argonaut Way #805</t>
  </si>
  <si>
    <t>sue@bianlaw.com</t>
  </si>
  <si>
    <t>Bian Law, P.C.</t>
  </si>
  <si>
    <t>Tech Lead Manager</t>
  </si>
  <si>
    <t>DDS or DMD</t>
  </si>
  <si>
    <t>Murray</t>
  </si>
  <si>
    <t>47-1011.00</t>
  </si>
  <si>
    <t>909 Montgomery St</t>
  </si>
  <si>
    <t>tzedginidze@jackson-hertogs.com</t>
  </si>
  <si>
    <t>Hari</t>
  </si>
  <si>
    <t xml:space="preserve">Andrea </t>
  </si>
  <si>
    <t>30300 Agoura Rd., Suite B100</t>
  </si>
  <si>
    <t xml:space="preserve">Agoura Hills </t>
  </si>
  <si>
    <t xml:space="preserve">Global Immigration Partners </t>
  </si>
  <si>
    <t>Coeur d'Alene</t>
  </si>
  <si>
    <t>Cooks</t>
  </si>
  <si>
    <t>="Must be 18 due to served alcohol. Must show proof of legal authorization to work in the United States. Drug/alcohol/tobacco free work zone. Perform physical activities: such as lift, balance, walk, stoop, handle, position, move, manipulate materials use</t>
  </si>
  <si>
    <t>Tim</t>
  </si>
  <si>
    <t xml:space="preserve">900 HOPE WAY </t>
  </si>
  <si>
    <t xml:space="preserve">ALTAMONTE SPRINGS </t>
  </si>
  <si>
    <t>MARCELA.NISHI@AKERMAN.COM</t>
  </si>
  <si>
    <t xml:space="preserve">ORLANDO </t>
  </si>
  <si>
    <t>GAVICA PEREZ</t>
  </si>
  <si>
    <t xml:space="preserve">DENISE </t>
  </si>
  <si>
    <t xml:space="preserve">98 SE 7 STREET </t>
  </si>
  <si>
    <t xml:space="preserve">MIAMI </t>
  </si>
  <si>
    <t xml:space="preserve">AKERMAN LLP </t>
  </si>
  <si>
    <t>22nd Floor</t>
  </si>
  <si>
    <t>RUEMENAPP</t>
  </si>
  <si>
    <t>Frank</t>
  </si>
  <si>
    <t>NETWORK ENGINEER</t>
  </si>
  <si>
    <t>Greg</t>
  </si>
  <si>
    <t>Radnor</t>
  </si>
  <si>
    <t>Chino</t>
  </si>
  <si>
    <t xml:space="preserve">Robert </t>
  </si>
  <si>
    <t>P-100-21144-338938</t>
  </si>
  <si>
    <t>Franco</t>
  </si>
  <si>
    <t>Jackie</t>
  </si>
  <si>
    <t>30300 Agoura Road</t>
  </si>
  <si>
    <t>B140</t>
  </si>
  <si>
    <t>jackie.franco@mobileprogrammingllc.com</t>
  </si>
  <si>
    <t xml:space="preserve">Mobile Programming LLC </t>
  </si>
  <si>
    <t>30300 Agoura Rd , Suite B100</t>
  </si>
  <si>
    <t xml:space="preserve">RE: Mobile Programming LLC </t>
  </si>
  <si>
    <t>Sr. Vice President</t>
  </si>
  <si>
    <t>PLAITIS</t>
  </si>
  <si>
    <t>NIKI</t>
  </si>
  <si>
    <t>12600 harbour ridge blvd</t>
  </si>
  <si>
    <t>Laundry Attendant</t>
  </si>
  <si>
    <t>Laundry and Dry-Cleaning Workers</t>
  </si>
  <si>
    <t>Housekeeping Manager</t>
  </si>
  <si>
    <t>Nolan</t>
  </si>
  <si>
    <t>Martorell</t>
  </si>
  <si>
    <t>claudia@larrabee.com</t>
  </si>
  <si>
    <t>DISHWASHER</t>
  </si>
  <si>
    <t>3355 Bee Caves Rd.</t>
  </si>
  <si>
    <t>immigration@fisherbroyles.com</t>
  </si>
  <si>
    <t xml:space="preserve">FISHERBROYLES, LLP </t>
  </si>
  <si>
    <t>Warrenville</t>
  </si>
  <si>
    <t>P-100-21144-339527</t>
  </si>
  <si>
    <t>5 INDEPENDENCE WAY</t>
  </si>
  <si>
    <t>PRINCETON</t>
  </si>
  <si>
    <t>LAW OFFICE OF THOMAS V ALLEN, PLLC</t>
  </si>
  <si>
    <t>SCIENCE, COMPUTER APPLICATIONS, TECHNOLOGY, OR ENGINEERING (ANY FIELD)</t>
  </si>
  <si>
    <t>="Master’s degree in Science, Technology, Computer Applications, or Engineering (any field) with 1 year of experience in the job offered or related occupation is required. Bachelor’s degree in the above-mentioned fields along with 5 years of experience in</t>
  </si>
  <si>
    <t>SUITE # 414 &amp; Various unanticipated locations throughout the U.S</t>
  </si>
  <si>
    <t>Ramachandran</t>
  </si>
  <si>
    <t>2400 Meadowbrook Parkway</t>
  </si>
  <si>
    <t>Computer Science or a related field</t>
  </si>
  <si>
    <t>2400 MEADOWBROOK PARKWAY</t>
  </si>
  <si>
    <t>DULUTH</t>
  </si>
  <si>
    <t>P-100-21154-365197</t>
  </si>
  <si>
    <t>Nemali</t>
  </si>
  <si>
    <t>Madhuri</t>
  </si>
  <si>
    <t>Manager, Immigration Services</t>
  </si>
  <si>
    <t>One Park Place, Suite 600</t>
  </si>
  <si>
    <t>Madhuri.Nemali@Trinet.com</t>
  </si>
  <si>
    <t>TriNet USA, Inc.</t>
  </si>
  <si>
    <t>30300 Agoura Road, Suite B-100</t>
  </si>
  <si>
    <t>Re: TriNet USA, Inc.</t>
  </si>
  <si>
    <t>Sr. ServiceNow Engineer (Austin)</t>
  </si>
  <si>
    <t>="also contd. from F.2.a.
QUALIFIED CANDIDATES MUST ALSO HAVE DEMONSTRABLE KNOWLEDGE, EXPERIENCE, SKILL, AND PROFICIENCY WITH THE FOLLOWING:
1.EXPERIENCE OR DEMONSTRATED ABILITY TO WORK AS PART OF A TEAM OF ONSHORE AND OFFSHORE DEVELOPERS.
2.WEB TECHNOLO</t>
  </si>
  <si>
    <t>="QUALIFIED CANDIDATES MUST ALSO HAVE DEMONSTRABLE KNOWLEDGE, EXPERIENCE, SKILL, AND PROFICIENCY WITH THE FOLLOWING:
1.EXPERIENCE OR DEMONSTRATED ABILITY TO WORK AS PART OF A TEAM OF ONSHORE AND OFFSHORE DEVELOPERS.
2.WEB TECHNOLOGIES INCLUDING HTML, CSS,</t>
  </si>
  <si>
    <t>Sr. Manager TSO Process and Projects</t>
  </si>
  <si>
    <t xml:space="preserve">DOMESTIC TRAVEL MAY BE REQUIRED UP TO 10% OF THE TIME FOR TEAM MEETINGS. NO TELECOMMUTING.
</t>
  </si>
  <si>
    <t>12331-B Riata Trace Pkwy, Bldg. 4, Suite 300</t>
  </si>
  <si>
    <t xml:space="preserve">Austin </t>
  </si>
  <si>
    <t>Professor and Chair</t>
  </si>
  <si>
    <t>Denton</t>
  </si>
  <si>
    <t>Mijal</t>
  </si>
  <si>
    <t>Mara</t>
  </si>
  <si>
    <t>Schulzetenberg</t>
  </si>
  <si>
    <t>One Columbus Center</t>
  </si>
  <si>
    <t>Suite 619</t>
  </si>
  <si>
    <t>Virginia Beach</t>
  </si>
  <si>
    <t>mara@smimmigrationlaw.com</t>
  </si>
  <si>
    <t>Serratelli Mijal PLLC</t>
  </si>
  <si>
    <t>Ocean City</t>
  </si>
  <si>
    <t>Kriezelman</t>
  </si>
  <si>
    <t>200 W Adams Street</t>
  </si>
  <si>
    <t>Suite 2211</t>
  </si>
  <si>
    <t>mkriezel@krilaw.com</t>
  </si>
  <si>
    <t>Kriezelman Burton &amp; Associates, LLC</t>
  </si>
  <si>
    <t>Any</t>
  </si>
  <si>
    <t>Vero Beach</t>
  </si>
  <si>
    <t>CAROL</t>
  </si>
  <si>
    <t>MARIA</t>
  </si>
  <si>
    <t>Suite 8</t>
  </si>
  <si>
    <t>Occupational Therapists</t>
  </si>
  <si>
    <t>BASHYAM</t>
  </si>
  <si>
    <t>MURALI</t>
  </si>
  <si>
    <t>P O BOX 2477</t>
  </si>
  <si>
    <t>MURALI@BASHYAMSHAH.COM</t>
  </si>
  <si>
    <t>Bashyam Shah LLP</t>
  </si>
  <si>
    <t>P-400-21127-295996</t>
  </si>
  <si>
    <t>2077 North Frontage Road West Suite 111 Vail, Co. (physical)</t>
  </si>
  <si>
    <t>Liquidated LLC</t>
  </si>
  <si>
    <t>Base Camp Bar and Grill</t>
  </si>
  <si>
    <t>73 Wood Road, Snowmass Village, Co. 81615</t>
  </si>
  <si>
    <t>PO Box 6545, Snowmass Village, Co. 81615</t>
  </si>
  <si>
    <t>Snowmass Village</t>
  </si>
  <si>
    <t>2077 North Frontage Road West Suite 111 Vail, Co. 81658 (pys</t>
  </si>
  <si>
    <t>PO Box 3487 Vail, Co. 81658</t>
  </si>
  <si>
    <t>Restaurant Supervisor</t>
  </si>
  <si>
    <t>35-2021.00; 35-3031.00; 35-9011.00</t>
  </si>
  <si>
    <t>Dining Room and Cafeteria Attendants and Bartender Helpers; Food Preparation Workers; Waiters and Waitresses</t>
  </si>
  <si>
    <t>Travel will be required between the 4 restaurant locations in Snowmass Village, Colorado. Employer will provide all required transportation.</t>
  </si>
  <si>
    <t>73 Wood Road</t>
  </si>
  <si>
    <t>BROCATO</t>
  </si>
  <si>
    <t>BOUDREAU</t>
  </si>
  <si>
    <t>501 BOYLSTON STREET</t>
  </si>
  <si>
    <t>nicole.boudreaubrocato@savvas.com</t>
  </si>
  <si>
    <t>Savvas Learning Company LLC,</t>
  </si>
  <si>
    <t>formerly known as Pearson K12 Learning LLC</t>
  </si>
  <si>
    <t>15 E. Midland Avenue</t>
  </si>
  <si>
    <t>Paramus</t>
  </si>
  <si>
    <t>LOWE</t>
  </si>
  <si>
    <t>SHIN-I</t>
  </si>
  <si>
    <t>SHIAO</t>
  </si>
  <si>
    <t>SUITE 2700</t>
  </si>
  <si>
    <t>SLOWE@LITTLER.COM</t>
  </si>
  <si>
    <t>LITTLER MENDELSON, P.C.</t>
  </si>
  <si>
    <t>SUITE 350</t>
  </si>
  <si>
    <t>L'ESPERANCE</t>
  </si>
  <si>
    <t>BOCA RATON</t>
  </si>
  <si>
    <t>KNWEST@DUANEMORRIS.COM</t>
  </si>
  <si>
    <t>DUANE MORRIS LLP</t>
  </si>
  <si>
    <t>May require to travel/telecommute.</t>
  </si>
  <si>
    <t>Tran</t>
  </si>
  <si>
    <t>Hans</t>
  </si>
  <si>
    <t>47-2061.00</t>
  </si>
  <si>
    <t>Mendoza</t>
  </si>
  <si>
    <t>="The Petitioner will consider for employment any person who possesses at least six (6) months of service experience in a fine-dining or high-volume environment at a high-end restaurant, resort, or private club. Applicant must complete pre-employment back</t>
  </si>
  <si>
    <t>P-200-21175-423795</t>
  </si>
  <si>
    <t xml:space="preserve">Human Resources - Immigration Specialist </t>
  </si>
  <si>
    <t>Turner &amp; Townsend, Inc.</t>
  </si>
  <si>
    <t xml:space="preserve">475 Park Avenue South </t>
  </si>
  <si>
    <t xml:space="preserve">Data Analyst (Business Intelligence Consultant) </t>
  </si>
  <si>
    <t xml:space="preserve">15731 NE 105th Court </t>
  </si>
  <si>
    <t>P-100-21127-294493</t>
  </si>
  <si>
    <t>Tseng</t>
  </si>
  <si>
    <t>2060 Huntington Dr.</t>
  </si>
  <si>
    <t>San Marino</t>
  </si>
  <si>
    <t>justintseng@gmail.com</t>
  </si>
  <si>
    <t>Diamond Wipes International, Inc.</t>
  </si>
  <si>
    <t>4651 Schaefer Ave.</t>
  </si>
  <si>
    <t>Law Offices of Justin Tseng</t>
  </si>
  <si>
    <t>Database Administrator</t>
  </si>
  <si>
    <t>Cyber Security Engineering</t>
  </si>
  <si>
    <t>Collierville</t>
  </si>
  <si>
    <t>Purchasing Managers</t>
  </si>
  <si>
    <t>1600 Sacramento Inn Way</t>
  </si>
  <si>
    <t>P-100-21145-341306</t>
  </si>
  <si>
    <t xml:space="preserve">TriNet USA, Inc. </t>
  </si>
  <si>
    <t xml:space="preserve">="Qualified candidates must also have demonstrable knowledge, experience, skill, and proficiency with the following:
1.	Experience or demonstrated ability to work as part of a team of onshore and offshore developers. 
2.	Web technologies including HTML, </t>
  </si>
  <si>
    <t>Domestic travel may be required up to 10% of the time for team meetings.  No telecommuting.</t>
  </si>
  <si>
    <t>P-100-21168-405992</t>
  </si>
  <si>
    <t>Osenga</t>
  </si>
  <si>
    <t xml:space="preserve">477 Coy Blvd </t>
  </si>
  <si>
    <t xml:space="preserve">Forsyth </t>
  </si>
  <si>
    <t>forsythadmin@socket.net</t>
  </si>
  <si>
    <t>Forsyth Manor, Inc</t>
  </si>
  <si>
    <t xml:space="preserve">Forsyth Care Center </t>
  </si>
  <si>
    <t>477 Coy Blvd</t>
  </si>
  <si>
    <t xml:space="preserve">4320 Winfield Road </t>
  </si>
  <si>
    <t>P-100-21160-382061</t>
  </si>
  <si>
    <t xml:space="preserve">Tokareva </t>
  </si>
  <si>
    <t>Julia</t>
  </si>
  <si>
    <t>Suite 3002</t>
  </si>
  <si>
    <t>Julia.Tokareva@Ltts.com</t>
  </si>
  <si>
    <t>L&amp;T TECHNOLOGY SERVICES LIMITED</t>
  </si>
  <si>
    <t xml:space="preserve">Test Engineer </t>
  </si>
  <si>
    <t xml:space="preserve">Computer Science, Engineering, or any related field.  </t>
  </si>
  <si>
    <t>SUITE # 3002</t>
  </si>
  <si>
    <t>Sheppard</t>
  </si>
  <si>
    <t>dsheppard@higgslaw.com</t>
  </si>
  <si>
    <t>P-400-21153-363393</t>
  </si>
  <si>
    <t>Elsperman</t>
  </si>
  <si>
    <t>Heidi</t>
  </si>
  <si>
    <t>Co-Owner</t>
  </si>
  <si>
    <t>3350 SW Deggeller Court</t>
  </si>
  <si>
    <t>heidisuperior@gmail.com</t>
  </si>
  <si>
    <t>Superior Midway Games, LLC</t>
  </si>
  <si>
    <t>Yanoska</t>
  </si>
  <si>
    <t>Sr. Manager Global Staffing &amp; Mobility</t>
  </si>
  <si>
    <t>4650 Cushing Parkway</t>
  </si>
  <si>
    <t>ca_lam.immigration@pwc.com</t>
  </si>
  <si>
    <t xml:space="preserve">Lam Research Corporation </t>
  </si>
  <si>
    <t>Matkin</t>
  </si>
  <si>
    <t>Director, Development</t>
  </si>
  <si>
    <t>Sr. Director of Human Resources</t>
  </si>
  <si>
    <t xml:space="preserve">Sr. Vice President, Regional Director </t>
  </si>
  <si>
    <t>13-2052.00</t>
  </si>
  <si>
    <t>Business Administration or Finance</t>
  </si>
  <si>
    <t>P-100-21141-333133</t>
  </si>
  <si>
    <t>Jethi</t>
  </si>
  <si>
    <t>Mishita</t>
  </si>
  <si>
    <t>2020 US MBD/TRS: Mercer/ Garter Benchmark Database Survey</t>
  </si>
  <si>
    <t>SEE FIELD F.5.B.A</t>
  </si>
  <si>
    <t>="CONTINUED FROM F.B.1.B: Bachelor’s degree (U.S. or foreign equivalent) in Computer Science, Computer Engineering, Computer Information Systems, Information technology or a related field.
CONTINUED FROM F.B.4.B: Four (4) years of experience in the job o</t>
  </si>
  <si>
    <t>CARMEN</t>
  </si>
  <si>
    <t>16122 OPAL CREEK DR</t>
  </si>
  <si>
    <t>WESTON</t>
  </si>
  <si>
    <t>servicesintegralpq@gmail.com</t>
  </si>
  <si>
    <t>Receptionists and Information Clerks</t>
  </si>
  <si>
    <t>Wade</t>
  </si>
  <si>
    <t>Jerry</t>
  </si>
  <si>
    <t>Doug</t>
  </si>
  <si>
    <t>Arcadia</t>
  </si>
  <si>
    <t>P.O. Box 17414</t>
  </si>
  <si>
    <t>Thoroughbred Racehorse Groom</t>
  </si>
  <si>
    <t>Lakeland</t>
  </si>
  <si>
    <t>Delligatti</t>
  </si>
  <si>
    <t>Senior Corporate HR Manager</t>
  </si>
  <si>
    <t>300 Kimball Drive</t>
  </si>
  <si>
    <t>vdelligatti@Langan.com</t>
  </si>
  <si>
    <t>Langan Engineering, D.P.C.</t>
  </si>
  <si>
    <t>21 Penn Plaza</t>
  </si>
  <si>
    <t>360 West 31st Street, 8th Floor</t>
  </si>
  <si>
    <t>190 N. Independence Mall West</t>
  </si>
  <si>
    <t>nsimon@LHSCimmigration.com</t>
  </si>
  <si>
    <t>Willis Towers Watson: Middle Management, Professional, and Support Compensation Survey</t>
  </si>
  <si>
    <t>Civil or Geotechnical Engineering</t>
  </si>
  <si>
    <t>="Requires a Bachelor’s degree or higher in Civil or Geotechnical Engineering, as well as at least 3 years of engineering experience with: earthwork construction activities; identifying and implementing field and lab work solutions; monitoring conformance</t>
  </si>
  <si>
    <t>P-400-21140-330267</t>
  </si>
  <si>
    <t>3219 Kane Rd</t>
  </si>
  <si>
    <t>Aliquippa</t>
  </si>
  <si>
    <t>Brian's Grass Cutting, Landscaping &amp; Snow Removal</t>
  </si>
  <si>
    <t>Grounds/Maintenance Specialist</t>
  </si>
  <si>
    <t>3219 Kane Road,</t>
  </si>
  <si>
    <t xml:space="preserve">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The wage entered in item G.4 reflects the area of intended employment entered in F.e.4 and F.e.5.
</t>
  </si>
  <si>
    <t>Pablo</t>
  </si>
  <si>
    <t>Suite 810</t>
  </si>
  <si>
    <t>P-400-21130-298502</t>
  </si>
  <si>
    <t>Irrigation Technician</t>
  </si>
  <si>
    <t>CEMENT MASON</t>
  </si>
  <si>
    <t>Cement Masons and Concrete Finishers</t>
  </si>
  <si>
    <t>10TH FLOOR</t>
  </si>
  <si>
    <t>Wallace Underwood</t>
  </si>
  <si>
    <t>Senior Immigration Case Manager</t>
  </si>
  <si>
    <t>3039 Cornwallis Road</t>
  </si>
  <si>
    <t>grace.bianca.chamisse.wallace@ibm.com</t>
  </si>
  <si>
    <t>Armonk</t>
  </si>
  <si>
    <t>888 Baldwin Drive</t>
  </si>
  <si>
    <t>Westbury</t>
  </si>
  <si>
    <t>U.S. Americans Inc</t>
  </si>
  <si>
    <t>LANDSCAPE LABORER</t>
  </si>
  <si>
    <t>FOREMAN</t>
  </si>
  <si>
    <t>Computer Science, Engineering or related</t>
  </si>
  <si>
    <t>1540 Broadway</t>
  </si>
  <si>
    <t>Duane Morris LLP</t>
  </si>
  <si>
    <t>BENCHETRIT</t>
  </si>
  <si>
    <t>12 Christopher Way</t>
  </si>
  <si>
    <t>Eatontown</t>
  </si>
  <si>
    <t>mbenchetrit@BHLG.COM</t>
  </si>
  <si>
    <t>Ben Hamou Benchetrit Law Group LLC</t>
  </si>
  <si>
    <t>Assistant Director of Human Resources</t>
  </si>
  <si>
    <t xml:space="preserve">SAJI </t>
  </si>
  <si>
    <t xml:space="preserve">IMMIGRATION MANAGER </t>
  </si>
  <si>
    <t xml:space="preserve">SUITE 1100 </t>
  </si>
  <si>
    <t xml:space="preserve">902 INSPIRATION AVE </t>
  </si>
  <si>
    <t>Huang</t>
  </si>
  <si>
    <t>SEAimmigration@perkinscoie.com</t>
  </si>
  <si>
    <t>Perkins Coie LLP</t>
  </si>
  <si>
    <t>Hanavan</t>
  </si>
  <si>
    <t>HR Compliance Consultant</t>
  </si>
  <si>
    <t>3055 Oak Road</t>
  </si>
  <si>
    <t>Walnut Creek</t>
  </si>
  <si>
    <t>PATRICK.HANAVAN1@CSAA.COM</t>
  </si>
  <si>
    <t>CSAA Insurance Services, Inc.</t>
  </si>
  <si>
    <t>Jing</t>
  </si>
  <si>
    <t>550 Montgomery Street</t>
  </si>
  <si>
    <t>jpeng@wsmimmigration.com</t>
  </si>
  <si>
    <t>Weaver Schlenger LLP</t>
  </si>
  <si>
    <t>Glendale</t>
  </si>
  <si>
    <t>Gutierrez</t>
  </si>
  <si>
    <t>Doty</t>
  </si>
  <si>
    <t>HCM Operations Manager</t>
  </si>
  <si>
    <t>1390 Ridgeview Drive</t>
  </si>
  <si>
    <t>patricia.doty@cai.io</t>
  </si>
  <si>
    <t>Computer Aid, Inc.</t>
  </si>
  <si>
    <t xml:space="preserve">1390 Ridgeview Dr. </t>
  </si>
  <si>
    <t>Rajan</t>
  </si>
  <si>
    <t xml:space="preserve">Fremont </t>
  </si>
  <si>
    <t>Food Service Worker</t>
  </si>
  <si>
    <t>Kenneth</t>
  </si>
  <si>
    <t>Wagner</t>
  </si>
  <si>
    <t>Tower 3, Suite 900</t>
  </si>
  <si>
    <t>Alewelt</t>
  </si>
  <si>
    <t>Compliance Manager</t>
  </si>
  <si>
    <t>18358 County Hwy D-20</t>
  </si>
  <si>
    <t>Alden</t>
  </si>
  <si>
    <t>Blake@aleweltconcrete.com</t>
  </si>
  <si>
    <t>Alewelt Services, Inc.</t>
  </si>
  <si>
    <t>18356 County Highway D20</t>
  </si>
  <si>
    <t xml:space="preserve">="Must be able to lift and carry 75lbs/75yds. One month of aluminum wall-form setter experience required. Employer reserves the right after employment to ask any employee at the employer's expense to take a blood or urine test to determine whether he/she </t>
  </si>
  <si>
    <t>Crew Leader</t>
  </si>
  <si>
    <t>DAILY TRAVEL TO WORKSITES IN THE AREA OF INTENDED EMPLOYMENT IS REQUIRED. EMPLOYER WILL PROVIDE TRANSPORTATION TO AND FROM ALL WORKSITES AT NO COST.</t>
  </si>
  <si>
    <t>P-400-21140-331299</t>
  </si>
  <si>
    <t>LUCCHESI</t>
  </si>
  <si>
    <t>PABLO</t>
  </si>
  <si>
    <t>MANAGING PARTNER</t>
  </si>
  <si>
    <t>3235 NW 62 ST</t>
  </si>
  <si>
    <t>lucchesi@crownlinen.net</t>
  </si>
  <si>
    <t>CROWN LINEN, LLC</t>
  </si>
  <si>
    <t xml:space="preserve">Laundry Production Operator </t>
  </si>
  <si>
    <t>Solana Beach</t>
  </si>
  <si>
    <t>First-Line Supervisors of Farming, Fishing, and Forestry Workers</t>
  </si>
  <si>
    <t>SUITE 305</t>
  </si>
  <si>
    <t>Glen</t>
  </si>
  <si>
    <t>Suite 106</t>
  </si>
  <si>
    <t>Business Development Specialist</t>
  </si>
  <si>
    <t>Sophia</t>
  </si>
  <si>
    <t>675 N 1st St  Ste 1050</t>
  </si>
  <si>
    <t>P-100-21175-424629</t>
  </si>
  <si>
    <t>HR Manager - Crime Lord</t>
  </si>
  <si>
    <t>5 Murder Road</t>
  </si>
  <si>
    <t>55 Sunshine Road</t>
  </si>
  <si>
    <t>*Please see Box F.b.5</t>
  </si>
  <si>
    <t>="From boxes F.b.1.b and F.b.4.b: Minimum Requirements: Bachelor’s Degree in Electrical Engineering or related field; or foreign degree equivalent plus 5 years of experience in Testing, Inspection and Certification (TIC).
Must have: Engineering experienc</t>
  </si>
  <si>
    <t>Lam</t>
  </si>
  <si>
    <t>708 N. Fielder Road</t>
  </si>
  <si>
    <t>hlam@farmersagent.com</t>
  </si>
  <si>
    <t>Taylor Lam Insurance Agency, Inc.</t>
  </si>
  <si>
    <t>Administrative Specialist</t>
  </si>
  <si>
    <t>Bruce</t>
  </si>
  <si>
    <t>yan.li2@morganlewis.com</t>
  </si>
  <si>
    <t>Bord</t>
  </si>
  <si>
    <t>1111 Pennsylvania Ave NW</t>
  </si>
  <si>
    <t>eric.bord@morganlewis.com</t>
  </si>
  <si>
    <t>Nicholas</t>
  </si>
  <si>
    <t>Transportation Engineers</t>
  </si>
  <si>
    <t>ALEX</t>
  </si>
  <si>
    <t>Counter Attendants, Cafeteria, Food Concession, and Coffee Shop</t>
  </si>
  <si>
    <t>Manager, Operations Consulting</t>
  </si>
  <si>
    <t>15-2031.00</t>
  </si>
  <si>
    <t>601 South Figueroa Street</t>
  </si>
  <si>
    <t>P-100-21158-375236</t>
  </si>
  <si>
    <t>Senior Manager, Identity and Access Management</t>
  </si>
  <si>
    <t>15-1122.00</t>
  </si>
  <si>
    <t>Computer Science, Engineering, Business Administration, or a related field.</t>
  </si>
  <si>
    <t>="Minimum Requirements: 
Must have a Bachelor’s degree or foreign equivalent in Computer Science, Engineering, Business Administration, or a related field, plus 6 years of post-bachelor, progressive, related work experience; OR a Master’s degree of foreig</t>
  </si>
  <si>
    <t>1000 Louisiana Street</t>
  </si>
  <si>
    <t>Tang</t>
  </si>
  <si>
    <t>Director Software Engineering</t>
  </si>
  <si>
    <t>Chehrazi (#85667)</t>
  </si>
  <si>
    <t>Atessa</t>
  </si>
  <si>
    <t xml:space="preserve">Data Analyst </t>
  </si>
  <si>
    <t>Master’s degree or foreign equivalent in Computer Science, Electrical/Electronics/Data Engineering, Math, Physics, Economics, or related field</t>
  </si>
  <si>
    <t xml:space="preserve">="Must have academic training, coursework, or work experience in the following: 1) A|B test design; 2) Exploring, retrieving, and transforming data from high volume data warehouses; 3) Statistical distributions and predictive modeling techniques; 4) SQL; </t>
  </si>
  <si>
    <t>Bachelor’s degree or foreign equivalent in Comp. Sci., Electrical/Electronics/Data Engg., Math, Physics, Economics, or rel. field, and 1 year of exp. as Data Analyst, Data Science Intern, or rel.</t>
  </si>
  <si>
    <t>119 West 40th Street</t>
  </si>
  <si>
    <t>Gary</t>
  </si>
  <si>
    <t>Graham</t>
  </si>
  <si>
    <t>2801 Via Fortuna</t>
  </si>
  <si>
    <t>Kendra</t>
  </si>
  <si>
    <t>2215 Millennium Way</t>
  </si>
  <si>
    <t>Enola</t>
  </si>
  <si>
    <t>Law Offices of Kendra S. Elliott, Esq.</t>
  </si>
  <si>
    <t>Madison</t>
  </si>
  <si>
    <t>Bethlehem</t>
  </si>
  <si>
    <t>Company President</t>
  </si>
  <si>
    <t>shifflett1129@maslabor.com</t>
  </si>
  <si>
    <t>="Must lift/carry 50 lbs., when necessary.  Saturday and Sunday work required, when necessary.  Employer-paid drug testing required of foreign and domestic workers prior to commencing work and post-hire at random, upon suspicion of use, and post-accident.</t>
  </si>
  <si>
    <t>Rangel</t>
  </si>
  <si>
    <t>Agustin</t>
  </si>
  <si>
    <t>4606 37th Avenue NW</t>
  </si>
  <si>
    <t>Mandan</t>
  </si>
  <si>
    <t>SAIR CONCRETE, LLC</t>
  </si>
  <si>
    <t>DRYWALL INSTALLER</t>
  </si>
  <si>
    <t>Drywall and Ceiling Tile Installers</t>
  </si>
  <si>
    <t>2000 NE Coronado Drive</t>
  </si>
  <si>
    <t>Blue Springs</t>
  </si>
  <si>
    <t>VP, People</t>
  </si>
  <si>
    <t xml:space="preserve">Travel required up to 80%. </t>
  </si>
  <si>
    <t>Executive Director</t>
  </si>
  <si>
    <t>P-100-21144-338969</t>
  </si>
  <si>
    <t>ABAL TECHNOLOGIES INC.</t>
  </si>
  <si>
    <t>3525 QUAKERBRIDGE ROAD</t>
  </si>
  <si>
    <t>SUITE # 1100</t>
  </si>
  <si>
    <t>SCIENCE, TECHNOLOGY, COMPUTER APPLICATIONS, OR ENGINEERING (ANY FIELD)</t>
  </si>
  <si>
    <t>="Master's degree in Science, Technology, Computer Applications, or Engineering (any field) with 12 months of experience in job offered or related occupation is required. Bachelor's degree in the above fields along with 5 years of experience in job offere</t>
  </si>
  <si>
    <t>3525 Quakerbridge Road</t>
  </si>
  <si>
    <t>Suite # 1100 &amp; Various unanticipated locations throughout the U.S.</t>
  </si>
  <si>
    <t>smonty@montyramirezlaw.com</t>
  </si>
  <si>
    <t>2142 Boyce St., Suite 401</t>
  </si>
  <si>
    <t>Medina</t>
  </si>
  <si>
    <t>Mentor</t>
  </si>
  <si>
    <t>ROSE</t>
  </si>
  <si>
    <t>Internists, General</t>
  </si>
  <si>
    <t>Computer Science, Information Technology, Engineering or related field</t>
  </si>
  <si>
    <t>samantha.wolfe@ogletree.com</t>
  </si>
  <si>
    <t>Wolfe</t>
  </si>
  <si>
    <t>JESSICA</t>
  </si>
  <si>
    <t>Cheng</t>
  </si>
  <si>
    <t>850 N Shoreline Blvd</t>
  </si>
  <si>
    <t>XMOTORS.AI, INC.</t>
  </si>
  <si>
    <t>Zhenchao</t>
  </si>
  <si>
    <t xml:space="preserve">2070 Business Center Drive </t>
  </si>
  <si>
    <t>jhuang@huimmigration.com</t>
  </si>
  <si>
    <t>Law Office of Xiaomin Hu, P.C.</t>
  </si>
  <si>
    <t>Bailey</t>
  </si>
  <si>
    <t>Beers</t>
  </si>
  <si>
    <t>Bill</t>
  </si>
  <si>
    <t>ST. LOUIS</t>
  </si>
  <si>
    <t>Lead Software Developer</t>
  </si>
  <si>
    <t>="Six (6) years of progressively responsible experience in the job offered or related occupation: utilizing COBOL, DB2, CICS, VSAM, and Endeavor to ensure quality code is delivered; utilizing OPC to schedule and run jobs to execute installed code; and man</t>
  </si>
  <si>
    <t>Senior Manager Software Engineering</t>
  </si>
  <si>
    <t>17925 Sun Park Drive</t>
  </si>
  <si>
    <t>Westfield</t>
  </si>
  <si>
    <t>Hosts and Hostesses, Restaurant, Lounge, and Coffee Shop</t>
  </si>
  <si>
    <t>Gregory</t>
  </si>
  <si>
    <t>heilmann1139@maslabor.com</t>
  </si>
  <si>
    <t>5080 Spectrum Drive, Suite 850W</t>
  </si>
  <si>
    <t>ptayloriv@fragomen.com</t>
  </si>
  <si>
    <t>HR Representative</t>
  </si>
  <si>
    <t>2400 N. Glenville Dr.</t>
  </si>
  <si>
    <t>Lakewood</t>
  </si>
  <si>
    <t>2200 Pennsylvania Avenue NW</t>
  </si>
  <si>
    <t>Hunton Andrews Kurth LLP</t>
  </si>
  <si>
    <t>MEMPHIS</t>
  </si>
  <si>
    <t>17-2051.00</t>
  </si>
  <si>
    <t>Computer Science, Computer Engineering, Information Technology, or related field</t>
  </si>
  <si>
    <t>Caregiver</t>
  </si>
  <si>
    <t>Epidemiologists</t>
  </si>
  <si>
    <t>P-100-21156-372343</t>
  </si>
  <si>
    <t>Northport</t>
  </si>
  <si>
    <t xml:space="preserve">Computer Science, Computer Engineering or related field </t>
  </si>
  <si>
    <t>Senior Software Development Engineer</t>
  </si>
  <si>
    <t>P-100-21161-384915</t>
  </si>
  <si>
    <t>Selma</t>
  </si>
  <si>
    <t>DENISE</t>
  </si>
  <si>
    <t xml:space="preserve">Hu </t>
  </si>
  <si>
    <t>Xiaomin</t>
  </si>
  <si>
    <t>2070 Business Center Drive</t>
  </si>
  <si>
    <t>xhu@huimmigration.com</t>
  </si>
  <si>
    <t>P-100-21168-407339</t>
  </si>
  <si>
    <t>PARTNER</t>
  </si>
  <si>
    <t>1875 CORPORATE CENTER DRIVE</t>
  </si>
  <si>
    <t>DPS GROUP, INC</t>
  </si>
  <si>
    <t>959 CONCORD STREET</t>
  </si>
  <si>
    <t>FRAMINGTON</t>
  </si>
  <si>
    <t>knwest@duanemorris.com</t>
  </si>
  <si>
    <t>Bachelor’s degree or equivalent in Mechanical Engineering, Process Engineering, Engineering Management or related technical field.</t>
  </si>
  <si>
    <t>="Experience must include: 1) Primavara P6 Scheduling, 2) BIM Navisworks &amp; AutoCAD, 3) P&amp;ID and SOO interpretation, 4) LEAN yellow belt training, 5) Adobe Pro,  6) MEWP Certification and inspection, 7)  Pressure testing and leak checking of mechanical sys</t>
  </si>
  <si>
    <t>1915 NE Stucki Avenue</t>
  </si>
  <si>
    <t>11501 Alterra Parkway</t>
  </si>
  <si>
    <t>Carey</t>
  </si>
  <si>
    <t>Orangeburg</t>
  </si>
  <si>
    <t>Medical Secretaries</t>
  </si>
  <si>
    <t>P-100-21161-387040</t>
  </si>
  <si>
    <t>The Wayne Center for Nursing &amp; Rehabilitation</t>
  </si>
  <si>
    <t>3530 Wayne Avenue</t>
  </si>
  <si>
    <t>Bronx</t>
  </si>
  <si>
    <t>Agarwal</t>
  </si>
  <si>
    <t>amit.agarwal@smallboard.com</t>
  </si>
  <si>
    <t>Smallboard.com</t>
  </si>
  <si>
    <t>30 S. San Gabriel Blvd.</t>
  </si>
  <si>
    <t>Nadadur</t>
  </si>
  <si>
    <t>Law Offices of Nadadur S. Kumar</t>
  </si>
  <si>
    <t>Fialkowski</t>
  </si>
  <si>
    <t>Key Largo</t>
  </si>
  <si>
    <t>Graphic Designer</t>
  </si>
  <si>
    <t>27-2022.00</t>
  </si>
  <si>
    <t>Mindy</t>
  </si>
  <si>
    <t>P-100-21154-365496</t>
  </si>
  <si>
    <t>Gosia</t>
  </si>
  <si>
    <t>Director, HR Operations</t>
  </si>
  <si>
    <t>1250 24th St NW</t>
  </si>
  <si>
    <t>gosia.george@wwfus.org</t>
  </si>
  <si>
    <t>World Wildlife Fund US</t>
  </si>
  <si>
    <t>1250 24th Street NW</t>
  </si>
  <si>
    <t>Hoffman</t>
  </si>
  <si>
    <t>919 18th St NW</t>
  </si>
  <si>
    <t>martina@hoffmanvisalaw.com</t>
  </si>
  <si>
    <t>Law Office of Linda Hoffman PC</t>
  </si>
  <si>
    <t xml:space="preserve">Ombudsperson </t>
  </si>
  <si>
    <t>23-1022.00</t>
  </si>
  <si>
    <t>Arbitrators, Mediators, and Conciliators</t>
  </si>
  <si>
    <t>J.D.</t>
  </si>
  <si>
    <t>The President, WWF International Board</t>
  </si>
  <si>
    <t xml:space="preserve">Overseas travel 20%. </t>
  </si>
  <si>
    <t>QUAN LAW GROUP, PLLC</t>
  </si>
  <si>
    <t>JEONG</t>
  </si>
  <si>
    <t>CHIEF FINANCIAL OFFICER</t>
  </si>
  <si>
    <t>FORT LEE</t>
  </si>
  <si>
    <t>2901 Bucks Bayou Rd</t>
  </si>
  <si>
    <t>Daily transportation will be provided from a central location to and from worksites.</t>
  </si>
  <si>
    <t>P-400-21150-356242</t>
  </si>
  <si>
    <t>KING</t>
  </si>
  <si>
    <t>DWIGHT</t>
  </si>
  <si>
    <t>199 MARINER DRIVE</t>
  </si>
  <si>
    <t>SUITE 2</t>
  </si>
  <si>
    <t>SOUTHAMPTON</t>
  </si>
  <si>
    <t xml:space="preserve">KING &amp; CO LANDSCAPE CONTRACTORS INC </t>
  </si>
  <si>
    <t xml:space="preserve">MULTIPLE SITES IN SUFFOLK COUNTY
</t>
  </si>
  <si>
    <t>JOSE</t>
  </si>
  <si>
    <t>STONEMASON</t>
  </si>
  <si>
    <t>Stonemasons</t>
  </si>
  <si>
    <t>Grapevine</t>
  </si>
  <si>
    <t>Computer Science, Engineering, or a related field</t>
  </si>
  <si>
    <t>Caharian</t>
  </si>
  <si>
    <t>309 N. Pastoria Ave.</t>
  </si>
  <si>
    <t>john.caharian@daimler.com</t>
  </si>
  <si>
    <t>mercedes@cipllp.com</t>
  </si>
  <si>
    <t>1201 Western Ave.</t>
  </si>
  <si>
    <t>Fisher</t>
  </si>
  <si>
    <t>Hader</t>
  </si>
  <si>
    <t>100 North Tryon Street</t>
  </si>
  <si>
    <t>Suite 4700</t>
  </si>
  <si>
    <t>P-400-21134-315695</t>
  </si>
  <si>
    <t xml:space="preserve">Timothy </t>
  </si>
  <si>
    <t>General Manager/COO</t>
  </si>
  <si>
    <t>2100 Winding Oaks Way</t>
  </si>
  <si>
    <t>TJones@stonebridgecountryclub.com</t>
  </si>
  <si>
    <t>Stonebridge Country Club Community Association, Inc.</t>
  </si>
  <si>
    <t>="The Petitioner will consider for employment any person who possesses at least  six (6) months of service experience in a fine-dining or high-volume environment at a high-end restaurant, resort, or private club.  Applicant must complete pre-employment ba</t>
  </si>
  <si>
    <t>Food and Beverage Service Manager</t>
  </si>
  <si>
    <t xml:space="preserve">J. </t>
  </si>
  <si>
    <t>Clergy</t>
  </si>
  <si>
    <t>Trainor</t>
  </si>
  <si>
    <t>Tulley</t>
  </si>
  <si>
    <t>2945 Townsgate Road</t>
  </si>
  <si>
    <t>info@ailc.com</t>
  </si>
  <si>
    <t>Law Office of Clark T Trainor</t>
  </si>
  <si>
    <t>Crew Member</t>
  </si>
  <si>
    <t xml:space="preserve">Jensen </t>
  </si>
  <si>
    <t xml:space="preserve">Kimberlie </t>
  </si>
  <si>
    <t xml:space="preserve">Senior Advisor, Global Mobility – Atlantic Region </t>
  </si>
  <si>
    <t xml:space="preserve">4700  Daybreak Parkway </t>
  </si>
  <si>
    <t xml:space="preserve">South Jordan </t>
  </si>
  <si>
    <t>kim.jensen@riotinto.com</t>
  </si>
  <si>
    <t>Joon</t>
  </si>
  <si>
    <t>700 West Georgia Street</t>
  </si>
  <si>
    <t>EYLAWPERM@CA.EY.COM</t>
  </si>
  <si>
    <t>P-400-21147-350194</t>
  </si>
  <si>
    <t>Stringfellow</t>
  </si>
  <si>
    <t>Jade</t>
  </si>
  <si>
    <t>13100 N Wintzell Ave</t>
  </si>
  <si>
    <t>Bayou La Batre</t>
  </si>
  <si>
    <t>ccrimson@centurytel.net</t>
  </si>
  <si>
    <t>Crimson Bay Oyster Company LLC</t>
  </si>
  <si>
    <t>Cooper</t>
  </si>
  <si>
    <t>Zachary</t>
  </si>
  <si>
    <t>1831 N Lakewood Dr.</t>
  </si>
  <si>
    <t>zack@laborci.com</t>
  </si>
  <si>
    <t>Oyster Shuckers</t>
  </si>
  <si>
    <t>="Must be 18 due to insurance. Must show proof of legal authorization to work in the United States. Drug/alcohol/tobacco-free work zone. Perform physical activities such as: lift, balance, walk, stoop, handle, position, move, manipulate materials use stat</t>
  </si>
  <si>
    <t xml:space="preserve">Transport provided, designated locale to job site. Begin in Mobile County, AL. Continue in counties/areas: Mobile, AL and area of Mobile, AL. </t>
  </si>
  <si>
    <t>13100 North Wintzell Avenue (report to work)</t>
  </si>
  <si>
    <t>Installation, Maintenance, and Repair Workers, All Other</t>
  </si>
  <si>
    <t>P-400-21152-358382</t>
  </si>
  <si>
    <t>Crede</t>
  </si>
  <si>
    <t>5897 Teays Valley Road</t>
  </si>
  <si>
    <t>Scott Depot</t>
  </si>
  <si>
    <t>Crede Lawn Service LLC</t>
  </si>
  <si>
    <t>Page</t>
  </si>
  <si>
    <t>Suite 30</t>
  </si>
  <si>
    <t>P-400-21127-295488</t>
  </si>
  <si>
    <t xml:space="preserve">Springborn </t>
  </si>
  <si>
    <t xml:space="preserve">2124 Grand Commerce Drive </t>
  </si>
  <si>
    <t xml:space="preserve">Ultra Aluminum Mfg., Inc. </t>
  </si>
  <si>
    <t xml:space="preserve">2124 Grand Commerce Drive  </t>
  </si>
  <si>
    <t xml:space="preserve">Howell </t>
  </si>
  <si>
    <t>moore1130@maslabor.com</t>
  </si>
  <si>
    <t xml:space="preserve">MAS Labor H2B, LLC </t>
  </si>
  <si>
    <t>Production Workers</t>
  </si>
  <si>
    <t xml:space="preserve">Foreman/Supervisor </t>
  </si>
  <si>
    <t>2124 Grand Commerce Dr</t>
  </si>
  <si>
    <t>SCIENCE, TECHNOLOGY, ENGINEERING, OR ANY RELATED FIELD</t>
  </si>
  <si>
    <t>P-400-21133-311189</t>
  </si>
  <si>
    <t>chasitybrooke101@aol.com</t>
  </si>
  <si>
    <t>Chasity Brooke, LLC</t>
  </si>
  <si>
    <t>Rosas</t>
  </si>
  <si>
    <t>Shenila</t>
  </si>
  <si>
    <t>smomin@emattorney.com</t>
  </si>
  <si>
    <t>Esani &amp; Momin P.C.</t>
  </si>
  <si>
    <t>RYAN</t>
  </si>
  <si>
    <t>MATTHEW</t>
  </si>
  <si>
    <t>Lori</t>
  </si>
  <si>
    <t>P-400-21133-312270</t>
  </si>
  <si>
    <t>Gooden, Sr.</t>
  </si>
  <si>
    <t>Elvis</t>
  </si>
  <si>
    <t>5840 Strand Boulevard</t>
  </si>
  <si>
    <t>egooden@thestrandclub.com</t>
  </si>
  <si>
    <t>The Strand at Naples, LLC</t>
  </si>
  <si>
    <t>The Club at the Strand</t>
  </si>
  <si>
    <t>Busser/Food Runner</t>
  </si>
  <si>
    <t>="The Petitioner will consider for employment any person who possesses at least three (3) months of experience in a fine-dining or high-volume environment at a high-end restaurant, resort, or private club.  
Applicant must complete pre-employment backgro</t>
  </si>
  <si>
    <t>SR. SOFTWARE ENGINEER</t>
  </si>
  <si>
    <t>Tejal</t>
  </si>
  <si>
    <t>Travel and work at client sites as assigned.</t>
  </si>
  <si>
    <t>Lake Wales</t>
  </si>
  <si>
    <t>Macon</t>
  </si>
  <si>
    <t>DORAL</t>
  </si>
  <si>
    <t>CARLOS</t>
  </si>
  <si>
    <t>Business Operations Specialists, All Other</t>
  </si>
  <si>
    <t>P-100-21125-287758</t>
  </si>
  <si>
    <t>Greene Power</t>
  </si>
  <si>
    <t>1 Ferry Building</t>
  </si>
  <si>
    <t>courtney@nianticlabs.com</t>
  </si>
  <si>
    <t>Niantic, Inc.</t>
  </si>
  <si>
    <t>="1.	Java
2.	C++
3.	Version Control Systems (Git)
4.	Databases (SQL or NoSQL)
5.	Distributed Systems
6.	Cloud Computing (Amazon Web Services OR Google Cloud Platform)
7.	Web Development (HTML/CSS &amp; JavaScript)
8.	Operating Systems
9.	Computer Networks
10.</t>
  </si>
  <si>
    <t>Staff Software Engineer, Head of Publishing Engineering</t>
  </si>
  <si>
    <t>411 108th Ave. NE</t>
  </si>
  <si>
    <t>Oakdale</t>
  </si>
  <si>
    <t>Wheelock</t>
  </si>
  <si>
    <t>Deb</t>
  </si>
  <si>
    <t>SVP, Head of Global Talent Management</t>
  </si>
  <si>
    <t>FL 26</t>
  </si>
  <si>
    <t>dwheelock@icapitalnetwork.com</t>
  </si>
  <si>
    <t>iCapital Network, Inc.</t>
  </si>
  <si>
    <t>HABERMAN</t>
  </si>
  <si>
    <t>AMY</t>
  </si>
  <si>
    <t>825 8th Avenue</t>
  </si>
  <si>
    <t>new york</t>
  </si>
  <si>
    <t>ahaberman@mccarter.com</t>
  </si>
  <si>
    <t>McCarter &amp; English LLP</t>
  </si>
  <si>
    <t>="Experience must include three years each of the following: reference and hierarchy data management, data governance, data quality, and data processing and pipeline management; SQL; systems integration and technical solutions; and third normal form (3NF)</t>
  </si>
  <si>
    <t>P-100-21126-294323</t>
  </si>
  <si>
    <t xml:space="preserve">Benefits and Operations Program Manager </t>
  </si>
  <si>
    <t>Mercedes-Benz Research &amp; Development North America, Inc.</t>
  </si>
  <si>
    <t>Corporate Immigration Partners LLP</t>
  </si>
  <si>
    <t xml:space="preserve">Computer Science, Electrical Engineering, or related field (or foreign equivalent), plus 5 years of experience in the job offered, or in a related occupation. </t>
  </si>
  <si>
    <t xml:space="preserve">Computer Science or related field </t>
  </si>
  <si>
    <t>Jamie</t>
  </si>
  <si>
    <t>3055 PLYMOUTH ROAD</t>
  </si>
  <si>
    <t>ANN ARBOR</t>
  </si>
  <si>
    <t>mimmipark@gmail.com</t>
  </si>
  <si>
    <t>LAW OFFICE OF SOO PARK, PLC</t>
  </si>
  <si>
    <t>="Minimum Requirements:  
Master’s degree in Computer Engineering, Information Technology, Electrical Engineering, or related field and 3 years of experience in the job offered or in a computer software-related occupation. Must be available to work on pro</t>
  </si>
  <si>
    <t xml:space="preserve">Must be available to work on projects at various, unanticipated sites within commuting distance of Slalom’s Irvine, CA office. </t>
  </si>
  <si>
    <t xml:space="preserve">DRIVER </t>
  </si>
  <si>
    <t>McFann</t>
  </si>
  <si>
    <t>Kuck Baxter Immigration LLC</t>
  </si>
  <si>
    <t>365 Northridge Road, Suite 300</t>
  </si>
  <si>
    <t>Rosmarin</t>
  </si>
  <si>
    <t>Lrosmarin@immigration.net</t>
  </si>
  <si>
    <t>P-400-21125-289415</t>
  </si>
  <si>
    <t>7187 Bryhawke Circle, Unit #700</t>
  </si>
  <si>
    <t>North Charleston</t>
  </si>
  <si>
    <t xml:space="preserve">Oceanfront S&amp;D, LLC </t>
  </si>
  <si>
    <t>Charleston-North Charleston, SC</t>
  </si>
  <si>
    <t>Boulder</t>
  </si>
  <si>
    <t>3465 Technology Drive</t>
  </si>
  <si>
    <t>SVTronics, Inc.</t>
  </si>
  <si>
    <t>801 E. Campbell Road, Suite 130</t>
  </si>
  <si>
    <t>Sr. Project Engineer</t>
  </si>
  <si>
    <t>SUITE 450</t>
  </si>
  <si>
    <t>Tuscaloosa</t>
  </si>
  <si>
    <t>Sears</t>
  </si>
  <si>
    <t>DeAngelo</t>
  </si>
  <si>
    <t>123 South Front Street</t>
  </si>
  <si>
    <t>deangelo.sears@autozone.com</t>
  </si>
  <si>
    <t>AutoZone, Inc.</t>
  </si>
  <si>
    <t xml:space="preserve"> Memphis</t>
  </si>
  <si>
    <t>Feliciano</t>
  </si>
  <si>
    <t>Jin</t>
  </si>
  <si>
    <t>Lubbock</t>
  </si>
  <si>
    <t>Landscape Crew Leader</t>
  </si>
  <si>
    <t>P-100-21131-304769</t>
  </si>
  <si>
    <t xml:space="preserve">="•	Education: Bachelor's or foreign equivalent in Computer Science, Engineering, Mathematics, Information Systems, Physics, or a related field.
•	Experience: 36 months of software development experience formulating and analyzing software requirements.
•	</t>
  </si>
  <si>
    <t>Godoi</t>
  </si>
  <si>
    <t xml:space="preserve">MICROSOFT CORPORATION </t>
  </si>
  <si>
    <t xml:space="preserve">ONE MICROSOFT WAY </t>
  </si>
  <si>
    <t xml:space="preserve">REDMOND </t>
  </si>
  <si>
    <t>Yi-Hui</t>
  </si>
  <si>
    <t>16TH FLOOR</t>
  </si>
  <si>
    <t>microsoftperm@ca.ey.com</t>
  </si>
  <si>
    <t>EY LAW LLP</t>
  </si>
  <si>
    <t>Service Engineer</t>
  </si>
  <si>
    <t>COMPUTER SCIENCE, ENGINEERING, MATHEMATICS, INFORMATION SYSTEMS, PHYSICS OR A RELATED FIELD.</t>
  </si>
  <si>
    <t>Service Engineering Manager</t>
  </si>
  <si>
    <t>HEATHER</t>
  </si>
  <si>
    <t>SUITE 2600</t>
  </si>
  <si>
    <t>Owner/Manager</t>
  </si>
  <si>
    <t>Vice President of Human Resources</t>
  </si>
  <si>
    <t>Sr. Data Scientist</t>
  </si>
  <si>
    <t>P-100-21173-418823</t>
  </si>
  <si>
    <t>PAGE</t>
  </si>
  <si>
    <t>SENIOR MANAGER, LEGAL SERVICES - LABOR AND EMPLOYMENT</t>
  </si>
  <si>
    <t>12405 POWERSCOURT DRIVE</t>
  </si>
  <si>
    <t>JENNIFER.PAGE@CHARTER.COM</t>
  </si>
  <si>
    <t>CHARTER COMMUNICATIONS, INC.</t>
  </si>
  <si>
    <t>MADERA</t>
  </si>
  <si>
    <t>MICHELE</t>
  </si>
  <si>
    <t>1601 MARKET STREET</t>
  </si>
  <si>
    <t>ECWIK@KLASKOLAW.COM</t>
  </si>
  <si>
    <t>KLASKO IMMIGRATION LAW PARTNERS, LLP</t>
  </si>
  <si>
    <t>Director, Video Platforms Development</t>
  </si>
  <si>
    <t>="Bachelor’s degree (or foreign equivalent) in Engineering, Computer Science, or a related field. 8 years of experience in product development on Android platform, including conducting software development using Java and Android SDK; video streaming, incl</t>
  </si>
  <si>
    <t>Senior Director, Video Platforms Management</t>
  </si>
  <si>
    <t>6360 S. Fiddler's Green Circle</t>
  </si>
  <si>
    <t>Greenwood Village</t>
  </si>
  <si>
    <t>Head of People</t>
  </si>
  <si>
    <t>15-1132.00; 15-1132.00; 15-1132.00; 15-1132.00; 15-1132.00</t>
  </si>
  <si>
    <t>Software Developers, Applications; Software Developers, Applications; Software Developers, Applications; Software Developers, Applications; Software Developers, Applications</t>
  </si>
  <si>
    <t>Ocala</t>
  </si>
  <si>
    <t>Julian</t>
  </si>
  <si>
    <t>Suite 245</t>
  </si>
  <si>
    <t>CyberSource Corporation</t>
  </si>
  <si>
    <t>CHARLOTTE</t>
  </si>
  <si>
    <t>Marco Island</t>
  </si>
  <si>
    <t>P-400-21126-294349</t>
  </si>
  <si>
    <t xml:space="preserve">Herrera </t>
  </si>
  <si>
    <t xml:space="preserve">790 North Estrella Parkway </t>
  </si>
  <si>
    <t>Suite F</t>
  </si>
  <si>
    <t>manuel@eltatakisushi.com</t>
  </si>
  <si>
    <t>El Tataki Express, LLC</t>
  </si>
  <si>
    <t>El Tataki Express</t>
  </si>
  <si>
    <t>790 North Estrella Parkway</t>
  </si>
  <si>
    <t>Ankeny</t>
  </si>
  <si>
    <t>130 N Central Ave</t>
  </si>
  <si>
    <t>Suite 309</t>
  </si>
  <si>
    <t>rebeca@ankenylawcorp.com</t>
  </si>
  <si>
    <t xml:space="preserve">Ankeny Law </t>
  </si>
  <si>
    <t xml:space="preserve">Cook </t>
  </si>
  <si>
    <t>P-400-21140-330072</t>
  </si>
  <si>
    <t>Westgroup Naples, L.P.</t>
  </si>
  <si>
    <t>LaPlaya Beach &amp; Golf Resort</t>
  </si>
  <si>
    <t>9891 Gulf Shore Drive</t>
  </si>
  <si>
    <t>Area Chef</t>
  </si>
  <si>
    <t>Naples-Immokalee-Marco Island, FL</t>
  </si>
  <si>
    <t>Ste. 510</t>
  </si>
  <si>
    <t>Galliath</t>
  </si>
  <si>
    <t>Lillian</t>
  </si>
  <si>
    <t>1902 Wright Place</t>
  </si>
  <si>
    <t>Carlsbad</t>
  </si>
  <si>
    <t>law@llglawgroup.com</t>
  </si>
  <si>
    <t>LLG Attorney at Law</t>
  </si>
  <si>
    <t>Horse Show Groom</t>
  </si>
  <si>
    <t>Ste 100</t>
  </si>
  <si>
    <t>Maglin</t>
  </si>
  <si>
    <t>kmaglin@unitedworkandtravel.com</t>
  </si>
  <si>
    <t>United Work and Travel, a div of APEI</t>
  </si>
  <si>
    <t>Seafood Processor</t>
  </si>
  <si>
    <t>2020 US MBD/TRS Mercer Benchmark Database/Total Remuneration Survey</t>
  </si>
  <si>
    <t>Charge Nurse</t>
  </si>
  <si>
    <t>Laborers</t>
  </si>
  <si>
    <t>Merchandise Displayers and Window Trimmers</t>
  </si>
  <si>
    <t>Lewisville</t>
  </si>
  <si>
    <t>P-100-21174-421470</t>
  </si>
  <si>
    <t>Di Ponzio</t>
  </si>
  <si>
    <t>Nick</t>
  </si>
  <si>
    <t>VP NA HR - Strategy &amp; Planning</t>
  </si>
  <si>
    <t>85 Challenger Road</t>
  </si>
  <si>
    <t>Ridgefield Park</t>
  </si>
  <si>
    <t>natalie.heo@sea.samsung.com</t>
  </si>
  <si>
    <t xml:space="preserve">Samsung Electronics America, Inc. </t>
  </si>
  <si>
    <t xml:space="preserve">85 Challenger Road </t>
  </si>
  <si>
    <t xml:space="preserve">Ridgefield Park </t>
  </si>
  <si>
    <t xml:space="preserve">Healy </t>
  </si>
  <si>
    <t>900 Jackson Street</t>
  </si>
  <si>
    <t>ehealy@fosterglobal.com</t>
  </si>
  <si>
    <t>Foster, LLP</t>
  </si>
  <si>
    <t xml:space="preserve">Professional, Business Process Management </t>
  </si>
  <si>
    <t>Business, Information Systems, Engineering, or related</t>
  </si>
  <si>
    <t>="Master’s degree in Business, Information Systems, Engineering, or related field and 5 years of progressive, post-baccalaureate experience in job offered or related occupation including process innovation and improvement, marketing with P&amp;L responsibilit</t>
  </si>
  <si>
    <t>P-400-21125-288603</t>
  </si>
  <si>
    <t>200 SE Clearwater Ridge</t>
  </si>
  <si>
    <t>Shelton</t>
  </si>
  <si>
    <t>Mt. St. Helens Evergreens</t>
  </si>
  <si>
    <t>200 SE clearwater Rdige</t>
  </si>
  <si>
    <t>Ogburn</t>
  </si>
  <si>
    <t>8830 Tallon Ln NE</t>
  </si>
  <si>
    <t>Lacey</t>
  </si>
  <si>
    <t>h2b.northwestlabor@gmail.com</t>
  </si>
  <si>
    <t>Northwest Labor LLC</t>
  </si>
  <si>
    <t>Decorative Greens Collector/Arranger</t>
  </si>
  <si>
    <t>="1.	Must be able to perform all duties within this job description in what can be considered a safe manner adhering to all established safety guidelines, practices and procedures.
2.	Must wear all required and assigned personal protective equipment at a</t>
  </si>
  <si>
    <t>Floral Designers</t>
  </si>
  <si>
    <t>200 se clearwater ridge</t>
  </si>
  <si>
    <t>Western Washington nonmetropolitan area</t>
  </si>
  <si>
    <t>ERIC</t>
  </si>
  <si>
    <t>Search Marketing Strategists</t>
  </si>
  <si>
    <t>Richey</t>
  </si>
  <si>
    <t>Darwin</t>
  </si>
  <si>
    <t>230 N. Washington St #300</t>
  </si>
  <si>
    <t>info@immigrationlawrichey.com</t>
  </si>
  <si>
    <t>Law Office of Ronald D Richey</t>
  </si>
  <si>
    <t>Roofers</t>
  </si>
  <si>
    <t>Assistant Teaching Professor</t>
  </si>
  <si>
    <t>P-100-21141-335416</t>
  </si>
  <si>
    <t xml:space="preserve">Nadig </t>
  </si>
  <si>
    <t xml:space="preserve">Vikram </t>
  </si>
  <si>
    <t>811 Church Street, Suite 169</t>
  </si>
  <si>
    <t>vikram@digipulsetech.com</t>
  </si>
  <si>
    <t xml:space="preserve">Digipulse Technologies, Inc. </t>
  </si>
  <si>
    <t>811 Church Road</t>
  </si>
  <si>
    <t>Suite 169</t>
  </si>
  <si>
    <t>Sidhu</t>
  </si>
  <si>
    <t xml:space="preserve">Inderjit </t>
  </si>
  <si>
    <t xml:space="preserve">Kaur </t>
  </si>
  <si>
    <t>P.O. Box 7336</t>
  </si>
  <si>
    <t>inderjit@indysidhu.com</t>
  </si>
  <si>
    <t>Inderjit K Sidhu, ESQ LLC</t>
  </si>
  <si>
    <t>Software Quality Assurance Lead (Salesforce)</t>
  </si>
  <si>
    <t>Master’s in Computer Science/Applications/Engineering (Electronic/ Electrical/ Telecom). Will accept Bachelor degree in Computer Science, Applications, Engineering followed by at least five years of</t>
  </si>
  <si>
    <t>Production Worker</t>
  </si>
  <si>
    <t>Jesse</t>
  </si>
  <si>
    <t>Cashiers</t>
  </si>
  <si>
    <t>Casey</t>
  </si>
  <si>
    <t>john.dawson@muimmigration.com</t>
  </si>
  <si>
    <t>MusilloUnkenholt, LLC</t>
  </si>
  <si>
    <t xml:space="preserve">Madhavi </t>
  </si>
  <si>
    <t>IT Project Manager</t>
  </si>
  <si>
    <t>="Software Quality/Debug/Test/Validation; Relational Database Design (SQL); UI (User Interface) Development; Computer Networks, Networks Applications and/or Programming; Java, and/or Python, and/or Perl Programming; Algorithms, Data Structures, and/or Pro</t>
  </si>
  <si>
    <t>Buchanan</t>
  </si>
  <si>
    <t>P-100-21131-305159</t>
  </si>
  <si>
    <t>Tonnie</t>
  </si>
  <si>
    <t>3675 Huntington Dr.</t>
  </si>
  <si>
    <t>tonnie@kcmlaw.net</t>
  </si>
  <si>
    <t>3 Point Basketball Academy</t>
  </si>
  <si>
    <t>6939 Schaefer Avenue</t>
  </si>
  <si>
    <t>Suite D282</t>
  </si>
  <si>
    <t>King Cheng Miller &amp; Jin LLP</t>
  </si>
  <si>
    <t xml:space="preserve">Instructional Coordinator </t>
  </si>
  <si>
    <t>Education</t>
  </si>
  <si>
    <t>Instructional Coordinators</t>
  </si>
  <si>
    <t>MUSKAT</t>
  </si>
  <si>
    <t>LAUREN</t>
  </si>
  <si>
    <t>DIRECTOR, HR OPERATIONS</t>
  </si>
  <si>
    <t>3000 K STREET NW</t>
  </si>
  <si>
    <t>RALLYIMMIGRATION@RALLYHEALTH.COM</t>
  </si>
  <si>
    <t xml:space="preserve">RALLY HEALTH, INC. </t>
  </si>
  <si>
    <t>425 Market Street</t>
  </si>
  <si>
    <t>Floor 9</t>
  </si>
  <si>
    <t>F &amp; A MANAGEMENT LLC</t>
  </si>
  <si>
    <t>JONES</t>
  </si>
  <si>
    <t>DONALD</t>
  </si>
  <si>
    <t>SALMAN@DRJ.LEGAL</t>
  </si>
  <si>
    <t>Jensen Beach</t>
  </si>
  <si>
    <t>Allison</t>
  </si>
  <si>
    <t>Mascia</t>
  </si>
  <si>
    <t>Salvatore</t>
  </si>
  <si>
    <t>25-R Olympia Avenue</t>
  </si>
  <si>
    <t>smascia@continuuspharma.com</t>
  </si>
  <si>
    <t>Continuus Pharmaceuticals, Inc.</t>
  </si>
  <si>
    <t>L'Esperance</t>
  </si>
  <si>
    <t>1875 NW Corporate Blvd.</t>
  </si>
  <si>
    <t>sdover@duanemorris.com</t>
  </si>
  <si>
    <t>Please See Addendum.</t>
  </si>
  <si>
    <t>Food and Tobacco Roasting, Baking, and Drying Machine Operators and Tenders</t>
  </si>
  <si>
    <t>Frances</t>
  </si>
  <si>
    <t>3296 Summit Ridge Parkway</t>
  </si>
  <si>
    <t>Owner/Trainer</t>
  </si>
  <si>
    <t>Travel to and from the horse show competitions and venues within the State of California.</t>
  </si>
  <si>
    <t>7200 Lone Pine Drive</t>
  </si>
  <si>
    <t>Rancho Murieta</t>
  </si>
  <si>
    <t>P-400-21140-329718</t>
  </si>
  <si>
    <t>KRZYWONOS</t>
  </si>
  <si>
    <t>DAVE</t>
  </si>
  <si>
    <t xml:space="preserve">2700 PINE RIDGE ROAD </t>
  </si>
  <si>
    <t>NAPLES</t>
  </si>
  <si>
    <t>KENSINGTON GOLF &amp; COUNTRY CLUB</t>
  </si>
  <si>
    <t>2700 PINE RIDGE ROAD</t>
  </si>
  <si>
    <t>SERVER</t>
  </si>
  <si>
    <t>P-100-21153-360969</t>
  </si>
  <si>
    <t>Rule</t>
  </si>
  <si>
    <t>Diane</t>
  </si>
  <si>
    <t>BENEFIT/PAYROLL MANAGER</t>
  </si>
  <si>
    <t>99 ROSEWOOD DRIVE</t>
  </si>
  <si>
    <t>SUITE 245</t>
  </si>
  <si>
    <t>Danvers</t>
  </si>
  <si>
    <t>DRULE@SLEEPMEDINC.COM</t>
  </si>
  <si>
    <t>SLEEPMED INCORPORATED</t>
  </si>
  <si>
    <t xml:space="preserve">99 Rosewood Drive </t>
  </si>
  <si>
    <t xml:space="preserve">Danvers </t>
  </si>
  <si>
    <t>Biomedical Engineer</t>
  </si>
  <si>
    <t>Biomedical Engineering, or a related field of study.</t>
  </si>
  <si>
    <t>700 Gervais St</t>
  </si>
  <si>
    <t>P-400-21161-385904</t>
  </si>
  <si>
    <t>NEWTON</t>
  </si>
  <si>
    <t>572 NEWTON ROAD</t>
  </si>
  <si>
    <t>COLDWATER</t>
  </si>
  <si>
    <t>CLEMENS@THEWORKFORCE.US</t>
  </si>
  <si>
    <t>CLEMENS FOOD GROUP LLC</t>
  </si>
  <si>
    <t>2700 Clemens Rd</t>
  </si>
  <si>
    <t>Hatfield</t>
  </si>
  <si>
    <t>PEREIRA</t>
  </si>
  <si>
    <t>BETSY</t>
  </si>
  <si>
    <t>4005 NW 114TH AVE UNIT 3</t>
  </si>
  <si>
    <t>WORK FORCE LLC</t>
  </si>
  <si>
    <t>Packers</t>
  </si>
  <si>
    <t>Slaughterers and Meat Packers</t>
  </si>
  <si>
    <t>572 NEWTON RD</t>
  </si>
  <si>
    <t>P-100-21144-339044</t>
  </si>
  <si>
    <t>THE PRINCIPAL CONSULTING, INC</t>
  </si>
  <si>
    <t xml:space="preserve">THOMAS </t>
  </si>
  <si>
    <t>--</t>
  </si>
  <si>
    <t>Deltaville</t>
  </si>
  <si>
    <t>swade@jandwseafood.com</t>
  </si>
  <si>
    <t>2020 Crab Picker/Processor Prevailing Wage Survey</t>
  </si>
  <si>
    <t>35-2014.00</t>
  </si>
  <si>
    <t>P-100-21127-296116</t>
  </si>
  <si>
    <t>Manager, Attorney at Law</t>
  </si>
  <si>
    <t xml:space="preserve">250 Howe Street </t>
  </si>
  <si>
    <t>Partner/Channel Marketing Manager</t>
  </si>
  <si>
    <t>Master's or foreign equivalent in Business Administration, Economics, Marketing, or a related field.</t>
  </si>
  <si>
    <t>="Education: Master's or foreign equivalent in Business Administration, Economics, Marketing, or a related field.
Experience: 24 months of experience in market analysis and customer relationship management.
Education or experience in: Data analysis; Produ</t>
  </si>
  <si>
    <t xml:space="preserve">Senior Manager, General Engineering </t>
  </si>
  <si>
    <t>P-400-21134-315064</t>
  </si>
  <si>
    <t>1411 West Garner Rd</t>
  </si>
  <si>
    <t>Garner</t>
  </si>
  <si>
    <t>Trent@trentwilliamslaw.com</t>
  </si>
  <si>
    <t>Hamlin Companies</t>
  </si>
  <si>
    <t>Hamlin Sheet Metal</t>
  </si>
  <si>
    <t>200 East Hamlin Blvd</t>
  </si>
  <si>
    <t>Benson</t>
  </si>
  <si>
    <t>Trent</t>
  </si>
  <si>
    <t>Wesley</t>
  </si>
  <si>
    <t>401 S Mt Juliet Rd</t>
  </si>
  <si>
    <t>Mt Juliet</t>
  </si>
  <si>
    <t>trent@trentwilliamslaw.com</t>
  </si>
  <si>
    <t>Williams Law Pllc</t>
  </si>
  <si>
    <t>General Laborer</t>
  </si>
  <si>
    <t>Raleigh, NC</t>
  </si>
  <si>
    <t>P-400-21147-351018</t>
  </si>
  <si>
    <t>Beverly</t>
  </si>
  <si>
    <t>4040 South 300 West</t>
  </si>
  <si>
    <t>bthomas@starstonesales.com</t>
  </si>
  <si>
    <t>Star Stone Quarries, Inc</t>
  </si>
  <si>
    <t>Industrial Truck and Tractor Operator</t>
  </si>
  <si>
    <t>Industrial Truck and Tractor Operators</t>
  </si>
  <si>
    <t>3500 Junction Valley Road</t>
  </si>
  <si>
    <t>Oakley</t>
  </si>
  <si>
    <t>Wauwatosa</t>
  </si>
  <si>
    <t>Harrisburg</t>
  </si>
  <si>
    <t>P-100-21174-421341</t>
  </si>
  <si>
    <t xml:space="preserve">Hickem </t>
  </si>
  <si>
    <t>Shauna</t>
  </si>
  <si>
    <t>4700 Brandon Woods St</t>
  </si>
  <si>
    <t>southadmin@socket.net</t>
  </si>
  <si>
    <t>N&amp;R of South Hampton, LLC</t>
  </si>
  <si>
    <t>South Hampton Place</t>
  </si>
  <si>
    <t>RACHEL</t>
  </si>
  <si>
    <t>MANAGING DIRECTOR</t>
  </si>
  <si>
    <t>P-400-21149-355931</t>
  </si>
  <si>
    <t>Madalinski</t>
  </si>
  <si>
    <t>Don</t>
  </si>
  <si>
    <t>11 Cypress View Drive</t>
  </si>
  <si>
    <t>GM@eaglecreekcc.org</t>
  </si>
  <si>
    <t>Eagle Creek Golf and Country Club, Inc.</t>
  </si>
  <si>
    <t>Line Cook</t>
  </si>
  <si>
    <t>="The Petitioner will consider for employment any person who possesses at least one (1) year of culinary experience in a fine-dining or high-volume environment at a high-end restaurant, resort, or private club.  Applicant must complete pre-employment back</t>
  </si>
  <si>
    <t>Roche</t>
  </si>
  <si>
    <t>5824 Golden Pheasant CT</t>
  </si>
  <si>
    <t xml:space="preserve">Baton Rouge </t>
  </si>
  <si>
    <t>rroche1982@gmail.com</t>
  </si>
  <si>
    <t>Roche Lawn Services LLC</t>
  </si>
  <si>
    <t>6133 Benefit Drive</t>
  </si>
  <si>
    <t>5824 Golden Pheasant CT Baton Rouge LA 70817 Mailing address</t>
  </si>
  <si>
    <t>Terri</t>
  </si>
  <si>
    <t>29724 South Magnolia Street</t>
  </si>
  <si>
    <t>Suite#2</t>
  </si>
  <si>
    <t>Livingston</t>
  </si>
  <si>
    <t>cajunvisa@gmail.com</t>
  </si>
  <si>
    <t xml:space="preserve">Cajun Visa Company Inc </t>
  </si>
  <si>
    <t>MAY TRAVEL TO MULTI WORK SITES IN A SINGLE DAY AT PRIVATE RESIDENCE AND COMMERCIAL PROPERTIES</t>
  </si>
  <si>
    <t>708 Bienville Street</t>
  </si>
  <si>
    <t>Owner/Operator</t>
  </si>
  <si>
    <t>1725 3C Bar Road</t>
  </si>
  <si>
    <t>Cut Bank</t>
  </si>
  <si>
    <t>ralphljohn@gmail.com</t>
  </si>
  <si>
    <t>Flann</t>
  </si>
  <si>
    <t>8400 Clark Rd.</t>
  </si>
  <si>
    <t>flann@ilomt.com</t>
  </si>
  <si>
    <t>Immigration Law of Montana, P.C.</t>
  </si>
  <si>
    <t>Cattle Worker</t>
  </si>
  <si>
    <t>Farmworkers, Farm, Ranch, and Aquacultural Animals</t>
  </si>
  <si>
    <t>Holmberg</t>
  </si>
  <si>
    <t>CRUZ</t>
  </si>
  <si>
    <t>CORPORATE SECRETARY</t>
  </si>
  <si>
    <t>41-1011.00</t>
  </si>
  <si>
    <t>P-400-21138-321507</t>
  </si>
  <si>
    <t>Lechler</t>
  </si>
  <si>
    <t>Ed</t>
  </si>
  <si>
    <t>12565 Prospect Rd.</t>
  </si>
  <si>
    <t>Strongsville</t>
  </si>
  <si>
    <t>Rock Bottom Lawn Maintenance, Inc.</t>
  </si>
  <si>
    <t>DBA Rock Bottom Lawn &amp; Landscaping</t>
  </si>
  <si>
    <t>="Must lift/carry 50 lbs., when necessary.  Saturday work required, when necessary.    Must possess or be able to obtain U.S. driver's license within 30 days of hire. A motor vehicle check will be required for foreign and domestic workers who drive compan</t>
  </si>
  <si>
    <t>12565 Prospect Road,</t>
  </si>
  <si>
    <t>Dale</t>
  </si>
  <si>
    <t xml:space="preserve">VP Finance </t>
  </si>
  <si>
    <t>Computer Science, Engineering, Math, Information Systems, Physics, or related.</t>
  </si>
  <si>
    <t xml:space="preserve">Redmond </t>
  </si>
  <si>
    <t xml:space="preserve">Lesa </t>
  </si>
  <si>
    <t>Kirkwood</t>
  </si>
  <si>
    <t>Senior Manager, Engineering</t>
  </si>
  <si>
    <t>Software Engineering</t>
  </si>
  <si>
    <t>Suresh-Silver</t>
  </si>
  <si>
    <t>Shravanthi</t>
  </si>
  <si>
    <t>ssureshsilver@fragomen.com</t>
  </si>
  <si>
    <t>Chowning</t>
  </si>
  <si>
    <t xml:space="preserve">Managing Partner </t>
  </si>
  <si>
    <t>390 N. Orange Avenue</t>
  </si>
  <si>
    <t>28th Floor</t>
  </si>
  <si>
    <t>william.dennis@mcapmarkets.com</t>
  </si>
  <si>
    <t>MCAP LLC</t>
  </si>
  <si>
    <t>mlamancuso@canada-usa.com</t>
  </si>
  <si>
    <t>VP - Equity Relationship Management Analyst</t>
  </si>
  <si>
    <t>="Experience must have included 
a)	Use of Excel and PowerPoint to present to High Net Worth prospects and clients; 
b)	Portfolio management to include making critical staffing, costing and executive decisions; 
c)	Executing Canadian and US equity trades;</t>
  </si>
  <si>
    <t>Will travel 15% US &amp; Canada to meet w/existing &amp; prospective customers</t>
  </si>
  <si>
    <t>Vijoy</t>
  </si>
  <si>
    <t>BLDG A, Ste. 100</t>
  </si>
  <si>
    <t>wdodson@balglobal.com</t>
  </si>
  <si>
    <t>P-400-21133-309924</t>
  </si>
  <si>
    <t>Jim</t>
  </si>
  <si>
    <t>301 S. Hwy 81</t>
  </si>
  <si>
    <t>PO Box 360</t>
  </si>
  <si>
    <t>Genuine Builders Inc.</t>
  </si>
  <si>
    <t>301 South Hwy 81</t>
  </si>
  <si>
    <t>5125 Mt Rushmore Road</t>
  </si>
  <si>
    <t>Rapid City</t>
  </si>
  <si>
    <t>Rapid City, SD</t>
  </si>
  <si>
    <t xml:space="preserve">Please see job description. </t>
  </si>
  <si>
    <t>Information Systems</t>
  </si>
  <si>
    <t>ETL Developer</t>
  </si>
  <si>
    <t>Krozos</t>
  </si>
  <si>
    <t>NS</t>
  </si>
  <si>
    <t>Director, HR Business Partner</t>
  </si>
  <si>
    <t>201 3rd Street</t>
  </si>
  <si>
    <t>helen@shipt.com</t>
  </si>
  <si>
    <t>Shipt, Inc.</t>
  </si>
  <si>
    <t>Shipt</t>
  </si>
  <si>
    <t>Pangilinan</t>
  </si>
  <si>
    <t>Lacsina</t>
  </si>
  <si>
    <t>930 Montgomery Street</t>
  </si>
  <si>
    <t>donpangilinan@levin-immigration.com</t>
  </si>
  <si>
    <t>Philip Levin and Associates Prof. Corp.</t>
  </si>
  <si>
    <t>P-400-21127-296027</t>
  </si>
  <si>
    <t>Voisin</t>
  </si>
  <si>
    <t>H-2B Human Resources Coordinator</t>
  </si>
  <si>
    <t>200 Autin Lane</t>
  </si>
  <si>
    <t>aliciawhat@att.net</t>
  </si>
  <si>
    <t>Wine Island, LLC</t>
  </si>
  <si>
    <t>Law Offices of Malvern C Burnett APLC</t>
  </si>
  <si>
    <t>seafood processors</t>
  </si>
  <si>
    <t>P-100-21138-322035</t>
  </si>
  <si>
    <t>HALLMARK GLOBAL TECHNOLOGIES INC</t>
  </si>
  <si>
    <t>200 MOTOR PARKWAY</t>
  </si>
  <si>
    <t>SUITE D-26</t>
  </si>
  <si>
    <t>HAUPPAUGE</t>
  </si>
  <si>
    <t>LAW OFFICES OF THOMAS V ALLEN, PLLC.</t>
  </si>
  <si>
    <t>SUITE D-26 AND VARIOUS UNANTICIPATED LOCATIONS THROUGHOUT THE U.S.</t>
  </si>
  <si>
    <t>Industrial Production Managers</t>
  </si>
  <si>
    <t xml:space="preserve">General Manager </t>
  </si>
  <si>
    <t>2295 S HIAWASSEE RD</t>
  </si>
  <si>
    <t>Suite 360</t>
  </si>
  <si>
    <t>P-100-21137-319528</t>
  </si>
  <si>
    <t>SUFFECOOL</t>
  </si>
  <si>
    <t>Director of Business Operations and CFO</t>
  </si>
  <si>
    <t>10211 WINCOPIN CIRCLE</t>
  </si>
  <si>
    <t>LSUFFECOOL@NPSS-INC.COM</t>
  </si>
  <si>
    <t>NEXT PHASE SOLUTIONS AND SERVICES, INC.</t>
  </si>
  <si>
    <t>10211 WINCOPIN CIRCLE, SUITE 502</t>
  </si>
  <si>
    <t>Glier</t>
  </si>
  <si>
    <t>Christl</t>
  </si>
  <si>
    <t>One American Square</t>
  </si>
  <si>
    <t>Suite 2900</t>
  </si>
  <si>
    <t>glier@icemiller.com</t>
  </si>
  <si>
    <t>Ice Miller LLP</t>
  </si>
  <si>
    <t>Cloud Infrastructure Administrator</t>
  </si>
  <si>
    <t xml:space="preserve">Computer Science, Engineering, or closely related field </t>
  </si>
  <si>
    <t>="Experience must include:
•	Writing Infrastructure-as-Code (IaC) using CloudFormation or Terraform.
•	Deploying, managing, and operating scalable, highly available, and fault-tolerant systems on AWS.
•	Designing and building web environments on AWS, whic</t>
  </si>
  <si>
    <t>Computer Science, Engineering, or closely related field</t>
  </si>
  <si>
    <t>10175 Little Patuxent Parkway</t>
  </si>
  <si>
    <t>Stowe</t>
  </si>
  <si>
    <t>Hardware Development Engineer II</t>
  </si>
  <si>
    <t>SUITE 1400</t>
  </si>
  <si>
    <t>Boone</t>
  </si>
  <si>
    <t>RICK</t>
  </si>
  <si>
    <t>Burton</t>
  </si>
  <si>
    <t>Roswell</t>
  </si>
  <si>
    <t>P-100-21165-393890</t>
  </si>
  <si>
    <t>West</t>
  </si>
  <si>
    <t>T. Terrell</t>
  </si>
  <si>
    <t>Director of Talent Operations &amp; Compliance</t>
  </si>
  <si>
    <t>3854 American Way</t>
  </si>
  <si>
    <t>Terrell.West@amedisys.com</t>
  </si>
  <si>
    <t>Amedisys Holding LLC</t>
  </si>
  <si>
    <t>200 South 10th Street</t>
  </si>
  <si>
    <t>chart@williamsmullen.com</t>
  </si>
  <si>
    <t>31-1011.00; 31-2022.00</t>
  </si>
  <si>
    <t>Home Health Aides; Physical Therapist Aides</t>
  </si>
  <si>
    <t>or foreign equivalent, in Physical Therapy, Physiotherapy, or a closely relate PT field.</t>
  </si>
  <si>
    <t>Director of Clinical Operations</t>
  </si>
  <si>
    <t>Travel within area to visit patients within commuting distance.</t>
  </si>
  <si>
    <t>2120 South Ridge Road</t>
  </si>
  <si>
    <t>Green Bay</t>
  </si>
  <si>
    <t xml:space="preserve">KRISTI </t>
  </si>
  <si>
    <t>KTAYLOR@FRAGOMEN.COM</t>
  </si>
  <si>
    <t>OMAR</t>
  </si>
  <si>
    <t>PLANET DISTRIBUTORS CORP</t>
  </si>
  <si>
    <t>HIALEAH</t>
  </si>
  <si>
    <t>HUMAN RESOURCES ASSISTANT</t>
  </si>
  <si>
    <t>671 W 18 TH ST</t>
  </si>
  <si>
    <t>McKinsey &amp; Company, Inc. United States</t>
  </si>
  <si>
    <t>Desai</t>
  </si>
  <si>
    <t>Nishita</t>
  </si>
  <si>
    <t>="Minimum of one (1) year of experience developing and applying predictive models and advanced statistical approaches in a corporate or consulting setting. Experience must include: Creating Cloud and Data environments for new projects using a mixture of A</t>
  </si>
  <si>
    <t>Principal Data Engineer</t>
  </si>
  <si>
    <t>McKinsey &amp; Company, Inc. US</t>
  </si>
  <si>
    <t>300 East Randolph Street, Suite 3100</t>
  </si>
  <si>
    <t>15-1199.10</t>
  </si>
  <si>
    <t>Florence</t>
  </si>
  <si>
    <t>Chun-Fruto</t>
  </si>
  <si>
    <t>1055 W. 7th Street</t>
  </si>
  <si>
    <t>eileen@chunfrutolaw.com</t>
  </si>
  <si>
    <t>Chun Fruto Law Corporation</t>
  </si>
  <si>
    <t>Muilenburg</t>
  </si>
  <si>
    <t>3043 W Dumont Dr</t>
  </si>
  <si>
    <t>Coeur d Alene</t>
  </si>
  <si>
    <t>GINNYM@DPL.TODAY</t>
  </si>
  <si>
    <t>DIVERSE PERSONNEL LOGISTICS LLC</t>
  </si>
  <si>
    <t>FORESTRY WORKER</t>
  </si>
  <si>
    <t>Customer Service Representatives</t>
  </si>
  <si>
    <t>2020 WTW Gen Industry Mid Mgmt, Pro, and Support Comp Survey</t>
  </si>
  <si>
    <t>Computer Science, Computer Engineering, Applied Computer Science, or related field of study</t>
  </si>
  <si>
    <t>="This position requires experience with the following skills and technologies: Writing application code in JAVA, J2EE, Java Persistence Application Programming Interface, Servlet, and JSP; Spring MVC, Spring Boot, Spring JDBC, Struts, Hibernate, Web Serv</t>
  </si>
  <si>
    <t>700 White Clay Center Drive</t>
  </si>
  <si>
    <t>SUITE 270</t>
  </si>
  <si>
    <t>Aurora</t>
  </si>
  <si>
    <t>Computer Systems Analyst</t>
  </si>
  <si>
    <t>Sanchez Quinones</t>
  </si>
  <si>
    <t>VP of Engineering</t>
  </si>
  <si>
    <t>Driver</t>
  </si>
  <si>
    <t>Hill</t>
  </si>
  <si>
    <t>5353 W. Bell Rd.</t>
  </si>
  <si>
    <t>Gibsonton</t>
  </si>
  <si>
    <t>MICHELLE</t>
  </si>
  <si>
    <t>P-400-21125-289621</t>
  </si>
  <si>
    <t>LEONEL DE CERVANTES</t>
  </si>
  <si>
    <t>SAYDE</t>
  </si>
  <si>
    <t>MARISOL</t>
  </si>
  <si>
    <t>6701 NIEDERWALD STRASSE</t>
  </si>
  <si>
    <t>ILS-SRANGEL@HOTMAIL.COM</t>
  </si>
  <si>
    <t>CAROLINA CONDUIT SYSTEMS, INC.</t>
  </si>
  <si>
    <t>128 AIRPORT INDUSTRIAL DRIVE</t>
  </si>
  <si>
    <t>CLAYTON</t>
  </si>
  <si>
    <t>Infinity Labor Source, Inc.</t>
  </si>
  <si>
    <t>CONSTRUCTION LABORERS</t>
  </si>
  <si>
    <t>MULTIPLE JOBSITES WITHIN</t>
  </si>
  <si>
    <t>7 W 34th St</t>
  </si>
  <si>
    <t>Senior Salesforce Developer</t>
  </si>
  <si>
    <t xml:space="preserve">Lauren </t>
  </si>
  <si>
    <t>TeamPaldino5@fragomen.com</t>
  </si>
  <si>
    <t>P-400-21165-393739</t>
  </si>
  <si>
    <t>THIBODEAU</t>
  </si>
  <si>
    <t>10 N LINDEN ST</t>
  </si>
  <si>
    <t>DUQUESNE</t>
  </si>
  <si>
    <t>STHIBODEAU@AMERICANTEXTILE.COM</t>
  </si>
  <si>
    <t>AMERICAN TEXTILE COMPANY, INC</t>
  </si>
  <si>
    <t>TIFTON</t>
  </si>
  <si>
    <t>VALERIO</t>
  </si>
  <si>
    <t>TRACEY</t>
  </si>
  <si>
    <t>7795 ENCHANTED PATH DR</t>
  </si>
  <si>
    <t>El Paso</t>
  </si>
  <si>
    <t>VALERIO@ALIGNMENTADVISORYLLC.COM</t>
  </si>
  <si>
    <t>ALIGNMENT ADVISORY</t>
  </si>
  <si>
    <t>SEWER</t>
  </si>
  <si>
    <t>SEWER SUPERVISOR</t>
  </si>
  <si>
    <t>500 OAK RIDGE CHURCH RD</t>
  </si>
  <si>
    <t>Elementary School Teachers, Except Special Education</t>
  </si>
  <si>
    <t>REED</t>
  </si>
  <si>
    <t>MUILENBURG</t>
  </si>
  <si>
    <t>DIVERSE PERSONNEL LOGISTICS</t>
  </si>
  <si>
    <t>Reid</t>
  </si>
  <si>
    <t>Paducah</t>
  </si>
  <si>
    <t>Jayme</t>
  </si>
  <si>
    <t>Levin</t>
  </si>
  <si>
    <t>P-100-21139-327461</t>
  </si>
  <si>
    <t>NARTAL SYSTEMS, INC</t>
  </si>
  <si>
    <t>2650 US-130</t>
  </si>
  <si>
    <t>="SKILLS REQUIRED: HTML, APEX, SOQL, SOSL, REST API, GITLAB, ANT, SALESFORCE, AND ECLIPSE. MASTER’S DEGREE IN SCIENCE, TECHNOLOGY, ENGINEERING, OR ANY RELATED FIELD WITH 1 YEAR OF EXPERIENCE IN THE JOB OFFERED OR RELATED OCCUPATION
IS REQUIRED. BACHELOR’S</t>
  </si>
  <si>
    <t xml:space="preserve">="Master’s degree in Science, Technology, Engineering, or any related field with 1 year of experience in the job offered or related occupation is required. Bachelor’s degree in the above mentioned fields along with 5 years of experience in job offered or </t>
  </si>
  <si>
    <t>P-100-21144-339814</t>
  </si>
  <si>
    <t>Brandt</t>
  </si>
  <si>
    <t>Client Services Manager</t>
  </si>
  <si>
    <t>444 South Flower Street, Suite 500</t>
  </si>
  <si>
    <t>C# 5602892</t>
  </si>
  <si>
    <t>Arrowhead Pharmaceuticals, Inc.</t>
  </si>
  <si>
    <t>177 East Colorado Boulevard</t>
  </si>
  <si>
    <t>aho@fragomen.com</t>
  </si>
  <si>
    <t>Regulatory Affairs Manager  [SOC: 11-9199.01, LVL 3 WAGE]</t>
  </si>
  <si>
    <t>Regulatory Science or related field of study.</t>
  </si>
  <si>
    <t>="Experience in pharmaceutical drug development; Experience developing and managing technical documentation and electronic document management systems; Knowledge in the preparation of GCP (Global Clinical Practice) documentation; Knowledge of the INDs (In</t>
  </si>
  <si>
    <t>Regulatory Affairs Managers</t>
  </si>
  <si>
    <t xml:space="preserve">Executive Director, Regulatory Affairs </t>
  </si>
  <si>
    <t>Up to 10% domestic and international travel required.</t>
  </si>
  <si>
    <t>SUITE 320</t>
  </si>
  <si>
    <t>P-100-21138-322432</t>
  </si>
  <si>
    <t>Berlin</t>
  </si>
  <si>
    <t>Lloyd</t>
  </si>
  <si>
    <t>6821 Southpoint Drive North</t>
  </si>
  <si>
    <t>Immigrationbob@aol.com</t>
  </si>
  <si>
    <t>Taylor Engineering, Inc.</t>
  </si>
  <si>
    <t>10199 Southside Boulevard</t>
  </si>
  <si>
    <t>Law Office of Robert L Berlin</t>
  </si>
  <si>
    <t>Water Resources Engineer</t>
  </si>
  <si>
    <t>Construction Management</t>
  </si>
  <si>
    <t>14499 Dale Mabry Highway</t>
  </si>
  <si>
    <t>Roger</t>
  </si>
  <si>
    <t>="Bachelor’s degree (or foreign equivalent) in Business Administration, any STEM field or a related field and two (2) years of related work experience in the job offered or in a related occupation. Must also have two (2) years of related work experience i</t>
  </si>
  <si>
    <t>P-100-21141-334533</t>
  </si>
  <si>
    <t>="Skills required: Java, J2EE, CSS3, HTML, MySQl, SQL, Tableau, REST/SOAP, VPC, EC2, LAMBDA, AWS, Google Cloud Platform.Master’s degree in Science, Technology, Engineering, or any related field with 1 year of experience in the job offered or related occup</t>
  </si>
  <si>
    <t>ISELIN</t>
  </si>
  <si>
    <t>Resendez</t>
  </si>
  <si>
    <t>Tomas</t>
  </si>
  <si>
    <t>she@fragomen.com</t>
  </si>
  <si>
    <t>Hebron</t>
  </si>
  <si>
    <t>P-400-21132-307588</t>
  </si>
  <si>
    <t>Presson</t>
  </si>
  <si>
    <t>8001 Harper Rd.</t>
  </si>
  <si>
    <t>Hixson</t>
  </si>
  <si>
    <t>tfsmp@comcast.net</t>
  </si>
  <si>
    <t>Timberland Forestry Service</t>
  </si>
  <si>
    <t>Mitchell Presson dba Timberland Forestry Service</t>
  </si>
  <si>
    <t>Forest &amp; Conservation Worker</t>
  </si>
  <si>
    <t>Owner Mitchell Presson</t>
  </si>
  <si>
    <t>466 Centerville Road</t>
  </si>
  <si>
    <t>Colombia Falls</t>
  </si>
  <si>
    <t>Southwest Maine nonmetropolitan area</t>
  </si>
  <si>
    <t>Senior Product Manager</t>
  </si>
  <si>
    <t>P-400-21140-330358</t>
  </si>
  <si>
    <t>Lewis-Flowers</t>
  </si>
  <si>
    <t>3734 Elvis Presley Blvd</t>
  </si>
  <si>
    <t>mlewis-flowers@graceland.com</t>
  </si>
  <si>
    <t>Guesthouse at Graceland</t>
  </si>
  <si>
    <t>Memphis, TN-MS-AR</t>
  </si>
  <si>
    <t>General Laborers</t>
  </si>
  <si>
    <t>Meltzer Hellrung LLC</t>
  </si>
  <si>
    <t>Director of Software Development</t>
  </si>
  <si>
    <t xml:space="preserve">Human Resources Business Partner </t>
  </si>
  <si>
    <t>Rolon</t>
  </si>
  <si>
    <t>Sr. HR and Operations Manager</t>
  </si>
  <si>
    <t>4901 International Pkwy</t>
  </si>
  <si>
    <t>Suite 1001</t>
  </si>
  <si>
    <t>erolon@auritas.com</t>
  </si>
  <si>
    <t>Auritas LLC</t>
  </si>
  <si>
    <t>PO Box 608</t>
  </si>
  <si>
    <t>Dunn Loring</t>
  </si>
  <si>
    <t>TomW@LiveImmigration.com</t>
  </si>
  <si>
    <t>Law Office of Thomas Williams</t>
  </si>
  <si>
    <t>SAP Consultant, Sr.</t>
  </si>
  <si>
    <t>Meyers Davis</t>
  </si>
  <si>
    <t>Please refer to F.b/c.b.5.a (IV)</t>
  </si>
  <si>
    <t>MCKINNEY</t>
  </si>
  <si>
    <t>P-100-21166-397651</t>
  </si>
  <si>
    <t>Data Product Associate</t>
  </si>
  <si>
    <t>Management Information Systems, Management and Systems Enterprise and Risk Management, or a related field</t>
  </si>
  <si>
    <t>="Experience must include one year working in fund administration function with hedge funds, private equity, and registered funds. Experience must include one year each of the following: data modeling experience working with data warehousing and productio</t>
  </si>
  <si>
    <t>SVP, Product Manager, Platform</t>
  </si>
  <si>
    <t>South Bend</t>
  </si>
  <si>
    <t>P.O. Box 674138</t>
  </si>
  <si>
    <t>Marietta</t>
  </si>
  <si>
    <t>ken@leimmigration.com</t>
  </si>
  <si>
    <t>Levine &amp; Eskandari, LLC</t>
  </si>
  <si>
    <t>Commerce</t>
  </si>
  <si>
    <t>21221 S. Western Ave.</t>
  </si>
  <si>
    <t>Agricultural Workers, All Other</t>
  </si>
  <si>
    <t>Development Engineer</t>
  </si>
  <si>
    <t>NANNY</t>
  </si>
  <si>
    <t>BEARDSLEY</t>
  </si>
  <si>
    <t>P-400-21125-289695</t>
  </si>
  <si>
    <t>SHARP FORESTRY, INC.</t>
  </si>
  <si>
    <t>734 SCHAEFFER CHAPPEL ROAD</t>
  </si>
  <si>
    <t>COLUMBUS</t>
  </si>
  <si>
    <t>TREE PRUNERS</t>
  </si>
  <si>
    <t>Northeast Mississippi nonmetropolitan area</t>
  </si>
  <si>
    <t>MADHAVI</t>
  </si>
  <si>
    <t>IT MANAGER</t>
  </si>
  <si>
    <t>P-100-21173-418004</t>
  </si>
  <si>
    <t>Ramdolfi</t>
  </si>
  <si>
    <t>3400 Riverside Dr.</t>
  </si>
  <si>
    <t>Burbank</t>
  </si>
  <si>
    <t>miguel.ramdolfi@warnerbros.com</t>
  </si>
  <si>
    <t>HBO Service Corporation</t>
  </si>
  <si>
    <t>Paige (JA 5619095)</t>
  </si>
  <si>
    <t>="Requires a Bachelor’s degree, or foreign equivalent degree in Computer Science or Computer Engineering, and five (5) years of progressive, post-baccalaureate experience in the job offered or five (5) years of progressive, post-baccalaureate experience i</t>
  </si>
  <si>
    <t>NOT APPLICABLE</t>
  </si>
  <si>
    <t xml:space="preserve">Global Immigration and Talent Mobility </t>
  </si>
  <si>
    <t>270 Brannan Street</t>
  </si>
  <si>
    <t>immigration@splunk.com</t>
  </si>
  <si>
    <t>Splunk Inc.</t>
  </si>
  <si>
    <t>3098 Olsen Drive</t>
  </si>
  <si>
    <t>P-100-21138-322976</t>
  </si>
  <si>
    <t>PRINCETON IT SERVICES INC.</t>
  </si>
  <si>
    <t>125 MAIDEN LANE</t>
  </si>
  <si>
    <t>SUITE 501</t>
  </si>
  <si>
    <t>SCIENCE, TECHNOLOGY, OR ENGINEERING (ANY)</t>
  </si>
  <si>
    <t>="MASTER’S DEGREE IN SCIENCE, TECHNOLOGY, OR ENGINEERING (ANY) WITH 1 YEAR OF EXPERIENCE IN JOB OFFERED OR RELATED OCCUPATION IS REQUIRED. BACHELOR’S DEGREE IN THE ABOVE FIELDS ALONG WITH 5 YEARS OF EXPERIENCE IN JOB OFFERED OR RELATED OCCUPATION IS ACCEP</t>
  </si>
  <si>
    <t>SUITE 501 AND VARIOUS UNANTICIPATED LOCATIONS THROUGHOUT THE U.S.</t>
  </si>
  <si>
    <t>P-100-21145-342782</t>
  </si>
  <si>
    <t>Manager, Data and Analytics Technology</t>
  </si>
  <si>
    <t>Engineering, Computer Science, Business Administration, Managing Information Technology, or a related field.</t>
  </si>
  <si>
    <t>="Minimum Requirements: 
Must have a Bachelor's degree or foreign equivalent in Engineering, Computer Science, Business Administration, Managing Information Technology, or a related field, plus 5 years of post-bachelor's, progressive related work experie</t>
  </si>
  <si>
    <t>655 New York Ave NW</t>
  </si>
  <si>
    <t xml:space="preserve">Daisy </t>
  </si>
  <si>
    <t>Unas</t>
  </si>
  <si>
    <t>Julieta</t>
  </si>
  <si>
    <t xml:space="preserve">Ariola </t>
  </si>
  <si>
    <t>4605 Lankershim Blvd.</t>
  </si>
  <si>
    <t>NORTH HOLLYWOOD</t>
  </si>
  <si>
    <t>jaulawofc@gmail.com</t>
  </si>
  <si>
    <t>Larson</t>
  </si>
  <si>
    <t>Populus Group, LLC</t>
  </si>
  <si>
    <t>3001 W. Big Beaver Road</t>
  </si>
  <si>
    <t>90 Park Avenue</t>
  </si>
  <si>
    <t>20th Floor</t>
  </si>
  <si>
    <t>Castellanos</t>
  </si>
  <si>
    <t>Jannette</t>
  </si>
  <si>
    <t>1925 Brickell Avenue</t>
  </si>
  <si>
    <t>Suite D-207</t>
  </si>
  <si>
    <t xml:space="preserve">HK Market, Inc. </t>
  </si>
  <si>
    <t>7904 West Dr</t>
  </si>
  <si>
    <t>Suite #8</t>
  </si>
  <si>
    <t>Velasco</t>
  </si>
  <si>
    <t>1177 Avenue of the Americas</t>
  </si>
  <si>
    <t>mvelasco@kramerlevin.com</t>
  </si>
  <si>
    <t>Kramer Levin Naftalis &amp; Frankel LLP</t>
  </si>
  <si>
    <t>Miranda</t>
  </si>
  <si>
    <t>Guaynabo</t>
  </si>
  <si>
    <t>CHAWLA</t>
  </si>
  <si>
    <t>mlee@jackson-hertogs.com</t>
  </si>
  <si>
    <t>Janelle</t>
  </si>
  <si>
    <t xml:space="preserve">Consulting, Senior Consultant </t>
  </si>
  <si>
    <t xml:space="preserve">50% travel required nationally. </t>
  </si>
  <si>
    <t>Alignment Advisory LLC</t>
  </si>
  <si>
    <t>Kelli</t>
  </si>
  <si>
    <t>420 20th Street North</t>
  </si>
  <si>
    <t xml:space="preserve">Computer Information Systems </t>
  </si>
  <si>
    <t>Leader, Software Engineering</t>
  </si>
  <si>
    <t>P-400-21131-302825</t>
  </si>
  <si>
    <t>ERICA</t>
  </si>
  <si>
    <t>4835 COLLINS AVE</t>
  </si>
  <si>
    <t>MIAMI BEACH</t>
  </si>
  <si>
    <t>EGonzalez@grandbeachhotel.com</t>
  </si>
  <si>
    <t>Grand Beach Hospitality Group, LLC</t>
  </si>
  <si>
    <t>HOUSEKEEPERS</t>
  </si>
  <si>
    <t xml:space="preserve">Jane </t>
  </si>
  <si>
    <t>Jane.Woolston@sabre.com</t>
  </si>
  <si>
    <t>Barnett</t>
  </si>
  <si>
    <t>alahatskaya@balglobal.com</t>
  </si>
  <si>
    <t xml:space="preserve">See F.a.2
</t>
  </si>
  <si>
    <t>Seo</t>
  </si>
  <si>
    <t>Joo Young</t>
  </si>
  <si>
    <t>Hyannis</t>
  </si>
  <si>
    <t>P-100-21174-422175</t>
  </si>
  <si>
    <t>VAGHANI</t>
  </si>
  <si>
    <t>BHUPAT</t>
  </si>
  <si>
    <t>1111 W MOCKINGBIRD LANE</t>
  </si>
  <si>
    <t>VAGHANI1971@GMAIL.COM</t>
  </si>
  <si>
    <t>VELVET ENTERPRISES LLC</t>
  </si>
  <si>
    <t>LIQUOR ISLAND</t>
  </si>
  <si>
    <t>RIJAL</t>
  </si>
  <si>
    <t>CHANDANI</t>
  </si>
  <si>
    <t>PATEL</t>
  </si>
  <si>
    <t>600 e john carpenter fwy</t>
  </si>
  <si>
    <t>suite 325</t>
  </si>
  <si>
    <t>chandani@rijallaw.com</t>
  </si>
  <si>
    <t>Rijal Law Firm, PC</t>
  </si>
  <si>
    <t>41-2011.00</t>
  </si>
  <si>
    <t>504 S MACARTHUR BLVD</t>
  </si>
  <si>
    <t>Tracey</t>
  </si>
  <si>
    <t>Walsh</t>
  </si>
  <si>
    <t>Fenton</t>
  </si>
  <si>
    <t>Velie</t>
  </si>
  <si>
    <t>Place</t>
  </si>
  <si>
    <t>Herlien</t>
  </si>
  <si>
    <t>Director, International Employment and Scholar Services</t>
  </si>
  <si>
    <t>1200 W. HARRISON ST., 2160 SSB</t>
  </si>
  <si>
    <t>OIS MC 326</t>
  </si>
  <si>
    <t>cherlien@uic.edu</t>
  </si>
  <si>
    <t>University of Illinois at Chicago</t>
  </si>
  <si>
    <t>1200 W Harrison Street</t>
  </si>
  <si>
    <t>Katy</t>
  </si>
  <si>
    <t xml:space="preserve">Buenrostro </t>
  </si>
  <si>
    <t>1812 N Moore Street</t>
  </si>
  <si>
    <t>usimmigration@us.nestle.com</t>
  </si>
  <si>
    <t>Nespresso USA, Inc.</t>
  </si>
  <si>
    <t>111 West 33rd Street</t>
  </si>
  <si>
    <t>Maka</t>
  </si>
  <si>
    <t>derek.maka@ogletreedeakins.com</t>
  </si>
  <si>
    <t>Manager Digital Marketing Strategy</t>
  </si>
  <si>
    <t>See section F.b.5.a(iv)</t>
  </si>
  <si>
    <t>See section F.c.5.a(iv)</t>
  </si>
  <si>
    <t>="Alternatively, employer will also accept a Bachelor’s degree or foreign equivalent in Analytics, Engineering, Business Administration, Marketing or similar field plus 4 years of experience in the job offered or in Performance Media or Direct Response Ma</t>
  </si>
  <si>
    <t>111 W 33rd Street</t>
  </si>
  <si>
    <t>P-400-21150-356237</t>
  </si>
  <si>
    <t>CARVELLI</t>
  </si>
  <si>
    <t>MARCO</t>
  </si>
  <si>
    <t xml:space="preserve">599 S. Collier Blvd </t>
  </si>
  <si>
    <t>MARCO ISLAND</t>
  </si>
  <si>
    <t xml:space="preserve">Davinci Restaurant </t>
  </si>
  <si>
    <t>599 S. Collier Blvd</t>
  </si>
  <si>
    <t>COOKS</t>
  </si>
  <si>
    <t>CHEF</t>
  </si>
  <si>
    <t>625 Liberty Ave</t>
  </si>
  <si>
    <t xml:space="preserve">Paralegal </t>
  </si>
  <si>
    <t>Head Housekeeper</t>
  </si>
  <si>
    <t>Prospect Heights</t>
  </si>
  <si>
    <t>200 W Adams St</t>
  </si>
  <si>
    <t>gov@krilaw.com</t>
  </si>
  <si>
    <t xml:space="preserve">Norcross   </t>
  </si>
  <si>
    <t>P-400-21148-354136</t>
  </si>
  <si>
    <t>Jurek</t>
  </si>
  <si>
    <t>1600 Solana Road</t>
  </si>
  <si>
    <t>CJurek@rpgolfclub.com</t>
  </si>
  <si>
    <t>Royal Poinciana Golf Club, Inc.</t>
  </si>
  <si>
    <t>Server Assistant</t>
  </si>
  <si>
    <t>="The Petitioner will consider for employment any person who possesses at least three (3) months of experience in a fine-dining or high-volume environment at a high-end restaurant, resort, or private club. 
Applicant must complete pre-employment backgrou</t>
  </si>
  <si>
    <t>Food &amp; Beverage Operations Manager</t>
  </si>
  <si>
    <t>EDWARD</t>
  </si>
  <si>
    <t>Rochester Hills</t>
  </si>
  <si>
    <t>925 Fourth Avenue***</t>
  </si>
  <si>
    <t>Sr. Manager, Global Total Rewards</t>
  </si>
  <si>
    <t>3530 Hayden Ave</t>
  </si>
  <si>
    <t>mariana@scopely.com</t>
  </si>
  <si>
    <t>Scopely, Inc.</t>
  </si>
  <si>
    <t>P-400-21130-299083</t>
  </si>
  <si>
    <t xml:space="preserve">Leitman </t>
  </si>
  <si>
    <t xml:space="preserve">Chief Financial Officer </t>
  </si>
  <si>
    <t xml:space="preserve">15755 Corso Mediterra Circle </t>
  </si>
  <si>
    <t>RickL@clubmediterra.com</t>
  </si>
  <si>
    <t xml:space="preserve">The Club At Mediterra, Inc. </t>
  </si>
  <si>
    <t>="The petitioner will consider for employment any person who possesses at least three (3) months of service experience in a fine-dining or high-volume environment at a high-end restaurant, resort, or private club.  Applicant must complete pre-employment b</t>
  </si>
  <si>
    <t xml:space="preserve">Director of Food and Beverage </t>
  </si>
  <si>
    <t>All worksites located in Collier and Lee Counties, Florida. Workers are assigned to one (1) worksite per day, and rarely travel outside of their assigned worksite. Therefore, travel throughout this area is required less than 5% of the time. When travel between worksites is required, transportation between worksites will be provided.</t>
  </si>
  <si>
    <t xml:space="preserve">Naples </t>
  </si>
  <si>
    <t>Silzer</t>
  </si>
  <si>
    <t>Scot</t>
  </si>
  <si>
    <t>1277 N. Semoran Blvd.</t>
  </si>
  <si>
    <t>STE 106</t>
  </si>
  <si>
    <t>slc@silzerlaw.com</t>
  </si>
  <si>
    <t>SilzerLaw Chartered</t>
  </si>
  <si>
    <t>Silvia</t>
  </si>
  <si>
    <t>Employment Immigration Specialist</t>
  </si>
  <si>
    <t>800 W. Campbell Rd</t>
  </si>
  <si>
    <t>kdv@davidswaimlaw.com</t>
  </si>
  <si>
    <t>The University of Texas at Dallas</t>
  </si>
  <si>
    <t>UTD</t>
  </si>
  <si>
    <t>800 W. Campbell Rd.</t>
  </si>
  <si>
    <t>Swaim</t>
  </si>
  <si>
    <t>12770 Coit Rd</t>
  </si>
  <si>
    <t>Ste 700</t>
  </si>
  <si>
    <t>800 W Campbell Rd</t>
  </si>
  <si>
    <t xml:space="preserve">Machine Learning Engineer </t>
  </si>
  <si>
    <t>Farm Equipment Mechanics and Service Technicians</t>
  </si>
  <si>
    <t>Mesa</t>
  </si>
  <si>
    <t>Schaffer</t>
  </si>
  <si>
    <t>Financial Specialists, All Other</t>
  </si>
  <si>
    <t>Oklahoma City</t>
  </si>
  <si>
    <t>Reyes Bonhagen / Cho-Vera</t>
  </si>
  <si>
    <t>P-400-21133-311151</t>
  </si>
  <si>
    <t>Regional Director of Talent &amp; Culture</t>
  </si>
  <si>
    <t>2821 Turtle Creek Boulevard</t>
  </si>
  <si>
    <t>cathy.white@rosewoodhotels.com</t>
  </si>
  <si>
    <t>Mansion Hotel, LLC</t>
  </si>
  <si>
    <t>Rosewood Mansion on Turtle Creek</t>
  </si>
  <si>
    <t>AVENTURA</t>
  </si>
  <si>
    <t>Computer Science, Information Technology, or a related field.</t>
  </si>
  <si>
    <t>P-400-21148-353788</t>
  </si>
  <si>
    <t>Montejano</t>
  </si>
  <si>
    <t>Joseluis</t>
  </si>
  <si>
    <t xml:space="preserve">4013 Prescott </t>
  </si>
  <si>
    <t>El Rinconcito Restaurant</t>
  </si>
  <si>
    <t>4013 Prescott</t>
  </si>
  <si>
    <t>Cooks, All Other</t>
  </si>
  <si>
    <t>Corpus Christi, TX</t>
  </si>
  <si>
    <t>P.O. BOX 301407, UNIT 1733</t>
  </si>
  <si>
    <t>P-400-21133-309890</t>
  </si>
  <si>
    <t>Concrete Finisher</t>
  </si>
  <si>
    <t xml:space="preserve">Will travel to worksite daily. </t>
  </si>
  <si>
    <t>3412 Jim Street</t>
  </si>
  <si>
    <t>P-400-21131-302820</t>
  </si>
  <si>
    <t>Practical Property Group, LLC (IN)</t>
  </si>
  <si>
    <t xml:space="preserve">Charlottesville </t>
  </si>
  <si>
    <t>Landscape Crew Member</t>
  </si>
  <si>
    <t>="Must lift/carry 50 lbs., when necessary.  Saturday and Sunday work required, when necessary.  Post-hire upon suspicion of use and post-accident drug testing required of foreign and domestic workers. Employees who drive company vehicles will be paid an e</t>
  </si>
  <si>
    <t xml:space="preserve">VP of Operations </t>
  </si>
  <si>
    <t>P-400-21153-360889</t>
  </si>
  <si>
    <t>Lupekha, currently Kondramashin</t>
  </si>
  <si>
    <t>Inna</t>
  </si>
  <si>
    <t>58 Autumn Blaze Way</t>
  </si>
  <si>
    <t>Ephrata</t>
  </si>
  <si>
    <t>tpastryshop@gmail.com</t>
  </si>
  <si>
    <t>Tanya's Pastry Shop</t>
  </si>
  <si>
    <t>Inna's Pierogi Shop</t>
  </si>
  <si>
    <t>Pierogi Packer and Filling Maker</t>
  </si>
  <si>
    <t>813 Rothsville Road</t>
  </si>
  <si>
    <t>Lititz</t>
  </si>
  <si>
    <t>Lancaster, PA</t>
  </si>
  <si>
    <t>Chavez</t>
  </si>
  <si>
    <t>Koskovich</t>
  </si>
  <si>
    <t>Garett</t>
  </si>
  <si>
    <t>gkoskovi@cccis.com</t>
  </si>
  <si>
    <t xml:space="preserve">Jeffery </t>
  </si>
  <si>
    <t>Kathy</t>
  </si>
  <si>
    <t>200 State Street</t>
  </si>
  <si>
    <t>13th Floor</t>
  </si>
  <si>
    <t>robyn.davis@odnss.com</t>
  </si>
  <si>
    <t>Pear Therapeutics, Inc</t>
  </si>
  <si>
    <t xml:space="preserve">200 State Street </t>
  </si>
  <si>
    <t>melina.villalobos@odnss.com</t>
  </si>
  <si>
    <t xml:space="preserve">Associate Director, Product Management </t>
  </si>
  <si>
    <t xml:space="preserve">Business Administration, Computer Science, Information Systems, Biomedical Technology, Public Health or related field of study </t>
  </si>
  <si>
    <t>Vice President of Product</t>
  </si>
  <si>
    <t>Riley</t>
  </si>
  <si>
    <t>CLATON</t>
  </si>
  <si>
    <t>215 10TH STREET STE 1300</t>
  </si>
  <si>
    <t>DES MOINES</t>
  </si>
  <si>
    <t>denise.claton@dentons.com</t>
  </si>
  <si>
    <t>Dentons Davis Brown PC</t>
  </si>
  <si>
    <t>Computer Science*</t>
  </si>
  <si>
    <t>P-100-21141-333542</t>
  </si>
  <si>
    <t>ILOGIC INC</t>
  </si>
  <si>
    <t>3525 QUAKERBRIDGE RD</t>
  </si>
  <si>
    <t>SUITE # 1400</t>
  </si>
  <si>
    <t xml:space="preserve">SOFTWARE DEVELOPER </t>
  </si>
  <si>
    <t>SUITE # 1400 and various unanticipated locations throughout the U.S.</t>
  </si>
  <si>
    <t>Floor 3</t>
  </si>
  <si>
    <t>IT SDE (Software Engineer)</t>
  </si>
  <si>
    <t>CS,ENG,MATH,IS,PHYS OR A RELATED FIELD</t>
  </si>
  <si>
    <t>="-Education: Bachelor’s or foreign equivalent degree in Computer Science, Engineering, Mathematics, Information Systems, Physics or a related field.
-5 years of progressive, post-baccalaureate software development experience formulating and analyzing so</t>
  </si>
  <si>
    <t>GROUP FINANCE MANAGER</t>
  </si>
  <si>
    <t>VP of Human Resources</t>
  </si>
  <si>
    <t>Alamedatech Solutions LLC</t>
  </si>
  <si>
    <t>1464 E.Whitestone Blvd</t>
  </si>
  <si>
    <t>Ste 1803-E</t>
  </si>
  <si>
    <t>Cedar Park</t>
  </si>
  <si>
    <t>TRAVEL TO OUR CLIENTS' SITES THROUGHOUT USA</t>
  </si>
  <si>
    <t>P-100-21154-367927</t>
  </si>
  <si>
    <t>Thibodeau</t>
  </si>
  <si>
    <t>292 Newbury Street</t>
  </si>
  <si>
    <t>02115-2801</t>
  </si>
  <si>
    <t>bdthibodeau@artsconsulting.com</t>
  </si>
  <si>
    <t>Arts Consulting Group, Inc.</t>
  </si>
  <si>
    <t>Alznauer</t>
  </si>
  <si>
    <t>Katherina</t>
  </si>
  <si>
    <t>Butakova</t>
  </si>
  <si>
    <t>16501 Ventura Boulevard</t>
  </si>
  <si>
    <t>perm@perryalznauer.com</t>
  </si>
  <si>
    <t>Perry &amp; Alznauer, P.C.</t>
  </si>
  <si>
    <t>Vice President - Executive Search</t>
  </si>
  <si>
    <t>Any field of study.</t>
  </si>
  <si>
    <t>="Three years of experience must include three years at an organization in the arts and culture sector creating synergy within a geographically dispersed workforce through regular conference calls, meetings, and team summits; establishing strategic initia</t>
  </si>
  <si>
    <t>Senior Vice President - Leadership Transitions</t>
  </si>
  <si>
    <t>This position allows 70-80% telecommuting from within commuting distance of the San Diego office.  Executive search travel required nationally, 20-30% of the time.</t>
  </si>
  <si>
    <t>501 West Broadway</t>
  </si>
  <si>
    <t>Suite A-582</t>
  </si>
  <si>
    <t>Ottenbacher</t>
  </si>
  <si>
    <t>Payroll</t>
  </si>
  <si>
    <t>205 6th Ave SE</t>
  </si>
  <si>
    <t>Aberdeen</t>
  </si>
  <si>
    <t>john@hvisasolutions.com</t>
  </si>
  <si>
    <t>Bedell</t>
  </si>
  <si>
    <t>2818 Magnolia Ave</t>
  </si>
  <si>
    <t>H Visa Solutions, Inc</t>
  </si>
  <si>
    <t>Maids and housekeepers</t>
  </si>
  <si>
    <t>Transportation Engineer</t>
  </si>
  <si>
    <t>Director of Talent Acquisitions</t>
  </si>
  <si>
    <t>ginger.dubois@op-careers.com</t>
  </si>
  <si>
    <t>Steward</t>
  </si>
  <si>
    <t>Ross</t>
  </si>
  <si>
    <t>P-400-21146-347536</t>
  </si>
  <si>
    <t>Kalmer</t>
  </si>
  <si>
    <t>August</t>
  </si>
  <si>
    <t>485 N HWY Drive</t>
  </si>
  <si>
    <t>akalmer1@netzero.com</t>
  </si>
  <si>
    <t>Accent Lawn and Landscape LLC</t>
  </si>
  <si>
    <t>="Must be 18 due to insurance. Must show proof of legal authorization to work in the United States. Drug/alcohol/tobacco-free work zone. Perform physical activities: such as lift, balance, walk, stoop, handle, position, move, manipulate materials use stat</t>
  </si>
  <si>
    <t>Transport provided, designated locale to job site. Begin in St. Louis  County, MO. Continue in Counties/Areas: Franklin, Jefferson, St. Louis, St. Louis city and areas of St. Louis, MO-IL.</t>
  </si>
  <si>
    <t>485 N HWY Drive (Report to Work)</t>
  </si>
  <si>
    <t>PORTLAND</t>
  </si>
  <si>
    <t>1111 Pennsylvania Avenue, NW</t>
  </si>
  <si>
    <t>Sabates</t>
  </si>
  <si>
    <t>Patty</t>
  </si>
  <si>
    <t>18001 Collins Avenue</t>
  </si>
  <si>
    <t>Sunny Isles Beach</t>
  </si>
  <si>
    <t>Trump International Beach Resort</t>
  </si>
  <si>
    <t>Felicia@pesusa.com</t>
  </si>
  <si>
    <t>Attorney of Record</t>
  </si>
  <si>
    <t xml:space="preserve">Washington </t>
  </si>
  <si>
    <t>P-100-21181-436135</t>
  </si>
  <si>
    <t>Information Systems, Electrical/Electronic Engineering, &amp;/or Computer Engineering, or Science, or related Science or Engineering Discipline.</t>
  </si>
  <si>
    <t>P-400-21152-360215</t>
  </si>
  <si>
    <t>co-owner</t>
  </si>
  <si>
    <t>892 BROAD RIVER DR</t>
  </si>
  <si>
    <t>Beaufort</t>
  </si>
  <si>
    <t>South Carolina</t>
  </si>
  <si>
    <t>reb892@gmail.com</t>
  </si>
  <si>
    <t>100 Pines Lawn Care LLc</t>
  </si>
  <si>
    <t>103 Pine Cove St.</t>
  </si>
  <si>
    <t>Landscape Team Leader</t>
  </si>
  <si>
    <t>Beaufort County South Carolina</t>
  </si>
  <si>
    <t xml:space="preserve">Beaufort County </t>
  </si>
  <si>
    <t>Broad River Drive</t>
  </si>
  <si>
    <t>Hilton Head Island-Bluffton-Beaufort, SC</t>
  </si>
  <si>
    <t>Longmont</t>
  </si>
  <si>
    <t>O’Fallon</t>
  </si>
  <si>
    <t>Enrique</t>
  </si>
  <si>
    <t>Haltom</t>
  </si>
  <si>
    <t>1133 Broadway</t>
  </si>
  <si>
    <t>Suite 715</t>
  </si>
  <si>
    <t>Real Estate Data Analyst</t>
  </si>
  <si>
    <t>Dean</t>
  </si>
  <si>
    <t>Springfield</t>
  </si>
  <si>
    <t>Eugene</t>
  </si>
  <si>
    <t>Forestry Worker</t>
  </si>
  <si>
    <t>Worthington</t>
  </si>
  <si>
    <t>Clerk</t>
  </si>
  <si>
    <t>P-400-21153-361588</t>
  </si>
  <si>
    <t>GREGO</t>
  </si>
  <si>
    <t>KIRK</t>
  </si>
  <si>
    <t>1621 SE SUMMIT STREET</t>
  </si>
  <si>
    <t>LEES SUMMIT</t>
  </si>
  <si>
    <t>MID-AMERICA GOLF &amp; LANDSCAPE INC</t>
  </si>
  <si>
    <t xml:space="preserve">1621 SE SUMMIT STREET </t>
  </si>
  <si>
    <t xml:space="preserve">MULTIPLE SITES IN JACKSON COUNTY </t>
  </si>
  <si>
    <t xml:space="preserve">LEES SUMMIT </t>
  </si>
  <si>
    <t>Kansas City, MO-KS</t>
  </si>
  <si>
    <t>CEO/Owner</t>
  </si>
  <si>
    <t>Green Cove Springs</t>
  </si>
  <si>
    <t>Amitai</t>
  </si>
  <si>
    <t>685 River Avenue</t>
  </si>
  <si>
    <t>alevin@tendertouch.com</t>
  </si>
  <si>
    <t>Tender Touch Rehab Services LLC</t>
  </si>
  <si>
    <t>420 Lexington Avenue, Suite 2400</t>
  </si>
  <si>
    <t>stang@ctswlaw.com</t>
  </si>
  <si>
    <t>Cohen Tauber Spievack &amp; Wagner P.C.</t>
  </si>
  <si>
    <t>or equivalent in Physical Therapy or related</t>
  </si>
  <si>
    <t>Senior Manager, Product Management</t>
  </si>
  <si>
    <t>Developer</t>
  </si>
  <si>
    <t>P-100-21138-324399</t>
  </si>
  <si>
    <t>Slaney</t>
  </si>
  <si>
    <t>1611 Telegraph Avenue, #1500</t>
  </si>
  <si>
    <t>LICENSED ARCHITECT</t>
  </si>
  <si>
    <t>2021 7th AVENUE</t>
  </si>
  <si>
    <t>Jiaqi</t>
  </si>
  <si>
    <t>40 Wall Street, 28th Fl</t>
  </si>
  <si>
    <t>nyfgentertainmentinc@gmail.com</t>
  </si>
  <si>
    <t>NYFG Entertainment Inc.</t>
  </si>
  <si>
    <t>Bachelor’s Degree in Public Relations or Communications.</t>
  </si>
  <si>
    <t>Romulus</t>
  </si>
  <si>
    <t>P-100-21124-285334</t>
  </si>
  <si>
    <t>Baracco</t>
  </si>
  <si>
    <t>Johanna</t>
  </si>
  <si>
    <t>Director, People &amp; Talent</t>
  </si>
  <si>
    <t>4001 South 700 East</t>
  </si>
  <si>
    <t>johanna.barraco@wgu.edu</t>
  </si>
  <si>
    <t>Western Governors University</t>
  </si>
  <si>
    <t>36 E South Temple</t>
  </si>
  <si>
    <t>eyoung@kmclaw.com</t>
  </si>
  <si>
    <t>Kirton McConkie</t>
  </si>
  <si>
    <t>Computer Science or a closely related degree.</t>
  </si>
  <si>
    <t>="Location: Salt Lake City, Utah with Telecommuting available from any U.S. location and:
(1) Master's degree in computer science or related degree; plus 2 years experience in a software engineering position developing web-based applications and web servi</t>
  </si>
  <si>
    <t>Computer science or related degree</t>
  </si>
  <si>
    <t>Software Developers, Applications, Non R&amp;D</t>
  </si>
  <si>
    <t>Wholesale and Retail Buyers, Except Farm Products</t>
  </si>
  <si>
    <t>SUITE 2000</t>
  </si>
  <si>
    <t>Clinical Data Managers</t>
  </si>
  <si>
    <t>P-100-21173-418758</t>
  </si>
  <si>
    <t>Lidard</t>
  </si>
  <si>
    <t xml:space="preserve">Manager Global Mobility &amp; Immigration </t>
  </si>
  <si>
    <t>6175 S. Willow Drive</t>
  </si>
  <si>
    <t>john.combs@csgi.com</t>
  </si>
  <si>
    <t xml:space="preserve">CSG Systems, Inc. </t>
  </si>
  <si>
    <t>d/b/a CSG</t>
  </si>
  <si>
    <t>Combs</t>
  </si>
  <si>
    <t>2000 S. Colorado Blvd. Tower 3.</t>
  </si>
  <si>
    <t>Ste 900</t>
  </si>
  <si>
    <t>tanya.litinsky@ogletree.com</t>
  </si>
  <si>
    <t>Ogletree, Deakins, Nash, Smoak &amp; Stewart, P.C</t>
  </si>
  <si>
    <t>Software Development Engr II</t>
  </si>
  <si>
    <t>Software Development, Computer Science, Information Technology, or related.</t>
  </si>
  <si>
    <t>="Requires post Bachelor’s experience (two years with Master’s or five years with Bachelor’s), which must include some experience in each of the following: .NET, C#, AWS, SQL, SQL Server, Oracle, JIRA, Confluence, Azure DevOps, Jenkins, CI/CD, React and N</t>
  </si>
  <si>
    <t>1 N Dearborn Street</t>
  </si>
  <si>
    <t>Ste 1400</t>
  </si>
  <si>
    <t>HR Specialist Front Office – US &amp; Canada Immigration</t>
  </si>
  <si>
    <t>901 MAIN CAMPUS DRIVE</t>
  </si>
  <si>
    <t>us-pgimmigration@hitachi-powergrids.com</t>
  </si>
  <si>
    <t>ABB ENTERPRISE SOFTWARE INC.</t>
  </si>
  <si>
    <t>Hitachi ABB Power Grids</t>
  </si>
  <si>
    <t>2440 Kiewit Road</t>
  </si>
  <si>
    <t>Ingleside</t>
  </si>
  <si>
    <t>Welders, Cutters, Solderers, and Brazers</t>
  </si>
  <si>
    <t>Paula</t>
  </si>
  <si>
    <t>JASON</t>
  </si>
  <si>
    <t>Systems Manager</t>
  </si>
  <si>
    <t>Phuong</t>
  </si>
  <si>
    <t>801 E Campbell Road</t>
  </si>
  <si>
    <t>Ste. 525</t>
  </si>
  <si>
    <t>vivien.le@fsoft.com.vn</t>
  </si>
  <si>
    <t>FPT USA Corporation</t>
  </si>
  <si>
    <t>Human Factors Engineers and Ergonomists</t>
  </si>
  <si>
    <t>Dining Room Attendant</t>
  </si>
  <si>
    <t>Bakersfield</t>
  </si>
  <si>
    <t>11835 W. Olympic Blvd Ste 380</t>
  </si>
  <si>
    <t>rey@alglawyers.com</t>
  </si>
  <si>
    <t>ALG Lawyers</t>
  </si>
  <si>
    <t>Kimoto</t>
  </si>
  <si>
    <t>Makoto</t>
  </si>
  <si>
    <t>224 Broadway East</t>
  </si>
  <si>
    <t>makotz.ca@gmail.com</t>
  </si>
  <si>
    <t>Makotz Corporation</t>
  </si>
  <si>
    <t>Rondo</t>
  </si>
  <si>
    <t>Webster</t>
  </si>
  <si>
    <t>Fry</t>
  </si>
  <si>
    <t>J. Steven</t>
  </si>
  <si>
    <t>Director, Human Resources and General Manager</t>
  </si>
  <si>
    <t>J.Steven.Fry@earlywarning.com</t>
  </si>
  <si>
    <t>Early Warning Services, LLC</t>
  </si>
  <si>
    <t>16552 N 90th St, Ste 100</t>
  </si>
  <si>
    <t>16552 N. 90th Street</t>
  </si>
  <si>
    <t>P-400-21131-304059</t>
  </si>
  <si>
    <t>NORDIKE</t>
  </si>
  <si>
    <t>JAMIE</t>
  </si>
  <si>
    <t>1510 WASHINGTON STREET</t>
  </si>
  <si>
    <t>CARLYLE</t>
  </si>
  <si>
    <t>JAMIENORDIKE@GMAIL.COM</t>
  </si>
  <si>
    <t>PREMIER LANDSCAPE &amp; DESIGN</t>
  </si>
  <si>
    <t>1510 WASHINGTON ST</t>
  </si>
  <si>
    <t>LANDSCAPING AND GROUNDSKEEPING WORKERS</t>
  </si>
  <si>
    <t>P-100-21137-318631</t>
  </si>
  <si>
    <t>6COM, INC.</t>
  </si>
  <si>
    <t>15 CORPORATE PLACE S</t>
  </si>
  <si>
    <t xml:space="preserve">PISCATAWAY </t>
  </si>
  <si>
    <t>SOUTH PAINFIELD</t>
  </si>
  <si>
    <t>SUITE 210 AND VARIOUS UNANTICIPATED LOCATIONS THROUGHOUT THE US.</t>
  </si>
  <si>
    <t>Living</t>
  </si>
  <si>
    <t>Pat</t>
  </si>
  <si>
    <t>HR Supervisor</t>
  </si>
  <si>
    <t>17220 Katy Freeway</t>
  </si>
  <si>
    <t>pat.living@subsea7.com</t>
  </si>
  <si>
    <t>Subsea 7 (US), LLC</t>
  </si>
  <si>
    <t>Cobb</t>
  </si>
  <si>
    <t>Denise (4875366)</t>
  </si>
  <si>
    <t>4 Houston Center, 1331 Lamar Street</t>
  </si>
  <si>
    <t>Suite 1570</t>
  </si>
  <si>
    <t>kcobb@fragomen.com</t>
  </si>
  <si>
    <t>Fragomen. Del Rey, Bernsen &amp; Loewy, LLP</t>
  </si>
  <si>
    <t>COLEMAN</t>
  </si>
  <si>
    <t>LINDSEY</t>
  </si>
  <si>
    <t>Coker</t>
  </si>
  <si>
    <t>Diana</t>
  </si>
  <si>
    <t xml:space="preserve">Lead Software Engineer </t>
  </si>
  <si>
    <t>P-100-21173-418579</t>
  </si>
  <si>
    <t>Bobrovnikov</t>
  </si>
  <si>
    <t>Associate Director, Global Immigration</t>
  </si>
  <si>
    <t>10 Moore Drive</t>
  </si>
  <si>
    <t>US&amp;CanadaImmigration@labcorp.com</t>
  </si>
  <si>
    <t>Laboratory Corporation of America</t>
  </si>
  <si>
    <t>3060 S. Church Street</t>
  </si>
  <si>
    <t>Rubin</t>
  </si>
  <si>
    <t>March</t>
  </si>
  <si>
    <t>301 Fayetteville Street</t>
  </si>
  <si>
    <t>tracycapella@parkerpoe.com</t>
  </si>
  <si>
    <t>Parker, Poe, Adams and Bernstein, LLP</t>
  </si>
  <si>
    <t>IT Technical Specialist/Hyperion Technology Administrator</t>
  </si>
  <si>
    <t>Engineering, Computer Science, Computer Information Systems, or Accounting</t>
  </si>
  <si>
    <t>="Requires 5 years of experience in the following:
-Oracle Hyperion Financial Management administration
-Oracle EPM version 11 Hyperion applications: Oracle Essbase, Hyperion Planning, Oracle Data Relationship Management/Governance (DRM/DRG) and Financia</t>
  </si>
  <si>
    <t>Any Field</t>
  </si>
  <si>
    <t>Illinois</t>
  </si>
  <si>
    <t>15-1199.02</t>
  </si>
  <si>
    <t>Accounting Clerk</t>
  </si>
  <si>
    <t>P-100-21135-316549</t>
  </si>
  <si>
    <t>DIGIXFORM INC</t>
  </si>
  <si>
    <t>44330 MERCURE CIR</t>
  </si>
  <si>
    <t>250 b</t>
  </si>
  <si>
    <t>DULLES</t>
  </si>
  <si>
    <t>44330 MERCURE INC</t>
  </si>
  <si>
    <t>250 B &amp; Various unanticipated locations throughout U.S.</t>
  </si>
  <si>
    <t>Goel &amp; Anderson LLC</t>
  </si>
  <si>
    <t xml:space="preserve">Electrical/Electronic Engineering, &amp;/or Computer Engineering, or Science, or related Science or Engineering Discipline.
</t>
  </si>
  <si>
    <t>Huey</t>
  </si>
  <si>
    <t xml:space="preserve">Houston </t>
  </si>
  <si>
    <t>DE LA PAZ</t>
  </si>
  <si>
    <t>RAFAEL</t>
  </si>
  <si>
    <t>229 ST. GEORGE STREET</t>
  </si>
  <si>
    <t>GONZALES</t>
  </si>
  <si>
    <t>DELAPAZR@CHCSCT.COM</t>
  </si>
  <si>
    <t>COMMUNITY HEALTH CENTERS OF SOUTH CENTRAL TEXAS INC.</t>
  </si>
  <si>
    <t>CHOE</t>
  </si>
  <si>
    <t>RE: COMM HEALTH CTR OF SOUTH CEN TX</t>
  </si>
  <si>
    <t>PERM@GIP-US.COM</t>
  </si>
  <si>
    <t>GLOBAL IMMIGRATION PARTNERS</t>
  </si>
  <si>
    <t>DENTIST</t>
  </si>
  <si>
    <t>P-100-21132-308025</t>
  </si>
  <si>
    <t>MAHMOOD</t>
  </si>
  <si>
    <t>8449 Almeda Genoa Rd.</t>
  </si>
  <si>
    <t>mahmood-sultan@hotmail.com</t>
  </si>
  <si>
    <t>SHOUGAN, INC.</t>
  </si>
  <si>
    <t>CHAUDHRY</t>
  </si>
  <si>
    <t>MISBAH</t>
  </si>
  <si>
    <t>11511 Katy Fwy</t>
  </si>
  <si>
    <t>LAWOFFICES@MISBAHCHAUDHRY.COM</t>
  </si>
  <si>
    <t>Misbah Chaudhry and Associates PLLC</t>
  </si>
  <si>
    <t>RETAIL SALES CONSULTANT</t>
  </si>
  <si>
    <t>Ste 2</t>
  </si>
  <si>
    <t>Regional Director</t>
  </si>
  <si>
    <t>Stewart</t>
  </si>
  <si>
    <t>P-400-21124-284507</t>
  </si>
  <si>
    <t>1217 Brumlow Ave.</t>
  </si>
  <si>
    <t>Chapman Outdoors, LLC</t>
  </si>
  <si>
    <t xml:space="preserve">CAROLINA </t>
  </si>
  <si>
    <t>P-400-21147-350281</t>
  </si>
  <si>
    <t>Secondos</t>
  </si>
  <si>
    <t>owner</t>
  </si>
  <si>
    <t>991 ocean drive</t>
  </si>
  <si>
    <t>cape may</t>
  </si>
  <si>
    <t>secondopanicos@gmail.com</t>
  </si>
  <si>
    <t>secondo panicos</t>
  </si>
  <si>
    <t>food worker helper</t>
  </si>
  <si>
    <t>Food Preparation and Serving Related Workers, All Other</t>
  </si>
  <si>
    <t>Ocean City, NJ</t>
  </si>
  <si>
    <t>India</t>
  </si>
  <si>
    <t>191 Peachtree St. NE</t>
  </si>
  <si>
    <t>indiasmith@coopercarry.com</t>
  </si>
  <si>
    <t>Cooper Carry, Inc.</t>
  </si>
  <si>
    <t>jlevine@bakerlaw.com</t>
  </si>
  <si>
    <t>Baker &amp; Hostetler LLP</t>
  </si>
  <si>
    <t>Tummala</t>
  </si>
  <si>
    <t xml:space="preserve">Rama Krishna Babu </t>
  </si>
  <si>
    <t>Colleyville</t>
  </si>
  <si>
    <t>trkbabu@radiantinfosys.net</t>
  </si>
  <si>
    <t xml:space="preserve">RADIANT INFOSYS INC   </t>
  </si>
  <si>
    <t xml:space="preserve">1901 Industrial Blvd. Suite # 210 </t>
  </si>
  <si>
    <t xml:space="preserve">Agile Scrum Master </t>
  </si>
  <si>
    <t>1901 Industrial Blvd., Suite 210</t>
  </si>
  <si>
    <t>560 Mission Street</t>
  </si>
  <si>
    <t>Davis and Goldfarb PLLC</t>
  </si>
  <si>
    <t>Alyssa</t>
  </si>
  <si>
    <t>P-400-21152-357365</t>
  </si>
  <si>
    <t>JOSON</t>
  </si>
  <si>
    <t>RIZALLY</t>
  </si>
  <si>
    <t>DE LEON</t>
  </si>
  <si>
    <t xml:space="preserve">DAMA DI NOCHE STREET BEACH ROAD, </t>
  </si>
  <si>
    <t>P.O. BOX 506082</t>
  </si>
  <si>
    <t>blue_eagle_enterprises@yahoo.com</t>
  </si>
  <si>
    <t>BLUE EAGLE ENTERPRISES, LLC</t>
  </si>
  <si>
    <t>BLUE EAGLE CONSTRUCTION</t>
  </si>
  <si>
    <t>DAMA DI NOCHE STREET, BEACH ROAD</t>
  </si>
  <si>
    <t>P.O. BOX 506082 SAIPAN</t>
  </si>
  <si>
    <t>GARAPAN</t>
  </si>
  <si>
    <t>CONSTRUCTION WORKERS</t>
  </si>
  <si>
    <t>SITE SUPERVISOR</t>
  </si>
  <si>
    <t>DAMA DI NOCHE STREET BEACH ROAD</t>
  </si>
  <si>
    <t>Northern Mariana Islands</t>
  </si>
  <si>
    <t>ALEXANDER</t>
  </si>
  <si>
    <t>13-1081.02</t>
  </si>
  <si>
    <t>Suite 170</t>
  </si>
  <si>
    <t>P-400-21152-359932</t>
  </si>
  <si>
    <t>Aanerud</t>
  </si>
  <si>
    <t>3938 State Road 16</t>
  </si>
  <si>
    <t>West Green Cove Springs</t>
  </si>
  <si>
    <t>janerud@unitedlandservices.com</t>
  </si>
  <si>
    <t>Southern Scapes LLC</t>
  </si>
  <si>
    <t>Transportation provided from main worksite to multiple worksites within the area of intended employment</t>
  </si>
  <si>
    <t>Jacksonville, FL</t>
  </si>
  <si>
    <t>CHRISTOPHER</t>
  </si>
  <si>
    <t>SARAH@WYNGAARDLAW.COM</t>
  </si>
  <si>
    <t>LABORER</t>
  </si>
  <si>
    <t>320 Park Avenue</t>
  </si>
  <si>
    <t>SCOTT</t>
  </si>
  <si>
    <t>GUPTA</t>
  </si>
  <si>
    <t>TARANGITA</t>
  </si>
  <si>
    <t>SENIOR MANAGER- HUMAN RESOURCES</t>
  </si>
  <si>
    <t>485 ALBERTO WAY, SUITE #100</t>
  </si>
  <si>
    <t>LOS GATOS</t>
  </si>
  <si>
    <t>IMMIGRATION@INFOGAIN.COM</t>
  </si>
  <si>
    <t>Infogain Corporation</t>
  </si>
  <si>
    <t>485 Alberto Way, Suite # 100</t>
  </si>
  <si>
    <t>Los Gatos</t>
  </si>
  <si>
    <t>DEEPIKA.SINGH@CHUGH.COM</t>
  </si>
  <si>
    <t>Must be able to travel/relocate to unanticipated client sites throughout the U.S.</t>
  </si>
  <si>
    <t>INFOGAIN CORPORATION</t>
  </si>
  <si>
    <t>Debra</t>
  </si>
  <si>
    <t>CASTILLA</t>
  </si>
  <si>
    <t>SANDRA</t>
  </si>
  <si>
    <t>ALBANY</t>
  </si>
  <si>
    <t>Teresa</t>
  </si>
  <si>
    <t>Cumming</t>
  </si>
  <si>
    <t>Teacher</t>
  </si>
  <si>
    <t>P-100-21128-298103</t>
  </si>
  <si>
    <t>LEWIS</t>
  </si>
  <si>
    <t>RITA</t>
  </si>
  <si>
    <t>RENAE</t>
  </si>
  <si>
    <t>7535 E HAMPDEN AVE</t>
  </si>
  <si>
    <t>STE 501</t>
  </si>
  <si>
    <t>PERM@RLIMMIGRATION.US</t>
  </si>
  <si>
    <t>JIN, INC.</t>
  </si>
  <si>
    <t>TONG TONG KOREAN RESTAURANT</t>
  </si>
  <si>
    <t>2036 S ACADEMY BLVD</t>
  </si>
  <si>
    <t>COLORADO SPRINGS</t>
  </si>
  <si>
    <t>LAW OFFICES OF RITA R LEWIS</t>
  </si>
  <si>
    <t>P-100-21127-295026</t>
  </si>
  <si>
    <t xml:space="preserve">Computer Science, Computer Engineering, or closely related field </t>
  </si>
  <si>
    <t>="This position requires a Master’s degree in Computer Science, Computer Engineering, or closely related field and at least three (3) years of experience in application development/application architecture (any title) performance tuning, including at leas</t>
  </si>
  <si>
    <t>Nicolas</t>
  </si>
  <si>
    <t>Please See Addendum</t>
  </si>
  <si>
    <t>Rolling Meadows</t>
  </si>
  <si>
    <t>Holland</t>
  </si>
  <si>
    <t>Global Mobility &amp; Immigration Specialist</t>
  </si>
  <si>
    <t>Morgan, Lewis &amp; Bockius LLP</t>
  </si>
  <si>
    <t>665 FIFTH AVENUE</t>
  </si>
  <si>
    <t>P-400-21123-282590</t>
  </si>
  <si>
    <t>Nestoiter</t>
  </si>
  <si>
    <t>Guennadi</t>
  </si>
  <si>
    <t>174 Old White Lake Turnpike</t>
  </si>
  <si>
    <t>Swan Lake</t>
  </si>
  <si>
    <t>libertytemp@yahoo.com</t>
  </si>
  <si>
    <t>Liberty Temp Services Inc.</t>
  </si>
  <si>
    <t>Food Production Worker Helper</t>
  </si>
  <si>
    <t>89 Mill Street</t>
  </si>
  <si>
    <t>Liberty</t>
  </si>
  <si>
    <t>IMendoza@fragomen.com</t>
  </si>
  <si>
    <t>Senior Manager Data Science</t>
  </si>
  <si>
    <t>Senior Human Resources Generalist</t>
  </si>
  <si>
    <t>Catalent Pharma Solutions</t>
  </si>
  <si>
    <t>14 Schoolhouse Road</t>
  </si>
  <si>
    <t>P-400-21125-289393</t>
  </si>
  <si>
    <t>Dias Genda</t>
  </si>
  <si>
    <t>Marilia</t>
  </si>
  <si>
    <t>7748 Midlothian Turnpike</t>
  </si>
  <si>
    <t>chickenemail@yahoo.com</t>
  </si>
  <si>
    <t>Chicken Fiesta, Inc.</t>
  </si>
  <si>
    <t>7925 W Broad St</t>
  </si>
  <si>
    <t>Cook / Rotisserie Line Cook / Dishwasher</t>
  </si>
  <si>
    <t xml:space="preserve">="• Must be able to exert well-paced mobility.
• Must be able to lift/carry up to 50 pounds. 
• Good knife skills are essential.
• Ability to work at special events when required.
• Ability to work in a fast-paced environment.
• Ability to work under the </t>
  </si>
  <si>
    <t>President/Secretary/Treasurer</t>
  </si>
  <si>
    <t>7925 W Broad St.</t>
  </si>
  <si>
    <t>P-400-21154-365880</t>
  </si>
  <si>
    <t>Grant</t>
  </si>
  <si>
    <t>Co-owner</t>
  </si>
  <si>
    <t>521 Oliver Street</t>
  </si>
  <si>
    <t>cincygutterboys23@gmail.com</t>
  </si>
  <si>
    <t>Cincy Gutter Boys, LLC</t>
  </si>
  <si>
    <t>EMPLOYER WILL PROVIDE DAILY TRANSPORTATION TO AND FROM THE JOB SITES FROM CENTRALIZED PICK-UP AREA IN COVINGTON, KENTUCKY.</t>
  </si>
  <si>
    <t>Mayu</t>
  </si>
  <si>
    <t>Survey Researchers</t>
  </si>
  <si>
    <t xml:space="preserve">309 N. Pastoria Ave. </t>
  </si>
  <si>
    <t>Automotive Engineering, Electrical Engineer, Mechanical Engineering, or related field (or foreign equivalent).</t>
  </si>
  <si>
    <t>SUITE 1000</t>
  </si>
  <si>
    <t xml:space="preserve">Operations Director </t>
  </si>
  <si>
    <t>P-100-21141-333832</t>
  </si>
  <si>
    <t>Cruceanu</t>
  </si>
  <si>
    <t xml:space="preserve">Carl </t>
  </si>
  <si>
    <t>Global Operations Manager</t>
  </si>
  <si>
    <t>7250 Dallas Parkway</t>
  </si>
  <si>
    <t>carl.cruceanu@buysellmove.com</t>
  </si>
  <si>
    <t>BSM Global, Inc.</t>
  </si>
  <si>
    <t>Alvarado</t>
  </si>
  <si>
    <t>Maricela</t>
  </si>
  <si>
    <t>Ventura</t>
  </si>
  <si>
    <t>P.O.BOX 16400</t>
  </si>
  <si>
    <t>Monty &amp; Ramirez, LLP</t>
  </si>
  <si>
    <t xml:space="preserve">Regional Operations Manager - Midwest USA </t>
  </si>
  <si>
    <t xml:space="preserve">Bachelor’s Degree, or U.S. equivalent, in Supply Chain, Business Administration or a related technical field. </t>
  </si>
  <si>
    <t>="84 months of experience in a Supply Chain, Export, Import, &amp; Domestic Execution related occupation in the following industry verticals: Agriculture, Horticulture, Meat, Wine/Beer/Spirits.
1.	84 months experience managing sales. 
2.	84 months of experien</t>
  </si>
  <si>
    <t>40-60% of the time through U.S. and Canada.</t>
  </si>
  <si>
    <t>PWATLSHERHAWK@fragomen.com</t>
  </si>
  <si>
    <t>Nurse Practitioners</t>
  </si>
  <si>
    <t>Evan</t>
  </si>
  <si>
    <t>P-400-21151-356994</t>
  </si>
  <si>
    <t>Stoner</t>
  </si>
  <si>
    <t>Business Admin</t>
  </si>
  <si>
    <t>1921 Ravinia Drive</t>
  </si>
  <si>
    <t>Caseyville</t>
  </si>
  <si>
    <t>lstoner@yourfocalpointe.com</t>
  </si>
  <si>
    <t>Focal Pointe Outdoor Solutions, Inc.</t>
  </si>
  <si>
    <t>Watson</t>
  </si>
  <si>
    <t>Anique</t>
  </si>
  <si>
    <t>203 N Jackson Ave</t>
  </si>
  <si>
    <t>Wylie</t>
  </si>
  <si>
    <t>info@actionvisa.com</t>
  </si>
  <si>
    <t>Action International Inc.</t>
  </si>
  <si>
    <t>75-2844855</t>
  </si>
  <si>
    <t>HAMANN</t>
  </si>
  <si>
    <t>7800 PRESTON ROAD</t>
  </si>
  <si>
    <t>SUITE 105</t>
  </si>
  <si>
    <t>immigration@lillitechnology.com</t>
  </si>
  <si>
    <t>LILLI TECHNOLOGY LLC</t>
  </si>
  <si>
    <t>7800 Preston Rd., Suite 105</t>
  </si>
  <si>
    <t>First-Line Supervisors of Office and Administrative Support Workers</t>
  </si>
  <si>
    <t>P-100-21144-338811</t>
  </si>
  <si>
    <t>Coffey</t>
  </si>
  <si>
    <t>8414 Falls of Neuse Rd.</t>
  </si>
  <si>
    <t>jcoffey@constangy.com</t>
  </si>
  <si>
    <t xml:space="preserve">FedEx Corporate Services, Inc. </t>
  </si>
  <si>
    <t xml:space="preserve">50 FedEx Parkway </t>
  </si>
  <si>
    <t>dmattix@constangy.com</t>
  </si>
  <si>
    <t>Constangy, Brooks, Smith &amp; Prophete, LLC</t>
  </si>
  <si>
    <t>Software Quality Engineer III</t>
  </si>
  <si>
    <t xml:space="preserve">Computer Science, Engineering, Information Systems, or related field of study. </t>
  </si>
  <si>
    <t>="Must have two years’ experience with the following: Object oriented design and development; Programming Language such as Java &amp; Python; Software code coverage &amp; integration testing; Android &amp; iOS Mobile application testing and automation; Software build</t>
  </si>
  <si>
    <t>Computer Science, Engineering, Information Systems, or related field of study.</t>
  </si>
  <si>
    <t>Manager IT</t>
  </si>
  <si>
    <t>1000 FedEx Drive</t>
  </si>
  <si>
    <t>Coraopolis</t>
  </si>
  <si>
    <t>Issaquah</t>
  </si>
  <si>
    <t>Eva</t>
  </si>
  <si>
    <t>OLIVIA</t>
  </si>
  <si>
    <t>U.S. IMMIGRATION PROGRAM MANAGER</t>
  </si>
  <si>
    <t>Computer Engineering, Information Technology, or related field of study</t>
  </si>
  <si>
    <t>="This position requires experience with the following skills and technologies: Application, data, and Software Development Life Cycle Methodologies infrastructure architecture disciplines; Architecture and design across systems including working with Int</t>
  </si>
  <si>
    <t>3401 Morse Crossing</t>
  </si>
  <si>
    <t>P-400-21138-323922</t>
  </si>
  <si>
    <t>Sawyers</t>
  </si>
  <si>
    <t>2040 S. Alma School Road, Suite 1 - 421</t>
  </si>
  <si>
    <t>zach@stizzyworks.com</t>
  </si>
  <si>
    <t>Stizzy Works, LLC</t>
  </si>
  <si>
    <t>felicia@pesusa.com</t>
  </si>
  <si>
    <t>Carnival Worker</t>
  </si>
  <si>
    <t>EMPLOYER IS AN OUTDOOR TRAVELING CONCESSION PROVIDER WITH TRAVEL REQUIRED FROM EVENT LOCATION TO EVENT LOCATION. HOUSING AND TRANSPORTATION TO/FROM EACH EVENT LOCATION OFFERED TO ALL EMPLOYEES UNDER THIS JOB OFFER. EMPLOYER MAKES AVAILABLE TRANSPORTATION FROM VENUE TO VENUE.</t>
  </si>
  <si>
    <t>WY</t>
  </si>
  <si>
    <t>WYOMING</t>
  </si>
  <si>
    <t>Cumming &amp; Partners</t>
  </si>
  <si>
    <t>ST LOUIS</t>
  </si>
  <si>
    <t>KENNETH</t>
  </si>
  <si>
    <t>VP, Business Applications</t>
  </si>
  <si>
    <t>Kingwood</t>
  </si>
  <si>
    <t>77339-3802</t>
  </si>
  <si>
    <t>amy.powell@insperity.com</t>
  </si>
  <si>
    <t>Insperity Services, L.P.</t>
  </si>
  <si>
    <t>Insperity</t>
  </si>
  <si>
    <t>19001 Crescent Springs Drive</t>
  </si>
  <si>
    <t>Eichorn</t>
  </si>
  <si>
    <t>peichorn@fosterglobal.com</t>
  </si>
  <si>
    <t>Salisbury</t>
  </si>
  <si>
    <t>P-100-21174-421614</t>
  </si>
  <si>
    <t>Brailey</t>
  </si>
  <si>
    <t>VP of HR/ Corporate Services:</t>
  </si>
  <si>
    <t>8521 Gander Creek Dr.</t>
  </si>
  <si>
    <t>Miamisburg</t>
  </si>
  <si>
    <t>sbrailey@shawntech.com</t>
  </si>
  <si>
    <t xml:space="preserve">SawnTech Communiations, Inc. </t>
  </si>
  <si>
    <t xml:space="preserve">SawnTech Communiations </t>
  </si>
  <si>
    <t>Al-Hamdani</t>
  </si>
  <si>
    <t>120 W. Second St.</t>
  </si>
  <si>
    <t>Suite 1650</t>
  </si>
  <si>
    <t>mha@ohioimmigrationlawyer.com</t>
  </si>
  <si>
    <t>Larson, Lyons &amp; Al-Hamdani</t>
  </si>
  <si>
    <t>Vice President of Technology Business Development and Cellul</t>
  </si>
  <si>
    <t>11-1021.00; 15-1121.00; 15-1199.02</t>
  </si>
  <si>
    <t>Computer Systems Analysts; Computer Systems Engineers/Architects; General and Operations Managers</t>
  </si>
  <si>
    <t>Master’s in business administration (MBA) or Executive MBA preferred</t>
  </si>
  <si>
    <t>="•	5+ year of experience in managing remote deployments.
•	5+ years of experience working with Law Enforcement and Corrections.
•	5+ years in managing budgets and road maps.
•	Working functional knowledge of international cellular &amp; wireless technologies</t>
  </si>
  <si>
    <t>P-400-21154-366827</t>
  </si>
  <si>
    <t>Snowmaker</t>
  </si>
  <si>
    <t>="The Petitioner will consider for employment any person who possesses at least three (3) months of manual labor experience in a professional environment.
Applicant may be required to complete pre-employment COVID-19 test and/or complete a quarantine per</t>
  </si>
  <si>
    <t>Cooling and Freezing Equipment Operators and Tenders</t>
  </si>
  <si>
    <t>Occasional travel is required between worksites within Killington, Vermont.  Daily transportation between worksites is provided.</t>
  </si>
  <si>
    <t>STEVE</t>
  </si>
  <si>
    <t>P-400-21137-320537</t>
  </si>
  <si>
    <t>675 Lionshead Place</t>
  </si>
  <si>
    <t>Director of Data Science</t>
  </si>
  <si>
    <t>President/Owner</t>
  </si>
  <si>
    <t>Head Chef</t>
  </si>
  <si>
    <t>P-100-21137-318037</t>
  </si>
  <si>
    <t>Computer Science, Information Systems, Technology, Engineering, or any related field.</t>
  </si>
  <si>
    <t>Ernst</t>
  </si>
  <si>
    <t>Raff</t>
  </si>
  <si>
    <t>STEWART</t>
  </si>
  <si>
    <t>P-400-21140-330869</t>
  </si>
  <si>
    <t>WOODS</t>
  </si>
  <si>
    <t>11 LADD ST</t>
  </si>
  <si>
    <t>PORTSMOUTH</t>
  </si>
  <si>
    <t>seacoastconcrete@gmail.com</t>
  </si>
  <si>
    <t>SEACOAST CONCRETE LLC</t>
  </si>
  <si>
    <t>PORTMOUTH</t>
  </si>
  <si>
    <t>LANDSCAPING &amp; GROUNDSKEEPING WORKERS</t>
  </si>
  <si>
    <t>183 ROUTE 236 UNIT 1 BLDG 1</t>
  </si>
  <si>
    <t>BRENTWOOD</t>
  </si>
  <si>
    <t>AK</t>
  </si>
  <si>
    <t>Kancharla</t>
  </si>
  <si>
    <t xml:space="preserve">4975 Preston Park Blvd </t>
  </si>
  <si>
    <t>Suite#70</t>
  </si>
  <si>
    <t>immigration@propelsys.com</t>
  </si>
  <si>
    <t>Propelsys Technologies LLC</t>
  </si>
  <si>
    <t>30 Rockefeller Plaza***</t>
  </si>
  <si>
    <t>P-100-21137-318787</t>
  </si>
  <si>
    <t>WILLIAMS</t>
  </si>
  <si>
    <t>P-100-21139-327197</t>
  </si>
  <si>
    <t>LOGIC PLANET INC</t>
  </si>
  <si>
    <t>4525 ROUTE 27</t>
  </si>
  <si>
    <t xml:space="preserve">="SKILLS REQUIRED: OSPF, BGP, PALO ALTO, CISCO ASA, SPANNING TREE AND TRUNKING. MASTER’S DEGREE IN SCIENCE, TECHNOLOGY, ENGINEERING, OR ANY RELATED FIELD WITH 1 YEAR OF EXPERIENCE IN THE JOB OFFERED OR RELATED OCCUPATION
IS REQUIRED. BACHELOR’S DEGREE IN </t>
  </si>
  <si>
    <t>4525 ROUTE 27 AND VARIOUS UNANTICIPATED LOCATIONS THROUGHOUT THE U.S.</t>
  </si>
  <si>
    <t>German</t>
  </si>
  <si>
    <t>P-400-21139-327852</t>
  </si>
  <si>
    <t>GATHINGS</t>
  </si>
  <si>
    <t>256 HWY 425 N</t>
  </si>
  <si>
    <t>PO BOX 909</t>
  </si>
  <si>
    <t>MONTICELLO</t>
  </si>
  <si>
    <t>JAMES.GATH69@SILVIMGT.COM</t>
  </si>
  <si>
    <t>SILVICULTURAL MANAGEMENT ASSOCIATES INC</t>
  </si>
  <si>
    <t>BRUSH CLEAR UTILITY RIGHT OF WAY LANDSCAPING</t>
  </si>
  <si>
    <t>Provided daily transport to/from worksite at no cost to worker. Multiple cities in the following States: AR-LA-MS-TX</t>
  </si>
  <si>
    <t>166 COMMERCE DR ( report to work)</t>
  </si>
  <si>
    <t>3405 NW 113 Court</t>
  </si>
  <si>
    <t>Silmar Electronics, Inc.</t>
  </si>
  <si>
    <t>Casabianca</t>
  </si>
  <si>
    <t>Cristina</t>
  </si>
  <si>
    <t xml:space="preserve">5601 Maggiore Street </t>
  </si>
  <si>
    <t>cristina@casabiancalaw.com</t>
  </si>
  <si>
    <t>Law Offices of Cristina Casabianca, P.A.</t>
  </si>
  <si>
    <t>Industrial Engineering</t>
  </si>
  <si>
    <t>Manish</t>
  </si>
  <si>
    <t>Govil</t>
  </si>
  <si>
    <t>Swati</t>
  </si>
  <si>
    <t>Building 25</t>
  </si>
  <si>
    <t>Info@credencesupport.com</t>
  </si>
  <si>
    <t>Credence Support Services Inc</t>
  </si>
  <si>
    <t>Joe</t>
  </si>
  <si>
    <t>P-203-21169-410991</t>
  </si>
  <si>
    <t>Hye</t>
  </si>
  <si>
    <t>940 Emmett Avenue</t>
  </si>
  <si>
    <t>Belmont</t>
  </si>
  <si>
    <t>hyejin@villageprop.com</t>
  </si>
  <si>
    <t>Village Properties Operating Company, LLC</t>
  </si>
  <si>
    <t>Village Properties</t>
  </si>
  <si>
    <t>Bachelor’s Degree in Accounting, Finance or Business</t>
  </si>
  <si>
    <t>P-100-21144-339622</t>
  </si>
  <si>
    <t>DOTS TECHNOLOGIES, INC.</t>
  </si>
  <si>
    <t>371 HOES LANE</t>
  </si>
  <si>
    <t>QA SOFTWARE ENGINEER</t>
  </si>
  <si>
    <t>="Skills required: Agile, SCRUM, Kanban, Jenkins, Selenium Web Driver, Eclipse, Jira, TestRail, Lean, Selenium IDE and Linux. Master’s degree in Science, Technology, Engineering, or any related field with 6 months of experience in the job offered or relat</t>
  </si>
  <si>
    <t>SUITE 200 AND VARIOUS UNANTICIPATED LOCATIONS THROUGHOUT THE U.S.</t>
  </si>
  <si>
    <t>45-2093.00</t>
  </si>
  <si>
    <t>JUNG</t>
  </si>
  <si>
    <t xml:space="preserve">Rockville </t>
  </si>
  <si>
    <t>Business Operations Specialist</t>
  </si>
  <si>
    <t>P-400-21144-339006</t>
  </si>
  <si>
    <t>DINING ROOM ATTENDANTS</t>
  </si>
  <si>
    <t>SUITE 370</t>
  </si>
  <si>
    <t>P-100-21166-398943</t>
  </si>
  <si>
    <t>522 East 11th Street</t>
  </si>
  <si>
    <t>Anniston</t>
  </si>
  <si>
    <t>melsmith19999@outlook.com</t>
  </si>
  <si>
    <t>Nephrology and Hypertension Consultants</t>
  </si>
  <si>
    <t>Tedrow</t>
  </si>
  <si>
    <t>Klari</t>
  </si>
  <si>
    <t>2907 Central Avenue</t>
  </si>
  <si>
    <t>Homewood</t>
  </si>
  <si>
    <t>ktedrow@usimmigrant.net</t>
  </si>
  <si>
    <t>Klari B. Tedrow, LLC</t>
  </si>
  <si>
    <t>Nephrologist-Physician</t>
  </si>
  <si>
    <t>M. D. or Foreign Equivalent Education</t>
  </si>
  <si>
    <t>Vice President, M. D.</t>
  </si>
  <si>
    <t>Alabama State:
Roanoke City-Randolph County
Anniston City-Calhoun County
Oxford City-Calhoun County
Jacksonville City-Calhoun County
Talladega City-Talladega County
Gadsden City- Etowah County
Centre City- Cherokee</t>
  </si>
  <si>
    <t>400 E 10th Street</t>
  </si>
  <si>
    <t xml:space="preserve">85 2nd Street </t>
  </si>
  <si>
    <t>85 2nd Street</t>
  </si>
  <si>
    <t xml:space="preserve">Tony </t>
  </si>
  <si>
    <t>700 West Georgia</t>
  </si>
  <si>
    <t xml:space="preserve">Computer Science, Engineering, Mathematics, Information Systems, Physics or a related field. </t>
  </si>
  <si>
    <t>Abraham</t>
  </si>
  <si>
    <t>Suite 142</t>
  </si>
  <si>
    <t>MARIANNE</t>
  </si>
  <si>
    <t>300 N LaSalle Street</t>
  </si>
  <si>
    <t>P-100-21138-320758</t>
  </si>
  <si>
    <t>Duong</t>
  </si>
  <si>
    <t>Vivian</t>
  </si>
  <si>
    <t>970 Park Place</t>
  </si>
  <si>
    <t>immigration@roblox.com</t>
  </si>
  <si>
    <t>Roblox Corporation</t>
  </si>
  <si>
    <t>Green (85944)</t>
  </si>
  <si>
    <t>Chrystal</t>
  </si>
  <si>
    <t>San Francsico</t>
  </si>
  <si>
    <t>cgreen@jackson-hertogs.com</t>
  </si>
  <si>
    <t>Jackson and Hertogs LLP</t>
  </si>
  <si>
    <t>Computer Science, Mathematics or related fields.</t>
  </si>
  <si>
    <t>="Must have at least 3 years of prior work experience in the following:
1. Distributed systems design and implementation. Designing and implementing operational monitoring for distributed systems.
2. A/B testing, feature implementation &amp; optimization, inc</t>
  </si>
  <si>
    <t>Senior Human Resources Business Partner</t>
  </si>
  <si>
    <t>Floor 19</t>
  </si>
  <si>
    <t>wendy@jspvisa.com</t>
  </si>
  <si>
    <t>Rowlinson</t>
  </si>
  <si>
    <t>Carole</t>
  </si>
  <si>
    <t>crowlinson@wolfsdorf.com</t>
  </si>
  <si>
    <t>Wolfsdorf Rosenthal, LLP (WR Immigration)</t>
  </si>
  <si>
    <t>Midway</t>
  </si>
  <si>
    <t>Adrias</t>
  </si>
  <si>
    <t>185 BERRY STREET</t>
  </si>
  <si>
    <t>SUITE 5000</t>
  </si>
  <si>
    <t>immigration@lyft.com</t>
  </si>
  <si>
    <t>LYFT, INC.</t>
  </si>
  <si>
    <t>SHEPPARD</t>
  </si>
  <si>
    <t>401 WEST A STREET</t>
  </si>
  <si>
    <t>Tracy</t>
  </si>
  <si>
    <t>HALL</t>
  </si>
  <si>
    <t>LOCUST GROVE</t>
  </si>
  <si>
    <t>Louisville</t>
  </si>
  <si>
    <t>BOYNTON BEACH</t>
  </si>
  <si>
    <t xml:space="preserve">Jacksonville </t>
  </si>
  <si>
    <t>11-3021.00</t>
  </si>
  <si>
    <t>Arnold</t>
  </si>
  <si>
    <t>Zhou</t>
  </si>
  <si>
    <t>Senior Software Engineer Manager</t>
  </si>
  <si>
    <t>Kristy</t>
  </si>
  <si>
    <t>Assistant General Manager</t>
  </si>
  <si>
    <t>Lemacks</t>
  </si>
  <si>
    <t>Principal Program Manager Lead</t>
  </si>
  <si>
    <t>Policarpio</t>
  </si>
  <si>
    <t>Gonzalo</t>
  </si>
  <si>
    <t xml:space="preserve">Flushing </t>
  </si>
  <si>
    <t>gipconsultants@gmail.com</t>
  </si>
  <si>
    <t xml:space="preserve">Live-in Housekeeper </t>
  </si>
  <si>
    <t>P-100-21132-306292</t>
  </si>
  <si>
    <t>Erastoff</t>
  </si>
  <si>
    <t>Svetlana</t>
  </si>
  <si>
    <t>svetlana.erastoff@verizon.com</t>
  </si>
  <si>
    <t xml:space="preserve">Manager- Business Intel.  </t>
  </si>
  <si>
    <t>One Verizon Way</t>
  </si>
  <si>
    <t xml:space="preserve"> Basking Ridge</t>
  </si>
  <si>
    <t>Garden City</t>
  </si>
  <si>
    <t>Littleton</t>
  </si>
  <si>
    <t>P-400-21152-358554</t>
  </si>
  <si>
    <t>Radunz</t>
  </si>
  <si>
    <t>8950 Weathered Stone Drive</t>
  </si>
  <si>
    <t>gwilliamson@qglnaples.com</t>
  </si>
  <si>
    <t>Quarry Golf Club, Inc.</t>
  </si>
  <si>
    <t>The Quarry Golf Club</t>
  </si>
  <si>
    <t>Dishwasher/Steward</t>
  </si>
  <si>
    <t xml:space="preserve">Executive Chef and Food &amp; Beverage Manager </t>
  </si>
  <si>
    <t>1 Skyview Dr.</t>
  </si>
  <si>
    <t>Computer Science, Electronics Engineering or related field</t>
  </si>
  <si>
    <t>="Software development life cycle including analysis, design, development, testing and implementation of software applications; Virtualized Infrastructure and DevOps methodologies Reservation GDS system; Merchandising and ITA catalog products; Project Man</t>
  </si>
  <si>
    <t>33533 West 12 Mile Road, Suite 290</t>
  </si>
  <si>
    <t>Therapy Program Manager- Physical Therapist</t>
  </si>
  <si>
    <t>29-1122.00; 29-1127.00; 31-2011.00; 31-2021.00</t>
  </si>
  <si>
    <t>Occupational Therapists; Occupational Therapy Assistants; Physical Therapist Assistants; Speech-Language Pathologists</t>
  </si>
  <si>
    <t>Regional Vice President</t>
  </si>
  <si>
    <t>3139 East Baldwin Road</t>
  </si>
  <si>
    <t>Grand Blanc</t>
  </si>
  <si>
    <t>Group Counsel, Immigration</t>
  </si>
  <si>
    <t>Bld. 1&amp;2</t>
  </si>
  <si>
    <t>Greenfield</t>
  </si>
  <si>
    <t>Ester</t>
  </si>
  <si>
    <t>josephm@mhb.com</t>
  </si>
  <si>
    <t>201 Mission Street</t>
  </si>
  <si>
    <t>P-100-21180-432970</t>
  </si>
  <si>
    <t>Bono</t>
  </si>
  <si>
    <t>330 Mount Auburn Street</t>
  </si>
  <si>
    <t>Diane.Bono@mah.org</t>
  </si>
  <si>
    <t>Mount Auburn Professional Services, Inc.</t>
  </si>
  <si>
    <t>Chief Endocrinologist</t>
  </si>
  <si>
    <t>29-1069.00; 29-1171.00</t>
  </si>
  <si>
    <t>Nurse Practitioners; Physicians and Surgeons, All Other</t>
  </si>
  <si>
    <t>Doctor of Medicine (M.D.) or foreign equivalent from an accredited School of Medicine.</t>
  </si>
  <si>
    <t>Chair of Medicine &amp; Executive Vice President, Mount Auburn Professional Services</t>
  </si>
  <si>
    <t>725 Concord Avenue</t>
  </si>
  <si>
    <t>Colleen</t>
  </si>
  <si>
    <t>Cooks, Fast Food</t>
  </si>
  <si>
    <t>Chemist</t>
  </si>
  <si>
    <t>38 Third Avenue</t>
  </si>
  <si>
    <t>Pipe Fitter</t>
  </si>
  <si>
    <t>Pipe Fitters and Steamfitters</t>
  </si>
  <si>
    <t>FisherBroyles, LLP</t>
  </si>
  <si>
    <t>Walker</t>
  </si>
  <si>
    <t>Nevarez</t>
  </si>
  <si>
    <t>P-100-21134-316486</t>
  </si>
  <si>
    <t>STARK ASSOCIATES LLC</t>
  </si>
  <si>
    <t>DBA STARK ASSOCIATES BUSINESS SERVICES LLC</t>
  </si>
  <si>
    <t>15 CORPORATE PLACE SOUTH</t>
  </si>
  <si>
    <t>DATA ANALYTICS DEVELOPER</t>
  </si>
  <si>
    <t>="Master’s degree in Science, Technology, Engineering or any related field is required.  Bachelor’s degree in the above-mentioned fields along with 5 years of experience in job offered or related occupation is acceptable in lieu of Master’s degree. Any su</t>
  </si>
  <si>
    <t>SUITE 350 &amp; Various unanticipated locations throughout the U.S.</t>
  </si>
  <si>
    <t>P-100-21134-313895</t>
  </si>
  <si>
    <t>Hamani</t>
  </si>
  <si>
    <t>Firdous</t>
  </si>
  <si>
    <t xml:space="preserve">7447 Harwin Drive </t>
  </si>
  <si>
    <t>Ste 213</t>
  </si>
  <si>
    <t>hamaniholdinginc@yahoo.com</t>
  </si>
  <si>
    <t>Tri Star Petroleum Inc</t>
  </si>
  <si>
    <t>="*Bachelor’s degree plus 2 years of experience or Associate Degree plus 4 years of experience. Experience must be in the job offered or an IT-related position engaged in implementing, configuring, maintaining, upgrading, troubleshooting, and providing te</t>
  </si>
  <si>
    <t>="Bachelor’s degree plus 2 years of experience or Associate Degree plus 4 years of experience. Experience must be in the job offered or an IT-related position engaged in implementing, configuring, maintaining, upgrading, troubleshooting, and providing tec</t>
  </si>
  <si>
    <t>Bui</t>
  </si>
  <si>
    <t>Shaina</t>
  </si>
  <si>
    <t>Manager, Global Immigration &amp; Mobility</t>
  </si>
  <si>
    <t>1000 F ST NW</t>
  </si>
  <si>
    <t>shivani.gill@fragomen.com</t>
  </si>
  <si>
    <t>JUUL Labs, Inc.</t>
  </si>
  <si>
    <t>AVAREGAN</t>
  </si>
  <si>
    <t>NEGIN</t>
  </si>
  <si>
    <t>Principal Clinical Data Manager</t>
  </si>
  <si>
    <t>="Requirements:  Master’s degree or foreign degree equivalent in Life Science, Biological Science, Pharmaceutical Science or a health-related field and two (2) years of experience in the job offered or related occupation.
Experience and/or education must</t>
  </si>
  <si>
    <t>Biological Scientists, All Other</t>
  </si>
  <si>
    <t>560 20th Street</t>
  </si>
  <si>
    <t>Computer Science, Engineering (any) or related field</t>
  </si>
  <si>
    <t>680 W. California Avenue</t>
  </si>
  <si>
    <t>International Nurse Manager</t>
  </si>
  <si>
    <t>100 Colony Park Drive</t>
  </si>
  <si>
    <t>mprice@travelphp.com</t>
  </si>
  <si>
    <t>Premier Healthcare Professionals, Inc.</t>
  </si>
  <si>
    <t>Eskandari Deal</t>
  </si>
  <si>
    <t>Layli</t>
  </si>
  <si>
    <t xml:space="preserve">1000 CIRCLE 75 PKWY SE </t>
  </si>
  <si>
    <t>STE 700</t>
  </si>
  <si>
    <t>layli@leimmigration.com</t>
  </si>
  <si>
    <t>Levine &amp; Eskandari LLC</t>
  </si>
  <si>
    <t>450 Northside Cherokee Boulevard</t>
  </si>
  <si>
    <t>Canton</t>
  </si>
  <si>
    <t>Kantamneni</t>
  </si>
  <si>
    <t>Ramakrishna</t>
  </si>
  <si>
    <t>10175 Fortune Parkway</t>
  </si>
  <si>
    <t>Unit 203</t>
  </si>
  <si>
    <t>ramakrishna@americanitsolutionsinc.net</t>
  </si>
  <si>
    <t>American IT Solutions, Inc.</t>
  </si>
  <si>
    <t>LAW OFFICES OF D ROBERT JONES PLLC</t>
  </si>
  <si>
    <t>Zang</t>
  </si>
  <si>
    <t>2000 South Colorado Blvd</t>
  </si>
  <si>
    <t>jumin.chen@ogletree.com</t>
  </si>
  <si>
    <t>Live-In Nanny</t>
  </si>
  <si>
    <t>One Front Street</t>
  </si>
  <si>
    <t>P-100-21169-411564</t>
  </si>
  <si>
    <t>Johnson Cattle Company</t>
  </si>
  <si>
    <t>1725 3C Bar Rd</t>
  </si>
  <si>
    <t>Middletown</t>
  </si>
  <si>
    <t>Shipping, Receiving, and Traffic Clerks</t>
  </si>
  <si>
    <t>Gong</t>
  </si>
  <si>
    <t>Not Applicable</t>
  </si>
  <si>
    <t>P-400-21146-345413</t>
  </si>
  <si>
    <t xml:space="preserve">DIAZ </t>
  </si>
  <si>
    <t xml:space="preserve">NANCY </t>
  </si>
  <si>
    <t xml:space="preserve">AGENT </t>
  </si>
  <si>
    <t xml:space="preserve">2180 SATELLITE BLVD </t>
  </si>
  <si>
    <t xml:space="preserve">DULUTH </t>
  </si>
  <si>
    <t>d.oconsulting.ser@gmail.com</t>
  </si>
  <si>
    <t xml:space="preserve">BEATRISE LLC </t>
  </si>
  <si>
    <t>2765 Michigan Ave Rd NE</t>
  </si>
  <si>
    <t>D&amp;O Consulting Services, LLC</t>
  </si>
  <si>
    <t xml:space="preserve">TEAM ASSEMBLER </t>
  </si>
  <si>
    <t xml:space="preserve">TEAM ASSEMBLERS </t>
  </si>
  <si>
    <t>454 HIGHWAY 225 N</t>
  </si>
  <si>
    <t xml:space="preserve">CHATSWORTH </t>
  </si>
  <si>
    <t>P-100-21161-387961</t>
  </si>
  <si>
    <t>="(1) Python; (2) Machine Learning; (3) Data Mining; (4) Statistical Data Analysis; (5) Natural Language Processing; (6) Apache Spark; (7) Deep Learning; (8) Algorithm design. Any suitable combination of education, training and/or experience is acceptable</t>
  </si>
  <si>
    <t>Director, Data Science</t>
  </si>
  <si>
    <t>Hope Law Group, P.C.</t>
  </si>
  <si>
    <t>Warehouse Clerk</t>
  </si>
  <si>
    <t>AMHERST</t>
  </si>
  <si>
    <t xml:space="preserve">Senior Security Engineer </t>
  </si>
  <si>
    <t>Medicine.</t>
  </si>
  <si>
    <t>12920 SE 38th Street</t>
  </si>
  <si>
    <t>T-Mobile USA, Inc.</t>
  </si>
  <si>
    <t>Senior Engineer, Software</t>
  </si>
  <si>
    <t>P-400-21154-365903</t>
  </si>
  <si>
    <t>DUBOIS</t>
  </si>
  <si>
    <t>GINGER</t>
  </si>
  <si>
    <t>DIRECTOR OF TALENT AND ACQUISITIONS</t>
  </si>
  <si>
    <t>430 SOUTH GULFVIEW BLVD</t>
  </si>
  <si>
    <t>CLEARWATER BEACH</t>
  </si>
  <si>
    <t>GES-AMERICA@OUTLOOK.COM</t>
  </si>
  <si>
    <t>CHINLE DEVELOPMENT INC</t>
  </si>
  <si>
    <t>Tampa-St. Petersburg-Clearwater, FL</t>
  </si>
  <si>
    <t>Unit #8</t>
  </si>
  <si>
    <t>JON</t>
  </si>
  <si>
    <t>gloria@pesusa.com</t>
  </si>
  <si>
    <t>sarah.kadel@ogletree.com</t>
  </si>
  <si>
    <t>P-400-21153-362252</t>
  </si>
  <si>
    <t xml:space="preserve"> JIMENEZ</t>
  </si>
  <si>
    <t xml:space="preserve">7667 Victory Lane </t>
  </si>
  <si>
    <t xml:space="preserve">PETRINA GROUP INTERNATIONAL INC. </t>
  </si>
  <si>
    <t>P-100-21169-409074</t>
  </si>
  <si>
    <t>Alessi</t>
  </si>
  <si>
    <t>Administrative Operations Manager</t>
  </si>
  <si>
    <t>108-B New South Road</t>
  </si>
  <si>
    <t>tracy.alessi@zodiacsystems.com</t>
  </si>
  <si>
    <t>Zodiac Systems LLC</t>
  </si>
  <si>
    <t>HIcksville</t>
  </si>
  <si>
    <t>Dussault</t>
  </si>
  <si>
    <t>6739 Fairview Road</t>
  </si>
  <si>
    <t>zach@kushnerlaw.com</t>
  </si>
  <si>
    <t>Kushner and Kushner P.C.</t>
  </si>
  <si>
    <t>Software Integration Specialist</t>
  </si>
  <si>
    <t>Comp Sci, Applied Math</t>
  </si>
  <si>
    <t>Engineering Product Manager</t>
  </si>
  <si>
    <t>6360 South Fiddler’s Green Circle</t>
  </si>
  <si>
    <t>Computer Science, Information Technology, Engineering, or related field</t>
  </si>
  <si>
    <t>P-400-21144-337508</t>
  </si>
  <si>
    <t>Roe</t>
  </si>
  <si>
    <t>4784 NAPLES LAKES BOULEVARD</t>
  </si>
  <si>
    <t>Broe@napleslakesfl.com</t>
  </si>
  <si>
    <t>Naples Lakes Country Club Homeowners Association, Inc.</t>
  </si>
  <si>
    <t>Naples Lakes Country Club</t>
  </si>
  <si>
    <t>="The Petitioner will consider for employment any person who possesses at least three (3) months of experience in a fine-dining or high-volume environment at a high-end restaurant, resort, or private club.  
Applicant must complete pre-employment drug sc</t>
  </si>
  <si>
    <t xml:space="preserve">Food &amp; Beverage Director </t>
  </si>
  <si>
    <t>4784 Naples Lakes Boulevard</t>
  </si>
  <si>
    <t>Anderson</t>
  </si>
  <si>
    <t>none</t>
  </si>
  <si>
    <t>Sullivan</t>
  </si>
  <si>
    <t>Suite 625</t>
  </si>
  <si>
    <t>P-400-21126-292063</t>
  </si>
  <si>
    <t>77 Water Street</t>
  </si>
  <si>
    <t>P-400-21137-318721</t>
  </si>
  <si>
    <t>Reid-Brown</t>
  </si>
  <si>
    <t xml:space="preserve">Chillean </t>
  </si>
  <si>
    <t>4650 WYCLIFFE GOLF &amp; COUNTRY CLUB BLVD.</t>
  </si>
  <si>
    <t>c.reid@wycliffecc.com</t>
  </si>
  <si>
    <t xml:space="preserve">Wycliffe Golf and Country Club, Inc. </t>
  </si>
  <si>
    <t>4650 WYCLIFFE GOLF &amp; COUNTRY CLUB BLVD</t>
  </si>
  <si>
    <t>WELLINGTON</t>
  </si>
  <si>
    <t>Waiter/Waitress</t>
  </si>
  <si>
    <t>4650 Wycliffe Golf and Country Club Blvd.</t>
  </si>
  <si>
    <t>P-400-21154-365939</t>
  </si>
  <si>
    <t>Iandoli Desai &amp; Cronin P.C.</t>
  </si>
  <si>
    <t>Computer Systems Engineer</t>
  </si>
  <si>
    <t>Lucas</t>
  </si>
  <si>
    <t>Law Offices of Tina Sharma</t>
  </si>
  <si>
    <t xml:space="preserve">Computer Science, Engineering, Math, Information Systems, Physics, or related. </t>
  </si>
  <si>
    <t>11-1021.00</t>
  </si>
  <si>
    <t>Sous Chef</t>
  </si>
  <si>
    <t>Counsel</t>
  </si>
  <si>
    <t>Varnum LLP</t>
  </si>
  <si>
    <t>P-400-21131-305029</t>
  </si>
  <si>
    <t>VELEZ</t>
  </si>
  <si>
    <t>Employment &amp; Training Manager</t>
  </si>
  <si>
    <t>6251 PELICAN BAY BLVD</t>
  </si>
  <si>
    <t>vvelez@pelicanbay.org</t>
  </si>
  <si>
    <t>PELICAN BAY FOUNDATION, INC.</t>
  </si>
  <si>
    <t>DINING ROOM ASSISTANT</t>
  </si>
  <si>
    <t xml:space="preserve">="Must pass pre-employment drug test (in accordance with company's Drug Free Workplace Policy) and background check; this includes seasonal and full-time annual positions and is applied to all applicants regardless of their national origin, race, gender, </t>
  </si>
  <si>
    <t>P-100-21133-310794</t>
  </si>
  <si>
    <t>SANGJUN</t>
  </si>
  <si>
    <t>460 PARK AVE</t>
  </si>
  <si>
    <t>HAHN KOOK CENTER U.S.A. INC.</t>
  </si>
  <si>
    <t>HAHN KOOK CENTER</t>
  </si>
  <si>
    <t>SUITE #400</t>
  </si>
  <si>
    <t>RYU</t>
  </si>
  <si>
    <t>JI HYUN</t>
  </si>
  <si>
    <t>1 BRIDGE PLAZA NORTH</t>
  </si>
  <si>
    <t>SUITE #430</t>
  </si>
  <si>
    <t>JRYU@RYULEELAW.COM</t>
  </si>
  <si>
    <t>RYU, LEE &amp; ASSOCIATES</t>
  </si>
  <si>
    <t>MARKET RESEARCH ANALYST</t>
  </si>
  <si>
    <t>BUSINESS OR RELATED</t>
  </si>
  <si>
    <t>460 PARK AVE.</t>
  </si>
  <si>
    <t>Immigration &amp; Mobility Specialist</t>
  </si>
  <si>
    <t>441 9th Avenue</t>
  </si>
  <si>
    <t>christina.ellis@onepeloton.com</t>
  </si>
  <si>
    <t>Peloton Interactive, Inc.</t>
  </si>
  <si>
    <t>LAURIE</t>
  </si>
  <si>
    <t>LASHUS</t>
  </si>
  <si>
    <t>3355 BEE CAVES RD</t>
  </si>
  <si>
    <t>SUITE 307</t>
  </si>
  <si>
    <t>IMMIGRATION@FISHERBROYLES.COM</t>
  </si>
  <si>
    <t>FISHERBROYLES LLP</t>
  </si>
  <si>
    <t>HOLIDAY LIGHTING LABORER</t>
  </si>
  <si>
    <t>P-400-21146-345925</t>
  </si>
  <si>
    <t xml:space="preserve">COLIN </t>
  </si>
  <si>
    <t xml:space="preserve">HUMBERTO </t>
  </si>
  <si>
    <t xml:space="preserve">2879 HAMPTON-LOCUST GROVE RD </t>
  </si>
  <si>
    <t xml:space="preserve">LOCUST GROVE </t>
  </si>
  <si>
    <t>mesquitemexgrill@gmail.com</t>
  </si>
  <si>
    <t>MESQUITE MEXICAN GRILL &amp; BAR 2 LLC</t>
  </si>
  <si>
    <t xml:space="preserve">MESQUITE MEXICAN GRILL &amp; BAR </t>
  </si>
  <si>
    <t xml:space="preserve">D&amp;O CONSULTING SERVICES, LLC </t>
  </si>
  <si>
    <t xml:space="preserve">Administrative Assistant </t>
  </si>
  <si>
    <t>Doss</t>
  </si>
  <si>
    <t>7834 C.F. Hawn Freeway</t>
  </si>
  <si>
    <t>Calhoun</t>
  </si>
  <si>
    <t>Fredericksburg</t>
  </si>
  <si>
    <t xml:space="preserve">Joseph </t>
  </si>
  <si>
    <t>Whitten</t>
  </si>
  <si>
    <t>lori@actionvisa.com</t>
  </si>
  <si>
    <t>Action International, Inc.</t>
  </si>
  <si>
    <t>Medical and Health Services Managers</t>
  </si>
  <si>
    <t>20% travel required.</t>
  </si>
  <si>
    <t>P-100-21165-395177</t>
  </si>
  <si>
    <t>DESAI</t>
  </si>
  <si>
    <t>NISHITA</t>
  </si>
  <si>
    <t>ASSOCIATE ATTORNEY</t>
  </si>
  <si>
    <t>1400 BROADWAY, 9TH FLOOR</t>
  </si>
  <si>
    <t>MCKINSEYIV@FRAGOMEN.COM</t>
  </si>
  <si>
    <t>MCKINSEY &amp; COMPANY, INC. UNITED STATES</t>
  </si>
  <si>
    <t>711 3RD AVENUE</t>
  </si>
  <si>
    <t xml:space="preserve">Product Design Lead </t>
  </si>
  <si>
    <t>Bachelor’s degree or foreign degree equivalent (either three or four year degree is acceptable) in Graphic Design, Interaction Design, or related discipline.</t>
  </si>
  <si>
    <t>="Minimum 5 years of progressive, post-baccalaureate experience creating interfaces for digital products, including websites and applications. Experience must have included: product design and strategy; mobile/responsive design and design research best pr</t>
  </si>
  <si>
    <t xml:space="preserve"> Director, Design &amp; Innovation</t>
  </si>
  <si>
    <t xml:space="preserve">711 Third Ave, 4th Floor </t>
  </si>
  <si>
    <t>125 Washington Street</t>
  </si>
  <si>
    <t>Salem</t>
  </si>
  <si>
    <t>Electrical Engineering or related field</t>
  </si>
  <si>
    <t>Portfolio Manager</t>
  </si>
  <si>
    <t>Clarke</t>
  </si>
  <si>
    <t>Shelly</t>
  </si>
  <si>
    <t>smcfann@immigration.net</t>
  </si>
  <si>
    <t>5th floor</t>
  </si>
  <si>
    <t>QA Engineer</t>
  </si>
  <si>
    <t>P-400-21146-344843</t>
  </si>
  <si>
    <t>RUSSELL</t>
  </si>
  <si>
    <t xml:space="preserve">STACY </t>
  </si>
  <si>
    <t>2425 W. Maya Palm Drive</t>
  </si>
  <si>
    <t xml:space="preserve"> Boca Raton</t>
  </si>
  <si>
    <t>ROYAL PALM YACHT &amp; COUNTRY CLUB</t>
  </si>
  <si>
    <t>="Experience must be verifiable.
Pre-hire drug test and background check, carried out equally between the U.S. workers and the H-2B workers.
Must be available to work split-shifts, nights, weekends &amp; holidays as needed.
Must be able to lift, pull, push or</t>
  </si>
  <si>
    <t>P-100-21166-398799</t>
  </si>
  <si>
    <t xml:space="preserve">Resolution Copper Company </t>
  </si>
  <si>
    <t>102 Magma Heights</t>
  </si>
  <si>
    <t>Superior</t>
  </si>
  <si>
    <t>Principal Advisor Structural Geology</t>
  </si>
  <si>
    <t>15-1141.00; 19-2042.00</t>
  </si>
  <si>
    <t>Database Administrators; Geoscientists, Except Hydrologists and Geographers</t>
  </si>
  <si>
    <t>Geology or a related field</t>
  </si>
  <si>
    <t>="Must have a master’s degree or foreign equivalent in Geology or a related field, plus 8 years of related work experience. Alternatively, the employer will accept a PhD degree or foreign equivalent in Geology or a related field, plus 5 years of related w</t>
  </si>
  <si>
    <t>Geoscientists, Except Hydrologists and Geographers</t>
  </si>
  <si>
    <t>Manager - Resource Evaluation</t>
  </si>
  <si>
    <t xml:space="preserve">Travel required 10% </t>
  </si>
  <si>
    <t>2 N Mesquite Road</t>
  </si>
  <si>
    <t>Delbridge</t>
  </si>
  <si>
    <t>Technical Delivery Specialists</t>
  </si>
  <si>
    <t>="Experience must include: Providing consultancy on decisions and priorities regarding infrastructure enhancements to improve the performance and reliability of IT systems; Proposing plans to integrate new and existing processes and providing guidance and</t>
  </si>
  <si>
    <t>Senior Manager, IT</t>
  </si>
  <si>
    <t xml:space="preserve">Office Manager </t>
  </si>
  <si>
    <t>Clint</t>
  </si>
  <si>
    <t xml:space="preserve">Sharma </t>
  </si>
  <si>
    <t xml:space="preserve">Kabita </t>
  </si>
  <si>
    <t>Poplar Bluff</t>
  </si>
  <si>
    <t>Economou</t>
  </si>
  <si>
    <t>Andoni</t>
  </si>
  <si>
    <t>COO/EVP</t>
  </si>
  <si>
    <t>55 Water Street</t>
  </si>
  <si>
    <t>32nd Floor</t>
  </si>
  <si>
    <t>paycomhr@mettel.net</t>
  </si>
  <si>
    <t>Fang</t>
  </si>
  <si>
    <t>11 Broadway</t>
  </si>
  <si>
    <t>Suite 463</t>
  </si>
  <si>
    <t>attorneypengfang@fanglawoffices.com</t>
  </si>
  <si>
    <t>Law Offices of Peng Fang PC</t>
  </si>
  <si>
    <t>MARK</t>
  </si>
  <si>
    <t xml:space="preserve">Cambridge </t>
  </si>
  <si>
    <t>Palmer</t>
  </si>
  <si>
    <t>P-400-21123-282588</t>
  </si>
  <si>
    <t>Musolf</t>
  </si>
  <si>
    <t>10838 D Williamson Lane</t>
  </si>
  <si>
    <t>Cockeysville</t>
  </si>
  <si>
    <t>MJM Landscaping, Inc.</t>
  </si>
  <si>
    <t xml:space="preserve">8340 MEADOW ROAD </t>
  </si>
  <si>
    <t>STE 132A</t>
  </si>
  <si>
    <t>margie@amigos-inc.com</t>
  </si>
  <si>
    <t>Amigos Labor Solutions, Inc.</t>
  </si>
  <si>
    <t>10838 D  Williamson Ln</t>
  </si>
  <si>
    <t>1 Becton Drive</t>
  </si>
  <si>
    <t>Franklin Lakes</t>
  </si>
  <si>
    <t>P-100-21147-349310</t>
  </si>
  <si>
    <t>Hoops</t>
  </si>
  <si>
    <t>Duane Morris LLP, 1540 Broadway</t>
  </si>
  <si>
    <t>mwhoops@duanemorris.com</t>
  </si>
  <si>
    <t>Inpeco NA, Inc.</t>
  </si>
  <si>
    <t>50 Broad Street</t>
  </si>
  <si>
    <t>Suite 1904</t>
  </si>
  <si>
    <t>Customer Solution Manager</t>
  </si>
  <si>
    <t>Biomedical Engineering or a related field</t>
  </si>
  <si>
    <t>="Must hold a master’s or foreign equivalent degree in biomedical engineering or a related field, must and 5 years of experience in the job offered or 5 years of experience working in the healthcare services industry and performing both hardware and softw</t>
  </si>
  <si>
    <t>Analytics Manager II</t>
  </si>
  <si>
    <t>P-100-21124-285358</t>
  </si>
  <si>
    <t>Product Quality Engineer</t>
  </si>
  <si>
    <t xml:space="preserve">Travel required 20%. </t>
  </si>
  <si>
    <t>Binarius Deepak Complex Yerwada</t>
  </si>
  <si>
    <t>Garrett</t>
  </si>
  <si>
    <t>4141 Parklake Ave</t>
  </si>
  <si>
    <t>dgarrett@nexsenpruet.com</t>
  </si>
  <si>
    <t>Nexsen Pruet PLLC</t>
  </si>
  <si>
    <t>D'Errico</t>
  </si>
  <si>
    <t>Janet</t>
  </si>
  <si>
    <t>225 Second Avenue</t>
  </si>
  <si>
    <t>janet.derrico@sanofi.com</t>
  </si>
  <si>
    <t>Band</t>
  </si>
  <si>
    <t>iband@hunton.com</t>
  </si>
  <si>
    <t>Shiyang</t>
  </si>
  <si>
    <t>sgong@dehengsv.com</t>
  </si>
  <si>
    <t>P-400-21137-319619</t>
  </si>
  <si>
    <t>Marcie</t>
  </si>
  <si>
    <t>37100 North Mirabel Club Drive</t>
  </si>
  <si>
    <t>marcie.mills@mirabel.com</t>
  </si>
  <si>
    <t>Mirabel Golf Club, Inc.</t>
  </si>
  <si>
    <t>Greenskeeper</t>
  </si>
  <si>
    <t>Director of Golf Course Operations</t>
  </si>
  <si>
    <t xml:space="preserve">Product Manager </t>
  </si>
  <si>
    <t>Property Manager</t>
  </si>
  <si>
    <t>MCDONOUGH</t>
  </si>
  <si>
    <t>D&amp;O Consulting services, LLC</t>
  </si>
  <si>
    <t>FOOD PREPARER</t>
  </si>
  <si>
    <t>vanessa.olivar@ogletreedeakins.com</t>
  </si>
  <si>
    <t>P-400-21131-303514</t>
  </si>
  <si>
    <t>assistant</t>
  </si>
  <si>
    <t>423 Westview Drive</t>
  </si>
  <si>
    <t>kevla504@aol.com</t>
  </si>
  <si>
    <t>Carvajal Oysters LLC</t>
  </si>
  <si>
    <t>South Main Street</t>
  </si>
  <si>
    <t>Seadrift</t>
  </si>
  <si>
    <t>P-100-21123-281574</t>
  </si>
  <si>
    <t>1455 East 6th Street</t>
  </si>
  <si>
    <t>laura.a.james@clev.frb.org</t>
  </si>
  <si>
    <t>Federal Reserve Bank of Cleveland</t>
  </si>
  <si>
    <t>Research Economist II</t>
  </si>
  <si>
    <t>Economics/Finance</t>
  </si>
  <si>
    <t>1455 E. 6th Street</t>
  </si>
  <si>
    <t>P-400-21125-289054</t>
  </si>
  <si>
    <t>agrasa09@gmail.com</t>
  </si>
  <si>
    <t>P-100-21165-394186</t>
  </si>
  <si>
    <t>Baredes</t>
  </si>
  <si>
    <t>Ezequiel</t>
  </si>
  <si>
    <t>2999 NE 191 ST</t>
  </si>
  <si>
    <t>ezequiel@bm2realty.com</t>
  </si>
  <si>
    <t>Brightway Properties LLC</t>
  </si>
  <si>
    <t>Bloch</t>
  </si>
  <si>
    <t>Ines</t>
  </si>
  <si>
    <t>Emilia</t>
  </si>
  <si>
    <t>333 NE 24th ST</t>
  </si>
  <si>
    <t>ines@inesblochlaw.com</t>
  </si>
  <si>
    <t>Ines Bloch Law PA</t>
  </si>
  <si>
    <t>Real Estate Analyst</t>
  </si>
  <si>
    <t>P-100-21132-307963</t>
  </si>
  <si>
    <t>EE</t>
  </si>
  <si>
    <t xml:space="preserve">ONE APPLE PARK WAY </t>
  </si>
  <si>
    <t>Hasbrouck Heights</t>
  </si>
  <si>
    <t>Roth</t>
  </si>
  <si>
    <t>Suite 3650</t>
  </si>
  <si>
    <t>sroth@petersimmigration.com</t>
  </si>
  <si>
    <t xml:space="preserve">Peters Immigration Law, PC </t>
  </si>
  <si>
    <t>People Operations Director- Corporate</t>
  </si>
  <si>
    <t>2012 Renaissance Blvd.</t>
  </si>
  <si>
    <t>RSIMON@devereux.org</t>
  </si>
  <si>
    <t>The Devereux Foundation</t>
  </si>
  <si>
    <t>Shelter Learning Specialist</t>
  </si>
  <si>
    <t>People Operations Director - Corporate</t>
  </si>
  <si>
    <t>Apt. 6518</t>
  </si>
  <si>
    <t>P-100-21159-380828</t>
  </si>
  <si>
    <t>201 California St.</t>
  </si>
  <si>
    <t>P-100-21127-295805</t>
  </si>
  <si>
    <t>Menefee</t>
  </si>
  <si>
    <t>Webb</t>
  </si>
  <si>
    <t>101 S. Fifth Street</t>
  </si>
  <si>
    <t>barbara.menefee@dinsmore.com</t>
  </si>
  <si>
    <t>New Fashion Pork, LLP</t>
  </si>
  <si>
    <t>164 Industrial Parkway</t>
  </si>
  <si>
    <t>Dinsmore &amp; Shohl LLP</t>
  </si>
  <si>
    <t xml:space="preserve">Farrowing Department Head </t>
  </si>
  <si>
    <t>First-Line Supervisors of Animal Husbandry and Animal Care Workers</t>
  </si>
  <si>
    <t>Sow Farm Manager</t>
  </si>
  <si>
    <t>6500 West Terra Haute</t>
  </si>
  <si>
    <t>Indiana 5 Sow Farm</t>
  </si>
  <si>
    <t>Clinical Psychologists</t>
  </si>
  <si>
    <t>Senior Pastor</t>
  </si>
  <si>
    <t>Buena Park</t>
  </si>
  <si>
    <t>P-100-21134-315102</t>
  </si>
  <si>
    <t>Ferraro</t>
  </si>
  <si>
    <t>aferraro@arenaco.com</t>
  </si>
  <si>
    <t>Arena Service Co, LLC</t>
  </si>
  <si>
    <t>Associate – Asset Management</t>
  </si>
  <si>
    <t>please see section F.b.5.a (iv)</t>
  </si>
  <si>
    <t>="Bachelor’s degree or foreign equivalent in Finance, Economics, Accounting, or a related field and four (4) years of experience in the job offered or related occupation: utilizing financial valuation and assessment skills for diverse investment set; util</t>
  </si>
  <si>
    <t>Managing Director, Head of Asset Management &amp; Portfolio Surveillance</t>
  </si>
  <si>
    <t>10% travel is required to various and unanticipated Arena Service Co, LLC offices and client sites nationally</t>
  </si>
  <si>
    <t>59th Floor</t>
  </si>
  <si>
    <t>P-200-21130-300225</t>
  </si>
  <si>
    <t>Hughes</t>
  </si>
  <si>
    <t xml:space="preserve">Human Resources Manager - Montgomery </t>
  </si>
  <si>
    <t>9920 Belward Campus Drive</t>
  </si>
  <si>
    <t xml:space="preserve">Catalent Pharma Solutions </t>
  </si>
  <si>
    <t xml:space="preserve">14 Schoolhouse Road </t>
  </si>
  <si>
    <t xml:space="preserve">Somerset </t>
  </si>
  <si>
    <t xml:space="preserve">Biochemistry </t>
  </si>
  <si>
    <t xml:space="preserve">9920 Belward Campus Drive </t>
  </si>
  <si>
    <t>Support Escalation Engineer</t>
  </si>
  <si>
    <t>7100 State Highway 161</t>
  </si>
  <si>
    <t>202 SILOAM ROAD</t>
  </si>
  <si>
    <t>EASLEY</t>
  </si>
  <si>
    <t>SYSINTEL INC.</t>
  </si>
  <si>
    <t>Science, Technology, or Engineering (any)</t>
  </si>
  <si>
    <t>="Master’s degree in Science, Technology, or Engineering (any) with 1 year of experience in job offered or related occupation is required. Bachelor’s degree in the above fields along with 5 years of experience in job offered or related occupation is accep</t>
  </si>
  <si>
    <t>P-400-21153-363127</t>
  </si>
  <si>
    <t>Terra</t>
  </si>
  <si>
    <t>83 Central St</t>
  </si>
  <si>
    <t>Massachusettes Contractor Supplies Inc</t>
  </si>
  <si>
    <t>MCS</t>
  </si>
  <si>
    <t>3355 Bee Caves Rd St 307</t>
  </si>
  <si>
    <t>FisherBroyles LLP</t>
  </si>
  <si>
    <t xml:space="preserve">Laborer </t>
  </si>
  <si>
    <t>TRANSPORTATION PROVIDED TO/FROM MIDDLESEX COUNTY PICK UP LOCATION.</t>
  </si>
  <si>
    <t>Boston-Cambridge-Nashua, MA-NH</t>
  </si>
  <si>
    <t>Manager - Administration</t>
  </si>
  <si>
    <t xml:space="preserve">="Qualifying experience must include at least one (1) year with each of the following:
•	Structured Programming
•	Software development proficiency
•	Project management
•	Data analysis
•	Transaction Life Cycle
•	SAFe/Agile methodologies
•	Hogan CAMS/CIS
</t>
  </si>
  <si>
    <t>2200 Mastercard Blvd</t>
  </si>
  <si>
    <t>Abilene</t>
  </si>
  <si>
    <t>Vi</t>
  </si>
  <si>
    <t>vnguyen@coursera.org</t>
  </si>
  <si>
    <t>Coursera, Inc.</t>
  </si>
  <si>
    <t>381 E. Evelyn Ave.</t>
  </si>
  <si>
    <t>coursera@cipllp.com</t>
  </si>
  <si>
    <t>LANDSCAPING LABORER</t>
  </si>
  <si>
    <t>VP, Engineering</t>
  </si>
  <si>
    <t>REIDT@HIGGSLAW.COM</t>
  </si>
  <si>
    <t>DSHEPPARD@HIGGSLAW.COM</t>
  </si>
  <si>
    <t>Higgs, Fletcher, &amp; Mack LLP</t>
  </si>
  <si>
    <t>Information Technology, Computer Engineering, or a related field.</t>
  </si>
  <si>
    <t>="Eight (8) years of progressively responsible experience in the job offered or related occupation: leading a team of developers and designers on automation QA to create and elaborate on payment network capabilities or web based capabilities; coaching and</t>
  </si>
  <si>
    <t>1301 McKinney Street</t>
  </si>
  <si>
    <t>P-400-21139-327794</t>
  </si>
  <si>
    <t>REICH</t>
  </si>
  <si>
    <t>6160 SW THISTLE TERRACE</t>
  </si>
  <si>
    <t>PIPER'S LANDING INC</t>
  </si>
  <si>
    <t>PIPER'S LANDING YACHT &amp; COUNTRY CLUB</t>
  </si>
  <si>
    <t xml:space="preserve">6160 SW THISTLE TERRACE </t>
  </si>
  <si>
    <t>WAITERS &amp; WAITRESSES</t>
  </si>
  <si>
    <t>P-100-21141-333035</t>
  </si>
  <si>
    <t>P-400-21148-353906</t>
  </si>
  <si>
    <t>Santillan</t>
  </si>
  <si>
    <t>1021 Hilltop Drive</t>
  </si>
  <si>
    <t>Mailing: PO Box 10295 , Russellville, AR 72812</t>
  </si>
  <si>
    <t>Russellville</t>
  </si>
  <si>
    <t>amigoforestry@suddenlink.net</t>
  </si>
  <si>
    <t>Amigo Forestry Service, Inc.</t>
  </si>
  <si>
    <t>="Requires walking over rough and uneven land, with continuous bending, crouching, stooping, and lifting. Must lift and carry 55 lbs. Comply and maintain a proactive attitude in all safety required activities, PPE usage, and guidelines set forth by said c</t>
  </si>
  <si>
    <t>4165 Ross Road</t>
  </si>
  <si>
    <t>Atmore</t>
  </si>
  <si>
    <t>P-100-21169-411350</t>
  </si>
  <si>
    <t>CAMHI</t>
  </si>
  <si>
    <t>ALBERTO</t>
  </si>
  <si>
    <t>5201 NW 77 AVENUE</t>
  </si>
  <si>
    <t>ileana@addisonhouse.com</t>
  </si>
  <si>
    <t>GAMAX INC</t>
  </si>
  <si>
    <t>ADDISON HOUSE</t>
  </si>
  <si>
    <t>5201 NW 77TH AVENUE</t>
  </si>
  <si>
    <t>ANDRADE</t>
  </si>
  <si>
    <t>2295 S Hiawasse Rd</t>
  </si>
  <si>
    <t>ST 203</t>
  </si>
  <si>
    <t>marisol@andradelawfirmpa.com</t>
  </si>
  <si>
    <t>Andrade law firm</t>
  </si>
  <si>
    <t>DEPARTMENT SUPERVISOR</t>
  </si>
  <si>
    <t>P-400-21153-362945</t>
  </si>
  <si>
    <t xml:space="preserve">Lopez Jr. </t>
  </si>
  <si>
    <t>14101 W 290 Bldg 2000, Ste. B</t>
  </si>
  <si>
    <t>Joey@essitx.com</t>
  </si>
  <si>
    <t>Environmental Safety Services, Inc.</t>
  </si>
  <si>
    <t>14101 US 290 W Bldg 2000, Ste. B</t>
  </si>
  <si>
    <t>Erosion Laborer</t>
  </si>
  <si>
    <t xml:space="preserve">Daily travel to worksites in the area of intended employment required. Transportation to and from worksites is provided by the Employer at no cost. </t>
  </si>
  <si>
    <t>6204 Old Lockhart Rd.</t>
  </si>
  <si>
    <t>Buda</t>
  </si>
  <si>
    <t>Halifax</t>
  </si>
  <si>
    <t>Owner/President</t>
  </si>
  <si>
    <t>Vienna</t>
  </si>
  <si>
    <t>P-100-21169-412042</t>
  </si>
  <si>
    <t>Principal Global Mobility/ 20722.24</t>
  </si>
  <si>
    <t>Senior Software Development</t>
  </si>
  <si>
    <t>Computer Engineering or related</t>
  </si>
  <si>
    <t>Lecturer</t>
  </si>
  <si>
    <t>1300 Quail Street Suite 107</t>
  </si>
  <si>
    <t>Carlyle</t>
  </si>
  <si>
    <t>Quincy</t>
  </si>
  <si>
    <t>Sandoval</t>
  </si>
  <si>
    <t xml:space="preserve">Nicholas </t>
  </si>
  <si>
    <t>222 W Merchandise Plaza</t>
  </si>
  <si>
    <t>LEBANON</t>
  </si>
  <si>
    <t>SYSTEM ANALYST</t>
  </si>
  <si>
    <t>P-400-21127-297434</t>
  </si>
  <si>
    <t>Spears-Thomas</t>
  </si>
  <si>
    <t>Guadalupe</t>
  </si>
  <si>
    <t>215 PAUL BUNYAN DR NW # 138</t>
  </si>
  <si>
    <t>Bemidji</t>
  </si>
  <si>
    <t>championforestry@usa.com</t>
  </si>
  <si>
    <t>Champion Forestry Service</t>
  </si>
  <si>
    <t>Labor Manager</t>
  </si>
  <si>
    <t>252 Old Patton RD</t>
  </si>
  <si>
    <t>Southwest Alabama nonmetropolitan area</t>
  </si>
  <si>
    <t>Sposito</t>
  </si>
  <si>
    <t>4550 Montgomery Ave.</t>
  </si>
  <si>
    <t>Suite 1100N</t>
  </si>
  <si>
    <t>jsposito@cff.org</t>
  </si>
  <si>
    <t>Cystic Fibrosis Foundation</t>
  </si>
  <si>
    <t>1519 Summit Ave.</t>
  </si>
  <si>
    <t>jwest@rothjackson.com</t>
  </si>
  <si>
    <t>Roth Jackson Gibbons Condlin PLC</t>
  </si>
  <si>
    <t>biology, biotechnology, or related life sciences discipline</t>
  </si>
  <si>
    <t>44 Hartwell Ave.</t>
  </si>
  <si>
    <t>Burgan</t>
  </si>
  <si>
    <t>Hal</t>
  </si>
  <si>
    <t>Mount Vernon</t>
  </si>
  <si>
    <t>P-100-21137-319267</t>
  </si>
  <si>
    <t>Westminster</t>
  </si>
  <si>
    <t>P-100-21133-310899</t>
  </si>
  <si>
    <t>Daina</t>
  </si>
  <si>
    <t>4516 Seton Center Parkway</t>
  </si>
  <si>
    <t>daina@heartflow.com</t>
  </si>
  <si>
    <t>HEARTFLOW, INC.</t>
  </si>
  <si>
    <t>4516 SETON CENTER PKWY</t>
  </si>
  <si>
    <t>Sr. Software Engineer in Test</t>
  </si>
  <si>
    <t xml:space="preserve">Computer Engineering, Software Engineering, Biomedical Engineering or Mechanical Engineering. </t>
  </si>
  <si>
    <t>="Basic understanding of Python programming language, including theory and syntax.
Basic knowledge of software testing and the verification and validation (V&amp;V) cycle.
Basic understanding of software development methodologies such as Agile, Scrum, and Fea</t>
  </si>
  <si>
    <t>Manager, Engineering in Test</t>
  </si>
  <si>
    <t>1400 Seaport Blvd</t>
  </si>
  <si>
    <t>P-100-21139-327121</t>
  </si>
  <si>
    <t>SOFTWARE TECHNOLOGY, INC</t>
  </si>
  <si>
    <t>100 OVERLOOK CENTER</t>
  </si>
  <si>
    <t>50 CRGAWOOD ROAD</t>
  </si>
  <si>
    <t xml:space="preserve">="SKILLS REQUIRED: PEGA, ORACLE, MICROSOFT VISIO, SOAP, WSDL, WINDOWS AND HTML. MASTER’S DEGREE IN SCIENCE, TECHNOLOGY, ENGINEERING, OR ANY RELATED FIELD WITH 1 YEAR OF EXPERIENCE IN THE JOB OFFERED OR RELATED OCCUPATION
IS REQUIRED. BACHELOR’S DEGREE IN </t>
  </si>
  <si>
    <t>SUITE 200 AND VARIOUS UNANATICIPATED LOCATIONS THROUGHOUT THE U.S.</t>
  </si>
  <si>
    <t>Jenkins</t>
  </si>
  <si>
    <t>="Must be 18 due to travel. Must show proof of legal authorization to work in the United States. Drug/alcohol/tobacco free work zone. Must walk substantially (up to 15 miles/day), also stoop, bend while carrying a pack (up to 50lbs) thru rough terrain (no</t>
  </si>
  <si>
    <t>P-400-21144-339693</t>
  </si>
  <si>
    <t>GARBRO, INC</t>
  </si>
  <si>
    <t>382 South Perry St</t>
  </si>
  <si>
    <t>Paint Helper</t>
  </si>
  <si>
    <t>will travel in Metro Atlanta to worksites</t>
  </si>
  <si>
    <t>P-100-21124-285034</t>
  </si>
  <si>
    <t>Magalhaes</t>
  </si>
  <si>
    <t>Chief Financial Office (CFO)</t>
  </si>
  <si>
    <t>10010 NW 79 AVE</t>
  </si>
  <si>
    <t>HIALEAH GARDENS</t>
  </si>
  <si>
    <t>CFO@THELOBSTERHOTEL.US</t>
  </si>
  <si>
    <t>THE LOBSTER HOTEL LLC</t>
  </si>
  <si>
    <t>10010 NW 79 Ave</t>
  </si>
  <si>
    <t>Hialeah Gardens</t>
  </si>
  <si>
    <t>SCHONBERG</t>
  </si>
  <si>
    <t>4000 HOLLYWOOD BLVD</t>
  </si>
  <si>
    <t>SUITE 555S</t>
  </si>
  <si>
    <t>HOLLYWOOD</t>
  </si>
  <si>
    <t>INFO@ST-IMMIGRATION.COM</t>
  </si>
  <si>
    <t>SCHONBERG &amp; TIMERMAN PL</t>
  </si>
  <si>
    <t>Cost Accountant</t>
  </si>
  <si>
    <t xml:space="preserve">BA or foreign equivalent in Accounting, Finance, or Economics </t>
  </si>
  <si>
    <t>="24 months of experience must be in finance and accounting auditing financial statements to Brazilian Accounting Standards, U.S. Accounting Standards and IFRS; international business evaluations; and due diligence procedure and protocol on merger and acq</t>
  </si>
  <si>
    <t xml:space="preserve">International  travel (20% of the time) to Brazil, Bahamas, Asia and South America </t>
  </si>
  <si>
    <t xml:space="preserve">10010 NW 79 Ave </t>
  </si>
  <si>
    <t>100 HIGH STREET</t>
  </si>
  <si>
    <t>Sr. Program Manager</t>
  </si>
  <si>
    <t>100 HUNTINGTON AVENUE</t>
  </si>
  <si>
    <t>4 COPLEY PLACE</t>
  </si>
  <si>
    <t>919 Hidden Ridge</t>
  </si>
  <si>
    <t>ashley.lewis2@christushealth.org</t>
  </si>
  <si>
    <t>CHRISTUS Health</t>
  </si>
  <si>
    <t>Courreges</t>
  </si>
  <si>
    <t>500 Dallas</t>
  </si>
  <si>
    <t>karen.courreges@ogletree.com</t>
  </si>
  <si>
    <t>P-100-21131-303896</t>
  </si>
  <si>
    <t>Ker</t>
  </si>
  <si>
    <t>4601 Wilshire Blvd</t>
  </si>
  <si>
    <t>kerzhang@ptktech.com</t>
  </si>
  <si>
    <t>PTK Acquisition Corp.</t>
  </si>
  <si>
    <t>1435 Huntington Avenue</t>
  </si>
  <si>
    <t>Suite 336</t>
  </si>
  <si>
    <t>dsmith@litwinsmith.com</t>
  </si>
  <si>
    <t>Litwin &amp; Smith, A Law Corporation</t>
  </si>
  <si>
    <t>Business Administration, or related field.</t>
  </si>
  <si>
    <t>="Experience in leading and managing teams in end-to-end execution of financial transactions involving mergers and acquisitions (M&amp;A); experience with financing for public and private technology companies; experience with an investment bank or a private e</t>
  </si>
  <si>
    <t>Travel required. May work remotely from home.</t>
  </si>
  <si>
    <t>P-400-21138-323693</t>
  </si>
  <si>
    <t>President, Owner</t>
  </si>
  <si>
    <t>7275 Sweet Ola Hwy.</t>
  </si>
  <si>
    <t>paul@andersonreserve.com</t>
  </si>
  <si>
    <t>Anderson Reserve LLC</t>
  </si>
  <si>
    <t>7275 Sweet-Ola Hwy.</t>
  </si>
  <si>
    <t>Food Prep Worker</t>
  </si>
  <si>
    <t>Guerra</t>
  </si>
  <si>
    <t>Leopoldo</t>
  </si>
  <si>
    <t>P-100-21123-281271</t>
  </si>
  <si>
    <t>Abeijon</t>
  </si>
  <si>
    <t>Avelino</t>
  </si>
  <si>
    <t>100 NE ADAMS STREET</t>
  </si>
  <si>
    <t>PEORIA</t>
  </si>
  <si>
    <t>Avelino.Abeijon@cat.com</t>
  </si>
  <si>
    <t>Caterpillar, Inc.</t>
  </si>
  <si>
    <t>Caterpillar</t>
  </si>
  <si>
    <t>Software Development/Software Engineering</t>
  </si>
  <si>
    <t>Info Technology Supervisor</t>
  </si>
  <si>
    <t>2200 Pacific Highway</t>
  </si>
  <si>
    <t>Friedman</t>
  </si>
  <si>
    <t>P-100-21132-305656</t>
  </si>
  <si>
    <t>Sunnen (#85667)</t>
  </si>
  <si>
    <t>Bachelor’s degree or foreign equivalent in Comp Sci,  Electrical/Electronics/Data Engg, Math, Physics, Economics, or rel field, and 1 year of exp as Data Analyst, Data Science Intern, or rel.</t>
  </si>
  <si>
    <t>Ippolito</t>
  </si>
  <si>
    <t>Noreen</t>
  </si>
  <si>
    <t>7060 Erie Rd</t>
  </si>
  <si>
    <t>Derby</t>
  </si>
  <si>
    <t>nippolito@live.com</t>
  </si>
  <si>
    <t>LAKESHORE FAMILY MEDICINE ASSOCIATES, P.C.</t>
  </si>
  <si>
    <t>WON</t>
  </si>
  <si>
    <t>WOOJIN</t>
  </si>
  <si>
    <t>440 WEST STREET</t>
  </si>
  <si>
    <t>CONTACT@WONLAWFIRM.COM</t>
  </si>
  <si>
    <t>Won Law Firm PC</t>
  </si>
  <si>
    <t>Nurse Practitioner</t>
  </si>
  <si>
    <t>NURSING OR FAMILY NURSE PRACTITIONER</t>
  </si>
  <si>
    <t>Solution Architect</t>
  </si>
  <si>
    <t>P-400-21124-286674</t>
  </si>
  <si>
    <t>Schauer</t>
  </si>
  <si>
    <t>Director of Visa Services</t>
  </si>
  <si>
    <t>25491 NE State hwy 3</t>
  </si>
  <si>
    <t>Belfair</t>
  </si>
  <si>
    <t>Continental Floral LLC</t>
  </si>
  <si>
    <t>Continental Floral Greens</t>
  </si>
  <si>
    <t>suite C</t>
  </si>
  <si>
    <t>Floral Designer</t>
  </si>
  <si>
    <t>="General Job Specifications:
1.	Must be able to perform all duties within this job description in what can be considered a safe manner adhering to all established safety guidelines, practices and procedures.
2.	Must wear all required and assigned perso</t>
  </si>
  <si>
    <t>*Please see F.b.5.</t>
  </si>
  <si>
    <t>Gonzalez</t>
  </si>
  <si>
    <t>Research Scientist II</t>
  </si>
  <si>
    <t>Homecare by HPS, LLC</t>
  </si>
  <si>
    <t>40801 Hwy 6 &amp; 24, Suite 3 (physical)</t>
  </si>
  <si>
    <t>P.O. Box 3487</t>
  </si>
  <si>
    <t xml:space="preserve">="Must be able to stand, bend, kneel and reach high areas to clean, move up and down stairs and regularly lift and/or move up to 10 pounds.  Must be able to withstand exposure to chemicals used in cleaning products.  Team player with good attitude.  Will </t>
  </si>
  <si>
    <t>Pesticide Handlers, Sprayers, and Applicators, Vegetation</t>
  </si>
  <si>
    <t>akim@adrftech.com</t>
  </si>
  <si>
    <t>Advanced RF Technologies, Inc.</t>
  </si>
  <si>
    <t>Jeau</t>
  </si>
  <si>
    <t>3700 Wilshire Blvd. #500</t>
  </si>
  <si>
    <t>hopelaw123@gmail.com</t>
  </si>
  <si>
    <t>Sales Engineer</t>
  </si>
  <si>
    <t>Analyst</t>
  </si>
  <si>
    <t>P-400-21126-293588</t>
  </si>
  <si>
    <t>Tormey</t>
  </si>
  <si>
    <t>President and Owner</t>
  </si>
  <si>
    <t>371 W 8th St</t>
  </si>
  <si>
    <t>john@tormeyconstruction.com</t>
  </si>
  <si>
    <t>Tormey Construction Inc</t>
  </si>
  <si>
    <t>Tormey Construction</t>
  </si>
  <si>
    <t>301 Bell Dr #11</t>
  </si>
  <si>
    <t>All foreseeable work is in three counties: Blaine, Lemhi, and Custer counties in Idaho. Employer provides ALL tools and transportation to worksite.</t>
  </si>
  <si>
    <t>P-400-21128-297908</t>
  </si>
  <si>
    <t xml:space="preserve">3152 Skyview Rd. </t>
  </si>
  <si>
    <t>Goshen</t>
  </si>
  <si>
    <t>P-100-21127-296054</t>
  </si>
  <si>
    <t xml:space="preserve">Partner/Channel Marketing Manager </t>
  </si>
  <si>
    <t>Annie</t>
  </si>
  <si>
    <t>MEDFORD</t>
  </si>
  <si>
    <t>Assistant Director, Human Resources</t>
  </si>
  <si>
    <t>Amusement &amp; Recreation Attendant – Mobile Food Concessions</t>
  </si>
  <si>
    <t>P-400-21125-290162</t>
  </si>
  <si>
    <t>Tallman, III</t>
  </si>
  <si>
    <t>Alton</t>
  </si>
  <si>
    <t>Business Manager</t>
  </si>
  <si>
    <t>13750 Jefferson Highway</t>
  </si>
  <si>
    <t>Angelo's Lawn-Scape of Louisiana, Inc.</t>
  </si>
  <si>
    <t>sarah@amigos-inc.com</t>
  </si>
  <si>
    <t>prodriguez@fragomen.com</t>
  </si>
  <si>
    <t>PRODRIGUEZ@FRAGOMEN.COM</t>
  </si>
  <si>
    <t>P-100-21180-431074</t>
  </si>
  <si>
    <t>Cardona</t>
  </si>
  <si>
    <t>Jose Luis</t>
  </si>
  <si>
    <t xml:space="preserve">Senior Director of Human Resources Administration </t>
  </si>
  <si>
    <t xml:space="preserve">250  Williams Street </t>
  </si>
  <si>
    <t xml:space="preserve">STE  5-2002 </t>
  </si>
  <si>
    <t>imigration@incomm.com</t>
  </si>
  <si>
    <t xml:space="preserve">Interactive Communications International, Inc. </t>
  </si>
  <si>
    <t>250 Williams Street</t>
  </si>
  <si>
    <t>Infrastructure Architect I</t>
  </si>
  <si>
    <t xml:space="preserve">Computer Science, Engineering, Information Systems, or related field </t>
  </si>
  <si>
    <t xml:space="preserve">="Bachelor’s degree in Computer Science, Engineering, Information Systems, or related field and 5 years of engineering experience required. Must have experience in the following: VMWare technologies including VCenter, VSphere, VRealize, VBlocks including </t>
  </si>
  <si>
    <t>VP of Operations</t>
  </si>
  <si>
    <t>SUITE 120</t>
  </si>
  <si>
    <t>SHAWN</t>
  </si>
  <si>
    <t>APARNA</t>
  </si>
  <si>
    <t>19-1029.01</t>
  </si>
  <si>
    <t>P-400-21154-365849</t>
  </si>
  <si>
    <t>Stickrod-List</t>
  </si>
  <si>
    <t>Karralea</t>
  </si>
  <si>
    <t>President/CEO</t>
  </si>
  <si>
    <t>4086 Limaburg Road</t>
  </si>
  <si>
    <t>decorgroupnky13@gmail.com</t>
  </si>
  <si>
    <t>The Decor Group of Northern KY</t>
  </si>
  <si>
    <t>d/b/a Christmas Decor of Northern KY</t>
  </si>
  <si>
    <t>Employer will provide daily transportation to and from the job sites from a central pick up area in Hebron, KY</t>
  </si>
  <si>
    <t>Mechanicsburg</t>
  </si>
  <si>
    <t>STE 220</t>
  </si>
  <si>
    <t>P-100-21131-304827</t>
  </si>
  <si>
    <t>SITA CORP</t>
  </si>
  <si>
    <t>347 ELIZABETH AVENUE</t>
  </si>
  <si>
    <t>P-100-21145-342856</t>
  </si>
  <si>
    <t>Wise</t>
  </si>
  <si>
    <t>630 Tollgate Rd.</t>
  </si>
  <si>
    <t>swise@mediquant.com</t>
  </si>
  <si>
    <t>MediQuant LLC</t>
  </si>
  <si>
    <t>6900 S. Edgerton Rd.</t>
  </si>
  <si>
    <t>Brecksville</t>
  </si>
  <si>
    <t>Strand</t>
  </si>
  <si>
    <t>Brett</t>
  </si>
  <si>
    <t>1235 N. Mulford Rd.</t>
  </si>
  <si>
    <t>Rockford</t>
  </si>
  <si>
    <t>bas@lechtenberglawfirm.com</t>
  </si>
  <si>
    <t>Lechtenberg &amp; Associates LLC</t>
  </si>
  <si>
    <t>DATA MODELER I</t>
  </si>
  <si>
    <t>Computer Engineering, Computer Systems, Computer Science, or Software Engineering</t>
  </si>
  <si>
    <t>630 Tollgate Rd</t>
  </si>
  <si>
    <t>Ting</t>
  </si>
  <si>
    <t xml:space="preserve">LOS ANGELES </t>
  </si>
  <si>
    <t>517 ROUTE 1 SOUTH</t>
  </si>
  <si>
    <t>SUITE 1116</t>
  </si>
  <si>
    <t>INFORMATION SECURITY ENGINEERS</t>
  </si>
  <si>
    <t>SUITE 1116 AND VARIOUS UNANTICIPATED LOCATIONS THROUGHOUT THE U.S.</t>
  </si>
  <si>
    <t>CHRIS</t>
  </si>
  <si>
    <t>Locker Room, Coatroom, and Dressing Room Attendants</t>
  </si>
  <si>
    <t>Test Engineer</t>
  </si>
  <si>
    <t>Brendan</t>
  </si>
  <si>
    <t>P-100-21132-307157</t>
  </si>
  <si>
    <t>BI LABS INC</t>
  </si>
  <si>
    <t>Advisor</t>
  </si>
  <si>
    <t>P-400-21152-358274</t>
  </si>
  <si>
    <t>Copperleaf Golf Club</t>
  </si>
  <si>
    <t>Bonita springs</t>
  </si>
  <si>
    <t>Server/Cook/Busser/Expo</t>
  </si>
  <si>
    <t>Davidson</t>
  </si>
  <si>
    <t>P-100-21179-428970</t>
  </si>
  <si>
    <t>Yombo</t>
  </si>
  <si>
    <t>Anna Marie</t>
  </si>
  <si>
    <t>Office &amp; Operations Manager</t>
  </si>
  <si>
    <t>5000 14th Street NW</t>
  </si>
  <si>
    <t>anna@lambpcs.org</t>
  </si>
  <si>
    <t>Latin American Montessori Bilingual Public Charter School</t>
  </si>
  <si>
    <t>LAMB PSC</t>
  </si>
  <si>
    <t>Coordinator, Elementary</t>
  </si>
  <si>
    <t>5000 14th Street, NW</t>
  </si>
  <si>
    <t>P-400-21132-308142</t>
  </si>
  <si>
    <t>Awilda</t>
  </si>
  <si>
    <t>9789 Martingham Circle</t>
  </si>
  <si>
    <t>St. Michaels</t>
  </si>
  <si>
    <t>anevarez@perrycabinresorts.com</t>
  </si>
  <si>
    <t>RDC Harbourtowne LLC</t>
  </si>
  <si>
    <t>Links at Perry Cabin</t>
  </si>
  <si>
    <t>115 Broadway, 21st Floor</t>
  </si>
  <si>
    <t>Golf Maintenance Worker</t>
  </si>
  <si>
    <t>Maryland nonmetropolitan area</t>
  </si>
  <si>
    <t>Suite 235</t>
  </si>
  <si>
    <t>2020 US MBD/TRS Benchmark Database Survey</t>
  </si>
  <si>
    <t>Programmer Analyst Specialist</t>
  </si>
  <si>
    <t>Applied Computer Science, Computer Engineering, or related field.</t>
  </si>
  <si>
    <t>="Six (6) years of progressively responsible  experience in the job offered or a related occupation: applying end-to-end systems development life cycles, including waterfall and iterative approaches to software development; conducting business modeling an</t>
  </si>
  <si>
    <t>10 % travel required.</t>
  </si>
  <si>
    <t>5003 South Miami Boulevard</t>
  </si>
  <si>
    <t>Vera-Tudela</t>
  </si>
  <si>
    <t>Anibal</t>
  </si>
  <si>
    <t>250 Catalonia Ave STE 405</t>
  </si>
  <si>
    <t>anibal@avtconsultants.com</t>
  </si>
  <si>
    <t>AVT Consultants LLC</t>
  </si>
  <si>
    <t>Telemarketer</t>
  </si>
  <si>
    <t>Bookkeeper</t>
  </si>
  <si>
    <t>Simons</t>
  </si>
  <si>
    <t>P-100-21157-372693</t>
  </si>
  <si>
    <t>Unanticipated Locations</t>
  </si>
  <si>
    <t>Harper</t>
  </si>
  <si>
    <t>Landscape Worker</t>
  </si>
  <si>
    <t>Harkey</t>
  </si>
  <si>
    <t>Ronda</t>
  </si>
  <si>
    <t>470 Orleans Street</t>
  </si>
  <si>
    <t>rbh@obt.com</t>
  </si>
  <si>
    <t>Orgain Bell &amp; Tucker, LLP</t>
  </si>
  <si>
    <t>Welder</t>
  </si>
  <si>
    <t>Safety Coordinator</t>
  </si>
  <si>
    <t>Computer Science, MIS, CIS, Engineering-any branch, Technology or related</t>
  </si>
  <si>
    <t>Hyung Min</t>
  </si>
  <si>
    <t>Northvale</t>
  </si>
  <si>
    <t>julie.ko@iottie.com</t>
  </si>
  <si>
    <t>Iottie Inc</t>
  </si>
  <si>
    <t>Iottie</t>
  </si>
  <si>
    <t>235 Pegasus Avenue</t>
  </si>
  <si>
    <t>Hye Jung</t>
  </si>
  <si>
    <t>616 Palisade Avenue, 1st Floor</t>
  </si>
  <si>
    <t>Englewood Cilffs</t>
  </si>
  <si>
    <t>Hyejungparkesq@yahoo.com</t>
  </si>
  <si>
    <t>Law Offices of Hye Jung Park, LLC</t>
  </si>
  <si>
    <t xml:space="preserve">Staff Accountant </t>
  </si>
  <si>
    <t>P-400-21141-335669</t>
  </si>
  <si>
    <t>3485 E. Illini St.</t>
  </si>
  <si>
    <t>Vice  President</t>
  </si>
  <si>
    <t>COHEN</t>
  </si>
  <si>
    <t>SUITE 135</t>
  </si>
  <si>
    <t>FEDEX SUPPLY CHAIN, LLC</t>
  </si>
  <si>
    <t xml:space="preserve">700 CRANBERRY WOODS DRIVE </t>
  </si>
  <si>
    <t>CRANBERRY TOWNSHIP</t>
  </si>
  <si>
    <t xml:space="preserve">ANALYST, IT IMPLEMENTATION </t>
  </si>
  <si>
    <t>COMPUTER SCIENCE, INFORMATION SYSTEMS OR RELATED FIELD OF STUDY</t>
  </si>
  <si>
    <t>MANAGER IT</t>
  </si>
  <si>
    <t>P-400-21146-344845</t>
  </si>
  <si>
    <t>GALLINI</t>
  </si>
  <si>
    <t xml:space="preserve">WOLDINE </t>
  </si>
  <si>
    <t>MANAGER, HUMAN RESOURCES</t>
  </si>
  <si>
    <t>275 Estero Blvd.</t>
  </si>
  <si>
    <t>Fort Myers Beach</t>
  </si>
  <si>
    <t xml:space="preserve">BOYKIN MANAGEMENT CO </t>
  </si>
  <si>
    <t>PINK SHELL BEACH RESORT &amp; MARINA</t>
  </si>
  <si>
    <t xml:space="preserve">275 Estero Blvd </t>
  </si>
  <si>
    <t xml:space="preserve">SERVER </t>
  </si>
  <si>
    <t xml:space="preserve">="Experience must be verifiable.
Pre-hire drug test &amp; background check, carried out equally between the U.S. workers and the H-2B workers.
Must be available to work split-shifts, nights, weekends &amp; holidays as needed. 
Must be able to lift, pull, push or </t>
  </si>
  <si>
    <t>Account Supervisor</t>
  </si>
  <si>
    <t>Senior Systems Analyst - General</t>
  </si>
  <si>
    <t>D.O.</t>
  </si>
  <si>
    <t>Human Resource Manager</t>
  </si>
  <si>
    <t>Dunn</t>
  </si>
  <si>
    <t>CHAYA</t>
  </si>
  <si>
    <t>GILL</t>
  </si>
  <si>
    <t>KAUR</t>
  </si>
  <si>
    <t>Parrett</t>
  </si>
  <si>
    <t>New City</t>
  </si>
  <si>
    <t>="The Petitioner will consider for employment any person who possesses at least six (6) months of culinary experience in a fine-dining or high-volume environment at a high-end restaurant, resort, or private club.  Applicant must complete pre-employment ba</t>
  </si>
  <si>
    <t xml:space="preserve">Executive Chef </t>
  </si>
  <si>
    <t>Morales</t>
  </si>
  <si>
    <t>P-100-21130-300244</t>
  </si>
  <si>
    <t>SharePoint Developer</t>
  </si>
  <si>
    <t xml:space="preserve">IT, Computer Science, Computer Systems Engineering, a related field, or the equivalent. </t>
  </si>
  <si>
    <t xml:space="preserve">="Requires at least a Bachelor's Degree in IT, Computer Science, Computer Systems Engineering, a related field or the eqivalent plus five years of experience. Additionally requires: 5 years of SharePoint development experience; 3 years jQuery experience; </t>
  </si>
  <si>
    <t>Team Leader, Client Support</t>
  </si>
  <si>
    <t>Domestic travel to unanticipated client sites, as needed</t>
  </si>
  <si>
    <t xml:space="preserve">York Nursing and Rehabilitation </t>
  </si>
  <si>
    <t xml:space="preserve">7101 Old York Road </t>
  </si>
  <si>
    <t>Cincinnati, OH-KY-IN</t>
  </si>
  <si>
    <t>HUMAN RESOURCES ADMINISTRATOR</t>
  </si>
  <si>
    <t>STOCK</t>
  </si>
  <si>
    <t>Sphuler</t>
  </si>
  <si>
    <t>1831 N. Lakewood Dr.</t>
  </si>
  <si>
    <t>stacey@laborci.com</t>
  </si>
  <si>
    <t>Forest Worker</t>
  </si>
  <si>
    <t>Interpreters and Translators</t>
  </si>
  <si>
    <t>3600 Wilshire Blvd.</t>
  </si>
  <si>
    <t>STE 315</t>
  </si>
  <si>
    <t>P-400-21127-295689</t>
  </si>
  <si>
    <t>Toni</t>
  </si>
  <si>
    <t>Linke</t>
  </si>
  <si>
    <t>1 Brennan Circle</t>
  </si>
  <si>
    <t>Poultney</t>
  </si>
  <si>
    <t>toni@bhaktaspirits.com</t>
  </si>
  <si>
    <t>Regenerative Land Holdings, LLC</t>
  </si>
  <si>
    <t>659 North Orwell Road</t>
  </si>
  <si>
    <t>Shoreham</t>
  </si>
  <si>
    <t>Charron</t>
  </si>
  <si>
    <t>546 Main Street</t>
  </si>
  <si>
    <t>Orwell</t>
  </si>
  <si>
    <t>ashley@bookendsassociates.com</t>
  </si>
  <si>
    <t>Reliable Labor Services, LLC / DBA Book-Ends Associates</t>
  </si>
  <si>
    <t>Housekeeping</t>
  </si>
  <si>
    <t xml:space="preserve">Mazel </t>
  </si>
  <si>
    <t>409 13th Street</t>
  </si>
  <si>
    <t>ljmazel@mazelimmigrationlaw.com</t>
  </si>
  <si>
    <t>Mazel Immigration Law, PC</t>
  </si>
  <si>
    <t>P-400-21124-286123</t>
  </si>
  <si>
    <t>314 Tamarack Rd</t>
  </si>
  <si>
    <t>Pittsfield</t>
  </si>
  <si>
    <t>Pittsfield, MA</t>
  </si>
  <si>
    <t xml:space="preserve">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ETA Form 9141.
The All Other SOC is assigned based on the extension 51-9199.00 - Production Workers, All Other. </t>
  </si>
  <si>
    <t>ELLEN</t>
  </si>
  <si>
    <t>Support Engineer</t>
  </si>
  <si>
    <t>Vice President and Senior Counsel</t>
  </si>
  <si>
    <t>P-400-21133-312102</t>
  </si>
  <si>
    <t xml:space="preserve">="The Petitioner will consider for employment any person who possesses at least three (3) months of experience in a fine-dining or high-volume environment at a high-end restaurant, resort, or private club.  
Applicant must pass pre-employment background </t>
  </si>
  <si>
    <t>Food and Beverage Manager</t>
  </si>
  <si>
    <t>Tucker</t>
  </si>
  <si>
    <t>P-400-21153-360359</t>
  </si>
  <si>
    <t>haley.muraleedharan@ogletreedeakins.com</t>
  </si>
  <si>
    <t>P-100-21153-363167</t>
  </si>
  <si>
    <t xml:space="preserve">Machine Learning Engineering Manager </t>
  </si>
  <si>
    <t>Richards</t>
  </si>
  <si>
    <t>P-100-21139-326880</t>
  </si>
  <si>
    <t>Sr. Human Resources Supervisor</t>
  </si>
  <si>
    <t>330 S. 4th Street</t>
  </si>
  <si>
    <t>shawn.boone@newmarket.com</t>
  </si>
  <si>
    <t>NewMarket Services Corporation</t>
  </si>
  <si>
    <t>330 South 4th Street</t>
  </si>
  <si>
    <t>Developer III</t>
  </si>
  <si>
    <t>Bachelor’s degree in Computer Science or related IT field, or foreign equivalent</t>
  </si>
  <si>
    <t>Baggage Porters and Bellhops</t>
  </si>
  <si>
    <t>Emralino</t>
  </si>
  <si>
    <t>Jestherlynn</t>
  </si>
  <si>
    <t>P-400-21138-321570</t>
  </si>
  <si>
    <t>2400 Grey Oaks Drive North</t>
  </si>
  <si>
    <t>SBurgan@greyoakscc.com</t>
  </si>
  <si>
    <t>Grey Oaks Country Club, Inc.</t>
  </si>
  <si>
    <t>Director of Food and Beverage</t>
  </si>
  <si>
    <t xml:space="preserve">AMAZON WEB SERVICES, INC.	</t>
  </si>
  <si>
    <t>Stump</t>
  </si>
  <si>
    <t>301 NW 63rd Street</t>
  </si>
  <si>
    <t>mstump@usvisagroup.com</t>
  </si>
  <si>
    <t>Stump and Associates, PC</t>
  </si>
  <si>
    <t>Director of Soccer Operations</t>
  </si>
  <si>
    <t>MARR</t>
  </si>
  <si>
    <t>Oxford</t>
  </si>
  <si>
    <t>VELASQUEZ</t>
  </si>
  <si>
    <t>OSCAR</t>
  </si>
  <si>
    <t>95-23 LIVERPOOL ST</t>
  </si>
  <si>
    <t>JAMAICA</t>
  </si>
  <si>
    <t>NEWYORKFASTGC@HOTMAIL.COM</t>
  </si>
  <si>
    <t>NEW YORK FAST GENERAL CONTRACTING CORP</t>
  </si>
  <si>
    <t>93-02 183RD ST</t>
  </si>
  <si>
    <t>Krieger</t>
  </si>
  <si>
    <t>Hardy</t>
  </si>
  <si>
    <t>ssh@tmimm.com</t>
  </si>
  <si>
    <t>Myers</t>
  </si>
  <si>
    <t>akm@tmimm.com</t>
  </si>
  <si>
    <t>740 W. Peachtree St NW</t>
  </si>
  <si>
    <t>P-400-21130-300361</t>
  </si>
  <si>
    <t>2077 North Frontage Rd West Ste 111 Vail CO 81657 (physical)</t>
  </si>
  <si>
    <t>BC Chop LLC</t>
  </si>
  <si>
    <t>Beaver Creek Chophouse</t>
  </si>
  <si>
    <t>15 West Thomas Place (physical)</t>
  </si>
  <si>
    <t>PO Box 4022 Avon CO 81620 (mailing)</t>
  </si>
  <si>
    <t>2077 North Frontage Rd West STE 111 Vail CO 81657 (physical)</t>
  </si>
  <si>
    <t>15 West Thomas Place</t>
  </si>
  <si>
    <t>PINO RICARDO</t>
  </si>
  <si>
    <t>1455 NW 107th Ave</t>
  </si>
  <si>
    <t xml:space="preserve">SUITE 106 </t>
  </si>
  <si>
    <t>specialists@perm-action.com</t>
  </si>
  <si>
    <t>PERM-ACTION LLC</t>
  </si>
  <si>
    <t>Manager, ML Engineering</t>
  </si>
  <si>
    <t>P-100-21147-351771</t>
  </si>
  <si>
    <t>Todal</t>
  </si>
  <si>
    <t>Beacon Hill Staffing Group, LLC</t>
  </si>
  <si>
    <t>152 Bowdoin Street</t>
  </si>
  <si>
    <t>todal@beaconhillstaffing.com</t>
  </si>
  <si>
    <t>Beacon Hill Staffing Group LLC</t>
  </si>
  <si>
    <t>Trupti</t>
  </si>
  <si>
    <t>155 Middlesex Turnpike</t>
  </si>
  <si>
    <t>trupti@tnpassociates.com</t>
  </si>
  <si>
    <t>Trupti N Patel and Associates</t>
  </si>
  <si>
    <t>Systems Engineer II</t>
  </si>
  <si>
    <t>CS, SE, Eng, IT, or a Csly related field.</t>
  </si>
  <si>
    <t>*Position requires up to 100% domestic travel.*</t>
  </si>
  <si>
    <t>12100 Sunset Hills Road</t>
  </si>
  <si>
    <t>Suite # 301</t>
  </si>
  <si>
    <t xml:space="preserve">CEO </t>
  </si>
  <si>
    <t>P-400-21148-354382</t>
  </si>
  <si>
    <t>Tesvich</t>
  </si>
  <si>
    <t>P.O. Box 1531</t>
  </si>
  <si>
    <t>jatesvich@yahoo.com</t>
  </si>
  <si>
    <t>Wild Reef Seafood, LLC</t>
  </si>
  <si>
    <t>732 Broadway Street</t>
  </si>
  <si>
    <t>Computer Science, Software Engineering, or a related field.</t>
  </si>
  <si>
    <t>P-400-21125-289120</t>
  </si>
  <si>
    <t>Curtin</t>
  </si>
  <si>
    <t>15072 E SHADOW CREEK DR</t>
  </si>
  <si>
    <t>Biloxi</t>
  </si>
  <si>
    <t>acurtin@superiorstaffingservicesinc.com</t>
  </si>
  <si>
    <t>Superior Staffing Services, Inc.</t>
  </si>
  <si>
    <t>Warehouse Associate</t>
  </si>
  <si>
    <t>13486 Fastway Lane</t>
  </si>
  <si>
    <t>Gulfport</t>
  </si>
  <si>
    <t>Gulfport-Biloxi-Pascagoula, MS</t>
  </si>
  <si>
    <t xml:space="preserve">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ETA Form 9141.
</t>
  </si>
  <si>
    <t>Goldman</t>
  </si>
  <si>
    <t>1575 W. Ina Rd.</t>
  </si>
  <si>
    <t>mo@ggoldmanlaw.com</t>
  </si>
  <si>
    <t>Goldman &amp; Goldman, P.C.</t>
  </si>
  <si>
    <t>Pool Attendant</t>
  </si>
  <si>
    <t>Please see F.b.5</t>
  </si>
  <si>
    <t>KRIDER</t>
  </si>
  <si>
    <t>HR GENERALIST, NORTH AMERICA &amp; UK</t>
  </si>
  <si>
    <t>10201 WATERIDGE CIRCLE</t>
  </si>
  <si>
    <t>immigration-us@amobee.com</t>
  </si>
  <si>
    <t>AMOBEE, INC.</t>
  </si>
  <si>
    <t>100 REDWOOD SHORES PARKWAY</t>
  </si>
  <si>
    <t>STELLA</t>
  </si>
  <si>
    <t>4551 GLENCOE AVENUE</t>
  </si>
  <si>
    <t>MARINA DEL REY</t>
  </si>
  <si>
    <t>INFO@HAIGHTLAW.COM</t>
  </si>
  <si>
    <t>HAIGHT LAW GROUP, PC</t>
  </si>
  <si>
    <t>1500 Whetstone Way</t>
  </si>
  <si>
    <t>P-100-21180-432488</t>
  </si>
  <si>
    <t>SKIVER</t>
  </si>
  <si>
    <t>Talent &amp; Operations Administrator</t>
  </si>
  <si>
    <t>300 West 57th Street</t>
  </si>
  <si>
    <t>sarah.skiver@icrossing.com</t>
  </si>
  <si>
    <t>Proxicom, Inc.</t>
  </si>
  <si>
    <t xml:space="preserve">Information Technology and Management, Computer Science or related field </t>
  </si>
  <si>
    <t>="Seven (7) years of progressively responsible experience in the job offered or a related occupation:  performing application development; working with open source frameworks; architecting and implementing learning management system (LMS) websites for int</t>
  </si>
  <si>
    <t>Information Technology and Management, Computer Science, or related field</t>
  </si>
  <si>
    <t>="Five (5) years of progressively responsible experience in the job offered or a related occupation: performing application development; working with open source frameworks; architecting and implementing learning management system (LMS) websites for integ</t>
  </si>
  <si>
    <t>1902 Campus Commons Drive</t>
  </si>
  <si>
    <t xml:space="preserve">Senior Designer </t>
  </si>
  <si>
    <t>="•	Education: Bachelor's or foreign equivalent in Graphic Design, Interaction Design, Industrial Design, or a related field. In lieu of a Bachelor’s degree, employer will accept 24 months of experience in user experience design, user interface design, gr</t>
  </si>
  <si>
    <t>Maids and Housekeepers</t>
  </si>
  <si>
    <t>Clinton</t>
  </si>
  <si>
    <t>P-100-21176-427034</t>
  </si>
  <si>
    <t>21 Penn PLaza</t>
  </si>
  <si>
    <t>360 West 31st Street</t>
  </si>
  <si>
    <t>P-100-21172-414554</t>
  </si>
  <si>
    <t>Echols</t>
  </si>
  <si>
    <t>9724 Beechnut St.</t>
  </si>
  <si>
    <t>Rachel.Echols@nov.com</t>
  </si>
  <si>
    <t>National Oilwell Varco, L.P.</t>
  </si>
  <si>
    <t>7909 Parkwood Circle</t>
  </si>
  <si>
    <t>PTAYLORIV@FRAGOMEN.COM</t>
  </si>
  <si>
    <t>Director PMO</t>
  </si>
  <si>
    <t>Business Administration, Computer Science, or Electronics Engineering</t>
  </si>
  <si>
    <t>="Requires a Master’s degree, or foreign equivalent degree in Business Administration, Computer Science, and Electronics Engineering  and four (4) years of experience in the job offered or four (4) years of experience facilitating program, portfolio and c</t>
  </si>
  <si>
    <t>Kirwan</t>
  </si>
  <si>
    <t>2200 Palou Ave.</t>
  </si>
  <si>
    <t>michael@cratusinc.com</t>
  </si>
  <si>
    <t>Cratus, Inc.</t>
  </si>
  <si>
    <t>Hashemi</t>
  </si>
  <si>
    <t>Elhaam</t>
  </si>
  <si>
    <t>1374 Pacific Ave.</t>
  </si>
  <si>
    <t>elhaam@byrne-law.net</t>
  </si>
  <si>
    <t>Law Offices of James M. Byrne</t>
  </si>
  <si>
    <t>Helpers-Production Workers</t>
  </si>
  <si>
    <t>11620 Wilshire Blvd.</t>
  </si>
  <si>
    <t>victoria@nskumarlaw.com</t>
  </si>
  <si>
    <t>P-100-21138-323629</t>
  </si>
  <si>
    <t>P-400-21137-318614</t>
  </si>
  <si>
    <t>19 Rudd Lane</t>
  </si>
  <si>
    <t>Hampton</t>
  </si>
  <si>
    <t>jami@grahamandrollins.com</t>
  </si>
  <si>
    <t>Graham &amp; Rollins, Inc.</t>
  </si>
  <si>
    <t>PO Box 1226</t>
  </si>
  <si>
    <t>Crab picker/processor</t>
  </si>
  <si>
    <t>Employer provides transportation between the two plant locations in Hampton City as needed.  There is no itinerary involved.</t>
  </si>
  <si>
    <t>Verdin</t>
  </si>
  <si>
    <t>Mellanie</t>
  </si>
  <si>
    <t>mellanieverdin@yahoo.com</t>
  </si>
  <si>
    <t>Larry's Oysters LLC</t>
  </si>
  <si>
    <t>Hillary</t>
  </si>
  <si>
    <t>Business Systems Analyst</t>
  </si>
  <si>
    <t>Griffin</t>
  </si>
  <si>
    <t>Souvenir</t>
  </si>
  <si>
    <t>Jonell</t>
  </si>
  <si>
    <t>Suite 4500</t>
  </si>
  <si>
    <t>Jonell.Souvenir@fisglobal.com</t>
  </si>
  <si>
    <t>nwhetstone@fragomen.com</t>
  </si>
  <si>
    <t>Electronic Engineering, Computer Engineering, Computer Science or related field.</t>
  </si>
  <si>
    <t>="Five (5) years of progressively responsible experience in the job offered or a related occupation: utilizing end-to-end systems development lifecycles, including agile, waterfall and iterative methodologies; design highly scalable Omni Channel banking a</t>
  </si>
  <si>
    <t>Vice President - Service Delivery</t>
  </si>
  <si>
    <t>501 Canal Blvd</t>
  </si>
  <si>
    <t xml:space="preserve">Richmond </t>
  </si>
  <si>
    <t>15-1199.06</t>
  </si>
  <si>
    <t>Schulenberg</t>
  </si>
  <si>
    <t>Ava</t>
  </si>
  <si>
    <t>Sr. HR Coordinator</t>
  </si>
  <si>
    <t>50 Castilian Drive</t>
  </si>
  <si>
    <t>ava.schulenberg@appfolio.com</t>
  </si>
  <si>
    <t>AppFolio, Inc.</t>
  </si>
  <si>
    <t>Goleta</t>
  </si>
  <si>
    <t>Pricing and Packaging Strategy Director</t>
  </si>
  <si>
    <t xml:space="preserve">Business Analytics, Finance, Economics or related </t>
  </si>
  <si>
    <t>VP - Commercialization</t>
  </si>
  <si>
    <t>P-400-21141-334310</t>
  </si>
  <si>
    <t>Matts</t>
  </si>
  <si>
    <t>1100 Reese Road</t>
  </si>
  <si>
    <t>Rutledge</t>
  </si>
  <si>
    <t>t3matts@yahoo.com</t>
  </si>
  <si>
    <t>Matts Heavy Haul and Rigging LLC</t>
  </si>
  <si>
    <t>Pauline</t>
  </si>
  <si>
    <t>55 Wyndham St N</t>
  </si>
  <si>
    <t>Suite 214C</t>
  </si>
  <si>
    <t>Guelph</t>
  </si>
  <si>
    <t>N1H7T8</t>
  </si>
  <si>
    <t>margaret@pilkingtonlawfirm.com</t>
  </si>
  <si>
    <t>Pilkington Law Firm</t>
  </si>
  <si>
    <t>53-3032.00</t>
  </si>
  <si>
    <t>Dispatchers, Except Police, Fire, and Ambulance</t>
  </si>
  <si>
    <t>43-5011.01</t>
  </si>
  <si>
    <t>Freight Forwarders</t>
  </si>
  <si>
    <t>20 Cricket Lane</t>
  </si>
  <si>
    <t>Dobbs Ferry</t>
  </si>
  <si>
    <t>RAE Internet Inc.</t>
  </si>
  <si>
    <t>15 Glen Street</t>
  </si>
  <si>
    <t>Suite 302A</t>
  </si>
  <si>
    <t>Glen Cove</t>
  </si>
  <si>
    <t>ddavidson@davidsonlawgrp.com</t>
  </si>
  <si>
    <t>Davidson Law Group, P.C.</t>
  </si>
  <si>
    <t>Software Developer, Head R&amp;D</t>
  </si>
  <si>
    <t xml:space="preserve">Computer Science, Engineering, Physics, or Mathematics </t>
  </si>
  <si>
    <t>P-100-21153-363362</t>
  </si>
  <si>
    <t>Hoover</t>
  </si>
  <si>
    <t>6770 Buford Hwy NE</t>
  </si>
  <si>
    <t>Eric@BWDepot.com</t>
  </si>
  <si>
    <t>Brazilian Wood Depot Inc.</t>
  </si>
  <si>
    <t>Campagne Arzola</t>
  </si>
  <si>
    <t>Liann</t>
  </si>
  <si>
    <t>Viviana</t>
  </si>
  <si>
    <t>lcampagne@antoniniandcohen.com</t>
  </si>
  <si>
    <t>Molding Machine Operator</t>
  </si>
  <si>
    <t>="REQUIREMENTS: 	Two (2) years of experience working with computer numerical control (CNC) molding machines or similar CNC machines. Advanced working knowledge of machinery and tools, including their uses, repair, and maintenance; controlling operations o</t>
  </si>
  <si>
    <t>Woodworking Machine Setters, Operators, and Tenders, Except Sawing</t>
  </si>
  <si>
    <t xml:space="preserve">Julieta A Unas Law Office </t>
  </si>
  <si>
    <t>Pappuri</t>
  </si>
  <si>
    <t>Dhana</t>
  </si>
  <si>
    <t>Laxmi</t>
  </si>
  <si>
    <t>Legal Associate</t>
  </si>
  <si>
    <t>6512 Six Forks Rd</t>
  </si>
  <si>
    <t>6512 SIX FORKS RD</t>
  </si>
  <si>
    <t>Suite 3700</t>
  </si>
  <si>
    <t>Ghazal</t>
  </si>
  <si>
    <t>gazizi@emvisa.com</t>
  </si>
  <si>
    <t>echoudhry@emvisa.com</t>
  </si>
  <si>
    <t>Elisa</t>
  </si>
  <si>
    <t xml:space="preserve">C. </t>
  </si>
  <si>
    <t>Meilink</t>
  </si>
  <si>
    <t>4801 Main Street</t>
  </si>
  <si>
    <t>lca@huschblackwell.com</t>
  </si>
  <si>
    <t>Husch Blackwell LLP</t>
  </si>
  <si>
    <t xml:space="preserve">Shankar </t>
  </si>
  <si>
    <t>Labor@shankarninan.com</t>
  </si>
  <si>
    <t xml:space="preserve">Clinical Research Associate </t>
  </si>
  <si>
    <t xml:space="preserve">="DEGREE/EXPERIENCE REQUIREMENT:
Masters Degree or Foreign Equivalent in Pharmaceutical Sciences or Pharmacology or Pharmacy and one (1) year experience as Clinical Research Associate or Functional Informaticist performing job duties as listed in Section </t>
  </si>
  <si>
    <t>Lipkin</t>
  </si>
  <si>
    <t>Associate General Counsel &amp; Associate VP</t>
  </si>
  <si>
    <t>1735 K Street, NW</t>
  </si>
  <si>
    <t>Financial Industry Regulatory Authority, Inc.</t>
  </si>
  <si>
    <t>cmyers@seyfarth.com</t>
  </si>
  <si>
    <t>ACCOUNTING MANAGER</t>
  </si>
  <si>
    <t>Johnny</t>
  </si>
  <si>
    <t>P-400-21131-302519</t>
  </si>
  <si>
    <t>Siler</t>
  </si>
  <si>
    <t>4850 Silabert Ave</t>
  </si>
  <si>
    <t>Mailing: PO Box 12057 , Charlotte, NC 28220</t>
  </si>
  <si>
    <t>Sprout Commercial Landscape Services, LLC</t>
  </si>
  <si>
    <t>="Must lift/carry 50 lbs., when necessary.  Saturday and Sunday work required, when necessary.  Post-hire random and upon suspicion of use drug testing required of foreign and domestic workers. Post-hire background check required of foreign and domestic w</t>
  </si>
  <si>
    <t>Florida</t>
  </si>
  <si>
    <t>OWNER/MANAGER</t>
  </si>
  <si>
    <t>SIDNEY</t>
  </si>
  <si>
    <t>MEAT PROCESSOR</t>
  </si>
  <si>
    <t xml:space="preserve">Dishwasher </t>
  </si>
  <si>
    <t xml:space="preserve">MARIA </t>
  </si>
  <si>
    <t>P-400-21130-299349</t>
  </si>
  <si>
    <t>ANGELONE</t>
  </si>
  <si>
    <t>1780 MIDWAY ROAD</t>
  </si>
  <si>
    <t>JTA@AMERICANLANDSCAPESYSTEMS.COM</t>
  </si>
  <si>
    <t>AMERICAN LANDSCAPE SYSTEMS, INC.</t>
  </si>
  <si>
    <t>1780 Midway Road</t>
  </si>
  <si>
    <t>Corcoran</t>
  </si>
  <si>
    <t>P-100-21166-400001</t>
  </si>
  <si>
    <t>Purimetla</t>
  </si>
  <si>
    <t>Thimmappa</t>
  </si>
  <si>
    <t>9901 E. VALLEY RANCH PARKWAY</t>
  </si>
  <si>
    <t>SUITE 3005</t>
  </si>
  <si>
    <t>tnp@tnpsystems.com</t>
  </si>
  <si>
    <t>TNP SYSTEMS LLC</t>
  </si>
  <si>
    <t>SAP ABAP Programmer Analyst</t>
  </si>
  <si>
    <t>Computer Science, Information Technology, Information Systems or a related field.
* Foreign equiv. accepted.</t>
  </si>
  <si>
    <t>9901 E. Valley Ranch Pkwy, Suite 3005</t>
  </si>
  <si>
    <t xml:space="preserve">Boston </t>
  </si>
  <si>
    <t>Walkup</t>
  </si>
  <si>
    <t>Eneida</t>
  </si>
  <si>
    <t>2425 S Yukon Ave</t>
  </si>
  <si>
    <t>eneidag@aaon.com</t>
  </si>
  <si>
    <t>AAON Inc</t>
  </si>
  <si>
    <t xml:space="preserve">Computer Programmer </t>
  </si>
  <si>
    <t>Valerie</t>
  </si>
  <si>
    <t>P-100-21159-377497</t>
  </si>
  <si>
    <t>Immigration &amp;  Global Mobility Consultant</t>
  </si>
  <si>
    <t>Information Technology, Computer Engineering or any quantitative field.</t>
  </si>
  <si>
    <t>Radiologists</t>
  </si>
  <si>
    <t>="Applicants must be a graduate of a Registered Nurse Program with current Oklahoma Registered Nurse license or current multistate license from a Nurse Licensure compact (eNLC) member state. Will accept an educational equivalency prepared by a qualified e</t>
  </si>
  <si>
    <t>Galer</t>
  </si>
  <si>
    <t>diego@galerlawfirm.com</t>
  </si>
  <si>
    <t>Towers Watson Survey 2020</t>
  </si>
  <si>
    <t>Segmental Pavers</t>
  </si>
  <si>
    <t>P-400-21148-353885</t>
  </si>
  <si>
    <t>Dasher</t>
  </si>
  <si>
    <t>102 Joe Dasher Rd.</t>
  </si>
  <si>
    <t>Glennville</t>
  </si>
  <si>
    <t>debra@grfarmsvidaliaonions.com</t>
  </si>
  <si>
    <t>Dasher Industries, Inc.</t>
  </si>
  <si>
    <t>Tree Planters</t>
  </si>
  <si>
    <t>="Must be 18 years old or older.  Work is strenuous and requires physical stamina. Extensive walking, bending, and lifting. Must be able to carry 60 lb bag of seedlings. Applicant must be available to work the entire contract period. Work in adverse weath</t>
  </si>
  <si>
    <t>Swett</t>
  </si>
  <si>
    <t>rby756@hotmail.com</t>
  </si>
  <si>
    <t>Ruby &amp; Steven Swett, LLC</t>
  </si>
  <si>
    <t>McKenna</t>
  </si>
  <si>
    <t>McKenna@laborci.com</t>
  </si>
  <si>
    <t>P-400-21145-340368</t>
  </si>
  <si>
    <t>Bravo</t>
  </si>
  <si>
    <t>349 Thomas Drive</t>
  </si>
  <si>
    <t>ONELOVEHOSPITALITY17@GMAIL.COM</t>
  </si>
  <si>
    <t>One Love Hospitality and Landscape Services LLC</t>
  </si>
  <si>
    <t>349 THOMAS DR</t>
  </si>
  <si>
    <t>QUINCY</t>
  </si>
  <si>
    <t>110 CARLSTOWN DRIVE</t>
  </si>
  <si>
    <t>PIGEON FORGE</t>
  </si>
  <si>
    <t>East Tennessee nonmetropolitan area</t>
  </si>
  <si>
    <t>Brignolio</t>
  </si>
  <si>
    <t>Senior Operations Analyst, AVP</t>
  </si>
  <si>
    <t>180 Montgomery</t>
  </si>
  <si>
    <t>bblott@seyfarth.com</t>
  </si>
  <si>
    <t>Bank of the West</t>
  </si>
  <si>
    <t xml:space="preserve">180 Montgomery </t>
  </si>
  <si>
    <t>jburritt@seyfarth.com</t>
  </si>
  <si>
    <t>P-400-21140-329936</t>
  </si>
  <si>
    <t>JESTRELLA@FRAGOMEN.COM</t>
  </si>
  <si>
    <t xml:space="preserve">Ladies Spa Attendant </t>
  </si>
  <si>
    <t>Spa Manager</t>
  </si>
  <si>
    <t>B. Braun Medical Inc.</t>
  </si>
  <si>
    <t>824 12th Avenue</t>
  </si>
  <si>
    <t>Antonio</t>
  </si>
  <si>
    <t>Manager, Data Science</t>
  </si>
  <si>
    <t>16530 Ventura Blvd</t>
  </si>
  <si>
    <t>Klein Immigration Law Group</t>
  </si>
  <si>
    <t>45-2092.02</t>
  </si>
  <si>
    <t>Farmworkers and Laborers, Crop</t>
  </si>
  <si>
    <t>P-400-21126-291079</t>
  </si>
  <si>
    <t xml:space="preserve">Spears </t>
  </si>
  <si>
    <t>Mike</t>
  </si>
  <si>
    <t>4842  Laketon Ct.</t>
  </si>
  <si>
    <t>M.S. Lawncare, Inc.</t>
  </si>
  <si>
    <t>4842 Laketon Ct.</t>
  </si>
  <si>
    <t>Tallahassee</t>
  </si>
  <si>
    <t>Kent</t>
  </si>
  <si>
    <t>Santa Fe Springs</t>
  </si>
  <si>
    <t>P-100-21159-380059</t>
  </si>
  <si>
    <t>Engineering, Accounting, Business Administration, or a related field</t>
  </si>
  <si>
    <t>="Minimum Requirements: 
Must have a Bachelor’s degree or foreign equivalent in Engineering, Accounting, Business Administration, or a related field, plus 5 years of post-bachelor’s, progressive related work experience in the areas of financial, healthca</t>
  </si>
  <si>
    <t xml:space="preserve">Engineering, Accounting, Business Administration, or a related field </t>
  </si>
  <si>
    <t>P-400-21130-298512</t>
  </si>
  <si>
    <t>Low Voltage Technician</t>
  </si>
  <si>
    <t>Electrical and Electronics Repairers, Commercial and Industrial Equipment</t>
  </si>
  <si>
    <t>Dellesa</t>
  </si>
  <si>
    <t>Northville</t>
  </si>
  <si>
    <t>Senior Immigration Paralegal</t>
  </si>
  <si>
    <t>joseph.smith@ihsmarkit.com</t>
  </si>
  <si>
    <t>Design Engineer</t>
  </si>
  <si>
    <t>Graphic Design</t>
  </si>
  <si>
    <t>Stevens</t>
  </si>
  <si>
    <t>P-100-21175-424623</t>
  </si>
  <si>
    <t>5 Murder Rd</t>
  </si>
  <si>
    <t>Suite 511</t>
  </si>
  <si>
    <t>55 Sunshine Rd</t>
  </si>
  <si>
    <t>Huntington Beach</t>
  </si>
  <si>
    <t>Genpact LLC</t>
  </si>
  <si>
    <t>Engineering (all), Business Administration, Computer Science, Technology, or related field</t>
  </si>
  <si>
    <t>="Position requires a Master's degree in an Engineering (all), Business Administration, Computer Science, Technology, or related field and 2 years of experience in the job offered or related occupation. Alternatively, a Bachelor’s degree in an Engineering</t>
  </si>
  <si>
    <t>1901 East Voorhees St.</t>
  </si>
  <si>
    <t>P-400-21140-329910</t>
  </si>
  <si>
    <t>Emmanuel</t>
  </si>
  <si>
    <t>Nampa</t>
  </si>
  <si>
    <t>13TH FLOOR</t>
  </si>
  <si>
    <t>P-400-21125-290102</t>
  </si>
  <si>
    <t>Suarez</t>
  </si>
  <si>
    <t>Salvador</t>
  </si>
  <si>
    <t>43 Washington Ave.</t>
  </si>
  <si>
    <t>Danbury</t>
  </si>
  <si>
    <t>SBY Landscaping, LLC</t>
  </si>
  <si>
    <t>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ETA Form 9141.
The wage entered in item G.7 reflects the area of intended employment entered in F.e.4 and F.e.5.</t>
  </si>
  <si>
    <t>BELLEVUE</t>
  </si>
  <si>
    <t>P-100-21140-330646</t>
  </si>
  <si>
    <t>JEFFE</t>
  </si>
  <si>
    <t>4475 ROUTE 27</t>
  </si>
  <si>
    <t>08540-8708</t>
  </si>
  <si>
    <t>MARKJAFFE@FUGEN-ITSOLUTIONS.COM</t>
  </si>
  <si>
    <t>FUGEN IT SOLUTIONS INC</t>
  </si>
  <si>
    <t>DATA BASE ADMINISTRATOR</t>
  </si>
  <si>
    <t>COMPUTER SCIENCE/IT/MIS</t>
  </si>
  <si>
    <t>VISIT CLIENT LOCATION TO GATHER REQUIREMENT, TRAIN USERS,FIX BUGS ONLY ON AS AND WHEN REQUIRED BASES</t>
  </si>
  <si>
    <t>LINCOLN</t>
  </si>
  <si>
    <t>Education Administrators, Preschool and Childcare Center/Program</t>
  </si>
  <si>
    <t>7007 BERTNER AVE., 17TH FLOOR (SOUTH)</t>
  </si>
  <si>
    <t>1901 East Road</t>
  </si>
  <si>
    <t>Computer Science or Engineering (any field)</t>
  </si>
  <si>
    <t>P-400-21146-346662</t>
  </si>
  <si>
    <t>FCC Beach and Yacht, LLC</t>
  </si>
  <si>
    <t xml:space="preserve">8156 Fiddlers Creek Parkway </t>
  </si>
  <si>
    <t>RESTAURANT MANAGER</t>
  </si>
  <si>
    <t>480 S. Collier Blvd.</t>
  </si>
  <si>
    <t>43 NEW SCOTLAND AVENUE</t>
  </si>
  <si>
    <t>castils@mail.amc.edu</t>
  </si>
  <si>
    <t>ALBANY MEDICAL CENTER</t>
  </si>
  <si>
    <t>PATRICK</t>
  </si>
  <si>
    <t>1217 WEST 7TH STREET</t>
  </si>
  <si>
    <t>Saint Paul</t>
  </si>
  <si>
    <t>ppage@pageonimmigration.com</t>
  </si>
  <si>
    <t>Patrick J. Page Attorney at Law, Ltd.</t>
  </si>
  <si>
    <t>CLINICAL LABORATORY TECHNOLOGIST II</t>
  </si>
  <si>
    <t>MEDICAL/CLINICAL LABORATORY TECHNOLOGY</t>
  </si>
  <si>
    <t>="A CLINICAL LABORATORY TECHNOLOGIST II MUST MEET NEW YORK STATE EDUCATION DEPARTMENT'S REQUIREMENTS FOR CLINICAL LABORATORY TECHNOLOGIST. THIS TECHNOLOGIST POSITION REQUIRES A BACHELOR'S DEGREE OR FOREIGN EQUIVALENT DEGREE IN MEDICAL TECHNOLOGY, CLINICAL</t>
  </si>
  <si>
    <t>Laboratory Supervisor/Assistant Supervisor</t>
  </si>
  <si>
    <t>Stephen.Huey@ca.ey.com</t>
  </si>
  <si>
    <t>WILLIS TOWERS WATSON (WTW)</t>
  </si>
  <si>
    <t>Cranberry Township</t>
  </si>
  <si>
    <t>PRACTICE MANAGER</t>
  </si>
  <si>
    <t>U.S. AMERICANS INC</t>
  </si>
  <si>
    <t>LINE COOK</t>
  </si>
  <si>
    <t>ASHLAND</t>
  </si>
  <si>
    <t>Wooley</t>
  </si>
  <si>
    <t>715 E Main Street</t>
  </si>
  <si>
    <t>mwooley@wnj.com</t>
  </si>
  <si>
    <t>Hart</t>
  </si>
  <si>
    <t>Foley</t>
  </si>
  <si>
    <t>P-100-21168-407798</t>
  </si>
  <si>
    <t>WAYFAIR LLC</t>
  </si>
  <si>
    <t>Business Administration,  Telecommunications, Information Systems, Engineering, Computer Science, Statistics, Mathematics, Data
Science, or a related field.</t>
  </si>
  <si>
    <t>="Five (5) years in the following: 
- B2B software or SaaS product management with exposure to the full product lifecycle from concept to launch and beyond
Three (3) years in each of the following:
- Utilizing product management tools including Google Do</t>
  </si>
  <si>
    <t>15% travel to other Wayfair office locations to meet with Wayfair Business and Product stakeholders; Publishing, Channel Partner and
Supplier Partner locations for product ideation and partnership technical support; and offsite visits for strategic product planning and industry technical committee &amp; tradeshow support.</t>
  </si>
  <si>
    <t>P-400-21141-335395</t>
  </si>
  <si>
    <t>Urias</t>
  </si>
  <si>
    <t>Cesario</t>
  </si>
  <si>
    <t>173 Lincoln St.</t>
  </si>
  <si>
    <t>Pecos</t>
  </si>
  <si>
    <t>urias_hotshot@yahoo.com</t>
  </si>
  <si>
    <t>Urias Hot Shot &amp; Transportation LLC</t>
  </si>
  <si>
    <t>Urias Hot Shot &amp; Transportion</t>
  </si>
  <si>
    <t>173 Lincoln Street</t>
  </si>
  <si>
    <t xml:space="preserve">CDL Driver </t>
  </si>
  <si>
    <t>CDL Driver</t>
  </si>
  <si>
    <t>Driver will travel in Texas and New Mexico borderlines.</t>
  </si>
  <si>
    <t>Cherry</t>
  </si>
  <si>
    <t>Director - Human Resources</t>
  </si>
  <si>
    <t>Travel to unanticipated client locations approximately 30%, as required. May telecommute from any location within the U.S.</t>
  </si>
  <si>
    <t>Computer Science *See item F.a.2</t>
  </si>
  <si>
    <t>P-400-21146-344850</t>
  </si>
  <si>
    <t>JANINE</t>
  </si>
  <si>
    <t>1100 S Ocean Blvd.</t>
  </si>
  <si>
    <t>THE MAR-A-LAGO CLUB</t>
  </si>
  <si>
    <t>="Experience must be verifiable.
Pre-hire drug test and background check, carried out equally between U.S. workers and H-2B workers. 
Must be available to work split-shifts, nights, weekends &amp; holidays as needed. 
Must be able to lift, pull, push or carry</t>
  </si>
  <si>
    <t>P-400-21133-310485</t>
  </si>
  <si>
    <t>BYARS</t>
  </si>
  <si>
    <t>MANDY</t>
  </si>
  <si>
    <t>PO BOX 449</t>
  </si>
  <si>
    <t>McMinnville</t>
  </si>
  <si>
    <t>MANDY@GOOLSBYSAUSAGE.COM</t>
  </si>
  <si>
    <t>JAMES' MEAT COMPANY, INC.</t>
  </si>
  <si>
    <t>1644 CLEMMONS ROAD</t>
  </si>
  <si>
    <t>COOKEVILLE</t>
  </si>
  <si>
    <t>North Central Tennessee nonmetropolitan area</t>
  </si>
  <si>
    <t>P-400-21147-350373</t>
  </si>
  <si>
    <t>KRETZU</t>
  </si>
  <si>
    <t>306 MORRIS AVE</t>
  </si>
  <si>
    <t>SPRING LAKE</t>
  </si>
  <si>
    <t>CHEFOFBRAZIL2@GMAIL.COM</t>
  </si>
  <si>
    <t>ARUGULA LLC</t>
  </si>
  <si>
    <t>306 MORRIS AV</t>
  </si>
  <si>
    <t>FOOD WORKER</t>
  </si>
  <si>
    <t>P-100-21138-322923</t>
  </si>
  <si>
    <t>SCIENCE, TECHNOLOGY, BUSINESS ADMINISTRATION , ENGINEERING OR ANY RELATED FIELD.</t>
  </si>
  <si>
    <t>="Master’s degree in Science, Technology, Business Administration, Engineering, or any related field with 1 year of experience in the job offered or related occupation is required. Bachelor’s degree in the above-mentioned fields along with 5 years of expe</t>
  </si>
  <si>
    <t>SUITE 5 AND VARIOUS UNANTICIPATED LOCATIONS THROUGHOUT THE U.S.</t>
  </si>
  <si>
    <t>DAWN</t>
  </si>
  <si>
    <t>STEPHANIE</t>
  </si>
  <si>
    <t>Computer Science, Management Information Systems, Engineering (any field), or a related quantitative discipline</t>
  </si>
  <si>
    <t>Haywood</t>
  </si>
  <si>
    <t>Hayes</t>
  </si>
  <si>
    <t>P-100-21139-325446</t>
  </si>
  <si>
    <t>GUERNICA</t>
  </si>
  <si>
    <t>EDUARDO A</t>
  </si>
  <si>
    <t>649 CONSERVATION DRIVE</t>
  </si>
  <si>
    <t>GUERNICA.EDUARDO@GMAIL.COM</t>
  </si>
  <si>
    <t>GUERNICA CORPORATION</t>
  </si>
  <si>
    <t>CASAMAYOR</t>
  </si>
  <si>
    <t>80 SW 8 STREET</t>
  </si>
  <si>
    <t>SUITE 2810</t>
  </si>
  <si>
    <t>DCASAMAYOR@BELTRANBRITO.COM</t>
  </si>
  <si>
    <t>BELTRAN BRITO CASAMAYOR LLP</t>
  </si>
  <si>
    <t>ACCOUNT REPRESENTATIVE</t>
  </si>
  <si>
    <t xml:space="preserve">Service Engineer </t>
  </si>
  <si>
    <t>Computer Science, Computer Engineering or related technical field</t>
  </si>
  <si>
    <t>P-400-21153-361364</t>
  </si>
  <si>
    <t>LOZADA</t>
  </si>
  <si>
    <t>1502 FITZER DR</t>
  </si>
  <si>
    <t>JOLIET</t>
  </si>
  <si>
    <t>INFO@FOXPOOLCHICAGO.COM</t>
  </si>
  <si>
    <t>ECOSCAPE LANDSCAPE SERVICES, INC.</t>
  </si>
  <si>
    <t>FOX POOL CHICAGO</t>
  </si>
  <si>
    <t>1502 FITZER DRIVE</t>
  </si>
  <si>
    <t>Chicago-Naperville-Elgin, IL-IN-WI</t>
  </si>
  <si>
    <t>199 Fremont St</t>
  </si>
  <si>
    <t>Lead Product Manager</t>
  </si>
  <si>
    <t>Procurement Manager</t>
  </si>
  <si>
    <t>TONY</t>
  </si>
  <si>
    <t xml:space="preserve">Memphis </t>
  </si>
  <si>
    <t>FRANK</t>
  </si>
  <si>
    <t>Truckee</t>
  </si>
  <si>
    <t>Wichita</t>
  </si>
  <si>
    <t>Clearwater</t>
  </si>
  <si>
    <t>2720 Bee Caves Road</t>
  </si>
  <si>
    <t>Monrovia</t>
  </si>
  <si>
    <t>P-100-21144-339510</t>
  </si>
  <si>
    <t>P-400-21146-344890</t>
  </si>
  <si>
    <t>FARIAS</t>
  </si>
  <si>
    <t>LUCIANO</t>
  </si>
  <si>
    <t xml:space="preserve">GENERAL MANAGER </t>
  </si>
  <si>
    <t>22041 Boca Rio Road</t>
  </si>
  <si>
    <t xml:space="preserve">BOCA RIO GOLF CLUB </t>
  </si>
  <si>
    <t>="Experience must be verifiable.
Must be available to work split-shifts, nights, weekends &amp; holidays as needed.
Must be able to lift, pull, push or carry up to 50 lbs or more, and walk or stand for long periods of time. 
Professional appearance, articulat</t>
  </si>
  <si>
    <t>Argyle</t>
  </si>
  <si>
    <t>Statistics, Economics, Analytics, Mathematics, Computer Science, Information Technology, Engineering (any), or related field</t>
  </si>
  <si>
    <t>="Skills required: Experience building machine learning models using Tensorflow and Pytorch for CNNs and RNNs. Experience with traditional machine learning algorithms, including logistic regression, tree-based models, SVMs, and clustering techniques. Expe</t>
  </si>
  <si>
    <t>3 2nd Street</t>
  </si>
  <si>
    <t>Suite 802</t>
  </si>
  <si>
    <t>Exzac Inc</t>
  </si>
  <si>
    <t>Matrix-IFS</t>
  </si>
  <si>
    <t>Humberto</t>
  </si>
  <si>
    <t>Jimmy</t>
  </si>
  <si>
    <t>255 5th Ave, 3rd FL</t>
  </si>
  <si>
    <t>jimmyh@dreamhome-ny.com</t>
  </si>
  <si>
    <t>XIA</t>
  </si>
  <si>
    <t>450 7th Ave, Suite 3700</t>
  </si>
  <si>
    <t>xchen@mtuslaw.com</t>
  </si>
  <si>
    <t>CHEN Law Group, PLLC</t>
  </si>
  <si>
    <t>Senior Logistics Analyst</t>
  </si>
  <si>
    <t>Master’s or MBA degree in Logistics Management or Operations &amp; Supply Chain Management</t>
  </si>
  <si>
    <t>3985 Steve Reynolds Blvd.</t>
  </si>
  <si>
    <t>Ste. E</t>
  </si>
  <si>
    <t xml:space="preserve">Penny / Becky </t>
  </si>
  <si>
    <t>Raman</t>
  </si>
  <si>
    <t>Bachelor's degree or foreign equivalent in Computer Engineering, Software Engineering, Electrical Engineering, or related field.</t>
  </si>
  <si>
    <t>P-400-21126-292203</t>
  </si>
  <si>
    <t xml:space="preserve">Wells </t>
  </si>
  <si>
    <t>16835 Chesterfield Airport Rd.</t>
  </si>
  <si>
    <t>Wells Landscaping &amp; Lawn Care, Inc.</t>
  </si>
  <si>
    <t>15848 Willow Point Ct.</t>
  </si>
  <si>
    <t>P-400-21139-327267</t>
  </si>
  <si>
    <t>Manage</t>
  </si>
  <si>
    <t>1515 10th Street</t>
  </si>
  <si>
    <t>San Leon</t>
  </si>
  <si>
    <t>Misho's Oyster Company</t>
  </si>
  <si>
    <t>Deckhand</t>
  </si>
  <si>
    <t>1515 10TH STREET</t>
  </si>
  <si>
    <t>Houston-The Woodlands-Sugar Land, TX</t>
  </si>
  <si>
    <t>P-100-21123-281656</t>
  </si>
  <si>
    <t>Kijowski</t>
  </si>
  <si>
    <t>T-Systems North America, Inc.</t>
  </si>
  <si>
    <t>1901 Butterfield Road, Suite 700</t>
  </si>
  <si>
    <t>Downers Grove</t>
  </si>
  <si>
    <t>Lauren.Kijowski@t-systems.com</t>
  </si>
  <si>
    <t>Sukkar</t>
  </si>
  <si>
    <t>350 S. Main Street, Suite 300</t>
  </si>
  <si>
    <t>ssukkar@dickinsonwright.com</t>
  </si>
  <si>
    <t>Dickinson Wright, PLLC</t>
  </si>
  <si>
    <t>International HR Business Partner</t>
  </si>
  <si>
    <t>Business Administration, International Business or a related field of study; will accept equivalent foreign degree</t>
  </si>
  <si>
    <t>="Education: Bachelor – Business Administration, International Business or a related field of study; will accept equivalent foreign degree;
Experience: Four (4) years in the position above, as an HR Business Partner, or in a related strategic HR role in I</t>
  </si>
  <si>
    <t>VP HR Global</t>
  </si>
  <si>
    <t>1901 Butterfield Road Ste. 700</t>
  </si>
  <si>
    <t>Manjunath</t>
  </si>
  <si>
    <t>11545 Park Woods Circle, Suite D</t>
  </si>
  <si>
    <t>pwd@gokarelaw.com</t>
  </si>
  <si>
    <t xml:space="preserve">Gokare </t>
  </si>
  <si>
    <t xml:space="preserve">Gokare Law Firm </t>
  </si>
  <si>
    <t>Travel involved to unanticipated client locations.</t>
  </si>
  <si>
    <t>Melvin</t>
  </si>
  <si>
    <t>P-400-21126-292053</t>
  </si>
  <si>
    <t>LOW VOLTAGE SPECIALIST</t>
  </si>
  <si>
    <t>Jayson</t>
  </si>
  <si>
    <t>5010 148th Ave NE</t>
  </si>
  <si>
    <t>joseph.ramesh@mindtree.com</t>
  </si>
  <si>
    <t>MINDTREE LIMITED</t>
  </si>
  <si>
    <t>25 INDEPENDENCE BLVD</t>
  </si>
  <si>
    <t>Schaaf</t>
  </si>
  <si>
    <t>MDEVILLY@FRAGOMEN.COM</t>
  </si>
  <si>
    <t>Manufacturing Engineer, Electrical</t>
  </si>
  <si>
    <t>FRAMINGHAM</t>
  </si>
  <si>
    <t xml:space="preserve">Director of Operations </t>
  </si>
  <si>
    <t>Ballard</t>
  </si>
  <si>
    <t>407 College Street</t>
  </si>
  <si>
    <t>PO Box 27</t>
  </si>
  <si>
    <t>andy@andrewjacksonlaw.com</t>
  </si>
  <si>
    <t>Andrew Jackson Law P.C.</t>
  </si>
  <si>
    <t>General Partner</t>
  </si>
  <si>
    <t>P-400-21131-303991</t>
  </si>
  <si>
    <t>Bourg</t>
  </si>
  <si>
    <t>Dwayne</t>
  </si>
  <si>
    <t>126 Shamrock Drive</t>
  </si>
  <si>
    <t>stumpout@bellsouth.net</t>
  </si>
  <si>
    <t>Rock's Lawn Care/Stump Out LLC</t>
  </si>
  <si>
    <t>GROUND HELP</t>
  </si>
  <si>
    <t>="WORK MUST BE ABLE TO LIFT UP TO 50LBS, STOOP, REACH GROUND LEVEL AND OVER HEAD,
BEND KNEEL FOR LONG PERIOD OF TIME. ABLE TO WORK IN ALL KIND OF WEATHER AND CONDITIONS (RAIN, COLD, SWAMPY, ETC.).
MUST BE ABLE TO GET A DRIVER LICENSE WITHIN 60 DAYS OF BEI</t>
  </si>
  <si>
    <t xml:space="preserve">WILL TRAVEL TO MULTI WORK LOCATIONS IN A SINGLE DAY AT PRIVATE RESIDENCE AND COMMERCIAL PROPERTIES
MAIN WORK WILL BE PERFORMED IN TERREBONNE AND LAFOURCHE PARISH - OTHER LOCATION LISTED WILL BE IF/WHEN EMERGENCY REQUEST DRUING HURRICANE SEASON OR SERVER WEATHER CAUSES DOWN TREES OR ELECTRICAL LINES </t>
  </si>
  <si>
    <t>126 SHAMROCK DRIVE</t>
  </si>
  <si>
    <t>GRAY</t>
  </si>
  <si>
    <t>P-100-21125-288385</t>
  </si>
  <si>
    <t>Ren</t>
  </si>
  <si>
    <t>Momo</t>
  </si>
  <si>
    <t>14 PENN PLAZA, SUITE 1517</t>
  </si>
  <si>
    <t>mren@sunrenlaw.com</t>
  </si>
  <si>
    <t>GSMK TAX, LLC</t>
  </si>
  <si>
    <t>517 Grand St, Fl 1</t>
  </si>
  <si>
    <t>REN</t>
  </si>
  <si>
    <t>MOMO</t>
  </si>
  <si>
    <t>Sun&amp;Ren PLLC</t>
  </si>
  <si>
    <t xml:space="preserve">This job requires at least Master degree in Accounting </t>
  </si>
  <si>
    <t>517 Grand St, FL 1</t>
  </si>
  <si>
    <t>Teri</t>
  </si>
  <si>
    <t>1149 Chess Drive</t>
  </si>
  <si>
    <t>tgarcia@zoox.com</t>
  </si>
  <si>
    <t>Zoox Inc.</t>
  </si>
  <si>
    <t>575 Eighth Avenue</t>
  </si>
  <si>
    <t>RCM Technologies Inc.</t>
  </si>
  <si>
    <t>NAIR</t>
  </si>
  <si>
    <t>128 East Avenue</t>
  </si>
  <si>
    <t>1st Floor</t>
  </si>
  <si>
    <t>ronnair@gmail.com</t>
  </si>
  <si>
    <t>IT PROJECT MANAGER</t>
  </si>
  <si>
    <t xml:space="preserve">Beaverton </t>
  </si>
  <si>
    <t>lilugo@balglobal.com</t>
  </si>
  <si>
    <t>9200 S. Dadeland Blvd.</t>
  </si>
  <si>
    <t>Independent Purchasing Cooperative, Inc.</t>
  </si>
  <si>
    <t>Watkins</t>
  </si>
  <si>
    <t>nwatkins@gray-robinson.com</t>
  </si>
  <si>
    <t>GrayRobinson, P.A.</t>
  </si>
  <si>
    <t>Senior Supply Planner</t>
  </si>
  <si>
    <t>Director of Supply Planning</t>
  </si>
  <si>
    <t>Weisman</t>
  </si>
  <si>
    <t>Aimee</t>
  </si>
  <si>
    <t>P-400-21146-347366</t>
  </si>
  <si>
    <t>Girault Domenge</t>
  </si>
  <si>
    <t>Mauricio</t>
  </si>
  <si>
    <t>3558 W Glencoe Street</t>
  </si>
  <si>
    <t>mgirault@casaskrea.com.mx</t>
  </si>
  <si>
    <t>Krea USA, LLC</t>
  </si>
  <si>
    <t>Ganey</t>
  </si>
  <si>
    <t>Harding</t>
  </si>
  <si>
    <t>1400 16th Street NW</t>
  </si>
  <si>
    <t>george@ganeylawgroup.com</t>
  </si>
  <si>
    <t>Ganey Law Group</t>
  </si>
  <si>
    <t>Mold Mechanic</t>
  </si>
  <si>
    <t>Molders, Shapers, and Casters, Except Metal and Plastic</t>
  </si>
  <si>
    <t>165 Woodcrest Lane</t>
  </si>
  <si>
    <t>Key Biscayne</t>
  </si>
  <si>
    <t>Ste 160</t>
  </si>
  <si>
    <t>BROWNSVILLE</t>
  </si>
  <si>
    <t>Brownsville</t>
  </si>
  <si>
    <t>MEDINA</t>
  </si>
  <si>
    <t>Research Data Scientist (91.160214.5)</t>
  </si>
  <si>
    <t>P-400-21131-303084</t>
  </si>
  <si>
    <t>10550 E. Desert Hills Drive</t>
  </si>
  <si>
    <t>arandall@desertmt.com</t>
  </si>
  <si>
    <t>Desert Mountain Club, Inc.</t>
  </si>
  <si>
    <t>="The Petitioner will consider for employment any person who possesses at least three (3) months of experience in a fine-dining or high-volume environment at a high-end or high-volume restaurant, resort, or private club.  
Applicant must complete pre-emp</t>
  </si>
  <si>
    <t xml:space="preserve">Chef de Cuisine </t>
  </si>
  <si>
    <t>Noah</t>
  </si>
  <si>
    <t>Jordi</t>
  </si>
  <si>
    <t>="Master’s degree or foreign equivalent in Computer Science, Engineering, Physics, or a related field and one year of experience in the job offered or a related occupation. Employer will accept a Bachelor’s degree or foreign equivalent in Computer Science</t>
  </si>
  <si>
    <t>Up to 30% domestic and/or international travel may be required.</t>
  </si>
  <si>
    <t>1100 Discovery Way</t>
  </si>
  <si>
    <t>Hardware Development Engineer</t>
  </si>
  <si>
    <t>Han Gui</t>
  </si>
  <si>
    <t>Member Manager</t>
  </si>
  <si>
    <t>1102 W Central Ave.</t>
  </si>
  <si>
    <t>Sutherlin</t>
  </si>
  <si>
    <t>kevinpeng2188@yahoo.com</t>
  </si>
  <si>
    <t>Xie &amp; Peng Enterprise Limited Liability Company</t>
  </si>
  <si>
    <t>Yummy House</t>
  </si>
  <si>
    <t>Baoqin</t>
  </si>
  <si>
    <t>4900 SW Griffith Dr., Suite 165</t>
  </si>
  <si>
    <t>immigration@askwang.com</t>
  </si>
  <si>
    <t>Law Office of Baoqin Wang, LLC</t>
  </si>
  <si>
    <t>Chinese Specialty Head Cook</t>
  </si>
  <si>
    <t>IFTIKHAR</t>
  </si>
  <si>
    <t>Weaver</t>
  </si>
  <si>
    <t>Williamsburg</t>
  </si>
  <si>
    <t xml:space="preserve">Managing Director </t>
  </si>
  <si>
    <t>ENGLEWOOD</t>
  </si>
  <si>
    <t>Montgomery</t>
  </si>
  <si>
    <t>New Braunfels</t>
  </si>
  <si>
    <t>P-400-21130-299213</t>
  </si>
  <si>
    <t>von Hofen</t>
  </si>
  <si>
    <t>11711 Collier's Reserve Drive</t>
  </si>
  <si>
    <t>nvonhofen@colliersreserve.com</t>
  </si>
  <si>
    <t>Collier's Reserve Country Club, Inc.</t>
  </si>
  <si>
    <t>="The Petitioner will consider for employment any person who possesses at least six (6) months of culinary experience in a fine-dining or high-volume environment at a high-end restaurant, resort, or private club. Applicant must complete pre-employment bac</t>
  </si>
  <si>
    <t>P-400-21145-342329</t>
  </si>
  <si>
    <t>Siewing</t>
  </si>
  <si>
    <t>1917 Meyer Drury Dr.</t>
  </si>
  <si>
    <t>Greenview Landscaping, LLC</t>
  </si>
  <si>
    <t>Nature's Re-Creations</t>
  </si>
  <si>
    <t>1917 Meyer Drury Dr</t>
  </si>
  <si>
    <t>P-100-21144-339012</t>
  </si>
  <si>
    <t>DBA STARK ASSOCIATES BUISNESS SERVICES LLC</t>
  </si>
  <si>
    <t>="Master’s degree in Science, Technology, Engineering or any related field is required.  Bachelor’s degree in the above fields along with 5 years of experience in job offered or related occupation is acceptable in lieu of Master’s degree. Any suitable com</t>
  </si>
  <si>
    <t>SUITE 350 &amp; Various unanticipated locations throughout the U.S</t>
  </si>
  <si>
    <t>P-400-21146-344881</t>
  </si>
  <si>
    <t xml:space="preserve">LINE COOK </t>
  </si>
  <si>
    <t>45-2092.00</t>
  </si>
  <si>
    <t>sutunya.kanarat@klgates.com</t>
  </si>
  <si>
    <t>P-100-21133-309578</t>
  </si>
  <si>
    <t>ESCARIO/cp (arm, valsaraju)</t>
  </si>
  <si>
    <t>OF COUNSEL</t>
  </si>
  <si>
    <t>arm-us@fragomen.com</t>
  </si>
  <si>
    <t>Arm, Inc.</t>
  </si>
  <si>
    <t>150 ROSE ORCHARD WAY</t>
  </si>
  <si>
    <t>AILEEN</t>
  </si>
  <si>
    <t xml:space="preserve">Design Engineer </t>
  </si>
  <si>
    <t>Electrical Engineering, Computer Science and Engineering or related field</t>
  </si>
  <si>
    <t>5707 Southwest Parkway</t>
  </si>
  <si>
    <t>Building 1 Suite 100</t>
  </si>
  <si>
    <t>P-400-21145-342948</t>
  </si>
  <si>
    <t>Elig</t>
  </si>
  <si>
    <t>27 Route 23</t>
  </si>
  <si>
    <t>villacaprisparta@gmail.com</t>
  </si>
  <si>
    <t>Franklin Grill and Tavern LLC</t>
  </si>
  <si>
    <t>Brick and Brew</t>
  </si>
  <si>
    <t>Information Technology</t>
  </si>
  <si>
    <t>Willette</t>
  </si>
  <si>
    <t>1005 Slater Road, Suite 100</t>
  </si>
  <si>
    <t>sw@patientpay.com</t>
  </si>
  <si>
    <t>PatientPay, Inc.</t>
  </si>
  <si>
    <t>P-100-21137-319461</t>
  </si>
  <si>
    <t>P-100-21165-394639</t>
  </si>
  <si>
    <t>Navarro</t>
  </si>
  <si>
    <t>Mavel</t>
  </si>
  <si>
    <t>General Counsel, Americas &amp; Iberia</t>
  </si>
  <si>
    <t>1500 Solana Blvd. Bldg. 6</t>
  </si>
  <si>
    <t>Suite 6300</t>
  </si>
  <si>
    <t>mavel.navarro@solera.com</t>
  </si>
  <si>
    <t>Claims Services Group LLC</t>
  </si>
  <si>
    <t>Feldman</t>
  </si>
  <si>
    <t>2221 Camino del Rio S</t>
  </si>
  <si>
    <t>jason@feldmanfeldman.com</t>
  </si>
  <si>
    <t>Feldman Feldman &amp; Associates</t>
  </si>
  <si>
    <t>Computer Science, Software Engineering, Electrical Engineering, or related field or credential evaluation equivalent</t>
  </si>
  <si>
    <t>="Experience with Oracle SQL Developer writing and testing queries. Experience in a Scrum software development environments. Prior experience with conducting requirement gathering from users and stakeholders and analyzing and preparing system requirements</t>
  </si>
  <si>
    <t xml:space="preserve">645 Merit Dr. </t>
  </si>
  <si>
    <t>HR Manager, Flatiron Institute</t>
  </si>
  <si>
    <t>162 Fifth Avenue</t>
  </si>
  <si>
    <t>anniewong@simonsfoundation.org</t>
  </si>
  <si>
    <t>Simons Foundation</t>
  </si>
  <si>
    <t>Meerschwam</t>
  </si>
  <si>
    <t>ameerschwam@fragomen.com</t>
  </si>
  <si>
    <t>Director of Software Engineering, SPARK</t>
  </si>
  <si>
    <t>160 Fifth Avenue</t>
  </si>
  <si>
    <t>Onboarding Specialist</t>
  </si>
  <si>
    <t>18 Crystal Ave</t>
  </si>
  <si>
    <t>West Orange</t>
  </si>
  <si>
    <t>COMPASS INC.</t>
  </si>
  <si>
    <t>90 FIFTH AVENUE, 3RD FLOOR</t>
  </si>
  <si>
    <t>YOUNG</t>
  </si>
  <si>
    <t>P-100-21147-351538</t>
  </si>
  <si>
    <t>Escario/cl (sharma, l)</t>
  </si>
  <si>
    <t>Pyo</t>
  </si>
  <si>
    <t>bpyo@fragomen.com</t>
  </si>
  <si>
    <t>Staff Engineer</t>
  </si>
  <si>
    <t>Computer Engineering, Electrical Engineering, or related field</t>
  </si>
  <si>
    <t>Position may require up to 5% domestic and/or international travel.</t>
  </si>
  <si>
    <t xml:space="preserve">="Must be 18 due to travel. Must show proof of legal authorization to work in the United States. Drug/alcohol/tobacco free work zone. Perform physical activities: such as lift, balance, walk, stoop, handle, position, move, manipulate materials use static </t>
  </si>
  <si>
    <t>Vital Foods, LLC</t>
  </si>
  <si>
    <t>400 Highland Terrace</t>
  </si>
  <si>
    <t>Poultry Worker</t>
  </si>
  <si>
    <t>P-400-21138-322141</t>
  </si>
  <si>
    <t>Hattaway</t>
  </si>
  <si>
    <t>2034-A Van Buren Avenue</t>
  </si>
  <si>
    <t>Indian Trail</t>
  </si>
  <si>
    <t>thattaway@sealingagents.com</t>
  </si>
  <si>
    <t>Sealing Agents Waterproofing, Inc.</t>
  </si>
  <si>
    <t xml:space="preserve">Workers will be required to travel from housing to worksites. Employer will provide transportation. All worksites will be in the same area of intended employment. </t>
  </si>
  <si>
    <t>2513 Rutherford Road</t>
  </si>
  <si>
    <t>FEDELE</t>
  </si>
  <si>
    <t>1501 BROADWAY</t>
  </si>
  <si>
    <t>SUITE 1610</t>
  </si>
  <si>
    <t>BMFLAW@IX.NETCOM.COM</t>
  </si>
  <si>
    <t>Thomas D. Fedele, P.C. dba Blecher Mendel &amp; Fedele</t>
  </si>
  <si>
    <t>P-400-21126-291710</t>
  </si>
  <si>
    <t>5408 Progress Court, Suite 100</t>
  </si>
  <si>
    <t>Braselton</t>
  </si>
  <si>
    <t>Vicon Construction, LLC</t>
  </si>
  <si>
    <t>Gainesville, GA</t>
  </si>
  <si>
    <t>P-100-21123-283489</t>
  </si>
  <si>
    <t xml:space="preserve">Staff Engineer Technical Compliance Testing </t>
  </si>
  <si>
    <t>="Experience must include: 1) powertrain systems, including emissions control system functions and regulatory requirements; 2) OBD system functions and regulatory requirements; 3) testing and data acquisition systems; 4) programming of automated testing a</t>
  </si>
  <si>
    <t>4035 Via Oro Ave.</t>
  </si>
  <si>
    <t>P-100-21145-341882</t>
  </si>
  <si>
    <t>="Prior experience must include: work with Java web development, Spring and RESTful APIs or SOAP based services, React, and NodeJS (5 years exp); utilize varied database experience with Oracle, SQL Server, MongoDB, MySQL, Hibernate, JPA (5 years exp); per</t>
  </si>
  <si>
    <t>3400 80th Street</t>
  </si>
  <si>
    <t>Management Information Systems (MIS), Computer Science, Engineering, Business, Accounting, Finance or a related field</t>
  </si>
  <si>
    <t>="Must have a Bachelor’s degree in Management Information Systems (MIS), Computer Science, Engineering, Business, Accounting, Finance or a related field and 5 years of progressive, post-baccalaureate combined experience in consulting, advisory, cybersecur</t>
  </si>
  <si>
    <t>Requires travel up to 80%, of which 20% may be international, to serve client needs</t>
  </si>
  <si>
    <t>P-100-21137-319352</t>
  </si>
  <si>
    <t>KENSINGTON INFORMATION GROUP, INC.</t>
  </si>
  <si>
    <t>379 THORNALL STREET</t>
  </si>
  <si>
    <t>SCIENCE, TECHNOLOGY, COMPUTER APPLICATIONS, OR ENGINEERING (ANY)</t>
  </si>
  <si>
    <t>9TH FLOOR AND VARIOUS UNANTICIPATED LOCATIONS THROUGHOUT THE U.S.</t>
  </si>
  <si>
    <t>P-400-21126-293154</t>
  </si>
  <si>
    <t>313 Mt. Tabor Rd.</t>
  </si>
  <si>
    <t>Mailing: P.O. Box 2481 , Clarksville, IN 47131-2481</t>
  </si>
  <si>
    <t>New Albany</t>
  </si>
  <si>
    <t>Raymonds Lawn Care LLC</t>
  </si>
  <si>
    <t>="Must lift/carry 50 lbs., when necessary.  Saturday work required, when necessary.  Employer-paid drug test required of foreign and domestic workers prior to commencing work. Post-hire employment eligibility (e-Verify) check required of foreign and domes</t>
  </si>
  <si>
    <t>P-400-21140-329377</t>
  </si>
  <si>
    <t>HARBIT</t>
  </si>
  <si>
    <t>2563 VALLEY OAKS ESTATES DR</t>
  </si>
  <si>
    <t>CHESTERFIELD</t>
  </si>
  <si>
    <t>MIDWESTLAWN@HOTMAIL.COM</t>
  </si>
  <si>
    <t>MIDWEST LAWN LLC</t>
  </si>
  <si>
    <t>TRANSPORTATION WILL BE PROVIDED TO AND FROM LOCAL ST LOUIS AREA JOB SITES</t>
  </si>
  <si>
    <t>Sevierville</t>
  </si>
  <si>
    <t xml:space="preserve">Doral </t>
  </si>
  <si>
    <t>P-400-21130-299221</t>
  </si>
  <si>
    <t xml:space="preserve">5700 E. McDonald Drive </t>
  </si>
  <si>
    <t>Paradise Valley</t>
  </si>
  <si>
    <t>nrosas@sanctuaryaz.com</t>
  </si>
  <si>
    <t>Sanctuary on Camelback, Inc.</t>
  </si>
  <si>
    <t>Sanctuary Camelback Mountain Resort and Spa</t>
  </si>
  <si>
    <t>5700 E. McDonald Drive</t>
  </si>
  <si>
    <t>Housekeeping Room Attendant</t>
  </si>
  <si>
    <t>Director of Housekeeping</t>
  </si>
  <si>
    <t>Erik</t>
  </si>
  <si>
    <t>P-100-21159-380808</t>
  </si>
  <si>
    <t>Andre</t>
  </si>
  <si>
    <t>1000 Medical Center Boulevard</t>
  </si>
  <si>
    <t>Aiken</t>
  </si>
  <si>
    <t>P-100-21138-323541</t>
  </si>
  <si>
    <t>computer science, computer information systems or related field</t>
  </si>
  <si>
    <t>="Bachelor's degree in computer science, computer information systems or related field (willing to accept foreign education equivalent) plus eight years of experience in developing applications and designing highly scalable systems using Java or, alternat</t>
  </si>
  <si>
    <t xml:space="preserve">1525 and 1505 Windward Concourse </t>
  </si>
  <si>
    <t>York</t>
  </si>
  <si>
    <t xml:space="preserve">Senior Engineering Manager </t>
  </si>
  <si>
    <t>3901 9th Ave SE</t>
  </si>
  <si>
    <t>SmithGroup, Inc., subsidiary of SmithGroup Co., Inc.</t>
  </si>
  <si>
    <t>500 Griswold Street</t>
  </si>
  <si>
    <t>Spaic</t>
  </si>
  <si>
    <t>1600 Falmouth Road</t>
  </si>
  <si>
    <t>Centerville</t>
  </si>
  <si>
    <t>info@toccilee.com</t>
  </si>
  <si>
    <t>Tocci &amp; Lee, LLC</t>
  </si>
  <si>
    <t>Architect (non-licensed)</t>
  </si>
  <si>
    <t xml:space="preserve">Minimum requirements: A bachelor’s degree (foreign equivalent degrees accepted) in architecture, or any related field of study. </t>
  </si>
  <si>
    <t>Principal | Director of Architecture</t>
  </si>
  <si>
    <t>Regional travel to client sites may be required, less than 20% annually.</t>
  </si>
  <si>
    <t>PERONNER DIRECTOR</t>
  </si>
  <si>
    <t>4100 194TH STREET SW</t>
  </si>
  <si>
    <t>STE 390</t>
  </si>
  <si>
    <t>LYNNWOOD</t>
  </si>
  <si>
    <t>YOUNGSOHLAWANDTAX@GMAIL.COM</t>
  </si>
  <si>
    <t>4100 194TH ST SW</t>
  </si>
  <si>
    <t>Lyle</t>
  </si>
  <si>
    <t>Cashier</t>
  </si>
  <si>
    <t>Des Moines</t>
  </si>
  <si>
    <t>Yin</t>
  </si>
  <si>
    <t>Jaramillo</t>
  </si>
  <si>
    <t>6319 NW 99 Ave</t>
  </si>
  <si>
    <t>germanjr@gjcargo.com</t>
  </si>
  <si>
    <t>Administrative Supervisor</t>
  </si>
  <si>
    <t>43-5011.00; 53-7062.00</t>
  </si>
  <si>
    <t>Cargo and Freight Agents; Laborers and Freight, Stock, and Material Movers, Hand</t>
  </si>
  <si>
    <t>Gordon</t>
  </si>
  <si>
    <t>101 Main Street</t>
  </si>
  <si>
    <t>P-400-21146-345612</t>
  </si>
  <si>
    <t>MESQUITE MEXICAN GRILL &amp; BAR 2, LLC</t>
  </si>
  <si>
    <t>MESQUITE MEXICAN GRILL &amp; BAR</t>
  </si>
  <si>
    <t>DIAZ</t>
  </si>
  <si>
    <t>D&amp;O CONSULTING SERVICES, LLC</t>
  </si>
  <si>
    <t xml:space="preserve">DISHWASHER </t>
  </si>
  <si>
    <t>Krebs</t>
  </si>
  <si>
    <t>250 West Main Street</t>
  </si>
  <si>
    <t>gkrebs@wyattfirm.com</t>
  </si>
  <si>
    <t>Wyatt, Tarrant &amp; Combs, LLP</t>
  </si>
  <si>
    <t>Barbeito</t>
  </si>
  <si>
    <t>702 N Bicentennial Blvd</t>
  </si>
  <si>
    <t>McAllen</t>
  </si>
  <si>
    <t>jose@jbvisa.com</t>
  </si>
  <si>
    <t>6705 N Taylor Rd</t>
  </si>
  <si>
    <t>Mission</t>
  </si>
  <si>
    <t>Occupational Health and Safety Specialists</t>
  </si>
  <si>
    <t>250 Vesey Street</t>
  </si>
  <si>
    <t>Pohlit</t>
  </si>
  <si>
    <t>Director of People &amp; Recruiting</t>
  </si>
  <si>
    <t>Ruppert Landscape, Inc.</t>
  </si>
  <si>
    <t>DEERING WALLAU</t>
  </si>
  <si>
    <t>521 West 57th Street</t>
  </si>
  <si>
    <t>ellen.s.deeringwallau@iff.com</t>
  </si>
  <si>
    <t>Danisco USA Inc.</t>
  </si>
  <si>
    <t>sspeirs@fragomen.com</t>
  </si>
  <si>
    <t>Erlanger</t>
  </si>
  <si>
    <t>P-400-21144-339081</t>
  </si>
  <si>
    <t>c.chiarello@hrycc.org</t>
  </si>
  <si>
    <t>HARBOUR RIDGE PROPERTY OWNERS ASSOC</t>
  </si>
  <si>
    <t>GROUNDS MAINTENANCE LABORER</t>
  </si>
  <si>
    <t xml:space="preserve">DIRECTOR OF GROUNDS MAINTENANCE </t>
  </si>
  <si>
    <t>Concrete Finishers</t>
  </si>
  <si>
    <t>Hunter</t>
  </si>
  <si>
    <t>P-100-21131-302598</t>
  </si>
  <si>
    <t>Solomon</t>
  </si>
  <si>
    <t>Vicki</t>
  </si>
  <si>
    <t>Human Resource Administrator</t>
  </si>
  <si>
    <t>2694 Prairie St SW</t>
  </si>
  <si>
    <t>Wyoming</t>
  </si>
  <si>
    <t>vickis@highlightindustries.com</t>
  </si>
  <si>
    <t>Highlight Industries Inc.</t>
  </si>
  <si>
    <t>2694 Prairie St. SW</t>
  </si>
  <si>
    <t>Mick</t>
  </si>
  <si>
    <t>4117 Embassy Dr. SE</t>
  </si>
  <si>
    <t>brian@imlaw.biz</t>
  </si>
  <si>
    <t>ImLaw, PC</t>
  </si>
  <si>
    <t>Industrial Engineer II</t>
  </si>
  <si>
    <t>Master’s degree in Product Design &amp; Manufacturing Engineering, Industrial Engineering or closely related field.</t>
  </si>
  <si>
    <t>="One year of experience with direct manufacturing, production planning, inventory planning, and new products development; carrying out cost optimization and process optimization projects; MS Access based database system; lean manufacturing/6 sigma princi</t>
  </si>
  <si>
    <t>Schaefer</t>
  </si>
  <si>
    <t>P-100-21134-315622</t>
  </si>
  <si>
    <t>LAW OFFICES OF THOMAS V. ALLEN , PLLC.</t>
  </si>
  <si>
    <t>SCIENCE, TECHNOLOGY,  BUSINESS ADMINISTRATION , ENGINEERING OR ANY RELATED FIELD.</t>
  </si>
  <si>
    <t>SCIENCE, TECHNOLOGY, BUSINESS ADMINISTRATION, ENGINEERING OR ANY RELATED FIELD.</t>
  </si>
  <si>
    <t>SUITE 5 &amp; Various unanticipated locations throughout the U.S.</t>
  </si>
  <si>
    <t>kverzano@ebglaw.com</t>
  </si>
  <si>
    <t>P-400-21147-350466</t>
  </si>
  <si>
    <t>Coronado</t>
  </si>
  <si>
    <t>960 Rand Road</t>
  </si>
  <si>
    <t>Suite 113C</t>
  </si>
  <si>
    <t>ccoronado@programone.net</t>
  </si>
  <si>
    <t>Program One Professional Building Services, Inc.</t>
  </si>
  <si>
    <t>alex@laborci.com</t>
  </si>
  <si>
    <t>Window Cleaners</t>
  </si>
  <si>
    <t>Transport provided, designated locale to job site. Begin in Cook County, IL. Continue in Counties/Areas: Cook, DuPage, Lake and areas of Chicago-Naperville-Elgin, IL-IN-WI.</t>
  </si>
  <si>
    <t>960 Rand Rd (Report to Work)</t>
  </si>
  <si>
    <t xml:space="preserve">Account Director </t>
  </si>
  <si>
    <t>950 Elm Avenue</t>
  </si>
  <si>
    <t>P-100-21169-412016</t>
  </si>
  <si>
    <t xml:space="preserve">6106 Cobalt Ridge Ct </t>
  </si>
  <si>
    <t>Line-in Nanny</t>
  </si>
  <si>
    <t>Kushner and Kushner PC</t>
  </si>
  <si>
    <t>P-400-21148-354251</t>
  </si>
  <si>
    <t>1005 Sigman Road NE</t>
  </si>
  <si>
    <t>CCI Global, LLC</t>
  </si>
  <si>
    <t>Custom Cooler</t>
  </si>
  <si>
    <t>Assembler</t>
  </si>
  <si>
    <t>Assemblers and Fabricators, All Other</t>
  </si>
  <si>
    <t>SUITE 216</t>
  </si>
  <si>
    <t>SYSTECHCORP INC</t>
  </si>
  <si>
    <t>SUITE 216 AND VARIOUS UNANTICIPATED LOCATIONS THROUGHOUT THE U.S.</t>
  </si>
  <si>
    <t>Cesar</t>
  </si>
  <si>
    <t>1201 Aries Drive</t>
  </si>
  <si>
    <t>gramcke@landscapesunlimited.com</t>
  </si>
  <si>
    <t>Landscapes Unlimited, LLC</t>
  </si>
  <si>
    <t>Landscape Laborer II</t>
  </si>
  <si>
    <t>Superintendent</t>
  </si>
  <si>
    <t>7777 W. 29TH AVE.</t>
  </si>
  <si>
    <t>&amp; SURROUNDING AREAS IN THE SAME MSA</t>
  </si>
  <si>
    <t>WHEAT RIDGE</t>
  </si>
  <si>
    <t>P-400-21146-347506</t>
  </si>
  <si>
    <t>Finnigan</t>
  </si>
  <si>
    <t>12301 West Wirth Street</t>
  </si>
  <si>
    <t>finnigan.jayson@basco.com</t>
  </si>
  <si>
    <t>Briggs &amp; Straton</t>
  </si>
  <si>
    <t>Ajmera</t>
  </si>
  <si>
    <t>Sujata</t>
  </si>
  <si>
    <t>720 Brazos St</t>
  </si>
  <si>
    <t>SAjmera@clarkhill.com</t>
  </si>
  <si>
    <t>Operator</t>
  </si>
  <si>
    <t>150 Technology Parkway</t>
  </si>
  <si>
    <t>jack@grassperson.com</t>
  </si>
  <si>
    <t>Moore Property Services, Inc.</t>
  </si>
  <si>
    <t>Grassperson Lawn Care &amp; Landscape</t>
  </si>
  <si>
    <t>1565 West Main St Ste 208-255</t>
  </si>
  <si>
    <t>P-400-21124-287124</t>
  </si>
  <si>
    <t>Thuraisingam</t>
  </si>
  <si>
    <t>Nava</t>
  </si>
  <si>
    <t xml:space="preserve">1225 N Gilbert Road </t>
  </si>
  <si>
    <t>navasingam@msn.com</t>
  </si>
  <si>
    <t>Kind Hospitality, Inc.</t>
  </si>
  <si>
    <t>Macayo's, Panera Bread</t>
  </si>
  <si>
    <t>1225 N Gilbert Road</t>
  </si>
  <si>
    <t>Valerio</t>
  </si>
  <si>
    <t>7795 Enchanted Path Drive</t>
  </si>
  <si>
    <t>valerio@alignmentadvisoryllc.com</t>
  </si>
  <si>
    <t>Prep Cooking</t>
  </si>
  <si>
    <t>Phoenix MSA</t>
  </si>
  <si>
    <t>#105</t>
  </si>
  <si>
    <t>Fulton</t>
  </si>
  <si>
    <t>fultonadmin@socket.net</t>
  </si>
  <si>
    <t>Fulton Nursing and Rehab</t>
  </si>
  <si>
    <t>1510 N Bluff St</t>
  </si>
  <si>
    <t>P-400-21132-307508</t>
  </si>
  <si>
    <t>500 Palm Avenue</t>
  </si>
  <si>
    <t>P.O. Box 1088</t>
  </si>
  <si>
    <t>Boca Grande</t>
  </si>
  <si>
    <t>jdunn@gasparillainn.com</t>
  </si>
  <si>
    <t xml:space="preserve">Gasparilla Inn, Inc. </t>
  </si>
  <si>
    <t>The Gasparilla Inn &amp; Club</t>
  </si>
  <si>
    <t>="The Petitioner will consider for employment any person who possesses at least three (3) months of experience at a high-end hotel, resort, or private club.  Applicant must complete pre-employment background check and drug screening.   Applicant may be re</t>
  </si>
  <si>
    <t>P-100-21139-325944</t>
  </si>
  <si>
    <t>Owner and Dentist</t>
  </si>
  <si>
    <t>5258 Beach Blvd</t>
  </si>
  <si>
    <t xml:space="preserve"> Suite A </t>
  </si>
  <si>
    <t>drmichaelhan@gmail.com</t>
  </si>
  <si>
    <t>MB HAN DENTAL CORPORATION</t>
  </si>
  <si>
    <t xml:space="preserve">Suite A   </t>
  </si>
  <si>
    <t xml:space="preserve">Associates Degree in any field.  </t>
  </si>
  <si>
    <t>Smitham</t>
  </si>
  <si>
    <t>4900 S. Monaco Street</t>
  </si>
  <si>
    <t>erika.qvale@healthonecares.com</t>
  </si>
  <si>
    <t>Neurology Associates of Kansas, LLC</t>
  </si>
  <si>
    <t>3243 E. Murdock Street</t>
  </si>
  <si>
    <t>alyson.gabriel@hammondlawgroup.com</t>
  </si>
  <si>
    <t>Medicine/Surgery</t>
  </si>
  <si>
    <t>550 N. Hillside Street</t>
  </si>
  <si>
    <t>Wendel</t>
  </si>
  <si>
    <t>wendel@halllawoffice.net</t>
  </si>
  <si>
    <t>Component Design Engineer</t>
  </si>
  <si>
    <t>P-400-21148-351966</t>
  </si>
  <si>
    <t>McCormack</t>
  </si>
  <si>
    <t>859 Victory Trail Road</t>
  </si>
  <si>
    <t>jane.raab@homefashionsintl.com</t>
  </si>
  <si>
    <t>Home Fashions International</t>
  </si>
  <si>
    <t>Sewing Machine Operator</t>
  </si>
  <si>
    <t>P-400-21127-295116</t>
  </si>
  <si>
    <t>Wehde</t>
  </si>
  <si>
    <t>Catina</t>
  </si>
  <si>
    <t>Vice-President</t>
  </si>
  <si>
    <t>266 S. Ethlyn Rd.</t>
  </si>
  <si>
    <t>Moscow Mills</t>
  </si>
  <si>
    <t>Wehde Landscaping &amp; Sod Farm, Inc.</t>
  </si>
  <si>
    <t>266 S. Ethlyn Rd</t>
  </si>
  <si>
    <t>Higgs, Fletcher, &amp; Mack, LLC</t>
  </si>
  <si>
    <t xml:space="preserve">Solutions Architect </t>
  </si>
  <si>
    <t>641 Lexington Avenue</t>
  </si>
  <si>
    <t>Product Design Engineer</t>
  </si>
  <si>
    <t>International Travel Required 20%.</t>
  </si>
  <si>
    <t>Willis Towers Watson 2020 General Industry MMPS Report Compensation Data</t>
  </si>
  <si>
    <t>Lead Data Modeler</t>
  </si>
  <si>
    <t>="Four (4) years of experience in the job offered or related occupation: utilizing normalization and denormalization to design and develop database models for operational applications and analytical data warehouses; utilizing dimensional modeling to desig</t>
  </si>
  <si>
    <t>Senior Manager - BT - Enterprise Data Modeling and Standards</t>
  </si>
  <si>
    <t>P-400-21123-283345</t>
  </si>
  <si>
    <t>Director of People and Recruiting</t>
  </si>
  <si>
    <t>6700 Janway Road</t>
  </si>
  <si>
    <t>Richmond, VA</t>
  </si>
  <si>
    <t>Andy</t>
  </si>
  <si>
    <t>CHALLURI</t>
  </si>
  <si>
    <t>PRATHIBHA</t>
  </si>
  <si>
    <t>Action International, Inc</t>
  </si>
  <si>
    <t>Alban</t>
  </si>
  <si>
    <t>1310 W. Laurel</t>
  </si>
  <si>
    <t>DecorIQ, LLC</t>
  </si>
  <si>
    <t>Holiday Lighting Laborer</t>
  </si>
  <si>
    <t>usjobs@sawtest.com</t>
  </si>
  <si>
    <t xml:space="preserve">1701 N Collins Blvd </t>
  </si>
  <si>
    <t xml:space="preserve">Suite 1225 </t>
  </si>
  <si>
    <t xml:space="preserve">LI </t>
  </si>
  <si>
    <t xml:space="preserve">2929 N Central Expressway </t>
  </si>
  <si>
    <t xml:space="preserve">Suite 240 </t>
  </si>
  <si>
    <t>Li@theLLLaw.com</t>
  </si>
  <si>
    <t>Vadsaria</t>
  </si>
  <si>
    <t>Sharmin</t>
  </si>
  <si>
    <t>P-400-21127-296606</t>
  </si>
  <si>
    <t>Chaparro</t>
  </si>
  <si>
    <t>401 Wilson Rd</t>
  </si>
  <si>
    <t>Central Point</t>
  </si>
  <si>
    <t>absoluteforestry@gmail.com</t>
  </si>
  <si>
    <t>Absolute Forestry, LLC</t>
  </si>
  <si>
    <t>Transport provided, designated locale to job site. Begin in Jackson County, OR. Continue in States: CA, ID, MT, NV, OR, UT, WA.</t>
  </si>
  <si>
    <t>401 Wilson Rd (Report to Work)</t>
  </si>
  <si>
    <t>Medford, OR</t>
  </si>
  <si>
    <t>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The wage entered in item G.7 reflects the area of intended employment entered in F.e.4 and F.e.5.
This determination does not include extinguishing flames or other fire fighter duties.</t>
  </si>
  <si>
    <t>P-100-21124-285832</t>
  </si>
  <si>
    <t>Airbnb, Inc.</t>
  </si>
  <si>
    <t>888 Brannan Street</t>
  </si>
  <si>
    <t>Lai</t>
  </si>
  <si>
    <t>Johnathan</t>
  </si>
  <si>
    <t>johnathan.lai@airbnb.com</t>
  </si>
  <si>
    <t>Computer Science, Engineering, Information Technology, or related academic field.</t>
  </si>
  <si>
    <t>="Prior academic background or work experience to include: 1. Experience in at least two (2) of the following languages: C/C++, JavaScript, Python/Django, Ruby/Ruby on Rails, or Go; 2. Experience building performant and scalable native Android application</t>
  </si>
  <si>
    <t>Occupational Therapist</t>
  </si>
  <si>
    <t>Occupational Therapy</t>
  </si>
  <si>
    <t>Suite G</t>
  </si>
  <si>
    <t>P-400-21131-303099</t>
  </si>
  <si>
    <t>Technical Architect</t>
  </si>
  <si>
    <t>P-400-21126-293030</t>
  </si>
  <si>
    <t>80650 Gallatin Rd</t>
  </si>
  <si>
    <t>office@rdavidsonmasonry.com</t>
  </si>
  <si>
    <t>R Davidson Masonry, Inc</t>
  </si>
  <si>
    <t xml:space="preserve"> R Davidson Masonry</t>
  </si>
  <si>
    <t>Stonemason Helper</t>
  </si>
  <si>
    <t>All work to be performed within Bozeman MSA, primarily in Gallatin and Madison counties. Employer provides all travel and tools.</t>
  </si>
  <si>
    <t>Fara</t>
  </si>
  <si>
    <t>P-400-21127-295514</t>
  </si>
  <si>
    <t>2365 Avon Indsutrial Drive</t>
  </si>
  <si>
    <t>Action Painting Restorations LLC</t>
  </si>
  <si>
    <t>dba The Exterior Painters</t>
  </si>
  <si>
    <t>400 Preston Ave Ste 300</t>
  </si>
  <si>
    <t>clagett1161@maslabor.com</t>
  </si>
  <si>
    <t>2365 Avon Industrial Drive</t>
  </si>
  <si>
    <t>Vargas</t>
  </si>
  <si>
    <t>Manager, Legal &amp; Compliance</t>
  </si>
  <si>
    <t>E*Trade Financial Holdings LLC</t>
  </si>
  <si>
    <t>Will travel to worksite daily</t>
  </si>
  <si>
    <t>Tietjen</t>
  </si>
  <si>
    <t>50 CONGRESS STREET</t>
  </si>
  <si>
    <t>rt@rsstlawgroup.com</t>
  </si>
  <si>
    <t>Ross Silverman Snyder Tietjen LLP</t>
  </si>
  <si>
    <t>ASSISTANT MANAGER</t>
  </si>
  <si>
    <t>Alan C. Chen, P.C.</t>
  </si>
  <si>
    <t>P-400-21126-292955</t>
  </si>
  <si>
    <t>Diaz</t>
  </si>
  <si>
    <t>76 N McCulloch Blvd</t>
  </si>
  <si>
    <t>Pueblo West</t>
  </si>
  <si>
    <t>Diana.elsupertaco@gmail.com</t>
  </si>
  <si>
    <t>Diaz LLC</t>
  </si>
  <si>
    <t xml:space="preserve">El Super Taco - Pueblo </t>
  </si>
  <si>
    <t>76 N McCullough Blvd</t>
  </si>
  <si>
    <t>P-400-21137-320385</t>
  </si>
  <si>
    <t xml:space="preserve">="6 months experience with basic knowledge of golf course layout; understanding of golf course irrigation systems including ability to install/repair key components; knowledge of golf course building materials and golf course construction tasks including </t>
  </si>
  <si>
    <t>123 COUNTRY CLUB DRIVE</t>
  </si>
  <si>
    <t>SCHERERVILLE</t>
  </si>
  <si>
    <t>Cuong</t>
  </si>
  <si>
    <t>P-400-21132-308989</t>
  </si>
  <si>
    <t>225 Tibton Circle</t>
  </si>
  <si>
    <t>ctucker@unitemanagement.net</t>
  </si>
  <si>
    <t>Purchase Pro LLC</t>
  </si>
  <si>
    <t>1375 Enterprise Ave STE 1</t>
  </si>
  <si>
    <t>Myrtle Beach-Conway-North Myrtle Beach, SC-NC</t>
  </si>
  <si>
    <t>Immigration and Relocation Program Manager</t>
  </si>
  <si>
    <t>Sophia_Doss@mohawkind.com</t>
  </si>
  <si>
    <t>160 South Industrial Boulevard</t>
  </si>
  <si>
    <t xml:space="preserve">Must have Bachelors’ degree in Computer Science, Software Engineering, or related field. Foreign degree equivalent accepted.   </t>
  </si>
  <si>
    <t>Diehl</t>
  </si>
  <si>
    <t>HR Employment Supervisor</t>
  </si>
  <si>
    <t>2001 The Embarcadero</t>
  </si>
  <si>
    <t>Suite 201, Box 1795</t>
  </si>
  <si>
    <t>sylvia.diehl@ucsf.edu</t>
  </si>
  <si>
    <t>UCSF MEDICAL CENTER</t>
  </si>
  <si>
    <t>Shih</t>
  </si>
  <si>
    <t>jshih@vblaw.com</t>
  </si>
  <si>
    <t>VAN DER HOUT LLP</t>
  </si>
  <si>
    <t>15-2031.00; 17-2112.00</t>
  </si>
  <si>
    <t>Industrial Engineers; Operations Research Analysts</t>
  </si>
  <si>
    <t>Industrial Engineering, Mechanical Engineering, Health Administration or Business Administration</t>
  </si>
  <si>
    <t>Vice President and Chief of Staff to CEO</t>
  </si>
  <si>
    <t>350 Parnassus Avenue</t>
  </si>
  <si>
    <t>P-400-21141-334623</t>
  </si>
  <si>
    <t>TRILOGY FOODS LLC</t>
  </si>
  <si>
    <t>1445 Josh Pirkle</t>
  </si>
  <si>
    <t>Line Supervisor</t>
  </si>
  <si>
    <t>North Georgia nonmetropolitan area</t>
  </si>
  <si>
    <t>410 West A Street, Suite 2600</t>
  </si>
  <si>
    <t>SARAH</t>
  </si>
  <si>
    <t xml:space="preserve">Risk Policy Senior Manager </t>
  </si>
  <si>
    <t>Risk Policy Group Manager</t>
  </si>
  <si>
    <t>1000 North West Street</t>
  </si>
  <si>
    <t>P-400-21132-308557</t>
  </si>
  <si>
    <t>McMurray</t>
  </si>
  <si>
    <t>Devora</t>
  </si>
  <si>
    <t>5109 Combahee Road</t>
  </si>
  <si>
    <t>Yemassee</t>
  </si>
  <si>
    <t>dee@cherokeeplantation.com</t>
  </si>
  <si>
    <t>Cherokee Plantation Owners, LLC</t>
  </si>
  <si>
    <t>Andra</t>
  </si>
  <si>
    <t>160 Spear St, 13th Floor</t>
  </si>
  <si>
    <t>Gan</t>
  </si>
  <si>
    <t>Ning</t>
  </si>
  <si>
    <t>1625 The Alameda. Ste. 800</t>
  </si>
  <si>
    <t>info@ganning.com</t>
  </si>
  <si>
    <t>Law Office of Ning Gan</t>
  </si>
  <si>
    <t>Business Operations Manager, Customer Success</t>
  </si>
  <si>
    <t xml:space="preserve">Business Administration, Operations Research, Computer Science, Information Technology or related field </t>
  </si>
  <si>
    <t>P-100-21144-337705</t>
  </si>
  <si>
    <t>="Skills required: SAP (HCM), ABAP, HP Quality center, solution manager, HPALM, LSMW, OOABAP. Master’s degree in Science, Computer Applications,  Technology, Engineering, or any related field with 1 year of experience in the job offered or related occupat</t>
  </si>
  <si>
    <t>P-100-21139-325813</t>
  </si>
  <si>
    <t>50 CRAGWOOED ROAD</t>
  </si>
  <si>
    <t>SCIENCE, TECHNOLOGY, ENGINEERING, OR ANY RELATED.</t>
  </si>
  <si>
    <t>="Master’s degree in Science, Technology, Engineering, or any related field is required. Bachelor’s degree in any of the above mentioned fields along with 5 years of experience in the job offered or related occupation is acceptable in lieu of Master’s deg</t>
  </si>
  <si>
    <t>SUITE 210 AND VARIOUS UNANTICIPATED LOCATIONS THROUGHOUT THE U.S.</t>
  </si>
  <si>
    <t>MEGAN</t>
  </si>
  <si>
    <t>mpatkowska@fragomen.com</t>
  </si>
  <si>
    <t>3449 Lawrenceville-Suwanee Rd</t>
  </si>
  <si>
    <t>Goldstein Law Group</t>
  </si>
  <si>
    <t>Osteopathic Medicine</t>
  </si>
  <si>
    <t>lindseycoleman@lucidmotors.com</t>
  </si>
  <si>
    <t>Fernandez</t>
  </si>
  <si>
    <t>P-400-21152-358055</t>
  </si>
  <si>
    <t>P-100-21131-303784</t>
  </si>
  <si>
    <t>project manager</t>
  </si>
  <si>
    <t>Travel/relocation to unanticipated client locations within U.S</t>
  </si>
  <si>
    <t>Laurel</t>
  </si>
  <si>
    <t>Cherie</t>
  </si>
  <si>
    <t>Darren</t>
  </si>
  <si>
    <t>Hickman</t>
  </si>
  <si>
    <t>phemati@fragomen.com</t>
  </si>
  <si>
    <t>Dietrich Fall 2020 Engineering Survey</t>
  </si>
  <si>
    <t>Field Service Engineer I</t>
  </si>
  <si>
    <t>Electro-Mechanical Technicians</t>
  </si>
  <si>
    <t>Installation Operation Manager</t>
  </si>
  <si>
    <t>3440 E University Dr</t>
  </si>
  <si>
    <t>License and Compliance Administrator</t>
  </si>
  <si>
    <t>2001 North Main Street</t>
  </si>
  <si>
    <t>JCJohnson@bpmcpa.com</t>
  </si>
  <si>
    <t>BPM LLP</t>
  </si>
  <si>
    <t>600 California Street</t>
  </si>
  <si>
    <t>Assurance Supervisor</t>
  </si>
  <si>
    <t>Master’s degree or equivalent in Accounting or a related academic field.</t>
  </si>
  <si>
    <t>Position requires 20% domestic travel. Travel expenses paid by employer.</t>
  </si>
  <si>
    <t>10 Almaden Blvd.</t>
  </si>
  <si>
    <t>Maya</t>
  </si>
  <si>
    <t>Newton</t>
  </si>
  <si>
    <t>131 Frost Commercial Drive</t>
  </si>
  <si>
    <t>West Monroe</t>
  </si>
  <si>
    <t>Neighbor's, LLC</t>
  </si>
  <si>
    <t>131 Frost Commercial Dr,</t>
  </si>
  <si>
    <t>Sr. Engineer</t>
  </si>
  <si>
    <t>Riberdy</t>
  </si>
  <si>
    <t>Director, Global Human Resources &amp; Talent</t>
  </si>
  <si>
    <t>renee.riberdy@sysdig.com</t>
  </si>
  <si>
    <t>Sysdig, Inc.</t>
  </si>
  <si>
    <t xml:space="preserve"> Machine Learning Scientist </t>
  </si>
  <si>
    <t xml:space="preserve">="PhD or foreign equivalent in Computer Science, Statistics, Applied Mathematics, Electrical Engineering, Civil Engineering, Mechanical Engineering or a related field.
SPECIFIC SKILLS OR OTHER REQUIREMENTS: Coursework in the following: Machine Learning; </t>
  </si>
  <si>
    <t>Director, Data &amp; Analytics</t>
  </si>
  <si>
    <t>5655 Spalding Drive</t>
  </si>
  <si>
    <t>P-100-21148-354510</t>
  </si>
  <si>
    <t>2020 US MBD/TRS Mercer/Gartner Information Technology Compensation Survey</t>
  </si>
  <si>
    <t xml:space="preserve">="Minimum requirements: Bachelor's degree, or higher, or foreign equivalent, in Computer Science, Computer Engineering or related technical field and at least 5 years of software engineering experience. Must have experience with the following: design and </t>
  </si>
  <si>
    <t>MIO Partners Inc. (McKinsey &amp; Company)</t>
  </si>
  <si>
    <t>245 Park Avenue</t>
  </si>
  <si>
    <t>MIO Senior Architect - Investments</t>
  </si>
  <si>
    <t>15-1132.00; 15-1199.06</t>
  </si>
  <si>
    <t>Database Architects; Software Developers, Applications</t>
  </si>
  <si>
    <t>Computer Engineering, Systems Engineering, Computer Science or related field or foreign degree equivalent.</t>
  </si>
  <si>
    <t>245 Park Avenue, 13th Floor</t>
  </si>
  <si>
    <t>Capozzola</t>
  </si>
  <si>
    <t>Dominick</t>
  </si>
  <si>
    <t>College Station</t>
  </si>
  <si>
    <t>3435 Wilshire Blvd</t>
  </si>
  <si>
    <t>Lead Systems Engineer</t>
  </si>
  <si>
    <t>P-400-21153-360878</t>
  </si>
  <si>
    <t>P-400-21125-289830</t>
  </si>
  <si>
    <t>Hentges</t>
  </si>
  <si>
    <t>5905 Old Lohman Road</t>
  </si>
  <si>
    <t>Jefferson City</t>
  </si>
  <si>
    <t>Hentges Tree Service, Inc.</t>
  </si>
  <si>
    <t>Brush Clearer for Utility Rights of Way</t>
  </si>
  <si>
    <t>="MUST SHOW PROOF OF LEGAL AUTHORIZATION TO WORK IN THE UNITED STATES. DRUG/ALCOHOL/TOBACCO FREE WORK ZONE. MUST BE 18 DUE TO TRAVEL.  MUST WALK SUBSTANTIALLY (UP TO 15 MILES/DAY), ALSO STOOP, BEND WHILE CARRYING A PACK (UP TO 50LBS) THRU ROUGH TERRAIN (N</t>
  </si>
  <si>
    <t>TRANSPORT PROVIDED, DESIGNATED LOCALE TO JOB SITE. BEGIN IN COLE COUNTY, MO. CONTINUE IN AREAS: CENTRAL MISSOURI NONMETROPOLITAN AREA, NORTH MISSOURI NONMETROPOLITAN AREA, COLUMBIA, MO, JEFFERSON CITY, MO, SPRINGFIELD, MO, SOUTHEAST MISSOURI NONMETROPOLITAN AREA, ST. LOUIS, MO.</t>
  </si>
  <si>
    <t>655 Montgomery Street, Suite 1150</t>
  </si>
  <si>
    <t>Epstein Becker &amp; Green, P.C.</t>
  </si>
  <si>
    <t xml:space="preserve">Gilbert </t>
  </si>
  <si>
    <t>P-400-21146-345560</t>
  </si>
  <si>
    <t>Worman</t>
  </si>
  <si>
    <t>2055 E Grandview Dr.</t>
  </si>
  <si>
    <t>info@wormanforestry.com</t>
  </si>
  <si>
    <t>CRW Resources LLC</t>
  </si>
  <si>
    <t>Pinestraw Worker</t>
  </si>
  <si>
    <t>Transport provided, designated locale to job site. Begin in Chesterfield County, SC. Continue in Counties/Areas: Chesterfield, Darlington and areas of Florence, SC, Northeast South Carolina nonmetropolitan area.</t>
  </si>
  <si>
    <t>15200 Hwy 1 (Report to Work)</t>
  </si>
  <si>
    <t>P-400-21132-307437</t>
  </si>
  <si>
    <t>PO Box 1088</t>
  </si>
  <si>
    <t xml:space="preserve">Beach Attendant </t>
  </si>
  <si>
    <t>Recreation Workers</t>
  </si>
  <si>
    <t>Beach Club Manager and Food &amp; Beverage Manager</t>
  </si>
  <si>
    <t>Food Servers, Nonrestaurant</t>
  </si>
  <si>
    <t>Ferris</t>
  </si>
  <si>
    <t>42808 Christy Street</t>
  </si>
  <si>
    <t>Gretchen</t>
  </si>
  <si>
    <t>P-400-21140-331083</t>
  </si>
  <si>
    <t>Clouser</t>
  </si>
  <si>
    <t xml:space="preserve">Kellie </t>
  </si>
  <si>
    <t>Tipton</t>
  </si>
  <si>
    <t xml:space="preserve">152 Glen Holliday Road </t>
  </si>
  <si>
    <t>Indian Mound</t>
  </si>
  <si>
    <t>kellielynn@tiptonconstruction.us</t>
  </si>
  <si>
    <t>Kellie W. Tipton Construction Company, Inc.</t>
  </si>
  <si>
    <t>152 Glen Holliday Road</t>
  </si>
  <si>
    <t xml:space="preserve">Construction Laborer/Heavy Machine Operator </t>
  </si>
  <si>
    <t xml:space="preserve">The work locations will vary all over the Fort Campbell Kentucky Army Base. </t>
  </si>
  <si>
    <t>Fort Campbell Army Base</t>
  </si>
  <si>
    <t>Fort Campbell</t>
  </si>
  <si>
    <t>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The wage entered in item F.4 reflects the area of intended employment entered in E.c.4 and E.c.5.</t>
  </si>
  <si>
    <t>P-100-21153-362443</t>
  </si>
  <si>
    <t>vdrobot@vgyr.com</t>
  </si>
  <si>
    <t>Voyager Therapeutics, Inc.</t>
  </si>
  <si>
    <t>Senior Scientist I, Transgene Regulation</t>
  </si>
  <si>
    <t>Immunology, Virology, Molecular Biology, Biology, Biochemistry and related</t>
  </si>
  <si>
    <t>="•	PhD in vaccinology immunotherapeutics, molecular biology, biochemistry, or related field
•	Minimum 4 years overall postdoctoral experience in related field (academic or industry) This experience must include at least 3 years with:
•	Strong expertise i</t>
  </si>
  <si>
    <t>Senior Scientist-Transgene Regulation</t>
  </si>
  <si>
    <t>Caryn</t>
  </si>
  <si>
    <t>Computer Science, Engineering, or related field.</t>
  </si>
  <si>
    <t xml:space="preserve">Human Resources Manager </t>
  </si>
  <si>
    <t>Neve</t>
  </si>
  <si>
    <t>Rujuta</t>
  </si>
  <si>
    <t>Sr. Talent Acquisition Coordinator</t>
  </si>
  <si>
    <t>Building 2, Suite 600</t>
  </si>
  <si>
    <t>rujuta.neve@nfp.com</t>
  </si>
  <si>
    <t>NFP Corp.</t>
  </si>
  <si>
    <t>340 Madison Ave.</t>
  </si>
  <si>
    <t>11400 Olympic Blvd.</t>
  </si>
  <si>
    <t>info@harrisonlawusa.com</t>
  </si>
  <si>
    <t>Harrison and Harrison, Attys at Law</t>
  </si>
  <si>
    <t>Director of Applications Engineering</t>
  </si>
  <si>
    <t>17-2199.00</t>
  </si>
  <si>
    <t xml:space="preserve">Bachelor’s Degree computer systems design or computer science, or its foreign equivalency </t>
  </si>
  <si>
    <t>1250 S. Capital of Texas Hwy</t>
  </si>
  <si>
    <t>P-100-21144-339853</t>
  </si>
  <si>
    <t>gc@thomasvallen.com</t>
  </si>
  <si>
    <t>Law Office of Thomas V Allen</t>
  </si>
  <si>
    <t>Suite 100A</t>
  </si>
  <si>
    <t>icert@thomasvallen.com</t>
  </si>
  <si>
    <t xml:space="preserve">Legal or related </t>
  </si>
  <si>
    <t>Senior Analyst, Global Mobility</t>
  </si>
  <si>
    <t>7001 East Belleview Ave</t>
  </si>
  <si>
    <t>Global Mobility, HQ-13</t>
  </si>
  <si>
    <t>Western Union, LLC</t>
  </si>
  <si>
    <t>P-400-21152-359521</t>
  </si>
  <si>
    <t>Seminole Hard Rock Support Service</t>
  </si>
  <si>
    <t>Marsh</t>
  </si>
  <si>
    <t>HR Manger</t>
  </si>
  <si>
    <t>Pacific Investment Management Company LLC</t>
  </si>
  <si>
    <t>P-400-21126-292992</t>
  </si>
  <si>
    <t>Travis</t>
  </si>
  <si>
    <t>1165 Bayou Paul Lane</t>
  </si>
  <si>
    <t>Saint Gabriel</t>
  </si>
  <si>
    <t>lawn@tigergreenllc.com</t>
  </si>
  <si>
    <t>Tiger Green Lawn and Landscaping, LLC.</t>
  </si>
  <si>
    <t>9223 Amber Drive</t>
  </si>
  <si>
    <t>1165 Bayou Paul Lane Saint Gabriel LA 70776 Mailing</t>
  </si>
  <si>
    <t>Landscaping Laborer</t>
  </si>
  <si>
    <t xml:space="preserve">="ABLE TO BEND, REACH TO GROUND LEVEL OR OVERHEAD, STAND, WALK, KNEEL FOR LONG PROLONGED PERIOD OF TIME, ABLE TO LIFT UP TO 30 TO 50 LBS, ABLE TO
WORK IN ALL-WEATHER CONDITION FROM EXTREME HEAT, COLD OR RAIN. MUST BE ABLE TO CLIMB 8 TO 16 FT LADDER, WORK </t>
  </si>
  <si>
    <t xml:space="preserve">9223 Amber Drive </t>
  </si>
  <si>
    <t>Prithviraj</t>
  </si>
  <si>
    <t>333 Bay Street</t>
  </si>
  <si>
    <t>M5H2S5</t>
  </si>
  <si>
    <t>ivteam@kpmg.ca</t>
  </si>
  <si>
    <t>KPMG Law LLP</t>
  </si>
  <si>
    <t>P-100-21175-423907</t>
  </si>
  <si>
    <t>Soto</t>
  </si>
  <si>
    <t>999 Ponce de Leon</t>
  </si>
  <si>
    <t>STE 1040</t>
  </si>
  <si>
    <t>laborcertification@esotopa.com</t>
  </si>
  <si>
    <t>Dragonfly Acquisitionco LLC</t>
  </si>
  <si>
    <t>557 Pylon Drive</t>
  </si>
  <si>
    <t>Eduardo Soto PA</t>
  </si>
  <si>
    <t>Heavy Equipment Operator</t>
  </si>
  <si>
    <t xml:space="preserve">50% travel throughout the state of Florida to address the needs for building, repairing, and maintaining lakes and ponds. This travel is required Monday -  Friday for the duration of each project. </t>
  </si>
  <si>
    <t>WADE</t>
  </si>
  <si>
    <t>ASSISTANT DIRECTOR, INTERNATIONAL SCHOLAR OPERATIONS</t>
  </si>
  <si>
    <t>2249 WILLARD LOOP DRIVE</t>
  </si>
  <si>
    <t>S355</t>
  </si>
  <si>
    <t>BOULDER</t>
  </si>
  <si>
    <t>ISSS@COLORADO.EDU</t>
  </si>
  <si>
    <t>University of Colorado</t>
  </si>
  <si>
    <t>University of Colorado Boulder</t>
  </si>
  <si>
    <t>2249 Willard Loop Drive, Suite S355</t>
  </si>
  <si>
    <t>Ctr. for Community, International Student &amp; Scholar Services</t>
  </si>
  <si>
    <t>ASSISTANT PROFESSOR OF COMPUTER SCIENCE</t>
  </si>
  <si>
    <t>Khagendra</t>
  </si>
  <si>
    <t>363 7th Avenue</t>
  </si>
  <si>
    <t>chhetrylaw@hotmail.com</t>
  </si>
  <si>
    <t>Chhetry and Associates, P.C.</t>
  </si>
  <si>
    <t>31-1011.00; 31-2021.00</t>
  </si>
  <si>
    <t>Home Health Aides; Physical Therapist Assistants</t>
  </si>
  <si>
    <t>P-400-21139-327243</t>
  </si>
  <si>
    <t>Director, Information Technology</t>
  </si>
  <si>
    <t>P-100-21166-397374</t>
  </si>
  <si>
    <t>Pocock</t>
  </si>
  <si>
    <t>Advisor, Global Mobility</t>
  </si>
  <si>
    <t>5400 Westheimer Court</t>
  </si>
  <si>
    <t>globalmobility@enbridge.com</t>
  </si>
  <si>
    <t>Enbridge Employee Services, Inc.</t>
  </si>
  <si>
    <t>Hameed</t>
  </si>
  <si>
    <t>Business Development Senior Specialist (Multiple Positions)</t>
  </si>
  <si>
    <t>Engineering, or a related field</t>
  </si>
  <si>
    <t>="Must have a Bachelor’s degree or foreign equivalent in Engineering, or a related field and 7 years of related work experience. Employer will accept a 3 or 4-year Bachelor’s degree.
Of the required experience, must have 2 years of experience with the fo</t>
  </si>
  <si>
    <t>3 or 4-year Bachelor’s degree</t>
  </si>
  <si>
    <t xml:space="preserve">TRAVEL TO VARIOUS LOCATIONS THROUGHOUT THE US REQUIRED UP TO 15% .
Occasional telecommuting in accordance with company policy may be permitted. </t>
  </si>
  <si>
    <t>890 Winter St.</t>
  </si>
  <si>
    <t>P-400-21128-297914</t>
  </si>
  <si>
    <t>="MUST BE ABLE TO STAND, WALK, BEND, KNEEL, STOOP, CROUCH, CRAWL, AND CLIMB. MUST BE ABLE TO LIFT A MINIMUM OF 25 POUNDS. MUST HAVE DEMONSTRATED ABILITY PERFORMING MANUAL LABOR USING HAND TOOLS (E.G., HAMMER, SAW, SCREWDRIVER, DRILL). MUST HAVE DEMONSTRAT</t>
  </si>
  <si>
    <t>1908 Industrial Rd</t>
  </si>
  <si>
    <t>Consulting Sales Engineer</t>
  </si>
  <si>
    <t>="Requires a bachelor's or foreign equivalent degree in computer science or a related field and 8 years of experience in the position offered or 8 years of experience implementing and maintaining Enterprise Software Solutions including EAM, GIS, APM or CI</t>
  </si>
  <si>
    <t>14214 Lagoon Cove Lane</t>
  </si>
  <si>
    <t>O'Driscoll</t>
  </si>
  <si>
    <t>One PNC Plaza, 249 Fifth Avenue</t>
  </si>
  <si>
    <t>Floor 22</t>
  </si>
  <si>
    <t>rachel.odriscoll@pnc.com</t>
  </si>
  <si>
    <t>The PNC Financial Services Group, Inc.</t>
  </si>
  <si>
    <t>249 5th Avenue, One PNC Plaza</t>
  </si>
  <si>
    <t>Phillips</t>
  </si>
  <si>
    <t>matthew.t.phillips@dentons.com</t>
  </si>
  <si>
    <t xml:space="preserve">Data Architect Senior </t>
  </si>
  <si>
    <t>Electronics Engineering, Computer Applications or Computer Information Systems</t>
  </si>
  <si>
    <t>="Must have experience with: (i) IBM Banking Data Warehouse (BDW) framework and the IBM Financial Service Data Mode (FSDM); (ii) CA Erwin Data Modeler, CA Erwin Data Model Manager and MS Visio as a Modeling tool; (iii) cloud technologies: Snowflake, Micro</t>
  </si>
  <si>
    <t>4100 W 150th Street – West Annex</t>
  </si>
  <si>
    <t>150 N. Radnor-Chester Road, A-308</t>
  </si>
  <si>
    <t>Dominick.Capozzola@lfg.com</t>
  </si>
  <si>
    <t>kolinchak@klaskolaw.com</t>
  </si>
  <si>
    <t>P-100-21169-411205</t>
  </si>
  <si>
    <t>JESSICA (220.4045.7)</t>
  </si>
  <si>
    <t>P-400-21154-366836</t>
  </si>
  <si>
    <t>Public Area Attendant</t>
  </si>
  <si>
    <t>Szoke</t>
  </si>
  <si>
    <t>360 MOUNT KEMBLE AVENUE</t>
  </si>
  <si>
    <t>immigration@artech.com</t>
  </si>
  <si>
    <t>ARTECH LLC.</t>
  </si>
  <si>
    <t>Data Science Consultant (IT)</t>
  </si>
  <si>
    <t>Computer Science, CIS, Information Technology Management, Engineering (Any), or related**</t>
  </si>
  <si>
    <t>Zhiyu</t>
  </si>
  <si>
    <t>226 US Highway 1 North</t>
  </si>
  <si>
    <t>hulawoffice@gmail.com</t>
  </si>
  <si>
    <t>Law Office of Zhiyu Hu</t>
  </si>
  <si>
    <t>Cheol</t>
  </si>
  <si>
    <t>Home Health Aide</t>
  </si>
  <si>
    <t>Care Coordinator</t>
  </si>
  <si>
    <t>Travel up to 80% required.</t>
  </si>
  <si>
    <t>P-400-21127-296472</t>
  </si>
  <si>
    <t xml:space="preserve">Seaman </t>
  </si>
  <si>
    <t xml:space="preserve">Alden </t>
  </si>
  <si>
    <t>881 Hwy 188</t>
  </si>
  <si>
    <t xml:space="preserve">Irvington </t>
  </si>
  <si>
    <t>seamanalden@yahoo.com</t>
  </si>
  <si>
    <t xml:space="preserve">Seaman Brand Oysters, Inc. </t>
  </si>
  <si>
    <t>8811 Hwy 188</t>
  </si>
  <si>
    <t>ashley@laborci.com</t>
  </si>
  <si>
    <t xml:space="preserve">Fish Cutters and Trimmers </t>
  </si>
  <si>
    <t xml:space="preserve">="MUST SHOW PROOF OF LEGAL AUTHORIZATION TO WORK IN THE UNITED STATES. DRUG/ALCOHOL/TOBACCO FREE WORK ZONE. PERFORM PHYSICAL ACTIVITIES: SUCH AS LIFT, BALANCE, WALK, STOOP, HANDLE, POSITION, MOVE, MANIPULATE MATERIALS USE STATIC STRENGTH TO
EXERT MAXIMUM </t>
  </si>
  <si>
    <t>Mobile, AL</t>
  </si>
  <si>
    <t xml:space="preserve">2420 Old Ivy Road </t>
  </si>
  <si>
    <t xml:space="preserve">The University of Virginia </t>
  </si>
  <si>
    <t xml:space="preserve">Staff Psychotherapist </t>
  </si>
  <si>
    <t>="Applicants must have demonstrated experience with: 
•	Clinical diagnostic assessment. 
•	Brief psychotherapy. 
•	Providing psychotherapeutic services to college students. 
•	Providing consultation to community stakeholders.
•	Leading psychotherapy grou</t>
  </si>
  <si>
    <t xml:space="preserve">Associate Director for Counseling Services </t>
  </si>
  <si>
    <t>400 Brandon Avenue</t>
  </si>
  <si>
    <t>P-400-21134-316048</t>
  </si>
  <si>
    <t xml:space="preserve">Suite F </t>
  </si>
  <si>
    <t>El Tataki Express LLC</t>
  </si>
  <si>
    <t xml:space="preserve">Ankeny </t>
  </si>
  <si>
    <t>Ankeny Law</t>
  </si>
  <si>
    <t>P-400-21147-351167</t>
  </si>
  <si>
    <t>IRONS</t>
  </si>
  <si>
    <t>CODY</t>
  </si>
  <si>
    <t>1701 S. 13TH AVE</t>
  </si>
  <si>
    <t>OZARK</t>
  </si>
  <si>
    <t>A1WALLSANDLANDSCAPING@YAHOO.COM</t>
  </si>
  <si>
    <t>A-1 WALLS AND LANDSCAPING, INC.</t>
  </si>
  <si>
    <t xml:space="preserve">LANDSCAPING &amp; GROUNDSKEEPING WORKERS </t>
  </si>
  <si>
    <t>Springfield, MO</t>
  </si>
  <si>
    <t>Senior Corporate Counsel</t>
  </si>
  <si>
    <t>Ramos</t>
  </si>
  <si>
    <t>P-100-21147-351431</t>
  </si>
  <si>
    <t>Balaraman</t>
  </si>
  <si>
    <t>5812 S Semoran Blvd</t>
  </si>
  <si>
    <t>ram@ramimmigrationlaw.com</t>
  </si>
  <si>
    <t>Dominium Consulting  Services LLC</t>
  </si>
  <si>
    <t>6965 Piazza Grande Avenue</t>
  </si>
  <si>
    <t>The Ram Law Firm, P.A.</t>
  </si>
  <si>
    <t>Market Specialist</t>
  </si>
  <si>
    <t>Edith</t>
  </si>
  <si>
    <t>JONG WON</t>
  </si>
  <si>
    <t>PO BOX 1766</t>
  </si>
  <si>
    <t>INFO.JPLAW@GMAIL.COM</t>
  </si>
  <si>
    <t>Electricians</t>
  </si>
  <si>
    <t>Computer Science, Computer Engineering, or related.</t>
  </si>
  <si>
    <t>P-100-21180-431362</t>
  </si>
  <si>
    <t>Clements</t>
  </si>
  <si>
    <t>2275 S. Main St.</t>
  </si>
  <si>
    <t>carey_clements@nal.com</t>
  </si>
  <si>
    <t>North American Lighting, Inc.</t>
  </si>
  <si>
    <t>Design Engineer II</t>
  </si>
  <si>
    <t>="Requires a minimum of a bachelor’s degree in Mechanical Engineering or a related field, plus 2 years of experience in related occupations. Requires 2 years of experience in all of the following: plastic injected molded components; plastic component tool</t>
  </si>
  <si>
    <t>36600 Corporate Drive</t>
  </si>
  <si>
    <t>jmjimmigrationllc@gmail.com</t>
  </si>
  <si>
    <t>Granite Installer</t>
  </si>
  <si>
    <t>Tile and Marble Setters</t>
  </si>
  <si>
    <t>Rock Hill</t>
  </si>
  <si>
    <t>P-100-21154-367861</t>
  </si>
  <si>
    <t>Dietrich Fall 202 Engineering Survey</t>
  </si>
  <si>
    <t xml:space="preserve">Field Service Engineer I </t>
  </si>
  <si>
    <t>Electrical Engineering or Mechanical Engineering or related field.</t>
  </si>
  <si>
    <t>Work at client site. Various unanticipated locations. Relocation possible.
Both domestic and international travel possible.</t>
  </si>
  <si>
    <t>P-100-21132-307169</t>
  </si>
  <si>
    <t>KUO</t>
  </si>
  <si>
    <t xml:space="preserve">700 WEST GEORGIA STREET </t>
  </si>
  <si>
    <t xml:space="preserve">VANCOUVER </t>
  </si>
  <si>
    <t>="-Education: Bachelor’s or foreign equivalent degree in Computer Science, Engineering, Mathematics, Information Systems, Physics or a related field.
-5 years of progressive, post-baccalaureate experience in providing technical software support.
-This p</t>
  </si>
  <si>
    <t>Business Analyst II</t>
  </si>
  <si>
    <t>Roslyn</t>
  </si>
  <si>
    <t>Flushing</t>
  </si>
  <si>
    <t>Dining Room Manager</t>
  </si>
  <si>
    <t>Champaign</t>
  </si>
  <si>
    <t>55 Cambridge Parkway</t>
  </si>
  <si>
    <t>P-400-21123-283312</t>
  </si>
  <si>
    <t>8340 MEADOW ROAD STE 132A</t>
  </si>
  <si>
    <t>10838 D Williamson Ln.</t>
  </si>
  <si>
    <t>Baltimore-Columbia-Towson, MD</t>
  </si>
  <si>
    <t>P-400-21145-343104</t>
  </si>
  <si>
    <t>Guillotte</t>
  </si>
  <si>
    <t>101 Water Street</t>
  </si>
  <si>
    <t>Mailing: P.O. Box 520 , Apalachicola, FL 32329</t>
  </si>
  <si>
    <t>Apalachicola</t>
  </si>
  <si>
    <t>lsi@fairpoint.net</t>
  </si>
  <si>
    <t>Leavins Seafood, Inc.</t>
  </si>
  <si>
    <t>="Requires manual dexterity and prolonged standing. Must lift and carry 25 lbs. Workers must use extreme care using knife as a lever to pry oysters open and shells can split into razor-like shards, both of which can cause injury to hands. Must be 18 years</t>
  </si>
  <si>
    <t>UNIT C</t>
  </si>
  <si>
    <t>P-400-21138-322130</t>
  </si>
  <si>
    <t>1501 Mechanical Blvd.</t>
  </si>
  <si>
    <t>Data Architect</t>
  </si>
  <si>
    <t>P-400-21133-311613</t>
  </si>
  <si>
    <t>Nordike</t>
  </si>
  <si>
    <t>1510 Washington Street</t>
  </si>
  <si>
    <t>jamienordike@gmail.com</t>
  </si>
  <si>
    <t>Premier Landscape &amp; Design, Inc.</t>
  </si>
  <si>
    <t>Leaf/snow removal laborer</t>
  </si>
  <si>
    <t>Employer provides transportation from office to and from job sites.  There is no itinerary involved as there are multiple locations.</t>
  </si>
  <si>
    <t>19370 Sand Ridge Road</t>
  </si>
  <si>
    <t>Sparks</t>
  </si>
  <si>
    <t>P-400-21154-366568</t>
  </si>
  <si>
    <t>Bluhm</t>
  </si>
  <si>
    <t>19192 540th Avenue</t>
  </si>
  <si>
    <t>fairfoodsinc@yahoo.com</t>
  </si>
  <si>
    <t>Fair Foods LLC</t>
  </si>
  <si>
    <t>Food Worker</t>
  </si>
  <si>
    <t>1200 16th St SW</t>
  </si>
  <si>
    <t>Rochester, MN</t>
  </si>
  <si>
    <t>Computer Science, Engineering, Mathematics, Information Technology, or related academic field</t>
  </si>
  <si>
    <t>720 Olive Way, 2nd Floor</t>
  </si>
  <si>
    <t>P-400-21128-297918</t>
  </si>
  <si>
    <t>2703 College Ave.</t>
  </si>
  <si>
    <t>Suite 114</t>
  </si>
  <si>
    <t>P-400-21128-298083</t>
  </si>
  <si>
    <t>Barrach-Yousefi</t>
  </si>
  <si>
    <t>Pouya</t>
  </si>
  <si>
    <t>Princpal Consultant</t>
  </si>
  <si>
    <t>38 Rue de la Folie Mericourt</t>
  </si>
  <si>
    <t>FRANCE</t>
  </si>
  <si>
    <t>pouya@pyconsulting.com</t>
  </si>
  <si>
    <t>PY Consulting</t>
  </si>
  <si>
    <t>3 Washington Circle</t>
  </si>
  <si>
    <t>Household Employee</t>
  </si>
  <si>
    <t>Grocery shopping, running errands, and picking up and dropping off toddler at events around our residence on a daily basis as needed.</t>
  </si>
  <si>
    <t>1515 Lilac Lane</t>
  </si>
  <si>
    <t>Higgins</t>
  </si>
  <si>
    <t>Employee Relations &amp; HR Compliance Lead</t>
  </si>
  <si>
    <t>1295 State Street</t>
  </si>
  <si>
    <t>chiggins49@massmutual.com</t>
  </si>
  <si>
    <t>Massachusetts Mutual Life Insurance Company</t>
  </si>
  <si>
    <t>10 Fan Pier Boulevard</t>
  </si>
  <si>
    <t>Lafayette</t>
  </si>
  <si>
    <t>2088 US HWY. 130</t>
  </si>
  <si>
    <t>SUITE 211</t>
  </si>
  <si>
    <t>MONMOUTH JUNCTION</t>
  </si>
  <si>
    <t>COLSH CONSULTANTS LLC</t>
  </si>
  <si>
    <t>BUSINESS SYSTEMS ANALYST</t>
  </si>
  <si>
    <t>="Master’s degree in Science, Technology, Engineering, or any related field is required. Bachelor’s degree in the above fields along with 5 years of experience in job offered or related occupation is acceptable in lieu of Master’s degree. Any suitable com</t>
  </si>
  <si>
    <t>VICE PRESIDENT OF HUMAN RESOURCES</t>
  </si>
  <si>
    <t>Ruth</t>
  </si>
  <si>
    <t>PO Box 1000</t>
  </si>
  <si>
    <t>Manchester</t>
  </si>
  <si>
    <t>jwilson@goffwilson.com</t>
  </si>
  <si>
    <t>PRAVEEN KUMAR</t>
  </si>
  <si>
    <t>Spaulding</t>
  </si>
  <si>
    <t>P.O. Box 189</t>
  </si>
  <si>
    <t>SLS Fisheries INC</t>
  </si>
  <si>
    <t>114 N Casterline Dr</t>
  </si>
  <si>
    <t>Foulton</t>
  </si>
  <si>
    <t>P-100-21127-296473</t>
  </si>
  <si>
    <t>GARIMA</t>
  </si>
  <si>
    <t>GEO HEAD HR – NORTH AMERICA</t>
  </si>
  <si>
    <t>2055 LAURELWOOD ROAD, SUITE #210</t>
  </si>
  <si>
    <t>IMMIGRATION@PERSISTENT.COM</t>
  </si>
  <si>
    <t>PERSISTENT SYSTEMS INC.</t>
  </si>
  <si>
    <t>2055 LAURELWOOD ROAD, SUITE # 210</t>
  </si>
  <si>
    <t>Associate Vice President</t>
  </si>
  <si>
    <t>Business Administration, Management, Engineering (Any), MIS or any related field.</t>
  </si>
  <si>
    <t xml:space="preserve">Required travel to various client sites throughout the USA. </t>
  </si>
  <si>
    <t>2055 Laurelwood Rd, Suite # 210</t>
  </si>
  <si>
    <t>P-100-21176-425744</t>
  </si>
  <si>
    <t>Calvert</t>
  </si>
  <si>
    <t>Senior Manager Human Resources</t>
  </si>
  <si>
    <t>4717 Grand Avenue</t>
  </si>
  <si>
    <t>ccalvert@lindt.com</t>
  </si>
  <si>
    <t xml:space="preserve">Lindt &amp; Sprüngli (North America) Inc. </t>
  </si>
  <si>
    <t>SAP FICO and BPC Solution Architect</t>
  </si>
  <si>
    <t>Computer Science, Engineering, Computer Information Systems, Business, or a closely-related degree</t>
  </si>
  <si>
    <t>="6 years of experience in SAP FICO in S/4 HANA or ECC environment.  Demonstrated knowledge and understanding of end to end business processes: Procure-to-Pay and Order-to-Cash.  Demonstrated experience in Finance areas of SAP including General Ledger Acc</t>
  </si>
  <si>
    <t>Vice President of Information Technology</t>
  </si>
  <si>
    <t>P-100-21166-398507</t>
  </si>
  <si>
    <t>DeKruyff</t>
  </si>
  <si>
    <t>Gerardo</t>
  </si>
  <si>
    <t>Owner &amp; Manager</t>
  </si>
  <si>
    <t>2212 E MLK Jr Blvd</t>
  </si>
  <si>
    <t>dekruyff@gmal.com</t>
  </si>
  <si>
    <t>Juan DeKruyff PLLC</t>
  </si>
  <si>
    <t>Law Office of Juan DeKruyff</t>
  </si>
  <si>
    <t>Lawyer</t>
  </si>
  <si>
    <t>Juris Doctor from a U.S. Law School.</t>
  </si>
  <si>
    <t>Law.</t>
  </si>
  <si>
    <t xml:space="preserve">Owner &amp; Manager </t>
  </si>
  <si>
    <t>Legal Secretaries</t>
  </si>
  <si>
    <t>P-100-21139-324993</t>
  </si>
  <si>
    <t>KOTHAKONDA</t>
  </si>
  <si>
    <t xml:space="preserve">COMPUTER SCIENCE, TECHNOLOGY, MANAGEMENT INFORMATION SYSTEM, BUSINESS ADMINISTRATION, COMMERCE, FINANCE OR RELATED FIELD.
</t>
  </si>
  <si>
    <t xml:space="preserve">MAY TRAVEL TO VARIOUS CLIENT LOCATIONS THROUGHOUT THE UNITED STATES WITH EXPENSES PAID BY THE EMPLOYER.
</t>
  </si>
  <si>
    <t>SUITE # 200</t>
  </si>
  <si>
    <t>Farooq</t>
  </si>
  <si>
    <t xml:space="preserve">Lewisville </t>
  </si>
  <si>
    <t>P-400-21145-341798</t>
  </si>
  <si>
    <t>Espinoza</t>
  </si>
  <si>
    <t>2200 Proctor Rd</t>
  </si>
  <si>
    <t>aespinoza@rrchristo.com</t>
  </si>
  <si>
    <t>R&amp;R Christo Construction LLC</t>
  </si>
  <si>
    <t>Installation Helper</t>
  </si>
  <si>
    <t>="Must be able to lift and carry 75 pounds for 75 yards. Workers will work on their feet, in bent, stooped, and crouched positions and on ladders up to 10 feet in height for a long period of time. Employees must be able to lift and carry materials or equi</t>
  </si>
  <si>
    <t>Travel to various worksites within area of intended employment required. Transportation to and from all worksites provided by Employer at no cost.</t>
  </si>
  <si>
    <t>1419 480th St</t>
  </si>
  <si>
    <t>Rembrandt</t>
  </si>
  <si>
    <t xml:space="preserve">Fletcher Tilton, P.C. </t>
  </si>
  <si>
    <t>Electrical Engineering, Computer Engineering, Computer Science or related field</t>
  </si>
  <si>
    <t>3075 West Ray Road</t>
  </si>
  <si>
    <t>ELECTRICAL ENGINEERING</t>
  </si>
  <si>
    <t>P-400-21146-346681</t>
  </si>
  <si>
    <t>922 23rd St SW</t>
  </si>
  <si>
    <t>Kevin@advantagervs.com</t>
  </si>
  <si>
    <t>Aero Trailers, LLC</t>
  </si>
  <si>
    <t>Manufacturing Manager</t>
  </si>
  <si>
    <t>3903 9th Avenue SW</t>
  </si>
  <si>
    <t>1125 17TH ST</t>
  </si>
  <si>
    <t>SUITE 2400</t>
  </si>
  <si>
    <t>FISHER &amp; PHILLIPS LLP</t>
  </si>
  <si>
    <t>Zhong</t>
  </si>
  <si>
    <t>P-100-21133-312144</t>
  </si>
  <si>
    <t>SAGI</t>
  </si>
  <si>
    <t>BHARAT VARMA</t>
  </si>
  <si>
    <t>17218 Preston Rd</t>
  </si>
  <si>
    <t>STE 4300</t>
  </si>
  <si>
    <t>vsagi@itcrats.com</t>
  </si>
  <si>
    <t>IT CRATS INC</t>
  </si>
  <si>
    <t xml:space="preserve">Software Application Developer </t>
  </si>
  <si>
    <t>Computer Science, Electrical, Electronics, Information Technology or related field.</t>
  </si>
  <si>
    <t>17218 Preston Road, Suite 4300</t>
  </si>
  <si>
    <t>P-400-21154-366386</t>
  </si>
  <si>
    <t>2319 NORTH ROOSEVELT BLVD</t>
  </si>
  <si>
    <t>BANANA LLC</t>
  </si>
  <si>
    <t>THE CAPITANA RESORT</t>
  </si>
  <si>
    <t>or its foreign equivalent, in Physical Therapy, Physiotherapy, or a closely related PT field.</t>
  </si>
  <si>
    <t>3481 Declaration Boulevard</t>
  </si>
  <si>
    <t>P-400-21147-351208</t>
  </si>
  <si>
    <t>Mendelson</t>
  </si>
  <si>
    <t>Ronne</t>
  </si>
  <si>
    <t>2505 E Belt Line Rd.</t>
  </si>
  <si>
    <t>Pretzels, Inc.</t>
  </si>
  <si>
    <t>Texas Twist</t>
  </si>
  <si>
    <t>2305 E Belt Line Rd.</t>
  </si>
  <si>
    <t>="- The ability to quickly move your hand, your hand together with your arm, or your two hands to grasp, manipulate, or assemble objects. 
-  The ability to exert maximum muscle force to lift, push, pull, or carry objects. 
-  The ability to use your ab</t>
  </si>
  <si>
    <t>Helper-Production worker</t>
  </si>
  <si>
    <t>PAWANKUMAR</t>
  </si>
  <si>
    <t>8951 COLLIN MCKINNEY PKWY</t>
  </si>
  <si>
    <t>SUITE # 402</t>
  </si>
  <si>
    <t>SAP LE/WM/MM Consultant</t>
  </si>
  <si>
    <t>COMPUTER SCIENCE RELATED</t>
  </si>
  <si>
    <t>P-400-21145-340419</t>
  </si>
  <si>
    <t>3849 PARKWAY</t>
  </si>
  <si>
    <t>P-100-21165-393268</t>
  </si>
  <si>
    <t>Fuciarelli</t>
  </si>
  <si>
    <t xml:space="preserve">Global Mobility Service Center Supervisor </t>
  </si>
  <si>
    <t>2000 St. James Place</t>
  </si>
  <si>
    <t>Weatherford International, LLC</t>
  </si>
  <si>
    <t xml:space="preserve">Geological Technician (Wireline) </t>
  </si>
  <si>
    <t>Engineering (any field)</t>
  </si>
  <si>
    <t>="MINIMUM Education Requirement and Experience Requirement: Bachelor’s degree in Engineering (any field) or related field of study AND Two (2) Years of experience in  the job offered or related occupation.
Applicants must have demonstrated experience wit</t>
  </si>
  <si>
    <t>7500 Benbrook Pkwy</t>
  </si>
  <si>
    <t>Benbrook</t>
  </si>
  <si>
    <t>P-400-21140-331635</t>
  </si>
  <si>
    <t>123 Farm House Road</t>
  </si>
  <si>
    <t>rick@wfatrees.com</t>
  </si>
  <si>
    <t>Williams Forestry and Associates LLC</t>
  </si>
  <si>
    <t>Mckayla</t>
  </si>
  <si>
    <t>Mickey@laborci.com</t>
  </si>
  <si>
    <t>Transport provided, designated locale to job site. Begin in Columbia County, PA. Continue in States: FL, GA, IL, IN, KY, MA, MD, NC, NJ, NY, OH, PA, SC, TN, WV.</t>
  </si>
  <si>
    <t>673 N. State St. (Report to Work)</t>
  </si>
  <si>
    <t>Millville</t>
  </si>
  <si>
    <t xml:space="preserve">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The wage entered in item F.4 reflects the area of intended employment entered in E.c.4 and E.c.5.
</t>
  </si>
  <si>
    <t>Managing Dentist</t>
  </si>
  <si>
    <t>P-100-21154-367847</t>
  </si>
  <si>
    <t>Industrial Engineering, Material Science &amp;/or Engineering, Electrical/Mechanical/Chemical Engineering or related Science or Engineering Discipline</t>
  </si>
  <si>
    <t>1600 Rio Rancho Blvd SE</t>
  </si>
  <si>
    <t>Rio Rancho</t>
  </si>
  <si>
    <t>EL PASO</t>
  </si>
  <si>
    <t>SUITE 125</t>
  </si>
  <si>
    <t>Pham</t>
  </si>
  <si>
    <t>SARA</t>
  </si>
  <si>
    <t>P-100-21139-327479</t>
  </si>
  <si>
    <t>="SKILLS REQUIRED: JAVASCRIPT, HTML, CSS, REACT JS, REDUX, ANGULAR, JSON, NODE JS, AND JIRA. MASTER’S DEGREE IN SCIENCE, TECHNOLOGY, ENGINEERING, OR ANY RELATED FIELD WITH 6 MONTHS OF EXPERIENCE IN THE JOB OFFERED OR RELATED OCCUPATION IS REQUIRED. BACHEL</t>
  </si>
  <si>
    <t>COMPUTER SYSTEMS ENGINEER</t>
  </si>
  <si>
    <t>Falk</t>
  </si>
  <si>
    <t>Lisha</t>
  </si>
  <si>
    <t>VP of Contracting &amp; Assistant Corporate Secretary</t>
  </si>
  <si>
    <t>200 Corporate Boulevard</t>
  </si>
  <si>
    <t>Lisha_falk@scp-health.com</t>
  </si>
  <si>
    <t>National Hospitalist Services, PC</t>
  </si>
  <si>
    <t>Hon-Vinh</t>
  </si>
  <si>
    <t>Quang</t>
  </si>
  <si>
    <t>511 Union Street</t>
  </si>
  <si>
    <t>flag@wallerlaw.com</t>
  </si>
  <si>
    <t>Waller Lansden Dortch &amp; Davis, LLP</t>
  </si>
  <si>
    <t>1331 State Street</t>
  </si>
  <si>
    <t>La Porte</t>
  </si>
  <si>
    <t>P-400-21133-311753</t>
  </si>
  <si>
    <t>YANDELL</t>
  </si>
  <si>
    <t>4175 OLD MEDINA RD</t>
  </si>
  <si>
    <t>lee@yandellconstruction.com</t>
  </si>
  <si>
    <t>YANDELL FARMS</t>
  </si>
  <si>
    <t>Qing</t>
  </si>
  <si>
    <t>Cremeans</t>
  </si>
  <si>
    <t>Jaimie</t>
  </si>
  <si>
    <t>1600 Arch Street</t>
  </si>
  <si>
    <t>jaimie.cremeans@ringcentral.com</t>
  </si>
  <si>
    <t>RingCentral, Inc.</t>
  </si>
  <si>
    <t>20 Davis Drive</t>
  </si>
  <si>
    <t>P-100-21168-406871</t>
  </si>
  <si>
    <t>3950 Austell Road</t>
  </si>
  <si>
    <t>Austell</t>
  </si>
  <si>
    <t>McCrummen Immigration Law Group, LLC</t>
  </si>
  <si>
    <t>McCrummen</t>
  </si>
  <si>
    <t>Associate Immigration Attorney</t>
  </si>
  <si>
    <t>CS, CIS, MIS, Engineering (Any), or any related field.</t>
  </si>
  <si>
    <t>P-400-21137-319717</t>
  </si>
  <si>
    <t xml:space="preserve"> McDaniel</t>
  </si>
  <si>
    <t>670 Delwick Dr.</t>
  </si>
  <si>
    <t>cmcd@mcdconcrete.com</t>
  </si>
  <si>
    <t>McD Concrete Enterprises, LLC</t>
  </si>
  <si>
    <t>HELPERS - CONSTUCTION WORKERS</t>
  </si>
  <si>
    <t>670 DELWICK DRIVE</t>
  </si>
  <si>
    <t xml:space="preserve">ERLANGER </t>
  </si>
  <si>
    <t>Divinity, Theology or its Equivalent</t>
  </si>
  <si>
    <t>Sa Jose</t>
  </si>
  <si>
    <t>P-100-21134-314264</t>
  </si>
  <si>
    <t>="Bachelor's degree (or foreign equivalent) in Business Administration, any STEM field, or a related field
and one (1) year of related work experience in the job offered or in a related occupation. Must also have
one (1) year of related work experience in</t>
  </si>
  <si>
    <t>Merrill</t>
  </si>
  <si>
    <t>Clara</t>
  </si>
  <si>
    <t>Analytics Developer</t>
  </si>
  <si>
    <t xml:space="preserve">Computer Science, Information Technology, Information Systems  or related field or foreign equivalent. </t>
  </si>
  <si>
    <t>P-400-21137-320401</t>
  </si>
  <si>
    <t>4149 COUNTRY CLUB ROAD</t>
  </si>
  <si>
    <t>CASPER</t>
  </si>
  <si>
    <t>not applicable</t>
  </si>
  <si>
    <t>P-100-21134-313969</t>
  </si>
  <si>
    <t>30300 AGOURA ROAD, STE. B-100</t>
  </si>
  <si>
    <t>AGOURA HILL</t>
  </si>
  <si>
    <t>30% DOMESTIC TRAVEL</t>
  </si>
  <si>
    <t>P-100-21138-323423</t>
  </si>
  <si>
    <t>Karpos International Inc.</t>
  </si>
  <si>
    <t>Ricca Children's Learning Center</t>
  </si>
  <si>
    <t>1510 Brookhollow Drive</t>
  </si>
  <si>
    <t>P-400-21127-294867</t>
  </si>
  <si>
    <t>Buie</t>
  </si>
  <si>
    <t>Sharisse</t>
  </si>
  <si>
    <t>Manager/Parent</t>
  </si>
  <si>
    <t xml:space="preserve">14903 Hopedale Court </t>
  </si>
  <si>
    <t xml:space="preserve">Upper Marlboro </t>
  </si>
  <si>
    <t>mdnannyservices@gmail.com</t>
  </si>
  <si>
    <t>Sharisse Buie</t>
  </si>
  <si>
    <t>Washington-Arlington-Alexandria, DC-VA-MD-WV</t>
  </si>
  <si>
    <t>Product Developer</t>
  </si>
  <si>
    <t>Product Development Manager</t>
  </si>
  <si>
    <t>P-200-21142-335922</t>
  </si>
  <si>
    <t>40 Wall Street, 28th Floor</t>
  </si>
  <si>
    <t>Public Relations Speicalist</t>
  </si>
  <si>
    <t>P-400-21133-311215</t>
  </si>
  <si>
    <t>Strickland</t>
  </si>
  <si>
    <t>551 W. Main St.</t>
  </si>
  <si>
    <t>Brawley</t>
  </si>
  <si>
    <t>ks@fivecrowns.com</t>
  </si>
  <si>
    <t>FC Trucking Co., LLC</t>
  </si>
  <si>
    <t>Truck Driver - Produce</t>
  </si>
  <si>
    <t>The employee will travel during his job, as he or she will be hauling freight from one place to the other.
He would be constantly in movement, but have his base located in Brawley California. Once done with the job he/she would return to Brawley together with the truck.</t>
  </si>
  <si>
    <t xml:space="preserve">Brawley </t>
  </si>
  <si>
    <t>P-100-21131-303739</t>
  </si>
  <si>
    <t>Newlin</t>
  </si>
  <si>
    <t>Global Recruitment Manager</t>
  </si>
  <si>
    <t>204 E Court St</t>
  </si>
  <si>
    <t>Beloit</t>
  </si>
  <si>
    <t>Central Valley Ag Cooperative</t>
  </si>
  <si>
    <t>2803 N Nebraska</t>
  </si>
  <si>
    <t>P.O. Box 429</t>
  </si>
  <si>
    <t>van Tonder</t>
  </si>
  <si>
    <t>Heleen</t>
  </si>
  <si>
    <t>635 Wall Street</t>
  </si>
  <si>
    <t>heleen@mygoldenteam.com</t>
  </si>
  <si>
    <t>Golden Opportunities Int. LLC</t>
  </si>
  <si>
    <t>Operations (DOT)</t>
  </si>
  <si>
    <t>Location Manager</t>
  </si>
  <si>
    <t>P-400-21126-293105</t>
  </si>
  <si>
    <t>Shivam</t>
  </si>
  <si>
    <t>75 Sitting Bull Rd</t>
  </si>
  <si>
    <t>Big Sky</t>
  </si>
  <si>
    <t>Shivam.patel@kmiwy.com</t>
  </si>
  <si>
    <t>Lone Peak Management, LLC</t>
  </si>
  <si>
    <t>The Lodge at Big Sky</t>
  </si>
  <si>
    <t>P.O. Box 160938</t>
  </si>
  <si>
    <t>Raval</t>
  </si>
  <si>
    <t>Jyoti</t>
  </si>
  <si>
    <t>2201 Main Street</t>
  </si>
  <si>
    <t>jraval@extendedcarellc.com</t>
  </si>
  <si>
    <t xml:space="preserve">DIRECTOR OF NURSING </t>
  </si>
  <si>
    <t>P-100-21137-319402</t>
  </si>
  <si>
    <t>SUMMITWORKS TECHNOLOGIES, INC</t>
  </si>
  <si>
    <t>SUITE 113</t>
  </si>
  <si>
    <t>SUITE 113 AND VARIOUS UNANTICIPATED LOCATIONS THROUGHOUT THE U.S.</t>
  </si>
  <si>
    <t>SCIENCE, TECHNOLOGY, ENGINEERING , OR ANY RELATED FIELD.</t>
  </si>
  <si>
    <t>Principal Scientist</t>
  </si>
  <si>
    <t>390 5th Avenue</t>
  </si>
  <si>
    <t>2907 Central Avenue, 109</t>
  </si>
  <si>
    <t>410 West 10th Avenue</t>
  </si>
  <si>
    <t>P-100-21127-297826</t>
  </si>
  <si>
    <t>AVP Human Resources</t>
  </si>
  <si>
    <t>601 6th Ave.</t>
  </si>
  <si>
    <t>emily.stevens@americanenterprise.com</t>
  </si>
  <si>
    <t>American Enterprise Services Company</t>
  </si>
  <si>
    <t>Computer Science, Software Engineering, Management Information Systems, or related field</t>
  </si>
  <si>
    <t>="Experience to include 5 years with: analyzing user needs and software requirements; defining application architecture and functionality; designing, developing, modifying, and testing applications.  Experience to also include 2 years with: database desig</t>
  </si>
  <si>
    <t>P-400-21142-336093</t>
  </si>
  <si>
    <t>123 HIGHWAY 81 NE</t>
  </si>
  <si>
    <t>HILLSBORO</t>
  </si>
  <si>
    <t>Cara</t>
  </si>
  <si>
    <t>SAMUDRALA</t>
  </si>
  <si>
    <t>TOKUTAKE</t>
  </si>
  <si>
    <t>Tadashi</t>
  </si>
  <si>
    <t>ttokutake@hls-global.com</t>
  </si>
  <si>
    <t>Hotta Liesenberg Saito LLP</t>
  </si>
  <si>
    <t>970 W. 190th Street</t>
  </si>
  <si>
    <t>795 Folsom Street</t>
  </si>
  <si>
    <t>Castaneda</t>
  </si>
  <si>
    <t>Crew Lead</t>
  </si>
  <si>
    <t>P-400-21137-317268</t>
  </si>
  <si>
    <t>STINSON</t>
  </si>
  <si>
    <t>PRESIDENT/OWNER</t>
  </si>
  <si>
    <t>4531 DE BELLO RD</t>
  </si>
  <si>
    <t>MANVEL</t>
  </si>
  <si>
    <t>asphalt.maintenance@yahoo.com</t>
  </si>
  <si>
    <t>ASPHALT MAINTENANCE INC.</t>
  </si>
  <si>
    <t>P.O.BOX 2617</t>
  </si>
  <si>
    <t>TITUS</t>
  </si>
  <si>
    <t>EDDISON</t>
  </si>
  <si>
    <t>13501 KATY FREEWAY</t>
  </si>
  <si>
    <t>isot2k20@gmail.com</t>
  </si>
  <si>
    <t>d/b/a Immigration Services of Texas</t>
  </si>
  <si>
    <t>PAVING SURFACING, AND TAMPING EQUIPMENT OPERATORS</t>
  </si>
  <si>
    <t xml:space="preserve">="operating controlling machines and processes 
operating vehicles, mechanized decvices, or equipment
cordination, handling and moving objects.
performing general and physical activities
spread concreate or other aggregate mixtures
direct construction or </t>
  </si>
  <si>
    <t xml:space="preserve">Houston, Harris county, Fort bend County, and all work related county of State of Texas </t>
  </si>
  <si>
    <t>4351 Del Bello Rd</t>
  </si>
  <si>
    <t>Manvel</t>
  </si>
  <si>
    <t>P-400-21146-344171</t>
  </si>
  <si>
    <t>San Miguel</t>
  </si>
  <si>
    <t>Eddie</t>
  </si>
  <si>
    <t>5195 Jimmy Carter Blvd</t>
  </si>
  <si>
    <t>info@gmintern.com</t>
  </si>
  <si>
    <t>E.F.S., Inc.</t>
  </si>
  <si>
    <t>Engineered Fabric Specialist</t>
  </si>
  <si>
    <t>6770 Buford Highway</t>
  </si>
  <si>
    <t xml:space="preserve">Travel to perform duties at worksite in various counties throughout the State of Georgia. Transportation will be provided by the employer from principal office to the worksite and return transportation to the principal office. Some travel is required out of town with per diem and hotel provided by employer. </t>
  </si>
  <si>
    <t>P-400-21154-366581</t>
  </si>
  <si>
    <t>CHRISTY</t>
  </si>
  <si>
    <t>11212 Front Beach Rd</t>
  </si>
  <si>
    <t>PANAMA CITY BEACH</t>
  </si>
  <si>
    <t>cmsmith@resortcollection.com</t>
  </si>
  <si>
    <t>EDGEWATER BEACH RESORT MANAGEMENT INC</t>
  </si>
  <si>
    <t>RESORT COLLECTION</t>
  </si>
  <si>
    <t>11212 FRONT BEACH RD</t>
  </si>
  <si>
    <t>LAUNDRY ATTENDANT</t>
  </si>
  <si>
    <t>Panama City, FL</t>
  </si>
  <si>
    <t>P-100-21132-307060</t>
  </si>
  <si>
    <t xml:space="preserve">Germinario </t>
  </si>
  <si>
    <t>One Liberty Plaza, 165 Broadway</t>
  </si>
  <si>
    <t>John.Germinario@avonusa.com</t>
  </si>
  <si>
    <t>The Avon Company</t>
  </si>
  <si>
    <t>lesterpwd@fragomen.com</t>
  </si>
  <si>
    <t>Computer Science, Computer Engineering, Electronic Engineering or a directly related field</t>
  </si>
  <si>
    <t>="Eight (8) years in the following (experience may be gained concurrently): 
-	Experience on SQL structure: Oracle and Microsoft SQL; 
Five (5) years in the following (experience may be gained concurrently): 
-	Experience in the following platforms: Java</t>
  </si>
  <si>
    <t>Vice President, Information Technology</t>
  </si>
  <si>
    <t>425 County Rd 39</t>
  </si>
  <si>
    <t>Southampton</t>
  </si>
  <si>
    <t>FISHERBROYLES, LLP</t>
  </si>
  <si>
    <t>HUMAN RESOURCES DIRECTOR</t>
  </si>
  <si>
    <t>1999 Avenue of the Stars</t>
  </si>
  <si>
    <t xml:space="preserve">75 Binney Street </t>
  </si>
  <si>
    <t>Twinsburg</t>
  </si>
  <si>
    <t>HYKEL</t>
  </si>
  <si>
    <t>1500 JFK BLVD.- 2 PENN CTR., SUITE 1025</t>
  </si>
  <si>
    <t>JHYKEL@AOL.COM</t>
  </si>
  <si>
    <t>BOOKKEEPER</t>
  </si>
  <si>
    <t>P-400-21126-292944</t>
  </si>
  <si>
    <t>2890 S Academy Blvd</t>
  </si>
  <si>
    <t>gloriavargas1006@gmail.com</t>
  </si>
  <si>
    <t>Valodi, Inc</t>
  </si>
  <si>
    <t>Super Taco - Colorado Springs</t>
  </si>
  <si>
    <t>P-400-21130-300098</t>
  </si>
  <si>
    <t>Ida</t>
  </si>
  <si>
    <t>8776 N. 107th St</t>
  </si>
  <si>
    <t>marty@greenspotinc.com</t>
  </si>
  <si>
    <t>Green Spot Inc.</t>
  </si>
  <si>
    <t>Boulder, CO</t>
  </si>
  <si>
    <t>P-400-21131-302924</t>
  </si>
  <si>
    <t>5809 Old Pineville Rd.</t>
  </si>
  <si>
    <t>Mailing: 280 Ervin Woods Dr. , Kannapolis, NC 28081</t>
  </si>
  <si>
    <t>South Charlotte Landscape Management, Inc.</t>
  </si>
  <si>
    <t>dba US Lawns of Rock Hill</t>
  </si>
  <si>
    <t xml:space="preserve">="Must lift/carry 50 lbs., when necessary.  Saturday work required, when necessary.  Employer-paid drug testing required of foreign and domestic workers prior to commencing work and post-hire at random, upon suspicion of use, and post-accident. Post-hire </t>
  </si>
  <si>
    <t>501 N Anderson Rd</t>
  </si>
  <si>
    <t>Patterson</t>
  </si>
  <si>
    <t>P-100-21173-419690</t>
  </si>
  <si>
    <t>1107 Hazeltine Blvd</t>
  </si>
  <si>
    <t>Chaska</t>
  </si>
  <si>
    <t>sreiter@thegoodmangroup.com</t>
  </si>
  <si>
    <t>Medinvest Company Limited Partnership</t>
  </si>
  <si>
    <t>Sabal Palms Health Care Center</t>
  </si>
  <si>
    <t>1107 Hazeltine Boulevard</t>
  </si>
  <si>
    <t>Acoba</t>
  </si>
  <si>
    <t>1 Carlina</t>
  </si>
  <si>
    <t>visas@acobalaw.com</t>
  </si>
  <si>
    <t>Law Office of James D. Acoba</t>
  </si>
  <si>
    <t>499 ALTERNATE KEENE ROAD</t>
  </si>
  <si>
    <t>LARGO</t>
  </si>
  <si>
    <t>Computer Science, or related</t>
  </si>
  <si>
    <t>Huntersville</t>
  </si>
  <si>
    <t>Matt</t>
  </si>
  <si>
    <t>P-400-21142-336096</t>
  </si>
  <si>
    <t>LIFT OPERATOR</t>
  </si>
  <si>
    <t>Northeast Minnesota nonmetropolitan area</t>
  </si>
  <si>
    <t>P-400-21154-367155</t>
  </si>
  <si>
    <t>="The Petitioner will consider for employment any person who possesses at least two (2) years of Sous Chef experience in a fine-dining or high-volume environment at a high-end restaurant, resort, or private club.  Applicant must complete pre-employment ba</t>
  </si>
  <si>
    <t>P-400-21138-323325</t>
  </si>
  <si>
    <t>Arrant</t>
  </si>
  <si>
    <t>Byron</t>
  </si>
  <si>
    <t>3935 Ryan Street</t>
  </si>
  <si>
    <t>sarrant@bigeasyfoods.com</t>
  </si>
  <si>
    <t>Big Easy Foods of Louisiana, LLC</t>
  </si>
  <si>
    <t>Big Easy Foods</t>
  </si>
  <si>
    <t xml:space="preserve">Meat and Popper Preparer </t>
  </si>
  <si>
    <t>P-100-21127-297383</t>
  </si>
  <si>
    <t>Roskom</t>
  </si>
  <si>
    <t xml:space="preserve">Computer Science, Engineering (any), or a directly related field </t>
  </si>
  <si>
    <t>P-400-21123-282340</t>
  </si>
  <si>
    <t>3877 U.S. Route 6</t>
  </si>
  <si>
    <t>Georgetown</t>
  </si>
  <si>
    <t>Denver-Aurora-Lakewood, CO</t>
  </si>
  <si>
    <t>Fountaine</t>
  </si>
  <si>
    <t>P-400-21139-326905</t>
  </si>
  <si>
    <t>Efrain</t>
  </si>
  <si>
    <t>138 Fairhill Rd</t>
  </si>
  <si>
    <t>Heath Springs</t>
  </si>
  <si>
    <t>jjpineneedles@gmail.com</t>
  </si>
  <si>
    <t xml:space="preserve">J &amp; J PINE NEEDLES, LLC </t>
  </si>
  <si>
    <t>Pine Straw Gatherer</t>
  </si>
  <si>
    <t>="PROLONGED WALKING, STANDING, BENDING, STOOPING, AND REACHING. ALL WORK IS PERFORMED OUTDOORS IN THE FOREST DURING ALL TYPES OF WEATHER
CONDITIONS. WORKERS MAY BE REQUESTED TO SUBMIT TO RANDOM DRUG OR ALCOHOL TESTS AT NO COST TO THE WORKER. FAILURE TO CO</t>
  </si>
  <si>
    <t>243 Spencer Rd</t>
  </si>
  <si>
    <t>Bamberg</t>
  </si>
  <si>
    <t>Lower Savannah South Carolina nonmetropolitan area</t>
  </si>
  <si>
    <t>P-400-21137-319422</t>
  </si>
  <si>
    <t>Nunley</t>
  </si>
  <si>
    <t>4059 Sunshine Ridge Ct.</t>
  </si>
  <si>
    <t>Molino</t>
  </si>
  <si>
    <t>amber@laborci.com</t>
  </si>
  <si>
    <t>E.H. CONTRACTING SERVICES, LLC</t>
  </si>
  <si>
    <t>HODGSON</t>
  </si>
  <si>
    <t>AMBER</t>
  </si>
  <si>
    <t>SUITE B.</t>
  </si>
  <si>
    <t>COEUR D'ALENE</t>
  </si>
  <si>
    <t>="Must be 18 due to travel. Must show proof of legal authority to work in the U.S. Drug/Alcohol/Tobacco free work zone. Must walk substantially (up to 15 miles/day), also stoop, bend while carrying a pack (up to 50lbs) thru rough terrain (non-trail). No m</t>
  </si>
  <si>
    <t xml:space="preserve">Begin; Albuquerque, Bernalillo County, NM 87107. Provided daily transportation to and from the worksite. Continue into various counties within the States of AL, AR, AZ, CA, CO, FL, GA, ID, LA, MS, MT, ND, NM, NV, SD, TN, TX, UT, WY. 
***TENTATIVE ITINERARY***	TEMPORARY FORESTRY WORKERS (SPECIAL PROCEDURES TEGL 27-06) PLEASE NOTE FOR FUTURE FORM ETA 9142-B APPLICATION:
A master application may be filed when all starting locations in the itinerary begin in one ETA Region and consists of crews working for only one employer and the total range of crews’ start dates cannot be greater than 14 days. The employer may file a master application when an itinerary involves states in separated geographic areas as long as these states are connective states. The ETA must be filed in the itinerary’s starting state. The itinerary is titled tentative since this occupation is weather dependent; precise dates, subsequent locations, and contracts may not be defined at the time of placing the job order. The itinerary includes the known minimum wages standards in specific states which might differ (be higher than) from the issued Prevailing Wage Determination. The employer has listed the most specific location possible; requesting the entire BLS area listed on the certification as forested lands do not have distinct town, city, or county lines.
</t>
  </si>
  <si>
    <t>5300 2nd Street NW (report to work)</t>
  </si>
  <si>
    <t xml:space="preserve">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The wage entered in item G.7 reflects the area of intended employment entered in F.e.4 and F.e.5.
This forestry prevailing wage determination does not include cutting mature trees. </t>
  </si>
  <si>
    <t>Suite 152</t>
  </si>
  <si>
    <t>900 Circle 75 Pkwy</t>
  </si>
  <si>
    <t>3296 Summit Ridge Pkwy</t>
  </si>
  <si>
    <t xml:space="preserve">1600 Duane Avenue </t>
  </si>
  <si>
    <t>4110 CONTINENTAL DRIVE</t>
  </si>
  <si>
    <t>OAKWOOD</t>
  </si>
  <si>
    <t>P-100-21168-407511</t>
  </si>
  <si>
    <t>="This position also requires Education or Experience in: Azure; CI/CD (Continuous Integration/Continuous Delivery); Data Warehousing; ETL; Managing software or business processes for operations, systems, projects, tools or policies; SQL and/or T-SQL; and</t>
  </si>
  <si>
    <t>P-100-21139-328138</t>
  </si>
  <si>
    <t>521 5th Avenue</t>
  </si>
  <si>
    <t>ada@adatorreslaw.com</t>
  </si>
  <si>
    <t>Mortgage Industry Advisory Corporation</t>
  </si>
  <si>
    <t>MIAC Analytics</t>
  </si>
  <si>
    <t>Ada</t>
  </si>
  <si>
    <t>Lil</t>
  </si>
  <si>
    <t>77 Hudson Street</t>
  </si>
  <si>
    <t>Law Office of Ada Lil Torres</t>
  </si>
  <si>
    <t>Computer Science, Engineering, Math</t>
  </si>
  <si>
    <t>Director- IT</t>
  </si>
  <si>
    <t>P-400-21147-351553</t>
  </si>
  <si>
    <t>KESHET</t>
  </si>
  <si>
    <t>AVI</t>
  </si>
  <si>
    <t>8 JULIET LANE</t>
  </si>
  <si>
    <t>CONTEMPORARY STONESCAPES LTD</t>
  </si>
  <si>
    <t xml:space="preserve">8 JULIET LANE </t>
  </si>
  <si>
    <t>LABORER, GENERAL</t>
  </si>
  <si>
    <t>Multiple sites in Nassau/Suffolk county</t>
  </si>
  <si>
    <t>P-400-21133-312283</t>
  </si>
  <si>
    <t>14250 S Redwood Rd</t>
  </si>
  <si>
    <t>Bluffdale</t>
  </si>
  <si>
    <t>kelli@millburnlandscape.com</t>
  </si>
  <si>
    <t>Millbatrim, LLC</t>
  </si>
  <si>
    <t>Millburn Lawn &amp; Landscape</t>
  </si>
  <si>
    <t>Landscape Installation Laborer</t>
  </si>
  <si>
    <t>TRANSPORTATION PROVIDED FROM CENTRAL LOCATION TO VARIOUS WORKSITES WITHIN THE INTENDED ARE OF EMPLOYMENT.</t>
  </si>
  <si>
    <t>14250 S. REDWOOD RD.</t>
  </si>
  <si>
    <t>BLUFFDALE</t>
  </si>
  <si>
    <t>Provo-Orem, UT</t>
  </si>
  <si>
    <t>P-100-21152-358053</t>
  </si>
  <si>
    <t>Leahy</t>
  </si>
  <si>
    <t>Director, Human Resources Business Partner</t>
  </si>
  <si>
    <t>mnleahy@flagshippioneering.com</t>
  </si>
  <si>
    <t>Generate Biomedicines, Inc</t>
  </si>
  <si>
    <t>26 Landsdowne Street</t>
  </si>
  <si>
    <t>Engineer I</t>
  </si>
  <si>
    <t>="-	Minimum 1 year experience working in the pharmaceutical or biotech domain
-	Minimum 1 year experience developing web applications for biological data analysis and data management using Python, JavaScript and Bootstrap 
-	Experience developing Laborato</t>
  </si>
  <si>
    <t>P-100-21125-288786</t>
  </si>
  <si>
    <t>Senior Software Test Automation</t>
  </si>
  <si>
    <t>Electronic Engineering</t>
  </si>
  <si>
    <t>540 West Madison</t>
  </si>
  <si>
    <t>47-2152.01</t>
  </si>
  <si>
    <t>ENCINO</t>
  </si>
  <si>
    <t>Esani</t>
  </si>
  <si>
    <t>1470 First Colony Blvd.</t>
  </si>
  <si>
    <t>Landscape laborer</t>
  </si>
  <si>
    <t xml:space="preserve">BUSINESS ANALYST </t>
  </si>
  <si>
    <t>P-400-21163-392727</t>
  </si>
  <si>
    <t>Munkdale</t>
  </si>
  <si>
    <t>Margrethe</t>
  </si>
  <si>
    <t>4104 24th Street</t>
  </si>
  <si>
    <t>Unit 701</t>
  </si>
  <si>
    <t>pmmunk314@yahoo.com</t>
  </si>
  <si>
    <t>Round Meadow Farm, LLC</t>
  </si>
  <si>
    <t>190 Park Lane</t>
  </si>
  <si>
    <t>Atherton</t>
  </si>
  <si>
    <t>TURNER</t>
  </si>
  <si>
    <t>P-400-21131-303856</t>
  </si>
  <si>
    <t>Carruth</t>
  </si>
  <si>
    <t>1028 Rio Grande</t>
  </si>
  <si>
    <t>ralphcarruth@yahoo.com</t>
  </si>
  <si>
    <t>Fierce Energy Services, LLC</t>
  </si>
  <si>
    <t>1332 SE 800</t>
  </si>
  <si>
    <t>Mondragon</t>
  </si>
  <si>
    <t xml:space="preserve">El Paso </t>
  </si>
  <si>
    <t>mondragonom@gmail.com</t>
  </si>
  <si>
    <t xml:space="preserve">Law Office of Orlando Mondragon </t>
  </si>
  <si>
    <t>Travel within the Odessa, Texas and Midland, Texas area, radius of 150 miles to oil sites</t>
  </si>
  <si>
    <t>1601 South Ursila</t>
  </si>
  <si>
    <t>Monahans</t>
  </si>
  <si>
    <t>West Texas Region of Texas nonmetropolitan area</t>
  </si>
  <si>
    <t>Valencia</t>
  </si>
  <si>
    <t>dcasey@balglobal.com</t>
  </si>
  <si>
    <t>P-100-21144-338983</t>
  </si>
  <si>
    <t>IPOLARITY LLC</t>
  </si>
  <si>
    <t>200 CENTENNIAL AVENUE</t>
  </si>
  <si>
    <t>SUITE # 204</t>
  </si>
  <si>
    <t>Suite # 204 &amp; Various unanticipated locations throughout the U.S.</t>
  </si>
  <si>
    <t xml:space="preserve">Heather </t>
  </si>
  <si>
    <t>MONTGOMERY</t>
  </si>
  <si>
    <t>P-400-21124-285821</t>
  </si>
  <si>
    <t>O'Hara</t>
  </si>
  <si>
    <t>1272 Generals Hwy.</t>
  </si>
  <si>
    <t>Crowsville</t>
  </si>
  <si>
    <t>Terrace Turf Lawn Service, Inc.</t>
  </si>
  <si>
    <t xml:space="preserve">M. </t>
  </si>
  <si>
    <t>Reliable Labor Services</t>
  </si>
  <si>
    <t>P-100-21131-302723</t>
  </si>
  <si>
    <t>Global Immigration Associate PC</t>
  </si>
  <si>
    <t>="Requires a Bachelor's degree in Business Analytics, Finance, Economics or a related field plus 10 years of experience managing pricing and packaging strategy and execution. Any experience with: various pricing models and strategies including SaaS, recur</t>
  </si>
  <si>
    <t>Weinberg</t>
  </si>
  <si>
    <t>D'Souza</t>
  </si>
  <si>
    <t>Fabian TW</t>
  </si>
  <si>
    <t>fabian.dsouza@bostonsp.com</t>
  </si>
  <si>
    <t>Boston Strategic Partners, Inc</t>
  </si>
  <si>
    <t>4 WELLINGTON STREET</t>
  </si>
  <si>
    <t>SUITE 3</t>
  </si>
  <si>
    <t>Andrea-Li</t>
  </si>
  <si>
    <t>andrea.wallace@goellaw.com</t>
  </si>
  <si>
    <t xml:space="preserve">Engagement Manager </t>
  </si>
  <si>
    <t>="Master’s degree or foreign equivalent degree in Healthcare, Public Health,  Biomedical Engineering, or similarly related field, plus 2 years of experience in the Job Offered, Healthcare Consultant or related occupation. The two years’ experience must in</t>
  </si>
  <si>
    <t xml:space="preserve">="Must be 18 due to equipment use. Must show proof of legal authorization to work in the United States. Drug/alcohol/tobacco free work zone. Perform physical activities such as: lift, balance, walk, stoop, handle, position, move, manipulate materials use </t>
  </si>
  <si>
    <t>333 Bridge Street NW</t>
  </si>
  <si>
    <t>kaclarke@varnumlaw.com</t>
  </si>
  <si>
    <t>P-400-21153-363177</t>
  </si>
  <si>
    <t>11202 Pradera Drive</t>
  </si>
  <si>
    <t>HBLT LLC</t>
  </si>
  <si>
    <t>11402 Pradera Drive</t>
  </si>
  <si>
    <t>Light Installer/Tree Trimmers Tech</t>
  </si>
  <si>
    <t>TRANSPORTATION PROVIDED TO/FROM AREA JOBSITES FROM A CENTRAL TRAVIS COUNTY LOCATION</t>
  </si>
  <si>
    <t>2408 Gardenia</t>
  </si>
  <si>
    <t>Austin-Round Rock, TX</t>
  </si>
  <si>
    <t>KESHISHIAN</t>
  </si>
  <si>
    <t>AROUSIAG</t>
  </si>
  <si>
    <t>ALYCE</t>
  </si>
  <si>
    <t>2929 ARCH STREET, CIRA CENTER</t>
  </si>
  <si>
    <t>AKESHISHIAN@AKESHLAW.COM</t>
  </si>
  <si>
    <t>THE MASTER CARPENTERS CORPORATION</t>
  </si>
  <si>
    <t>67 GARY AVENUE</t>
  </si>
  <si>
    <t>PENNS GROVE</t>
  </si>
  <si>
    <t>LAW OFFICE OF A ALYCE KESHISHI</t>
  </si>
  <si>
    <t>SUPERVISORS: MASTER CARPENTERS</t>
  </si>
  <si>
    <t>MEDARIS</t>
  </si>
  <si>
    <t>SR. SPECIALIST, HR OPERATIONS SUPPORT TEAM</t>
  </si>
  <si>
    <t>8515 EAST ORCHARD ROAD</t>
  </si>
  <si>
    <t xml:space="preserve">GREENWOOD VILLAGE </t>
  </si>
  <si>
    <t>TONY.MEDARIS@EMPOWER-RETIREMENT.COM</t>
  </si>
  <si>
    <t>GREAT WEST LIFE &amp; ANNUITY INSURANCE COMPANY</t>
  </si>
  <si>
    <t>EMPOWER RETIREMENT</t>
  </si>
  <si>
    <t>8515  EAST ORCHARD ROAD</t>
  </si>
  <si>
    <t>GREENWOOD VILLAGE</t>
  </si>
  <si>
    <t>OCHOA</t>
  </si>
  <si>
    <t>ANGELICA</t>
  </si>
  <si>
    <t>aochoa@fisherphillips.com</t>
  </si>
  <si>
    <t>8515 East Orchard Road</t>
  </si>
  <si>
    <t>*May work remotely from anywhere in the US</t>
  </si>
  <si>
    <t>Barnes</t>
  </si>
  <si>
    <t>Ahl</t>
  </si>
  <si>
    <t>32450 Hwy. 257</t>
  </si>
  <si>
    <t>office@laborsolutions-inc.com</t>
  </si>
  <si>
    <t>Labor Solutions, Inc.</t>
  </si>
  <si>
    <t>P-400-21147-349791</t>
  </si>
  <si>
    <t>1000 Broadway St</t>
  </si>
  <si>
    <t>deborah.davis@hrccincinnati.com</t>
  </si>
  <si>
    <t>Hard Rock Casino Cincinnati, LLC</t>
  </si>
  <si>
    <t xml:space="preserve">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The documentation provided with the requested CBA RFI is not acceptable, as the employer did not to submit the required CBA letter from the collective bargaining unit’s (union) authorized representative. Therefore, an OES wage is being issued. This determination does not change the employers obligation under the CBA.
</t>
  </si>
  <si>
    <t>Fort Defiance Indian Hospital Board</t>
  </si>
  <si>
    <t>Corner of Routes N12 &amp; N7</t>
  </si>
  <si>
    <t>Fort Defiance</t>
  </si>
  <si>
    <t>45-4011.00</t>
  </si>
  <si>
    <t>Carter</t>
  </si>
  <si>
    <t>P-400-21126-292546</t>
  </si>
  <si>
    <t>2100 N. BALTIMORE AVE.</t>
  </si>
  <si>
    <t>HR Office</t>
  </si>
  <si>
    <t>OCEAN CITY</t>
  </si>
  <si>
    <t>swilkins@sghoc.com</t>
  </si>
  <si>
    <t>Americana Stowaway Motel Inc</t>
  </si>
  <si>
    <t>Grand Hotel</t>
  </si>
  <si>
    <t xml:space="preserve">Room Attendant </t>
  </si>
  <si>
    <t>Room Attendant</t>
  </si>
  <si>
    <t>2100 Baltimore Ave</t>
  </si>
  <si>
    <t>P-400-21130-298493</t>
  </si>
  <si>
    <t>Sole Proprietor</t>
  </si>
  <si>
    <t>P-400-21123-283158</t>
  </si>
  <si>
    <t>Medder</t>
  </si>
  <si>
    <t>1800 Industrial Blvd.</t>
  </si>
  <si>
    <t>Extreme Exteriors Garden Center, LLC</t>
  </si>
  <si>
    <t>Abilene, TX</t>
  </si>
  <si>
    <t xml:space="preserve">Lamancuso </t>
  </si>
  <si>
    <t>P-100-21134-314976</t>
  </si>
  <si>
    <t xml:space="preserve">4TH FLOOR </t>
  </si>
  <si>
    <t xml:space="preserve">SENIOR ANALYST </t>
  </si>
  <si>
    <t xml:space="preserve">Business Analytics, Data Science, Computer Science or related field, or foreign degree equivalent </t>
  </si>
  <si>
    <t>="Two (2 )years of experience with econometric modeling, demand forecasting, machine learning, and mathematical optimization. 
Experience must also include 2 years of experience in the following: Using machine learning algorithms: Regression, Decision Tre</t>
  </si>
  <si>
    <t>Professional Development Manager</t>
  </si>
  <si>
    <t>725 Ponce de Leon Avenue NE</t>
  </si>
  <si>
    <t>Representative</t>
  </si>
  <si>
    <t>Dickinson Lodging Ventures, LLC</t>
  </si>
  <si>
    <t>Candlewood Suites</t>
  </si>
  <si>
    <t>Dickinson</t>
  </si>
  <si>
    <t>P-100-21152-358495</t>
  </si>
  <si>
    <t>Malone</t>
  </si>
  <si>
    <t>901 International Parkway</t>
  </si>
  <si>
    <t>kathleen@wehnermultifamily.com</t>
  </si>
  <si>
    <t>Wehner Multifamily LLC</t>
  </si>
  <si>
    <t>Bond</t>
  </si>
  <si>
    <t>1500 Dragon Street</t>
  </si>
  <si>
    <t>susan@bondimmigrationlaw.com</t>
  </si>
  <si>
    <t>Susan Bond PC</t>
  </si>
  <si>
    <t>Sr. Corporate Accountant</t>
  </si>
  <si>
    <t>="Master’s Degree in Accounting and two years of experience as an accountant in the multifamily industry. Experience with accounting and corporate finance principles and procedures, and working experience with QuickBooks. Must have the ability to multi-ta</t>
  </si>
  <si>
    <t>Corporate Finance Manager</t>
  </si>
  <si>
    <t>Nelly</t>
  </si>
  <si>
    <t>Lane</t>
  </si>
  <si>
    <t>Validation Engineer</t>
  </si>
  <si>
    <t>P-100-21141-332749</t>
  </si>
  <si>
    <t>ICE DATA CONNECTIVITY &amp; FEEDS INC.</t>
  </si>
  <si>
    <t>P-400-21126-293585</t>
  </si>
  <si>
    <t>Bortree</t>
  </si>
  <si>
    <t>Forester</t>
  </si>
  <si>
    <t>4687 Highway 63 South</t>
  </si>
  <si>
    <t>ssweeney@sat-co.net</t>
  </si>
  <si>
    <t>Stan Sweeney LLC</t>
  </si>
  <si>
    <t>579 Bradley 71</t>
  </si>
  <si>
    <t>Tree Planter</t>
  </si>
  <si>
    <t>Crews will stay in motels close to job sites in Arkansas and Louisiana.</t>
  </si>
  <si>
    <t>South Arkansas nonmetropolitan area</t>
  </si>
  <si>
    <t>P-400-21127-295202</t>
  </si>
  <si>
    <t>Castillo</t>
  </si>
  <si>
    <t>Reynaldo</t>
  </si>
  <si>
    <t>1124 Stinnett Pl</t>
  </si>
  <si>
    <t>DeSoto</t>
  </si>
  <si>
    <t>rcastillolawn@gmail.com</t>
  </si>
  <si>
    <t>Rey's Castillo Lawn Service</t>
  </si>
  <si>
    <t>3930 Harlingen St.</t>
  </si>
  <si>
    <t>P-400-21146-344884</t>
  </si>
  <si>
    <t>BALOYI</t>
  </si>
  <si>
    <t xml:space="preserve">FOOD &amp; BEVERAGE MANAGER </t>
  </si>
  <si>
    <t>3370 Grande Corniche</t>
  </si>
  <si>
    <t>FRENCHMANS RESERVE COUNTRY CLUB</t>
  </si>
  <si>
    <t>PETRINA GROUP INTERNATIONAL INC..</t>
  </si>
  <si>
    <t>="Experience must be verifiable. 
Must be available to work split-shifts, nights, weekends &amp; holidays as needed. 
Must be able to lift, pull, push or carry up to 25 lbs or more, and walk or stand for long periods of time. 
Professional appearance, articul</t>
  </si>
  <si>
    <t>Law Office of Marianthe Budike</t>
  </si>
  <si>
    <t>Personal Care Aide</t>
  </si>
  <si>
    <t>P-400-21148-354406</t>
  </si>
  <si>
    <t>803 Willow Street</t>
  </si>
  <si>
    <t>jatesviche@yahoo.com</t>
  </si>
  <si>
    <t>AMERIPURE PROCESSING COMPANY, INC</t>
  </si>
  <si>
    <t>seafood processor</t>
  </si>
  <si>
    <t>50 Coquille Drive</t>
  </si>
  <si>
    <t>Belle Chase</t>
  </si>
  <si>
    <t>Ledesma</t>
  </si>
  <si>
    <t>Chih</t>
  </si>
  <si>
    <t>Manager, HR Operations and Governance</t>
  </si>
  <si>
    <t>Vincent.Chih@scotiabank.com</t>
  </si>
  <si>
    <t>SCOTIABANK</t>
  </si>
  <si>
    <t>250 VESEY STREET</t>
  </si>
  <si>
    <t xml:space="preserve">Columbia </t>
  </si>
  <si>
    <t>gquan@quanlaw.com</t>
  </si>
  <si>
    <t>P-100-21133-310295</t>
  </si>
  <si>
    <t>BREANNA (220.6990.2)</t>
  </si>
  <si>
    <t>Consultant, Customer &amp; Marketing, Customer Strategy**</t>
  </si>
  <si>
    <t>="Bachelor’s degree (or foreign equivalent) in Business Administration, any STEM field, or a related field and one (1) year of related work experience in the job offered or in a related occupation. Must have
one (1) year of related work experience involvi</t>
  </si>
  <si>
    <t>80% travel required nationally.</t>
  </si>
  <si>
    <t>Harrell</t>
  </si>
  <si>
    <t>Intern Architect</t>
  </si>
  <si>
    <t>P-100-21176-427742</t>
  </si>
  <si>
    <t>P-100-21168-408046</t>
  </si>
  <si>
    <t xml:space="preserve">Computer Science, Data Science, Information Science, Data Analytics, Business Analytics, Statistics or a related field. </t>
  </si>
  <si>
    <t>Principal Group Manager</t>
  </si>
  <si>
    <t>P-100-21165-395168</t>
  </si>
  <si>
    <t>Tyagi</t>
  </si>
  <si>
    <t>110 Markley Road</t>
  </si>
  <si>
    <t>Schwenksville</t>
  </si>
  <si>
    <t>jtyagi@sagaxteam.com</t>
  </si>
  <si>
    <t>Sagax Team LLC</t>
  </si>
  <si>
    <t>Sumner Immigration Law</t>
  </si>
  <si>
    <t>Biotechnology, Computer Science, Information Management or related/equivalent</t>
  </si>
  <si>
    <t>Rohit Tyagi</t>
  </si>
  <si>
    <t>="Must be 18 due to insurance. Must show proof of legal authorization to work in the United States. Drug/alcohol/tobacco free work zone. Perform physical activities such as: lift, balance, walk, stoop, handle, position, move, manipulate materials use stat</t>
  </si>
  <si>
    <t>P-400-21126-291992</t>
  </si>
  <si>
    <t>KATER</t>
  </si>
  <si>
    <t>AAA Tax Consultants Inc.</t>
  </si>
  <si>
    <t xml:space="preserve">Encino </t>
  </si>
  <si>
    <t>16027 Ventura Blvd</t>
  </si>
  <si>
    <t>Ste.310</t>
  </si>
  <si>
    <t>JUAN</t>
  </si>
  <si>
    <t>HRM</t>
  </si>
  <si>
    <t>1141 N 4TH AVE</t>
  </si>
  <si>
    <t>COEUR D ALENE</t>
  </si>
  <si>
    <t>ALPHA SERVICES LLC</t>
  </si>
  <si>
    <t>UNION</t>
  </si>
  <si>
    <t>Telcobuy.com LLC</t>
  </si>
  <si>
    <t>60 Weldon Parkway</t>
  </si>
  <si>
    <t>Custom Applications Developer</t>
  </si>
  <si>
    <t>Master’s or equivalent-level degree in Information Science and Technology, Computer Science, Computer Engineering, Management Information Systems, or closely related field.</t>
  </si>
  <si>
    <t>P-400-21145-340492</t>
  </si>
  <si>
    <t>Betty</t>
  </si>
  <si>
    <t>Shockera</t>
  </si>
  <si>
    <t>3447 DAYLILY LN</t>
  </si>
  <si>
    <t>francislsms1@gmail.com</t>
  </si>
  <si>
    <t>Francis Landscaping &amp; Multi Services LLC</t>
  </si>
  <si>
    <t>TALLAHASSEE</t>
  </si>
  <si>
    <t>LANDSCAPING/GROUNDSMEN</t>
  </si>
  <si>
    <t>3447 Daylily Lane</t>
  </si>
  <si>
    <t>Tallahassee, FL</t>
  </si>
  <si>
    <t>P-100-21139-325726</t>
  </si>
  <si>
    <t>Practice Manger</t>
  </si>
  <si>
    <t>Nursing or Family Nurse Practitioner</t>
  </si>
  <si>
    <t>="NYS "NURSE PRACTITIONER IN FAMILY HEALTH" Certificate"</t>
  </si>
  <si>
    <t>P-100-21179-430759</t>
  </si>
  <si>
    <t>ASSISTANT PROFESSOR OF ANESTHESIOLOGY</t>
  </si>
  <si>
    <t>TRAVEL TO WORKSITES WITHIN 120 MILES</t>
  </si>
  <si>
    <t>Matheson</t>
  </si>
  <si>
    <t>Chief HR Officer</t>
  </si>
  <si>
    <t>2701 E. Insight Way</t>
  </si>
  <si>
    <t>katem@cascadeloans.com</t>
  </si>
  <si>
    <t>Cascade Financial Services</t>
  </si>
  <si>
    <t>="3 years in an enterprise application development and maintenance role.
A deep background of applications development for both client/server web-based environments.
Coding, debugging, and problem-solving skills.
Experience developing application in large</t>
  </si>
  <si>
    <t>P-100-21134-315859</t>
  </si>
  <si>
    <t>17-2071.00; 17-2072.00; 17-2141.00</t>
  </si>
  <si>
    <t>Electrical Engineers; Electronics Engineers, Except Computer; Mechanical Engineers</t>
  </si>
  <si>
    <t>Rodney</t>
  </si>
  <si>
    <t>="Any amount of experience in the additional requirements below will be acceptable unless specific amount is noted. Additional requirements: Prior academic background or work experience to include: 1) Experience using SQL for quantitative analysis. 2) Exp</t>
  </si>
  <si>
    <t>P-100-21137-318833</t>
  </si>
  <si>
    <t xml:space="preserve">2650 US 130 </t>
  </si>
  <si>
    <t>SUITE # E AND VARIOUS UNANTICIPATED LOCATIONS THROUGHOUT  THE U.S.</t>
  </si>
  <si>
    <t>P-100-21147-351406</t>
  </si>
  <si>
    <t>Hirao/(C#5668153)</t>
  </si>
  <si>
    <t xml:space="preserve">UI/UX Designer </t>
  </si>
  <si>
    <t>Bachelor’s or foreign degree equivalent in Design, UI/UX Design, or related field.</t>
  </si>
  <si>
    <t>Leader, Product Design</t>
  </si>
  <si>
    <t>456 University Ave</t>
  </si>
  <si>
    <t>P-400-21144-340209</t>
  </si>
  <si>
    <t>bravob17@hotmail.com</t>
  </si>
  <si>
    <t>Blossom Cleaning and Multi Services LLC</t>
  </si>
  <si>
    <t>HOUSEKEEPING</t>
  </si>
  <si>
    <t>Engagement Manager – US</t>
  </si>
  <si>
    <t>15-1199.02; 15-1199.08; 15-1199.09</t>
  </si>
  <si>
    <t>Business Intelligence Analysts; Computer Systems Engineers/Architects; Information Technology Project Managers</t>
  </si>
  <si>
    <t>Group Engagement Manager</t>
  </si>
  <si>
    <t>[See Section F.a.2.]</t>
  </si>
  <si>
    <t>15-1132.00; 15-1132.00; 15-1132.00; 15-1132.00</t>
  </si>
  <si>
    <t>Software Developers, Applications; Software Developers, Applications; Software Developers, Applications; Software Developers, Applications</t>
  </si>
  <si>
    <t>P-400-21153-362445</t>
  </si>
  <si>
    <t>Bonilla</t>
  </si>
  <si>
    <t>145 Blevins Rd</t>
  </si>
  <si>
    <t>bonilla_erik33@yahoo.com</t>
  </si>
  <si>
    <t>Cervantes Oysters LLC</t>
  </si>
  <si>
    <t>145 Blevins Rd.</t>
  </si>
  <si>
    <t>Amanda@phoenixlabor.us</t>
  </si>
  <si>
    <t>Oyster Boat Deck Hands</t>
  </si>
  <si>
    <t>Employer will provide daily transportation to and from work site to multiple locations in public &amp; private waters off the Coast of Texas.</t>
  </si>
  <si>
    <t>1385 English St</t>
  </si>
  <si>
    <t>Granite Fabricator/Polisher</t>
  </si>
  <si>
    <t>Atlanta and the surrounding areas</t>
  </si>
  <si>
    <t>Ithaca</t>
  </si>
  <si>
    <t>Ozmun</t>
  </si>
  <si>
    <t>Kristal</t>
  </si>
  <si>
    <t>P.O. Box 6435</t>
  </si>
  <si>
    <t>14851-6435</t>
  </si>
  <si>
    <t>ko@millermayer.com</t>
  </si>
  <si>
    <t>Miller Mayer, LLP</t>
  </si>
  <si>
    <t>Nam</t>
  </si>
  <si>
    <t>21 Grand Ave</t>
  </si>
  <si>
    <t>Suite 124</t>
  </si>
  <si>
    <t>Oceanwide Services Corp</t>
  </si>
  <si>
    <t>Oceanwide Home Care</t>
  </si>
  <si>
    <t>P-400-21133-311279</t>
  </si>
  <si>
    <t>Whorton</t>
  </si>
  <si>
    <t>1919 Winchester Road</t>
  </si>
  <si>
    <t>CHAD.WHORTON@YAHOO.COM</t>
  </si>
  <si>
    <t>B &amp; C Irrigation Systems</t>
  </si>
  <si>
    <t>Huntsville, AL</t>
  </si>
  <si>
    <t>P-100-21135-316511</t>
  </si>
  <si>
    <t>ABAL TECHNOLOGIES INC</t>
  </si>
  <si>
    <t>LAW OFFICE OF THOMAS V ALLEN, PLLC.</t>
  </si>
  <si>
    <t>PROJECT MANAGEMENT</t>
  </si>
  <si>
    <t>P-100-21147-350959</t>
  </si>
  <si>
    <t>Senior Engineer, E&amp;E Engineering</t>
  </si>
  <si>
    <t>Electrical Engineering, Electronic Engineering, Computer Engineering or a related field.</t>
  </si>
  <si>
    <t>="Must possess at least a bachelor’s degree or its equivalent in Electrical Engineering, Electronic Engineering, Computer Engineering or a related field and at least 5 years of progressive experience in FPGA design and verification. In the alternative, at</t>
  </si>
  <si>
    <t>P-100-21169-409849</t>
  </si>
  <si>
    <t>Computer Science, Computer Engineering, or Information Technology</t>
  </si>
  <si>
    <t>P-400-21154-365343</t>
  </si>
  <si>
    <t>BUSTAMANTE</t>
  </si>
  <si>
    <t>779 MONTAUK HIGHWAY</t>
  </si>
  <si>
    <t>10. Country * 11. Province (if appl</t>
  </si>
  <si>
    <t>WARRENS NURSERY INC</t>
  </si>
  <si>
    <t xml:space="preserve">779 MONTAUK HIGHWAY </t>
  </si>
  <si>
    <t>WATER MILL</t>
  </si>
  <si>
    <t>MULTIPLE SITES IN SUFFOLK COUNTY</t>
  </si>
  <si>
    <t xml:space="preserve">Azuara Jr. </t>
  </si>
  <si>
    <t>2189 Park Drive</t>
  </si>
  <si>
    <t>rafaelazuara@cox.net</t>
  </si>
  <si>
    <t>Superior Landscape &amp; Maintenance Specialists Inc</t>
  </si>
  <si>
    <t xml:space="preserve">14759 Florida Blvd. </t>
  </si>
  <si>
    <t>2189 Park Drive Baton Rouge LA 70819 Mailing Address</t>
  </si>
  <si>
    <t>MAY TRAVEL TO MULTI WORK LOCATIONS IN A SINGLE DAY AT PRIVATE RESIDENCE AND COMMERCIAL PROPERTIES</t>
  </si>
  <si>
    <t>ANNANDALE</t>
  </si>
  <si>
    <t>susie.kim@offitkurman.com</t>
  </si>
  <si>
    <t>P-400-21139-327174</t>
  </si>
  <si>
    <t>227 Business 96</t>
  </si>
  <si>
    <t>Buna</t>
  </si>
  <si>
    <t>Bailey &amp; Harley Services, LLC</t>
  </si>
  <si>
    <t>P-100-21139-327746</t>
  </si>
  <si>
    <t>mollie.muir@asm.com</t>
  </si>
  <si>
    <t xml:space="preserve"> Travel could be up to 75% of the time. 50% of this will be domestic and 50% international. </t>
  </si>
  <si>
    <t>P-400-21153-363360</t>
  </si>
  <si>
    <t>Negus</t>
  </si>
  <si>
    <t>15062 SE 103rd Street</t>
  </si>
  <si>
    <t>Ocklawaha</t>
  </si>
  <si>
    <t>gldnsnkrs@aol.com</t>
  </si>
  <si>
    <t>D&amp;S Midway Investments</t>
  </si>
  <si>
    <t>1865 E Hwy 329</t>
  </si>
  <si>
    <t>Citra</t>
  </si>
  <si>
    <t>Ocala, FL</t>
  </si>
  <si>
    <t>P-100-21174-421488</t>
  </si>
  <si>
    <t>Forsyth Care Center</t>
  </si>
  <si>
    <t>P-100-21132-307032</t>
  </si>
  <si>
    <t>SCIENEC, TECHNOLOGY, ENGINEERING, OR ANY RELATED FIELD.</t>
  </si>
  <si>
    <t>Ste 202</t>
  </si>
  <si>
    <t>P-100-21165-396003</t>
  </si>
  <si>
    <t>Geno</t>
  </si>
  <si>
    <t>101 Commerce Park</t>
  </si>
  <si>
    <t>dana@dayco-inc.com</t>
  </si>
  <si>
    <t>Dayco, Inc.</t>
  </si>
  <si>
    <t>Helpers-Roofer</t>
  </si>
  <si>
    <t>Helpers--Roofers</t>
  </si>
  <si>
    <t>P-100-21127-295740</t>
  </si>
  <si>
    <t>Zhao</t>
  </si>
  <si>
    <t>71 Suttons Ln</t>
  </si>
  <si>
    <t>yi.zhao@auctapharma.com</t>
  </si>
  <si>
    <t>Pharmaceutical Science, Pharmaceutical Manufacturing, or close related field.</t>
  </si>
  <si>
    <t>Van Schouwen</t>
  </si>
  <si>
    <t>Brad</t>
  </si>
  <si>
    <t>166 Hargraves Drive</t>
  </si>
  <si>
    <t>STE C400-125</t>
  </si>
  <si>
    <t>labor@signet.us</t>
  </si>
  <si>
    <t xml:space="preserve">="POSITION REQUIRES SIX (6) MONTHS OF RELATED EXPERIENCE. ADDITIONALLY, THE POSITION REQUIRES A CRIMINAL BACKGROUND CHECK AND PRE-EMPLOYMENT DRUG SCREENING. WEEKLY WORK SCHEDULE IS 45 HOURS PER WEEK (8 HOURS MONDAY - FRIDAY, AND 5 HOURS ON SATURDAY). THE </t>
  </si>
  <si>
    <t>Computer Science, Engineering, Information Systems or related field of study</t>
  </si>
  <si>
    <t>P-100-21125-289048</t>
  </si>
  <si>
    <t>suite 110</t>
  </si>
  <si>
    <t>BSG AMERICA, INC.</t>
  </si>
  <si>
    <t>6743 TAYLOR CIR</t>
  </si>
  <si>
    <t>Park and Associates, P.C.</t>
  </si>
  <si>
    <t xml:space="preserve">4185 SILVER PEAK PKWY. </t>
  </si>
  <si>
    <t>Delivery Manager/Account Manager</t>
  </si>
  <si>
    <t>P-400-21151-357002</t>
  </si>
  <si>
    <t>135 Augustus Cove</t>
  </si>
  <si>
    <t>obsecion33@hotmail.com</t>
  </si>
  <si>
    <t>Victor's Lawncare LLC</t>
  </si>
  <si>
    <t>Plumber</t>
  </si>
  <si>
    <t>P-100-21131-303762</t>
  </si>
  <si>
    <t>Technical Managers</t>
  </si>
  <si>
    <t>PEDIATRICIAN</t>
  </si>
  <si>
    <t>711 W. 10TH STREET</t>
  </si>
  <si>
    <t>ELGIN</t>
  </si>
  <si>
    <t>P-100-21123-281674</t>
  </si>
  <si>
    <t>OJ</t>
  </si>
  <si>
    <t>See sect.E.a.5.</t>
  </si>
  <si>
    <t>2910 Kerry Forest Pkwy</t>
  </si>
  <si>
    <t>Suite D4-292</t>
  </si>
  <si>
    <t>accs.llc@icloud.com</t>
  </si>
  <si>
    <t xml:space="preserve">Nursery Worker </t>
  </si>
  <si>
    <t>="MUST SHOW PROOF OF LEGAL AUTHORIZATION TO WORK IN THE UNITED STATES. DRUG/ALCOHOL/TOBACCO FREE WORK ZONE. PERFORM PHYSICAL ACTIVITIES
SUCH AS: LIFT, BALANCE, WALK, STOOP, HANDLE, POSITION, MOVE, MANIPULATE MATERIALS USE STATIC STRENGTH TO EXERT MAX MUSC</t>
  </si>
  <si>
    <t>14630 Hwy 65 NE</t>
  </si>
  <si>
    <t>Ham Lake</t>
  </si>
  <si>
    <t>COLLIERVILLE</t>
  </si>
  <si>
    <t xml:space="preserve">Gloria </t>
  </si>
  <si>
    <t>CHAMBLEE</t>
  </si>
  <si>
    <t>P-400-21140-329708</t>
  </si>
  <si>
    <t>5042 Columbus Rd</t>
  </si>
  <si>
    <t>Macon, GA</t>
  </si>
  <si>
    <t>Site Manager</t>
  </si>
  <si>
    <t>WALTHAM</t>
  </si>
  <si>
    <t>Lalaj</t>
  </si>
  <si>
    <t>3 Midwood Cross</t>
  </si>
  <si>
    <t>eva.lalaj@ibxemergency.com</t>
  </si>
  <si>
    <t>IBX Emergency LLC</t>
  </si>
  <si>
    <t>Wildes</t>
  </si>
  <si>
    <t>515 Madison Avenue</t>
  </si>
  <si>
    <t>dlazaar@wildeslaw.com</t>
  </si>
  <si>
    <t>Wildes &amp; Weinberg, PC</t>
  </si>
  <si>
    <t>Stone Carver</t>
  </si>
  <si>
    <t>P-400-21124-285834</t>
  </si>
  <si>
    <t>400 Castleview Road</t>
  </si>
  <si>
    <t>South Hills Landscaping and Excavating, LLC</t>
  </si>
  <si>
    <t>P-100-21170-412609</t>
  </si>
  <si>
    <t>Staff Software Engineer, Mobile</t>
  </si>
  <si>
    <t xml:space="preserve">Computer Science, IT, Engineering, Math, Science or a closely related field </t>
  </si>
  <si>
    <t>="Bachelor’s degree or foreign equivalent in Computer Science, IT, Engineering, Math, Science or a closely related field and 5 years of progressively responsible [or a Master’s degree or foreign equivalent in Computer Science, IT, Engineering, Math, Scien</t>
  </si>
  <si>
    <t>Director, Software Engineering, Commercial Growth</t>
  </si>
  <si>
    <t>LIEBMAN</t>
  </si>
  <si>
    <t>TAMMY</t>
  </si>
  <si>
    <t>1901 Village Blvd.</t>
  </si>
  <si>
    <t xml:space="preserve">BEAR LAKES COUNTRY CLUB </t>
  </si>
  <si>
    <t>1170 Cleveland Avenue</t>
  </si>
  <si>
    <t>Pinheiro</t>
  </si>
  <si>
    <t>Credit Suisse Securities (USA) LLC</t>
  </si>
  <si>
    <t>Credit Suisse</t>
  </si>
  <si>
    <t>11 Madison Avenue</t>
  </si>
  <si>
    <t>csmith@fragomen.com</t>
  </si>
  <si>
    <t>P-400-21138-321833</t>
  </si>
  <si>
    <t>Davis IV</t>
  </si>
  <si>
    <t>8 Rt. 24</t>
  </si>
  <si>
    <t>Chester</t>
  </si>
  <si>
    <t>stonyhillgardens@gmail.com</t>
  </si>
  <si>
    <t>Stony Hill Gardens, LLC</t>
  </si>
  <si>
    <t>Retail Sales Associate</t>
  </si>
  <si>
    <t>="Able to lift 50lbs. Have knowledge of American currency &amp; ability to count, give, &amp; make change. Be 18 yrs of age. Speak English. Mon-Sun,  40 hrs/wk, as early as 5am - as late as 10pm, work week, hours, &amp; start/end times vary. No experience required, w</t>
  </si>
  <si>
    <t>15 North Road</t>
  </si>
  <si>
    <t>P-100-21141-334242</t>
  </si>
  <si>
    <t xml:space="preserve">COMPUTER SYSTEMS ANALYST </t>
  </si>
  <si>
    <t xml:space="preserve"> Science, Technology, or Engineering (any)</t>
  </si>
  <si>
    <t>SUITE 204</t>
  </si>
  <si>
    <t>P-400-21180-431196</t>
  </si>
  <si>
    <t>Dacotahtel, LLC</t>
  </si>
  <si>
    <t>Holiday Inn Express and Suites</t>
  </si>
  <si>
    <t>3310 7th Ave SE</t>
  </si>
  <si>
    <t>P-400-21137-317963</t>
  </si>
  <si>
    <t xml:space="preserve">Carpenter   </t>
  </si>
  <si>
    <t xml:space="preserve">Tricia </t>
  </si>
  <si>
    <t>Personnel  Administrator</t>
  </si>
  <si>
    <t>23 Interstate Ave</t>
  </si>
  <si>
    <t>personnel@superiorforestry.com</t>
  </si>
  <si>
    <t xml:space="preserve">Superior Forestry Service, Inc. </t>
  </si>
  <si>
    <t>1032 Camp Lane</t>
  </si>
  <si>
    <t>Hazlehurst</t>
  </si>
  <si>
    <t>45-2092.01</t>
  </si>
  <si>
    <t>Welch</t>
  </si>
  <si>
    <t>Data Scientists</t>
  </si>
  <si>
    <t>Director of People &amp; Culture</t>
  </si>
  <si>
    <t>London</t>
  </si>
  <si>
    <t>Ricardo</t>
  </si>
  <si>
    <t>P-400-21128-298160</t>
  </si>
  <si>
    <t>Morin</t>
  </si>
  <si>
    <t>301 Depot Road</t>
  </si>
  <si>
    <t>michele@morinslandscaping.com</t>
  </si>
  <si>
    <t>Morin's Landscaping, Inc.</t>
  </si>
  <si>
    <t>TRANSPORTATION FROM CENTRAL LOCATIONS TO MULTIPLE JOB SITES OR EMPLOYEE MAY REPORT DIRECTLY TO THE JOB SITE.</t>
  </si>
  <si>
    <t>P-400-21132-307458</t>
  </si>
  <si>
    <t>Morris</t>
  </si>
  <si>
    <t>3600 Jarvis Avenue</t>
  </si>
  <si>
    <t>morris@golansmoving.com</t>
  </si>
  <si>
    <t>Golan's Moving and Storage, Inc.</t>
  </si>
  <si>
    <t>Mover</t>
  </si>
  <si>
    <t>3640 Jarvis Avenue</t>
  </si>
  <si>
    <t>P-100-21173-419308</t>
  </si>
  <si>
    <t>MDM Data Architect (Mastery)</t>
  </si>
  <si>
    <t>Head of Data Management and Delivery</t>
  </si>
  <si>
    <t>P-100-21173-416575</t>
  </si>
  <si>
    <t>Yin Chee</t>
  </si>
  <si>
    <t>812 5TH AVE</t>
  </si>
  <si>
    <t>homaaa@yahoo.com</t>
  </si>
  <si>
    <t>Mi Tienda Redwood Inc</t>
  </si>
  <si>
    <t>Kiang</t>
  </si>
  <si>
    <t xml:space="preserve">William </t>
  </si>
  <si>
    <t>1411 S Garfield Ave Ste 207</t>
  </si>
  <si>
    <t>Alhambra</t>
  </si>
  <si>
    <t>wk@wklaws.com</t>
  </si>
  <si>
    <t>Law Offices of William Kiang</t>
  </si>
  <si>
    <t xml:space="preserve">Business Operations Specialist </t>
  </si>
  <si>
    <t xml:space="preserve">815 5th Ave </t>
  </si>
  <si>
    <t>Liverance</t>
  </si>
  <si>
    <t>Marcia</t>
  </si>
  <si>
    <t>4000 Town Center</t>
  </si>
  <si>
    <t>marcia.liverance@secure-24.com</t>
  </si>
  <si>
    <t>Secure-24</t>
  </si>
  <si>
    <t>SAP Basis Administrator</t>
  </si>
  <si>
    <t>="Requires a Bachelor's degree in Computer Science, Information Technology, Engineering, or a related field. Requires 4 years of experience in at least 5 of the following: NetWeaver 7.x, NetWeaver gateway, Fiori, SAP BW, BPC, BI, SAP Portal (EP), SCM, SRM</t>
  </si>
  <si>
    <t>P-400-21134-315023</t>
  </si>
  <si>
    <t>Stenger</t>
  </si>
  <si>
    <t>4123 Creamery Road</t>
  </si>
  <si>
    <t>Mailing: P.O. Box 928 , Skippack, PA 19474</t>
  </si>
  <si>
    <t>Creamery</t>
  </si>
  <si>
    <t>Stenger Landscaping, Inc</t>
  </si>
  <si>
    <t>campbell1128@maslabor.com</t>
  </si>
  <si>
    <t>="Must lift/carry 50 lbs., when necessary.  Saturday work required, when necessary.  Post-hire random drug testing required of foreign and domestic workers. Post-hire background check required of foreign and domestic workers. Post-hire motor vehicle recor</t>
  </si>
  <si>
    <t>4123 Creamery Rd.</t>
  </si>
  <si>
    <t>P-100-21144-337721</t>
  </si>
  <si>
    <t>P-400-21144-336849</t>
  </si>
  <si>
    <t>BAZAN</t>
  </si>
  <si>
    <t>SILVESTRE</t>
  </si>
  <si>
    <t>3761 SOUTH PACIFIC HWY #66</t>
  </si>
  <si>
    <t>MAILING:</t>
  </si>
  <si>
    <t>SILVESTRE.BAZAN541@GMAIL.COM</t>
  </si>
  <si>
    <t>SOUTHWEST FORESTRY, LLC</t>
  </si>
  <si>
    <t>FOREST AND CONSERVATION WORKER</t>
  </si>
  <si>
    <t>A NUMBER OF DIFFERENT COUNTIES IN THE STATE OF OREGON AND CALIFORNIA AS LISTED UNDER "ADDITIONAL WORKSITES",  APPENDIX "A", THROUGHOUT THE SEASON.  TRANSPORTATION PROVIDED AT NO COST TO THE EMPLOYEE FROM DESIGNATED PICK UP POINTS TO EACH JOB SITE AND IN BETWEEN THE JOB SITES</t>
  </si>
  <si>
    <t>P-100-21145-343923</t>
  </si>
  <si>
    <t>Travel required up to 10% to various unanticipated sites.</t>
  </si>
  <si>
    <t>VP Operations</t>
  </si>
  <si>
    <t>de Paula</t>
  </si>
  <si>
    <t>Davi</t>
  </si>
  <si>
    <t>7 Market Street</t>
  </si>
  <si>
    <t>ddepaula@kayak.com</t>
  </si>
  <si>
    <t>OpenTable, Inc.</t>
  </si>
  <si>
    <t>1 Montgomery Street</t>
  </si>
  <si>
    <t>Bachelor’s or foreign equivalent in Computer Science, Engineering, Mathematics, Information Systems, Physics, or a related field.</t>
  </si>
  <si>
    <t xml:space="preserve">Martin </t>
  </si>
  <si>
    <t>P-400-21126-292830</t>
  </si>
  <si>
    <t>Corina</t>
  </si>
  <si>
    <t>3600 Hamlet Drive</t>
  </si>
  <si>
    <t>hr@theseagatehotel.com</t>
  </si>
  <si>
    <t>HHC/RHD Holdings, LLC</t>
  </si>
  <si>
    <t>Seagate Hotel &amp; Spa, Seagate Beach Club &amp; Seagate Country Club</t>
  </si>
  <si>
    <t>Prep/Line Cook</t>
  </si>
  <si>
    <t>P-400-21153-362066</t>
  </si>
  <si>
    <t>SLACKMAN</t>
  </si>
  <si>
    <t xml:space="preserve">30 SEPHAR LANE </t>
  </si>
  <si>
    <t xml:space="preserve">CHESTNUT RIDGE </t>
  </si>
  <si>
    <t xml:space="preserve">STEVE'S LAWNS INC </t>
  </si>
  <si>
    <t>30 SEPHAR LANE</t>
  </si>
  <si>
    <t>CHESTNUT RIDGE</t>
  </si>
  <si>
    <t>MULTIPLE SITES IN  IN ROCKLAND COUNTY</t>
  </si>
  <si>
    <t>bj@kcimmigrationlaw.com</t>
  </si>
  <si>
    <t>P-100-21131-301789</t>
  </si>
  <si>
    <t xml:space="preserve">Tredence Inc. </t>
  </si>
  <si>
    <t>1900 Camden Ave</t>
  </si>
  <si>
    <t>bcoughlin@fletchertilton.com</t>
  </si>
  <si>
    <t xml:space="preserve">Management Information Systems or a related field </t>
  </si>
  <si>
    <t>Associate Director, Client Partner Customer Success</t>
  </si>
  <si>
    <t>Midlothian</t>
  </si>
  <si>
    <t>Overas</t>
  </si>
  <si>
    <t>Arturas</t>
  </si>
  <si>
    <t>5516 Falmouth St</t>
  </si>
  <si>
    <t>ste 100</t>
  </si>
  <si>
    <t>aoveras@hyderlaw.com</t>
  </si>
  <si>
    <t>2550 Great America Way Suite 125</t>
  </si>
  <si>
    <t>davidyu@aicc-corp.com</t>
  </si>
  <si>
    <t>AICC Inc</t>
  </si>
  <si>
    <t>DeHeng Law Offices</t>
  </si>
  <si>
    <t>160 E TASMAN DR, SUITE 105</t>
  </si>
  <si>
    <t>Foreign Labor Certification Data Center Online Wage Library</t>
  </si>
  <si>
    <t>P-200-21146-344099</t>
  </si>
  <si>
    <t>496 third Ave.</t>
  </si>
  <si>
    <t>steven.hill@mountainwest.com</t>
  </si>
  <si>
    <t>Salpier LLC</t>
  </si>
  <si>
    <t>Shake and Muddle</t>
  </si>
  <si>
    <t xml:space="preserve">303 H street </t>
  </si>
  <si>
    <t>OCCUPATIONAL EMPLOYMENT AND WAGES — MAY 2020</t>
  </si>
  <si>
    <t>Graphic designer</t>
  </si>
  <si>
    <t>Graphic Design with an additional emphasis on Social Media &amp; Marketing</t>
  </si>
  <si>
    <t>303 H St.</t>
  </si>
  <si>
    <t>#109</t>
  </si>
  <si>
    <t>P-400-21153-362182</t>
  </si>
  <si>
    <t>Denney</t>
  </si>
  <si>
    <t>933 CR 1165</t>
  </si>
  <si>
    <t>Mailing: P.O. Box 1231 , Center, TX 75935</t>
  </si>
  <si>
    <t>Center</t>
  </si>
  <si>
    <t>D&amp;W Regeneration, Inc.</t>
  </si>
  <si>
    <t>="Requires physical stamina. Must lift and carry 50 pounds. Extensive walking over rough terrain. Work is outdoors in extreme temperatures and adverse weather. Work schedule and locations dependent on weather conditions. Must pass drug screenings. Overnig</t>
  </si>
  <si>
    <t>657 US-165</t>
  </si>
  <si>
    <t>Rome</t>
  </si>
  <si>
    <t>Associate VP, Legal Ops/Administration</t>
  </si>
  <si>
    <t>4025 S Riverpoint Parkway</t>
  </si>
  <si>
    <t>cathy.davis@phoenix.edu</t>
  </si>
  <si>
    <t>The University of Phoenix, Inc.</t>
  </si>
  <si>
    <t>4025 S. Riverpoint Parkway</t>
  </si>
  <si>
    <t>azakharova@ebglaw.com</t>
  </si>
  <si>
    <t>#300</t>
  </si>
  <si>
    <t>ARCHITECT</t>
  </si>
  <si>
    <t>Computer Science, Information Technology, Engineering, or related field.</t>
  </si>
  <si>
    <t>P-400-21124-286178</t>
  </si>
  <si>
    <t>ksolis@tciroofing.com</t>
  </si>
  <si>
    <t>TCI ROOFING &amp; CONSTRUCTION, INC</t>
  </si>
  <si>
    <t>Law Office of Jose A Barbeito</t>
  </si>
  <si>
    <t>FREQUENT, SHORT DISTANCE TRAVEL TO DIFFERENT JOB-SITE LOCATIONS WITHIN INTENDED AREA OF EM PLOYMENT (HIDALGO COUNTY, TX). WORKERS WILL MEET AT PLACE OF EMPLOYER'S BUSINESS AND BE TR ANSPORTED TO AND FROM EACH WORKSITE AT EMPLOYER'S EXPENSE BY CREW LEADER</t>
  </si>
  <si>
    <t>Montalvo</t>
  </si>
  <si>
    <t>P-400-21151-357023</t>
  </si>
  <si>
    <t>LeJeune</t>
  </si>
  <si>
    <t>14141 Airline Hwy Building 4 - Suite A</t>
  </si>
  <si>
    <t>greenuplawncare@bellsouth.net</t>
  </si>
  <si>
    <t>Green Up Lawncare LLC</t>
  </si>
  <si>
    <t>Fan</t>
  </si>
  <si>
    <t>Sylvester</t>
  </si>
  <si>
    <t>Lamb</t>
  </si>
  <si>
    <t>P-400-21134-314634</t>
  </si>
  <si>
    <t>Nowak</t>
  </si>
  <si>
    <t xml:space="preserve">11744 Riverview </t>
  </si>
  <si>
    <t>Building 2</t>
  </si>
  <si>
    <t>kevinjr@contemporarylandscape.net</t>
  </si>
  <si>
    <t>GGRK</t>
  </si>
  <si>
    <t>Contemporary Landscape</t>
  </si>
  <si>
    <t>11744 Riverview</t>
  </si>
  <si>
    <t>St.Louis</t>
  </si>
  <si>
    <t>TRANSPORTATION PROVIDED FROM CENTRAL LOCATION TO VARIOUS WORKSITES.</t>
  </si>
  <si>
    <t>P-400-21126-293130</t>
  </si>
  <si>
    <t>BOETTCHER</t>
  </si>
  <si>
    <t xml:space="preserve">2401 WILLOW SPRINGS DRIVE </t>
  </si>
  <si>
    <t>cboettcher@brokensoundclub.org</t>
  </si>
  <si>
    <t>BROKEN SOUND CLUB, INC.</t>
  </si>
  <si>
    <t>2401 WILLOW SPRINGS DRIVE</t>
  </si>
  <si>
    <t>CUEVA</t>
  </si>
  <si>
    <t>Liliana</t>
  </si>
  <si>
    <t>JANETH</t>
  </si>
  <si>
    <t>717 PONCE DE LEON BLVD. suite 226</t>
  </si>
  <si>
    <t>LILIANA@CUEVALAWOFFICES.COM</t>
  </si>
  <si>
    <t>LAW OFFICES OF LILIANA J CUEVA PA</t>
  </si>
  <si>
    <t>LINE COOKS</t>
  </si>
  <si>
    <t>SOUS CHEF</t>
  </si>
  <si>
    <t xml:space="preserve">BOCA RATON </t>
  </si>
  <si>
    <t>Wai</t>
  </si>
  <si>
    <t>3150 Chester Ave</t>
  </si>
  <si>
    <t>Margaret Wong and Assoc LLC</t>
  </si>
  <si>
    <t>2020 US MBD/TRS - Mercer/Gartner Information Technology</t>
  </si>
  <si>
    <t>P-400-21125-289248</t>
  </si>
  <si>
    <t>DuBose</t>
  </si>
  <si>
    <t>5009 Cobra Road</t>
  </si>
  <si>
    <t>Landscape Management Services, Inc.</t>
  </si>
  <si>
    <t>P-100-21153-363838</t>
  </si>
  <si>
    <t>Tapestry</t>
  </si>
  <si>
    <t>s</t>
  </si>
  <si>
    <t>17732 Highland Road</t>
  </si>
  <si>
    <t>Suite# G-143</t>
  </si>
  <si>
    <t>luxurylawn@cox.net</t>
  </si>
  <si>
    <t>Luxury Lawn &amp; Landscape LLC</t>
  </si>
  <si>
    <t>6121 Evangeline Street</t>
  </si>
  <si>
    <t>17732 Highland Rd Ste: G-143 Baton Rouge LA 70810 Mailing</t>
  </si>
  <si>
    <t>MAY TRAVEL TO MULTI WORK LOCATION IN A SINGLE DAY AT PRIVATE RESIDENCE AND COMMERCIAL PROPERTIES</t>
  </si>
  <si>
    <t>P-100-21140-330332</t>
  </si>
  <si>
    <t>Hang</t>
  </si>
  <si>
    <t>P-100-21127-296389</t>
  </si>
  <si>
    <t>Murthy Law Firm, 10451 Mill Run Circle</t>
  </si>
  <si>
    <t>Bachelor’s Degree or foreign degree equivalent in Computer Science, Engineering, Math, Information Systems, Physics, or related.</t>
  </si>
  <si>
    <t>Principal Software Eng Lead</t>
  </si>
  <si>
    <t>Newton Centre</t>
  </si>
  <si>
    <t>P-100-21167-404240</t>
  </si>
  <si>
    <t>333 S.E. 2ND AVENUE</t>
  </si>
  <si>
    <t>Project Manager/Scrum Master</t>
  </si>
  <si>
    <t>Computer Science, Information Technology or related field or foreign equivalent</t>
  </si>
  <si>
    <t>="Bachelor degree in Computer Science, Information Technology or related field or foreign equivalent, together with 3 years of project management related experience, with particular emphasis on iteractive software development methodologies (utilizing JIRA</t>
  </si>
  <si>
    <t>Vice President, Software Development</t>
  </si>
  <si>
    <t>3075 W Ray Road</t>
  </si>
  <si>
    <t>Suite #200</t>
  </si>
  <si>
    <t>P-400-21124-286764</t>
  </si>
  <si>
    <t>Decorative Greens Cutter/Arranger</t>
  </si>
  <si>
    <t>Workers will travel to an agreed-upon location and be transported to job sites within the area of intended employment or will travel directly to the job site(s).</t>
  </si>
  <si>
    <t>14667-14799 Spirit Lake Hwy</t>
  </si>
  <si>
    <t>Toutle</t>
  </si>
  <si>
    <t>Portland-Vancouver-Hillsboro, OR-WA</t>
  </si>
  <si>
    <t>P-400-21146-344874</t>
  </si>
  <si>
    <t>RODRIGUES</t>
  </si>
  <si>
    <t xml:space="preserve">SHAIN </t>
  </si>
  <si>
    <t>CLUBHOUSE MANAGER</t>
  </si>
  <si>
    <t>4985 Club Terrace</t>
  </si>
  <si>
    <t>GRAND HARBOR GOLF &amp; BEACH CLUB</t>
  </si>
  <si>
    <t>="Experience must be verifiable. 
Pre-hire background check and post-hire drug test, carried out equally between U.S. workers and H-2B workers
Must be available to work split-shifts, nights, weekends &amp; holidays as needed. 
Must be able to lift, pull, push</t>
  </si>
  <si>
    <t>P-100-21158-375424</t>
  </si>
  <si>
    <t>5700 Warhill Trail</t>
  </si>
  <si>
    <t>Chaywood@thewisc.com</t>
  </si>
  <si>
    <t>Williamsburg Indoor Sports Complex, LLC</t>
  </si>
  <si>
    <t>Law Offices of Hyder and Overas</t>
  </si>
  <si>
    <t>Futsal Program Director</t>
  </si>
  <si>
    <t>Sports Management</t>
  </si>
  <si>
    <t>Dall</t>
  </si>
  <si>
    <t>1 Baxter Way</t>
  </si>
  <si>
    <t>jeanette.dall@amerihome.com</t>
  </si>
  <si>
    <t>AMERIHOME MORTGAGE COMPANY, LLC</t>
  </si>
  <si>
    <t>1 BAXTER WAY</t>
  </si>
  <si>
    <t>THOUSAND OAKS</t>
  </si>
  <si>
    <t>Prescott</t>
  </si>
  <si>
    <t>Pastry Chef</t>
  </si>
  <si>
    <t>P-400-21137-318859</t>
  </si>
  <si>
    <t>Froehlich</t>
  </si>
  <si>
    <t>648 West Main St.</t>
  </si>
  <si>
    <t>St. Anthony</t>
  </si>
  <si>
    <t>mcso595@hotmail.com</t>
  </si>
  <si>
    <t>Matt's Custom Meats, Inc.</t>
  </si>
  <si>
    <t>Butchers and Meat Cutters</t>
  </si>
  <si>
    <t xml:space="preserve">="Must show proof of legal authorization to work in the United States. Drug/alcohol/tobacco-free work zone. Perform physical activities: such as lift, balance, walk, stoop, handle, position, move, manipulate materials use static strength to exert maximum </t>
  </si>
  <si>
    <t>Transport provided, designated locale to the job site. Begin in Fremont County, ID. Continue in Counties/Areas: Fremont and areas of Southeast-Central Idaho nonmetropolitan area.</t>
  </si>
  <si>
    <t>648 West Main St. (Report to Work)</t>
  </si>
  <si>
    <t>Manager - Human Resources</t>
  </si>
  <si>
    <t>P-400-21138-322501</t>
  </si>
  <si>
    <t xml:space="preserve">Zaranti </t>
  </si>
  <si>
    <t xml:space="preserve">898 Gulf Boulevard </t>
  </si>
  <si>
    <t>P.O. Box 1677</t>
  </si>
  <si>
    <t>tzaranti@bocabaypassclub.com</t>
  </si>
  <si>
    <t xml:space="preserve">Boca Bay Pass Club Corp. </t>
  </si>
  <si>
    <t xml:space="preserve">Boca Grande </t>
  </si>
  <si>
    <t xml:space="preserve">Server </t>
  </si>
  <si>
    <t xml:space="preserve">Food &amp; Beverage Manager </t>
  </si>
  <si>
    <t>898 Gulf Boulevard</t>
  </si>
  <si>
    <t>P-100-21173-419916</t>
  </si>
  <si>
    <t>Material Science &amp;/or Engineering, Electrical/Mechanical/Chemical Engineering or related Science or Engineering Discipline</t>
  </si>
  <si>
    <t>Business Administration, Economics, or Finance</t>
  </si>
  <si>
    <t>Raul</t>
  </si>
  <si>
    <t>Appel</t>
  </si>
  <si>
    <t>Pennsburg</t>
  </si>
  <si>
    <t>ga@campaniainternational.com</t>
  </si>
  <si>
    <t>Campania International, LLC</t>
  </si>
  <si>
    <t xml:space="preserve">Bachelor’s or foreign equivalent in Computer Science, Engineering, Mathematics, Information Systems, Physics, or a related field. </t>
  </si>
  <si>
    <t>julia.fortuna@rolleaseacmeda.com</t>
  </si>
  <si>
    <t>Floor 14</t>
  </si>
  <si>
    <t>P-100-21131-303989</t>
  </si>
  <si>
    <t>275 Grove Street</t>
  </si>
  <si>
    <t>Suite 101C</t>
  </si>
  <si>
    <t>ImmigrationNA@parexel.com</t>
  </si>
  <si>
    <t>Biopharmaceutical research</t>
  </si>
  <si>
    <t>Ledbetter</t>
  </si>
  <si>
    <t>kathleen.alexander@quarles.com</t>
  </si>
  <si>
    <t>Senior Infrastructure Architect</t>
  </si>
  <si>
    <t>="Master's degree in Computer Science, Software Engineering, or a related field plus two years (or Bachelor's degree plus five progressive years) of IT systems project management experience.  Must have two years of experience with each of the following: (</t>
  </si>
  <si>
    <t>Sr Director, IT Architecture</t>
  </si>
  <si>
    <t>2520 Meridian Parkway</t>
  </si>
  <si>
    <t>P-100-21145-341419</t>
  </si>
  <si>
    <t>Rodney &amp; Bernstein, P.A.</t>
  </si>
  <si>
    <t>P-400-21137-320262</t>
  </si>
  <si>
    <t>6031 ST. ANDREWS LANE #3210</t>
  </si>
  <si>
    <t>RICHMOND</t>
  </si>
  <si>
    <t>RISHAB</t>
  </si>
  <si>
    <t>120 WEST GOLF ROAD</t>
  </si>
  <si>
    <t>RC42@GLOBALINFOTECHINC.NET</t>
  </si>
  <si>
    <t>GLOBAL INFOTECH, INC</t>
  </si>
  <si>
    <t>P-400-21131-303093</t>
  </si>
  <si>
    <t xml:space="preserve">="The Petitioner will consider for employment any person who possesses at least six (6) months of culinary experience in a fine-dining or high-volume environment at a high-end or high-volume restaurant, resort, or private club.  
Applicant must complete </t>
  </si>
  <si>
    <t>P-400-21125-288737</t>
  </si>
  <si>
    <t>RAMIREZ</t>
  </si>
  <si>
    <t>TOMAS</t>
  </si>
  <si>
    <t>4739  181ST ST LN SW</t>
  </si>
  <si>
    <t>PO BOX 1412          CHEHALIS, WA  98532</t>
  </si>
  <si>
    <t>RAMIREZREF@LOCALACCESS.COM</t>
  </si>
  <si>
    <t>RAMIREZ REFORESTATION, INC</t>
  </si>
  <si>
    <t>MAILING:  PO BOX 1412        CHEHALIS, WA 98532</t>
  </si>
  <si>
    <t>STATE OF WASHINGTON, OREGON AND IDAHO.  TRAVEL IS CONDUCTED DURING  THROUGHOUT THE YEAR PRIMARILY DURING THE MONTHS OF OCTOBER THROUGH JUNE/JULY IN WHICH THE REFORESTATION ACTIVITIES ARE CONDUCTED.  DURING THE OFF SEASON, THE POSITION REQUIRES VIEWING POTENTIAL WORKSITES IN REGARDS TO PREPARING BIDS, EVALUATING WHAT WILL BE REQUIRED TO SUPPORT THE WORK EFFORT AND WORKING ON RECONDITIONING THE EQUIPMENT NEEDED TO PERFORM PLANTING AND THINNING</t>
  </si>
  <si>
    <t>4739  181ST  ST LN SW</t>
  </si>
  <si>
    <t>P-400-21132-307465</t>
  </si>
  <si>
    <t>WILKE</t>
  </si>
  <si>
    <t>MATT</t>
  </si>
  <si>
    <t>2501 E OMAHA AVE</t>
  </si>
  <si>
    <t>NORFOLK</t>
  </si>
  <si>
    <t>matt.wilke@aspmlandscapes.com</t>
  </si>
  <si>
    <t>MR WILKE ENTERPRISES, LLC</t>
  </si>
  <si>
    <t>2501 EAST OMAHA AVE</t>
  </si>
  <si>
    <t>Northeast Nebraska nonmetropolitan area</t>
  </si>
  <si>
    <t>Senior Manager, Data Engineering</t>
  </si>
  <si>
    <t>Computer Science or equivalent</t>
  </si>
  <si>
    <t>P-100-21127-296151</t>
  </si>
  <si>
    <t>Cuevas Espinoza</t>
  </si>
  <si>
    <t>Director of Public Works</t>
  </si>
  <si>
    <t>1100 Commerce Dr</t>
  </si>
  <si>
    <t>dan.cherry@yavapai.us</t>
  </si>
  <si>
    <t>County of Yavapai</t>
  </si>
  <si>
    <t xml:space="preserve">Yavapai County </t>
  </si>
  <si>
    <t>1015 Fair St</t>
  </si>
  <si>
    <t>Senior Engineering Design Manager</t>
  </si>
  <si>
    <t>17-2051.00; 17-3019.00</t>
  </si>
  <si>
    <t>Civil Engineers; Drafters, All Other</t>
  </si>
  <si>
    <t>Civil Engineering or related</t>
  </si>
  <si>
    <t>="(1) Working knowledge of civil engineering design principals including surface water hydrology and hydraulics, soils, roadway design, survey, construction practices, standards and specifications. 
(2) Extensive knowledge and experience with computer aid</t>
  </si>
  <si>
    <t>Asst County Engineer</t>
  </si>
  <si>
    <t>1100 Commerce Drive</t>
  </si>
  <si>
    <t>P-400-21148-354151</t>
  </si>
  <si>
    <t>KPS Global LLC</t>
  </si>
  <si>
    <t>Roxana</t>
  </si>
  <si>
    <t>Senior Quality Engineer</t>
  </si>
  <si>
    <t>Bode</t>
  </si>
  <si>
    <t xml:space="preserve">Regional Human Resources Manager       </t>
  </si>
  <si>
    <t>5 PENN PLZ FL 15</t>
  </si>
  <si>
    <t>RBode@railworks.com</t>
  </si>
  <si>
    <t>amy.peck@jacksonlewis.com</t>
  </si>
  <si>
    <t>AARON</t>
  </si>
  <si>
    <t>P-100-21179-429177</t>
  </si>
  <si>
    <t>Chihun</t>
  </si>
  <si>
    <t>399 Commercial Ave</t>
  </si>
  <si>
    <t>info@ruedecan.com</t>
  </si>
  <si>
    <t>Rue De Can Inc</t>
  </si>
  <si>
    <t>Rue De Can</t>
  </si>
  <si>
    <t>Jin-Soo</t>
  </si>
  <si>
    <t xml:space="preserve">460 Bergen Blvd </t>
  </si>
  <si>
    <t>lawyerjschoi@gmail.com</t>
  </si>
  <si>
    <t>Law Office of Jin-Soo Choi, PC</t>
  </si>
  <si>
    <t>Management, Marketing or Advertising Management</t>
  </si>
  <si>
    <t>641 W Lake</t>
  </si>
  <si>
    <t>chris@rocketmiles.com</t>
  </si>
  <si>
    <t xml:space="preserve">ROCKET TRAVEL, INC. </t>
  </si>
  <si>
    <t>641 W LAKE</t>
  </si>
  <si>
    <t>="Experience specified must include 5 years of experience with each of the following: working in an agile development team; making data driven decisions; working as a system owner with operational responsibility; all parts of the technology stack: infrast</t>
  </si>
  <si>
    <t>641 W Lake Street</t>
  </si>
  <si>
    <t>Any field.</t>
  </si>
  <si>
    <t>Principal Software Eng Manager</t>
  </si>
  <si>
    <t>P-100-21139-325660</t>
  </si>
  <si>
    <t>SOUTH PLAINFILED</t>
  </si>
  <si>
    <t>="SKILLS REQUIRED: JAVA, JAVASCRIPT, HTML, CSS, SPRING, NMAP, ASP .NET, MYSQL, BURP SUITE, AND JENKINS. MASTER’S DEGREE IN SCIENCE, TECHNOLOGY, ENGINEERING, OR ANY RELATED FIELD WITH 1 YEAR OF EXPERIENCE IN THE JOB OFFERED OR RELATED OCCUPATION IS REQUIRE</t>
  </si>
  <si>
    <t>P-100-21127-295958</t>
  </si>
  <si>
    <t>Benefits and  Operations Program Manager</t>
  </si>
  <si>
    <t>Emissions and OBD Compliance Test Engineer</t>
  </si>
  <si>
    <t>Automotive Engineering, Electrical Engineering, Mechanical Engineering, or related field (or foreign equivalent).</t>
  </si>
  <si>
    <t>4031 Via Oro Ave.</t>
  </si>
  <si>
    <t>P-100-21140-330751</t>
  </si>
  <si>
    <t>="Skills required: SOQL, Apex, REST, Web Services, Eclipse IDE, Lightning, Controllers,Salesforce.com and Visualforce. Master’s degree in Science, Technology, Engineering, or any related field with 6 months of experience in the job offered or related occu</t>
  </si>
  <si>
    <t>195 Montague Street</t>
  </si>
  <si>
    <t>P-100-21160-383100</t>
  </si>
  <si>
    <t>P-100-21168-406089</t>
  </si>
  <si>
    <t>6FL</t>
  </si>
  <si>
    <t>460 Bergen Blvd.</t>
  </si>
  <si>
    <t>P-100-21126-294257</t>
  </si>
  <si>
    <t>ESCARIO/cp (arm, lu)</t>
  </si>
  <si>
    <t>ARM-US@FRAGOMEN.COM</t>
  </si>
  <si>
    <t>Verification Engineer</t>
  </si>
  <si>
    <t>="Employer requires a Masters or foreign equivalent degree in Electrical Engineering, Computer Engineering, Computer Science or related field and no experience. Knowledge of the following (can be gained through education and/or experience):
 1.	CPU microa</t>
  </si>
  <si>
    <t>WK Law Group PC</t>
  </si>
  <si>
    <t>Owner/Member</t>
  </si>
  <si>
    <t>khenry2@vailresorts.com</t>
  </si>
  <si>
    <t>Keystone</t>
  </si>
  <si>
    <t>P-400-21147-350605</t>
  </si>
  <si>
    <t>Barnum</t>
  </si>
  <si>
    <t>Lucious</t>
  </si>
  <si>
    <t>11957 FM-529</t>
  </si>
  <si>
    <t>lbarnum@pennum.com</t>
  </si>
  <si>
    <t>Pennum Industries, Inc.</t>
  </si>
  <si>
    <t>="Must pass pre-hire drug test and medical physical.  Must pass written and functional fitting test at employer's expense.  Must be able to lift and/or move a minimum of 50 lbs.   Must be willing and able to climb and work in high places that may exceed 2</t>
  </si>
  <si>
    <t>2440 Kiewit Rd.</t>
  </si>
  <si>
    <t>Willowbrook</t>
  </si>
  <si>
    <t>P-100-21148-354400</t>
  </si>
  <si>
    <t>CLYNCH@GIBNEY.COM</t>
  </si>
  <si>
    <t>13-2099.02; 13-2099.02; 13-2099.02</t>
  </si>
  <si>
    <t>Risk Management Specialists; Risk Management Specialists; Risk Management Specialists</t>
  </si>
  <si>
    <t xml:space="preserve">Master’s degree, or foreign equivalent, in Business Administration, Statistics, Economics, Mathematics, or related field </t>
  </si>
  <si>
    <t>="Three (3) years of experience must include: Credit risk policy and strategy including acquisition, account management, and collections;  Skip, spinners, cease and desist, unverified cell phone specialty collections;  Collection contact strategy with dig</t>
  </si>
  <si>
    <t>REGANIT</t>
  </si>
  <si>
    <t>Rosete</t>
  </si>
  <si>
    <t>chowstaffing17@yahoo.com</t>
  </si>
  <si>
    <t>A3 CHOW LLC</t>
  </si>
  <si>
    <t>VIEHE</t>
  </si>
  <si>
    <t>P-100-21124-286926</t>
  </si>
  <si>
    <t>Oak</t>
  </si>
  <si>
    <t>Suite 2470</t>
  </si>
  <si>
    <t>info@janeoaklaw.com</t>
  </si>
  <si>
    <t>ACRU Solutions, LLC</t>
  </si>
  <si>
    <t>4124 W. 116th Way</t>
  </si>
  <si>
    <t xml:space="preserve">Accountancy or related field. </t>
  </si>
  <si>
    <t>P-100-21163-392845</t>
  </si>
  <si>
    <t>San francisco</t>
  </si>
  <si>
    <t>Senior Integration Engineer</t>
  </si>
  <si>
    <t>McCullick</t>
  </si>
  <si>
    <t>P-100-21138-323810</t>
  </si>
  <si>
    <t>Bentz</t>
  </si>
  <si>
    <t>95 Wells Avenue</t>
  </si>
  <si>
    <t>adrienne.bentz@ascensus.com</t>
  </si>
  <si>
    <t>Ascensus</t>
  </si>
  <si>
    <t>200 Dryden Road</t>
  </si>
  <si>
    <t>Dresher</t>
  </si>
  <si>
    <t>Denise (5701406)</t>
  </si>
  <si>
    <t>P-400-21131-303842</t>
  </si>
  <si>
    <t>GROUND HELPER</t>
  </si>
  <si>
    <t>WILL TRAVEL TO MULTI WORK LOCATIONS IN A SINGLE DAY AT PRIVATE RESIDENCE AND COMMERCIAL PROPERTIES</t>
  </si>
  <si>
    <t>P-400-21154-366274</t>
  </si>
  <si>
    <t>2631 ORCHARD DRIVE E</t>
  </si>
  <si>
    <t>P-100-21124-285238</t>
  </si>
  <si>
    <t>1145 E Cherry St</t>
  </si>
  <si>
    <t>lincolnadmin@socket.net</t>
  </si>
  <si>
    <t>N&amp;R of Lincoln County, Inc</t>
  </si>
  <si>
    <t xml:space="preserve">Lincoln County Nursing and Rehab </t>
  </si>
  <si>
    <t xml:space="preserve">1145 E Cherry St </t>
  </si>
  <si>
    <t>P-400-21153-362800</t>
  </si>
  <si>
    <t>7029 Nundy Avenue</t>
  </si>
  <si>
    <t>SpectacularsInc@gmail.com</t>
  </si>
  <si>
    <t>Spectaculars Incorporated</t>
  </si>
  <si>
    <t>Martineau</t>
  </si>
  <si>
    <t>Alfredo</t>
  </si>
  <si>
    <t>P-400-21134-315810</t>
  </si>
  <si>
    <t>Northrop</t>
  </si>
  <si>
    <t>201 N. Galyean Rd.</t>
  </si>
  <si>
    <t>Corinth</t>
  </si>
  <si>
    <t>STRONGWOOD FORESTRY, INC.</t>
  </si>
  <si>
    <t>="Must show proof of legal authorization to work in the United States. Drug/alcohol/tobacco free work zone. Perform physical activities such as: lift, balance, walk, stoop, handle, position, move, manipulate materials use static strength to exert max musc</t>
  </si>
  <si>
    <t>26950 Comstock Rd. (report to work)</t>
  </si>
  <si>
    <t>Elberta</t>
  </si>
  <si>
    <t>P-200-21174-421969</t>
  </si>
  <si>
    <t>Kellogg School of Management</t>
  </si>
  <si>
    <t>c-lawson@northwestern.edu</t>
  </si>
  <si>
    <t>Postdoctoral Scholar</t>
  </si>
  <si>
    <t>Physics, Chemical/Mechanical Engineering</t>
  </si>
  <si>
    <t>2145 Sheridan Road</t>
  </si>
  <si>
    <t>Maravilla</t>
  </si>
  <si>
    <t>1015 S. Orange Grove</t>
  </si>
  <si>
    <t>pdufrenne@abcproviders.com</t>
  </si>
  <si>
    <t>Always and Ever Care Inc.</t>
  </si>
  <si>
    <t>1015 S. Orange Grove Avenue</t>
  </si>
  <si>
    <t>P-400-21144-339167</t>
  </si>
  <si>
    <t>Corporate Secretary</t>
  </si>
  <si>
    <t>P.O. Box 369</t>
  </si>
  <si>
    <t>Banner Elk</t>
  </si>
  <si>
    <t>hgreen@skisugar.com</t>
  </si>
  <si>
    <t>Sugar Mountain Resort, Inc.</t>
  </si>
  <si>
    <t>Sugar Mountain Resort</t>
  </si>
  <si>
    <t>1009 Sugar Mountain Dr</t>
  </si>
  <si>
    <t>Sugar Mountain</t>
  </si>
  <si>
    <t>205 Regency Executive Park Dr</t>
  </si>
  <si>
    <t>bens@charlottelaw.net</t>
  </si>
  <si>
    <t>Charlotte Law Immigration Law Firm</t>
  </si>
  <si>
    <t>Resort Attendants</t>
  </si>
  <si>
    <t>Resort Manager</t>
  </si>
  <si>
    <t>Biologists</t>
  </si>
  <si>
    <t>P-400-21135-316931</t>
  </si>
  <si>
    <t>aguayo</t>
  </si>
  <si>
    <t>jose</t>
  </si>
  <si>
    <t>persident</t>
  </si>
  <si>
    <t>151 Harcourt Avenue</t>
  </si>
  <si>
    <t>capservicesla@gmail.com</t>
  </si>
  <si>
    <t>CAP Services LLC.</t>
  </si>
  <si>
    <t xml:space="preserve"> CAP Services of Louisiana LLC</t>
  </si>
  <si>
    <t>Ruiz</t>
  </si>
  <si>
    <t xml:space="preserve"> Angel</t>
  </si>
  <si>
    <t>701 N Internatl Blvd .</t>
  </si>
  <si>
    <t>Ste 119-864</t>
  </si>
  <si>
    <t>hidalgo</t>
  </si>
  <si>
    <t>54mikeruiz@gmail.com</t>
  </si>
  <si>
    <t>VISA ADVISORS  LLC</t>
  </si>
  <si>
    <t>Rebar Worker</t>
  </si>
  <si>
    <t>Reinforcing Iron and Rebar Workers</t>
  </si>
  <si>
    <t>foreman</t>
  </si>
  <si>
    <t xml:space="preserve">10700 La 44 </t>
  </si>
  <si>
    <t>Convent</t>
  </si>
  <si>
    <t>P-100-21159-379545</t>
  </si>
  <si>
    <t>Sr. Technical Engineer</t>
  </si>
  <si>
    <t>="(1) Web Services, Web API, WCF, JSON, and XML; (2) Angular, C#, .Net, ASP.NET, LINQ, and SQL Server.  Also, 2 years of experience stated herein to involve: (a) Salesforce Certified Developer with Software engineering skills with Force.com Platform, incl</t>
  </si>
  <si>
    <t>333 West San Carlos St</t>
  </si>
  <si>
    <t xml:space="preserve">Younkin </t>
  </si>
  <si>
    <t>1770  Promontory Circle</t>
  </si>
  <si>
    <t>danielle.younkin@jbssa.com</t>
  </si>
  <si>
    <t>1770 Promontory Circle</t>
  </si>
  <si>
    <t>Jinyoung</t>
  </si>
  <si>
    <t>1125 17th Street</t>
  </si>
  <si>
    <t>jjlee@fisherphillips.com</t>
  </si>
  <si>
    <t>P-400-21137-319953</t>
  </si>
  <si>
    <t>Cultural Ambassador</t>
  </si>
  <si>
    <t>4 Queens Folly Road</t>
  </si>
  <si>
    <t>Mailing: PO Box 5628, Hilton Head Island, SC 29928</t>
  </si>
  <si>
    <t>Hilton Head Island</t>
  </si>
  <si>
    <t>elam@palmettodunes.com</t>
  </si>
  <si>
    <t>Greenwood Communities and Resort</t>
  </si>
  <si>
    <t>Palmetto Dunes Oceanfront Resort</t>
  </si>
  <si>
    <t>MAILING: PO Box 5628, Hilton Head Island, SC 29928</t>
  </si>
  <si>
    <t>="MUST BE ABLE TO WORK A 5-DAY SCHEDULE, INCLUDING WEEKENDS AND HOLIDAYS AS REQUIRED. APPLICANT MUST COMPLETE AN EMPLOYMENT APPLICATION. PRE-EMPLOYMENT CRIMINAL BACKGROUND CHECK AND PRE-EMPLOYMENT, POSTINJURY/INCIDENT DRUG TEST REQUIRED, COST PAID BY EMPL</t>
  </si>
  <si>
    <t>P-400-21123-282475</t>
  </si>
  <si>
    <t>1310 Ski Mountain Rd.</t>
  </si>
  <si>
    <t>Gatlinburg</t>
  </si>
  <si>
    <t>CAMI INSTALATION LLC</t>
  </si>
  <si>
    <t>3873 Roxberry Hill Lane</t>
  </si>
  <si>
    <t>Buford</t>
  </si>
  <si>
    <t>P-100-21167-401068</t>
  </si>
  <si>
    <t>40890 Highway 57 Boulevard</t>
  </si>
  <si>
    <t>Zumbrota</t>
  </si>
  <si>
    <t>lisa.haderfarmspartnership@gmail.com</t>
  </si>
  <si>
    <t>Hader Farms Partnership</t>
  </si>
  <si>
    <t>Elizabeth Kerfeld</t>
  </si>
  <si>
    <t>allison@karamlaw.com</t>
  </si>
  <si>
    <t xml:space="preserve">Agricultural Equipment Operator </t>
  </si>
  <si>
    <t>P-400-21152-358442</t>
  </si>
  <si>
    <t>67525 CLINE FALLS HIGHWAY</t>
  </si>
  <si>
    <t>P-100-21138-320776</t>
  </si>
  <si>
    <t>MEA HWA</t>
  </si>
  <si>
    <t>145 WEST 57TH STREET</t>
  </si>
  <si>
    <t>TAMMYLEE@LORSG.COM</t>
  </si>
  <si>
    <t>NATIONAL GRID USA SERVICE COMPANY, INC.</t>
  </si>
  <si>
    <t>40 SYLVAN ROAD</t>
  </si>
  <si>
    <t>GOLDSTEIN &amp; LEE, P.C.</t>
  </si>
  <si>
    <t>Manager, Technical Delivery</t>
  </si>
  <si>
    <t>Computer Science, Computer Engineering, or a closely related technical field, or foreign equivalent degree.</t>
  </si>
  <si>
    <t>="Three (3) years of experience supporting SAP business systems within the energy utility industry, with a focus on implementing SAP ISU, including: implementing SAP modules and related modules, including SAP FICA and SAP ISU modules; building Technical A</t>
  </si>
  <si>
    <t>Director, Program Manager IS Projects</t>
  </si>
  <si>
    <t>Domestic travel within the U.S. (NY &amp; MA) up to 15 days total travel time per year.</t>
  </si>
  <si>
    <t>40 Sylvan Road</t>
  </si>
  <si>
    <t>P-100-21137-319836</t>
  </si>
  <si>
    <t>G.H. Daniels III &amp; Associates, Inc.</t>
  </si>
  <si>
    <t>Equipement Operator</t>
  </si>
  <si>
    <t>Primarily in Gypsum, Colorado but may travel to sites in Eagle County and surrounding counties.  May occasionally travel to Grand Junction and return during business hours.</t>
  </si>
  <si>
    <t>Rehab Supervisor</t>
  </si>
  <si>
    <t>P-400-21125-289708</t>
  </si>
  <si>
    <t>Carnahan</t>
  </si>
  <si>
    <t>Chere</t>
  </si>
  <si>
    <t>143 Celina Drive</t>
  </si>
  <si>
    <t>Natchitoches</t>
  </si>
  <si>
    <t>cherecarnahan1975@icloud.com</t>
  </si>
  <si>
    <t>Crawfish Hole Inc</t>
  </si>
  <si>
    <t>119 South Drive</t>
  </si>
  <si>
    <t>143 Celina Drive Natchitoches LA 71457 Mailing</t>
  </si>
  <si>
    <t>SHORT ORDER COOK</t>
  </si>
  <si>
    <t xml:space="preserve">="3 MONTHS RESTAURANT COOKING EXPERIENCE
MUST BE ABLE TO LIFT TO 50 LBS., STAND, STOOP, BEND, WALK, KNEEL, REACH OVER HEAD OR TO GROUND LEVEL FOR PROLONG PERIOD.
ONCE HIRED MAY BE REQUIRED TO TAKE A RANDOM DRUG TEST AT NO COST TO WORKER. TESTING POSITIVE </t>
  </si>
  <si>
    <t>119 SOUTH DRIVE</t>
  </si>
  <si>
    <t>NATCHITOCHES</t>
  </si>
  <si>
    <t>Central Louisiana nonmetropolitan area</t>
  </si>
  <si>
    <t>P-400-21150-356208</t>
  </si>
  <si>
    <t>BURROS</t>
  </si>
  <si>
    <t>ADEREMI</t>
  </si>
  <si>
    <t>9860 SOUTH THOMAS DR</t>
  </si>
  <si>
    <t>UNIT 1712</t>
  </si>
  <si>
    <t>WATRELOO HOSPITALITY INC</t>
  </si>
  <si>
    <t>2311 E County Highway 30A</t>
  </si>
  <si>
    <t>SANTO ROSA BEACH</t>
  </si>
  <si>
    <t>Crestview-Fort Walton Beach-Destin, FL</t>
  </si>
  <si>
    <t>SUITE 110</t>
  </si>
  <si>
    <t>Sales Associate</t>
  </si>
  <si>
    <t>P-400-21152-359397</t>
  </si>
  <si>
    <t>treichel</t>
  </si>
  <si>
    <t>kristin</t>
  </si>
  <si>
    <t>7098 S US Highway 45</t>
  </si>
  <si>
    <t>Oshkosh</t>
  </si>
  <si>
    <t>kristin@tjsharbor.com</t>
  </si>
  <si>
    <t>TEAM SNW LLC</t>
  </si>
  <si>
    <t>Culinary arts and Culinary assistant associates degree.</t>
  </si>
  <si>
    <t>7098 S Us Highway 45</t>
  </si>
  <si>
    <t>Oshkosh-Neenah, WI</t>
  </si>
  <si>
    <t>P-100-21127-297191</t>
  </si>
  <si>
    <t>ATTORNEY -AT-LAW</t>
  </si>
  <si>
    <t>PRJECT MANAGER</t>
  </si>
  <si>
    <t>25 Independence Blvd</t>
  </si>
  <si>
    <t>P-100-21173-419221</t>
  </si>
  <si>
    <t>Full Stack Developer III</t>
  </si>
  <si>
    <t xml:space="preserve">Bachelor’s degree or equivalent * </t>
  </si>
  <si>
    <t xml:space="preserve"> Computer Science, Engineering, Information Systems or related field </t>
  </si>
  <si>
    <t>2319 Holcomb Road</t>
  </si>
  <si>
    <t>Ringgold</t>
  </si>
  <si>
    <t>tbrjbrown@aol.com</t>
  </si>
  <si>
    <t>Green Mountain Forestry, LLC</t>
  </si>
  <si>
    <t>Transport provided, designated locale to job site. Begin in Catoosa County, GA. Continue in States: AL, AR, FL, GA, IL, KY, NC, SC, TN, VA.</t>
  </si>
  <si>
    <t>2319 Holcomb Road (Report to Work)</t>
  </si>
  <si>
    <t>Baqir</t>
  </si>
  <si>
    <t>6464 Savoy Dr.</t>
  </si>
  <si>
    <t>Suite 865</t>
  </si>
  <si>
    <t>ali@baqircpa.com</t>
  </si>
  <si>
    <t>BAQIR CPA LLC</t>
  </si>
  <si>
    <t>6464 SAVOY DR.</t>
  </si>
  <si>
    <t>SUITE 865</t>
  </si>
  <si>
    <t>P-400-21124-285017</t>
  </si>
  <si>
    <t>kurt@homanresources.com</t>
  </si>
  <si>
    <t>Katirlaw@aol.com</t>
  </si>
  <si>
    <t>Ma</t>
  </si>
  <si>
    <t>P-100-21123-282106</t>
  </si>
  <si>
    <t>Assistant Professor/Lecturer</t>
  </si>
  <si>
    <t>Ph.D. in Education, World Languages &amp; Cultures, or related field</t>
  </si>
  <si>
    <t>="Requires a Ph.D. in Education, World Languages &amp; Cultures, or related field; and six months experience teaching college level language courses (this experience can be through employment, training, or an academic program). Native or near-native fluency i</t>
  </si>
  <si>
    <t>255 S Central Campus Dr</t>
  </si>
  <si>
    <t>1400 LNCO</t>
  </si>
  <si>
    <t>P-400-21146-347119</t>
  </si>
  <si>
    <t>3558 W GLENCOE ST</t>
  </si>
  <si>
    <t>KREA USA, LLC</t>
  </si>
  <si>
    <t>Assistant Stonemason</t>
  </si>
  <si>
    <t>P-400-21127-296498</t>
  </si>
  <si>
    <t>Mickman</t>
  </si>
  <si>
    <t>Mickman Brothers, Inc.</t>
  </si>
  <si>
    <t>Helpers, Production Workers</t>
  </si>
  <si>
    <t>Minneapolis-St. Paul-Bloomington, MN-WI</t>
  </si>
  <si>
    <t>Please see Addendum.</t>
  </si>
  <si>
    <t>Medical and Clinical Laboratory Technicians</t>
  </si>
  <si>
    <t>P-400-21133-311190</t>
  </si>
  <si>
    <t>Maintenance Porter</t>
  </si>
  <si>
    <t>P-100-21181-435473</t>
  </si>
  <si>
    <t>Recruiting &amp; Immigration Specialist</t>
  </si>
  <si>
    <t>CCC Intelligent Solutions Inc.</t>
  </si>
  <si>
    <t>332 S. Michigan Ave</t>
  </si>
  <si>
    <t>Computer Science or Computer Information Systems/Technology or Computer Engineering or any Engineering field</t>
  </si>
  <si>
    <t>Expert, People Digital Strategy</t>
  </si>
  <si>
    <t>="Minimum 3 (three) years of experience managing projects in financial services or related industry. Experience must include: working with business to document functional specifications and requirements for products based on business needs; conducting dat</t>
  </si>
  <si>
    <t>Director, Global Compensation Digital Initiatives</t>
  </si>
  <si>
    <t>711 Third Ave</t>
  </si>
  <si>
    <t>Taylor /  Utarid</t>
  </si>
  <si>
    <t>Pamela / Blanca</t>
  </si>
  <si>
    <t xml:space="preserve">Relationship Manager, Global Mobility </t>
  </si>
  <si>
    <t xml:space="preserve">95 Washington Street </t>
  </si>
  <si>
    <t>immigration@us.hsbc.com</t>
  </si>
  <si>
    <t>HSBC Securities (USA) Inc.</t>
  </si>
  <si>
    <t>95 Washington Street</t>
  </si>
  <si>
    <t>Atrium 1NW</t>
  </si>
  <si>
    <t>Lobo</t>
  </si>
  <si>
    <t>Loreen</t>
  </si>
  <si>
    <t>Valini</t>
  </si>
  <si>
    <t>hsbc.us.immigration@ca.ey.com</t>
  </si>
  <si>
    <t>11-3031.00</t>
  </si>
  <si>
    <t>1 West 39th Street</t>
  </si>
  <si>
    <t>P-400-21126-292661</t>
  </si>
  <si>
    <t xml:space="preserve">Venezia's New York Style Pizza - T&amp;G, LLC </t>
  </si>
  <si>
    <t xml:space="preserve">15620 N. Tatum Blvd </t>
  </si>
  <si>
    <t>rtirado@tiradolaw.com</t>
  </si>
  <si>
    <t xml:space="preserve">Prep Cook </t>
  </si>
  <si>
    <t xml:space="preserve">15620 N Tatum Blvd </t>
  </si>
  <si>
    <t>SAM</t>
  </si>
  <si>
    <t>SOONHO</t>
  </si>
  <si>
    <t>1303 RYCROFT STREET</t>
  </si>
  <si>
    <t>ksh1030kim@gmail.com</t>
  </si>
  <si>
    <t>KKM, LLC</t>
  </si>
  <si>
    <t>CHOI'S GARDEN KOREAN RESTAURANT</t>
  </si>
  <si>
    <t>P-400-21123-282494</t>
  </si>
  <si>
    <t>McFarland</t>
  </si>
  <si>
    <t>141 S. Main Street</t>
  </si>
  <si>
    <t>Spring City</t>
  </si>
  <si>
    <t>Coventry Property Services, Inc.</t>
  </si>
  <si>
    <t>141 S. Main St.</t>
  </si>
  <si>
    <t>230 Third Avenue</t>
  </si>
  <si>
    <t>Trinity Partners, LLC</t>
  </si>
  <si>
    <t>Warehouse Manager</t>
  </si>
  <si>
    <t>Mohawk Industries, Inc.</t>
  </si>
  <si>
    <t>ALEJANDRO</t>
  </si>
  <si>
    <t>Automotive Service Technicians and Mechanics</t>
  </si>
  <si>
    <t>P-100-21127-296598</t>
  </si>
  <si>
    <t>Goodling</t>
  </si>
  <si>
    <t>1305 C. Enterprise Court</t>
  </si>
  <si>
    <t>Bel Air</t>
  </si>
  <si>
    <t>mgoodling@ivyhillandservices.com</t>
  </si>
  <si>
    <t>Ivy Hill Nursery Company, Inc.</t>
  </si>
  <si>
    <t>203 N. Jackson Ave.</t>
  </si>
  <si>
    <t>Office Supervisor</t>
  </si>
  <si>
    <t>P-100-21130-299072</t>
  </si>
  <si>
    <t>Saeger</t>
  </si>
  <si>
    <t>Head of Operations and Finance</t>
  </si>
  <si>
    <t>2890 North Fulton Drive</t>
  </si>
  <si>
    <t>psaeger@aischool.org</t>
  </si>
  <si>
    <t>Atlanta International School</t>
  </si>
  <si>
    <t>Principal of Upper School</t>
  </si>
  <si>
    <t>21-1012.00; 25-2022.00; 25-2031.00</t>
  </si>
  <si>
    <t>Educational, Guidance, School, and Vocational Counselors; Middle School Teachers, Except Special and Career/Technical Education; Secondary School Teachers, Except Special and Career/Technical Education</t>
  </si>
  <si>
    <t>education, educational leadership, curriculum studies, mathematics or a related field</t>
  </si>
  <si>
    <t>="Requires a bachelor’s or foreign equivalent degree in education, educational leadership, curriculum studies, mathematics or a related field and 5 years of experience in the position offered or 5 years of teaching experience. Requires 3 years of experien</t>
  </si>
  <si>
    <t>Education Administrators, Elementary and Secondary School</t>
  </si>
  <si>
    <t>P-100-21144-339620</t>
  </si>
  <si>
    <t>SUITE #1100 &amp; Various unanticipated locations throughout the U.S.</t>
  </si>
  <si>
    <t>P-400-21153-361624</t>
  </si>
  <si>
    <t>1273 W 12400 S</t>
  </si>
  <si>
    <t>Riverton</t>
  </si>
  <si>
    <t xml:space="preserve">Seasons Change Landscape Management </t>
  </si>
  <si>
    <t>laborer</t>
  </si>
  <si>
    <t>TRANSPORTATION PROVIDED TO/FROM SALT LAKE COUNTY PICK UP LOCATION</t>
  </si>
  <si>
    <t xml:space="preserve">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The wage entered in item G.7 reflects the area of intended employment entered in F.e.4 and F.e.5.
</t>
  </si>
  <si>
    <t>Blacklick</t>
  </si>
  <si>
    <t>BLACKLICK</t>
  </si>
  <si>
    <t>P-400-21124-285829</t>
  </si>
  <si>
    <t>Privette</t>
  </si>
  <si>
    <t>Lester</t>
  </si>
  <si>
    <t>119321 S 4110 Rd.</t>
  </si>
  <si>
    <t>Eufaula</t>
  </si>
  <si>
    <t>N/a</t>
  </si>
  <si>
    <t>OK World of Sandstone, LLC</t>
  </si>
  <si>
    <t>Helper Production Worker</t>
  </si>
  <si>
    <t>P-100-21148-353532</t>
  </si>
  <si>
    <t>Director, Talent Operations &amp; Compliance</t>
  </si>
  <si>
    <t>terrell.west@amedisys.com</t>
  </si>
  <si>
    <t xml:space="preserve">Physical Therapy; Physiotherapy; or Musculoskeletal Rehabilitation </t>
  </si>
  <si>
    <t>="Position requires either (i) a Master's degree in Physical Therapy, Physiotherapy, and/or Musculo Skeletal Rehabilitation, or related field and 36 months' experience as a Physical Therapist, or (ii) a Bachelor's degree in Physical Therapy, Physiotherapy</t>
  </si>
  <si>
    <t xml:space="preserve">Travel to patient homes as necessary within the area. </t>
  </si>
  <si>
    <t>1005 Slater Road</t>
  </si>
  <si>
    <t>P-400-21125-288402</t>
  </si>
  <si>
    <t>Suozzi III</t>
  </si>
  <si>
    <t>687 Carter Street</t>
  </si>
  <si>
    <t>New Canaan</t>
  </si>
  <si>
    <t>suozzi10@gmail.com</t>
  </si>
  <si>
    <t>Michael D. Suozzi III</t>
  </si>
  <si>
    <t>h2b@devorelawgroup.com</t>
  </si>
  <si>
    <t>Nanny - Live In</t>
  </si>
  <si>
    <t>Bridgeport-Stamford-Norwalk, CT</t>
  </si>
  <si>
    <t xml:space="preserve">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The six digit SOC code is assigned based on the extension 39-9011.01 - Nannies.  </t>
  </si>
  <si>
    <t>P-400-21144-340141</t>
  </si>
  <si>
    <t>Lissa</t>
  </si>
  <si>
    <t>FRANCISHMS21@GMAIL.COM</t>
  </si>
  <si>
    <t>Francis Hospitality &amp; Multi Services LLC</t>
  </si>
  <si>
    <t>2892 East Park Avenue</t>
  </si>
  <si>
    <t>Suite 1A</t>
  </si>
  <si>
    <t>23.01 PARKWAY</t>
  </si>
  <si>
    <t>roger@kcimmigrationlaw.com</t>
  </si>
  <si>
    <t>="Specific Skills Requirement 
•	(1) Utilizing languages and frameworks including JavaScript, HTML, CSS, Bootstrap, TypeScript, AngularJS, Angular 8, 9, Node JS, Express JS, Hapi, JAVA, Spring Boot, Bash Script, and Shell Script.
•	(2) Working with librar</t>
  </si>
  <si>
    <t>6360 Sprint Parkway</t>
  </si>
  <si>
    <t>PruittHealth - Parkwood, LLC</t>
  </si>
  <si>
    <t>Parkwood Developmental Center</t>
  </si>
  <si>
    <t>1501 North Lee Street</t>
  </si>
  <si>
    <t>P-400-21152-359913</t>
  </si>
  <si>
    <t>Bromelkamp</t>
  </si>
  <si>
    <t xml:space="preserve">Pete </t>
  </si>
  <si>
    <t>103 15th Ave. NW</t>
  </si>
  <si>
    <t>Willmar</t>
  </si>
  <si>
    <t>pete@tpihospitality.com</t>
  </si>
  <si>
    <t>Torgerson Properties Inc.</t>
  </si>
  <si>
    <t>TPI Hospitality</t>
  </si>
  <si>
    <t>103 15th Avenue NW</t>
  </si>
  <si>
    <t>Travel will be provided from Central Location to Multiple Worksites in the intended area of employment.</t>
  </si>
  <si>
    <t>5305 Wayzata Boulevard</t>
  </si>
  <si>
    <t>St Louis Park</t>
  </si>
  <si>
    <t>107 ALDERWOOD DR</t>
  </si>
  <si>
    <t>Marta</t>
  </si>
  <si>
    <t>P-100-21172-413503</t>
  </si>
  <si>
    <t>="Three (3) years of experience in the job offered or a related occupation: applying end-to-end systems development life cycles, including waterfall and iterative approaches to software development; conducting business modeling and defining requirements t</t>
  </si>
  <si>
    <t xml:space="preserve">Superintendent </t>
  </si>
  <si>
    <t>P-400-21130-301463</t>
  </si>
  <si>
    <t>Walters</t>
  </si>
  <si>
    <t>Jeffery</t>
  </si>
  <si>
    <t>981 Little Road</t>
  </si>
  <si>
    <t>jeff@outdoorexpressions.net</t>
  </si>
  <si>
    <t>James Brian Beavers</t>
  </si>
  <si>
    <t>Outdoor Expressions, LLC</t>
  </si>
  <si>
    <t>Assistant Professor of Computer Science</t>
  </si>
  <si>
    <t>P-100-21175-424628</t>
  </si>
  <si>
    <t xml:space="preserve">Arthur </t>
  </si>
  <si>
    <t xml:space="preserve">5 Murder Road </t>
  </si>
  <si>
    <t xml:space="preserve">Leslie </t>
  </si>
  <si>
    <t>="From boxes F.b.1.b and F.b.4.b: Minimum Requirements: Bachelor’s Degree in Electrical Engineering or related field; or foreign degree equivalent plus 5 years of experience in Testing, Inspection and Certification (TIC). 
Must have: Engineering experien</t>
  </si>
  <si>
    <t xml:space="preserve">Some International/Domestic Travel required. </t>
  </si>
  <si>
    <t xml:space="preserve">1 College Lane </t>
  </si>
  <si>
    <t>Moody</t>
  </si>
  <si>
    <t>P-100-21174-421084</t>
  </si>
  <si>
    <t>Physical therapist</t>
  </si>
  <si>
    <t>55 Hamilton Avenue</t>
  </si>
  <si>
    <t>49-9021.01</t>
  </si>
  <si>
    <t>Heating and Air Conditioning Mechanics and Installers</t>
  </si>
  <si>
    <t>Kitchen Supervisor</t>
  </si>
  <si>
    <t>8233 Gator Lane</t>
  </si>
  <si>
    <t>#24</t>
  </si>
  <si>
    <t>ryanclaims@comcast.net</t>
  </si>
  <si>
    <t>PROJECT MANAGER (DAMAGE RESTORATION)</t>
  </si>
  <si>
    <t xml:space="preserve">Sweekrutha </t>
  </si>
  <si>
    <t>P-400-21133-312777</t>
  </si>
  <si>
    <t>Schniebs</t>
  </si>
  <si>
    <t>8404 Stonewall Drive</t>
  </si>
  <si>
    <t>Tds.183@gmail.com</t>
  </si>
  <si>
    <t>Tina Schniebs</t>
  </si>
  <si>
    <t>Tulio</t>
  </si>
  <si>
    <t>Nanny (Live In)</t>
  </si>
  <si>
    <t>VICE-PRESIDENT</t>
  </si>
  <si>
    <t>P-400-21137-320559</t>
  </si>
  <si>
    <t>VR NE HOLDINGS, LLC</t>
  </si>
  <si>
    <t>Okemo Mountain Resort</t>
  </si>
  <si>
    <t>77 Okemo Ridge Road</t>
  </si>
  <si>
    <t>Ludlow</t>
  </si>
  <si>
    <t>111 Jackson Gore Road</t>
  </si>
  <si>
    <t>P-400-21146-344860</t>
  </si>
  <si>
    <t xml:space="preserve"> GILL</t>
  </si>
  <si>
    <t>115 Eagle Tree Terrace</t>
  </si>
  <si>
    <t>Jupiter</t>
  </si>
  <si>
    <t>JUPITER GOLF CLUB, LLC</t>
  </si>
  <si>
    <t xml:space="preserve">="Experience must be verifiable.
Pre-hire drug test and background check, carried out equally between U.S. workers and H-2B workers.
Must be available to work split-shifts, nights, weekends &amp; holidays as needed. 
Must be able to lift, pull, push or carry </t>
  </si>
  <si>
    <t>Senior Business Strategy Manager</t>
  </si>
  <si>
    <t>Computer Science, Engineering, Information Systems, Business Administration or a related field</t>
  </si>
  <si>
    <t>Director Business Development</t>
  </si>
  <si>
    <t>Macomb</t>
  </si>
  <si>
    <t>P-400-21153-362843</t>
  </si>
  <si>
    <t>Lombas</t>
  </si>
  <si>
    <t>337 Broadway Avenue</t>
  </si>
  <si>
    <t>Schriever</t>
  </si>
  <si>
    <t>louisianasunken@gmail.com</t>
  </si>
  <si>
    <t>Louisiana Sunken Marsh Fisheries</t>
  </si>
  <si>
    <t>Oyster Boat Deck Hand Workers</t>
  </si>
  <si>
    <t>Deck Supervisor</t>
  </si>
  <si>
    <t>3282 Bayou Dularge Rd</t>
  </si>
  <si>
    <t>Theriot</t>
  </si>
  <si>
    <t>P-100-21130-300766</t>
  </si>
  <si>
    <t>ARGILIO</t>
  </si>
  <si>
    <t>6950 NW 25TH ST</t>
  </si>
  <si>
    <t>PERM@USARP.ORG</t>
  </si>
  <si>
    <t>MASTER CUSTOMS BROKERS LLC</t>
  </si>
  <si>
    <t>P-400-21140-331224</t>
  </si>
  <si>
    <t>NICHOLAS</t>
  </si>
  <si>
    <t>2350 NW 23 ST</t>
  </si>
  <si>
    <t>nick@vinyawine.com</t>
  </si>
  <si>
    <t>VINYA FOOD AND DRINK LLC</t>
  </si>
  <si>
    <t>266 MIRACLE MILE</t>
  </si>
  <si>
    <t>P-400-21133-309880</t>
  </si>
  <si>
    <t>Animal Science, Veterinary Medicine, or related</t>
  </si>
  <si>
    <t>P-400-21126-291661</t>
  </si>
  <si>
    <t>Gronholz</t>
  </si>
  <si>
    <t>W8123 Old Na Road</t>
  </si>
  <si>
    <t>Holmen</t>
  </si>
  <si>
    <t>River City Lawnscape, Inc.</t>
  </si>
  <si>
    <t>La Crosse-Onalaska, WI-MN</t>
  </si>
  <si>
    <t>P-400-21137-317808</t>
  </si>
  <si>
    <t>PREVRATSKY</t>
  </si>
  <si>
    <t>LAW OFFICE OF MICHELE C MCCARTHY ESQ</t>
  </si>
  <si>
    <t xml:space="preserve">4521 PGA BLVD </t>
  </si>
  <si>
    <t>PALM BEACH GARDEN</t>
  </si>
  <si>
    <t>PALM BECH GARDEN</t>
  </si>
  <si>
    <t>mmccarthyimmigrationlawyer1@outlook.com</t>
  </si>
  <si>
    <t>LIPA MANAGEMENT CONSULTING INC</t>
  </si>
  <si>
    <t>#221</t>
  </si>
  <si>
    <t xml:space="preserve">PALM BEACH GARDENS </t>
  </si>
  <si>
    <t>PALM BEACH</t>
  </si>
  <si>
    <t>MCCARTHY</t>
  </si>
  <si>
    <t>89-05 REGENTS PARK DRIVE STE 230-01</t>
  </si>
  <si>
    <t>THE EMPLOYEES MAY REQUIRE TO DRIVE AND OR TAKE PUBLIC TRANSPORTATION TO THE WORKSITE</t>
  </si>
  <si>
    <t>RENAISSANCE MONTGOMERY HOTEL</t>
  </si>
  <si>
    <t>201 Tallapoosa Street</t>
  </si>
  <si>
    <t xml:space="preserve">Suite 750 </t>
  </si>
  <si>
    <t>P-400-21154-366856</t>
  </si>
  <si>
    <t>Cook II</t>
  </si>
  <si>
    <t>="The Petitioner will consider for employment any person who possesses at least six (6) months of culinary experience in a high-end or high-volume restaurant, resort, private club, or tourism environment.
Applicant may be required to complete pre-employm</t>
  </si>
  <si>
    <t>Cooks, Institution and Cafeteria</t>
  </si>
  <si>
    <t>jds@davidswaimlaw.com</t>
  </si>
  <si>
    <t>David Swaim and Associates PC</t>
  </si>
  <si>
    <t>P-400-21124-286026</t>
  </si>
  <si>
    <t>Snowmaker Supervisor</t>
  </si>
  <si>
    <t>1731 N Bogus Basin Rd.</t>
  </si>
  <si>
    <t>Horseshoe Bend</t>
  </si>
  <si>
    <t>Boise City, ID</t>
  </si>
  <si>
    <t>P-100-21137-318443</t>
  </si>
  <si>
    <t>XL SOFTEK, INC.</t>
  </si>
  <si>
    <t>4625 ALEXANDER DRIVE</t>
  </si>
  <si>
    <t>SUIE 125</t>
  </si>
  <si>
    <t>DATA ANALYST</t>
  </si>
  <si>
    <t>SCIENCE, TECHNOLOGY, ENGINEERING OR ANY RELATED FIELD.</t>
  </si>
  <si>
    <t xml:space="preserve">4625 ALEXANDER DRIVE </t>
  </si>
  <si>
    <t>SUITE 125 AND VARIOUS UNANTICIPATED LOCATIONS THROUGHOUT THE U.S.</t>
  </si>
  <si>
    <t>P-100-21145-343837</t>
  </si>
  <si>
    <t xml:space="preserve">Bachelor’s or foreign degree equivalent in Business Administration with a focus in Human Resources, Organization Design, Psychology, or a related field
</t>
  </si>
  <si>
    <t>Ronkonkoma</t>
  </si>
  <si>
    <t>P-400-21131-302461</t>
  </si>
  <si>
    <t>Klimantiris</t>
  </si>
  <si>
    <t>755 N. County Road</t>
  </si>
  <si>
    <t>Larry@TheBeachClub.net</t>
  </si>
  <si>
    <t>The Beach Club, Inc.</t>
  </si>
  <si>
    <t>1200 Northside Forsyth Drive</t>
  </si>
  <si>
    <t>DAVIS</t>
  </si>
  <si>
    <t>LONG ISLAND CITY</t>
  </si>
  <si>
    <t>P-400-21144-337511</t>
  </si>
  <si>
    <t>broe@napleslakesfl.com</t>
  </si>
  <si>
    <t>="The Petitioner will consider for employment any person who possesses at least six (6) months of service experience in a fine-dining or high-volume environment at a high-end restaurant, resort, or private club.
Applicant must complete pre-employment dru</t>
  </si>
  <si>
    <t>10 Hudson Yards, Floor 45</t>
  </si>
  <si>
    <t>paul@elovee.com</t>
  </si>
  <si>
    <t>Elovee, Inc.</t>
  </si>
  <si>
    <t>10 Hudson Yards, 45th Floor</t>
  </si>
  <si>
    <t>McCall</t>
  </si>
  <si>
    <t>1201 Third Avenue, Suite 4900</t>
  </si>
  <si>
    <t>Design Lead</t>
  </si>
  <si>
    <t>Design or foreign equivalent</t>
  </si>
  <si>
    <t>10 Hudson Yards, 47th Floor</t>
  </si>
  <si>
    <t>P-400-21150-356195</t>
  </si>
  <si>
    <t>9860 S. THOMAS DR</t>
  </si>
  <si>
    <t>WATERLOO HOSPITALITY INC</t>
  </si>
  <si>
    <t>15 HIGHWAY 50</t>
  </si>
  <si>
    <t>LAKE TAHOE</t>
  </si>
  <si>
    <t>Nevada nonmetropolitan area</t>
  </si>
  <si>
    <t xml:space="preserve">Home Health Aide </t>
  </si>
  <si>
    <t>P-400-21159-378632</t>
  </si>
  <si>
    <t>9711 Lawrence 1210</t>
  </si>
  <si>
    <t>Stonemason</t>
  </si>
  <si>
    <t>Lower Level</t>
  </si>
  <si>
    <t>P-100-21181-435715</t>
  </si>
  <si>
    <t>Harmony</t>
  </si>
  <si>
    <t>5 Laboratory Drive, Suite 1200</t>
  </si>
  <si>
    <t>h.johnson@stridebio.com</t>
  </si>
  <si>
    <t>StrideBio, Inc.</t>
  </si>
  <si>
    <t>Vice President Strategy and Operations</t>
  </si>
  <si>
    <t xml:space="preserve">Business Management, Business Engineering, Strategic Management or closely related field </t>
  </si>
  <si>
    <t>="Must have five (5) years of experience with managing and consulting on large scale and cross functional projects within the pharmaceutical industry that includes:
•	USA and European pharmaceutical regulations, including cGMP; 
•	Management of large corp</t>
  </si>
  <si>
    <t>Chief of Operations</t>
  </si>
  <si>
    <t>20% International Travel Required</t>
  </si>
  <si>
    <t>BENJAMIN</t>
  </si>
  <si>
    <t>P-100-21130-298987</t>
  </si>
  <si>
    <t>2702 Love Field Drive</t>
  </si>
  <si>
    <t>rachel.kirby@wnco.com</t>
  </si>
  <si>
    <t>Southwest Airlines Co.</t>
  </si>
  <si>
    <t>tResendez@fragomen.com</t>
  </si>
  <si>
    <t>FLC Wage Survey</t>
  </si>
  <si>
    <t>2702 LOVE FIELD DRIVE</t>
  </si>
  <si>
    <t xml:space="preserve">2020 US MBD/TRS – Finance/Accounting/Legal </t>
  </si>
  <si>
    <t>="Four (4) years of experience in job offered or related field: performing data manipulation and presenting data; managing relational databases to create and access data tables; executing advanced statistical techniques, including utilizing decision trees</t>
  </si>
  <si>
    <t>Senior Manager, Data Science</t>
  </si>
  <si>
    <t>P-400-21152-358660</t>
  </si>
  <si>
    <t>Heilmann</t>
  </si>
  <si>
    <t>Huntington-Ashland, WV-KY-OH</t>
  </si>
  <si>
    <t>P-400-21125-289379</t>
  </si>
  <si>
    <t>9822 Jamison Drive</t>
  </si>
  <si>
    <t>Landscape Professionals of Texas</t>
  </si>
  <si>
    <t>10500 NE 8th Street</t>
  </si>
  <si>
    <t>Carone</t>
  </si>
  <si>
    <t>1630 N Main Street, Suite 44</t>
  </si>
  <si>
    <t>Sandra@goldlawoffices.com</t>
  </si>
  <si>
    <t>Cohen Sedgh, Manavi &amp; Pakravan Dental Corporation</t>
  </si>
  <si>
    <t>West Coast Dental of Hemet</t>
  </si>
  <si>
    <t>12121 Wilshire Blvd. Ste 111</t>
  </si>
  <si>
    <t>GOLD</t>
  </si>
  <si>
    <t>DANA</t>
  </si>
  <si>
    <t>1630 N. MAIN STREET</t>
  </si>
  <si>
    <t>SUITE 44</t>
  </si>
  <si>
    <t>DANA@GOLDLAWOFFICES.COM</t>
  </si>
  <si>
    <t>GOLD LAW OFFICES</t>
  </si>
  <si>
    <t>29-1021.00</t>
  </si>
  <si>
    <t>3027 West Florida Ave.</t>
  </si>
  <si>
    <t>P-1</t>
  </si>
  <si>
    <t>Hemet</t>
  </si>
  <si>
    <t>P-100-21133-310621</t>
  </si>
  <si>
    <t>Katlin</t>
  </si>
  <si>
    <t>HR Manager, HR Business Partner Finance &amp; IT, SMC and Legal</t>
  </si>
  <si>
    <t>21680 Haggerty Road</t>
  </si>
  <si>
    <t>katlin.mathews@gentherm.com</t>
  </si>
  <si>
    <t>Gentherm Incorporated</t>
  </si>
  <si>
    <t>Senior Software Verification Engineer</t>
  </si>
  <si>
    <t>C.S. or Computer or Electrical Engineering</t>
  </si>
  <si>
    <t>="Requires Master’s in C.S. or Computer or Electrical Engineering &amp; 3 yrs experience working with CANoe, CANalyzer and VT System to create test panels and test automation scripts using CAPL; designing hardware &amp; software for automotive electrical and/or e</t>
  </si>
  <si>
    <t>Software Engineering Manager – Verification</t>
  </si>
  <si>
    <t>P-100-21168-405727</t>
  </si>
  <si>
    <t>BryanC@Muthy.com</t>
  </si>
  <si>
    <t xml:space="preserve">Senior Support Engineer </t>
  </si>
  <si>
    <t>Sugarland</t>
  </si>
  <si>
    <t>P-400-21141-332218</t>
  </si>
  <si>
    <t>3240 Iffert Ave NE</t>
  </si>
  <si>
    <t>St. Michael</t>
  </si>
  <si>
    <t>lk4700@aol.com</t>
  </si>
  <si>
    <t>L&amp;K Tree &amp; Shrub, Inc.</t>
  </si>
  <si>
    <t>The H-2B Temporary Landscape Laborers will perform job duties at projects in the Twin Cities and surrounding counties, including: Anoka, Dakota, Hennepin, Scott, Sherburne, Wright, Carver, Chisago, Isanti, Le Sueur, Ramsey, Sibley, Washington, Olmsted.  Workers will report to 3240 Iffert Ave. NE, St. Michael, MN 55376 for transportation to worksites.  The Landscape Laborers will also travel to a client site in Rochester, MN 3-5 times during the season.
Employer will provide daily transportation from the shop at 3240 Iffert Ave. NE, St. Michael, MN 55376 to and from worksites.</t>
  </si>
  <si>
    <t>Fletcher Tilton, PC</t>
  </si>
  <si>
    <t>P-400-21127-296711</t>
  </si>
  <si>
    <t>Anderson Jr</t>
  </si>
  <si>
    <t>VP/Operation Manager</t>
  </si>
  <si>
    <t>2231 James D Hagood Highway</t>
  </si>
  <si>
    <t>Mailing: P.O. Box 28 , South Boston, VA 24592</t>
  </si>
  <si>
    <t>Charles Anderson Lawn Care Service Inc.</t>
  </si>
  <si>
    <t>="Must lift/carry 50 lbs., when necessary.  Saturday and Sunday work required, when necessary.  Employer-paid drug testing required of foreign and domestic workers prior to commencing work and post-hire post-accident. Must bend, kneel, stoop, and walk for</t>
  </si>
  <si>
    <t>2231 James D. Hagood Hwy.</t>
  </si>
  <si>
    <t>Shan</t>
  </si>
  <si>
    <t>P-100-21144-338910</t>
  </si>
  <si>
    <t xml:space="preserve">Science, Technology, Computer Applications, or Engineering (any field) </t>
  </si>
  <si>
    <t>="Skills required: .Net, Asp.Net, C#, SQL Server, Oracle, MVC, Linq, JQuery, JavaScript, Angular, HTML, CSS, WebApi, WCF, Azure, and Ajax. Master's degree in Science, Technology, Computer Applications, or Engineering (any field) with 12 months of experien</t>
  </si>
  <si>
    <t>P-400-21130-300425</t>
  </si>
  <si>
    <t xml:space="preserve">="The Petitioner will consider for employment any person who possesses at least three (3) months of experience in a fine-dining or high-volume food preparation and production environment.  Applicant must complete pre-employment drug screening.  Applicant </t>
  </si>
  <si>
    <t>P-400-21154-365925</t>
  </si>
  <si>
    <t>315 S. Limestone</t>
  </si>
  <si>
    <t>Locotaco420@gmail.com</t>
  </si>
  <si>
    <t>The Local Taco</t>
  </si>
  <si>
    <t>Combined Food Preparation and Serving Worker</t>
  </si>
  <si>
    <t xml:space="preserve">315 S. Limestone </t>
  </si>
  <si>
    <t>P-100-21139-324527</t>
  </si>
  <si>
    <t xml:space="preserve"> 6th Floor</t>
  </si>
  <si>
    <t>Information Technology, Computer Science or a related field</t>
  </si>
  <si>
    <t>Manager, Integration Engineering</t>
  </si>
  <si>
    <t>6600 Chase Oaks Blvd</t>
  </si>
  <si>
    <t>P-100-21144-339020</t>
  </si>
  <si>
    <t>DIGIXFORM, INC</t>
  </si>
  <si>
    <t>250 B</t>
  </si>
  <si>
    <t xml:space="preserve">SCIENCE, TECHNOLOGY, ENGINEERING, OR ANY RELATED FIELD  </t>
  </si>
  <si>
    <t>250 B &amp; Various  unanticipated locations throughout U.S</t>
  </si>
  <si>
    <t>Brown County - daily travel</t>
  </si>
  <si>
    <t>87812 US Hwy 183</t>
  </si>
  <si>
    <t>Ainsworth</t>
  </si>
  <si>
    <t>P-400-21139-326048</t>
  </si>
  <si>
    <t>556 Davisville Road</t>
  </si>
  <si>
    <t>Willow Grove</t>
  </si>
  <si>
    <t>Bill Johnston Landscape Company</t>
  </si>
  <si>
    <t>110 West 34th Street</t>
  </si>
  <si>
    <t>P-400-21146-346657</t>
  </si>
  <si>
    <t>Fiddlers Creek Foundation, Inc.</t>
  </si>
  <si>
    <t xml:space="preserve">3470 Club Center Blvd. </t>
  </si>
  <si>
    <t>Accounting or Business Administration</t>
  </si>
  <si>
    <t>="Must have 6 years of progressive experience in software engineering or IT consulting positions performing the following: applying in-depth knowledge in information systems and understanding of key business processes and competitive strategies related to</t>
  </si>
  <si>
    <t>P-400-21134-315821</t>
  </si>
  <si>
    <t>11315 Williamson Road</t>
  </si>
  <si>
    <t>GroundSystems, Inc. - Hamilton</t>
  </si>
  <si>
    <t>="Must lift/carry 50 lbs., when necessary.  Saturday and Sunday work required, when necessary.  Employer-paid drug testing required of foreign and domestic workers prior to commencing work and post-hire post-accident. Post-hire background check required o</t>
  </si>
  <si>
    <t>11315 Williamson Rd,</t>
  </si>
  <si>
    <t>P-200-21158-375057</t>
  </si>
  <si>
    <t>Alagarasan</t>
  </si>
  <si>
    <t>Shashikala</t>
  </si>
  <si>
    <t>18 Streambank Dr</t>
  </si>
  <si>
    <t>Freehold</t>
  </si>
  <si>
    <t>shashi@criterion-software.com</t>
  </si>
  <si>
    <t>Criterion Software LLC</t>
  </si>
  <si>
    <t>205 US Hwy 9</t>
  </si>
  <si>
    <t>Ste. #30</t>
  </si>
  <si>
    <t>Engineering, Computer Science, Math, Computer Applications</t>
  </si>
  <si>
    <t>Currently client locations in New England.  More regions of US expected over the next 12 months with addition of new clients.
Frequency: Expected to be about once a month</t>
  </si>
  <si>
    <t xml:space="preserve">205 US HIGHWAY 9 </t>
  </si>
  <si>
    <t>FREEHOLD</t>
  </si>
  <si>
    <t>International Travel Required 15%.</t>
  </si>
  <si>
    <t>P-100-21168-406215</t>
  </si>
  <si>
    <t>Hickem</t>
  </si>
  <si>
    <t>P-400-21125-288631</t>
  </si>
  <si>
    <t>Vegas Restaurant, Inc.</t>
  </si>
  <si>
    <t>="• Must be able to exert well-paced mobility.
• Must be able to lift/carry up to 50 pounds.
• Good knife skills are essential.
• Ability to work at special events when required.
• Ability to work in a fast-paced environment.
• Ability to work under the d</t>
  </si>
  <si>
    <t>Lyndoe</t>
  </si>
  <si>
    <t>607 Mt. Rushmore Road</t>
  </si>
  <si>
    <t>Mailing: P.O. Box 43, Pringle, SD 57773</t>
  </si>
  <si>
    <t>Custer</t>
  </si>
  <si>
    <t>melyndoe1983@yahoo.com</t>
  </si>
  <si>
    <t>Maria's Mexican</t>
  </si>
  <si>
    <t>P-100-21152-357839</t>
  </si>
  <si>
    <t>Analytics, Mathematics, Computer Engineering, Statistics or a related quantitative field.</t>
  </si>
  <si>
    <t>="Eight (8) years of progressively responsible experience in the job offered or related occupation: working with statistical modeling to develop supervised regression models; developing unsupervised models, including cluster analysis and customer segmenta</t>
  </si>
  <si>
    <t>Director Analytics</t>
  </si>
  <si>
    <t>Doreen</t>
  </si>
  <si>
    <t>Assistant Pastor</t>
  </si>
  <si>
    <t>P-400-21131-305069</t>
  </si>
  <si>
    <t>Bartels</t>
  </si>
  <si>
    <t>5 North Payne Street</t>
  </si>
  <si>
    <t>Elsmford</t>
  </si>
  <si>
    <t>Tanto Irrigation, LLC</t>
  </si>
  <si>
    <t>Elmsford</t>
  </si>
  <si>
    <t>Work site(s): Provided daily transportation to and from the worksite; begin in Atlanta, DeKalb County, GA 30328.Continue into the county(ies) of DeKalb, &amp; Fulton counties GA; &amp; area of Atlanta-Sandy Springs-Roswell GA.</t>
  </si>
  <si>
    <t>1050 Hammond Drive (Report to Work)</t>
  </si>
  <si>
    <t>WISCONSIN DELLS</t>
  </si>
  <si>
    <t>Molnar</t>
  </si>
  <si>
    <t>Andor</t>
  </si>
  <si>
    <t>19001 Kermier Road</t>
  </si>
  <si>
    <t>Waller</t>
  </si>
  <si>
    <t>andor.molnar@goodmanmfg.com</t>
  </si>
  <si>
    <t>Goodman Manufacturing Company, L.P.</t>
  </si>
  <si>
    <t xml:space="preserve">Chief People Officer </t>
  </si>
  <si>
    <t>DCPerm@balglobal.com</t>
  </si>
  <si>
    <t>P-100-21167-404127</t>
  </si>
  <si>
    <t>SEPULVEDA PENA</t>
  </si>
  <si>
    <t>WANDA</t>
  </si>
  <si>
    <t>IVELISSE</t>
  </si>
  <si>
    <t>CARR #2 KM 28.8 BARRIO ESPINOSA</t>
  </si>
  <si>
    <t>VEGA ALTA</t>
  </si>
  <si>
    <t>GRANDCENTRALAUTO@GMAIL.COM</t>
  </si>
  <si>
    <t>GRAND CENTRAL AUTO SALES INC.</t>
  </si>
  <si>
    <t>CARR 2 KM 28.8 BARRIO ESPINOSA</t>
  </si>
  <si>
    <t>239 ARTERIAL HOSTOS CAPITAL CENTER I SUITE 302</t>
  </si>
  <si>
    <t>BUYER</t>
  </si>
  <si>
    <t>P-100-21126-294182</t>
  </si>
  <si>
    <t>2400 Glenville Dr., Building A</t>
  </si>
  <si>
    <t>Verily Life Sciences LLC</t>
  </si>
  <si>
    <t>269 East Grand Avenue</t>
  </si>
  <si>
    <t>knjensen@balglobal.com</t>
  </si>
  <si>
    <t>Data Scientist 1615.60942</t>
  </si>
  <si>
    <t>P-400-21147-350672</t>
  </si>
  <si>
    <t>Mendiola</t>
  </si>
  <si>
    <t>Abiel</t>
  </si>
  <si>
    <t>5 Cloverhill Drive</t>
  </si>
  <si>
    <t>Mailing: PO Box 69 , Warren, AR 71671</t>
  </si>
  <si>
    <t>abielmfs@yahoo.com</t>
  </si>
  <si>
    <t xml:space="preserve">Mendiola Forestry Services, LLC </t>
  </si>
  <si>
    <t>="Requires physical stamina. Must lift and carry 50 lbs. Extensive walking over rough terrain. Work is in adverse weather.Work schedule and locations dependent on weather conditions. Overnight travel required.  Production standard of 2000 tree seedlings p</t>
  </si>
  <si>
    <t>Exeter</t>
  </si>
  <si>
    <t>Electrical and Computer Engineering</t>
  </si>
  <si>
    <t>HOUSEKEEPING/MAID/CLEANERS</t>
  </si>
  <si>
    <t>P-100-21123-283385</t>
  </si>
  <si>
    <t>Beverly Glen Laboratories, Inc.</t>
  </si>
  <si>
    <t>Bglen</t>
  </si>
  <si>
    <t>7777 Center Ave., Suite 500</t>
  </si>
  <si>
    <t>International Account Executive</t>
  </si>
  <si>
    <t>Business, Economics, Marketing or related.</t>
  </si>
  <si>
    <t>Ste. 110</t>
  </si>
  <si>
    <t>Database Administrator II</t>
  </si>
  <si>
    <t>P-100-21166-396870</t>
  </si>
  <si>
    <t>Computer Science, Engineering, Mathematics, Information Systems, Physics or a related field</t>
  </si>
  <si>
    <t>P-100-21125-287360</t>
  </si>
  <si>
    <t>Montemayor</t>
  </si>
  <si>
    <t>6340 Oakton St</t>
  </si>
  <si>
    <t>Morton Grove</t>
  </si>
  <si>
    <t>michael@nationalhvac.com</t>
  </si>
  <si>
    <t>National Heat &amp; Power Corp.</t>
  </si>
  <si>
    <t xml:space="preserve">engineering field </t>
  </si>
  <si>
    <t>Payne</t>
  </si>
  <si>
    <t>16530 Ventura Blvd.</t>
  </si>
  <si>
    <t>Ste. 412</t>
  </si>
  <si>
    <t>david@davidsturman.com</t>
  </si>
  <si>
    <t>Law Office of David M. Sturman</t>
  </si>
  <si>
    <t>P-400-21125-289114</t>
  </si>
  <si>
    <t>TRAVEL TO OUR CLIENTS' SITES THROUGHOUT USA.</t>
  </si>
  <si>
    <t>P-100-21155-370847</t>
  </si>
  <si>
    <t>201 California St</t>
  </si>
  <si>
    <t>Rakesh</t>
  </si>
  <si>
    <t>P-100-21124-286150</t>
  </si>
  <si>
    <t>DHARANI</t>
  </si>
  <si>
    <t>DIRECTOR HR</t>
  </si>
  <si>
    <t>101 W RENNER RD</t>
  </si>
  <si>
    <t>STE 140</t>
  </si>
  <si>
    <t>adharani@fam-llc.com</t>
  </si>
  <si>
    <t>COMPUTER INFORMATION SYSTEMS MANAGER</t>
  </si>
  <si>
    <t>MOBILE COMPUTER SYSTEMS</t>
  </si>
  <si>
    <t>QA ENGINEER</t>
  </si>
  <si>
    <t>P-100-21166-399705</t>
  </si>
  <si>
    <t>451 D Street</t>
  </si>
  <si>
    <t>Suite 707</t>
  </si>
  <si>
    <t>katie@elektrofi.com</t>
  </si>
  <si>
    <t>Elektrofi, Inc.</t>
  </si>
  <si>
    <t>Senior Associate Scientist</t>
  </si>
  <si>
    <t>Pharmaceutical Sciences, Bioengineering, or closely related scientific discipline</t>
  </si>
  <si>
    <t>="Any occupation in which the experience listed under "Requirements" in F.a.2. has been gained."</t>
  </si>
  <si>
    <t>="Must have 1 year of industry lab experience, including experience with the following: protein chemistry and formulations and stability characterization techniques; formulation experience with biologics; formulation preparation techniques, including buff</t>
  </si>
  <si>
    <t>P-400-21150-356199</t>
  </si>
  <si>
    <t>500 NORTH SIERRA ST</t>
  </si>
  <si>
    <t>RENO</t>
  </si>
  <si>
    <t>Reno, NV</t>
  </si>
  <si>
    <t>TECHNICAL LEAD IV</t>
  </si>
  <si>
    <t>P-100-21179-429958</t>
  </si>
  <si>
    <t>Major in law and study Immigration Law.</t>
  </si>
  <si>
    <t>Software Engineer [5141-6 Software Engineer (Apps)]</t>
  </si>
  <si>
    <t>Head of Healthcare &amp; Others Dept</t>
  </si>
  <si>
    <t xml:space="preserve">Denver </t>
  </si>
  <si>
    <t>P-100-21166-397074</t>
  </si>
  <si>
    <t>Goldfein</t>
  </si>
  <si>
    <t>Senior Director, Strategy &amp; Business Development</t>
  </si>
  <si>
    <t>629 Davis Dr., Suite 300</t>
  </si>
  <si>
    <t>andrew.goldfein@affordablecare.com</t>
  </si>
  <si>
    <t>Affordable Dentures &amp; Implants of Pennsylvania, PLLC</t>
  </si>
  <si>
    <t>Selinsgrove Dental &amp; Dentures</t>
  </si>
  <si>
    <t>2192 N. Susquehaqnna Trail</t>
  </si>
  <si>
    <t>Selinsgrove</t>
  </si>
  <si>
    <t>29-2021.00; 31-9091.00; 43-6011.00; 51-9081.00</t>
  </si>
  <si>
    <t>Dental Assistants; Dental Hygienists; Dental Laboratory Technicians; Executive Secretaries and Executive Administrative Assistants</t>
  </si>
  <si>
    <t>DDS, DDM, or DMD</t>
  </si>
  <si>
    <t>2192 N Susquehanna Trail</t>
  </si>
  <si>
    <t>P-400-21137-317978</t>
  </si>
  <si>
    <t>martin.p@lipamanagement.com</t>
  </si>
  <si>
    <t>4521 PGA BLVD</t>
  </si>
  <si>
    <t>PALM BEACH GARDENS</t>
  </si>
  <si>
    <t>8905 REGENTS PARK DRIVE SUITE 230-01</t>
  </si>
  <si>
    <t>Margaritaville Hollywood Beach Resort</t>
  </si>
  <si>
    <t>1111 NORTH OCEAN DRIVE</t>
  </si>
  <si>
    <t>Computer Science, Computer Application, CIS, Engineering-any branch or related</t>
  </si>
  <si>
    <t>Loveland</t>
  </si>
  <si>
    <t>Jiarui</t>
  </si>
  <si>
    <t>1770 Indian Trail Lilburn Road</t>
  </si>
  <si>
    <t>help@xielaw.com</t>
  </si>
  <si>
    <t>CXForward LLC</t>
  </si>
  <si>
    <t>5 Concourse Parkway</t>
  </si>
  <si>
    <t>Lead Decisioning Architect</t>
  </si>
  <si>
    <t>1111 Pennsylvania Ave., NW</t>
  </si>
  <si>
    <t>P-100-21144-339535</t>
  </si>
  <si>
    <t xml:space="preserve">Fernando </t>
  </si>
  <si>
    <t>P-400-21130-299053</t>
  </si>
  <si>
    <t>Director of Marketing &amp; HR</t>
  </si>
  <si>
    <t>15533 Chillicothe Rd</t>
  </si>
  <si>
    <t>Novelty</t>
  </si>
  <si>
    <t>LandsKeepers Five Star, LLC</t>
  </si>
  <si>
    <t>DBA LandsKeepers</t>
  </si>
  <si>
    <t>="Must lift/carry 50 lbs., when necessary.  Saturday work required, when necessary.  Employer-paid drug testing required of foreign and domestic workers prior to commencing work and post-hire upon suspicion of use and post-accident. Post-hire background c</t>
  </si>
  <si>
    <t>P-400-21131-302690</t>
  </si>
  <si>
    <t>Refractory Materials Repairer</t>
  </si>
  <si>
    <t>="MUST PERFORM PHYSICAL ACTIVITIES THAT REQUIRE CLIMBING, LIFTING, BALANCING, WALKING, STOOPING, AND HANDLING OF MATERIALS, LIFT 75 LBS.
 MUST BE AVAILABLE 24/7 FOR EMERGENCY REPAIRS. WORK SCHEDULE VARIES DURING THE WEEK MON-SUN WITH POSSIBLE WEEKDAYS OF</t>
  </si>
  <si>
    <t>Refractory Materials Repairers, Except Brickmasons</t>
  </si>
  <si>
    <t>Manager, Tool and Die</t>
  </si>
  <si>
    <t>17-3026.00; 51-4041.00</t>
  </si>
  <si>
    <t>Industrial Engineering Technicians; Machinists</t>
  </si>
  <si>
    <t>P-400-21127-296559</t>
  </si>
  <si>
    <t>2000 West Loop 340, #203</t>
  </si>
  <si>
    <t>Barnhill Outdoors, LLC</t>
  </si>
  <si>
    <t>P-400-21130-299395</t>
  </si>
  <si>
    <t>Tobias</t>
  </si>
  <si>
    <t>Vice - President</t>
  </si>
  <si>
    <t>13235 N Verde River Drive</t>
  </si>
  <si>
    <t>Fountain Hills</t>
  </si>
  <si>
    <t>fefun@icloud.com</t>
  </si>
  <si>
    <t>Frazier Equipment, LLC</t>
  </si>
  <si>
    <t>Frazier Shows</t>
  </si>
  <si>
    <t>Amusement &amp; Recreation Attendant – Carnival</t>
  </si>
  <si>
    <t>MERCADO</t>
  </si>
  <si>
    <t xml:space="preserve">Dynamic Physical Therapy and Sports Rehabilitation </t>
  </si>
  <si>
    <t>220 Livingston Street, Suite 108</t>
  </si>
  <si>
    <t>07647-1739</t>
  </si>
  <si>
    <t>dynamicptandsports@yahoo.com</t>
  </si>
  <si>
    <t>220 Livingston Street</t>
  </si>
  <si>
    <t>Lingas Law Office</t>
  </si>
  <si>
    <t xml:space="preserve">Northvale </t>
  </si>
  <si>
    <t xml:space="preserve">2400 N. Glenville Dr. </t>
  </si>
  <si>
    <t>Katelyn</t>
  </si>
  <si>
    <t>KAVAL</t>
  </si>
  <si>
    <t>4350 STARBOARD DRIVE</t>
  </si>
  <si>
    <t>kaval@alertenterprise.com</t>
  </si>
  <si>
    <t>ALERTENTERPRISE INC.</t>
  </si>
  <si>
    <t>CS, CIS, Engineering (Any), MIS, IT, or any related field.</t>
  </si>
  <si>
    <t>Travel required to various unanticipated client sites throughout the US.</t>
  </si>
  <si>
    <t>4350 Starboard Drive</t>
  </si>
  <si>
    <t>Minguez</t>
  </si>
  <si>
    <t>1890 Preston White Drive</t>
  </si>
  <si>
    <t>KELLY.MINGUEZ@gtatelecom.com</t>
  </si>
  <si>
    <t>Global Technology Associates, LLC</t>
  </si>
  <si>
    <t>Kalish</t>
  </si>
  <si>
    <t>Floor 29</t>
  </si>
  <si>
    <t>mark@kalishlaw.com</t>
  </si>
  <si>
    <t>Law Offices of Mark C. Kalish</t>
  </si>
  <si>
    <t>Frequent travel to unanticipated locations throughout the U.S.</t>
  </si>
  <si>
    <t>="This position also requires education or experience in: Customer Focus Design; Developer Engagement; Cross-Group/Partner Collaboration; Drive for Results; Influencing for Impact; Strategic Planning; and Coordinating program development of computer softw</t>
  </si>
  <si>
    <t>P-100-21145-340472</t>
  </si>
  <si>
    <t>RIVET</t>
  </si>
  <si>
    <t xml:space="preserve">Jo-Anne </t>
  </si>
  <si>
    <t>6202 Seton House Lane</t>
  </si>
  <si>
    <t>Renaissancep.hr@gmail.com</t>
  </si>
  <si>
    <t>Renaissance 2016, LLC</t>
  </si>
  <si>
    <t>Renaissance Patisserie</t>
  </si>
  <si>
    <t>AMIRI</t>
  </si>
  <si>
    <t>Manuella</t>
  </si>
  <si>
    <t>100 Oceangate</t>
  </si>
  <si>
    <t>amirilaw@yahoo.com</t>
  </si>
  <si>
    <t>Law Offices of Roxana Amiri</t>
  </si>
  <si>
    <t>Senior Pastry Chef / Baker</t>
  </si>
  <si>
    <t>51-3011.00</t>
  </si>
  <si>
    <t>Executive Chef / Owner</t>
  </si>
  <si>
    <t>6401 Morrison Blvd</t>
  </si>
  <si>
    <t>4A</t>
  </si>
  <si>
    <t>P-100-21141-333342</t>
  </si>
  <si>
    <t>Kethineni</t>
  </si>
  <si>
    <t>5755 North Point Parkway, Suite 225</t>
  </si>
  <si>
    <t>sk@bosstechnologies.com</t>
  </si>
  <si>
    <t>Boss Technologies, Inc</t>
  </si>
  <si>
    <t>Senior Programmer Analysts</t>
  </si>
  <si>
    <t xml:space="preserve">MS or foreign equivalent in Computer Science or IT or IS or Related </t>
  </si>
  <si>
    <t>P-400-21130-299084</t>
  </si>
  <si>
    <t xml:space="preserve">The Club at Mediterra, Inc. </t>
  </si>
  <si>
    <t xml:space="preserve">Line Cook </t>
  </si>
  <si>
    <t xml:space="preserve">Executive Sous Chef and Director of Culinary Operations </t>
  </si>
  <si>
    <t>All worksites located in Collier and Lee Counties, Florida.  Workers are assigned to one (1) worksite per day, and rarely travel outside of their assigned worksite.  Therefore, travel throughout this area is required less than 5% of the time.  When travel between worksites is required, transportation between worksites will be provided.</t>
  </si>
  <si>
    <t>P-100-21141-335367</t>
  </si>
  <si>
    <t>BONNELLO/21.6472.2 GP</t>
  </si>
  <si>
    <t>Suite 1606</t>
  </si>
  <si>
    <t>="Experience with HDFS, Hadoop, HBase, Hive, MongoDB, Vertica, Amazon Redshift, Oracle, Python, SQL, NoSQL, ElasticSearch, Java, Kafka, MPP, Spark, MapReduce,  Sqoop, TDCH, StreamSets, Salesforce, Sqoop, Alteryx, developing frameworks, and machine learnin</t>
  </si>
  <si>
    <t>P-100-21146-347892</t>
  </si>
  <si>
    <t>JORDI</t>
  </si>
  <si>
    <t>Franey</t>
  </si>
  <si>
    <t>3768 S Lapeer Rd.</t>
  </si>
  <si>
    <t>Lake Orion</t>
  </si>
  <si>
    <t>cfraney@americanbatterysolutions.com</t>
  </si>
  <si>
    <t>American Battery Solutions, Inc.</t>
  </si>
  <si>
    <t>P-100-21173-417491</t>
  </si>
  <si>
    <t>N&amp;R of Fulton, Inc</t>
  </si>
  <si>
    <t xml:space="preserve">1510 N Bluff St </t>
  </si>
  <si>
    <t>P-400-21125-289739</t>
  </si>
  <si>
    <t>WOOLARD BROTHERS COMMERCIAL CONTRACTING, INC.</t>
  </si>
  <si>
    <t>531-B OLIVER ROAD</t>
  </si>
  <si>
    <t>DRYWALL INSTALLERS</t>
  </si>
  <si>
    <t>Montgomery, AL</t>
  </si>
  <si>
    <t xml:space="preserve">Vice President of Legal Services </t>
  </si>
  <si>
    <t>P-100-21148-355217</t>
  </si>
  <si>
    <t>Jonghee</t>
  </si>
  <si>
    <t>Lead Pastor</t>
  </si>
  <si>
    <t>14545 Valley View Ave.</t>
  </si>
  <si>
    <t>14545milal@gmail.com</t>
  </si>
  <si>
    <t>The America Wheat Mission in Southern California, Inc.</t>
  </si>
  <si>
    <t>Milal Misson</t>
  </si>
  <si>
    <t>P-400-21140-329868</t>
  </si>
  <si>
    <t>Jestrella@fragomen.com</t>
  </si>
  <si>
    <t>F&amp;B Assistant I</t>
  </si>
  <si>
    <t>Banquet Stewarding Manager</t>
  </si>
  <si>
    <t>One South Country Road</t>
  </si>
  <si>
    <t>Cashmere</t>
  </si>
  <si>
    <t>P-100-21142-335878</t>
  </si>
  <si>
    <t>P-100-21175-425301</t>
  </si>
  <si>
    <t xml:space="preserve">Senior Engineer, Infra Eng </t>
  </si>
  <si>
    <t xml:space="preserve">Computer Information Systems, Computer Science, or Software Engineering. </t>
  </si>
  <si>
    <t>="Must have 10 years of progressive experience in IT positions performing/utilizing the following: architecting, designing, and administering RDBMS products, including Microsoft (MS) SQL Server; Performance Tuning &amp; Troubleshooting issues using SQL Server</t>
  </si>
  <si>
    <t>1555 PEACHTREE STREET N.E.</t>
  </si>
  <si>
    <t>Dorn</t>
  </si>
  <si>
    <t>P-400-21127-296505</t>
  </si>
  <si>
    <t>Barret</t>
  </si>
  <si>
    <t>342 N Main St</t>
  </si>
  <si>
    <t>Boerne</t>
  </si>
  <si>
    <t>Klein Smoked Meats, LLC</t>
  </si>
  <si>
    <t>Pool Cleaner</t>
  </si>
  <si>
    <t>ARCHITECTURE</t>
  </si>
  <si>
    <t>HUMAN RESOURCE MANAGER</t>
  </si>
  <si>
    <t>SCIENCE , TECHNOLOGY, ENGINEERING, OR ANY RELATED FIELD.</t>
  </si>
  <si>
    <t>P-400-21154-365500</t>
  </si>
  <si>
    <t>Kristek</t>
  </si>
  <si>
    <t>1345 S. Fort Ave</t>
  </si>
  <si>
    <t>dega14@icloud.com</t>
  </si>
  <si>
    <t>Wickman Garden Village</t>
  </si>
  <si>
    <t>Transport provided, designated locale to job site. Begin in Greene County, MO. Continue in Counties/Areas: Christian, Greene, Stone, Taney and areas of Southwest Missouri nonmetropolitan area, Springfield, MO.</t>
  </si>
  <si>
    <t>1345 S. Fort Ave (Report to Work)</t>
  </si>
  <si>
    <t>BILL</t>
  </si>
  <si>
    <t xml:space="preserve">Computer Science or Computer Information Systems/Technology or Computer Engineering or any Engineering field </t>
  </si>
  <si>
    <t>P-400-21130-299254</t>
  </si>
  <si>
    <t>Fung</t>
  </si>
  <si>
    <t>26660 Country Club Drive</t>
  </si>
  <si>
    <t>peggyt@bonitabayclub.net</t>
  </si>
  <si>
    <t>Bonita Bay Club, Inc.</t>
  </si>
  <si>
    <t xml:space="preserve">Director of Culinary Operations </t>
  </si>
  <si>
    <t xml:space="preserve">Bellevue </t>
  </si>
  <si>
    <t>P-400-21147-351110</t>
  </si>
  <si>
    <t>De Paz</t>
  </si>
  <si>
    <t>Francisco</t>
  </si>
  <si>
    <t>171 Adams Cemetery Rd.</t>
  </si>
  <si>
    <t>Glenwood</t>
  </si>
  <si>
    <t>perennialpinestraw@gmail.com</t>
  </si>
  <si>
    <t>Perennial Pinestraw LLC</t>
  </si>
  <si>
    <t>Grounds Maintenance</t>
  </si>
  <si>
    <t xml:space="preserve">="Must show proof of legal authorization to work in the United States. Drug/alcohol/tobacco free work zone. Perform physical activities: such as lift, balance, walk, stoop, handle, position, move, manipulate materials use static strength to exert maximum </t>
  </si>
  <si>
    <t>Transport provided, designated locale to job site. Begin in Wheeler County, GA. Continue in Counties/Areas: Bacon, Ben Hill, Brantley, Charlton, Coffee, Pierce, Ware, Wayne, Wheeler and areas of Brunswick, GA, East Georgia nonmetropolitan area, South Georgia nonmetropolitan area.</t>
  </si>
  <si>
    <t>171 Adams Cemetery Rd (Report to Work)</t>
  </si>
  <si>
    <t>East Georgia nonmetropolitan area</t>
  </si>
  <si>
    <t>P-100-21137-318518</t>
  </si>
  <si>
    <t>Amos</t>
  </si>
  <si>
    <t xml:space="preserve">Director, Talent Acquisition and HRIS </t>
  </si>
  <si>
    <t>225 E. Chicago Ave</t>
  </si>
  <si>
    <t>VRansomAmos@luriechildrens.org</t>
  </si>
  <si>
    <t>Ann &amp; Robert H. Lurie Children's Hospital of Chicago</t>
  </si>
  <si>
    <t xml:space="preserve">225 E. Chicago Ave </t>
  </si>
  <si>
    <t xml:space="preserve">322 S Michigan Avenue </t>
  </si>
  <si>
    <t xml:space="preserve">Kempster, Corcoran, Quiceno &amp; Lenz-Calvo, LTD </t>
  </si>
  <si>
    <t xml:space="preserve">Application Analyst </t>
  </si>
  <si>
    <t xml:space="preserve">Information Technology, Electronics Engineering or related field </t>
  </si>
  <si>
    <t>="Required skills: 2 years with each: EPIC implementation, configuration and testing; EPIC: Cadence, Grand Central, Prelude; post-production build support; gather requirements from end-users to understand workflows and develop system support. Background c</t>
  </si>
  <si>
    <t xml:space="preserve">680 Lakeshore Drive </t>
  </si>
  <si>
    <t>Little Elm</t>
  </si>
  <si>
    <t>COMPUTER SCIENCE OR RELATED</t>
  </si>
  <si>
    <t>P-100-21134-316497</t>
  </si>
  <si>
    <t xml:space="preserve">Sutter Health </t>
  </si>
  <si>
    <t>Integration Analyst 3</t>
  </si>
  <si>
    <t>3435 WILSHIRE BLVD STE 2840</t>
  </si>
  <si>
    <t>INFO@USALAW365.COM</t>
  </si>
  <si>
    <t>LAW OFFICES OF JEFFREY C JACKSON</t>
  </si>
  <si>
    <t>Vice President, Global Immigration Lead</t>
  </si>
  <si>
    <t>40 East 52nd Street</t>
  </si>
  <si>
    <t>P-100-21162-392162</t>
  </si>
  <si>
    <t>Bachelor’s or foreign equivalent in Computer Science, Engineering, Mathematics, Information Systems, Physics, or a related field. In lieu of a Bachelor's degree, the employer will accept an addition</t>
  </si>
  <si>
    <t>="Education: Bachelor’s or foreign equivalent in Computer Science, Engineering, Mathematics, Information Systems, Physics, or a related field. In lieu of a Bachelor's degree, the employer will accept an additional 24 of ¿experience designing, implementing</t>
  </si>
  <si>
    <t>8055 Microsoft Way</t>
  </si>
  <si>
    <t xml:space="preserve"> Abela </t>
  </si>
  <si>
    <t>Executive Assistant to CEO and Leadership Team</t>
  </si>
  <si>
    <t>125 South Wacker Drive</t>
  </si>
  <si>
    <t>daisy.abela@auraalliance.com</t>
  </si>
  <si>
    <t>Aura Alliance Inc.</t>
  </si>
  <si>
    <t xml:space="preserve">125 South Wacker Drive </t>
  </si>
  <si>
    <t>Fortino-Brown</t>
  </si>
  <si>
    <t>53 West Jackson Blvd</t>
  </si>
  <si>
    <t>Ste. 1160</t>
  </si>
  <si>
    <t>sfortinobrown@sfortinolaw.net</t>
  </si>
  <si>
    <t>Law Offices of Susan Fortino-Brown, LLC</t>
  </si>
  <si>
    <t>CSO</t>
  </si>
  <si>
    <t>P-400-21153-361311</t>
  </si>
  <si>
    <t>Mays</t>
  </si>
  <si>
    <t>Kylen</t>
  </si>
  <si>
    <t>25 Talpey Rd</t>
  </si>
  <si>
    <t>Moose River</t>
  </si>
  <si>
    <t>Moose River Lumber Company, Inc.</t>
  </si>
  <si>
    <t>Milling worker</t>
  </si>
  <si>
    <t>Sawing Machine Setters, Operators, and Tenders, Wood</t>
  </si>
  <si>
    <t>P-400-21134-314867</t>
  </si>
  <si>
    <t>Alhadeff</t>
  </si>
  <si>
    <t>19213 N Gardenia Ave</t>
  </si>
  <si>
    <t>da@sbnpgroup.com</t>
  </si>
  <si>
    <t>Dan Alhadeff</t>
  </si>
  <si>
    <t>19213 N. Gardenia Avenue</t>
  </si>
  <si>
    <t>Live-in Home Health Aide</t>
  </si>
  <si>
    <t>P-400-21130-299660</t>
  </si>
  <si>
    <t>2452 Quakertown Road</t>
  </si>
  <si>
    <t>Seals</t>
  </si>
  <si>
    <t>lseals@fewaglobal.org</t>
  </si>
  <si>
    <t>2452 Quakertown Rd</t>
  </si>
  <si>
    <t>GoffWilson, P.A.</t>
  </si>
  <si>
    <t>P-100-21168-406796</t>
  </si>
  <si>
    <t>P-100-21130-300407</t>
  </si>
  <si>
    <t>SOUTH PLAINFIED</t>
  </si>
  <si>
    <t>BACHELOR’S DEGREE IN SCIENCE, TECHNOLOGY, OR ENGINEERING (ANY)</t>
  </si>
  <si>
    <t>P-400-21137-317858</t>
  </si>
  <si>
    <t>Moseley</t>
  </si>
  <si>
    <t xml:space="preserve">Chief Legal Officer </t>
  </si>
  <si>
    <t>79 Sand Pebble Drive</t>
  </si>
  <si>
    <t>cmoseley@milanexpress.com</t>
  </si>
  <si>
    <t xml:space="preserve">Milan Supply Chain Solutions Holdings, Inc. </t>
  </si>
  <si>
    <t>Ustaoglu</t>
  </si>
  <si>
    <t>3355 Lenox Rd.</t>
  </si>
  <si>
    <t>erin@erinelliottesq.com</t>
  </si>
  <si>
    <t>Elliott Immigration Law LLC</t>
  </si>
  <si>
    <t xml:space="preserve">OTR Truck Driver </t>
  </si>
  <si>
    <t>="•	Must be able to lift 50 pound
•	6 months OTR experience
•	Valid CDL
•	Must pass a drug screen
•	No accidents or moving violations in the last 3 years
•	No felony convictions or DUI/DWI in the last 5 years
•	Flexible schedule (home weekly in certain ar</t>
  </si>
  <si>
    <t xml:space="preserve">100% Travel from Midwest to Southeast within the United States. </t>
  </si>
  <si>
    <t xml:space="preserve">79 Sand Pebble Drive </t>
  </si>
  <si>
    <t>P-400-21152-358833</t>
  </si>
  <si>
    <t>25014 Kiowa Creek</t>
  </si>
  <si>
    <t>TRANSPORTATION PROVIDED TO AND FROM AREA JOBSITES AT EMPLOYER'S EXPENSE.</t>
  </si>
  <si>
    <t>1865 Grosenbacher Rd. #3</t>
  </si>
  <si>
    <t>P-400-21139-326311</t>
  </si>
  <si>
    <t>Bonville</t>
  </si>
  <si>
    <t>8 Bender Blvd</t>
  </si>
  <si>
    <t>Ghent</t>
  </si>
  <si>
    <t>amy@columbiatent.com</t>
  </si>
  <si>
    <t>Columbia Tent Rentals, LLC</t>
  </si>
  <si>
    <t>Tent Installer/Laborer</t>
  </si>
  <si>
    <t xml:space="preserve">Daily travel to and from worksites will be provided at no cost. </t>
  </si>
  <si>
    <t>Douglasville</t>
  </si>
  <si>
    <t>P-100-21180-433603</t>
  </si>
  <si>
    <t>Nasr</t>
  </si>
  <si>
    <t>Bassem</t>
  </si>
  <si>
    <t>1890 West Oak Parkway</t>
  </si>
  <si>
    <t>george@selectfloors.info</t>
  </si>
  <si>
    <t>Select Floors, Inc</t>
  </si>
  <si>
    <t>Commercial Construction Supervisor</t>
  </si>
  <si>
    <t>47-2042.00</t>
  </si>
  <si>
    <t>Floor Layers, Except Carpet, Wood, and Hard Tiles</t>
  </si>
  <si>
    <t>="REQUIREMENTS: 	Three years of experience leading commercial flooring projects or interior construction/renovation projects. Working knowledge of costs estimation, procurement of materials, and construction site supervision and planning. Able to read blu</t>
  </si>
  <si>
    <t>Commercial Manager/Owner</t>
  </si>
  <si>
    <t>Position requires 50% domestic travel.</t>
  </si>
  <si>
    <t>LOPEZ</t>
  </si>
  <si>
    <t>KHAN</t>
  </si>
  <si>
    <t>675 Creekside Way</t>
  </si>
  <si>
    <t>veronica.fernandez@8x8.com</t>
  </si>
  <si>
    <t>Gilberto</t>
  </si>
  <si>
    <t>P-400-21154-366325</t>
  </si>
  <si>
    <t>Cerda</t>
  </si>
  <si>
    <t>Angie</t>
  </si>
  <si>
    <t>201 Flint Ridge Rd., Ste 201</t>
  </si>
  <si>
    <t>ABC Professional Tree Services, Inc - Acworth</t>
  </si>
  <si>
    <t>Tree Trimmer / Climber</t>
  </si>
  <si>
    <t>5245 Glade Rd SE</t>
  </si>
  <si>
    <t>HAQ</t>
  </si>
  <si>
    <t>IFTEKHAR</t>
  </si>
  <si>
    <t>UL</t>
  </si>
  <si>
    <t>haqlaw@hotmail.com</t>
  </si>
  <si>
    <t>LAW OFFICE OF IFTEKHAR UL HAQ</t>
  </si>
  <si>
    <t>P-400-21139-327306</t>
  </si>
  <si>
    <t>COLLIER</t>
  </si>
  <si>
    <t xml:space="preserve">22 COUNTRY ROAD </t>
  </si>
  <si>
    <t>VILLAGE OF GOLF</t>
  </si>
  <si>
    <t>THE COUNTRY CLUB OF FLORIDA</t>
  </si>
  <si>
    <t>22 COUNTRY ROAD</t>
  </si>
  <si>
    <t xml:space="preserve">BOYNTON BEACH </t>
  </si>
  <si>
    <t>SERVERS</t>
  </si>
  <si>
    <t>3015 112th Ave NE</t>
  </si>
  <si>
    <t>P-100-21137-319881</t>
  </si>
  <si>
    <t>G.H. Daniels, III &amp; Associates, Inc.</t>
  </si>
  <si>
    <t>Mechanic</t>
  </si>
  <si>
    <t>Primarily in Gypsum, Colorado but may travel to sites in Eagle County and surrounding counties.  May occasionally travel to Grand Junction, CO and return during business hours.</t>
  </si>
  <si>
    <t>P-400-21124-285819</t>
  </si>
  <si>
    <t>Schepis</t>
  </si>
  <si>
    <t>4577 Hwy Z</t>
  </si>
  <si>
    <t>Wentzville</t>
  </si>
  <si>
    <t>The Greenwood Group, LLC</t>
  </si>
  <si>
    <t>Fox</t>
  </si>
  <si>
    <t>P-100-21138-322076</t>
  </si>
  <si>
    <t xml:space="preserve"> SUITE 100</t>
  </si>
  <si>
    <t>Anchorage</t>
  </si>
  <si>
    <t>Huntsman</t>
  </si>
  <si>
    <t>7412 Mountain Road</t>
  </si>
  <si>
    <t>scott.huntsman@destinationhotels.com</t>
  </si>
  <si>
    <t>DH Stowe Management LLC</t>
  </si>
  <si>
    <t>The Lodge at Spruce Peak</t>
  </si>
  <si>
    <t>May require minimal travel up to 10% as needed based on business requirements.</t>
  </si>
  <si>
    <t>P-400-21130-299908</t>
  </si>
  <si>
    <t>Szul</t>
  </si>
  <si>
    <t>26 Chesterfield-Georgetown Road</t>
  </si>
  <si>
    <t>Szul's Landscapes, Inc.</t>
  </si>
  <si>
    <t>Grounds Maintenance Specialist</t>
  </si>
  <si>
    <t>100 Redwood Shores Parkway</t>
  </si>
  <si>
    <t>DAVIDSON</t>
  </si>
  <si>
    <t>P-100-21144-339369</t>
  </si>
  <si>
    <t>S4 CONSULTANTS, INC.</t>
  </si>
  <si>
    <t>1303 W. WALNUT HILL LANE</t>
  </si>
  <si>
    <t>SUITE 280</t>
  </si>
  <si>
    <t>="Skills Required: LDAP, Json, JDBC, Flat File, Active Directory, API, Sailpoint and SQL. Master’s degree in Science, Technology, or Engineering (any) with 1 year of experience in job offered or related occupation is required. Bachelor’s degree in the abo</t>
  </si>
  <si>
    <t xml:space="preserve">Science, Technology, or Engineering (any) </t>
  </si>
  <si>
    <t>SUITE 280 and various unanticipated locations throughout the U.S.</t>
  </si>
  <si>
    <t xml:space="preserve">Assistant Vice President of HR </t>
  </si>
  <si>
    <t>tina.flint@enstargroup.com</t>
  </si>
  <si>
    <t>Enstar (US) Inc.</t>
  </si>
  <si>
    <t xml:space="preserve">Head of Corporate Actuarial </t>
  </si>
  <si>
    <t>43-9111.00; 43-9111.00; 43-9111.00</t>
  </si>
  <si>
    <t>Statistical Assistants; Statistical Assistants; Statistical Assistants</t>
  </si>
  <si>
    <t>="Bachelor’s or foreign equivalent degree in Mathematics, Statistic, Actuarial Science or a related quantitative field and eight (8) of experience in the job offered or related occupation. 
Experience must include:
1.	At least 8 years of reserving exper</t>
  </si>
  <si>
    <t>May require travel (at least 25%).</t>
  </si>
  <si>
    <t>411 Fifth Ave., 5th Floor</t>
  </si>
  <si>
    <t>Cecilia</t>
  </si>
  <si>
    <t>P-400-21154-366272</t>
  </si>
  <si>
    <t>LOWER</t>
  </si>
  <si>
    <t>620 VILLAGE RD</t>
  </si>
  <si>
    <t>BRECKENRIDGE</t>
  </si>
  <si>
    <t>llower@beaverrun.com</t>
  </si>
  <si>
    <t>BEAVER RUN RENTAL HOLDINGS</t>
  </si>
  <si>
    <t>BEAVER RUN RESORT</t>
  </si>
  <si>
    <t>DINING ROOM ATTENDANT</t>
  </si>
  <si>
    <t>Lois</t>
  </si>
  <si>
    <t xml:space="preserve">Manager, HR Talent Acquisition </t>
  </si>
  <si>
    <t>121 SW Salmon Street</t>
  </si>
  <si>
    <t xml:space="preserve">Bartoloni </t>
  </si>
  <si>
    <t>1331 NW Lovejoy St.</t>
  </si>
  <si>
    <t>97209-0084</t>
  </si>
  <si>
    <t>abartoloni@buchalter.com</t>
  </si>
  <si>
    <t xml:space="preserve">Buchalter, A Professional Corporation </t>
  </si>
  <si>
    <t xml:space="preserve">Staff Protection Engineer </t>
  </si>
  <si>
    <t>="Master’s degree in Electrical Engineering or related field, 2 years of experience in engineering, design and system testing for utility systems and/or generation, 2 years of experience with substation relay functions, and PE license. Experience may be g</t>
  </si>
  <si>
    <t>P-100-21180-434264</t>
  </si>
  <si>
    <t>Business Intelligence Lead</t>
  </si>
  <si>
    <t xml:space="preserve">Engineering or Computer Science </t>
  </si>
  <si>
    <t>P-400-21126-292810</t>
  </si>
  <si>
    <t>Grundy</t>
  </si>
  <si>
    <t>1673 Todd Avenue</t>
  </si>
  <si>
    <t>Grundy's Lawn, LLC</t>
  </si>
  <si>
    <t>Landscape Maintenance/Mowing Laborers</t>
  </si>
  <si>
    <t>Guillory</t>
  </si>
  <si>
    <t>P.O. Box 1570</t>
  </si>
  <si>
    <t>Ferriday</t>
  </si>
  <si>
    <t>threeriversc@aol.com</t>
  </si>
  <si>
    <t>Three Rivers Farm Supply Inc</t>
  </si>
  <si>
    <t>5340 Hwy 84 E</t>
  </si>
  <si>
    <t>P.O. Box 1570 Ferriday LA 71334 Mailing</t>
  </si>
  <si>
    <t>Vidalia</t>
  </si>
  <si>
    <t>Warehouse Laborer</t>
  </si>
  <si>
    <t>5340 Hwy 84</t>
  </si>
  <si>
    <t>Lehmann</t>
  </si>
  <si>
    <t>Ste. 201</t>
  </si>
  <si>
    <t>P-400-21139-325842</t>
  </si>
  <si>
    <t>NEALE</t>
  </si>
  <si>
    <t>BEN</t>
  </si>
  <si>
    <t>3851 CORNERSVILLE RD</t>
  </si>
  <si>
    <t>LYNNVILLE</t>
  </si>
  <si>
    <t>bneale0714@gmail.com</t>
  </si>
  <si>
    <t>LIGHT HILL MEATS</t>
  </si>
  <si>
    <t>Suite 770</t>
  </si>
  <si>
    <t>P-400-21146-346650</t>
  </si>
  <si>
    <t>6512 Deer Pointe Drive</t>
  </si>
  <si>
    <t>P-400-21133-311386</t>
  </si>
  <si>
    <t>Gianfala</t>
  </si>
  <si>
    <t>todd@gngbr.com</t>
  </si>
  <si>
    <t>Gardens &amp; Grounds, LLC</t>
  </si>
  <si>
    <t>="ABLE TO LIFT UP 60 LBS, STAND, KNEEL, STOOP, REACH GROUND LEVEL &amp; OVER HEAD, WALK, BEND AND HANDLE MATERIAL FOR LONG PERIOD OF TIME, ABLE TO
WORK IN ALL KIND OF WEATHER.
ONCE HIRED MAY BE REQUIRED TO TAKE A RANDOM DRUG TEST AT NO COST TO WORKER. TESTING</t>
  </si>
  <si>
    <t>708 BIENVILLE STREET</t>
  </si>
  <si>
    <t>BATON ROUGE</t>
  </si>
  <si>
    <t>and other unanticipated locations in the U.S.</t>
  </si>
  <si>
    <t>P-400-21130-301407</t>
  </si>
  <si>
    <t>723 W Pacific Avenue, Suite 100</t>
  </si>
  <si>
    <t>BLarson@interiorworx.com</t>
  </si>
  <si>
    <t>InteriorWorx LLC for Intermountain Plantings LLC</t>
  </si>
  <si>
    <t>11803 W Florida Drive</t>
  </si>
  <si>
    <t>P-400-21124-285095</t>
  </si>
  <si>
    <t>McDaniel</t>
  </si>
  <si>
    <t xml:space="preserve">3461 Branch Hwy </t>
  </si>
  <si>
    <t>Branch</t>
  </si>
  <si>
    <t>csolutions123@aol.com</t>
  </si>
  <si>
    <t>Commercial Solutions LLC</t>
  </si>
  <si>
    <t>Debarges Crawfish, Crazy Cajun LLC, Rosie Jo's LLC</t>
  </si>
  <si>
    <t>1807 Andrews Street</t>
  </si>
  <si>
    <t>3461 Branch Hwy Branch LA 70516 Mailing Address</t>
  </si>
  <si>
    <t>Short Order Cook</t>
  </si>
  <si>
    <t xml:space="preserve">Worker may be required to travel to 1 of 3 work locations depending on the the needs of each locations
Worker will be given a schedule day for each location: Location #1.  Debarges Crawfish 1807 Andrews Street Alexandria LA 71303; Location #2 Crazy Cajun LLC - 6300 Old Shreveport Hwy Pineville, LA 71360;  Location #3 Rosie Jo's - 3140 MacArthur Drive Alexandria LA 71301
Each location are within driving Distance 
</t>
  </si>
  <si>
    <t xml:space="preserve">Alexandria </t>
  </si>
  <si>
    <t>Aningalan</t>
  </si>
  <si>
    <t>Senior Immigration Specialist, International Personnel</t>
  </si>
  <si>
    <t>One Gustave L. Levy Place</t>
  </si>
  <si>
    <t>Box 1514</t>
  </si>
  <si>
    <t>150 East 42nd Street</t>
  </si>
  <si>
    <t>Angelica</t>
  </si>
  <si>
    <t>P-400-21144-339908</t>
  </si>
  <si>
    <t>North Carolina Harvesting LLC</t>
  </si>
  <si>
    <t>3756 Old White Oak Road</t>
  </si>
  <si>
    <t>WORKERS MUST TRAVEL TO WORK LOCATIONS IN PAMLICO, FAYETTEVILLE, LENOIR, EDGECOMBE, JONES
AND WAKE COUNTIES, NC. TRANSPORTATION PROVIDED BY EMPLOYER FROM CENTRAL LOCATION.</t>
  </si>
  <si>
    <t>7390 Frazier Rd</t>
  </si>
  <si>
    <t>Rocky Mount, NC</t>
  </si>
  <si>
    <t>P-100-21162-391682</t>
  </si>
  <si>
    <t>Sciscione</t>
  </si>
  <si>
    <t>Payroll Manager</t>
  </si>
  <si>
    <t>15 Olympic Drive</t>
  </si>
  <si>
    <t>Cheryl.Sciscione@clarins.com</t>
  </si>
  <si>
    <t>Clarins Group North America, Inc.</t>
  </si>
  <si>
    <t>Sr. Manager, Regional CRM Projects</t>
  </si>
  <si>
    <t>Engineering or a related field</t>
  </si>
  <si>
    <t>="Experience must include three years with each of the following: project management; selecting providers through RFP process; performance audits; creating and running UAT tests; writing and translating business requirements into technical specifications;</t>
  </si>
  <si>
    <t xml:space="preserve">Executive Director, Customer Experience </t>
  </si>
  <si>
    <t>One Park Avenue</t>
  </si>
  <si>
    <t>19th FL</t>
  </si>
  <si>
    <t>Lake George</t>
  </si>
  <si>
    <t>Shigeta</t>
  </si>
  <si>
    <t>Sayaka</t>
  </si>
  <si>
    <t>17840 S. Western Ave.</t>
  </si>
  <si>
    <t>Shigeta America, Inc.</t>
  </si>
  <si>
    <t>Japanese Restaurant Manager</t>
  </si>
  <si>
    <t>P-400-21126-290973</t>
  </si>
  <si>
    <t>Gilliland</t>
  </si>
  <si>
    <t>9186 Clearfield-Curwensville Hwy</t>
  </si>
  <si>
    <t>Clearfield</t>
  </si>
  <si>
    <t>Gilliland Landscape, LLC</t>
  </si>
  <si>
    <t>Northern Pennsylvania nonmetropolitan area</t>
  </si>
  <si>
    <t>Bernie.Hurtado@amd.com</t>
  </si>
  <si>
    <t>P-100-21132-308260</t>
  </si>
  <si>
    <t>525 Laredo Street</t>
  </si>
  <si>
    <t>lisaa@landtechcontractors.com</t>
  </si>
  <si>
    <t>Landtech Contractors, Inc.</t>
  </si>
  <si>
    <t>=" 12 Months experience as Landscape Crew  leader or 24 months recent experience working as landscape laborer. Any suitable combination of education training and/or experience is acceptable. Must be able to stand for long hours and work in both hot and co</t>
  </si>
  <si>
    <t>6395 Aviation Cir.</t>
  </si>
  <si>
    <t>TOMPKINS</t>
  </si>
  <si>
    <t>2765 MICHIGAN AVE RD NE</t>
  </si>
  <si>
    <t>catbeatrise@gmail.com</t>
  </si>
  <si>
    <t>BEATRISE LLC</t>
  </si>
  <si>
    <t>NANCY</t>
  </si>
  <si>
    <t>Vazquez Azpiri</t>
  </si>
  <si>
    <t>A James</t>
  </si>
  <si>
    <t>P-400-21130-298523</t>
  </si>
  <si>
    <t>Rober</t>
  </si>
  <si>
    <t>Landscape Operator</t>
  </si>
  <si>
    <t>Excavating and Loading Machine and Dragline Operators</t>
  </si>
  <si>
    <t>100 N Cloud Street</t>
  </si>
  <si>
    <t>Groundskeepers</t>
  </si>
  <si>
    <t xml:space="preserve">Boca Raton </t>
  </si>
  <si>
    <t>P-400-21134-313264</t>
  </si>
  <si>
    <t>Warehouse Supervisor/Warehouse Manager</t>
  </si>
  <si>
    <t>One Saville Avenue</t>
  </si>
  <si>
    <t>Eddystone</t>
  </si>
  <si>
    <t>Hebert</t>
  </si>
  <si>
    <t xml:space="preserve">Parent </t>
  </si>
  <si>
    <t>Castle Pines</t>
  </si>
  <si>
    <t>laurakhebert@icloud.com</t>
  </si>
  <si>
    <t>Laura Hebert</t>
  </si>
  <si>
    <t>7716 Yorkshire Drive</t>
  </si>
  <si>
    <t>Calderon</t>
  </si>
  <si>
    <t>Ofelia</t>
  </si>
  <si>
    <t>ofelia@calderonseguin.com</t>
  </si>
  <si>
    <t>69 Walker Street</t>
  </si>
  <si>
    <t>2Flr</t>
  </si>
  <si>
    <t>Global Mobility Manager (7451)</t>
  </si>
  <si>
    <t>P-400-21124-284982</t>
  </si>
  <si>
    <t>NATIVE RESOURCES INTERNATIONAL, INC</t>
  </si>
  <si>
    <t>Computer Science, Engineering, Math, Business, Information Systems, Physics or related</t>
  </si>
  <si>
    <t xml:space="preserve">AMERS Supply Chain Director </t>
  </si>
  <si>
    <t>require travel to unanticipated worksites up to 25%.</t>
  </si>
  <si>
    <t>P-400-21146-347507</t>
  </si>
  <si>
    <t>Briggs &amp; Stratton</t>
  </si>
  <si>
    <t xml:space="preserve">12301 West Wirth Street </t>
  </si>
  <si>
    <t>731 MO-142</t>
  </si>
  <si>
    <t>P-100-21125-288338</t>
  </si>
  <si>
    <t>Abeijon_Avelino_V@cat.com</t>
  </si>
  <si>
    <t>Embedded SW Engineer</t>
  </si>
  <si>
    <t>electrical engineering</t>
  </si>
  <si>
    <t>Electronic Engineering Manager</t>
  </si>
  <si>
    <t>Route 29 and Rench Road</t>
  </si>
  <si>
    <t>Mossville</t>
  </si>
  <si>
    <t xml:space="preserve">Customer Support Representative </t>
  </si>
  <si>
    <t xml:space="preserve">Support Supervisor </t>
  </si>
  <si>
    <t xml:space="preserve">2000 South Colorado Boulevard </t>
  </si>
  <si>
    <t xml:space="preserve">Suite 8000 </t>
  </si>
  <si>
    <t>P-400-21125-290035</t>
  </si>
  <si>
    <t xml:space="preserve">Barnett </t>
  </si>
  <si>
    <t>327 Conerly Road</t>
  </si>
  <si>
    <t>Braxton</t>
  </si>
  <si>
    <t>reforestationspecialists@gmail.com</t>
  </si>
  <si>
    <t>Reforestation Specialists, Inc.</t>
  </si>
  <si>
    <t>="Must be 18 years or older. Requires physical stamina.  Extensive walking over rough terrain.  Work is in adverse weather.  Must lift and carry 50 lbs. Production standard of 1875 trees correctly planted per 7.5 hour day after one week of on the job trai</t>
  </si>
  <si>
    <t>P-100-21134-315487</t>
  </si>
  <si>
    <t>Materials Science &amp; Engineering or closely related major</t>
  </si>
  <si>
    <t>P-400-21141-334598</t>
  </si>
  <si>
    <t>Simmond</t>
  </si>
  <si>
    <t xml:space="preserve">Corlton </t>
  </si>
  <si>
    <t>125 Wells Ave</t>
  </si>
  <si>
    <t>corlton@valeofc.com</t>
  </si>
  <si>
    <t>Valeo Futbol Club Inc.</t>
  </si>
  <si>
    <t>Valeo FC</t>
  </si>
  <si>
    <t xml:space="preserve">Newton Centre </t>
  </si>
  <si>
    <t>1150 18th street nw</t>
  </si>
  <si>
    <t>suite 1030</t>
  </si>
  <si>
    <t>hall law office pllc</t>
  </si>
  <si>
    <t>Soccer Coach</t>
  </si>
  <si>
    <t>P-400-21131-302550</t>
  </si>
  <si>
    <t>Bickerstaff</t>
  </si>
  <si>
    <t>626 McKee Ave.</t>
  </si>
  <si>
    <t>Mailing: 407 Wayne Ave. , Monaca, PA 15061</t>
  </si>
  <si>
    <t>Bickerstaff Landscaping &amp; Lawn Service, LLC</t>
  </si>
  <si>
    <t>626 Mckee Ave</t>
  </si>
  <si>
    <t>Sr. Systems Engineer</t>
  </si>
  <si>
    <t>Perlitsh</t>
  </si>
  <si>
    <t>linette@perlitsh.com</t>
  </si>
  <si>
    <t>Internal Medicine Hospitalist</t>
  </si>
  <si>
    <t>600 East 233rd Street</t>
  </si>
  <si>
    <t>Housekeepers</t>
  </si>
  <si>
    <t>Senior Quant Researcher</t>
  </si>
  <si>
    <t>Global Head of Equity Volatility and Convertibles Technology</t>
  </si>
  <si>
    <t>Associate, Data Scientist</t>
  </si>
  <si>
    <t>="Two (2) years of experience in job offered or related occupation: performing analysis or application of data in finance, biology, or economics; utilizing basic mathematical principles, including regression, probability distributions, multi-variate calcu</t>
  </si>
  <si>
    <t>VISA &amp; Immigration Advisor</t>
  </si>
  <si>
    <t xml:space="preserve"> Ariza</t>
  </si>
  <si>
    <t>P-400-21132-308774</t>
  </si>
  <si>
    <t>Narsavage</t>
  </si>
  <si>
    <t>President &amp; Founder</t>
  </si>
  <si>
    <t>821 Norwood Road</t>
  </si>
  <si>
    <t>kyle@greensweepllc.com</t>
  </si>
  <si>
    <t>Greensweep, LLC</t>
  </si>
  <si>
    <t>See Addendum.</t>
  </si>
  <si>
    <t>P-100-21168-406735</t>
  </si>
  <si>
    <t>1000 CIRCLE 75 PKWY SE</t>
  </si>
  <si>
    <t>Layli@LEimmigration.com</t>
  </si>
  <si>
    <t>1000 Johnson Ferry Road, NE</t>
  </si>
  <si>
    <t>Amemiya</t>
  </si>
  <si>
    <t>Hiroyuki</t>
  </si>
  <si>
    <t>2151 Michelson Dr</t>
  </si>
  <si>
    <t>hiroyuki.amemiya@mm-dental.net</t>
  </si>
  <si>
    <t>MM Dental Laboratories, Inc.</t>
  </si>
  <si>
    <t>4012 Preston Rd</t>
  </si>
  <si>
    <t>Noguchi</t>
  </si>
  <si>
    <t>Sachiko</t>
  </si>
  <si>
    <t>sachiko@noguchilaw.com</t>
  </si>
  <si>
    <t>Noguchi Law Office</t>
  </si>
  <si>
    <t>Ezernack</t>
  </si>
  <si>
    <t>Associate Director, HRSC</t>
  </si>
  <si>
    <t>2323 Ross Avenue</t>
  </si>
  <si>
    <t>us-csshrpermrecruit@kpmg.com</t>
  </si>
  <si>
    <t>KPMG LLP</t>
  </si>
  <si>
    <t>P-100-21158-373047</t>
  </si>
  <si>
    <t>Bustamante</t>
  </si>
  <si>
    <t>Edwing</t>
  </si>
  <si>
    <t>ebustamante@HuntonAK.com</t>
  </si>
  <si>
    <t>Data Science Director</t>
  </si>
  <si>
    <t>Schwartz</t>
  </si>
  <si>
    <t>Lake Bluff</t>
  </si>
  <si>
    <t>Oakwood</t>
  </si>
  <si>
    <t>Maintenance Worker</t>
  </si>
  <si>
    <t>ANUSHEV</t>
  </si>
  <si>
    <t>ALEN</t>
  </si>
  <si>
    <t>16W455 S FRONTAGE RD</t>
  </si>
  <si>
    <t>STE 209</t>
  </si>
  <si>
    <t>BURR RIDGE</t>
  </si>
  <si>
    <t>alen.pamway@gmail.com</t>
  </si>
  <si>
    <t>PAMWAY LOGISTICS LLC</t>
  </si>
  <si>
    <t>CHICHEVALIEV</t>
  </si>
  <si>
    <t>FILIP</t>
  </si>
  <si>
    <t>3403 W Lawrence Ave</t>
  </si>
  <si>
    <t>info@oclaw.us</t>
  </si>
  <si>
    <t>McNamara</t>
  </si>
  <si>
    <t xml:space="preserve">Supervisor </t>
  </si>
  <si>
    <t>Computer Science, Computer Information Systems, Electrical Engineering or related field, or foreign degree equivalent.</t>
  </si>
  <si>
    <t>="Minimum of two (2) years of experience in cyber security. Experience must have included: Programming in Python or Java; Automation of incident response processes through programming or orchestration tools; TCP/IP protocols, network packet inspection, in</t>
  </si>
  <si>
    <t>Senior Security Operations Manager</t>
  </si>
  <si>
    <t>404 Wyman Street, Suite 300</t>
  </si>
  <si>
    <t xml:space="preserve">Las Vegas </t>
  </si>
  <si>
    <t>Rebeca</t>
  </si>
  <si>
    <t>Haltom City</t>
  </si>
  <si>
    <t>P-400-21144-337326</t>
  </si>
  <si>
    <t>Povich</t>
  </si>
  <si>
    <t>290 Ames Road</t>
  </si>
  <si>
    <t>Bentleyville</t>
  </si>
  <si>
    <t>Ice Ex Management, LLC</t>
  </si>
  <si>
    <t>P-400-21126-292787</t>
  </si>
  <si>
    <t>2077 Frontage Road West Suite 111, Vail Co.81657 (physical)</t>
  </si>
  <si>
    <t>P.O. Box 3487, Vail Co. 81658 (mailing)</t>
  </si>
  <si>
    <t>Colorado Ski Service</t>
  </si>
  <si>
    <t>Vista Bahn Ski Rentals</t>
  </si>
  <si>
    <t>278 Hanson Ranch Road Vail Co. 81657 (physical)</t>
  </si>
  <si>
    <t>PO Box 2796, Vail Co. 81658</t>
  </si>
  <si>
    <t>2077 Frontage Road West Suite 111, Vail Co. 81658 (Physical)</t>
  </si>
  <si>
    <t>PO Box 3487 Vail Co. 81657 (mailing)</t>
  </si>
  <si>
    <t>Ski/Boot Rental Technician</t>
  </si>
  <si>
    <t>Counter and Rental Clerks</t>
  </si>
  <si>
    <t>278 Hanson Ranch Road, Vail Co. 81657</t>
  </si>
  <si>
    <t>P-400-21147-348262</t>
  </si>
  <si>
    <t>Figueiredo</t>
  </si>
  <si>
    <t>Caliandra</t>
  </si>
  <si>
    <t>6161 N Washington Blvd</t>
  </si>
  <si>
    <t>sales@innovativestonesrq.com</t>
  </si>
  <si>
    <t>Sarasota Marble &amp; Granite</t>
  </si>
  <si>
    <t>Innovative Stone SRQ</t>
  </si>
  <si>
    <t>Countertop Fabricator</t>
  </si>
  <si>
    <t>51-9022.00</t>
  </si>
  <si>
    <t>Grinding and Polishing Workers, Hand</t>
  </si>
  <si>
    <t>VP of People</t>
  </si>
  <si>
    <t>15 GLEN STREET</t>
  </si>
  <si>
    <t>GLEN COVE</t>
  </si>
  <si>
    <t>DDAVIDSON@DAVIDSONLAWGRP.COM</t>
  </si>
  <si>
    <t>DAVIDSON LAW GROUP, P.C.</t>
  </si>
  <si>
    <t>SENIOR CONSULTANT</t>
  </si>
  <si>
    <t>Any business, health/life science, engineering, or other related academic discipline.</t>
  </si>
  <si>
    <t>Khoa</t>
  </si>
  <si>
    <t>6100 Corporate Dr</t>
  </si>
  <si>
    <t>Ste. 170</t>
  </si>
  <si>
    <t>steven@sknlawfirm.com</t>
  </si>
  <si>
    <t>Law Office of Steven Nguyen</t>
  </si>
  <si>
    <t>P-100-21158-374530</t>
  </si>
  <si>
    <t>Borer</t>
  </si>
  <si>
    <t>HR/Talent Acquisition</t>
  </si>
  <si>
    <t>9450 Carroll Park Dr.</t>
  </si>
  <si>
    <t>joe@xcom-labs.com</t>
  </si>
  <si>
    <t>XCOM Labs, Inc.</t>
  </si>
  <si>
    <t>Sr. MTS - Lab &amp; Field Testing Engineer</t>
  </si>
  <si>
    <t>Electrical Engineering, Electrical and Computer Engineering or related field</t>
  </si>
  <si>
    <t xml:space="preserve">="Work experience to include:
1)	4 years of experience with cellular or Wi-Fi standards;
2)	3 years of experience with TCP/IP and internet protocols;
3)	2 years of experience with LTE and 5G NR protocols, to include lower and upper layers;
4)	end-to-end </t>
  </si>
  <si>
    <t>="From F.c.4.a:  7 years of progressive experience in the job offered defined as as Field Engineering or System Test Engineering with wireless or cellular systems. 
Work experience to include:
1)	7 years of experience with cellular or Wi-Fi standards;
2)</t>
  </si>
  <si>
    <t>Sr. Member Technical Staff</t>
  </si>
  <si>
    <t>15% domestic travel required. Travel expenses paid by employer.</t>
  </si>
  <si>
    <t>9450 Carroll Park Drive</t>
  </si>
  <si>
    <t>P-400-21141-333860</t>
  </si>
  <si>
    <t>MyCue</t>
  </si>
  <si>
    <t>13505 RM-620</t>
  </si>
  <si>
    <t>fmycue@yahoo.com</t>
  </si>
  <si>
    <t>Grass Works Lawn Care, LLC</t>
  </si>
  <si>
    <t xml:space="preserve">Position requires travel to various worksites within the area of intended employment. Employer provides transportation to and from all worksites at no cost.
</t>
  </si>
  <si>
    <t>BOTROS</t>
  </si>
  <si>
    <t>AUDREY</t>
  </si>
  <si>
    <t>21 Walsh Street</t>
  </si>
  <si>
    <t>audrey@smacariuslaw.com</t>
  </si>
  <si>
    <t>The Law Offices of Saher Joseph Macarius LLC</t>
  </si>
  <si>
    <t>Automotive Master Mechanics</t>
  </si>
  <si>
    <t>="•	Education: Bachelor’s or foreign equivalent in Computer Science, Engineering, Mathematics, Information Systems, Physics, or a related field. In lieu of a Bachelor’s degree, employer will accept an additional 24 months of software development experienc</t>
  </si>
  <si>
    <t>P-100-21150-356056</t>
  </si>
  <si>
    <t>Bijal</t>
  </si>
  <si>
    <t>5 Michalik Drive</t>
  </si>
  <si>
    <t>Sayreville</t>
  </si>
  <si>
    <t>bshah@fpmtechnologies.com</t>
  </si>
  <si>
    <t>FPM Technologies Inc.</t>
  </si>
  <si>
    <t>Hayden</t>
  </si>
  <si>
    <t>1905 N. Wilcox Avenue</t>
  </si>
  <si>
    <t>lca@haydenlaw.com</t>
  </si>
  <si>
    <t>Hayden Immigration, Inc.</t>
  </si>
  <si>
    <t xml:space="preserve">Software Developer – Analytics Transformation </t>
  </si>
  <si>
    <t>15-1121.00; 15-1131.00; 15-1132.00; 15-1199.02; 15-1199.09</t>
  </si>
  <si>
    <t>Computer Programmers; Computer Systems Analysts; Computer Systems Engineers/Architects; Information Technology Project Managers; Software Developers, Applications</t>
  </si>
  <si>
    <t>Electronics Engineering,  or in a related computer engineering field of study.</t>
  </si>
  <si>
    <t xml:space="preserve">="At least three years of experience must involve leading the assessment, design, and implementation of analytics driven business processes utilizing SAP technology including Data Architects, Analytics, and Cloud; and experience with SAP S/4 HANA Central </t>
  </si>
  <si>
    <t xml:space="preserve">Travel 5-50 % of the time  to client sites. Temporarily telecommuting.
</t>
  </si>
  <si>
    <t>Bellhop</t>
  </si>
  <si>
    <t>P-100-21139-324556</t>
  </si>
  <si>
    <t>lghardashemr@grahamadair.com</t>
  </si>
  <si>
    <t>Computer Science, Statistics, Applied Mathematics, Electrical Engineering, Civil Engineering, Mechanical Engineering or a related field</t>
  </si>
  <si>
    <t>P-400-21126-292959</t>
  </si>
  <si>
    <t>Osborne</t>
  </si>
  <si>
    <t>10665 Brookview Lane</t>
  </si>
  <si>
    <t>(Mail: PO Box 26070, San Diego CA 92196)</t>
  </si>
  <si>
    <t>mosborne1@san.rr.com</t>
  </si>
  <si>
    <t>Pinery Christmas Trees Inc</t>
  </si>
  <si>
    <t>Pumpkin Station</t>
  </si>
  <si>
    <t xml:space="preserve">806 Morgan Boulevard </t>
  </si>
  <si>
    <t>Seasonal Retail Salespersons - 41-2031</t>
  </si>
  <si>
    <t xml:space="preserve">TRAVEL IS REQUIRED FROM LOCATION TO LOCATION AS PER THE ITINERARY ADDITIONAL WORKSITES. TRANSPORTATION TO/FROM EACH LOCATION IS OFFERED TO ALL EMPLOYEES UNDER THIS JOB OFFER. EMPLOYER MAKES AVAILABLE TRANSPORTATION FROM LOCATION TO LOCATION AND SCHEDULED TRANSPORTATION TO LAUNDRY, SHOPPING AND LOCAL CONVENIENCE TRAVEL.
Our base of operations is: 14550½ El Camino Real, Del Mar, CA 92014, which is within normal commuting distance to all of our seasonal Christmas Tree and Pumpkin Station locations in San Diego and Riverside Counties, which are located at:
·        13421 Highland Valley Rd, Escondido, CA 92128; commuting distance 19.4 miles; commuting time 27 minutes.
·        5354 Sweetwater Rd, Bonita, CA 91902; commuting distance 30.6 miles; commuting time 33 minutes.
·        15555 Jimmy Durante Blvd, Del Mar, CA 92014; commuting distance 2.4 miles: commuting time 10 minutes.
·        3030 Plaza Bonita Rd, National City, CA 91950; commuting distance 1.2 miles; commuting time 3 minutes.
·        1640½ Camino Del Rio North, San Diego, CA 92108; commuting distance 20.7 miles; commuting time 25 minutes.
·        Murrieta Hot Springs Rd., Jct I-15 &amp; I-215, Murrieta, California 92562; commuting distance 44.9 miles; commuting time 53 minutes.   
A specific location may be in operation for Pumpkin Sales, Christmas Tree Sales, or both.  The locations would be open during the Halloween, Thanksgiving and Christmas Seasons, from August through December. </t>
  </si>
  <si>
    <t>14550 1/2 El Camino Real</t>
  </si>
  <si>
    <t>Del Mar</t>
  </si>
  <si>
    <t>P-100-21159-380591</t>
  </si>
  <si>
    <t>60 Weldon  Parkway</t>
  </si>
  <si>
    <t>Custom Application Developer</t>
  </si>
  <si>
    <t>Ping</t>
  </si>
  <si>
    <t xml:space="preserve">Bachelor’s or foreign degree equivalent in Information Systems, Computer Science, Computer Engineering, Electrical Engineering, or related field. </t>
  </si>
  <si>
    <t>P-400-21145-341803</t>
  </si>
  <si>
    <t>1455 N Warren Rd</t>
  </si>
  <si>
    <t>San Jacinto</t>
  </si>
  <si>
    <t>P-100-21155-369945</t>
  </si>
  <si>
    <t>Vertical Staffing corporation</t>
  </si>
  <si>
    <t>HR Manager/Administrator</t>
  </si>
  <si>
    <t>P-400-21144-338374</t>
  </si>
  <si>
    <t>2201 SE Sailfish Point Blvd.</t>
  </si>
  <si>
    <t>d.Loren@sailfishpoint.com</t>
  </si>
  <si>
    <t>Sailfish Point Property Owners' and Country Club Association, Inc.</t>
  </si>
  <si>
    <t>2201 SE Sailfish Point Blvd</t>
  </si>
  <si>
    <t>P-100-21169-409540</t>
  </si>
  <si>
    <t>Programmer Analyst II</t>
  </si>
  <si>
    <t>Computer Science, Computer Information Systems, Computer Engineering, or related field.</t>
  </si>
  <si>
    <t>="Four (4) years of experience in the job offered or a related occupation implementing software development lifecycle, including integration of data architecture and data governance; conducting data modeling, data design, and database optimizations, inclu</t>
  </si>
  <si>
    <t>="Two (2) years of experience in the job offered or a related occupation implementing software development lifecycle, including integration of data architecture and data governance; conducting data modeling, data design, and database optimizations, includ</t>
  </si>
  <si>
    <t>Senior Director, Business Unit Manager</t>
  </si>
  <si>
    <t>25% travel is required to various and unanticipated FIS client sites nationally and internationally.</t>
  </si>
  <si>
    <t>2923 Bradley Street</t>
  </si>
  <si>
    <t>MUTHUKALAI</t>
  </si>
  <si>
    <t>SENTHILKUMAR</t>
  </si>
  <si>
    <t>FINANCE-TREASURER</t>
  </si>
  <si>
    <t>12300 FORD ROAD</t>
  </si>
  <si>
    <t>SUITE B270</t>
  </si>
  <si>
    <t>M.SENTHILKUMAR@PHOTONINFOTECH.NET</t>
  </si>
  <si>
    <t>PHOTON INFOTECH, INC.</t>
  </si>
  <si>
    <t>Chattha</t>
  </si>
  <si>
    <t>Computer Science, Computer Applications, Information Science, Engineering (any), or related fields.</t>
  </si>
  <si>
    <t>Associate Vice President Engineering</t>
  </si>
  <si>
    <t xml:space="preserve">12300 Ford Road, </t>
  </si>
  <si>
    <t xml:space="preserve">Ste # B270 </t>
  </si>
  <si>
    <t>P-400-21124-284904</t>
  </si>
  <si>
    <t>11155 Dolfield Blvd., Suite 216</t>
  </si>
  <si>
    <t>Peter Pan Seafood Company</t>
  </si>
  <si>
    <t>500 Cannery Row</t>
  </si>
  <si>
    <t>King Cove</t>
  </si>
  <si>
    <t>Alaska nonmetropolitan area</t>
  </si>
  <si>
    <t>Madipalli</t>
  </si>
  <si>
    <t>Sharath</t>
  </si>
  <si>
    <t>hr@ssatechinc.com</t>
  </si>
  <si>
    <t xml:space="preserve">SSA Tech, Inc. </t>
  </si>
  <si>
    <t>PERM@sumnerimmigration.com</t>
  </si>
  <si>
    <t>Comp Sci/Info Tech/Engg/rel/equiv</t>
  </si>
  <si>
    <t>P-100-21128-298105</t>
  </si>
  <si>
    <t>7535 E HAMPDEN AVE., STE 501</t>
  </si>
  <si>
    <t>2036 S Academy Blvd</t>
  </si>
  <si>
    <t>P-400-21125-289131</t>
  </si>
  <si>
    <t>3208 Commander Dr.</t>
  </si>
  <si>
    <t xml:space="preserve">Homefront S&amp;D, LLC </t>
  </si>
  <si>
    <t xml:space="preserve">125 W School House Lane </t>
  </si>
  <si>
    <t>205 Regency Executive Park Dr.</t>
  </si>
  <si>
    <t>Charlotte Immigration Law Firm</t>
  </si>
  <si>
    <t>Suite I</t>
  </si>
  <si>
    <t>Lanham</t>
  </si>
  <si>
    <t>P-100-21137-319741</t>
  </si>
  <si>
    <t xml:space="preserve">Human Resource Administrator </t>
  </si>
  <si>
    <t>Product Design &amp; Manufacturing Engineering, Industrial Engineering or closely related field.</t>
  </si>
  <si>
    <t>DIRECTOR OF ENGINEERING</t>
  </si>
  <si>
    <t>Wheeler</t>
  </si>
  <si>
    <t>P-400-21127-295118</t>
  </si>
  <si>
    <t>Hames</t>
  </si>
  <si>
    <t>81 Pleasant St.</t>
  </si>
  <si>
    <t>Winthrop</t>
  </si>
  <si>
    <t>aaa@aaaoshaconsultants.com</t>
  </si>
  <si>
    <t>OSHA Training &amp; Safety Consultants, Inc.</t>
  </si>
  <si>
    <t>Sheri</t>
  </si>
  <si>
    <t>900 Broadway Suite 4</t>
  </si>
  <si>
    <t>Revere</t>
  </si>
  <si>
    <t>Sheri5@verizon.net</t>
  </si>
  <si>
    <t>Sheri F. Murray, Esq.</t>
  </si>
  <si>
    <t>Safety Officer</t>
  </si>
  <si>
    <t>415 Shirley Street</t>
  </si>
  <si>
    <t>P-400-21151-356896</t>
  </si>
  <si>
    <t>CARNICERIA LA SUPERIOR, INC</t>
  </si>
  <si>
    <t>2975 Gillsville Hwy 323</t>
  </si>
  <si>
    <t>Meat Cutter</t>
  </si>
  <si>
    <t>Line/Prep Cook</t>
  </si>
  <si>
    <t xml:space="preserve">Business </t>
  </si>
  <si>
    <t>P-400-21124-284870</t>
  </si>
  <si>
    <t>PIPEFITTER</t>
  </si>
  <si>
    <t>P-100-21154-365551</t>
  </si>
  <si>
    <t>="Two years of experience planning and executing product development strategies, including at least six months involving conversation software products related to dementia care.
One year of experience designing and creating conversational user interfaces</t>
  </si>
  <si>
    <t>="The Petitioner will consider for employment any person who possesses at least one (1) year of service experience in a fine-dining or high-volume environment at a high-end restaurant, resort, or private club.  Applicant must complete pre-employment backg</t>
  </si>
  <si>
    <t>Clubhouse Manager</t>
  </si>
  <si>
    <t>P-100-21153-360924</t>
  </si>
  <si>
    <t>99 Rosewood Dr</t>
  </si>
  <si>
    <t>P-400-21127-297390</t>
  </si>
  <si>
    <t>Gatto</t>
  </si>
  <si>
    <t>Katha</t>
  </si>
  <si>
    <t>Birn</t>
  </si>
  <si>
    <t xml:space="preserve">16501 Van Gogh Blvd </t>
  </si>
  <si>
    <t>Loxahatchee</t>
  </si>
  <si>
    <t>kathagatto@gmail.com</t>
  </si>
  <si>
    <t>Shadow Creek NY LLC</t>
  </si>
  <si>
    <t>P-400-21124-285781</t>
  </si>
  <si>
    <t>="Must be able to work weekends
Must be able to lift up 50lbs, stoop, bend, sit, walk, kneel, reach (over head or ground level) for prolong period
Once hired worker may be required to take a random drug test (at no cost to worker) 
Testing positive or Fai</t>
  </si>
  <si>
    <t xml:space="preserve">Travel to multi location (within driving distance) Location #1 - Debarges Crawfish: 1807 Andrews Street Alexandria, LA 71303 
Location #2 Crazy Cajun LLC: 6300 Old Shreveport Hwy Pineville, LA 71360 - Location #3 Rosie Jo's: 3140 MacArthur Drive Alexandria LA 71301
Worker will be given a schedule for location work will be performed - schedule is subject to change depending on the work load of each worksite.  </t>
  </si>
  <si>
    <t>Alexandria, LA</t>
  </si>
  <si>
    <t>Martinez (BM/cl/1145.3206.2)</t>
  </si>
  <si>
    <t>P-400-21139-326299</t>
  </si>
  <si>
    <t>Dunphy</t>
  </si>
  <si>
    <t>1415 16th Avenue N</t>
  </si>
  <si>
    <t>Humboldt</t>
  </si>
  <si>
    <t>adunphy129@gmail.com</t>
  </si>
  <si>
    <t>Dunphy Farms, LLC</t>
  </si>
  <si>
    <t>1514 16th Avenue N</t>
  </si>
  <si>
    <t>Driver will drive to various worksites to deliver equipment and concrete slats.</t>
  </si>
  <si>
    <t>Ford</t>
  </si>
  <si>
    <t>557 E California Ave.</t>
  </si>
  <si>
    <t>Lafayette, LA</t>
  </si>
  <si>
    <t>P-400-21144-339034</t>
  </si>
  <si>
    <t>plaitis</t>
  </si>
  <si>
    <t>niki</t>
  </si>
  <si>
    <t>WAITER AND WAITRESS</t>
  </si>
  <si>
    <t>WAITERS AND WAITRESSES</t>
  </si>
  <si>
    <t>P-400-21142-336069</t>
  </si>
  <si>
    <t>TRANSPORT LEASING COMPANY LLP</t>
  </si>
  <si>
    <t>1120 EAST MAIN STREET</t>
  </si>
  <si>
    <t>Chichevaliev</t>
  </si>
  <si>
    <t>Filip</t>
  </si>
  <si>
    <t>OC Law Group LLC</t>
  </si>
  <si>
    <t>P-400-21130-298486</t>
  </si>
  <si>
    <t>Irrigation Pipefitter</t>
  </si>
  <si>
    <t>MARVIN</t>
  </si>
  <si>
    <t>2907 Central Avenue, 109, 109</t>
  </si>
  <si>
    <t>P-100-21141-333385</t>
  </si>
  <si>
    <t>P-400-21147-349923</t>
  </si>
  <si>
    <t>P-400-21130-299551</t>
  </si>
  <si>
    <t>Mahni</t>
  </si>
  <si>
    <t xml:space="preserve">2112 Fortview Dr. </t>
  </si>
  <si>
    <t>mmaxwell@victorymed.com</t>
  </si>
  <si>
    <t>Victory Medical</t>
  </si>
  <si>
    <t xml:space="preserve">4303 Victory Dr. </t>
  </si>
  <si>
    <t xml:space="preserve">Maintenance/Groundskeeper </t>
  </si>
  <si>
    <t xml:space="preserve">Head of Grounds Maintenance </t>
  </si>
  <si>
    <t>4303 Victory Dr.</t>
  </si>
  <si>
    <t>P-400-21137-320549</t>
  </si>
  <si>
    <t>VR CPC Holdings, Inc.</t>
  </si>
  <si>
    <t>4000 Canyons Resort Drive</t>
  </si>
  <si>
    <t>Arburua</t>
  </si>
  <si>
    <t>514 Via de la Valle</t>
  </si>
  <si>
    <t>Law@ilglawgroup.com</t>
  </si>
  <si>
    <t>P-400-21146-347191</t>
  </si>
  <si>
    <t>Beadle</t>
  </si>
  <si>
    <t>13801 W. Laurel Drive</t>
  </si>
  <si>
    <t>bb@starhomedecor.us</t>
  </si>
  <si>
    <t>Star Home Décor and Accessories, Inc.</t>
  </si>
  <si>
    <t>13801 W. Laurel Dr</t>
  </si>
  <si>
    <t>P-100-21124-286781</t>
  </si>
  <si>
    <t>Giovanni</t>
  </si>
  <si>
    <t>MALINI</t>
  </si>
  <si>
    <t>RAMA</t>
  </si>
  <si>
    <t>SVP</t>
  </si>
  <si>
    <t>Director of Process Automation</t>
  </si>
  <si>
    <t>Up to 50% domestic or international travel required.</t>
  </si>
  <si>
    <t>901 Marcon Blvd</t>
  </si>
  <si>
    <t>Cisco@Fragomen.com</t>
  </si>
  <si>
    <t xml:space="preserve">Telecommuting permitted. </t>
  </si>
  <si>
    <t>Bianculli</t>
  </si>
  <si>
    <t>3 Allied Drive</t>
  </si>
  <si>
    <t>Dedham</t>
  </si>
  <si>
    <t>katelyn.bianculli@HDA-institute.com</t>
  </si>
  <si>
    <t xml:space="preserve">Health Data Analytics Institute, Inc. </t>
  </si>
  <si>
    <t>Health Data Analyst</t>
  </si>
  <si>
    <t>DMD or DDS</t>
  </si>
  <si>
    <t>P-100-21125-288589</t>
  </si>
  <si>
    <t>Program Manager 2</t>
  </si>
  <si>
    <t>="1 year of experience in software-related program or project management. Education or experience in: Cloud/Cyber Security; Azure; SIEM (Security Information &amp; Event Management); KQL (Kusto Query Language); CI/CD (Continuous Integration/Continuous Deliver</t>
  </si>
  <si>
    <t>Requires international and domestic travel up to 25%.</t>
  </si>
  <si>
    <t>P-100-21152-359172</t>
  </si>
  <si>
    <t>Ariela</t>
  </si>
  <si>
    <t>DANIELLE</t>
  </si>
  <si>
    <t>193 N Harrison St</t>
  </si>
  <si>
    <t>ariela.danielle@gmail.com</t>
  </si>
  <si>
    <t>Fredrick Weinberg M.D.</t>
  </si>
  <si>
    <t>It is possible that the family will need care for the child when traveling together. It is expected that the employee shall accompany the family on business and leisure trips. These trips may be within the tristate area or possibly internationally. Frequency of travel is unknown but a minimum of three times in the year is expected.</t>
  </si>
  <si>
    <t>199 N Harrison St</t>
  </si>
  <si>
    <t>P-400-21139-326264</t>
  </si>
  <si>
    <t>4650 Wycliffe Golf &amp; Country Club Blvd.</t>
  </si>
  <si>
    <t>P-400-21123-282616</t>
  </si>
  <si>
    <t xml:space="preserve">George </t>
  </si>
  <si>
    <t>8415 Belize Avenue</t>
  </si>
  <si>
    <t>grweaver23@aol.com</t>
  </si>
  <si>
    <t xml:space="preserve">George Weaver Racing Stables, LLC </t>
  </si>
  <si>
    <t xml:space="preserve">Stable Attendant </t>
  </si>
  <si>
    <t>10317 West Atlantic Avenue</t>
  </si>
  <si>
    <t>Regional Human Resources Manager</t>
  </si>
  <si>
    <t xml:space="preserve">5 Penn Plaza  15th Floor </t>
  </si>
  <si>
    <t xml:space="preserve">RailWorks Corporation </t>
  </si>
  <si>
    <t>Project Controls Engineer</t>
  </si>
  <si>
    <t>Civil Engineering, Construction Management or related.</t>
  </si>
  <si>
    <t>Olympia</t>
  </si>
  <si>
    <t>POMPANO BEACH</t>
  </si>
  <si>
    <t>ANITA</t>
  </si>
  <si>
    <t>3470 NW 82nd Ave</t>
  </si>
  <si>
    <t>Teresa.Crowley@amadeus.com</t>
  </si>
  <si>
    <t>Technical Solution Manager</t>
  </si>
  <si>
    <t>Computer Science, IT or a related field</t>
  </si>
  <si>
    <t>="Bachelor’s degree (or foreign equivalent) in Computer Science, IT or a related field, PLUS four (4) years of experience in the job offered or a related position.  Alternatively, will accept three (3) years of undergraduate coursework PLUS five (5) years</t>
  </si>
  <si>
    <t>three (3) years of undergraduate coursework</t>
  </si>
  <si>
    <t>Director, Technical Solutions</t>
  </si>
  <si>
    <t xml:space="preserve">125 E John W Carpenter Fwy </t>
  </si>
  <si>
    <t>P-400-21138-321569</t>
  </si>
  <si>
    <t>P-100-21174-421402</t>
  </si>
  <si>
    <t>Carie</t>
  </si>
  <si>
    <t>Susee</t>
  </si>
  <si>
    <t>Benefits and HR Administrator</t>
  </si>
  <si>
    <t>CSUSEE-CTR@WIKIMEDIA.ORG</t>
  </si>
  <si>
    <t>Wikimedia Foundation, Inc.</t>
  </si>
  <si>
    <t>scsmith@wsmimmigration.com</t>
  </si>
  <si>
    <t>STATISTICS, MATHEMATICS, COMPUTER SCIENCE, OR A RELATED FIELD.</t>
  </si>
  <si>
    <t xml:space="preserve">="REQUIREMENTS EXPERIENCE MUST INCLUDE: BUILDING AND AUTOMATING REPEATABLE ANALYSES THAT BALANCE PRECISION WITH INTERPRETABILITY; USING SQL, HIVE, PYTHON, AND R TO EXTRACT AND ANALYZE USER BEHAVIOR AND PERFORMANCE DATA 
 FROM LARGE DATASETS; WORKING WITH </t>
  </si>
  <si>
    <t>4610 CENTER BLVD</t>
  </si>
  <si>
    <t>APT 102</t>
  </si>
  <si>
    <t>P-400-21151-356880</t>
  </si>
  <si>
    <t xml:space="preserve">DILEO </t>
  </si>
  <si>
    <t>El Carreton INC</t>
  </si>
  <si>
    <t>El Carreton</t>
  </si>
  <si>
    <t>608 Atlanta Hwy</t>
  </si>
  <si>
    <t>Taqueros</t>
  </si>
  <si>
    <t>MAY TRAVEL IN HALL COUNTY FOR ONSITE CATERING SERVICES</t>
  </si>
  <si>
    <t>53-7062.00</t>
  </si>
  <si>
    <t>First-Line Supervisors of Helpers, Laborers, and Material Movers, Hand</t>
  </si>
  <si>
    <t>P-100-21137-319190</t>
  </si>
  <si>
    <t>LOGIC PLANET INC.</t>
  </si>
  <si>
    <t>P-100-21166-400625</t>
  </si>
  <si>
    <t>Business, Economics, Finance or other business-related degrees</t>
  </si>
  <si>
    <t>Civil Engineering or related field</t>
  </si>
  <si>
    <t>P-100-21141-333938</t>
  </si>
  <si>
    <t>IT Consulting and Services</t>
  </si>
  <si>
    <t>SAINT PAUL</t>
  </si>
  <si>
    <t>Senh</t>
  </si>
  <si>
    <t>Carla Noelle</t>
  </si>
  <si>
    <t>Romero</t>
  </si>
  <si>
    <t>3150 Hilltop Mall Road</t>
  </si>
  <si>
    <t>Suite 77</t>
  </si>
  <si>
    <t>carla@senhlaw.com</t>
  </si>
  <si>
    <t>Senh Law, P.C.</t>
  </si>
  <si>
    <t>Obradovic</t>
  </si>
  <si>
    <t>Slobodan</t>
  </si>
  <si>
    <t>4231 Laurel St</t>
  </si>
  <si>
    <t>Apt 118</t>
  </si>
  <si>
    <t>slobmeh@gmail.com</t>
  </si>
  <si>
    <t>SPARTA, INC.</t>
  </si>
  <si>
    <t>P-400-21125-289005</t>
  </si>
  <si>
    <t>Adventist Health System Sunbelt Healthcare Corp.</t>
  </si>
  <si>
    <t xml:space="preserve">Computer Science, MIS, Information Technology or related field </t>
  </si>
  <si>
    <t>Computer Science, MIS, Information Technology or related field</t>
  </si>
  <si>
    <t xml:space="preserve">DIRECTOR </t>
  </si>
  <si>
    <t>="Specific Skills Requirement - must have educational or professional experience in: 
(1) Experience in Advanced Angular to develop new and existing Angular modules and functionalities within the existing architecture.
(2) Experience in coding Reactive A</t>
  </si>
  <si>
    <t>12490 SUNRISE VALLEY DR</t>
  </si>
  <si>
    <t>P-100-21165-396038</t>
  </si>
  <si>
    <t>P-400-21140-330119</t>
  </si>
  <si>
    <t>The Old Collier Golf Club, Inc.</t>
  </si>
  <si>
    <t>790 Main House Drive</t>
  </si>
  <si>
    <t>Golf Caddy</t>
  </si>
  <si>
    <t>Caddy Master</t>
  </si>
  <si>
    <t>P-100-21125-289887</t>
  </si>
  <si>
    <t>Periodic relocations and/or travel may be required to various unanticipated work sites in the U.S.</t>
  </si>
  <si>
    <t>Senior Java Developer</t>
  </si>
  <si>
    <t>P-100-21139-327529</t>
  </si>
  <si>
    <t>="SKILLS REQUIRED: SAP, MAINFRAMES, LSMW, SAP HANA, MS OFFICE, MS VISIO, AND WEB-I. MASTER’S DEGREE IN SCIENCE, TECHNOLOGY, BUSINESS ADMINISTRATION, ENGINEERING, OR ANY RELATED FIELD WITH 1 YEAR OF EXPERIENCE IN THE JOB OFFERED OR RELATED OCCUPATION IS RE</t>
  </si>
  <si>
    <t>P-100-21153-363591</t>
  </si>
  <si>
    <t xml:space="preserve">IT, Computer Science, Engineering (Computer or Elecrical), the equivalent, or related field. </t>
  </si>
  <si>
    <t>="Requires a Bachelor's degree in IT, Computer Science, Engineering (Computer or Elecrical), the equivalent, or related field plus five years of experience. Requires:	5 years experience in Java development; 5 years experience J2EE development; and 4 years</t>
  </si>
  <si>
    <t xml:space="preserve">Domesic travel to client sites as needed. </t>
  </si>
  <si>
    <t>P-100-21155-369974</t>
  </si>
  <si>
    <t xml:space="preserve">Cliveden Nursing and Rehabilitation </t>
  </si>
  <si>
    <t>6400 Green Street</t>
  </si>
  <si>
    <t>Nogales</t>
  </si>
  <si>
    <t>JOHNATHAN.LAI@AIRBNB.COM</t>
  </si>
  <si>
    <t>P-400-21141-333805</t>
  </si>
  <si>
    <t>CURTI</t>
  </si>
  <si>
    <t>9 YELLOWSTONE DRIVE</t>
  </si>
  <si>
    <t>WEST NYACK</t>
  </si>
  <si>
    <t xml:space="preserve">CURTI &amp; ASSOCIATES LTD </t>
  </si>
  <si>
    <t>MULTIPLE SITES IN ROCKLAND COUNTY</t>
  </si>
  <si>
    <t>Connie</t>
  </si>
  <si>
    <t>P-100-21126-294313</t>
  </si>
  <si>
    <t>3501 Olympus Drive</t>
  </si>
  <si>
    <t>katie.brown@funimation.com</t>
  </si>
  <si>
    <t>Funimation Global Group, LLC</t>
  </si>
  <si>
    <t>CS, CIS, IT, any relevant engineering field, or a related field</t>
  </si>
  <si>
    <t>="Proficient in ASP.NET, VB.NET, Java, XML, Python 2.x and 3.x, JavaScript, HTML 5, DHTML, AJAX, Web Services, Web API, MVC Framework, WCF, JSON, Node.JS, Microsoft Visual Studio, SQL, Oracle, MongoDB, Postgres, AWS Lambda, S3, GitHub, and JIRA. BS or equ</t>
  </si>
  <si>
    <t>2001 THE EMBARCADERO</t>
  </si>
  <si>
    <t>SUITE 201, BOX 1795</t>
  </si>
  <si>
    <t>Hospital Radiation Physicist</t>
  </si>
  <si>
    <t>19-2012.00</t>
  </si>
  <si>
    <t>Physics, Applied and Industrial Physics, Medical Physics, Nuclear Engineering or Bioengineering</t>
  </si>
  <si>
    <t>Radiation Oncology Operations Director, Chief of Clinical Physics</t>
  </si>
  <si>
    <t>1825 4th Street</t>
  </si>
  <si>
    <t>Suite L1101</t>
  </si>
  <si>
    <t>DO, MHA, Corporate VP</t>
  </si>
  <si>
    <t>1040 Sierra Drive</t>
  </si>
  <si>
    <t>GREENWOOD</t>
  </si>
  <si>
    <t>claude.foreit@franciscanalliance.org</t>
  </si>
  <si>
    <t>FRANCISCAN ALLIANCE INC.</t>
  </si>
  <si>
    <t>FRANCISCAN PHYSICIAN NETWORK</t>
  </si>
  <si>
    <t>1040 SIERRA DRIVE</t>
  </si>
  <si>
    <t>ipinto@fragomen.com</t>
  </si>
  <si>
    <t>P-200-21125-288671</t>
  </si>
  <si>
    <t>801 S. Figueroa Street</t>
  </si>
  <si>
    <t>sdm@manningllp.com</t>
  </si>
  <si>
    <t>Manning, Kass, Ellrod, Ramirez, Trester LLP</t>
  </si>
  <si>
    <t>Manning &amp; Kass</t>
  </si>
  <si>
    <t>801 S. Figuero Street</t>
  </si>
  <si>
    <t>Semotiuk</t>
  </si>
  <si>
    <t>191 The West Mall</t>
  </si>
  <si>
    <t>M9C5K8</t>
  </si>
  <si>
    <t>Andy@myworkvisa.com</t>
  </si>
  <si>
    <t>Pace Law Firm/for Manning &amp; Kass</t>
  </si>
  <si>
    <t>801 S. Figueroa St</t>
  </si>
  <si>
    <t>P-400-21153-362457</t>
  </si>
  <si>
    <t>5100 McCullom Lake Road</t>
  </si>
  <si>
    <t>McHenry</t>
  </si>
  <si>
    <t>dan@creeksideld.com</t>
  </si>
  <si>
    <t>Creekside Landscape Dev., LLC</t>
  </si>
  <si>
    <t>Employer will provide transportation from office to and from job sites.</t>
  </si>
  <si>
    <t>P-400-21154-367293</t>
  </si>
  <si>
    <t>Astorga</t>
  </si>
  <si>
    <t>160 Willow</t>
  </si>
  <si>
    <t>Levittown</t>
  </si>
  <si>
    <t>Paul's Landscape and Design</t>
  </si>
  <si>
    <t>3355 Bee Cave</t>
  </si>
  <si>
    <t>kevin.lashus@fisherbroyles.com</t>
  </si>
  <si>
    <t>Employer-provided transportation to and from customer job sites from a central bucks county location</t>
  </si>
  <si>
    <t>1141 Elkins</t>
  </si>
  <si>
    <t>Philadelphia-Camden-Wilmington, PA-NJ-DE-MD</t>
  </si>
  <si>
    <t xml:space="preserve">N. </t>
  </si>
  <si>
    <t>P-100-21154-367696</t>
  </si>
  <si>
    <t>Electrical engineering or Mechanical engineering or related field.</t>
  </si>
  <si>
    <t>P-400-21124-285845</t>
  </si>
  <si>
    <t>Kranz</t>
  </si>
  <si>
    <t>2709 Hopewell Road</t>
  </si>
  <si>
    <t>Lawn Authority, LC</t>
  </si>
  <si>
    <t>2709 Hopewell Rd.</t>
  </si>
  <si>
    <t>P-100-21131-304816</t>
  </si>
  <si>
    <t>199 Fremont Street</t>
  </si>
  <si>
    <t>P-400-21145-341787</t>
  </si>
  <si>
    <t>71 Klindt Road</t>
  </si>
  <si>
    <t>P-100-21161-385322</t>
  </si>
  <si>
    <t>Business Systems Analyst (Multiple Positions)</t>
  </si>
  <si>
    <t>Computer Science, Electronic/Mechanical/Industrial/Electrical/ Chemical Engineering, Information Systems, Business Administration, or a related field</t>
  </si>
  <si>
    <t>="Must have a Master’s degree in Computer Science, Electronic/Mechanical/Industrial/Electrical/ Chemical Engineering, Information Systems, Business Administration, or a related field, plus 3 years of experience in business systems analysis; or, a Bachelor</t>
  </si>
  <si>
    <t xml:space="preserve">Sr Program Manager </t>
  </si>
  <si>
    <t>P-400-21146-347556</t>
  </si>
  <si>
    <t>280 Reynolds Ave.</t>
  </si>
  <si>
    <t>League City</t>
  </si>
  <si>
    <t>sckennedy@plant-process.com</t>
  </si>
  <si>
    <t>Plant Process Equipment, Inc.</t>
  </si>
  <si>
    <t>="Must pass pre-hire drug test and medical physical. Must pass written and functional fitting test at employer's expense. Must be able to lift and/or move a minimum of 50 lbs. Must be willing and able to climb and work in high places that may exceed 200 f</t>
  </si>
  <si>
    <t>655 Montgomery Street</t>
  </si>
  <si>
    <t>Dairy Queen</t>
  </si>
  <si>
    <t>Marianna</t>
  </si>
  <si>
    <t>marianna@cdimmigration.com</t>
  </si>
  <si>
    <t>Marianna Cardona-Diaz, PA</t>
  </si>
  <si>
    <t>P-100-21137-318078</t>
  </si>
  <si>
    <t>Bouse</t>
  </si>
  <si>
    <t>Audra</t>
  </si>
  <si>
    <t>Project Manager, Corporate HR</t>
  </si>
  <si>
    <t>625 Westport Parkway</t>
  </si>
  <si>
    <t>Gamestop, Inc</t>
  </si>
  <si>
    <t>17-2112.00; 17-2112.00</t>
  </si>
  <si>
    <t>Industrial Engineers; Industrial Engineers</t>
  </si>
  <si>
    <t xml:space="preserve">Industrial Engineering or Mechanical Engineering or related field of study </t>
  </si>
  <si>
    <t>="MINIMUM Education and Experience Requirement:  Master’s degree in Industrial Engineering or Mechanical Engineering or related field of study AND Five (5) years of experience in the job offered or related occupation. 
Applicants must have demonstrated e</t>
  </si>
  <si>
    <t>100% telecommuting role. Reports to company headquarters in Grapevine, TX. Can work remotely or telecommute.</t>
  </si>
  <si>
    <t>P-400-21150-356222</t>
  </si>
  <si>
    <t>5051 Overseas Hwy</t>
  </si>
  <si>
    <t>Demple</t>
  </si>
  <si>
    <t>Cody</t>
  </si>
  <si>
    <t>Y-Tex Corporation</t>
  </si>
  <si>
    <t>Packer</t>
  </si>
  <si>
    <t>P-400-21145-340322</t>
  </si>
  <si>
    <t>BRAVO</t>
  </si>
  <si>
    <t>BLOSSOMCLEANING3@GMAIL.COM</t>
  </si>
  <si>
    <t>HOUSEKEEPING/CLEANERS</t>
  </si>
  <si>
    <t>511 E ADAMS STREET</t>
  </si>
  <si>
    <t>South Central Wisconsin nonmetropolitan area</t>
  </si>
  <si>
    <t>P-100-21146-347318</t>
  </si>
  <si>
    <t>4  WELLINGTON STREET</t>
  </si>
  <si>
    <t>Master’s degree or foreign equivalent degree in Healthcare, Public Health,  Biomedical Engineering, or similarly related field.</t>
  </si>
  <si>
    <t>May telecommute from anywhere in the US.</t>
  </si>
  <si>
    <t>4 Wellington Street, Suite 3</t>
  </si>
  <si>
    <t>P-100-21168-406923</t>
  </si>
  <si>
    <t>3000 Hospital Boulevard</t>
  </si>
  <si>
    <t>P-100-21144-339519</t>
  </si>
  <si>
    <t>TEKWISSEN LLC.</t>
  </si>
  <si>
    <t>825 VICTORS WAY</t>
  </si>
  <si>
    <t>LAW OFFICE OF THOMAS V. ALLEN, PLLC</t>
  </si>
  <si>
    <t xml:space="preserve">825 VICTORS WAY </t>
  </si>
  <si>
    <t>SUITE 370 &amp; Various unanticipated locations throughout the U.S</t>
  </si>
  <si>
    <t>P-400-21148-354346</t>
  </si>
  <si>
    <t>Marla</t>
  </si>
  <si>
    <t xml:space="preserve">2700 Oak Industrial </t>
  </si>
  <si>
    <t>marla.morales@kv.com</t>
  </si>
  <si>
    <t>Knape and Vogt Manufacturing Company</t>
  </si>
  <si>
    <t>2700 Oak Industrial</t>
  </si>
  <si>
    <t>Grand Rapids-Wyoming, MI</t>
  </si>
  <si>
    <t>Ayala</t>
  </si>
  <si>
    <t xml:space="preserve">="Sound knowledge of algorithm/ distributed system/computer network/application security; High expertise in web &amp; software security/message queue/AWS/software architecture design; Strong ability in object-oriented programming languages &amp; design patterns; </t>
  </si>
  <si>
    <t>P-400-21133-311990</t>
  </si>
  <si>
    <t>1305 Kilroy St.</t>
  </si>
  <si>
    <t>kathyledesma7@yahoo.com</t>
  </si>
  <si>
    <t>Ledesma Forestry Services, LLC</t>
  </si>
  <si>
    <t>Transport provided, designated locale to job site. Begin in Jasper County, TX. Continue in States: LA, TX.</t>
  </si>
  <si>
    <t>575 County Rd 254 (Report to Work)</t>
  </si>
  <si>
    <t>P-100-21173-417972</t>
  </si>
  <si>
    <t>Hongmee</t>
  </si>
  <si>
    <t xml:space="preserve">1701 E. Lake Ave. </t>
  </si>
  <si>
    <t>lee@iminatty.com</t>
  </si>
  <si>
    <t>Hue-Circle, Inc</t>
  </si>
  <si>
    <t>65 E. Palatine Rd. #117</t>
  </si>
  <si>
    <t>Information Clerk</t>
  </si>
  <si>
    <t>Cisneros</t>
  </si>
  <si>
    <t>ecisneros@fontanatransport.net</t>
  </si>
  <si>
    <t xml:space="preserve">Sevak </t>
  </si>
  <si>
    <t xml:space="preserve">Jamila </t>
  </si>
  <si>
    <t>Head HR Business Partner</t>
  </si>
  <si>
    <t xml:space="preserve">32 Old Slip </t>
  </si>
  <si>
    <t xml:space="preserve">23rd Floor </t>
  </si>
  <si>
    <t>JSevak@cls-bank.com</t>
  </si>
  <si>
    <t>Turizo</t>
  </si>
  <si>
    <t>Application Solutions Lead</t>
  </si>
  <si>
    <t>P-100-21130-299116</t>
  </si>
  <si>
    <t>CONSTANGY, BROOKS, SMITH AND PROPHETE LLP</t>
  </si>
  <si>
    <t>="Requirements: Master's degree in Computer Science, Information Systems or related field of study plus 2 years of experience in the job offered or 2 years of experience in a related occupation. The employer will alternatively accept a Bachelor's degree o</t>
  </si>
  <si>
    <t>50% DOMESTIC TRAVEL REQUIRED</t>
  </si>
  <si>
    <t>9467 Gulf Shore Drive</t>
  </si>
  <si>
    <t>ynv@yournextvisa.com</t>
  </si>
  <si>
    <t>The Floridian Club, Inc.</t>
  </si>
  <si>
    <t>Sandham</t>
  </si>
  <si>
    <t>2753 Vista Parkway</t>
  </si>
  <si>
    <t>Unit J6</t>
  </si>
  <si>
    <t>Your Next Visa, LLC</t>
  </si>
  <si>
    <t>Karnam-Sreenivas</t>
  </si>
  <si>
    <t>Bala</t>
  </si>
  <si>
    <t>1505 S Highway 69</t>
  </si>
  <si>
    <t>Nederland</t>
  </si>
  <si>
    <t>midcountyrx@gmail.com</t>
  </si>
  <si>
    <t>BCRR RX Inc.</t>
  </si>
  <si>
    <t>Mid County Pharmacy</t>
  </si>
  <si>
    <t>Shankar Ninan &amp; Co., LLP</t>
  </si>
  <si>
    <t>Pharmacist-In-Charge</t>
  </si>
  <si>
    <t>Food Processing Workers, All Other</t>
  </si>
  <si>
    <t>P-100-21139-326869</t>
  </si>
  <si>
    <t>Tan</t>
  </si>
  <si>
    <t>International Student Advisor</t>
  </si>
  <si>
    <t>32 Sayre Drive</t>
  </si>
  <si>
    <t>Coxe Hall</t>
  </si>
  <si>
    <t>jet206@lehigh.edu</t>
  </si>
  <si>
    <t>Lehigh University</t>
  </si>
  <si>
    <t>27 Memorial Drive West</t>
  </si>
  <si>
    <t>Castor</t>
  </si>
  <si>
    <t>whess@lhscimmigration.com</t>
  </si>
  <si>
    <t xml:space="preserve">Computer Science, Computer Engineering, or a closely related field. </t>
  </si>
  <si>
    <t>="Must hold a Ph.D. in Computer Science, Computer Engineering, or a closely related field or receive such degree prior to the official start date of employment. Must have background in robotics, systems/security, or artificial intelligence/machine learnin</t>
  </si>
  <si>
    <t>Chairperson, Department of Computer Science and Engineering</t>
  </si>
  <si>
    <t>113 Research Drive</t>
  </si>
  <si>
    <t>P-100-21166-399241</t>
  </si>
  <si>
    <t>15875 Middlebelt Rd.</t>
  </si>
  <si>
    <t>A. RAYMOND NORTH AMERICA LLC</t>
  </si>
  <si>
    <t>3091 Research Drive</t>
  </si>
  <si>
    <t>Business Development and Engineering Manager</t>
  </si>
  <si>
    <t xml:space="preserve">Mechanical, Production or Industrial Engineering or related </t>
  </si>
  <si>
    <t>="Position requires Bachelor Degree in Mechanical, Production or Industrial Engineering or related plus 1 year experience in Business Development and Product Development Processes in the Automotive Industry. Alternatively, will accept Bachelor degree equi</t>
  </si>
  <si>
    <t>Job based in Rochester Hills, MI but requires international travel and travel/relocation throughout the U.S.</t>
  </si>
  <si>
    <t>P-400-21147-351064</t>
  </si>
  <si>
    <t>HEMMES</t>
  </si>
  <si>
    <t xml:space="preserve">1350 BEACH ROAD </t>
  </si>
  <si>
    <t>AMERICA AT PLAY SOUTH INC</t>
  </si>
  <si>
    <t>1350 BEACH ROAD</t>
  </si>
  <si>
    <t>Punta Gorda, FL</t>
  </si>
  <si>
    <t>P-400-21151-356768</t>
  </si>
  <si>
    <t>Wadsworth</t>
  </si>
  <si>
    <t>Aloma</t>
  </si>
  <si>
    <t>70 E. 2125 S.</t>
  </si>
  <si>
    <t>alomaforest@gmail.com</t>
  </si>
  <si>
    <t>Aloma Land &amp; Forest LLC</t>
  </si>
  <si>
    <t>="Must be 18 due to travel. Must show proof of legal authorization to work in the United States. Drug/alcohol/tobacco free work zone. Must walk substantially (up to 15 miles/day), also stoop, bend while carrying a pack (up to 55lbs) thru rough terrain (no</t>
  </si>
  <si>
    <t>Transport provided, designated locale to job site. Begin in Cassia County, ID. Continue in States: AL, AR, AZ, CA, CO, FL, GA, ID, KY, LA, MS, NM, NV, OR, TN, TX, UT, WA.</t>
  </si>
  <si>
    <t>70 E. 2125 S. (Report to Work)</t>
  </si>
  <si>
    <t>P-400-21146-347504</t>
  </si>
  <si>
    <t>Operator II</t>
  </si>
  <si>
    <t>P-100-21167-402550</t>
  </si>
  <si>
    <t>Master’s degree or foreign equivalency in Computer Science, Information Technology, Information Systems or a related field. * Foreign equiv. accepted.</t>
  </si>
  <si>
    <t>8141 Tyler Blvd</t>
  </si>
  <si>
    <t>Climax Metal Products Company</t>
  </si>
  <si>
    <t>brian@imwong.com</t>
  </si>
  <si>
    <t>Accounting Specialist</t>
  </si>
  <si>
    <t>LINDA</t>
  </si>
  <si>
    <t>P-100-21174-421546</t>
  </si>
  <si>
    <t>P-400-21137-320429</t>
  </si>
  <si>
    <t>Ski Instructor, Level III</t>
  </si>
  <si>
    <t>General Manager, Ski School</t>
  </si>
  <si>
    <t>5805 White Pebble Path</t>
  </si>
  <si>
    <t>rakesh.gupta@ci-ss.com</t>
  </si>
  <si>
    <t>Creative Ideas Simple Solutions, Inc.</t>
  </si>
  <si>
    <t>mandy@fan-law.com</t>
  </si>
  <si>
    <t>Information Systems Technology</t>
  </si>
  <si>
    <t>P-400-21151-357018</t>
  </si>
  <si>
    <t>Andrade</t>
  </si>
  <si>
    <t>2220 Sandy Lake Rd.</t>
  </si>
  <si>
    <t>mandrade@southwestnursery.com</t>
  </si>
  <si>
    <t>Southwest Nursery and Supply, LP</t>
  </si>
  <si>
    <t>Southwest Wholesale Nursery</t>
  </si>
  <si>
    <t>200 Pine Street</t>
  </si>
  <si>
    <t>P-400-21139-324590</t>
  </si>
  <si>
    <t>Sobieralski</t>
  </si>
  <si>
    <t>100 Bachelor Ridge Rd</t>
  </si>
  <si>
    <t>jsobieralski@thesebastianvail.com</t>
  </si>
  <si>
    <t>BG Employees LLC</t>
  </si>
  <si>
    <t>Timbers Bachelor Gulch</t>
  </si>
  <si>
    <t>16 Vail Road</t>
  </si>
  <si>
    <t>="Must have a minimum of one year of housekeeping experience; Mobility to work in a housekeeping setting; Stamina to stand, stoop, squat and bend for extended periods of time; Strength to lift and carry up to 40 pounds; Vision to read printed materials an</t>
  </si>
  <si>
    <t>Director of Houskeeping</t>
  </si>
  <si>
    <t>100 Bachelor Ridge Road</t>
  </si>
  <si>
    <t>Northwood</t>
  </si>
  <si>
    <t>P-400-21126-293665</t>
  </si>
  <si>
    <t>300 Sunset Ave.</t>
  </si>
  <si>
    <t>Crunch Pak LLC</t>
  </si>
  <si>
    <t xml:space="preserve">8830 Tallon Ln NE </t>
  </si>
  <si>
    <t>="· Work in cold environment – gloves provided (temperature 36-40 degrees)
· Work around chemicals – (including Chlorine, Quat, PAA)
· Work with hands in water
· Work in a loud environment – hearing protection provided and mandatory
· Ability to stand lon</t>
  </si>
  <si>
    <t>300 sunset hwy</t>
  </si>
  <si>
    <t>Wenatchee, WA</t>
  </si>
  <si>
    <t>P-400-21125-289983</t>
  </si>
  <si>
    <t xml:space="preserve">LANDSCAPING LABORERS </t>
  </si>
  <si>
    <t>="ABLE TO BEND, REACH TO GROUND LEVEL OR OVERHEAD, STAND, WALK, KNEEL FOR LONG PROLONGED PERIOD OF TIME, ABLE TO LIFT UP TO 50LBS, ABLE TO WORK
IN ALL-WEATHER CONDITION FROM EXTREME HEAT, COLD OR RAIN.
ABLE TO WORK WEEKENDS
ONCE HIRED WORKER MAY BE REQUIR</t>
  </si>
  <si>
    <t>14759 FLORIDA BLVD</t>
  </si>
  <si>
    <t>P-100-21172-413570</t>
  </si>
  <si>
    <t>COMMERCIAL PILOT</t>
  </si>
  <si>
    <t>="1. Must meet the requirement under Title 14 CFR135.243(c)(1): Holds at least a commercial pilot certificate with appropriate category and class ratings.
2. Must meet the requirements under Title 14 CFR §135.243 (c)(2): at least 1,200 hours of flight tim</t>
  </si>
  <si>
    <t>CHIEF PILOT</t>
  </si>
  <si>
    <t>Encompass Health Rehabilitation Hospital of East Valley, LLC.</t>
  </si>
  <si>
    <t>Encompass Health Rehabilitation Hospital of East Valley</t>
  </si>
  <si>
    <t>5652 E. Baseline Raod</t>
  </si>
  <si>
    <t>5652 E. Baseline Road</t>
  </si>
  <si>
    <t>P-200-21179-429898</t>
  </si>
  <si>
    <t>visas@mdanderson.org</t>
  </si>
  <si>
    <t>Natural sciences or related field</t>
  </si>
  <si>
    <t>P-400-21154-366442</t>
  </si>
  <si>
    <t>P-100-21166-398942</t>
  </si>
  <si>
    <t>Management Information Systems</t>
  </si>
  <si>
    <t>P-400-21138-324380</t>
  </si>
  <si>
    <t>930 Judge Ave</t>
  </si>
  <si>
    <t>gilberto@contrerasforestry.com</t>
  </si>
  <si>
    <t>Contreras Forestry, LLC</t>
  </si>
  <si>
    <t>Forestry worker</t>
  </si>
  <si>
    <t>Transport provided, designated locale to job site. Begin in Chilton County, AL. Continue in States: AL, AR, FL, GA, MS, OK, SC, TN.</t>
  </si>
  <si>
    <t>930 Judge Ave (Report to Work)</t>
  </si>
  <si>
    <t>Trillos Ballerini</t>
  </si>
  <si>
    <t>Beatriz</t>
  </si>
  <si>
    <t>3000 Weslayan Street</t>
  </si>
  <si>
    <t>perm@tbvisas.com</t>
  </si>
  <si>
    <t>Trillos Ballerini Law Firm, P.C.</t>
  </si>
  <si>
    <t>P-400-21132-307500</t>
  </si>
  <si>
    <t>="The Petitioner will consider for employment any person who possesses at least three (3) months of experience at a high-end hotel, resort, or private club.  Applicant must complete pre-employment background check and drug screening.  Applicant may be req</t>
  </si>
  <si>
    <t>Front Office Manager and Director of Operations</t>
  </si>
  <si>
    <t>9868 Scranton Rd</t>
  </si>
  <si>
    <t>P-400-21151-357004</t>
  </si>
  <si>
    <t>Higginbotham</t>
  </si>
  <si>
    <t>2199 Washington</t>
  </si>
  <si>
    <t>sandy@texasyardpro.com</t>
  </si>
  <si>
    <t>Texas Yard Pro, Inc.</t>
  </si>
  <si>
    <t>P-400-21147-349245</t>
  </si>
  <si>
    <t>KONDRAMASHIN</t>
  </si>
  <si>
    <t>INNA</t>
  </si>
  <si>
    <t>813 Rothsville Rd</t>
  </si>
  <si>
    <t>620 South Tryon Street</t>
  </si>
  <si>
    <t>WEST PALM BEACH</t>
  </si>
  <si>
    <t>Hobbs</t>
  </si>
  <si>
    <t>Billy.Hobbs@laughtonteam.com</t>
  </si>
  <si>
    <t>Laughton &amp; Laughton, PLLC</t>
  </si>
  <si>
    <t>8631 West Union Hills Drive</t>
  </si>
  <si>
    <t>DiSanto</t>
  </si>
  <si>
    <t>6945 East Sahuaro Drive</t>
  </si>
  <si>
    <t>Bldg. B, Suite # 125</t>
  </si>
  <si>
    <t>cmd@disantoimmigrationlaw.com</t>
  </si>
  <si>
    <t>DiSanto &amp; DiSanto, PLC</t>
  </si>
  <si>
    <t>Management Accountant</t>
  </si>
  <si>
    <t>Owner/Member/Manager</t>
  </si>
  <si>
    <t>P-100-21127-294451</t>
  </si>
  <si>
    <t>Computer Science, Computer Information Systems, MIS, Engineering (Any), or any related field.</t>
  </si>
  <si>
    <t>Travel/relocation to unanticipated client/work sites throughout the U.S.</t>
  </si>
  <si>
    <t>PERSISTENT SYSTEM INC.</t>
  </si>
  <si>
    <t>P-100-21177-428267</t>
  </si>
  <si>
    <t xml:space="preserve">Gary </t>
  </si>
  <si>
    <t>291 Lambert Avenue</t>
  </si>
  <si>
    <t>gary@fiddler.ai</t>
  </si>
  <si>
    <t xml:space="preserve">Fiddler Labs Inc. </t>
  </si>
  <si>
    <t xml:space="preserve">Computer Engineering, Computer Science or closely related field and </t>
  </si>
  <si>
    <t>="Experience must have included:
a.	Use of C++, Java;
b.	Working in the software product industry specifically including managing engineering teams;
c.	Use of distributed systems, containers and runtimes, microservices and service-oriented architecture i</t>
  </si>
  <si>
    <t>P-100-21166-397671</t>
  </si>
  <si>
    <t>Highland Park</t>
  </si>
  <si>
    <t>P-400-21151-357031</t>
  </si>
  <si>
    <t>Gammill</t>
  </si>
  <si>
    <t>528 N. Cowan Ave.</t>
  </si>
  <si>
    <t>justin@imagelandscape.com</t>
  </si>
  <si>
    <t>The ALG Corp</t>
  </si>
  <si>
    <t>Image Landscape Management, Inc.</t>
  </si>
  <si>
    <t>Sr. Financial Analyst</t>
  </si>
  <si>
    <t>P-100-21165-396841</t>
  </si>
  <si>
    <t>STEINE</t>
  </si>
  <si>
    <t>5350 Altantic Ave</t>
  </si>
  <si>
    <t>salidadelsoladhc@hotmail.com</t>
  </si>
  <si>
    <t>Salida Del Sol Adult Day Health Care, LLC.</t>
  </si>
  <si>
    <t>5350 Atlantic Ave.</t>
  </si>
  <si>
    <t>Suite 1416</t>
  </si>
  <si>
    <t>cathy@inilawyers.com</t>
  </si>
  <si>
    <t>Immigration and Investment Lawyers</t>
  </si>
  <si>
    <t>Health Services Manager</t>
  </si>
  <si>
    <t>Business Administration, Health Administration or Related Field.</t>
  </si>
  <si>
    <t>SUNNY ISLES BEACH</t>
  </si>
  <si>
    <t>Crider</t>
  </si>
  <si>
    <t>145 Mick Street</t>
  </si>
  <si>
    <t>Greenup</t>
  </si>
  <si>
    <t>Crider's Lawn Care LLC</t>
  </si>
  <si>
    <t>Doctor of Pharmacy</t>
  </si>
  <si>
    <t>Business Administration, Computer Science, Engineering, Mathematics, Statistics, Economics, or a related field</t>
  </si>
  <si>
    <t>P-400-21145-340392</t>
  </si>
  <si>
    <t>HOST/HOSTESS</t>
  </si>
  <si>
    <t>P-100-21174-421619</t>
  </si>
  <si>
    <t>P-100-21126-291872</t>
  </si>
  <si>
    <t>LAW OFFICES OF THOMAS V . ALLEN, PLLC</t>
  </si>
  <si>
    <t>P-100-21162-390314</t>
  </si>
  <si>
    <t>Monzon-LE</t>
  </si>
  <si>
    <t>2150 North First Street</t>
  </si>
  <si>
    <t>cmonzon-le@cloudleaf.io</t>
  </si>
  <si>
    <t>Cloudleaf Inc.</t>
  </si>
  <si>
    <t>2150 North First Street, 4th floor</t>
  </si>
  <si>
    <t>Computer Science related field</t>
  </si>
  <si>
    <t>="Bachelors’ degree in computer science related with 5 years of work experience in software development. Position requires expertise in building large scale web applications in supply chain domain, research &amp; develop distributed algorithms, create test pl</t>
  </si>
  <si>
    <t>V.P of Software Engineering</t>
  </si>
  <si>
    <t>Travel/relocation to client locations throughout the United States</t>
  </si>
  <si>
    <t>2150 N. First Street, 4th Floor</t>
  </si>
  <si>
    <t>P-100-21139-324995</t>
  </si>
  <si>
    <t>SUITE #204</t>
  </si>
  <si>
    <t>="
MASTERS OR FOREIGN EQUIVALENT IN CCOMPUTER SCIENCE, TECHNOLOGY, MANAGEMENT INFORMATION SYSTEM, BUSINESS ADMINISTRATION, COMMERCE, FINANCE OR RELATED FIELD. IN THE ALTERNATIVE, WILL ACCEPT BACHELORS OR FOREIGN EQUIVALENT IN COMPUTER SCIENCE, TECHNOLOGY,</t>
  </si>
  <si>
    <t>P-400-21153-362204</t>
  </si>
  <si>
    <t>Lead Cashier</t>
  </si>
  <si>
    <t>="The Petitioner will consider for
employment any person who
possesses at least six (6) months of
experience in a high-volume food and
beverage environment at a high-end
restaurant, resort, or private club.
Applicant must complete preemployment
background</t>
  </si>
  <si>
    <t>P-400-21144-339664</t>
  </si>
  <si>
    <t>Cazeau</t>
  </si>
  <si>
    <t>733 Park Ave.</t>
  </si>
  <si>
    <t>globalmailparcelcenter@gmail.com</t>
  </si>
  <si>
    <t>Global Mail &amp; Parcel Center</t>
  </si>
  <si>
    <t>733 Park Ave, Suite 200</t>
  </si>
  <si>
    <t>Shipping Clerk</t>
  </si>
  <si>
    <t>Casselberry Jr</t>
  </si>
  <si>
    <t>Executive Vice-President</t>
  </si>
  <si>
    <t>14461 Frenchtown Road</t>
  </si>
  <si>
    <t>Greenwell Springs</t>
  </si>
  <si>
    <t>chrisjr@greenseasons.us</t>
  </si>
  <si>
    <t>Corporate Green  LLC</t>
  </si>
  <si>
    <t>Greenseasons</t>
  </si>
  <si>
    <t>="ABLE TO: LIFT 50LBS, STAND, WALK, KNEEL, BEND, REACH OVERHEAD/GROUND LEVEL FOR LONG PERIOD OF TIMES, WORK IN ALL KIND OF WEATHER CONDITIONS
(EXTREME HEAT, EXTREME COLD AND RAIN).
ONCE HIRED MAY BE SUBJECT TO A RANDOM DRUG TEST AT NO COST TO WORKER, IF T</t>
  </si>
  <si>
    <t>WILL TRAVEL TO MULTI WORKSITES DAILY AT PRIVATE RESIDENCE AND COMMERCIAL PROPERTIES</t>
  </si>
  <si>
    <t>McKinsey &amp; Company Inc. US</t>
  </si>
  <si>
    <t>711 Third Avenue, 4th Floor</t>
  </si>
  <si>
    <t>P-100-21172-415286</t>
  </si>
  <si>
    <t>21635 Frontenac Ct</t>
  </si>
  <si>
    <t>schwartz.michael@outlook.com</t>
  </si>
  <si>
    <t>Michael Schwartz</t>
  </si>
  <si>
    <t xml:space="preserve">21635 Frontenac Ct </t>
  </si>
  <si>
    <t>Crystal</t>
  </si>
  <si>
    <t>P-400-21130-299709</t>
  </si>
  <si>
    <t>Beek</t>
  </si>
  <si>
    <t>Director Associate Services</t>
  </si>
  <si>
    <t>23 Ocean Lane</t>
  </si>
  <si>
    <t>dbeek@omnihotels.com</t>
  </si>
  <si>
    <t>Atlantic Resort Managers</t>
  </si>
  <si>
    <t>Omni Hilton Head Oceanfront Resort</t>
  </si>
  <si>
    <t>P-100-21159-377512</t>
  </si>
  <si>
    <t>Statistics, Analytics, Mathematics, Data Science or related field.</t>
  </si>
  <si>
    <t>P-100-21155-371647</t>
  </si>
  <si>
    <t>YOUNG S OH &amp; ASSICUATES, P.S. CPA</t>
  </si>
  <si>
    <t>ADMINISTRATIVE SPECIALIST</t>
  </si>
  <si>
    <t>Business, Accounting</t>
  </si>
  <si>
    <t>Administrative Assistance</t>
  </si>
  <si>
    <t xml:space="preserve">twice a month half day local travel </t>
  </si>
  <si>
    <t>P-400-21145-343995</t>
  </si>
  <si>
    <t>Monkia</t>
  </si>
  <si>
    <t>8301 Retreat Road</t>
  </si>
  <si>
    <t>Ste C.</t>
  </si>
  <si>
    <t>Walkerville</t>
  </si>
  <si>
    <t>mlewis@beitservices.com</t>
  </si>
  <si>
    <t>Special Event Flooring Technology</t>
  </si>
  <si>
    <t>Material Movers</t>
  </si>
  <si>
    <t>Transport provided, designated locale to job site. Begin in Frederick County, MD. Continue in Counties/Areas: Baltimore, District of Columbia, Franklin, Frederick, Prince George's, Prince William, Washington and areas of Baltimore-Columbia-Towson, MD, Chambersburg-Waynesboro, PA, Hagerstown-Martinsburg, MD-WV, Washington-Arlington-Alexandria, DC-VA-MD-WV.</t>
  </si>
  <si>
    <t>8301 Retreat Road (Report to Work)</t>
  </si>
  <si>
    <t>Walkersville</t>
  </si>
  <si>
    <t>P-400-21150-356187</t>
  </si>
  <si>
    <t>9860 SOUTH THOMAS</t>
  </si>
  <si>
    <t>220 SANDS POINT RD</t>
  </si>
  <si>
    <t>LONGBOAT KEY</t>
  </si>
  <si>
    <t>North Port-Sarasota-Bradenton, FL</t>
  </si>
  <si>
    <t>P-100-21131-303818</t>
  </si>
  <si>
    <t>Condon / Cotier</t>
  </si>
  <si>
    <t xml:space="preserve">100 Federal Street </t>
  </si>
  <si>
    <t>13-2011.02; 15-1199.06</t>
  </si>
  <si>
    <t>Auditors; Database Architects</t>
  </si>
  <si>
    <t>MEHTA</t>
  </si>
  <si>
    <t>P-400-21140-330899</t>
  </si>
  <si>
    <t>Borger</t>
  </si>
  <si>
    <t>G. Thomas</t>
  </si>
  <si>
    <t>1400 20th Street NW</t>
  </si>
  <si>
    <t>tborger@borgermanagement.com</t>
  </si>
  <si>
    <t>Bristol Associates Limited Partnership</t>
  </si>
  <si>
    <t>Educational Studies</t>
  </si>
  <si>
    <t>1111 14th Street</t>
  </si>
  <si>
    <t>VERSTREATE</t>
  </si>
  <si>
    <t>P-100-21166-397104</t>
  </si>
  <si>
    <t>Dental, Dentures. &amp; Implants</t>
  </si>
  <si>
    <t>5510 Carlisle Pike</t>
  </si>
  <si>
    <t>29-2021.00; 31-9091.00; 43-1011.00; 51-9081.00</t>
  </si>
  <si>
    <t>Dental Assistants; Dental Hygienists; Dental Laboratory Technicians; First-Line Supervisors of Office and Administrative Support Workers</t>
  </si>
  <si>
    <t>506 BOLTON PLACE</t>
  </si>
  <si>
    <t>ERICKA.SABRINA@IMMIGRATIONUSACENTERS.COM</t>
  </si>
  <si>
    <t xml:space="preserve">SANTA ANA </t>
  </si>
  <si>
    <t>DWWLAWOFFICE@YAHOO.COM</t>
  </si>
  <si>
    <t>P-100-21137-317306</t>
  </si>
  <si>
    <t>Advanced Analytics Specialist II</t>
  </si>
  <si>
    <t>Business, Finance, Accounting, Statistics, Engineering (any), or related field</t>
  </si>
  <si>
    <t>="Skills required: Demonstrated knowledge of Supply Chain Management and the following concepts: demand forecasting, network planning, inventory optimization, and logistics and capacity planning. Experience with Forecast Modelling and Predictive Analytics</t>
  </si>
  <si>
    <t xml:space="preserve">Business, Finance, Accounting, Statistics, Engineering (any), or related field </t>
  </si>
  <si>
    <t>Advanced Analytics Manager I</t>
  </si>
  <si>
    <t>Automotive Engineering, Mechanical Engineering or a related technical field</t>
  </si>
  <si>
    <t>="Must have at least a Bachelor’s degree or higher, or foreign equivalent, in Automotive Engineering, Mechanical Engineering or a related technical field and at least 7 years of experience in the job offered or at least 7 years of experience in the automo</t>
  </si>
  <si>
    <t>Controls Architecture Manager</t>
  </si>
  <si>
    <t>P-100-21166-400414</t>
  </si>
  <si>
    <t>="Board-certified or board-eligible in internal medicine; Ohio Medical License or eligible for licensure in Ohio; requires successful completion of a background check.
NOTE REGARDING BOX F.b.3.b (residency):  we have always listed residency as training a</t>
  </si>
  <si>
    <t>Work may be performed at various Ohio State University Medical Center facilities located in Columbus, Ohio. 
NOTE:  these are all Ohio State University sites, not 3rd party sites, all located in Columbus, Ohio.  Physicians could possibly spend time seeing patients at different hospitals on different days.</t>
  </si>
  <si>
    <t>P-400-21148-354150</t>
  </si>
  <si>
    <t>Burden</t>
  </si>
  <si>
    <t>16257 Willowcrest Way</t>
  </si>
  <si>
    <t>dphillips@lexingtoncountryclub.com</t>
  </si>
  <si>
    <t>Lexington Community Association, Inc.</t>
  </si>
  <si>
    <t>Lexington Country Club</t>
  </si>
  <si>
    <t>P-100-21148-354125</t>
  </si>
  <si>
    <t>Fayman</t>
  </si>
  <si>
    <t>667 Howard Street</t>
  </si>
  <si>
    <t>nelly@anovaculinary.com</t>
  </si>
  <si>
    <t>Anova Applied Electronics, Inc.</t>
  </si>
  <si>
    <t>Charotte</t>
  </si>
  <si>
    <t>shader@mvalaw.com</t>
  </si>
  <si>
    <t>MOORE AND VAN ALLEN PLLC</t>
  </si>
  <si>
    <t>Business Administration, Operations or Supply Chain Management or Industrial Engineering</t>
  </si>
  <si>
    <t>Chief Revenue Officer</t>
  </si>
  <si>
    <t>580 Howard Street</t>
  </si>
  <si>
    <t>San Franciso</t>
  </si>
  <si>
    <t>P-400-21130-301567</t>
  </si>
  <si>
    <t>1620 Sudbury Road, Suite 2</t>
  </si>
  <si>
    <t>Massachusetts Solar, Inc.</t>
  </si>
  <si>
    <t>Plaster Helper</t>
  </si>
  <si>
    <t>P-100-21180-432546</t>
  </si>
  <si>
    <t>Harrington</t>
  </si>
  <si>
    <t>P-400-21141-334065</t>
  </si>
  <si>
    <t>P-400-21153-362866</t>
  </si>
  <si>
    <t>111 Osiana Drive</t>
  </si>
  <si>
    <t>woodentco@aol.com</t>
  </si>
  <si>
    <t>Wood Ent Co., Inc.</t>
  </si>
  <si>
    <t>865 SE Road 1604</t>
  </si>
  <si>
    <t>P-400-21133-311047</t>
  </si>
  <si>
    <t>VOGELSANG</t>
  </si>
  <si>
    <t>APRYL</t>
  </si>
  <si>
    <t>DIRECTOR OF HR</t>
  </si>
  <si>
    <t>1800 HIGHWAY 26 E</t>
  </si>
  <si>
    <t>GRAPEVINE</t>
  </si>
  <si>
    <t>APRYL.VOGELSANG@HILTON.COM</t>
  </si>
  <si>
    <t>DFW OPERATING COMPANY LLC</t>
  </si>
  <si>
    <t xml:space="preserve">HILTON DFW LAKES EXECUTIVE CONFERENCE CENTER  </t>
  </si>
  <si>
    <t>1800 STATE HIGHWAY 26 E</t>
  </si>
  <si>
    <t>1800 State Highway 26 E</t>
  </si>
  <si>
    <t>="Master’s degree in Science, Technology, Engineering, or any related field with 6 months of experience in the job offered or related occupation is required. Bachelor’s degree in the above-mentioned fields along with 5 years of experience in job offered o</t>
  </si>
  <si>
    <t>P-100-21159-378921</t>
  </si>
  <si>
    <t xml:space="preserve">="Must have one year of experience in the following skill(s): using database technologies, including SQL, ETL or Oracle; experience with Microsoft Excel (pivot tables, advanced modeling, creating charts/graphs); experience with BI technologies (including </t>
  </si>
  <si>
    <t>P-400-21145-342588</t>
  </si>
  <si>
    <t>1141 N 3RD STREET</t>
  </si>
  <si>
    <t>JUANG@ALPHASERVICES.US</t>
  </si>
  <si>
    <t xml:space="preserve">Transport provided, designated locale to job site at no cost to worker; begin: Union, MS Newton county:  continue multiple areas in following States: 
MS-GA-LA-NC-OK-SC-TN-TX-VA-AL-AR-FL-CO-NM-WY-ID-OR-MT-WA-AZ-CA. </t>
  </si>
  <si>
    <t>23423 HWY 15 (report to work)</t>
  </si>
  <si>
    <t>Southeast Mississippi nonmetropolitan area</t>
  </si>
  <si>
    <t>P-400-21146-344886</t>
  </si>
  <si>
    <t>FRIAS</t>
  </si>
  <si>
    <t>KRISTI</t>
  </si>
  <si>
    <t>2001 S Ocean Blvd.</t>
  </si>
  <si>
    <t>DELRAY BEACH CLUB</t>
  </si>
  <si>
    <t xml:space="preserve">="Experience must be verifiable.
Pre-hire drug test &amp; background check, carried out equally between U.S. workers and H-2B workers 
Must be available to work split-shifts, nights, weekends &amp; holidays as needed.
Must be able to lift, pull, push or carry up </t>
  </si>
  <si>
    <t>East Rutherford</t>
  </si>
  <si>
    <t>Clayton</t>
  </si>
  <si>
    <t>P-100-21152-358103</t>
  </si>
  <si>
    <t>Cloward</t>
  </si>
  <si>
    <t>11497 South Goosenest Drive</t>
  </si>
  <si>
    <t>Payson</t>
  </si>
  <si>
    <t>dlcloward@gmail.com</t>
  </si>
  <si>
    <t>Allred Orchards INC</t>
  </si>
  <si>
    <t>Eschenfelder</t>
  </si>
  <si>
    <t>2225 South State Street</t>
  </si>
  <si>
    <t>84115-2752</t>
  </si>
  <si>
    <t>christine@lawscb.com</t>
  </si>
  <si>
    <t>Stowell Crayk and Bown PLLC</t>
  </si>
  <si>
    <t>Year-Round Orchard Worker</t>
  </si>
  <si>
    <t>WTW 2020 General Industry MMPS Report Compensation Data</t>
  </si>
  <si>
    <t>P-400-21146-344836</t>
  </si>
  <si>
    <t>3505 Summit Blvd.</t>
  </si>
  <si>
    <t>TRUMP INTERNATIONAL GOLF CLUB LLC</t>
  </si>
  <si>
    <t xml:space="preserve">="Experience must be verifiable.
Pre-hire drug test and background check, carried out equally between U.S. workers and H-2B workers. 
Must be available to work split-shifts, nights, weekends &amp; holidays as needed.
Must be able to lift, pull, push or carry </t>
  </si>
  <si>
    <t>P-100-21125-288567</t>
  </si>
  <si>
    <t xml:space="preserve">Finger </t>
  </si>
  <si>
    <t>Lindsey.fullam@fogartyfinger.com</t>
  </si>
  <si>
    <t>FOGARTY FINGER ARCHITECTURE PLLC</t>
  </si>
  <si>
    <t xml:space="preserve">69 WALKER STREET </t>
  </si>
  <si>
    <t>2ND FLR</t>
  </si>
  <si>
    <t xml:space="preserve">S </t>
  </si>
  <si>
    <t xml:space="preserve">ARCHITECTURE </t>
  </si>
  <si>
    <t>P-100-21170-412390</t>
  </si>
  <si>
    <t>Computer Science, Computer Engineering, or in a closely related field.</t>
  </si>
  <si>
    <t>P-400-21125-289244</t>
  </si>
  <si>
    <t>2850 Marble Court</t>
  </si>
  <si>
    <t>Forestville</t>
  </si>
  <si>
    <t>Java Architect</t>
  </si>
  <si>
    <t>AMS Solution Architecture Services (SAS) Team Lead</t>
  </si>
  <si>
    <t>P-200-21174-421841</t>
  </si>
  <si>
    <t>Physics, Mechanical/Chemical Engineering, or related</t>
  </si>
  <si>
    <t>50 FEDEX PARKWAY</t>
  </si>
  <si>
    <t>FULL STACK DEVELOPER III</t>
  </si>
  <si>
    <t>COMPUTER SCIENCE, ENGINEERING, INFORMATION SYSTEMS OR RELATED FIELD OF STUDY</t>
  </si>
  <si>
    <t>P-100-21174-422768</t>
  </si>
  <si>
    <t>="-Experience: 36 months software development experience formulating and analyzing software requirements utilizing C, C++, C# or other high-level programming language. 
-Specific Skills: Experience must include 18 months of experience in each of the follo</t>
  </si>
  <si>
    <t>Principal Engineer Manager</t>
  </si>
  <si>
    <t xml:space="preserve">Altamonte Springs </t>
  </si>
  <si>
    <t>P-100-21124-285922</t>
  </si>
  <si>
    <t>Finance Director, GOaL (20742.672.3)</t>
  </si>
  <si>
    <t>="Experience must include the following: 
1.	Finance or strategy experience including experience in supply chain or operations. 
2.	Leading financial planning processes for large complex investment portfolios. 
3.	Data and analytics experience in Financ</t>
  </si>
  <si>
    <t>FSO Assurance-FSO Labs-App. Sys. Engineer (Senior Mgr)(M.P.)</t>
  </si>
  <si>
    <t>Travel required up to 20% to meet client and internal needs.</t>
  </si>
  <si>
    <t>P-400-21152-359979</t>
  </si>
  <si>
    <t>lisa@swiftstraw.com</t>
  </si>
  <si>
    <t>Swift Straw II, LLC</t>
  </si>
  <si>
    <t>Transport provided, designated locale to job site. Begin in Robeson County, NC. Continue in Counties/Areas: Bladen, Robeson and areas of Southeast Coastal North Carolina nonmetropolitan area.</t>
  </si>
  <si>
    <t>1125 Herring Rd (Report to Work)</t>
  </si>
  <si>
    <t>Orrum</t>
  </si>
  <si>
    <t>Torrey</t>
  </si>
  <si>
    <t>P-400-21123-283254</t>
  </si>
  <si>
    <t>431 Andrews Hwy</t>
  </si>
  <si>
    <t>Midland, TX</t>
  </si>
  <si>
    <t>P-100-21148-354352</t>
  </si>
  <si>
    <t>Escario/cl (abdelgelil, m)</t>
  </si>
  <si>
    <t>Electrical Engineering, Electronic Engineering, or related field</t>
  </si>
  <si>
    <t>P-100-21167-402622</t>
  </si>
  <si>
    <t xml:space="preserve">Head of Research Americas, Head of FX Strategy US </t>
  </si>
  <si>
    <t xml:space="preserve">Finance, Economics or a related field. </t>
  </si>
  <si>
    <t>="Qualifying experience must include:
•	Foreign exchange strategy and financial markets
•	Forecasts for G10 markets
•	Analysis and Research with focus on Fixed Income Strategy products (Bonds and Fx)
•	Experience directly with FX, inclusive of financial m</t>
  </si>
  <si>
    <t>Fan, Fitzpatrick &amp; Thompson, LLP</t>
  </si>
  <si>
    <t>P-400-21151-356887</t>
  </si>
  <si>
    <t>EMPLOYEE MUST WORK IN DESIGNATED PROJECTS IN METRO ATLANTA.</t>
  </si>
  <si>
    <t>P-100-21166-400091</t>
  </si>
  <si>
    <t>P-400-21153-362173</t>
  </si>
  <si>
    <t>Personnel Manager</t>
  </si>
  <si>
    <t>Forest &amp; Conservation Workers</t>
  </si>
  <si>
    <t>="Must be 18 years or older. Requires physical stamina. Work is in adverse weather. Must lift and carry 50 lbs. Extensive walking over rough terrain. Production standard of 2000 trees correctly planted per 8 hour day after one week of on the job training.</t>
  </si>
  <si>
    <t>1320 E. Main Street</t>
  </si>
  <si>
    <t>P-100-21174-421914</t>
  </si>
  <si>
    <t>625 Roger Williams Avenue</t>
  </si>
  <si>
    <t>kknapp@gvwgroup.com</t>
  </si>
  <si>
    <t>Aculocity, LLC</t>
  </si>
  <si>
    <t>625 Roger Williams Street</t>
  </si>
  <si>
    <t>Network Security Architect</t>
  </si>
  <si>
    <t>="Must have a High School Diploma, GED or foreign equivalent, and at least 5 years of experience in the job offered or 5 years of experience in IT networks and security. All stated experience must include at least 4 years of experience in each of the foll</t>
  </si>
  <si>
    <t>Network Infrastructure &amp; Cloud Services Manager</t>
  </si>
  <si>
    <t>Must be willing to travel 10% domestically.</t>
  </si>
  <si>
    <t>625 Roger Williams Ave</t>
  </si>
  <si>
    <t>Agricultural Equipment Operator</t>
  </si>
  <si>
    <t>P-100-21126-293564</t>
  </si>
  <si>
    <t xml:space="preserve">ROYBAL </t>
  </si>
  <si>
    <t>SABRINA</t>
  </si>
  <si>
    <t xml:space="preserve">LEGAL ASSISTANT </t>
  </si>
  <si>
    <t>640 N. TUSTIN AVE., SUITE 204</t>
  </si>
  <si>
    <t xml:space="preserve">ROLLING GREENS NURSERY, INC. </t>
  </si>
  <si>
    <t xml:space="preserve">1005 MATEO ST., </t>
  </si>
  <si>
    <t xml:space="preserve">WAYNE </t>
  </si>
  <si>
    <t xml:space="preserve">640 N. TUSTIN AVE., </t>
  </si>
  <si>
    <t xml:space="preserve">LAW OFFICES OF DAVID W. WILLIAMS </t>
  </si>
  <si>
    <t xml:space="preserve">1005 MATEO STREET </t>
  </si>
  <si>
    <t>Aguilera</t>
  </si>
  <si>
    <t>IT Recruiting Coordinator</t>
  </si>
  <si>
    <t>999 Lake Drive</t>
  </si>
  <si>
    <t>it-recruiting@costco.com</t>
  </si>
  <si>
    <t>Costco Wholesale Corporation</t>
  </si>
  <si>
    <t>Manhattan Associates WMi Configuration Developer</t>
  </si>
  <si>
    <t>IT ECOMM OPS Manager</t>
  </si>
  <si>
    <t>Wilmore</t>
  </si>
  <si>
    <t>Bremen</t>
  </si>
  <si>
    <t>bwilmore@univbrg.com</t>
  </si>
  <si>
    <t>Universal Bearings LLC</t>
  </si>
  <si>
    <t>431 N. Birkey Dr.</t>
  </si>
  <si>
    <t>590 Madison Ave</t>
  </si>
  <si>
    <t>Offit Kurman, P.A.</t>
  </si>
  <si>
    <t>Senior Investment Strategist</t>
  </si>
  <si>
    <t>Hale</t>
  </si>
  <si>
    <t>South Lake Tahoe</t>
  </si>
  <si>
    <t>Sr. Director, Product Management</t>
  </si>
  <si>
    <t>P-400-21140-329391</t>
  </si>
  <si>
    <t>KANZLER</t>
  </si>
  <si>
    <t>13161 EMILY RD</t>
  </si>
  <si>
    <t>KK@LOTLTD.COM</t>
  </si>
  <si>
    <t>LOD LIGHTING</t>
  </si>
  <si>
    <t>TRANSPORTATION WILL BE PROVIDED TO /FROM LOCAL DALLAS COUNTY AREA JOB SITES.</t>
  </si>
  <si>
    <t>TRAN</t>
  </si>
  <si>
    <t>4200 Steve Reynolds Blvd.</t>
  </si>
  <si>
    <t>Ste. 4</t>
  </si>
  <si>
    <t>benthaipham@gmail.com</t>
  </si>
  <si>
    <t>2E Organic Supply, LLC</t>
  </si>
  <si>
    <t>2E Organic Supply</t>
  </si>
  <si>
    <t>visatown@gmail.com</t>
  </si>
  <si>
    <t>P-100-21130-298909</t>
  </si>
  <si>
    <t xml:space="preserve">North Kansas City </t>
  </si>
  <si>
    <t xml:space="preserve">Bernas Prochaska </t>
  </si>
  <si>
    <t>J.D. degree from accredited law school in the U.S.</t>
  </si>
  <si>
    <t>P-400-21152-357497</t>
  </si>
  <si>
    <t>Coby</t>
  </si>
  <si>
    <t>10 Snowshoe Drive</t>
  </si>
  <si>
    <t>Snowshoe</t>
  </si>
  <si>
    <t>cbrown@snowshoemountain.com</t>
  </si>
  <si>
    <t>Snowshoe Mountain, Inc.</t>
  </si>
  <si>
    <t>Hospitality Manager</t>
  </si>
  <si>
    <t>P-100-21165-396297</t>
  </si>
  <si>
    <t>Senior Manager, People</t>
  </si>
  <si>
    <t>P-400-21149-355870</t>
  </si>
  <si>
    <t>DIPPOLD</t>
  </si>
  <si>
    <t>8350C OLIVE BLVD</t>
  </si>
  <si>
    <t>IRRECO LLC</t>
  </si>
  <si>
    <t xml:space="preserve">ST LOUIS </t>
  </si>
  <si>
    <t xml:space="preserve">MULTIPLE SITES IN ST. LOUIS COUNTY
</t>
  </si>
  <si>
    <t>P-100-21141-334407</t>
  </si>
  <si>
    <t xml:space="preserve">Creative/Visual Design Director </t>
  </si>
  <si>
    <t>Arts or other similar Arts/Design Related Studies.</t>
  </si>
  <si>
    <t>Cook Helper</t>
  </si>
  <si>
    <t>P-100-21181-435566</t>
  </si>
  <si>
    <t>Vice President - Strategy and Operations</t>
  </si>
  <si>
    <t>Business Management, Business Engineering, Strategic Management or closely related field</t>
  </si>
  <si>
    <t>="Must have five (5) years of experience with managing and consulting on large scale and cross functional projects within the pharmaceutical industry that includes:
•	USA and European pharmaceutical regulations, including cGMP 
•	Management of large corpo</t>
  </si>
  <si>
    <t>P-100-21144-338957</t>
  </si>
  <si>
    <t>TEKWISSEN LLC</t>
  </si>
  <si>
    <t>P-100-21153-361065</t>
  </si>
  <si>
    <t>JMEHTA@METASENSUSA.COM</t>
  </si>
  <si>
    <t>3000 WILCREST DR</t>
  </si>
  <si>
    <t>SUITE 180</t>
  </si>
  <si>
    <t>P-400-21130-299631</t>
  </si>
  <si>
    <t>Marcy</t>
  </si>
  <si>
    <t>7500 Old Marsh Road</t>
  </si>
  <si>
    <t>mmoore@oldmarshgolf.com</t>
  </si>
  <si>
    <t>Old Marsh Golf Club, Inc.</t>
  </si>
  <si>
    <t>="The Petitioner will consider for employment any person who possesses at least one (1) year of culinary experience in a fine-dining or high-volume environment at a high-end restaurant, resort, or private club required.  Must also possess: technical knowl</t>
  </si>
  <si>
    <t>P-100-21174-420833</t>
  </si>
  <si>
    <t xml:space="preserve">1133 Broadway </t>
  </si>
  <si>
    <t>ken@nycmovesre.com</t>
  </si>
  <si>
    <t>New York City Moves Real Estate LLC</t>
  </si>
  <si>
    <t>Statistics, Analytics, or related field.</t>
  </si>
  <si>
    <t>Lorton</t>
  </si>
  <si>
    <t>P-400-21138-322503</t>
  </si>
  <si>
    <t>TZARANTI@BOCABAYPASSCLUB.COM</t>
  </si>
  <si>
    <t xml:space="preserve">P.O. Box 1677 </t>
  </si>
  <si>
    <t xml:space="preserve">Boca Ggrande </t>
  </si>
  <si>
    <t>Keil</t>
  </si>
  <si>
    <t>38A Fifty Acre Road</t>
  </si>
  <si>
    <t>Saint James</t>
  </si>
  <si>
    <t>norman@normankeilnurseries.com</t>
  </si>
  <si>
    <t>Norman Keil Nurseries, Inc.</t>
  </si>
  <si>
    <t>Horticulturist</t>
  </si>
  <si>
    <t>Horticulture, Agriculture, or a closely related field. Will accept foreign equivalent degrees.</t>
  </si>
  <si>
    <t>Nursery and Greenhouse Managers</t>
  </si>
  <si>
    <t>P-400-21143-336794</t>
  </si>
  <si>
    <t>Bustos</t>
  </si>
  <si>
    <t>441 North Grand Avenue</t>
  </si>
  <si>
    <t>Suite 13</t>
  </si>
  <si>
    <t>pbustos@bustosassociates.com</t>
  </si>
  <si>
    <t>Trophy Produce And Repack LLC</t>
  </si>
  <si>
    <t>123 Old Tucson Road</t>
  </si>
  <si>
    <t>Esteban</t>
  </si>
  <si>
    <t xml:space="preserve">Bustos &amp; Associates, P.C. </t>
  </si>
  <si>
    <t>Food Processor</t>
  </si>
  <si>
    <t>Arizona nonmetropolitan area</t>
  </si>
  <si>
    <t>P-100-21124-283612</t>
  </si>
  <si>
    <t>[See section F.a.2]</t>
  </si>
  <si>
    <t>Software Engineering or related technical degree</t>
  </si>
  <si>
    <t>="Master’s degree in Software Engineering or related technical degree plus 3 years of industry experience or, alternatively, a Bachelor’s degree in Software Engineering followed by 5 years of industry experience. 
Experience must include three years indu</t>
  </si>
  <si>
    <t>Food and Beverage Director</t>
  </si>
  <si>
    <t>P-400-21147-349479</t>
  </si>
  <si>
    <t>XIAO</t>
  </si>
  <si>
    <t>614 S. Laflin St., #C</t>
  </si>
  <si>
    <t>emilyxiaoping@gmail.com</t>
  </si>
  <si>
    <t>Ping XIAO</t>
  </si>
  <si>
    <t>Winston</t>
  </si>
  <si>
    <t>Won-Ho</t>
  </si>
  <si>
    <t>3415 S. Sepulveda Blvd.</t>
  </si>
  <si>
    <t>Ste. 570</t>
  </si>
  <si>
    <t>winston@immigrationhelpLA.com</t>
  </si>
  <si>
    <t>Immigration Law Office of Los Angeles, P.C.</t>
  </si>
  <si>
    <t xml:space="preserve">Live-in Full-Time Nanny </t>
  </si>
  <si>
    <t>Global Operations Engineer (91.136826.15)</t>
  </si>
  <si>
    <t>300 W. 6th St.</t>
  </si>
  <si>
    <t>P-100-21140-331627</t>
  </si>
  <si>
    <t xml:space="preserve">Civil Engineering, Construction Management, Architecture or related field </t>
  </si>
  <si>
    <t>Engineering Project Manager</t>
  </si>
  <si>
    <t>5500 Cox Road</t>
  </si>
  <si>
    <t>P-400-21153-360394</t>
  </si>
  <si>
    <t>Sperber</t>
  </si>
  <si>
    <t>425 Country Road 39</t>
  </si>
  <si>
    <t>Water Mill</t>
  </si>
  <si>
    <t>Natures Guardian</t>
  </si>
  <si>
    <t>MULTIPLE SITES IN NASSAU / SUFFOLK COUNTIES.</t>
  </si>
  <si>
    <t xml:space="preserve">425 County Rd 39 </t>
  </si>
  <si>
    <t>Human Resource Generalist</t>
  </si>
  <si>
    <t>P-400-21147-348089</t>
  </si>
  <si>
    <t>Klickovich</t>
  </si>
  <si>
    <t>Talent Programs Administrator, HR</t>
  </si>
  <si>
    <t>One North Pack Square</t>
  </si>
  <si>
    <t xml:space="preserve">Asheville </t>
  </si>
  <si>
    <t>mklickovich@biltmore.com</t>
  </si>
  <si>
    <t>Biltmore Company</t>
  </si>
  <si>
    <t>Cook I</t>
  </si>
  <si>
    <t>="All applicants (U.S. and foreign workers) must meet hiring standards of Biltmore: must be functionally literate, and have a criminal background check clear of any misdemeanors within 2 years or felonies within 7 years. Employer will conduct background c</t>
  </si>
  <si>
    <t>One Approach Rd.</t>
  </si>
  <si>
    <t>Biltmore</t>
  </si>
  <si>
    <t>Asheville, NC</t>
  </si>
  <si>
    <t>P-400-21141-332832</t>
  </si>
  <si>
    <t>Helms</t>
  </si>
  <si>
    <t>Cameron</t>
  </si>
  <si>
    <t>3932 Smith Farm Road</t>
  </si>
  <si>
    <t xml:space="preserve">Mailing: PO Box 2758 Indian Trail, NC 28079 </t>
  </si>
  <si>
    <t>Matthews</t>
  </si>
  <si>
    <t>Cameron's Inc.</t>
  </si>
  <si>
    <t>Mailing: PO Box 2758 Indian Trail, NC 28079</t>
  </si>
  <si>
    <t>3932 Smith Farm Road,</t>
  </si>
  <si>
    <t>P-100-21144-337716</t>
  </si>
  <si>
    <t>142 S 52nd Street</t>
  </si>
  <si>
    <t>diane@neffpharmacy.com</t>
  </si>
  <si>
    <t>Neff Pharmacy Management, Inc.</t>
  </si>
  <si>
    <t>142 S. 52nd Street</t>
  </si>
  <si>
    <t>Pharmacy or Pharmaceutical Sciences</t>
  </si>
  <si>
    <t>Pharmacist Manager</t>
  </si>
  <si>
    <t>P-100-21169-409021</t>
  </si>
  <si>
    <t>YAN</t>
  </si>
  <si>
    <t xml:space="preserve">Shumin </t>
  </si>
  <si>
    <t>Sawtest Solution Inc.</t>
  </si>
  <si>
    <t>1701 N Collins Blvd</t>
  </si>
  <si>
    <t xml:space="preserve">The L L Law Firm, PLLC </t>
  </si>
  <si>
    <t>43-3031.00; 43-3051.00; 43-4161.00</t>
  </si>
  <si>
    <t>Bookkeeping, Accounting, and Auditing Clerks; Human Resources Assistants, Except Payroll and Timekeeping; Payroll and Timekeeping Clerks</t>
  </si>
  <si>
    <t xml:space="preserve">Master of Business Administration </t>
  </si>
  <si>
    <t>P-400-21154-365349</t>
  </si>
  <si>
    <t>FULTON</t>
  </si>
  <si>
    <t>245 FRONT STREET</t>
  </si>
  <si>
    <t>HOTEL PROVIDERS INC</t>
  </si>
  <si>
    <t>MARGARITAVILLE RESORT KEY WEST</t>
  </si>
  <si>
    <t>P-100-21125-288788</t>
  </si>
  <si>
    <t>Online Room Reservation</t>
  </si>
  <si>
    <t>Computer Science, Information Technology, Engineering, or related academic field</t>
  </si>
  <si>
    <t>="Prior academic background or work experience to include: 1. Experience with at least two (2) languages: Ruby/Ruby on Rails, Java, JavaScript, Python/Django, or C/C++; 2. Experience in designing and building API; 3. Experience working with relational dat</t>
  </si>
  <si>
    <t>P-100-21158-374905</t>
  </si>
  <si>
    <t xml:space="preserve">Jyoti </t>
  </si>
  <si>
    <t xml:space="preserve">2201 Main Street </t>
  </si>
  <si>
    <t xml:space="preserve">Evanston </t>
  </si>
  <si>
    <t>Lemont Nursing and Rehabilitation, LLC</t>
  </si>
  <si>
    <t>12450 Walker Road</t>
  </si>
  <si>
    <t>Lemont</t>
  </si>
  <si>
    <t xml:space="preserve">Director of Nursing </t>
  </si>
  <si>
    <t xml:space="preserve">12450 Walker Road </t>
  </si>
  <si>
    <t>Jewell Stewart &amp; Pratt PC</t>
  </si>
  <si>
    <t>2200 Pennsylvania Ave NW</t>
  </si>
  <si>
    <t>Lyons</t>
  </si>
  <si>
    <t>P-100-21158-376317</t>
  </si>
  <si>
    <t>Arishika</t>
  </si>
  <si>
    <t>Yoshihiro</t>
  </si>
  <si>
    <t>2400 W Carson Street Suite 210</t>
  </si>
  <si>
    <t>wfc.hoken110@gmail.com</t>
  </si>
  <si>
    <t>WFC Wrold Financial Consultants, Inc.</t>
  </si>
  <si>
    <t>insurance110</t>
  </si>
  <si>
    <t>1600 Gold Road Suite 1200</t>
  </si>
  <si>
    <t>AmeriHome Mortgage Company, LLC, a Western Alliance Bank Company</t>
  </si>
  <si>
    <t>Data Science*</t>
  </si>
  <si>
    <t>="Experience to include 2 years with:  working in financial services field with applied statistics and predictive analytics (multi-variate regression and classification analysis, machine learning, forecasting, and/or Bayesian estimation); working with rel</t>
  </si>
  <si>
    <t>1 Baxter Way, Ste. 300</t>
  </si>
  <si>
    <t>and/or telecommuting from a home office located anywhere in the U.S.</t>
  </si>
  <si>
    <t>P-100-21155-370902</t>
  </si>
  <si>
    <t>="Demonstrated experience developing and testing enterprise applications using Java, C# or equivalent object-oriented programing languages; Demonstrated ability with Spring, Hibernate, MSSQL, PostgreSQL, Liquibase, SOAP/REST, React, Apache Camel and Karaf</t>
  </si>
  <si>
    <t>P-400-21123-283191</t>
  </si>
  <si>
    <t>AGUAYO</t>
  </si>
  <si>
    <t>RUIZ</t>
  </si>
  <si>
    <t xml:space="preserve">Angel </t>
  </si>
  <si>
    <t>107 N. International Blvd</t>
  </si>
  <si>
    <t>Suit 119 864</t>
  </si>
  <si>
    <t>54mikeruiz@hmail.com</t>
  </si>
  <si>
    <t>VISA ADVISORS LLC</t>
  </si>
  <si>
    <t>V.P. Human Resource</t>
  </si>
  <si>
    <t>LeBaron</t>
  </si>
  <si>
    <t>Global Immigration &amp; Mobility Program Manager</t>
  </si>
  <si>
    <t>899 W Evelyn Avenue</t>
  </si>
  <si>
    <t>Confluent, Inc.</t>
  </si>
  <si>
    <t>Radford U.S. Prevailing Wage (H-1B/PERM) Custom Report</t>
  </si>
  <si>
    <t>="2 years of enterprise software (subscription and/or SaaS/Cloud) GTM (may be gained concurrently with experience above). Technical background, which can be acquired through education (engineering/computer science courses), or work experience above involv</t>
  </si>
  <si>
    <t>Director, GTM Strategy</t>
  </si>
  <si>
    <t>Director, Analytics</t>
  </si>
  <si>
    <t>scopely@cipllp.com</t>
  </si>
  <si>
    <t>Business Administration, Data Analysis, or related field.</t>
  </si>
  <si>
    <t>3530 Hayden Ave.</t>
  </si>
  <si>
    <t>Fashion Design related</t>
  </si>
  <si>
    <t>Director of Solution Delivery</t>
  </si>
  <si>
    <t>Solution Associate Partner</t>
  </si>
  <si>
    <t>555 California Street, Suite 4800</t>
  </si>
  <si>
    <t>P-100-21172-416080</t>
  </si>
  <si>
    <t>Shree Ram Enterprises LLC</t>
  </si>
  <si>
    <t>308 Washington Ave</t>
  </si>
  <si>
    <t>Seneca</t>
  </si>
  <si>
    <t>="High School diploma or equivalent plus 12 months of experience in the job offered or related position engaged in providing customer service in retail/food service/hospitality. Must be able to work 40 hours a week, across business hours of 10 am to 10 pm</t>
  </si>
  <si>
    <t>P-400-21134-315113</t>
  </si>
  <si>
    <t>="Truck drivers must be able to drive commercial trucks with 2 years truck
driving experience. Each worker is expected to drive vehicles efficiently
and safely through all types of roadways. Workers must be able to
operate tractors, trailers, semi-trailer</t>
  </si>
  <si>
    <t>The truck drivers depart from one main location each day and return to the
same point of departure at the end of each day. The truck pitck-up/drop off
location, the worksite of the truck drivers, is 15740 S Ave G Somerton, AZ
85350. The drivers pick up the crops in the fields and deliver them to
packing/cooler sheds located within 50 miles of the field sites. The crop pickup locations in the fields include the cities of Yuma, Arizona; San Luis
Arizona, and Somerton, Arizona-all in Yuma County and within the Yuma
Metropolitan Statistical Area. The crop pickup locations in the fields also
include Imperial County, California. The crop pick-up field locations are not
worksites. The cooler delivery locations are also not worksites. The drivers repeat the pick-up and delivery cycle several times a day and do not remain at any crop pick-up or delivery point for long periods of time.</t>
  </si>
  <si>
    <t>15740 S. Avenue G</t>
  </si>
  <si>
    <t>P-100-21162-391633</t>
  </si>
  <si>
    <t xml:space="preserve">CLS US Services Inc </t>
  </si>
  <si>
    <t>Bachelor’s degree or U.S. equivalent in Applied Computer Science, Computer Science, Systems Engineering, Electrical Engineering, Information Systems, Information Technology, or a related field.</t>
  </si>
  <si>
    <t>P-100-21168-406776</t>
  </si>
  <si>
    <t>3620 Howell Ferry Road</t>
  </si>
  <si>
    <t>Boiri</t>
  </si>
  <si>
    <t>1394 East Palomar</t>
  </si>
  <si>
    <t>info@kids-depot.com</t>
  </si>
  <si>
    <t>Imagine Early Education, Inc</t>
  </si>
  <si>
    <t xml:space="preserve">Assistant General Manager </t>
  </si>
  <si>
    <t>P-100-21161-388253</t>
  </si>
  <si>
    <t>Parkin</t>
  </si>
  <si>
    <t>Three Lakes Drive</t>
  </si>
  <si>
    <t>Northfield</t>
  </si>
  <si>
    <t>immigration@medline.com</t>
  </si>
  <si>
    <t>Medline Industries, Inc.</t>
  </si>
  <si>
    <t xml:space="preserve">Re: Medline Industries, Inc. </t>
  </si>
  <si>
    <t xml:space="preserve">Configuration Analyst III (SAP APO ECC) </t>
  </si>
  <si>
    <t>="Qualified applicants must also have demonstrable proficiency, knowledge, skill, and experience with the following: 
1.	SCM 7 and HANA.
2.	APO-DP, SNP, Procure to Pay and Production Planning.
3.	Hands on experience with three or more of the following: S</t>
  </si>
  <si>
    <t xml:space="preserve">Sr. Manager, IS Applications </t>
  </si>
  <si>
    <t>One Medline Place</t>
  </si>
  <si>
    <t>Mundelein</t>
  </si>
  <si>
    <t>P-100-21124-284359</t>
  </si>
  <si>
    <t>Kodamagulla</t>
  </si>
  <si>
    <t>Apurupa Sravya</t>
  </si>
  <si>
    <t>13800 Coppermine Rd</t>
  </si>
  <si>
    <t>hr@sourcecloudinc.com</t>
  </si>
  <si>
    <t>Source Cloud Technologies</t>
  </si>
  <si>
    <t>Technical IT Lead</t>
  </si>
  <si>
    <t>Computer Science, Computer Information Systems or a related field of study.</t>
  </si>
  <si>
    <t>Travel/relocation to various unanticipated locations within U.S. possible.</t>
  </si>
  <si>
    <t>P-400-21148-354669</t>
  </si>
  <si>
    <t>="Experience must be verifiable.
Must be available to work split-shifts, nights, weekends &amp; holidays as needed. 
Must be able to lift, pull, push or carry up to 25 lbs or more, and walk or stand for long periods of time. 
Professional appearance, articula</t>
  </si>
  <si>
    <t>P-100-21148-353249</t>
  </si>
  <si>
    <t>Makalou</t>
  </si>
  <si>
    <t>555 Mongtomery Street</t>
  </si>
  <si>
    <t>vivek@benchling.com</t>
  </si>
  <si>
    <t>Benchling, Inc.</t>
  </si>
  <si>
    <t>Scientific Solutions Consultant</t>
  </si>
  <si>
    <t xml:space="preserve">Life Sciences, Chemical Engineering, Biological Engineering, or a related technical field. </t>
  </si>
  <si>
    <t>="2 years of experience in Application Sales for software, control system design, and engineering for life sciences companies; 2 years of experience with Lab Automation such as robotic liquid handlers and various lab instruments; 2 years of experience wit</t>
  </si>
  <si>
    <t>="5 years of experience in Application Sales for software, control system design, and engineering for life sciences companies; 5 years of experience with Lab Automation such as robotic liquid handlers and various lab instruments; 5 years of experience wit</t>
  </si>
  <si>
    <t>Head of Scientific Solutions Consulting</t>
  </si>
  <si>
    <t>20-30% domestic travel for business meetings.</t>
  </si>
  <si>
    <t>P-100-21144-338720</t>
  </si>
  <si>
    <t>108B New South Road</t>
  </si>
  <si>
    <t>Specialist Software Integration</t>
  </si>
  <si>
    <t>Comp Sci., Applied Math</t>
  </si>
  <si>
    <t>P-400-21125-290211</t>
  </si>
  <si>
    <t>Whitaker</t>
  </si>
  <si>
    <t>3417 County Road 920</t>
  </si>
  <si>
    <t>Mean Green Lawn &amp; Landscape, LLC</t>
  </si>
  <si>
    <t>Manager, Audit (Multiple Positions)</t>
  </si>
  <si>
    <t>Accounting, Finance, Business Administration, Management, or a related field.</t>
  </si>
  <si>
    <t>="Must have a Master's degree or foreign equivalent in Accounting, Finance, Business Administration, Management, or a related field, and 2 years of related work experience; OR Bachelor's degree or foreign equivalent in Accounting, Finance, Business Admini</t>
  </si>
  <si>
    <t>P-400-21137-319313</t>
  </si>
  <si>
    <t>Oldham</t>
  </si>
  <si>
    <t>Marley</t>
  </si>
  <si>
    <t>VP &amp; General Manager</t>
  </si>
  <si>
    <t>9175 Little Dee Rd</t>
  </si>
  <si>
    <t>Mailing: P.O. Box 650 , Mer Rouge, LA 71261</t>
  </si>
  <si>
    <t>Mer Rouge</t>
  </si>
  <si>
    <t>Kennedy Rice Mill, LLC</t>
  </si>
  <si>
    <t>Packers &amp; Packagers, Hand</t>
  </si>
  <si>
    <t>="Must lift/carry 70 lbs., when necessary. Must stand for long periods of time. Frequent/repetitive squatting, bending, stooping, and climbing stairs in warehouse environment. Must be willing to work second shift/overnight 7:00 PM - 7:00 AM, including wee</t>
  </si>
  <si>
    <t>9175 Little Dee Rd,</t>
  </si>
  <si>
    <t>P-400-21147-351442</t>
  </si>
  <si>
    <t>EVANS</t>
  </si>
  <si>
    <t>DENNIS</t>
  </si>
  <si>
    <t>9810 PAGE AVENUE</t>
  </si>
  <si>
    <t>QUIET VILLAGE LANDSCAPING CO</t>
  </si>
  <si>
    <t xml:space="preserve">9810 PAGE AVENUE </t>
  </si>
  <si>
    <t>MULTIPLE SITES IN ST. LOUIS COUNTY</t>
  </si>
  <si>
    <t xml:space="preserve">Data Analyst II </t>
  </si>
  <si>
    <t>="Skills required: Must have experience with: extracting, transforming, and loading data from internal and external sources; Creating ETL Applications using C# (Windows Applications, Console Applications); Creating Web Based Applications using ASP.net; Cr</t>
  </si>
  <si>
    <t>P-100-21144-339559</t>
  </si>
  <si>
    <t xml:space="preserve">Suite # 1100 </t>
  </si>
  <si>
    <t>Science, Technology, Computer Applications, or Engineering (any field)</t>
  </si>
  <si>
    <t>="Skills required: JAVA/J2EE, Spring, SpringBoot, Rest API, Microservices, JavaScript, Angular, AWS, Oracle, Maven, Git, and JUnit. Master's degree in Science, Technology, Computer Applications, or Engineering (any field) with 12 months of experience in j</t>
  </si>
  <si>
    <t>P-100-21124-286938</t>
  </si>
  <si>
    <t>="Prior academic background or work experience to include: 1. Working knowledge of relational databases and query authoring (SQL); 2. Experience in open-source technologies like Kafka, Hadoop, Hive, Presto, or Spark; 3. Experience in high code quality, au</t>
  </si>
  <si>
    <t>P-400-21153-363079</t>
  </si>
  <si>
    <t>EDSALL</t>
  </si>
  <si>
    <t xml:space="preserve">BELINDA </t>
  </si>
  <si>
    <t xml:space="preserve">DIRECTOR OF OPERATIONS </t>
  </si>
  <si>
    <t xml:space="preserve">10 NORTH HOUCKS ROAD </t>
  </si>
  <si>
    <t xml:space="preserve">HARRISBURG </t>
  </si>
  <si>
    <t>bedsall@gilligansbarandgrill.net</t>
  </si>
  <si>
    <t xml:space="preserve">10  NORTH HOUCKS ROAD INC </t>
  </si>
  <si>
    <t xml:space="preserve">GILLIGAN'S TOO BAR AND GRILL </t>
  </si>
  <si>
    <t>Harrisburg-Carlisle, PA</t>
  </si>
  <si>
    <t>P-100-21145-343433</t>
  </si>
  <si>
    <t>MANAYATHUMARIYIL</t>
  </si>
  <si>
    <t>MANOJ</t>
  </si>
  <si>
    <t>1249 S RIVER ROAD</t>
  </si>
  <si>
    <t>MANOJ@NUVENTO.COM</t>
  </si>
  <si>
    <t>NUVENTO INC.</t>
  </si>
  <si>
    <t xml:space="preserve">Science, Technology, Computer Management, or Engineering (any) </t>
  </si>
  <si>
    <t>="Master’s degree in Science, Technology, Computer Management, or Engineering (any) with 1 year of experience in job offered or related occupation is required. Bachelor’s degree in the above fields along with 5 years of experience in job offered or relate</t>
  </si>
  <si>
    <t>SUITE 203 AND VARIOUS UNANTICIPATED LOCATIONS THROUGHOUT THE U.S.</t>
  </si>
  <si>
    <t>Cronin</t>
  </si>
  <si>
    <t>cronin@iandoli.com</t>
  </si>
  <si>
    <t>P-100-21137-320422</t>
  </si>
  <si>
    <t>15462 S. Western Avenue</t>
  </si>
  <si>
    <t>tampopofood@gmail.com</t>
  </si>
  <si>
    <t>Sun Flowers, Inc.</t>
  </si>
  <si>
    <t>Tampopo</t>
  </si>
  <si>
    <t>Joung</t>
  </si>
  <si>
    <t>Jeannie</t>
  </si>
  <si>
    <t xml:space="preserve">3600 Wilshire Blvd. </t>
  </si>
  <si>
    <t>jounglawfirm@gmail.com</t>
  </si>
  <si>
    <t>Law offices of Jeannie Joung</t>
  </si>
  <si>
    <t>P-400-21151-357026</t>
  </si>
  <si>
    <t>Jara</t>
  </si>
  <si>
    <t>541 Honeyspot Rd</t>
  </si>
  <si>
    <t>Stratford</t>
  </si>
  <si>
    <t>ajpools@gmail.com</t>
  </si>
  <si>
    <t>AJ Pool Plastering, LLC</t>
  </si>
  <si>
    <t>Pool Plasterer Helper</t>
  </si>
  <si>
    <t>P-400-21150-356249</t>
  </si>
  <si>
    <t>PIRRELLO</t>
  </si>
  <si>
    <t>ZACHARY</t>
  </si>
  <si>
    <t>390 MIDDLE COUNTRY ROAD</t>
  </si>
  <si>
    <t>SMITHTOWN</t>
  </si>
  <si>
    <t>LONG ISLAND SHED BUILDERS INC</t>
  </si>
  <si>
    <t>MULTIPLE SITES IN NASSAU &amp; SUFFOLK COUNTY'S</t>
  </si>
  <si>
    <t>P-400-21130-299838</t>
  </si>
  <si>
    <t>McClelland</t>
  </si>
  <si>
    <t>JJ</t>
  </si>
  <si>
    <t>7305 E. Greenway Road</t>
  </si>
  <si>
    <t>jmcclelland@castlehotsprings.com</t>
  </si>
  <si>
    <t>CHS3, LLC</t>
  </si>
  <si>
    <t>Castle Hot Springs</t>
  </si>
  <si>
    <t>="The Petitioner will consider for employment any person who possesses at least six (6) months of housekeeping experience at a high-end hotel, resort, or private club.
Applicant must complete pre-employment background check and drug screening.  
Applica</t>
  </si>
  <si>
    <t>5050 East Castle Hot Springs Road</t>
  </si>
  <si>
    <t>WENTZVILLE</t>
  </si>
  <si>
    <t>P-100-21166-399257</t>
  </si>
  <si>
    <t>Heuchling</t>
  </si>
  <si>
    <t>Vice President/Human Resources</t>
  </si>
  <si>
    <t>179 Lincoln Street</t>
  </si>
  <si>
    <t>Donna.Heuchling@poweradvocate.com</t>
  </si>
  <si>
    <t>Power Advocate, Inc.</t>
  </si>
  <si>
    <t>Computer Science, Mathematics, Engineering, Information Systems or closely related field.</t>
  </si>
  <si>
    <t>="If qualifying by Master’s degree or equivalent, must have at least two years’ experience with the following: J2EE and EJB; front-end web development experience using JavaScript, jQuery, ExtJS, CSS, HTML and Jasmine; back-end website application developm</t>
  </si>
  <si>
    <t>="If qualifying by Bachelor’s degree or equivalent, must have at least five years’ experience with the following: J2EE and EJB; front-end web development experience using JavaScript, jQuery, ExtJS, CSS, HTML and Jasmine; back-end website application devel</t>
  </si>
  <si>
    <t xml:space="preserve">Creative Director </t>
  </si>
  <si>
    <t>COMPUTER SCIENCE OR RELATED FIELD</t>
  </si>
  <si>
    <t>Amy K Myers</t>
  </si>
  <si>
    <t>Director of ASO</t>
  </si>
  <si>
    <t xml:space="preserve">="Experience or education must include:
1.	Experience with Apple App Store Connect system; 
2.	Experience with Google Play Console system; 
3.	Experience in mobile games creative A/B testing; 
4.	Experience in mobile games icon testing and optimization; </t>
  </si>
  <si>
    <t>P-400-21139-327363</t>
  </si>
  <si>
    <t>P-400-21146-344849</t>
  </si>
  <si>
    <t>THE WOODLANDS</t>
  </si>
  <si>
    <t>P-100-21144-339754</t>
  </si>
  <si>
    <t>P-100-21123-282389</t>
  </si>
  <si>
    <t>FEDEX CORPORATE SERVICES, INC.</t>
  </si>
  <si>
    <t>8414 FALLS OF NEUSE RD.</t>
  </si>
  <si>
    <t>DATA ARCHITECT PRINCIPAL</t>
  </si>
  <si>
    <t>COMPUTER SCIENCE, ENGINEERING, INFORMATION SYSTEMS, BUSINESS OR RELATED FIELD OF STUDY</t>
  </si>
  <si>
    <t>="MUST HAVE 5 YEARS OF EXPERIENCE WITH INFORMATICA MDM SOFTWARE; IBM INFOSPHERE MDM SOFTWARE TOOL; CREATING DATA VISUALIZATIONS USING TIBCO SPOTFIRE AND MICROSOFT POWER BI; CODING WITH BASE SAS PROGRAMMING LANGUAGE ON SAS ENTERPRISE GUIDE SOFTWARE TOOL; C</t>
  </si>
  <si>
    <t>MANAGER, STRATEGIC BUSINESS PLANNING</t>
  </si>
  <si>
    <t>3660 HACKS CROSS ROAD</t>
  </si>
  <si>
    <t>BUILDING F, 2ND FLOOR</t>
  </si>
  <si>
    <t>P-100-21162-389637</t>
  </si>
  <si>
    <t>JESSICA (220.2063.20)</t>
  </si>
  <si>
    <t>200 Renaissance Center ***</t>
  </si>
  <si>
    <t>P-400-21144-336961</t>
  </si>
  <si>
    <t>15861 SW 140 Street</t>
  </si>
  <si>
    <t>4525 Collins Ave</t>
  </si>
  <si>
    <t>P-100-21161-384822</t>
  </si>
  <si>
    <t xml:space="preserve">Statistics, mathematics, computer science, or a related field. </t>
  </si>
  <si>
    <t>="Experience must include: Building and automating repeatable analyses that balance precision with interpretability; using SQL, Hive, Python, and R to extract and analyze user behavior and performance data from large datasets; working with open source dat</t>
  </si>
  <si>
    <t>4610 Center Blvd</t>
  </si>
  <si>
    <t>Apt 102</t>
  </si>
  <si>
    <t>HOUGH</t>
  </si>
  <si>
    <t>11800 SE Hills Club Terrace</t>
  </si>
  <si>
    <t>Tequesta</t>
  </si>
  <si>
    <t xml:space="preserve">JUPITER HILLS CLUB INC. </t>
  </si>
  <si>
    <t xml:space="preserve">="Experience must be verifiable.
Pre-hire drug test &amp; background check carried out equally between U.S. workers and H-2B workers.
Must be available to work split-shifts, nights, weekends &amp; holidays as needed. 
Must be able to lift, pull, push or carry up </t>
  </si>
  <si>
    <t>P-100-21127-296169</t>
  </si>
  <si>
    <t>Machonga</t>
  </si>
  <si>
    <t xml:space="preserve">="
Specific Skills Requirement - must have educational or professional experience in: 
(1) Experience in Advanced Angular to develop new and existing Angular modules and functionalities within the existing architecture.
(2) Experience in coding Reactive </t>
  </si>
  <si>
    <t>P-100-21160-382724</t>
  </si>
  <si>
    <t>5950 Hazeltine National Drive</t>
  </si>
  <si>
    <t>See F.c.2.a.</t>
  </si>
  <si>
    <t>P-400-21139-327080</t>
  </si>
  <si>
    <t>Paan-Palma</t>
  </si>
  <si>
    <t>1280 Ocean View Ave</t>
  </si>
  <si>
    <t>Marathon</t>
  </si>
  <si>
    <t>Ileana Y Lili</t>
  </si>
  <si>
    <t>1280 Ocean View</t>
  </si>
  <si>
    <t xml:space="preserve">="Two (2) years of experience in the job offered or related occupation: developing automation frameworks using Behavior Driven framework (BDD), Gherkins, Page Object Model (POM), Selenium WebDriver, Java, Maven, TestNG, Junit, Git, and Jenkins; designing </t>
  </si>
  <si>
    <t>P-400-21146-345555</t>
  </si>
  <si>
    <t>Henderon</t>
  </si>
  <si>
    <t>3102 Sun Valley Place</t>
  </si>
  <si>
    <t>sheri.henderson@heavenandearthlandscaping.com</t>
  </si>
  <si>
    <t>Heaven and Earth Landscaping, LLC</t>
  </si>
  <si>
    <t>Laborer, Landscape &amp; Irrigation</t>
  </si>
  <si>
    <t>="Must be 18 due to state labor laws. Must show proof of legal authorization to work in the United States. Drug/alcohol/tobacco free work zone. Perform physical activities: such as lift, balance, walk, stoop, handle, position, move, manipulate materials u</t>
  </si>
  <si>
    <t>Transport provided, designated locale to job site. Begin in Wake County, NC. Continue in Counties/Areas: Chatham, Durham, Orange, Wake and areas of Durham-Chapel Hill, NC, Raleigh, NC.</t>
  </si>
  <si>
    <t>6331 Westgate Rd (Report to Work)</t>
  </si>
  <si>
    <t>P-400-21147-349520</t>
  </si>
  <si>
    <t>CORRINE</t>
  </si>
  <si>
    <t>305 5th Ave S</t>
  </si>
  <si>
    <t xml:space="preserve">CSR International Inc </t>
  </si>
  <si>
    <t>2380 Vanderbilt Beach Road</t>
  </si>
  <si>
    <t>Kingsville</t>
  </si>
  <si>
    <t>Up to 100% travel required to unanticipated locations within the U.S.</t>
  </si>
  <si>
    <t>16552 N 90th Street</t>
  </si>
  <si>
    <t>Spring Hill</t>
  </si>
  <si>
    <t>="Work experience to include: (1) 3 years of experience in public accounting in at least two of the following industries: Technology, Life Sciences, Consumer Products, Financial services, or Non-Profits. (2) Experience auditing accounts including inventor</t>
  </si>
  <si>
    <t>P-100-21179-428999</t>
  </si>
  <si>
    <t xml:space="preserve">7716 Yorkshire Drive </t>
  </si>
  <si>
    <t>Calderon Seguin PLC</t>
  </si>
  <si>
    <t>P-100-21130-299856</t>
  </si>
  <si>
    <t>Street Name</t>
  </si>
  <si>
    <t>Electrical Engineering, Computer Engineering, or related field</t>
  </si>
  <si>
    <t>P-100-21162-389552</t>
  </si>
  <si>
    <t>Burgos</t>
  </si>
  <si>
    <t>827 Irma Avenue</t>
  </si>
  <si>
    <t>alice@magnoliaimmigrationlaw.com</t>
  </si>
  <si>
    <t xml:space="preserve">CQ Fluency, Inc. </t>
  </si>
  <si>
    <t>2 University Plaza Drive</t>
  </si>
  <si>
    <t>Rineer</t>
  </si>
  <si>
    <t>courtney@magnoliaimmigrationlaw.com</t>
  </si>
  <si>
    <t>Magnolia Immigration Law</t>
  </si>
  <si>
    <t>Localization Solutions Architect</t>
  </si>
  <si>
    <t>Translation and Localization Management or Related</t>
  </si>
  <si>
    <t>Vice President of Process and Technology</t>
  </si>
  <si>
    <t>2 University Plaza</t>
  </si>
  <si>
    <t>Production Worker Helper</t>
  </si>
  <si>
    <t>P-400-21146-348051</t>
  </si>
  <si>
    <t>="Must be able to work weekends and holidays.  All applicants (U.S. workers and foreign workers) must meet hiring standards of Biltmore: must be functionally literate and have a criminal background check void of any misdemeanors within 2 years or felonies</t>
  </si>
  <si>
    <t>One Approach Road</t>
  </si>
  <si>
    <t>P-100-21176-426082</t>
  </si>
  <si>
    <t>646-277-9516</t>
  </si>
  <si>
    <t>P-400-21152-359990</t>
  </si>
  <si>
    <t>Transport provided, designated locale to job site. Begin in Geneva County, AL. Continue in Counties/Areas: Barbour, Covington, Crenshaw, Dale, Geneva, Henry, Houston, Pike and areas of Dothan, AL, Southeast Alabama nonmetropolitan area.</t>
  </si>
  <si>
    <t>451 County Rd 4S (Report to Work)</t>
  </si>
  <si>
    <t>Harford</t>
  </si>
  <si>
    <t>P-400-21137-320606</t>
  </si>
  <si>
    <t>Macfarlane</t>
  </si>
  <si>
    <t>One Vail Road</t>
  </si>
  <si>
    <t>meredith.macfarlane@fourseasons.com</t>
  </si>
  <si>
    <t>FS Vail Employment Inc.</t>
  </si>
  <si>
    <t>Four Seasons Resort and Residences Vail</t>
  </si>
  <si>
    <t>="The position requires a Master’s degree in Computer Science, Information Technology, or a related field and two years of experience in the job offered or a related position. This may be substituted with a Bachelor's degree in Computer Science, Informati</t>
  </si>
  <si>
    <t>P-400-21146-345696</t>
  </si>
  <si>
    <t xml:space="preserve">2879 HAMPTON LOCUST GROVE RD </t>
  </si>
  <si>
    <t xml:space="preserve">MESQUITE MEXICAN GRILL &amp; BAR 2 LLC </t>
  </si>
  <si>
    <t xml:space="preserve">FOOD PERPARER </t>
  </si>
  <si>
    <t xml:space="preserve">2879 Hampton-Locust Grove Rd </t>
  </si>
  <si>
    <t xml:space="preserve">Locust Grove </t>
  </si>
  <si>
    <t>P-100-21124-283747</t>
  </si>
  <si>
    <t>Hasegawa</t>
  </si>
  <si>
    <t>Mika</t>
  </si>
  <si>
    <t>Immigration Senior Case Manager</t>
  </si>
  <si>
    <t>quantcastpermteam@morganlewis.com</t>
  </si>
  <si>
    <t>Quantcast Corporation</t>
  </si>
  <si>
    <t>Product Manager [5223 Product Mgmt Engr/Mgr 3]</t>
  </si>
  <si>
    <t>Computer Science, Computer Engineering, Information Management, Marketing, Communications, or a related field</t>
  </si>
  <si>
    <t>="Knowledge of and/or experience with (can be gained through education and/or experience): Identity and access management using tools such as OAuth2.0, OpenID connect, Security Assertion Mark-up Language (SAML), Single Sign On (SSO), System for Cross-doma</t>
  </si>
  <si>
    <t xml:space="preserve">May require up to 5% of international and domestic travel time. </t>
  </si>
  <si>
    <t>P-400-21126-292716</t>
  </si>
  <si>
    <t>Gutauskas</t>
  </si>
  <si>
    <t>Allyn</t>
  </si>
  <si>
    <t>1625 Country Club Circle</t>
  </si>
  <si>
    <t>Farmington Country Club</t>
  </si>
  <si>
    <t>Charlottesville (mail only)</t>
  </si>
  <si>
    <t>P-400-21124-285498</t>
  </si>
  <si>
    <t>MATTITUCK</t>
  </si>
  <si>
    <t>LAW OFFICES OF DANIEL J SULLIVAN</t>
  </si>
  <si>
    <t>="Minimum Requirements:  
Master’s degree in Computer Science, Information Systems or related field and 3 years of experience in the job offered or in a software engineering - related occupation.
Must be available to work on projects at various, unanticip</t>
  </si>
  <si>
    <t>285 Fulton St</t>
  </si>
  <si>
    <t>P-100-21138-322698</t>
  </si>
  <si>
    <t>HARVILLE</t>
  </si>
  <si>
    <t>HOLBROOK</t>
  </si>
  <si>
    <t xml:space="preserve">Computer Science, Engineering, Data Science, or related field.  </t>
  </si>
  <si>
    <t>P-100-21174-422799</t>
  </si>
  <si>
    <t xml:space="preserve">="-24 months software development experience formulating and analyzing software requirements utilizing C, C++, C# or other high-level programming language. 
-Experience must include 24 months of experience in each of the following: Algorithms; Git; Cloud </t>
  </si>
  <si>
    <t>(D.B.A. Coupang.com)</t>
  </si>
  <si>
    <t>P-100-21144-338520</t>
  </si>
  <si>
    <t>Rowan/ (C#5495580)</t>
  </si>
  <si>
    <t xml:space="preserve">Bachelor’s or foreign degree equivalent in Telecommunications, Electronic Design, Computer Science, Computer Engineering, Electrical Engineering, or related field. </t>
  </si>
  <si>
    <t>VP/GM MassScale Infrastructure Routing and Automation</t>
  </si>
  <si>
    <t>P-400-21152-359294</t>
  </si>
  <si>
    <t>Ciampa</t>
  </si>
  <si>
    <t>Vice President of HR &amp; Training</t>
  </si>
  <si>
    <t>35 Ocean Reef Drive</t>
  </si>
  <si>
    <t>lciampa@oceanreef.com</t>
  </si>
  <si>
    <t>Ocean Reef Club, Inc.</t>
  </si>
  <si>
    <t>="The Petitioner will consider for employment any person who possesses at least one (1) year of culinary experience in a fine-dining, high-volume environment at a high-end restaurant, resort, or private club.  Applicant must complete pre-employment backgr</t>
  </si>
  <si>
    <t>Restaurant Chef</t>
  </si>
  <si>
    <t>P-400-21140-329470</t>
  </si>
  <si>
    <t>Schwartzel</t>
  </si>
  <si>
    <t>Rosalind</t>
  </si>
  <si>
    <t>12247 Tillinghast Circle</t>
  </si>
  <si>
    <t>ros.schwartzel@gmail.com</t>
  </si>
  <si>
    <t>Rosalind Colleen Schwartzel</t>
  </si>
  <si>
    <t>jdevore@devorelawgroup.com</t>
  </si>
  <si>
    <t>Suite 408</t>
  </si>
  <si>
    <t>="SKILLS REQUIRED: ORACLE, SQL SERVER, JAVA, GIT, JENKINS, PYTHON, UNIX, GROOVY AND AWS.
Master's degree in Science, Technology, Computer Applications, or Engineering (any field) with 12 months of experience in job offered or related occupation is require</t>
  </si>
  <si>
    <t>P-100-21139-328027</t>
  </si>
  <si>
    <t xml:space="preserve">MIO Partners Inc. (McKinsey &amp; Company) </t>
  </si>
  <si>
    <t xml:space="preserve">13th Floor </t>
  </si>
  <si>
    <t>="Minimum of five (5) years of progressive, post baccalaureate experience as Systems Engineer, Software Engineer or related occupation.  Experience must have included: Software development using Agile Scrum methodology; Development and modification of web</t>
  </si>
  <si>
    <t xml:space="preserve">245 Park Avenue, 13th Floor </t>
  </si>
  <si>
    <t>P-400-21128-298082</t>
  </si>
  <si>
    <t>Director Enterprise AIML Strategy</t>
  </si>
  <si>
    <t>Around the neighborhood where the property is located in Mountain View, California to run errands, pick-up and drop-off our toddler from activities, buy groceries, and travel with the family outside of the area to the beach and for family activities.</t>
  </si>
  <si>
    <t>See E.a.5</t>
  </si>
  <si>
    <t>6599 Jacaranda Avenue</t>
  </si>
  <si>
    <t xml:space="preserve">Fontana </t>
  </si>
  <si>
    <t>Fontana Transport, Inc</t>
  </si>
  <si>
    <t xml:space="preserve">Grady </t>
  </si>
  <si>
    <t>4695 MacArthur Court</t>
  </si>
  <si>
    <t>jgrady@gradyfirm.com</t>
  </si>
  <si>
    <t xml:space="preserve">The Grady Firm, P.C. </t>
  </si>
  <si>
    <t xml:space="preserve">CDL Truck Driver </t>
  </si>
  <si>
    <t>Senior Dispatch Operations</t>
  </si>
  <si>
    <t>P-400-21148-353648</t>
  </si>
  <si>
    <t>STENGEL</t>
  </si>
  <si>
    <t>375 DAVID WHITE'S LANE</t>
  </si>
  <si>
    <t>WAINSCOTT</t>
  </si>
  <si>
    <t>HAMPTON RUSTIC LLC</t>
  </si>
  <si>
    <t xml:space="preserve">MULTIPLE SITES IN SUFFOLK COUNTY </t>
  </si>
  <si>
    <t>375 DAVID'S WHITE LANE</t>
  </si>
  <si>
    <t>P-400-21146-346399</t>
  </si>
  <si>
    <t xml:space="preserve">Corrine </t>
  </si>
  <si>
    <t>Butcher Restaurant</t>
  </si>
  <si>
    <t>P-400-21150-356203</t>
  </si>
  <si>
    <t>2550 GOLDEN NUGGET BLVD</t>
  </si>
  <si>
    <t>LAKE CHARLES</t>
  </si>
  <si>
    <t>Lake Charles, LA</t>
  </si>
  <si>
    <t>P-100-21131-303598</t>
  </si>
  <si>
    <t>SUITE 137</t>
  </si>
  <si>
    <t>MURRIETA</t>
  </si>
  <si>
    <t>PREP COOK</t>
  </si>
  <si>
    <t>Hodgson</t>
  </si>
  <si>
    <t>P-400-21140-329478</t>
  </si>
  <si>
    <t>2311 W. Broad St</t>
  </si>
  <si>
    <t>VEGAS FAMILY GROUP, INC.</t>
  </si>
  <si>
    <t>2311 W. Broad Street</t>
  </si>
  <si>
    <t>Cook/ Rotisserie Line Cook / Dishwasher</t>
  </si>
  <si>
    <t>="Must be able to exert well-paced mobility. 
Must be able to lift/carry up to 50 pounds. 
Good knife skills are essential. 
Ability to work at special events when required. 
Ability to work in a fast-paced environment.  
Ability to work under the directi</t>
  </si>
  <si>
    <t>Employer will provide transportation from central location to and from worksites, when necessary.  There is no itinerary involved.</t>
  </si>
  <si>
    <t>Billerica</t>
  </si>
  <si>
    <t>P-400-21147-350524</t>
  </si>
  <si>
    <t>Wiley</t>
  </si>
  <si>
    <t>484 State Road</t>
  </si>
  <si>
    <t>Mailing: P.O. Box 550 , West Tisbury, MA 02575</t>
  </si>
  <si>
    <t>West Tisbury</t>
  </si>
  <si>
    <t>Vineyard Gardens, Inc.</t>
  </si>
  <si>
    <t>Landscape Nurseryman</t>
  </si>
  <si>
    <t>Lorelei</t>
  </si>
  <si>
    <t>Employment Specialist</t>
  </si>
  <si>
    <t>179 Longwood Avenue</t>
  </si>
  <si>
    <t>lorelei.thomas@mcphs.edu</t>
  </si>
  <si>
    <t>MCPHS University</t>
  </si>
  <si>
    <t xml:space="preserve">Digital Content Specialist </t>
  </si>
  <si>
    <t>Chief Digital Marketing Officer</t>
  </si>
  <si>
    <t>P-400-21131-303883</t>
  </si>
  <si>
    <t xml:space="preserve">="The Petitioner will consider for employment any person who possesses at least six (6) months of culinary experience in a fine-dining or high-volume environment at a high-end restaurant, resort, or private club.  
Applicant must complete pre-employment </t>
  </si>
  <si>
    <t>Mogan</t>
  </si>
  <si>
    <t>Head of Employee Relations &amp; HR Compliance</t>
  </si>
  <si>
    <t>JMogan18@massmutual.com</t>
  </si>
  <si>
    <t>P-100-21129-298332</t>
  </si>
  <si>
    <t>Ruihan</t>
  </si>
  <si>
    <t>45 Rockefeller Plaza</t>
  </si>
  <si>
    <t>Suite 2168</t>
  </si>
  <si>
    <t>rabat.tan@horizonfous.com</t>
  </si>
  <si>
    <t>Horizon Family Office Corp</t>
  </si>
  <si>
    <t>Senior Management Analyst</t>
  </si>
  <si>
    <t>Management or a related field.</t>
  </si>
  <si>
    <t>="Sound knowledge of managerial finance/operations management/global business decision making/process optimization &amp; management; Advanced proficiency in Excel, MS Word &amp; PowerPoint; Excellent abilities in communication and case management/process optimiza</t>
  </si>
  <si>
    <t>P-400-21123-283451</t>
  </si>
  <si>
    <t>Olen</t>
  </si>
  <si>
    <t>Onwer</t>
  </si>
  <si>
    <t>2103 American Way</t>
  </si>
  <si>
    <t>Port Allen</t>
  </si>
  <si>
    <t>Southern Design Irrigation</t>
  </si>
  <si>
    <t>P-400-21147-350371</t>
  </si>
  <si>
    <t>2077 N Frontage Rd W Ste 111 Vail CO 81657 (physical)</t>
  </si>
  <si>
    <t>Dusty Boot LLC.</t>
  </si>
  <si>
    <t>Dusty Boot Roadhouse</t>
  </si>
  <si>
    <t>210 Offerson Rd unit 210 Avon CO (physical)</t>
  </si>
  <si>
    <t>PO Box 4388 Avon Co 81620 (mailing)</t>
  </si>
  <si>
    <t>2077N Frontage Rd W Ste 111 Vail CO 81657 (physical)</t>
  </si>
  <si>
    <t>Food Prep Workers</t>
  </si>
  <si>
    <t>210 Offerson Rd Unit 210 (physical)</t>
  </si>
  <si>
    <t>PO Box 4388 Avon CO 81620</t>
  </si>
  <si>
    <t>Vimeo.com, Inc.</t>
  </si>
  <si>
    <t>SENIOR SOFTWARE ENGINEER, OTT APPLICATIONS</t>
  </si>
  <si>
    <t>="In the alternative, the employer will accept a B.S. (US or foreign equiv- 4 yr single source only) in Comp. Sci, Comp. Engin’rg, CIS, MIS, or other related academic discipline , plus 5 years of progressive professional experience as a Javascript Enginee</t>
  </si>
  <si>
    <t>P-400-21133-309857</t>
  </si>
  <si>
    <t>Must travel work site daily.</t>
  </si>
  <si>
    <t>5700 E Elbridge Stree</t>
  </si>
  <si>
    <t>Sioux Falls, SD</t>
  </si>
  <si>
    <t>Lincoln County Nursing and Rehab</t>
  </si>
  <si>
    <t>P-400-21131-304896</t>
  </si>
  <si>
    <t>="Three month of experience as a server or dining room attendant required. Must pass pre-employment drug test (in accordance with company's Drug Free Workplace Policy) and background check; this includes seasonal and full-time annual positions and is appl</t>
  </si>
  <si>
    <t>P-100-21161-388581</t>
  </si>
  <si>
    <t>1500 Solana Blvd.</t>
  </si>
  <si>
    <t>Building #6 Suite 6300</t>
  </si>
  <si>
    <t>645 Merit Dr.</t>
  </si>
  <si>
    <t>303 Second Street</t>
  </si>
  <si>
    <t>P-400-21153-362161</t>
  </si>
  <si>
    <t>Barajas</t>
  </si>
  <si>
    <t>199 Hill Street</t>
  </si>
  <si>
    <t>Mailing: 1416 Old Montiello Rd. , Warren, AR 71671</t>
  </si>
  <si>
    <t>treesareusforest@aol.com</t>
  </si>
  <si>
    <t>Trees Are Us Forestry, LLC</t>
  </si>
  <si>
    <t xml:space="preserve">="Must be 18 years or older. Requires physical stamina. Must lift and carry 50 lbs. Extensive walking over rough terrain. Work is in adverse weather. Production standard of 2000 tree seedlings planted correctly per eight hour day after one week of on the </t>
  </si>
  <si>
    <t>1416 Old Monticello Rd.</t>
  </si>
  <si>
    <t>Hernan</t>
  </si>
  <si>
    <t>P-400-21137-320450</t>
  </si>
  <si>
    <t>Trimont Land Company</t>
  </si>
  <si>
    <t>Northstar California, part of the Vail Resorts family of companies</t>
  </si>
  <si>
    <t>50 Trimont Lane</t>
  </si>
  <si>
    <t>2000 Northstar Drive</t>
  </si>
  <si>
    <t>P-400-21138-323394</t>
  </si>
  <si>
    <t>Jimenez</t>
  </si>
  <si>
    <t>Maylene</t>
  </si>
  <si>
    <t>Assistant Controller / HR Director</t>
  </si>
  <si>
    <t>3801 Bayview Dr.</t>
  </si>
  <si>
    <t>maylene.jimenez@coralridgecc.com</t>
  </si>
  <si>
    <t>Coral Ridge Golf Course Inc.</t>
  </si>
  <si>
    <t>Coral Ridge Country Club</t>
  </si>
  <si>
    <t>3801 Bayview Drive</t>
  </si>
  <si>
    <t xml:space="preserve">Golf Groundskeepers </t>
  </si>
  <si>
    <t>P-100-21146-346344</t>
  </si>
  <si>
    <t>="Employer will accept a Master’s degree in Computer Science, Software Engineering, or closely related technical field and 2 years of experience in a computer-related occupation. Position requires education or experience in: 
1.	Java.
2.	Web Services, HT</t>
  </si>
  <si>
    <t>P-100-21172-413699</t>
  </si>
  <si>
    <t xml:space="preserve">SAM </t>
  </si>
  <si>
    <t>TEA</t>
  </si>
  <si>
    <t>Business Administration, Business Management, or related.</t>
  </si>
  <si>
    <t>1300 17th Street</t>
  </si>
  <si>
    <t>chpayne@kern.org</t>
  </si>
  <si>
    <t>Kern County Superintendent of Schools</t>
  </si>
  <si>
    <t>Information Systems Architect</t>
  </si>
  <si>
    <t>Information Systems Officer</t>
  </si>
  <si>
    <t>500 Capital Mall, Ste. 200</t>
  </si>
  <si>
    <t>P-400-21130-299802</t>
  </si>
  <si>
    <t>Moyer</t>
  </si>
  <si>
    <t>Traice</t>
  </si>
  <si>
    <t>Joshuya</t>
  </si>
  <si>
    <t>519 Front Street</t>
  </si>
  <si>
    <t>Comfort</t>
  </si>
  <si>
    <t>traicejmoyer@gmail.com</t>
  </si>
  <si>
    <t>Alamo Market and Processing LLC</t>
  </si>
  <si>
    <t>509 Front Street</t>
  </si>
  <si>
    <t>Food Processing Worker</t>
  </si>
  <si>
    <t>Managing Principal</t>
  </si>
  <si>
    <t>Katharine</t>
  </si>
  <si>
    <t>Cross (5280659)</t>
  </si>
  <si>
    <t>="Bachelor's degree in Computer Science, Engineering, Mathematics, or related field of study and 5 years of experience required. The company will also accept a Master's degree and 3 years of experience.
Experience must include 3 years in the following: A</t>
  </si>
  <si>
    <t>50% travel required to various client sites nationwide.</t>
  </si>
  <si>
    <t>271 N Shore Dr, 600 (and various client sites nationwide)</t>
  </si>
  <si>
    <t>P-400-21139-328130</t>
  </si>
  <si>
    <t>Hammon</t>
  </si>
  <si>
    <t>256 West 100 South</t>
  </si>
  <si>
    <t>concretekid1@gmail.com</t>
  </si>
  <si>
    <t>Mountain States Contractors, Inc.</t>
  </si>
  <si>
    <t xml:space="preserve">3233 E. Broadway </t>
  </si>
  <si>
    <t>blerner@californiaimmigration.us</t>
  </si>
  <si>
    <t>Law Offices of Brian D. Lerner, APC</t>
  </si>
  <si>
    <t>Commercial and limited residential construction worksites in the following cities in Utah: Hurricane, Washington, St. George.</t>
  </si>
  <si>
    <t>P-400-21159-379258</t>
  </si>
  <si>
    <t>Croxton</t>
  </si>
  <si>
    <t>9725 York Seafood Lane</t>
  </si>
  <si>
    <t>P. O. Box 88, Topping, VA 23169</t>
  </si>
  <si>
    <t>travis@rroysters.com</t>
  </si>
  <si>
    <t>Rappahannock River Oysters LLC</t>
  </si>
  <si>
    <t>oyster farm deckhands</t>
  </si>
  <si>
    <t>EMPLOYER PROVIDES TRANSPORTATION FROM OFFICE TO AND FROM JOB SITES. THERE IS NO ITINERARY INVOLVED AS THERE ARE MULTIPLE LOCATIONS.</t>
  </si>
  <si>
    <t>784 Locklies Creek Road</t>
  </si>
  <si>
    <t>Topping</t>
  </si>
  <si>
    <t>P-400-21153-362963</t>
  </si>
  <si>
    <t>Lopez Jr.</t>
  </si>
  <si>
    <t>P-100-21181-435642</t>
  </si>
  <si>
    <t xml:space="preserve">Physician (Endovascular Surgical Neurologist) </t>
  </si>
  <si>
    <t>Doctor of Medicine or equivalent to medical degree</t>
  </si>
  <si>
    <t xml:space="preserve">="Must have completed three-year residency in neurology, 1 year fellowship in vascular neurology, and 2 year fellowship in endovascular surgical neurology (interventional neuroradiology). Must be board certified or board eligible and licensed to practice </t>
  </si>
  <si>
    <t>HERNANDEZ</t>
  </si>
  <si>
    <t>P-100-21148-353944</t>
  </si>
  <si>
    <t>Fen</t>
  </si>
  <si>
    <t>Computer Science, Electrical Engineering, Information Technology, Software Engineering, Computer Vision, or related field</t>
  </si>
  <si>
    <t>="Master’s Degree (or foreign equivalent) in Computer Science, Electrical Engineering, Information Technology, Software Engineering, Computer Vision, or related field. Position requires education or experience with: 1. C++ or Python skills; 2. At least on</t>
  </si>
  <si>
    <t>Houghton</t>
  </si>
  <si>
    <t xml:space="preserve"> Cohen Sedgh, Manavi &amp; Pakravan Dental Corporation</t>
  </si>
  <si>
    <t>P-400-21146-344894</t>
  </si>
  <si>
    <t xml:space="preserve">RECREATION ATTENDANT </t>
  </si>
  <si>
    <t>="Experience must be verifiable.
Valid driver’s license.
Must be available to work split-shifts, nights, weekends &amp; holidays as needed.
Must be able to lift, pull, push or carry up to 50 lbs or more, and walk or stand for long periods of time. 
Profession</t>
  </si>
  <si>
    <t>Parking Lot Attendants</t>
  </si>
  <si>
    <t>="Minimum 2 years of experience setting and delivering software product strategy and outcomes. Experience must have included: creating software product roadmaps that prioritize between business objectives, user/stakeholder needs and trends; setting, manag</t>
  </si>
  <si>
    <t>P-400-21152-358807</t>
  </si>
  <si>
    <t>Lowman</t>
  </si>
  <si>
    <t>22512 Riverwood Dr</t>
  </si>
  <si>
    <t>Claremore</t>
  </si>
  <si>
    <t>RS Contractors LLC</t>
  </si>
  <si>
    <t>TRANSPORTATION PROVIDED TO/FROM ROGERS COUNTY AREA JOB SITES.</t>
  </si>
  <si>
    <t>22512 RIVERWOOD DR</t>
  </si>
  <si>
    <t>CLAREMORE</t>
  </si>
  <si>
    <t>Tulsa, OK</t>
  </si>
  <si>
    <t>P-100-21162-388851</t>
  </si>
  <si>
    <t xml:space="preserve">Computer Science, Computer Information Systems, Engineering, Information Technology, Electronics Engineering or related field.  </t>
  </si>
  <si>
    <t>P-400-21148-353473</t>
  </si>
  <si>
    <t>SLOAN</t>
  </si>
  <si>
    <t>ROMI</t>
  </si>
  <si>
    <t>23 CEDAR LANE</t>
  </si>
  <si>
    <t>GARDENS BY ROMI</t>
  </si>
  <si>
    <t xml:space="preserve">23 CEDAR LANE </t>
  </si>
  <si>
    <t>P-400-21124-286417</t>
  </si>
  <si>
    <t>Ramirez-Leon</t>
  </si>
  <si>
    <t>1721 E. 58th Avenue</t>
  </si>
  <si>
    <t>ricky@bluepointbakery.com</t>
  </si>
  <si>
    <t>Good Bread, Inc.</t>
  </si>
  <si>
    <t>Bluepoint Bakery</t>
  </si>
  <si>
    <t>1721 E. 58th Ave.</t>
  </si>
  <si>
    <t>Greene Apking</t>
  </si>
  <si>
    <t>2000 S. Colorado Blvd., Tower 1</t>
  </si>
  <si>
    <t>Suite 10000</t>
  </si>
  <si>
    <t>agreeneapking@3ilawfirm.com</t>
  </si>
  <si>
    <t>3i Law, LLC</t>
  </si>
  <si>
    <t>P-400-21147-349069</t>
  </si>
  <si>
    <t>8182 Morganza Hwy</t>
  </si>
  <si>
    <t>Mailing: P. O. Box 219 , Morganza, LA 70759</t>
  </si>
  <si>
    <t>Morganza</t>
  </si>
  <si>
    <t>Sugarland AG, LLC</t>
  </si>
  <si>
    <t>Agricultural Driver</t>
  </si>
  <si>
    <t xml:space="preserve"> The occupation requires the driving of trucks.  Employee will return to the worksite at the end of every work day.</t>
  </si>
  <si>
    <t>1500 George Wedgworth Way</t>
  </si>
  <si>
    <t>Belle Glade</t>
  </si>
  <si>
    <t>P-400-21125-288234</t>
  </si>
  <si>
    <t>Unite Management Services LLC</t>
  </si>
  <si>
    <t>1705 N. Oak Street Suite #4</t>
  </si>
  <si>
    <t>Deep Clean Agent</t>
  </si>
  <si>
    <t>1705 N. Oak Street Suite# 4</t>
  </si>
  <si>
    <t>P-100-21177-428129</t>
  </si>
  <si>
    <t>Computer Science of related field.</t>
  </si>
  <si>
    <t>P-100-21123-282165</t>
  </si>
  <si>
    <t>THE BANK OF NOVA SCOTIA</t>
  </si>
  <si>
    <t>Managing Dir. – Infrastructure &amp; Power LatAm and Caribbean</t>
  </si>
  <si>
    <t>Please see section F.b.5.a (iv)</t>
  </si>
  <si>
    <t>="Bachelor’s degree in Business Administration, Finance, Economics or a related degree and ten (10) years of progressively responsible experience in the job offered or related occupation: managing deals in the infrastructure and power sectors including th</t>
  </si>
  <si>
    <t>P-400-21126-292882</t>
  </si>
  <si>
    <t>401 N. Fifth Street</t>
  </si>
  <si>
    <t>Mailing: PO Box 788 , Ponchatoula, LA 70454</t>
  </si>
  <si>
    <t>Ponchatoula</t>
  </si>
  <si>
    <t>rnelson@elmercandy.com</t>
  </si>
  <si>
    <t>Elmer Candy Corporation</t>
  </si>
  <si>
    <t>="Workers must have manual dexterity, including the ability to quickly move your hand together with your arm, or two hands to grasp, manipulate, or assemble objects. Requires prolonged standing and lifting of up to 50 lbs.  Pre-employment dexterity and dr</t>
  </si>
  <si>
    <t>Engineering Management</t>
  </si>
  <si>
    <t>P-400-21154-366849</t>
  </si>
  <si>
    <t>Food Service Worker II</t>
  </si>
  <si>
    <t>="The Petitioner will consider for employment any person who possesses at least three (3) months of guest service experience in a restaurant, resort, private club, or tourism environment.
Applicant may be required to complete pre-employment COVID-19 test</t>
  </si>
  <si>
    <t>P-400-21130-299219</t>
  </si>
  <si>
    <t>Blanchette</t>
  </si>
  <si>
    <t>7165 Treeline Drive</t>
  </si>
  <si>
    <t>mblanchette@oldecypress.com</t>
  </si>
  <si>
    <t>Olde Cypress Development, LTD</t>
  </si>
  <si>
    <t>The Club at Olde Cypress</t>
  </si>
  <si>
    <t>P-100-21131-304983</t>
  </si>
  <si>
    <t>SOUTH  PLAINFIELD</t>
  </si>
  <si>
    <t>P-400-21154-366065</t>
  </si>
  <si>
    <t xml:space="preserve">19365 FM 2252 </t>
  </si>
  <si>
    <t>P-400-21140-330026</t>
  </si>
  <si>
    <t>usamericans@aol.com</t>
  </si>
  <si>
    <t>Chief Executive Officer (CEO)</t>
  </si>
  <si>
    <t>P-400-21126-293592</t>
  </si>
  <si>
    <t>Suddreth</t>
  </si>
  <si>
    <t>708 Blair Mill Rd</t>
  </si>
  <si>
    <t>Mailing: 5796 Shelby Oaks Dr, Ste 16 , Memphis, TN 38134</t>
  </si>
  <si>
    <t>Asplundh Tree Expert, LLC</t>
  </si>
  <si>
    <t>Trimmer/Climber</t>
  </si>
  <si>
    <t>5388 Summer Ave</t>
  </si>
  <si>
    <t>P-100-21126-294430</t>
  </si>
  <si>
    <t>Twana</t>
  </si>
  <si>
    <t xml:space="preserve">Global HR Director </t>
  </si>
  <si>
    <t xml:space="preserve">304 S. Jones Blvd. </t>
  </si>
  <si>
    <t>Suite 6042</t>
  </si>
  <si>
    <t>twilliams@campbellhouseco.com</t>
  </si>
  <si>
    <t xml:space="preserve">Campbell House Collective, Inc. </t>
  </si>
  <si>
    <t xml:space="preserve">RE: Campbell House Collective, Inc. </t>
  </si>
  <si>
    <t>="The normal requirements for the offered position are as follows:
Bachelor’s Degree in Management, Business Administration, Finance, or any related field of study, plus at least two (2) years of experience in the job offered or in any related position(s</t>
  </si>
  <si>
    <t>Estill</t>
  </si>
  <si>
    <t>P-400-21131-305402</t>
  </si>
  <si>
    <t>Cipriano</t>
  </si>
  <si>
    <t>Miranda Ledesma</t>
  </si>
  <si>
    <t>4 E Madden Rd</t>
  </si>
  <si>
    <t>Purvis</t>
  </si>
  <si>
    <t>miranda.llc02@gmail.com</t>
  </si>
  <si>
    <t>Miranda, LLC</t>
  </si>
  <si>
    <t>Transport provided, designated locale to job site. Begin in Lamar County, MS. Continue in Counties/Areas: Lamar and areas of Hattiesburg, MS.</t>
  </si>
  <si>
    <t>4 E Madden Rd (Report to Work)</t>
  </si>
  <si>
    <t>Hattiesburg, MS</t>
  </si>
  <si>
    <t>P-100-21153-363840</t>
  </si>
  <si>
    <t xml:space="preserve">6512 Six Forks Rd </t>
  </si>
  <si>
    <t>SUITE# 304A</t>
  </si>
  <si>
    <t>legal@kronsys.com</t>
  </si>
  <si>
    <t>KRONSYS INC.</t>
  </si>
  <si>
    <t>Business Administration, Pharmacy or closely related</t>
  </si>
  <si>
    <t xml:space="preserve">Business Administration, Pharmacy or closely related </t>
  </si>
  <si>
    <t>Travel to client sites required.</t>
  </si>
  <si>
    <t>P-400-21130-299983</t>
  </si>
  <si>
    <t>Batiste</t>
  </si>
  <si>
    <t>Terrill</t>
  </si>
  <si>
    <t>8463 Athen Ave</t>
  </si>
  <si>
    <t>P.O. Box 126 Gonzales  LA 70707 mailing address</t>
  </si>
  <si>
    <t>curbappeal@eatel.net</t>
  </si>
  <si>
    <t>Curb Appeal Lawn and Landscape LLC</t>
  </si>
  <si>
    <t>8463 Athens Ave</t>
  </si>
  <si>
    <t>P.O. Box 126 Gonzales LA 70707 Mailing</t>
  </si>
  <si>
    <t xml:space="preserve">LANDSCAPE LABORERS </t>
  </si>
  <si>
    <t>="ABLE TO LIFT UP 60 LBS., STAND, KNEEL, STOOP, REACH GROUND LEVEL &amp; OVERHEAD, WALK, BEND AND HANDLE MATERIAL FOR LONG PERIOD OF TIME,
ABLE TO WORK IN ALL KIND OF WEATHER.
ONCE HIRED MAY BE REQUIRED TO TAKE A RANDOM DRUG TEST AT NO COST TO WORKER. TESTI</t>
  </si>
  <si>
    <t>WORKER MAY TRAVEL TO MULTI WORK SITES IN A SINGLE DAY AT PRIVATE RESIDENCE AND COMMERCIAL PROPERTIES</t>
  </si>
  <si>
    <t>8463 ATHENS AVE</t>
  </si>
  <si>
    <t>P-100-21155-370406</t>
  </si>
  <si>
    <t>="This position also requires education or experience in: Microsoft Teams; Skype for Business Tool; Microsoft Skype for Business Server; SIP (Session Initiation Protocol); Voice Calling and Routing (PBX, PSTN, SBC); Network Monitor, Message Analyzer and W</t>
  </si>
  <si>
    <t>Director Support Engineering Management LAT</t>
  </si>
  <si>
    <t>P-400-21137-320444</t>
  </si>
  <si>
    <t>Atlantic Circle and Justus Ave</t>
  </si>
  <si>
    <t>P-400-21131-303599</t>
  </si>
  <si>
    <t>djohnson@FrenchmansCreek.com</t>
  </si>
  <si>
    <t>Frenchman's Creek, Inc.</t>
  </si>
  <si>
    <t>="The Petitioner will consider for employment any person who possesses at least six (6) months of experience in a golf environment at a high-end resort or private club.
Applicant must complete pre-employment background check and drug screening.
Applican</t>
  </si>
  <si>
    <t>Director of Golf</t>
  </si>
  <si>
    <t>P-400-21126-291837</t>
  </si>
  <si>
    <t xml:space="preserve">="Must be 18 years or older. Requires physical stamina. Extensive walking over rough terrain. Work is outdoors in extreme temperatures and adverse weather. Must lift and carry 50 lbs. Work schedule and locations dependent on weather conditions. Must pass </t>
  </si>
  <si>
    <t>66 Lambs Road</t>
  </si>
  <si>
    <t>Grenada</t>
  </si>
  <si>
    <t>P-100-21124-285976</t>
  </si>
  <si>
    <t>ASGHARI</t>
  </si>
  <si>
    <t>HOMEIRA</t>
  </si>
  <si>
    <t>423 E. HUNTINGTON DRIVE</t>
  </si>
  <si>
    <t>immigration@silc.com</t>
  </si>
  <si>
    <t>SILC TECHNOLOGIES INC</t>
  </si>
  <si>
    <t>423 E. HUNTINGTON  DRIVE</t>
  </si>
  <si>
    <t>SEEHAR</t>
  </si>
  <si>
    <t>IMDAD</t>
  </si>
  <si>
    <t>10301 NORTHWEST FREEWAY</t>
  </si>
  <si>
    <t>SUITE 311</t>
  </si>
  <si>
    <t xml:space="preserve">HOUSTON </t>
  </si>
  <si>
    <t>imdad@eaglejusticeusa.com</t>
  </si>
  <si>
    <t>law office  of imdad seehar</t>
  </si>
  <si>
    <t>HARDWARE ENGINEER</t>
  </si>
  <si>
    <t xml:space="preserve">="ability to work with FPGA, VHDL &amp; C/C++ coding; digital communication protocols like I2C, SPI, UART; design and modeling tools such as Cadence, SPICE, MATLAB; testing and debugging of electronic circuits; hands-on experience with common lab instruments </t>
  </si>
  <si>
    <t xml:space="preserve">423 E. Huntington Drive </t>
  </si>
  <si>
    <t>5700 E Elbridge Street</t>
  </si>
  <si>
    <t>P-100-21169-410620</t>
  </si>
  <si>
    <t>1400 BROADWAY, FLOOR 9</t>
  </si>
  <si>
    <t>711 3RD AVE, 4TH FLOOR</t>
  </si>
  <si>
    <t>Analytics, Computer Science, or related field</t>
  </si>
  <si>
    <t>="Master’s degree in Analytics, Computer Science, or related field, or foreign degree equivalent. Minimum 2 years of experience conducting statistical and data analysis. Experience must have included: linear programming; developing regression and mixed ef</t>
  </si>
  <si>
    <t xml:space="preserve">Product Engineer </t>
  </si>
  <si>
    <t>P-400-21145-342514</t>
  </si>
  <si>
    <t>6477 College Park Square</t>
  </si>
  <si>
    <t>regina@kanelaw.us</t>
  </si>
  <si>
    <t>Love's House, LLC</t>
  </si>
  <si>
    <t>Bus Drivers, School or Special Client</t>
  </si>
  <si>
    <t>Driver will perform duties in and around the Hampton Roads area picking up and dropping off members.</t>
  </si>
  <si>
    <t>Virginia Beach-Norfolk-Newport News, VA-NC</t>
  </si>
  <si>
    <t>P-100-21161-386763</t>
  </si>
  <si>
    <t>Boodaie</t>
  </si>
  <si>
    <t>Ste. 310</t>
  </si>
  <si>
    <t>Nationwide Tax</t>
  </si>
  <si>
    <t>Senior Bookkeeper</t>
  </si>
  <si>
    <t>16027 Ventura Blvd.,</t>
  </si>
  <si>
    <t>P-100-21137-319080</t>
  </si>
  <si>
    <t>Industrial Engineering or Manufacturing Engineering.</t>
  </si>
  <si>
    <t>P-400-21153-362183</t>
  </si>
  <si>
    <t>Shuckers</t>
  </si>
  <si>
    <t>1515 10th St</t>
  </si>
  <si>
    <t>Computer Science, Information Technology or related field</t>
  </si>
  <si>
    <t>P-400-21126-291599</t>
  </si>
  <si>
    <t>3080 Lamb Ave</t>
  </si>
  <si>
    <t>trichardson@dllohio.com</t>
  </si>
  <si>
    <t>Distinctive Lawn &amp; Landscape, LLc</t>
  </si>
  <si>
    <t>DLL Landscaping &amp; Tree Service</t>
  </si>
  <si>
    <t>Columbus, OH</t>
  </si>
  <si>
    <t>P-100-21160-381982</t>
  </si>
  <si>
    <t xml:space="preserve">Maria E Lyndoe </t>
  </si>
  <si>
    <t>Bauer</t>
  </si>
  <si>
    <t>P-200-21123-281345</t>
  </si>
  <si>
    <t>maria.martinez@catalent.com</t>
  </si>
  <si>
    <t>Computer Validation Specialist</t>
  </si>
  <si>
    <t xml:space="preserve">Validations and Calibrations, Senior Manager </t>
  </si>
  <si>
    <t>P-100-21123-281899</t>
  </si>
  <si>
    <t>SRIDHAR</t>
  </si>
  <si>
    <t>GAYATHRI</t>
  </si>
  <si>
    <t>1701 Legacy Dr</t>
  </si>
  <si>
    <t>sridhar@w3global.com</t>
  </si>
  <si>
    <t>W3GLOBAL, INC.</t>
  </si>
  <si>
    <t xml:space="preserve">Java Developer II </t>
  </si>
  <si>
    <t>1701 Legacy Dr., Suite 1000</t>
  </si>
  <si>
    <t>P-400-21139-325748</t>
  </si>
  <si>
    <t>Pickett</t>
  </si>
  <si>
    <t>401 Biscayne Blvd.</t>
  </si>
  <si>
    <t>joy@rcsfun.com</t>
  </si>
  <si>
    <t>Skyviews of America, LLC</t>
  </si>
  <si>
    <t>Skyviews Miami, LLC &amp; R80XL, Inc.</t>
  </si>
  <si>
    <t>401 Biscayne Blvd</t>
  </si>
  <si>
    <t>Mailing: 3519 E Keresan Drive, Phoenix, AZ 85044</t>
  </si>
  <si>
    <t xml:space="preserve">="Must be willing to work up to 7days/wk. Pre-employment criminal background check and pre-employment / post-injury or incident and reasonable suspicion drug test required, paid by employer. Applicants must cooperate with and complete job application and </t>
  </si>
  <si>
    <t>EMPLOYER IS AN OUTDOOR TRAVELING CONCESSION PROVIDER WITH TRAVEL REQUIRED FROM EVENT LOCATION TO EVENT LOCATION. HOUSING AND TRANSPORTATION TO/FROM EACH EVENT LOCATION OFFERED TO A LL EMPLOYEES UNDER THIS JOB OFFER. EMPLOYER MAKES AVAILABLE TRANSPORTATION FROM VENUE TO VENUE.</t>
  </si>
  <si>
    <t>Ristovski</t>
  </si>
  <si>
    <t>Trajce</t>
  </si>
  <si>
    <t>107 Beaverbrook Road</t>
  </si>
  <si>
    <t xml:space="preserve">Ste 2 </t>
  </si>
  <si>
    <t>Lincoln Park</t>
  </si>
  <si>
    <t>trajce@ztransportation.com</t>
  </si>
  <si>
    <t>P-400-21123-282368</t>
  </si>
  <si>
    <t xml:space="preserve"> Seasonal Labor Solutions Ltd.</t>
  </si>
  <si>
    <t>1065 Lombardi Ave.</t>
  </si>
  <si>
    <t>Ashwaubenon</t>
  </si>
  <si>
    <t>Green Bay, WI</t>
  </si>
  <si>
    <t>P-400-21133-312120</t>
  </si>
  <si>
    <t>="The Petitioner will consider for employment any person who possesses at least one (1) year of culinary experience in a fine-dining or high-volume environment at a high-end restaurant, resort, or private club required.  
Applicant must complete pre-empl</t>
  </si>
  <si>
    <t>P-100-21132-306026</t>
  </si>
  <si>
    <t>KHAMIS.JW.SARALIKANA</t>
  </si>
  <si>
    <t>P-100-21151-356373</t>
  </si>
  <si>
    <t>Applied Statistics, Food Science and Technology or related.</t>
  </si>
  <si>
    <t>="One (1) year of experience in the job offered or related occupation: conducting statistical programming utilizing SAS and R; applying statistical methodology, including general linear models, mixed models, nonlinear models, nonparametric methods, multiv</t>
  </si>
  <si>
    <t>Probiotic Development Group Manager</t>
  </si>
  <si>
    <t>3329 Agriculture Dr</t>
  </si>
  <si>
    <t>P-400-21130-301038</t>
  </si>
  <si>
    <t>28091 Nine Foot Road</t>
  </si>
  <si>
    <t>Dagsboro</t>
  </si>
  <si>
    <t>Salisbury, MD-DE</t>
  </si>
  <si>
    <t>P-400-21137-320526</t>
  </si>
  <si>
    <t>22101 US Highway 6</t>
  </si>
  <si>
    <t>P-400-21130-298496</t>
  </si>
  <si>
    <t>Landscape Maintenance Worker</t>
  </si>
  <si>
    <t>Tax Preparers</t>
  </si>
  <si>
    <t>P-400-21154-365863</t>
  </si>
  <si>
    <t>P-100-21147-350496</t>
  </si>
  <si>
    <t>BOLLA</t>
  </si>
  <si>
    <t>GOPALA KRISHNA CHOWDARY</t>
  </si>
  <si>
    <t>234 AQUARIUS DRIVE</t>
  </si>
  <si>
    <t>SUITE 111</t>
  </si>
  <si>
    <t>HOMEWOOD</t>
  </si>
  <si>
    <t>hr@devlabwerks.com</t>
  </si>
  <si>
    <t>DEVANSH LAB WERKS INC</t>
  </si>
  <si>
    <t xml:space="preserve">Clinical Data Engineer I </t>
  </si>
  <si>
    <t>Computer Science, Information Systems Technology, Engineering, Science, Biotechnology or related field.</t>
  </si>
  <si>
    <t>234 Aquarius Drive, Suite 111</t>
  </si>
  <si>
    <t>P-100-21140-331746</t>
  </si>
  <si>
    <t>Lemus</t>
  </si>
  <si>
    <t>Maribella</t>
  </si>
  <si>
    <t>mlemus@ipcoop.com</t>
  </si>
  <si>
    <t>nicolas.watkins@gray-robinson.com</t>
  </si>
  <si>
    <t>Supply Chain Management or Industrial Engineering</t>
  </si>
  <si>
    <t>Travel to Milford, Connecticut, 2 to 4 times per year, amounting to less than 5% of total time.  Relocation is not required; just occasional visits.</t>
  </si>
  <si>
    <t>P-100-21168-406911</t>
  </si>
  <si>
    <t>677 Church Street, NE</t>
  </si>
  <si>
    <t>P-400-21126-292578</t>
  </si>
  <si>
    <t>2077 North Frontage Road #111 (physical)</t>
  </si>
  <si>
    <t>P.O. Box 3487 (mailing)</t>
  </si>
  <si>
    <t>P.O. Box 7720</t>
  </si>
  <si>
    <t>2077 North Frontage Road, Suite 111 (physical)</t>
  </si>
  <si>
    <t>Maids and Housekeepings</t>
  </si>
  <si>
    <t>Light travel, employer provides transportation to/from all job sites (individual homes and commercial establishments).  All job sites are located in Eagle County, Colorado.</t>
  </si>
  <si>
    <t>40801 Hwy 6 &amp; 24, Suite 3</t>
  </si>
  <si>
    <t>P-100-21161-386783</t>
  </si>
  <si>
    <t>="Work Experience must include:  
1.	Integrating and cleansing data from source system
2.	Building enterprise grade analytics applications within BI tools Tableau, Microstrategy, Power BI
3.	Advanced analytic technologies for technical analysis, design an</t>
  </si>
  <si>
    <t>="Master’s degree (or foreign equivalent) in Information Technology, Engineering (any), OR other STEM field PLUS two (2) years of experience in the job offered or in a related position. Professional experience must include demonstrable knowledge of: MS Pr</t>
  </si>
  <si>
    <t>P-400-21145-340332</t>
  </si>
  <si>
    <t>Hunter Resort Vacations</t>
  </si>
  <si>
    <t>Hunter Mountain Resort</t>
  </si>
  <si>
    <t>62 Liftside Drive</t>
  </si>
  <si>
    <t>P-100-21165-396416</t>
  </si>
  <si>
    <t>=".NET core, Entity Framework, JavaScript, Angular 7 or above, RESTful API, Microservices Architecture, Specflow, Selenium, Kubernetes dockers – containers, Entity framework, Agile Scrum Methodology, Azure DevOps CI/CD pipeline and Azure Application Insig</t>
  </si>
  <si>
    <t>P-100-21124-284829</t>
  </si>
  <si>
    <t>P-100-21133-309425</t>
  </si>
  <si>
    <t>Full-Stack Software Engineer</t>
  </si>
  <si>
    <t>P-400-21149-355905</t>
  </si>
  <si>
    <t>LUIGI</t>
  </si>
  <si>
    <t>#218</t>
  </si>
  <si>
    <t xml:space="preserve">The Oyster Society </t>
  </si>
  <si>
    <t>Microsystems Engineers</t>
  </si>
  <si>
    <t>P-100-21124-285058</t>
  </si>
  <si>
    <t>DATA ARCHITECT</t>
  </si>
  <si>
    <t>="MUST HAVE 3 YEARS' OF EXPERIENCE WITH THE FOLLOWING: DATA GOVERNANCE; SOFTWARE DEVELOPMENT; DATA MODELLING; DATABASE SYSTEMS; MASTER DATA MANAGEMENT; ARCHITECTURE/DESIGN; BIG DATA/CLOUD. A RELATED ADVANCED DEGREE MAY OFFSET THE RELATED EXPERIENCE REQUIR</t>
  </si>
  <si>
    <t>MANAGER DATA GOVERNANCE AND METADATA MANAGEMENT</t>
  </si>
  <si>
    <t>50 FedEx Parkway</t>
  </si>
  <si>
    <t>P-400-21141-333186</t>
  </si>
  <si>
    <t>500 MANDALAY AVE</t>
  </si>
  <si>
    <t>P-100-21179-430301</t>
  </si>
  <si>
    <t>Cardona-Diaz</t>
  </si>
  <si>
    <t>1500  NW 89th Court Ste. 220</t>
  </si>
  <si>
    <t>China Bistro &amp; Sushi LLC</t>
  </si>
  <si>
    <t>5650 Stirling Rd.</t>
  </si>
  <si>
    <t>1500 NW 89th Court, Ste. 220</t>
  </si>
  <si>
    <t>35-1011.00; 35-3031.00</t>
  </si>
  <si>
    <t>Chefs and Head Cooks; Waiters and Waitresses</t>
  </si>
  <si>
    <t>5650 Stirling Road #8 and #9</t>
  </si>
  <si>
    <t>P-400-21125-288795</t>
  </si>
  <si>
    <t xml:space="preserve">Crowder   </t>
  </si>
  <si>
    <t xml:space="preserve">358 Industrial Park Dr </t>
  </si>
  <si>
    <t>Hillsville</t>
  </si>
  <si>
    <t xml:space="preserve">Blue Ridge Designs LLC </t>
  </si>
  <si>
    <t xml:space="preserve">358 Industrial Park Dr  </t>
  </si>
  <si>
    <t xml:space="preserve">Hillsville </t>
  </si>
  <si>
    <t>400 Preston Ave</t>
  </si>
  <si>
    <t>Screen Print Production Workers</t>
  </si>
  <si>
    <t>358 Industrial Park Dr</t>
  </si>
  <si>
    <t>P-400-21153-362631</t>
  </si>
  <si>
    <t xml:space="preserve">="Experience must be verifiable.
Pre-hire drug test and background check, carried out equally between the U.S. workers and the H-2B workers.
Must be available to work split-shifts, weekends &amp; holidays as needed. 
Must be able to lift, pull, push or carry </t>
  </si>
  <si>
    <t>Halyna</t>
  </si>
  <si>
    <t>Eremeyeva</t>
  </si>
  <si>
    <t>halyna@dgvisalaw.com</t>
  </si>
  <si>
    <t>Site Supervisor</t>
  </si>
  <si>
    <t>P-100-21123-282821</t>
  </si>
  <si>
    <t>Montefiore Medical Centre</t>
  </si>
  <si>
    <t>111 East 210 Street</t>
  </si>
  <si>
    <t>Law Office of Stephen M. Perlitsh</t>
  </si>
  <si>
    <t>Leticia Roldan</t>
  </si>
  <si>
    <t>Bronx, New York</t>
  </si>
  <si>
    <t>P-100-21173-419771</t>
  </si>
  <si>
    <t>="Must have knowledge or experience with:
1.	VR Interface Design including UI design concepts, usage, wireframing, blueprint, user flows, and motion design
2.	User Interviews including gathering technical requirements
3.	Jira, Aha, or Asana
4.	Agile Metho</t>
  </si>
  <si>
    <t>Kimberley</t>
  </si>
  <si>
    <t>P-100-21177-428352</t>
  </si>
  <si>
    <t>Director, Talent &amp; Culture</t>
  </si>
  <si>
    <t>275 Estero Boulevard</t>
  </si>
  <si>
    <t>mrose@pinkshell.com</t>
  </si>
  <si>
    <t xml:space="preserve">JABO LLC   </t>
  </si>
  <si>
    <t>Pink Shell Beach Resort &amp; Marina</t>
  </si>
  <si>
    <t>8015 West Kenton Circle</t>
  </si>
  <si>
    <t>Klaudia</t>
  </si>
  <si>
    <t>9927 Stephen Decatur Hwy</t>
  </si>
  <si>
    <t>Suite G-1</t>
  </si>
  <si>
    <t>Khall@immigrationusa.us</t>
  </si>
  <si>
    <t>Law Office of Klaudia Hall Esq</t>
  </si>
  <si>
    <t>Bar Supervisor</t>
  </si>
  <si>
    <t>35-3011.00; 35-3031.00; 35-9011.00</t>
  </si>
  <si>
    <t>Bartenders; Dining Room and Cafeteria Attendants and Bartender Helpers; Waiters and Waitresses</t>
  </si>
  <si>
    <t xml:space="preserve">="Due to Florida state law regulations on serving alcoholic beverages, successful candidate for the position must be at least 18 years of age. HS diploma/GED and 1 year of experience as bar supervisor required. Upon hire, must undergo and pass background </t>
  </si>
  <si>
    <t>P-400-21153-361917</t>
  </si>
  <si>
    <t>HOLZMAN</t>
  </si>
  <si>
    <t>4 ASHWOOD COURT</t>
  </si>
  <si>
    <t xml:space="preserve">PROFESSIONAL ESTATE CARE INC </t>
  </si>
  <si>
    <t>P-400-21133-312126</t>
  </si>
  <si>
    <t xml:space="preserve">10600 E. Crescent Moon </t>
  </si>
  <si>
    <t>sabine.hebert@fourseasons.com</t>
  </si>
  <si>
    <t>FS Scottsdale Employment Inc.</t>
  </si>
  <si>
    <t>Four Seasons Resort Scottsdale at Troon North</t>
  </si>
  <si>
    <t>10600 East Crescent Moon Drive</t>
  </si>
  <si>
    <t>Guestroom Attendant</t>
  </si>
  <si>
    <t>SVP &amp; Deputy General Counsel</t>
  </si>
  <si>
    <t>1600 Viceroy Drive</t>
  </si>
  <si>
    <t>Stephanie.Hart@freemanco.com</t>
  </si>
  <si>
    <t>The Freeman Company, LLC</t>
  </si>
  <si>
    <t>Willis Towers Watson 2020 General Industry Middle Management, Professional and Support Survey Report - United States - TAC Report</t>
  </si>
  <si>
    <t>Computer Science, Computer Systems Engineering, or related</t>
  </si>
  <si>
    <t>P-400-21154-365865</t>
  </si>
  <si>
    <t>2839 HWY 39</t>
  </si>
  <si>
    <t>AMERICAN FALLS</t>
  </si>
  <si>
    <t>249 Chambers Rd.</t>
  </si>
  <si>
    <t>Toughkenamon</t>
  </si>
  <si>
    <t>P-400-21131-305030</t>
  </si>
  <si>
    <t>P-400-21154-365213</t>
  </si>
  <si>
    <t xml:space="preserve">WATER MILL </t>
  </si>
  <si>
    <t xml:space="preserve">WARRENS NURSERY INC </t>
  </si>
  <si>
    <t xml:space="preserve">NURSERY WORKER </t>
  </si>
  <si>
    <t>P-400-21146-344897</t>
  </si>
  <si>
    <t>="Experience must be verifiable.
Must be available to work split-shifts, nights, weekends &amp; holidays as needed.
Must be able to lift, pull, push or carry up to 25 lbs or more, and walk or stand for long periods of time. 
Professional appearance, articulat</t>
  </si>
  <si>
    <t>P-100-21175-424282</t>
  </si>
  <si>
    <t>Deville</t>
  </si>
  <si>
    <t>8421 Neal Lane</t>
  </si>
  <si>
    <t>devilleslawnserviceIILLC@gmail.com</t>
  </si>
  <si>
    <t>Deville's Lawn Service II LLC</t>
  </si>
  <si>
    <t>Morganze</t>
  </si>
  <si>
    <t>wen@algvisas.com</t>
  </si>
  <si>
    <t>Roofer Helper</t>
  </si>
  <si>
    <t>P-100-21155-371215</t>
  </si>
  <si>
    <t>="Skills:
Salesforce Configuration and Customizations (5 years)
Service and Sales Clouds (5 years)
Salesforce Toolbox: such as Lightning Components/Apps/Events; SOQL and SOSL Databases (5 years)
Web Service Integrations (3 years)
Tools:
Salesforce Edit</t>
  </si>
  <si>
    <t>P-100-21137-318135</t>
  </si>
  <si>
    <t>FABIAN</t>
  </si>
  <si>
    <t>EVAM USA, LLC</t>
  </si>
  <si>
    <t>74 S. Fremont Ridge Loop</t>
  </si>
  <si>
    <t>74 S. FREMONT RIDGE LOOP</t>
  </si>
  <si>
    <t>5755 Peace Lane</t>
  </si>
  <si>
    <t>Horizonforestry@yahoo.com</t>
  </si>
  <si>
    <t xml:space="preserve">Horizon Forestry, LLC </t>
  </si>
  <si>
    <t>Amazon Advertising LLC</t>
  </si>
  <si>
    <t>JORDI (5677837)</t>
  </si>
  <si>
    <t>="Master's degree or foreign equivalent in Computer Science, Engineering, Mathematics, or a related field and one year of experience in the job offered or as a Project Lead, Product Manager, Software Engineer, or a related occupation. Employer will accept</t>
  </si>
  <si>
    <t>1800 S BELL STREET</t>
  </si>
  <si>
    <t>P-400-21131-305064</t>
  </si>
  <si>
    <t>Work site(s): Provided daily transportation to and from the worksite; begin in Elmsford, Westchester County, NY 10523. Continue into the county(ies) Westchester county of NY; &amp; area of New York-Newark-Jersey City, NY-NJ-PA.</t>
  </si>
  <si>
    <t>5 North Payne Street (report to work)</t>
  </si>
  <si>
    <t>P-100-21160-383850</t>
  </si>
  <si>
    <t xml:space="preserve">Medical degree </t>
  </si>
  <si>
    <t>Doctor of Osteopathic Medicine degree</t>
  </si>
  <si>
    <t>P-400-21153-362170</t>
  </si>
  <si>
    <t>P-100-21144-338923</t>
  </si>
  <si>
    <t>2088 US HWY 130</t>
  </si>
  <si>
    <t>SUITE 211 &amp; VARIOUS UNANTICIPATED LOCATIONS THROUGHOUT THE U.S</t>
  </si>
  <si>
    <t>P-400-21147-349528</t>
  </si>
  <si>
    <t>Manipon</t>
  </si>
  <si>
    <t>Teresita</t>
  </si>
  <si>
    <t>De Castro</t>
  </si>
  <si>
    <t>45 Goebel Road</t>
  </si>
  <si>
    <t>Caringheart@comforcare.com</t>
  </si>
  <si>
    <t>CaringHeart Inc</t>
  </si>
  <si>
    <t>Comforcare Senior Care South Orange</t>
  </si>
  <si>
    <t>Victorino Jr</t>
  </si>
  <si>
    <t>De Guzman</t>
  </si>
  <si>
    <t>217 East Meadow Lane</t>
  </si>
  <si>
    <t>Newburgh</t>
  </si>
  <si>
    <t>caringheart@comforcare.com</t>
  </si>
  <si>
    <t>2021 Home Care Benchmarking Study</t>
  </si>
  <si>
    <t>Caregiver - Personal Care Aide</t>
  </si>
  <si>
    <t>Home of the patients should be within 30 miles from aide residence within Orange and Rockland County of New York. Travel will be once or twice a week only for live-in cases.
Transportation will be provided by the company.</t>
  </si>
  <si>
    <t>2 Lake Street</t>
  </si>
  <si>
    <t>P-100-21140-330740</t>
  </si>
  <si>
    <t xml:space="preserve">Attorney of record </t>
  </si>
  <si>
    <t xml:space="preserve">38-08 Union Street </t>
  </si>
  <si>
    <t>suite 9A</t>
  </si>
  <si>
    <t>Karen Serota</t>
  </si>
  <si>
    <t>4 Clover CT</t>
  </si>
  <si>
    <t>East Norwich</t>
  </si>
  <si>
    <t>Suite 9A Rm 104-105</t>
  </si>
  <si>
    <t>gopocon@gmail.com</t>
  </si>
  <si>
    <t>Gonzalo Policarpio Consultants LLC</t>
  </si>
  <si>
    <t xml:space="preserve">Petitioner </t>
  </si>
  <si>
    <t xml:space="preserve">East Norwich </t>
  </si>
  <si>
    <t>P-400-21131-303585</t>
  </si>
  <si>
    <t xml:space="preserve">Wait Staff </t>
  </si>
  <si>
    <t>="The Petitioner will consider for employment any person who possesses at least six (6) months of service experience in a fine-dining or high-volume environment at a high-end restaurant, resort, hotel, or private club.
Applicant must complete pre-employm</t>
  </si>
  <si>
    <t xml:space="preserve">Food and Beverage Restaurant Manager </t>
  </si>
  <si>
    <t xml:space="preserve">All worksites located in Palm Beach Gardens and Juno Beach, Florida.  Travel throughout this area is required.  Transportation between worksites is provided.  
</t>
  </si>
  <si>
    <t>P-400-21138-323688</t>
  </si>
  <si>
    <t>380 Risby Town Road</t>
  </si>
  <si>
    <t>P. O. Box 10</t>
  </si>
  <si>
    <t>Gwynn</t>
  </si>
  <si>
    <t>Island Seafood Co., Inc.</t>
  </si>
  <si>
    <t>Employer will provide transportation to and from the two plant locations as needed.  There is no itinerary involved.</t>
  </si>
  <si>
    <t>16552 General Puller Hwy.</t>
  </si>
  <si>
    <t>P-100-21161-384799</t>
  </si>
  <si>
    <t xml:space="preserve">Gutta </t>
  </si>
  <si>
    <t xml:space="preserve">Rajan </t>
  </si>
  <si>
    <t xml:space="preserve">  4738 Duckhorn Drive, </t>
  </si>
  <si>
    <t>Sacramento,</t>
  </si>
  <si>
    <t>immigration@KEY-SOFT.COM</t>
  </si>
  <si>
    <t xml:space="preserve">KEY BUSINESS SOLUTIONS INC </t>
  </si>
  <si>
    <t xml:space="preserve">  4738 Duckhorn Drive </t>
  </si>
  <si>
    <t xml:space="preserve">BUSINESS ADMINISTRATION </t>
  </si>
  <si>
    <t>WILLING TO TRAVEL TO THE CLIENT PLACES WITHIN UNITED STATES TO IMPLIMENT THE PROJECTS.   Education equivalent to Masters  Degree in US is accepted.</t>
  </si>
  <si>
    <t>4738 Duckhorn Drive</t>
  </si>
  <si>
    <t>P-400-21131-304500</t>
  </si>
  <si>
    <t>Seigfreid</t>
  </si>
  <si>
    <t>2850 Highway 60 East</t>
  </si>
  <si>
    <t>Windom</t>
  </si>
  <si>
    <t>tom.seigfreid@hylife.com</t>
  </si>
  <si>
    <t>HyLife Foods Windom, LLC</t>
  </si>
  <si>
    <t>50 South 6th Street</t>
  </si>
  <si>
    <t>="There are no minimum education, training or experience requirements for this position.  Applicants must be at least 18 years of age and must have the ability to: perform job duties; follow written and verbal instruction from supervisor(s); perform basic</t>
  </si>
  <si>
    <t>P-400-21133-311688</t>
  </si>
  <si>
    <t>SONDRA</t>
  </si>
  <si>
    <t>803 E CHESTER</t>
  </si>
  <si>
    <t>SAMUELHERNANDEZNANDEZ@ICLOUD.COM</t>
  </si>
  <si>
    <t>SH MASONRY</t>
  </si>
  <si>
    <t>Helpers--Brickmasons, Blockmasons, Stonemasons, and Tile and</t>
  </si>
  <si>
    <t>197 BURTON STREET</t>
  </si>
  <si>
    <t>Jackson, TN</t>
  </si>
  <si>
    <t>P-400-21139-326325</t>
  </si>
  <si>
    <t>14101 US 290 W</t>
  </si>
  <si>
    <t>Building 2000, Suite B</t>
  </si>
  <si>
    <t>joey@essitx.com</t>
  </si>
  <si>
    <t xml:space="preserve">14101 US 290 W </t>
  </si>
  <si>
    <t xml:space="preserve">Various client worksites throughout area of intended employment. Employer provides transportation to and from all worksites at no cost. </t>
  </si>
  <si>
    <t>P-400-21147-350613</t>
  </si>
  <si>
    <t>5035 W Southern Avenue</t>
  </si>
  <si>
    <t>Laveen</t>
  </si>
  <si>
    <t>joypickett@gmail.com</t>
  </si>
  <si>
    <t>GDR Inc.</t>
  </si>
  <si>
    <t>="MUST BE WILLING TO WORK UP TO 7 DAYS/WK, MOST WEEKENDS/HOLIDAYS REQUIRED. PRE-EMPLOYMENT CRIMINAL BACKGROUND CHECK AND PRE-EMPLOYMENT/POST-INJURY OR INCIDENT AND REASONABLE SUSPICION DRUG TEST REQUIRED, PAID BY EMPLOYER. APPLICANTS MUST COOPERATE WITH A</t>
  </si>
  <si>
    <t>EMPLOYER IS AN OUTDOOR TRAVELING CONCESSION/RIDES/GAMES PROVIDER WITH TRAVEL REQUIRED FROM EVENT LOCATION TO EVENT LOCATION. HOUSING AND TRANSPORTATION TO/FROM EACH EVENT LOCATION OFFERED TO ALL EMPLOYEES UNDER THIS JOB OFFER. EMPLOYER MAKES AVAILABLE TRANSPORTATION FROM VENUE TO VENUE.</t>
  </si>
  <si>
    <t>1826 W McDowell Rd</t>
  </si>
  <si>
    <t>Lozano</t>
  </si>
  <si>
    <t>P-400-21140-330335</t>
  </si>
  <si>
    <t>P-400-21141-333161</t>
  </si>
  <si>
    <t>FAY</t>
  </si>
  <si>
    <t>23721 NE 48TH AVENUE</t>
  </si>
  <si>
    <t>OKEECHOBEE</t>
  </si>
  <si>
    <t>PINE CREEK SPORTING CLUB HOA INC</t>
  </si>
  <si>
    <t>P-400-21154-366843</t>
  </si>
  <si>
    <t>="The Petitioner will consider for employment any person who possesses at least one (1) year of culinary experience in a high-end restaurant, resort, or private club environment.
Applicant may be required to complete pre-employment COVID-19 test and/or c</t>
  </si>
  <si>
    <t>P-400-21126-293601</t>
  </si>
  <si>
    <t>712 Jefferson Drive</t>
  </si>
  <si>
    <t>McClelland Concrete LLC</t>
  </si>
  <si>
    <t>Concrete Laborer</t>
  </si>
  <si>
    <t>4495 Mt. Troy Rd. Extension</t>
  </si>
  <si>
    <t>SSA Tech, Inc.</t>
  </si>
  <si>
    <t>3750 Torrey View Ct</t>
  </si>
  <si>
    <t xml:space="preserve">Becton, Dickinson and Company </t>
  </si>
  <si>
    <t>Dworsky</t>
  </si>
  <si>
    <t>Fairburn</t>
  </si>
  <si>
    <t>Vice President, Information Security</t>
  </si>
  <si>
    <t>4025 South Riverpoint Parkway</t>
  </si>
  <si>
    <t>P-400-21152-357990</t>
  </si>
  <si>
    <t>718 Gilman Rd.</t>
  </si>
  <si>
    <t>tablerockforestry@gmail.com</t>
  </si>
  <si>
    <t>Table Rock Forestry Inc.</t>
  </si>
  <si>
    <t>Transport provided, designated locale to job site. Begin in Jackson County, OR. Continue in States: CA, ID, NV, OR, UT.</t>
  </si>
  <si>
    <t>718 Gilman Rd. (Report to Work)</t>
  </si>
  <si>
    <t>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The wage entered in item G.4 reflects the area of intended employment entered in F.e.4 and F.e.5.
This determination does not cover extinguishing fires.</t>
  </si>
  <si>
    <t>russell@fordmurraylaw.com</t>
  </si>
  <si>
    <t>P-100-21131-304712</t>
  </si>
  <si>
    <t>Jaffer</t>
  </si>
  <si>
    <t>Riffat</t>
  </si>
  <si>
    <t>Vice President, People</t>
  </si>
  <si>
    <t>1400 Tennessee Street</t>
  </si>
  <si>
    <t>Unit 4</t>
  </si>
  <si>
    <t>riffat@robustintelligence.com</t>
  </si>
  <si>
    <t>Robust Intelligence, Inc.</t>
  </si>
  <si>
    <t>1400 Tennessee</t>
  </si>
  <si>
    <t>walsh@iandoli.com</t>
  </si>
  <si>
    <t>Computer Science or closely related field - see F.b.5</t>
  </si>
  <si>
    <t>="Bachelor's degree in Computer Science or closely related field.
1 year of experience in full backend software development.
1 year of developing in Golang programming language.
1 year of developing software developer tools like CLI. 1 year of experience</t>
  </si>
  <si>
    <t>P-100-21146-345440</t>
  </si>
  <si>
    <t>Texas Medical Concierge Management</t>
  </si>
  <si>
    <t>Despina Caldwell</t>
  </si>
  <si>
    <t>2621 Janel Street</t>
  </si>
  <si>
    <t>Despina.caldwell@texasmedicalconcierge.com</t>
  </si>
  <si>
    <t>Texas Medical Concierge Management LLC</t>
  </si>
  <si>
    <t>Geriatric Care Coordinator</t>
  </si>
  <si>
    <t xml:space="preserve">Any field. </t>
  </si>
  <si>
    <t>Social and Human Service Assistants</t>
  </si>
  <si>
    <t>RODNEY</t>
  </si>
  <si>
    <t>P-100-21141-334583</t>
  </si>
  <si>
    <t xml:space="preserve">Flint </t>
  </si>
  <si>
    <t>411 Fifth Avenue, FI.5</t>
  </si>
  <si>
    <t>H (079624-00026)</t>
  </si>
  <si>
    <t>Bachelor’s or foreign equivalent degree in Mathematics, Statistic, Actuarial Science or a related quantitative field.</t>
  </si>
  <si>
    <t>P-400-21130-299930</t>
  </si>
  <si>
    <t>1112 W Main St. Ste. 101</t>
  </si>
  <si>
    <t>christian@taylorlawoffices.com</t>
  </si>
  <si>
    <t>Martineau Enterprises, Inc.</t>
  </si>
  <si>
    <t>My Father's Place</t>
  </si>
  <si>
    <t>901 N 3RD ST</t>
  </si>
  <si>
    <t>Front Counter Worker</t>
  </si>
  <si>
    <t>Chief Operations Manager</t>
  </si>
  <si>
    <t>MCCALL</t>
  </si>
  <si>
    <t>Northwestern Idaho nonmetropolitan area</t>
  </si>
  <si>
    <t>P-200-21137-318633</t>
  </si>
  <si>
    <t xml:space="preserve">Charmagne </t>
  </si>
  <si>
    <t xml:space="preserve">    OIS MC 326 </t>
  </si>
  <si>
    <t>Public Health in Epidemiology, Sociology, or related</t>
  </si>
  <si>
    <t>P-400-21141-334651</t>
  </si>
  <si>
    <t>Garimark Foods Inc</t>
  </si>
  <si>
    <t xml:space="preserve">1000 Hurricane Shoals Rd. NE </t>
  </si>
  <si>
    <t>Suite D-100</t>
  </si>
  <si>
    <t>1445 Josh Pirkle Rd</t>
  </si>
  <si>
    <t xml:space="preserve">Braselton </t>
  </si>
  <si>
    <t>1500 NW 89th Court Ste. 220</t>
  </si>
  <si>
    <t>5650 Stirling Rd #8 and #9</t>
  </si>
  <si>
    <t>P-100-21160-382921</t>
  </si>
  <si>
    <t>6815 Flanders Drive</t>
  </si>
  <si>
    <t>tsullivan@innophase.com</t>
  </si>
  <si>
    <t>Innophase, Inc.</t>
  </si>
  <si>
    <t>="Master’s degree in Electrical Engineering or related field or foreign degree equivalent plus 1 year of experience in electrical engineering. 
Experience, which may be gained concurrently, must include the following: 
-1 year of experience in IOT product</t>
  </si>
  <si>
    <t>P-400-21141-333715</t>
  </si>
  <si>
    <t>12011 Proctor Street</t>
  </si>
  <si>
    <t>hgunite50@hotmail.com</t>
  </si>
  <si>
    <t>Houston Gunite, Inc.</t>
  </si>
  <si>
    <t>Must be able to work in outside weather conditions and be able to travel to various worksites. Transportation to and from worksite is provided at no cost.</t>
  </si>
  <si>
    <t>P-400-21126-292701</t>
  </si>
  <si>
    <t>Packing Supervisor</t>
  </si>
  <si>
    <t xml:space="preserve">Chemical Engineering (or foreign degree equivalent). </t>
  </si>
  <si>
    <t>P-100-21168-406355</t>
  </si>
  <si>
    <t>Kennesaw</t>
  </si>
  <si>
    <t>P-100-21174-421929</t>
  </si>
  <si>
    <t xml:space="preserve">Tessa </t>
  </si>
  <si>
    <t>30 W. Watkins Mill Road</t>
  </si>
  <si>
    <t>TCSchaaf@iivs.org</t>
  </si>
  <si>
    <t>Institute for In Vitro Sciences, Inc.</t>
  </si>
  <si>
    <t>Toxicologist</t>
  </si>
  <si>
    <t>19-1020.01</t>
  </si>
  <si>
    <t>Pharmacology, Toxicology, Biological Sciences, Management of Biological Sciences or a related scientific field.</t>
  </si>
  <si>
    <t xml:space="preserve">="Must have at least a Master’s degree, or foreign equivalent, in Pharmacology, Toxicology, Biological Sciences, Management of Biological Sciences or a related scientific field. Must have either pursued graduate-level coursework or have experience in the </t>
  </si>
  <si>
    <t>Senior Toxicologist</t>
  </si>
  <si>
    <t>P-100-21125-288576</t>
  </si>
  <si>
    <t>=" Special Skill Requirements: (1) REST and SOAP API; (2) Web Components; (3) XML and JSON; (4) Javascript; (5) HTML; (6) Splunk; (7) SQL; (8) Relational Database including Oracle; (9) Jmeter; (10) CSS; and (11) Java. Any suitable combination of education</t>
  </si>
  <si>
    <t>Product Manager Senior Director</t>
  </si>
  <si>
    <t>P-400-21141-334069</t>
  </si>
  <si>
    <t>LUCERO</t>
  </si>
  <si>
    <t>1572 PAYNE ROAD LOT 75</t>
  </si>
  <si>
    <t>GRAHAM</t>
  </si>
  <si>
    <t>CRUZBROTHERSCONCRETE@OUTLOOK.COM</t>
  </si>
  <si>
    <t>CRUZ BROTHERS CONCRETE INC</t>
  </si>
  <si>
    <t>15725 PAYNE ROAD LOT 75</t>
  </si>
  <si>
    <t>CONCRETE AND CEMENT HELPER</t>
  </si>
  <si>
    <t>IN THE ALAMANCE COUNTY ONLY</t>
  </si>
  <si>
    <t>Burlington, NC</t>
  </si>
  <si>
    <t>VIRGINIA BEACH</t>
  </si>
  <si>
    <t>P-100-21161-387613</t>
  </si>
  <si>
    <t>Chauncey</t>
  </si>
  <si>
    <t>loic.chauncey@pgn.com</t>
  </si>
  <si>
    <t>Portland General Electric Company</t>
  </si>
  <si>
    <t>Gillum</t>
  </si>
  <si>
    <t>P-400-21152-358563</t>
  </si>
  <si>
    <t>Executive Chef and Food &amp; Beverage Manager</t>
  </si>
  <si>
    <t>P-100-21154-367948</t>
  </si>
  <si>
    <t xml:space="preserve">Senior Software Engineer I                                  </t>
  </si>
  <si>
    <t>Computer Science, Computer Information Systems, or related field</t>
  </si>
  <si>
    <t>="Bachelor’s degree in Computer Science, Computer Information Systems, or related field and 6 years of experience in IT or software industry. Also, 3 years of experience stated herein to involve: (1) development experience with at least 2 of the following</t>
  </si>
  <si>
    <t>90 5th Avenue</t>
  </si>
  <si>
    <t>P-100-21137-319230</t>
  </si>
  <si>
    <t xml:space="preserve"> Kaiser</t>
  </si>
  <si>
    <t>General Counsel Office Administrator</t>
  </si>
  <si>
    <t>600  Park Street</t>
  </si>
  <si>
    <t>Hays</t>
  </si>
  <si>
    <t>HLKaiser@fhsu.edu</t>
  </si>
  <si>
    <t>Fort Hays State University</t>
  </si>
  <si>
    <t xml:space="preserve">Computer Science or a closely related field from an accredited institution </t>
  </si>
  <si>
    <t>ABD status with required completion of Doctorate within one year</t>
  </si>
  <si>
    <t>P-400-21153-360862</t>
  </si>
  <si>
    <t>Zuniga</t>
  </si>
  <si>
    <t>11079 Greenacres Rd.</t>
  </si>
  <si>
    <t>David's Yard Care</t>
  </si>
  <si>
    <t>Senior Regional Controller</t>
  </si>
  <si>
    <t>1212 Bordeaux Drive,</t>
  </si>
  <si>
    <t>P-100-21138-323534</t>
  </si>
  <si>
    <t>POWERS</t>
  </si>
  <si>
    <t>LUKE</t>
  </si>
  <si>
    <t>310 120TH AVE NE, STE. 201</t>
  </si>
  <si>
    <t>ACCELALPHA INC.</t>
  </si>
  <si>
    <t>RE:  ACCELALPHA</t>
  </si>
  <si>
    <t>AGOURA HILLS</t>
  </si>
  <si>
    <t>SENIOR PRINCIPAL CONSULTANT</t>
  </si>
  <si>
    <t>20-25% domestic travel required.</t>
  </si>
  <si>
    <t>310 120TH AVE. NE, STE. 201</t>
  </si>
  <si>
    <t>Lufkin</t>
  </si>
  <si>
    <t>Gismondi</t>
  </si>
  <si>
    <t xml:space="preserve">Director of HR </t>
  </si>
  <si>
    <t>P-400-21131-304950</t>
  </si>
  <si>
    <t>="Six months of experience as a cook is required. Must pass pre-employment drug test (in accordance with company’s Drug Free Workplace Policy) and background check; this includes seasonal and full-time annual positions and is applied to all applicants reg</t>
  </si>
  <si>
    <t>P-400-21153-360280</t>
  </si>
  <si>
    <t>DALY</t>
  </si>
  <si>
    <t>2505 DEEP HOLE DRIVE</t>
  </si>
  <si>
    <t>MGD HORTICULTURAL SERVICES INC</t>
  </si>
  <si>
    <t>MULTIPLE SITES IN NASSAU / SUFFOLK COUNTIES</t>
  </si>
  <si>
    <t xml:space="preserve">2505 DEEP HOLE DRIVE </t>
  </si>
  <si>
    <t>P-400-21146-345570</t>
  </si>
  <si>
    <t>SCHILL</t>
  </si>
  <si>
    <t>1050 WATERVIEW DRIVE</t>
  </si>
  <si>
    <t>SOUTHOLD</t>
  </si>
  <si>
    <t xml:space="preserve">LAKESIDE LAWN &amp; LANDSCAPING </t>
  </si>
  <si>
    <t>P-100-21125-288897</t>
  </si>
  <si>
    <t>IN-HOUSE IMMIGRATION ATTORNEY</t>
  </si>
  <si>
    <t>2551 DULLES VIEW DRIVE</t>
  </si>
  <si>
    <t>madhavi.samudrala@sstech.us</t>
  </si>
  <si>
    <t>Computer Science,Computer Information Systems,Engineering(Comp/Mech/Elec) or rel. field.Foreign degree equiv. is acceptable. Will accept any suitable combination of education, training and/or exp.</t>
  </si>
  <si>
    <t xml:space="preserve">="Experience in Business Intelligence and Analytics reporting/dashboarding tools such QlikView/MicroStrategy, Cognos, SQL Server, Teradata, Microsoft SSIS, Hadoop and GIT. 
*Continued from F.e.2: Travel is not required, but candidates must be willing to </t>
  </si>
  <si>
    <t>="Experience in Business Intelligence and Analytics reporting/dashboarding tools such QlikView/MicroStrategy, Cognos, SQL Server, Teradata, Microsoft SSIS, Hadoop and GIT. 
* Continued from F.e.2: Travel is not required, but candidates must be willing to</t>
  </si>
  <si>
    <t>Unanticipated work locations across the U.S.*</t>
  </si>
  <si>
    <t>tampa</t>
  </si>
  <si>
    <t>P-400-21154-366050</t>
  </si>
  <si>
    <t>Mailing: 8001 Counts Massie Rd. , Maumelle, AR 72113</t>
  </si>
  <si>
    <t>Asplundh Tree Expert, LLC - AR</t>
  </si>
  <si>
    <t>8001 Counts Massie Rd.</t>
  </si>
  <si>
    <t>Maumelle</t>
  </si>
  <si>
    <t xml:space="preserve">2818 Magnolia Ave </t>
  </si>
  <si>
    <t>P-100-21177-428117</t>
  </si>
  <si>
    <t>Ruan</t>
  </si>
  <si>
    <t>rita.ruan@aabdc.com</t>
  </si>
  <si>
    <t>Asian American Business Development Center, Inc.</t>
  </si>
  <si>
    <t>Karikari</t>
  </si>
  <si>
    <t>84 Bowery</t>
  </si>
  <si>
    <t>Suite 500B</t>
  </si>
  <si>
    <t>j.karikarilaw@gmail.com</t>
  </si>
  <si>
    <t>Karikari &amp; Associates, P.C.</t>
  </si>
  <si>
    <t>COMPUTER GRAPHIC, GRAPHIC DESIGN/RELATED</t>
  </si>
  <si>
    <t>="A STRONG PORTFOLIO OF ILLUSTRATIONS OR OTHER GRAPHICS, EXCELLENT EYE FOR COLOR AND LAYOUT, DEEP UNDERSTANDING OF MAJOR SOCIAL MEDIA PLATFORMS, HAVE MIX OF PRINT AND DIGITAL DESIGN EXPERIENCE, FAMILIARITY IN MULTICULTURAL BUSINESS EVENTS, ESPECIALLY ASIA</t>
  </si>
  <si>
    <t>Sr. Systems Engineer (DevOps)</t>
  </si>
  <si>
    <t>P-100-21131-303462</t>
  </si>
  <si>
    <t>HR Business Partner Sales</t>
  </si>
  <si>
    <t>1 Steel Drive</t>
  </si>
  <si>
    <t>PO Box 13000</t>
  </si>
  <si>
    <t>ignacio.mendoza@outokumpu.com</t>
  </si>
  <si>
    <t>Outokumpu Stainless USA, LLC</t>
  </si>
  <si>
    <t>Key Account Manager – Sales Automotive</t>
  </si>
  <si>
    <t>International Business Administration</t>
  </si>
  <si>
    <t>="Experience is required and must include the following: Resilient network in the automotive industry: OEM, Tier 1 &amp; Tier 2; Working with steel processing and commercial processes within the steel and automotive industry; Handling global and key account m</t>
  </si>
  <si>
    <t>Director of Key Segments</t>
  </si>
  <si>
    <t>Domestic and International travel required 75% of the time.</t>
  </si>
  <si>
    <t>P-400-21154-366154</t>
  </si>
  <si>
    <t>18317 HIGHWAY 144</t>
  </si>
  <si>
    <t>FORT MORGAN</t>
  </si>
  <si>
    <t>P-100-21137-319092</t>
  </si>
  <si>
    <t>1400 BROADWAY,</t>
  </si>
  <si>
    <t xml:space="preserve">Information Systems, Computer Science, or related quantitative field, or foreign degree equivalent. </t>
  </si>
  <si>
    <t>="Minimum of two (2) years of experience with software development. Experience must have included: using advance analytics platforms and programming languages: R, Python, Machine learning, data warehousing, Neo4J, Cypher Query Language, and SAS; Power BI,</t>
  </si>
  <si>
    <t>Foreit</t>
  </si>
  <si>
    <t>Claude</t>
  </si>
  <si>
    <t>Michigan City</t>
  </si>
  <si>
    <t>P-400-21132-309278</t>
  </si>
  <si>
    <t>Continental Floral, LLC</t>
  </si>
  <si>
    <t>Northwest Labor, LLC</t>
  </si>
  <si>
    <t>8844 Gate Road SW</t>
  </si>
  <si>
    <t>Olympia-Tumwater, WA</t>
  </si>
  <si>
    <t>P-100-21140-330563</t>
  </si>
  <si>
    <t>P-400-21147-349675</t>
  </si>
  <si>
    <t>P-400-21124-285592</t>
  </si>
  <si>
    <t>Newberry</t>
  </si>
  <si>
    <t>15801 County Road #9</t>
  </si>
  <si>
    <t>P.O. Box 1158 Fairhope AL 36533 mailing address</t>
  </si>
  <si>
    <t>Summerdale</t>
  </si>
  <si>
    <t>dsnatnfl@aol.com</t>
  </si>
  <si>
    <t xml:space="preserve">Coast Seafood Corporation </t>
  </si>
  <si>
    <t>3881 Johnson Road</t>
  </si>
  <si>
    <t>P.O. Box 1158 Fairhope AL 36533 Mailing</t>
  </si>
  <si>
    <t>Coden</t>
  </si>
  <si>
    <t>OYSTER SHUCKER/PACKER</t>
  </si>
  <si>
    <t>="Must be able to shuck a minimum of Eight (8) 100lbs Sacks of oysters in Four (4) Hours
Must be able to lift up 50lbs, Stand, kneel, reach (over head or ground level), bend for long period of times
Must be able to work weekends - Weather may interruption</t>
  </si>
  <si>
    <t>P-400-21126-292861</t>
  </si>
  <si>
    <t>1375 Enterprise Ave Suite 1</t>
  </si>
  <si>
    <t>P-400-21124-286473</t>
  </si>
  <si>
    <t>Schelle</t>
  </si>
  <si>
    <t>PO Box 1809</t>
  </si>
  <si>
    <t>Aledo</t>
  </si>
  <si>
    <t>dustin@mccarthysiteservices.com</t>
  </si>
  <si>
    <t>McCarthy Site Services, LLC</t>
  </si>
  <si>
    <t>715 Underwood Rd</t>
  </si>
  <si>
    <t>Lucci</t>
  </si>
  <si>
    <t>Barth</t>
  </si>
  <si>
    <t>Munich Re America Services, Inc.</t>
  </si>
  <si>
    <t>555 College Road East</t>
  </si>
  <si>
    <t>dbarth@munichre.com</t>
  </si>
  <si>
    <t>Hartford Steam Boiler Inspection &amp; Insurance Co.</t>
  </si>
  <si>
    <t>1 State Street</t>
  </si>
  <si>
    <t>Lazaar</t>
  </si>
  <si>
    <t>Mathematical Sciences, Statistics or Data Science</t>
  </si>
  <si>
    <t>Suite 1950</t>
  </si>
  <si>
    <t>P-400-21153-361140</t>
  </si>
  <si>
    <t>Merriman</t>
  </si>
  <si>
    <t>209 TEN MILE CIRCLE</t>
  </si>
  <si>
    <t>COPPER MOUNTAIN</t>
  </si>
  <si>
    <t>RCASE@COPPERCOLORADO.COM</t>
  </si>
  <si>
    <t>Powdr - Copper Mountain LLC</t>
  </si>
  <si>
    <t>Copper Mountain Resort</t>
  </si>
  <si>
    <t>209 Ten Mile Circle</t>
  </si>
  <si>
    <t>Copper Mountain</t>
  </si>
  <si>
    <t>Cook 4</t>
  </si>
  <si>
    <t>Vice President, Global Index Strategist, Program Trading</t>
  </si>
  <si>
    <t>see F.b.5.</t>
  </si>
  <si>
    <t>Up to 10% international and domestic travel required.</t>
  </si>
  <si>
    <t>P-100-21141-333961</t>
  </si>
  <si>
    <t xml:space="preserve">Computer Science, Engineering (any), Technology, Information Systems/Security or related </t>
  </si>
  <si>
    <t>3000 Polar Lane</t>
  </si>
  <si>
    <t>STE 903</t>
  </si>
  <si>
    <t>P-100-21130-301548</t>
  </si>
  <si>
    <t>Principal Data Scientist Manager</t>
  </si>
  <si>
    <t>P-100-21131-304994</t>
  </si>
  <si>
    <t>EUN YOUNG</t>
  </si>
  <si>
    <t>856 E. FORT UNION BLVD.</t>
  </si>
  <si>
    <t>MIDVALE</t>
  </si>
  <si>
    <t>ittoshushi0907@gmail.com</t>
  </si>
  <si>
    <t>ITTO SUSHI LLC</t>
  </si>
  <si>
    <t>ITTO SUSHI</t>
  </si>
  <si>
    <t>P-100-21126-291204</t>
  </si>
  <si>
    <t>coforge@gtlaw.om</t>
  </si>
  <si>
    <t>P-100-21133-312768</t>
  </si>
  <si>
    <t>5 INEPENDENCE WAY</t>
  </si>
  <si>
    <t>SCIENCE, COMPUTER APPLICATIONS, TECHNOLOGY, ENGINEERING OR ANY RELATED FIELD.</t>
  </si>
  <si>
    <t>P-100-21124-286786</t>
  </si>
  <si>
    <t xml:space="preserve">Computer Science, MIS, or related field </t>
  </si>
  <si>
    <t>="Must have 5 years of software development or support experience, including:
- Designing/developing/supporting high volume 24/7 customer facing applications
- Utilizing Spring Boot, Weblogic/JBoss, Apache/Nginx, CDN (Akamai/Cloudflare), ATG, Endeca, Linu</t>
  </si>
  <si>
    <t>P-400-21154-366332</t>
  </si>
  <si>
    <t>ABC Professional Tree Services, Inc - Daphne</t>
  </si>
  <si>
    <t>29758 Frederick Blvd</t>
  </si>
  <si>
    <t>Stanton</t>
  </si>
  <si>
    <t>Director, Sales Engineering</t>
  </si>
  <si>
    <t>P-400-21131-305014</t>
  </si>
  <si>
    <t>H2A Case Specialist</t>
  </si>
  <si>
    <t>Younes Hospitality</t>
  </si>
  <si>
    <t>104 3rd Ave</t>
  </si>
  <si>
    <t>110 2nd Avenue</t>
  </si>
  <si>
    <t>P-400-21145-343732</t>
  </si>
  <si>
    <t>Aakhus</t>
  </si>
  <si>
    <t>2383 Pilot Knob Road</t>
  </si>
  <si>
    <t>Mendota Heights</t>
  </si>
  <si>
    <t>paakhus@southviewdesign.com</t>
  </si>
  <si>
    <t>Southview Design, Inc.</t>
  </si>
  <si>
    <t>Landscape Equipment Repairer</t>
  </si>
  <si>
    <t>Outdoor Power Equipment and Other Small Engine Mechanics</t>
  </si>
  <si>
    <t>Fleet Manager</t>
  </si>
  <si>
    <t>P-400-21139-325624</t>
  </si>
  <si>
    <t>="Must show proof of legal authorization to work in the United States. Drug/alcohol/tobacco free work zone. Must be 18 due to travel.  Must walk substantially (up to 15 miles/day), also stoop, bend while carrying a pack (up to 50lbs) thru rough terrain (n</t>
  </si>
  <si>
    <t xml:space="preserve">Transport provided, designated locale to job site. Begin in Jackson County, OR. Continue in States/Areas: CA, OR. </t>
  </si>
  <si>
    <t>5755 Peace Lane (report to work)</t>
  </si>
  <si>
    <t xml:space="preserve">Senior Product Owner </t>
  </si>
  <si>
    <t xml:space="preserve">Business, Engineering, Computer Science, Information Systems, or a related field </t>
  </si>
  <si>
    <t>="Requires Bachelor’s or foreign equivalent degree in Business, Engineering, Computer Science, Information Systems, or a related field followed by 5 years of progressive experience in product ownership in Agile and Scrum development methodologies, includi</t>
  </si>
  <si>
    <t>Computer Science, Electrical Engineering, or related discipline, or foreign equivalent.</t>
  </si>
  <si>
    <t>="Experience must include 2 years in:
1.	Distributed version control systems and successful branching models, including Git;
2.	Bash scripting;
3.	Configuring Jenkins Continuous Integration, including popular plugins (Gerrit, Artifactory, JIRA, Bitbucket</t>
  </si>
  <si>
    <t>Will travel to worksite daily.</t>
  </si>
  <si>
    <t>P-400-21141-332242</t>
  </si>
  <si>
    <t xml:space="preserve">MEZA </t>
  </si>
  <si>
    <t>9233 PARADISE LN</t>
  </si>
  <si>
    <t xml:space="preserve">SAN ANGELO  </t>
  </si>
  <si>
    <t>giral73@hotmail.com</t>
  </si>
  <si>
    <t xml:space="preserve">US.TEX FENCE CONSTRUCTION AND RANCH SERVICES LLC </t>
  </si>
  <si>
    <t xml:space="preserve">9233 PARADISE LN </t>
  </si>
  <si>
    <t>SAN ANGELO</t>
  </si>
  <si>
    <t xml:space="preserve">ERICKA </t>
  </si>
  <si>
    <t>12400 STATE HWY 71W</t>
  </si>
  <si>
    <t>SUITE 350-395</t>
  </si>
  <si>
    <t>trebolstaffingsolutions@gmail.com</t>
  </si>
  <si>
    <t>TREBOLS STAFFING SOLUTIONS</t>
  </si>
  <si>
    <t xml:space="preserve">FENCE ERECTOR </t>
  </si>
  <si>
    <t>Fence Erectors</t>
  </si>
  <si>
    <t>FENCE ERECTOR</t>
  </si>
  <si>
    <t>TRANSPORTATION WILL BE PROVIDED TO WORKERS FROM CENTRAL LOCATION TO JOB SITES</t>
  </si>
  <si>
    <t>92 PARADISE LN</t>
  </si>
  <si>
    <t xml:space="preserve">SAN ANGELO </t>
  </si>
  <si>
    <t>San Angelo, TX</t>
  </si>
  <si>
    <t>P-100-21148-353270</t>
  </si>
  <si>
    <t>Life Sciences Product Specialist</t>
  </si>
  <si>
    <t>Life Sciences, Chemical Engineering, Biopharmaceutical Sciences, or a related technical field (or foreign equivalent).</t>
  </si>
  <si>
    <t>="•	2 years of experience with analyzing scientific, clinical, financial, and strategic information for business implications of new technologies and emerging trends;
•	2 years of experience with conducting primary research for preparation and presentatio</t>
  </si>
  <si>
    <t>Head, Product Marketing</t>
  </si>
  <si>
    <t>Elbert</t>
  </si>
  <si>
    <t>P-100-21162-390553</t>
  </si>
  <si>
    <t xml:space="preserve">="Education: Bachelor’s or foreign equivalent in Computer Science, Engineering, Mathematics, Information Systems, Physics, or a related field. In lieu of a Bachelor's degree, employer will accept an additional 24 months of software development experience </t>
  </si>
  <si>
    <t>="In lieu of a Bachelor's degree, employer will accept an additional 24 months of software development experience formulating and analyzing software requirements. 
Experience: 36 months of software development experience formulating and analyzing software</t>
  </si>
  <si>
    <t>P-100-21141-332908</t>
  </si>
  <si>
    <t>attorneys@garfinkelimmigration.com</t>
  </si>
  <si>
    <t xml:space="preserve">Business, Accounting </t>
  </si>
  <si>
    <t>="Requires at least a Bachelor’s degree in Business, Accounting or related field or foreign equivalent.  Requires three (3) years progressive analyst experience to include three (3) years: financial analysis; communicating with senior management and execu</t>
  </si>
  <si>
    <t>P-100-21134-314259</t>
  </si>
  <si>
    <t xml:space="preserve">30% DOMESTIC TRAVEL. </t>
  </si>
  <si>
    <t>Markit North America, Inc.</t>
  </si>
  <si>
    <t>Product Analysis and Design Specialist</t>
  </si>
  <si>
    <t>Finance, Financial Engineering, Applied Mathematics for Finance or related field</t>
  </si>
  <si>
    <t>="Bachelor’s degree in Finance, Financial Engineering, Applied Mathematics for Finance or related field plus 2 years of experience in the job offered or related occupation. Must include 2 years of experience in the following:
*  Portfolio Valuations pric</t>
  </si>
  <si>
    <t>Product Analysis and Design Director</t>
  </si>
  <si>
    <t>Executive Administrator/HR Coordinator</t>
  </si>
  <si>
    <t>2911 Research Drive</t>
  </si>
  <si>
    <t>amy.lewis@hi-lex.com</t>
  </si>
  <si>
    <t>Hi-Lex Controls, Inc.</t>
  </si>
  <si>
    <t>152 Simpson Drive</t>
  </si>
  <si>
    <t>Litchfield</t>
  </si>
  <si>
    <t>Mechanical Engineering or Automotive Systems Engineering</t>
  </si>
  <si>
    <t>P-100-21137-319695</t>
  </si>
  <si>
    <t>Kristne</t>
  </si>
  <si>
    <t>G.H. Daniels &amp; Associates, Inc.</t>
  </si>
  <si>
    <t>PO Boxc 5130</t>
  </si>
  <si>
    <t>Daily travel within Eagle County and surrounding counties.  May occasionally travel to Mesa County if necessary and return within business hours.</t>
  </si>
  <si>
    <t xml:space="preserve">Milton Nursing and Rehabilitation </t>
  </si>
  <si>
    <t xml:space="preserve">743 Mahoning Street </t>
  </si>
  <si>
    <t xml:space="preserve">Milton </t>
  </si>
  <si>
    <t>P-100-21153-362580</t>
  </si>
  <si>
    <t>susee@wikimedia.org</t>
  </si>
  <si>
    <t>Statistics, Mathematics, Computer Science, or a related field.</t>
  </si>
  <si>
    <t>="Experience must include: building and automating repeatable analyses that balance precision with interpretability; using SQL, Hive, Python, and R to extract and analyze user behavior and performance data from large datasets; working with open source dat</t>
  </si>
  <si>
    <t>4610 Cenber Blvd</t>
  </si>
  <si>
    <t>Apt. 102</t>
  </si>
  <si>
    <t>P-400-21139-327161</t>
  </si>
  <si>
    <t>P-400-21132-308953</t>
  </si>
  <si>
    <t>Ctucker@unitemanagement.net</t>
  </si>
  <si>
    <t>New Wave Linen, LLC</t>
  </si>
  <si>
    <t>1357 Enterprise Ave</t>
  </si>
  <si>
    <t>P-100-21153-361615</t>
  </si>
  <si>
    <t xml:space="preserve">AdventHealth Information Technology </t>
  </si>
  <si>
    <t xml:space="preserve">902 Inspiration Ave </t>
  </si>
  <si>
    <t>IT Service Management (ITSM) Developer Intermediate</t>
  </si>
  <si>
    <t>P-400-21151-356889</t>
  </si>
  <si>
    <t>5181 US Highway 11</t>
  </si>
  <si>
    <t>southernmspinestraw@gmail.com</t>
  </si>
  <si>
    <t>Southern Mississippi Pine Straw, LLC</t>
  </si>
  <si>
    <t>Laborer, Grounds Maintenance</t>
  </si>
  <si>
    <t xml:space="preserve">Transport provided, designated locale to job site. Begin in Lamar County, MS. Continue in counties/areas: Lamar, MS, Hattiesburg, MS MSA. </t>
  </si>
  <si>
    <t>5181 US Hwy 11 (report to work)</t>
  </si>
  <si>
    <t>Arroyo</t>
  </si>
  <si>
    <t>1699 E.Woodfield Road</t>
  </si>
  <si>
    <t>Ste 565</t>
  </si>
  <si>
    <t>Lex Nimble Solutions Inc</t>
  </si>
  <si>
    <t>STE 565</t>
  </si>
  <si>
    <t>COMP SC,ENG(ANY),TECH, INFORM.SYS.</t>
  </si>
  <si>
    <t>1293 ELDRIDGE PARKWAY</t>
  </si>
  <si>
    <t>CITGO Petroleum Corporation</t>
  </si>
  <si>
    <t>Arowolo</t>
  </si>
  <si>
    <t>Olumuyiwa</t>
  </si>
  <si>
    <t>earowolo@fosterglobal.com</t>
  </si>
  <si>
    <t>Pipeline Integrity Engineer</t>
  </si>
  <si>
    <t>Pipeline Integrity Manager</t>
  </si>
  <si>
    <t>25% Domestic Travel Required</t>
  </si>
  <si>
    <t>**Please see F.c.5</t>
  </si>
  <si>
    <t>P-400-21151-357039</t>
  </si>
  <si>
    <t>3840 Blagg Road</t>
  </si>
  <si>
    <t>ruth@southernserviceslandscape.com</t>
  </si>
  <si>
    <t>Trinity Landscaping LLC</t>
  </si>
  <si>
    <t>Southern Services</t>
  </si>
  <si>
    <t xml:space="preserve">Denton </t>
  </si>
  <si>
    <t>11315 Corporate Blvd.</t>
  </si>
  <si>
    <t>Finder Software Solutions, LLC</t>
  </si>
  <si>
    <t>P-100-21126-294422</t>
  </si>
  <si>
    <t>P-100-21169-409715</t>
  </si>
  <si>
    <t>Computer Engineering, Electronic Engineering, Computer Science, or related field.</t>
  </si>
  <si>
    <t>="Seven (7) years progressively responsible experience in the job offered or a related occupation: gathering application requirements to combine business needs and requirements into technical architecture; maintaining source code versions using source con</t>
  </si>
  <si>
    <t>8845 Governors Hill Drive</t>
  </si>
  <si>
    <t>Suite 100 &amp; 410</t>
  </si>
  <si>
    <t>Bullock</t>
  </si>
  <si>
    <t>SKLAR</t>
  </si>
  <si>
    <t>108 BAKER STREET, Suite 102</t>
  </si>
  <si>
    <t>MAPLEWOOD</t>
  </si>
  <si>
    <t>sklar@stevensklar.com</t>
  </si>
  <si>
    <t>Pusin &amp; Sklar, LLC</t>
  </si>
  <si>
    <t>Grounds Maintenance Worker</t>
  </si>
  <si>
    <t>Helper-Production Worker</t>
  </si>
  <si>
    <t>Ste. 105</t>
  </si>
  <si>
    <t>P-400-21130-299217</t>
  </si>
  <si>
    <t>6704 E. 38th St.</t>
  </si>
  <si>
    <t>edwardsirrigation@yahoo.com</t>
  </si>
  <si>
    <t>Edwards Irrigation Inc</t>
  </si>
  <si>
    <t>Ryman</t>
  </si>
  <si>
    <t>2901 Bucks Bayou Rd.</t>
  </si>
  <si>
    <t>vryman@fewaglobal.org</t>
  </si>
  <si>
    <t>P-100-21145-342037</t>
  </si>
  <si>
    <t>Admin Operations Manager</t>
  </si>
  <si>
    <t>tracyalessi@zodiacsystems.com</t>
  </si>
  <si>
    <t xml:space="preserve">SAP MM Consultant </t>
  </si>
  <si>
    <t>Computer Science, Computer Information Systems, Engineering, Electronics, Information Technology or related field.</t>
  </si>
  <si>
    <t>Leif</t>
  </si>
  <si>
    <t>P-400-21134-315675</t>
  </si>
  <si>
    <t>="Must lift/carry 50 lbs., when necessary. Frequent/repetitive stand, walk, and squat in warehouse environment. Must be willing to work second shift/overnight 7:00 PM - 7:00 AM, including weekends as necessary. Maximum shifts are 12 hours per day. The act</t>
  </si>
  <si>
    <t>P-400-21134-314026</t>
  </si>
  <si>
    <t>Tovar</t>
  </si>
  <si>
    <t>managing member</t>
  </si>
  <si>
    <t>502 10th Street</t>
  </si>
  <si>
    <t>tsoysters5129@yahoo.com</t>
  </si>
  <si>
    <t>T&amp;S Oysters LLC</t>
  </si>
  <si>
    <t xml:space="preserve">Law Offices of Malvern C. Burnett, APLC </t>
  </si>
  <si>
    <t>P-400-21146-344844</t>
  </si>
  <si>
    <t>WOLDINE</t>
  </si>
  <si>
    <t>BOYKIN MANAGEMENT CO</t>
  </si>
  <si>
    <t xml:space="preserve">MCCUBBIN </t>
  </si>
  <si>
    <t>P-100-21174-421656</t>
  </si>
  <si>
    <t>3403 South Padre Island Drive</t>
  </si>
  <si>
    <t>hangnguyen32@yahoo.fr</t>
  </si>
  <si>
    <t>PHO DNOODLE HOUSE LLC</t>
  </si>
  <si>
    <t>Asian Food Cook</t>
  </si>
  <si>
    <t>MANAGER, IMMIGRATION &amp; RELOCATION</t>
  </si>
  <si>
    <t xml:space="preserve">Lucid USA, Inc. </t>
  </si>
  <si>
    <t>P-400-21130-300342</t>
  </si>
  <si>
    <t xml:space="preserve">Front Desk/Concierge </t>
  </si>
  <si>
    <t>="The Petitioner will consider for employment any person who possesses at least six (6) months of front desk experience in a high-end hotel, resort, or private club.  Applicant must complete pre-employment drug screening.  Applicant may be required to com</t>
  </si>
  <si>
    <t>P-100-21181-435460</t>
  </si>
  <si>
    <t xml:space="preserve">Koskovich </t>
  </si>
  <si>
    <t>P-100-21155-370082</t>
  </si>
  <si>
    <t xml:space="preserve">SAMONTE </t>
  </si>
  <si>
    <t xml:space="preserve">Maplewood Nursing and Rehabilitation Center </t>
  </si>
  <si>
    <t>EISENBERG</t>
  </si>
  <si>
    <t>11 WEST WALNUT LANE</t>
  </si>
  <si>
    <t>steve@greenitea.com</t>
  </si>
  <si>
    <t>RUBY RENEWABLE RESOURCES LLC</t>
  </si>
  <si>
    <t>GREEN IT ENERGY APPLICATIONS</t>
  </si>
  <si>
    <t>KORDA</t>
  </si>
  <si>
    <t>2338 IMMOKALEE RD</t>
  </si>
  <si>
    <t>ak@kordalawfirm.com</t>
  </si>
  <si>
    <t>P-100-21144-338023</t>
  </si>
  <si>
    <t>15-1121.00; 15-1132.00; 15-1133.00; 15-1142.00; 15-1199.01</t>
  </si>
  <si>
    <t>Computer Systems Analysts; Network and Computer Systems Administrators; Software Developers, Applications; Software Developers, Systems Software; Software Quality Assurance Engineers and Testers</t>
  </si>
  <si>
    <t>P-100-21162-388689</t>
  </si>
  <si>
    <t>MARIN</t>
  </si>
  <si>
    <t>570 N. ROSSMORE AVE., #415</t>
  </si>
  <si>
    <t>azoteasmex@gmail.com</t>
  </si>
  <si>
    <t xml:space="preserve">AZOTEAS MEX LA, LLC., </t>
  </si>
  <si>
    <t>LA CHA CHA CHA</t>
  </si>
  <si>
    <t xml:space="preserve">WILLIAMS </t>
  </si>
  <si>
    <t xml:space="preserve">DAVID </t>
  </si>
  <si>
    <t xml:space="preserve">640 NORTH TUSTIN AVE., </t>
  </si>
  <si>
    <t xml:space="preserve">812 E. 3RD STREET </t>
  </si>
  <si>
    <t>P-400-21139-327905</t>
  </si>
  <si>
    <t xml:space="preserve">6161 SW THISTLE TERRACE </t>
  </si>
  <si>
    <t xml:space="preserve">PALM CITY </t>
  </si>
  <si>
    <t>P-100-21137-320214</t>
  </si>
  <si>
    <t>WIZARD TECH SOLUTIONS INC.</t>
  </si>
  <si>
    <t>SUITE # 145</t>
  </si>
  <si>
    <t xml:space="preserve">SCIENCE, TECHNOLOGY, COMPUTER APPLICATIONS, ENGINEERING, OR ANY RELATED FIELD.
</t>
  </si>
  <si>
    <t>="SKILLS REQUIRED: UIPATH STUDIO, ORCHESTRATOR, .NET, REGULAR EXPRESSIONS, KIBANA, SOAP REST API.
Master’s degree in Science, Technology, Computer Applications, Engineering, or any related field is required. Bachelor’s degree in the above mentioned fields</t>
  </si>
  <si>
    <t>SUITE # 145 AND VARIOUS UNANTICIPATED LOCATIONS THROUGHOUT THE U.S.</t>
  </si>
  <si>
    <t>P-400-21131-304048</t>
  </si>
  <si>
    <t>LaBarge</t>
  </si>
  <si>
    <t>9800 Gravois Road</t>
  </si>
  <si>
    <t>Mailing: 9814 Gravois Road , St. Louis, MO 63123</t>
  </si>
  <si>
    <t>SFP Vegetation Management, LLC</t>
  </si>
  <si>
    <t>Vegetation Abatement Technician</t>
  </si>
  <si>
    <t>9800 Gravois Road,</t>
  </si>
  <si>
    <t>Given</t>
  </si>
  <si>
    <t>P-400-21144-339023</t>
  </si>
  <si>
    <t>DISHWASHERS</t>
  </si>
  <si>
    <t>P-400-21125-289036</t>
  </si>
  <si>
    <t>vice President Human Resources</t>
  </si>
  <si>
    <t>9729 N. IH 35</t>
  </si>
  <si>
    <t>CJ Outdoors, LLC</t>
  </si>
  <si>
    <t>RBC Bank (Georgia), National Association</t>
  </si>
  <si>
    <t>60  South 6th Street</t>
  </si>
  <si>
    <t>see  F.b.5.</t>
  </si>
  <si>
    <t>Director, Solution Acceleration &amp; Innovation</t>
  </si>
  <si>
    <t>12001 Research Parkway</t>
  </si>
  <si>
    <t>P-400-21150-356218</t>
  </si>
  <si>
    <t>711 LUCKY LANE</t>
  </si>
  <si>
    <t>COARSEGOLD</t>
  </si>
  <si>
    <t>Madera, CA</t>
  </si>
  <si>
    <t>Marcus</t>
  </si>
  <si>
    <t>P-400-21154-365861</t>
  </si>
  <si>
    <t>11950 Missouri Bottom Rd</t>
  </si>
  <si>
    <t>P-400-21154-365765</t>
  </si>
  <si>
    <t>FRONT DESK AGENT</t>
  </si>
  <si>
    <t>P-100-21162-391087</t>
  </si>
  <si>
    <t>P-400-21131-303304</t>
  </si>
  <si>
    <t>209 Ruth Street</t>
  </si>
  <si>
    <t>Santos Rodriguez</t>
  </si>
  <si>
    <t>103 Avenue C</t>
  </si>
  <si>
    <t>COOPER</t>
  </si>
  <si>
    <t>39400 MURRIETA HOT SPRINGS RD. SUITE#105</t>
  </si>
  <si>
    <t>rosegardenthai21@gmail.com</t>
  </si>
  <si>
    <t>ROSE GARDEN THAI CUISINE, INC</t>
  </si>
  <si>
    <t>FORT COLLINS</t>
  </si>
  <si>
    <t>Longtin</t>
  </si>
  <si>
    <t>9053 State Route 4</t>
  </si>
  <si>
    <t>Whitehall</t>
  </si>
  <si>
    <t>sherrylongtin@mayanlaborconnection.com</t>
  </si>
  <si>
    <t>Mayan Labor Connection</t>
  </si>
  <si>
    <t xml:space="preserve">Kelly </t>
  </si>
  <si>
    <t>P-400-21138-323691</t>
  </si>
  <si>
    <t>7275 Sweet Ola Highway</t>
  </si>
  <si>
    <t>Pilgrim's Pride Corporation</t>
  </si>
  <si>
    <t>="Bachelor’s degree (or foreign equivalent) in industrial, mechanical, or mechatronics engineering, or related and 1 year of experience as production superintendent, process supervisor, or related.  Experience must include: Benchmarking and working with d</t>
  </si>
  <si>
    <t>P-400-21123-283437</t>
  </si>
  <si>
    <t>Willis</t>
  </si>
  <si>
    <t>4821 Virginia Ave.</t>
  </si>
  <si>
    <t>N. Charleston</t>
  </si>
  <si>
    <t>Southland Landscape Corporation</t>
  </si>
  <si>
    <t>P-100-21175-424632</t>
  </si>
  <si>
    <t xml:space="preserve">HR Manager- Crimelord </t>
  </si>
  <si>
    <t>Wolfsdorf Rosenthal Training Corporation</t>
  </si>
  <si>
    <t xml:space="preserve">*Please see F. b. 5. </t>
  </si>
  <si>
    <t>="From boxes F.b.1.b and F.b.4.b: Minimum requirements : Minimum Bachelor’s Degree in Electrical Engineering or related field; or foreign degree equivalent;	5 years of experience in Testing, Inspection and Certification (TIC)
Must have: engineering exper</t>
  </si>
  <si>
    <t>Some International/Domestic Travel required</t>
  </si>
  <si>
    <t>555 Cool St</t>
  </si>
  <si>
    <t>P-400-21125-290788</t>
  </si>
  <si>
    <t>Omania</t>
  </si>
  <si>
    <t>President, Executive Chef</t>
  </si>
  <si>
    <t>47 Town Center D1</t>
  </si>
  <si>
    <t>lotuspadbigsky@gmail.com</t>
  </si>
  <si>
    <t>Lotus Pad Big Sky, LLC</t>
  </si>
  <si>
    <t>Lotus Pad</t>
  </si>
  <si>
    <t>47 Town Center Ave D1</t>
  </si>
  <si>
    <t>P-100-21168-407384</t>
  </si>
  <si>
    <t>Principal Applied Scientist Manager</t>
  </si>
  <si>
    <t>P-100-21175-424635</t>
  </si>
  <si>
    <t>HR Manager- Crime Lord</t>
  </si>
  <si>
    <t>WRapid Training Corp</t>
  </si>
  <si>
    <t>100 Low St</t>
  </si>
  <si>
    <t>="From boxes f.b.1.b and f.b.4.b: Minimum Requirements: Bachelor’s Degree in Electrical Engineering or related field; or foreign degree equivalent plus 5 years of experience in Testing, Inspection and Certification (TIC).
Must have: Engineering experienc</t>
  </si>
  <si>
    <t>P-400-21146-344862</t>
  </si>
  <si>
    <t>DIPASQUANTONIO</t>
  </si>
  <si>
    <t xml:space="preserve">JOSEPH </t>
  </si>
  <si>
    <t>16823 Captain Kirle Drive</t>
  </si>
  <si>
    <t>JONATHAN’S LANDING GOLF CLUB</t>
  </si>
  <si>
    <t xml:space="preserve">="Experience must be verifiable.
Post-hire drug test carried out equally between U.S. workers and H-2B workers
Must be available to work split-shifts, nights, weekends &amp; holidays as needed. 
Must be able to lift, pull, push or carry up to 25 lbs or more, </t>
  </si>
  <si>
    <t>P-400-21138-322247</t>
  </si>
  <si>
    <t>Managing Partner/Chief Operating Officer</t>
  </si>
  <si>
    <t>2345 HWY A1A</t>
  </si>
  <si>
    <t>kgiven@quailvalleygolfclub.com</t>
  </si>
  <si>
    <t>Quail Valley Golf Club</t>
  </si>
  <si>
    <t>Butzel Long</t>
  </si>
  <si>
    <t>41000 Woodward</t>
  </si>
  <si>
    <t>patterson@butzel.com</t>
  </si>
  <si>
    <t>2345 Hwy A1A</t>
  </si>
  <si>
    <t>P-100-21159-378286</t>
  </si>
  <si>
    <t xml:space="preserve">Manager, Operations Consulting </t>
  </si>
  <si>
    <t>P-400-21133-311451</t>
  </si>
  <si>
    <t>Dolan</t>
  </si>
  <si>
    <t xml:space="preserve">Edward </t>
  </si>
  <si>
    <t xml:space="preserve">self proprietor </t>
  </si>
  <si>
    <t>272 Fox Trotter Dr</t>
  </si>
  <si>
    <t>Ofallon</t>
  </si>
  <si>
    <t>givit2.md@gmail.com</t>
  </si>
  <si>
    <t>Michael Dolan</t>
  </si>
  <si>
    <t xml:space="preserve">272 Fox Trotter Dr </t>
  </si>
  <si>
    <t xml:space="preserve"> Occupational Employment Survey </t>
  </si>
  <si>
    <t>31-1122 Personal Care Aide</t>
  </si>
  <si>
    <t>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The OES mean wage was issued for this determination.</t>
  </si>
  <si>
    <t>P-400-21155-369654</t>
  </si>
  <si>
    <t>850 Kaliste Saloom</t>
  </si>
  <si>
    <t>Eden Scapes Landscape &amp; Horticultural, LLC</t>
  </si>
  <si>
    <t>P-400-21147-350057</t>
  </si>
  <si>
    <t>P-400-21152-359682</t>
  </si>
  <si>
    <t>2077 N Frontage Rd W STE 111 Vail CO 81658 (physical)</t>
  </si>
  <si>
    <t>PO Box 3487 Vail 81657 (mailing)</t>
  </si>
  <si>
    <t>Dusty Boot LLC</t>
  </si>
  <si>
    <t>210 Offerson Rd Unit 210 Avon CO 81620 (physical)</t>
  </si>
  <si>
    <t>PO Box 4388 Avon CO 81620 (mailing)</t>
  </si>
  <si>
    <t>PO Box 3487 Vail CO 81657 (mailing)</t>
  </si>
  <si>
    <t>Dishwasher / Busser</t>
  </si>
  <si>
    <t>210 Offerson Rd. Ste 210 Avon CO 81620 (Physical)</t>
  </si>
  <si>
    <t>PO Box 4388 Avon CO 81620 (Mailing)</t>
  </si>
  <si>
    <t>Associate Provost for Budget and Planning</t>
  </si>
  <si>
    <t>Office of the Provost</t>
  </si>
  <si>
    <t>One Silber Way</t>
  </si>
  <si>
    <t>pobrien@bu.edu</t>
  </si>
  <si>
    <t>Trustees of Boston University</t>
  </si>
  <si>
    <t>PRODUCTION MANAGER</t>
  </si>
  <si>
    <t>P-100-21147-350910</t>
  </si>
  <si>
    <t xml:space="preserve">Business Administration, Economics, Engineering, or related field, or foreign degree equivalent.  </t>
  </si>
  <si>
    <t>="Minimum Three (3) years of experience in the field of IT, consulting, and/or business intelligence. One year of experience managing large scale IT implementation and/or solution deployment program. Experience must include the following: designing proces</t>
  </si>
  <si>
    <t>P-100-21139-327791</t>
  </si>
  <si>
    <t>Mathematics, Statistics, Computer Science, Engineering, or related field</t>
  </si>
  <si>
    <t>P-100-21177-428334</t>
  </si>
  <si>
    <t>SRI Salary Assessor</t>
  </si>
  <si>
    <t>="WORK FROM HOME PERMITTED WHEREVER THE CANDIDATE'S HOME ADDRESS IS. MUST PASS GSA BACKGROUND CHECK/PUBLIC TRUST CLEARANCE.
ALTERNATIVELY, A MASTER'S DEGREE IN COMPUTER SCIENCE OR SIMILAR FIELD AND 4 YEAR EXPERIENCE IN THE JOB OFFERED OR SIMILAR OCCUPATIO</t>
  </si>
  <si>
    <t>P-100-21134-313986</t>
  </si>
  <si>
    <t>P-100-21135-316526</t>
  </si>
  <si>
    <t>P-203-21165-393990</t>
  </si>
  <si>
    <t xml:space="preserve">Amadeus North America, Inc. </t>
  </si>
  <si>
    <t xml:space="preserve">three (3) years of undergraduate coursework </t>
  </si>
  <si>
    <t>P-400-21154-365767</t>
  </si>
  <si>
    <t>43994 Business Hwy 2</t>
  </si>
  <si>
    <t>EAST GRAND FORKS</t>
  </si>
  <si>
    <t>Building D</t>
  </si>
  <si>
    <t>Radford Global Life Sciences Survey</t>
  </si>
  <si>
    <t>Marianna Cardona-Diaz PA</t>
  </si>
  <si>
    <t>P-100-21124-284922</t>
  </si>
  <si>
    <t xml:space="preserve">COMPUTER SCIENCE, ENGINEERING, INFORMATION SYSTEMS OR RELATED FIELD OF STUDY </t>
  </si>
  <si>
    <t>="MUST HAVE 1 YEAR OF EXPERIENCE WITH THE FOLLOWING: JAVA; RESTFUL WEB SERVICES; SPRING BOOT; HIBERNATE/JPA; XSLT; JMS AND ORACLE. A RELATED ADVANCED DEGREE MAY OFFSET THE RELATED EXPERIENCE REQUIREMENTS. 
*EMPLOYER WILL ACCEPT ONE (1) YEAR OF DIRECTLY R</t>
  </si>
  <si>
    <t>1900 SUMMIT TOWER BLVD.,</t>
  </si>
  <si>
    <t>Clive</t>
  </si>
  <si>
    <t>Chief Operating and Technology Officer</t>
  </si>
  <si>
    <t>1810 Gateway Drive</t>
  </si>
  <si>
    <t>CrowdCircle Inc.</t>
  </si>
  <si>
    <t>HealthCrowd</t>
  </si>
  <si>
    <t xml:space="preserve">1810  Gateway Drive </t>
  </si>
  <si>
    <t>P-400-21133-312199</t>
  </si>
  <si>
    <t>Hilary</t>
  </si>
  <si>
    <t>100 South Main Street</t>
  </si>
  <si>
    <t>Breckenridge</t>
  </si>
  <si>
    <t>HCHU@BreckenridgeGrandVacations.com</t>
  </si>
  <si>
    <t>Peak 8 Properties, LLC</t>
  </si>
  <si>
    <t>Breckenridge Grand Vacations</t>
  </si>
  <si>
    <t>Front Desk Associate</t>
  </si>
  <si>
    <t xml:space="preserve">="Must be able to:  Stand and work at a computer workstation (using mouse and keyboard) over 2/3 of the time. Speak and listen over the telephone, radio and in person over 2/3 of the time. Perform repetitive motions of the arms (elbows, wrists, hands and </t>
  </si>
  <si>
    <t>75 SNOWFLAKE DRIVE</t>
  </si>
  <si>
    <t>P-400-21146-345556</t>
  </si>
  <si>
    <t>Transport provided, designated locale to job site. Begin in Union County, NC. Continue in Counties/Areas: Cabarrus, Catawba, Gaston, Iredell, Lincoln, Mecklenburg, Union and areas of Charlotte-Concord-Gastonia, NC-SC, Hickory-Lenoir-Morganton, NC.</t>
  </si>
  <si>
    <t>3102 Sun Valley Place (Report to Work)</t>
  </si>
  <si>
    <t>Manager, Enterprise Application Development</t>
  </si>
  <si>
    <t>P-100-21153-363640</t>
  </si>
  <si>
    <t>Master of Business Administration Degree</t>
  </si>
  <si>
    <t>P-100-21154-364334</t>
  </si>
  <si>
    <t xml:space="preserve">Master’s degree in Chemical Engineering or a related field. </t>
  </si>
  <si>
    <t>="Education: Master’s degree in Chemical Engineering or a related field. 
Education or experience in: Semiconductor fabrication, Plasma physics/chemistry/reactors, Wafer fabrication processes, Plasma etching, Chemical Vapor Deposition (CVD), Plasma Enhan</t>
  </si>
  <si>
    <t>P-100-21138-322133</t>
  </si>
  <si>
    <t>SOUTH PLAINFIELD.</t>
  </si>
  <si>
    <t>P-100-21154-364867</t>
  </si>
  <si>
    <t>P-100-21132-306890</t>
  </si>
  <si>
    <t>P-400-21128-297899</t>
  </si>
  <si>
    <t>1902 W Sample St.</t>
  </si>
  <si>
    <t>P-100-21138-322437</t>
  </si>
  <si>
    <t>P-400-21133-311104</t>
  </si>
  <si>
    <t>P-400-21152-360116</t>
  </si>
  <si>
    <t>TRAVEL REQUIRED FROM CENTRAL LOCATION TO MULTIPLE WORKSITES within the intended area of employment.</t>
  </si>
  <si>
    <t>161 13th Avenue SW</t>
  </si>
  <si>
    <t>P-100-21148-353420</t>
  </si>
  <si>
    <t xml:space="preserve">Periodic domestic travel may be required to various unanticipated worksites in the U.S. up to 20-30% to attend business meetings.  </t>
  </si>
  <si>
    <t>P-400-21146-344429</t>
  </si>
  <si>
    <t xml:space="preserve">Shafter </t>
  </si>
  <si>
    <t xml:space="preserve">Snowbird Ski and Summer Resort </t>
  </si>
  <si>
    <t xml:space="preserve">Cook Helper </t>
  </si>
  <si>
    <t>Cook Helpers</t>
  </si>
  <si>
    <t>Salt Lake City, UT</t>
  </si>
  <si>
    <t>Housekeeping Supervisor</t>
  </si>
  <si>
    <t>P-100-21176-427767</t>
  </si>
  <si>
    <t>Senior Human Resources Associate - Mobility</t>
  </si>
  <si>
    <t>shana.dorn@zs.com</t>
  </si>
  <si>
    <t>Assistant Principal</t>
  </si>
  <si>
    <t>Computer Science, Engineering, Information Technology, Engineering Management or related field (willing to accept foreign education equivalent)</t>
  </si>
  <si>
    <t>="Specific skills/other requirements – Must also possess the following (quantitative experience requirements not applicable to this section): managing client teams in business development efforts; managing projects and client relationships; drive business</t>
  </si>
  <si>
    <t xml:space="preserve">Computer Science, Engineering, Information Technology, Engineering Management or related field (willing to accept foreign education equivalent) </t>
  </si>
  <si>
    <t>MARIETTA</t>
  </si>
  <si>
    <t>P-400-21153-360819</t>
  </si>
  <si>
    <t>Urcia</t>
  </si>
  <si>
    <t>Mirtha</t>
  </si>
  <si>
    <t>3065 W Bancroft St., Suite A</t>
  </si>
  <si>
    <t>mirtha.urcia@aol.com</t>
  </si>
  <si>
    <t>Chosica Restaurant LLC</t>
  </si>
  <si>
    <t>Chosica Peruvian Restaurant</t>
  </si>
  <si>
    <t>Valenzuela Wagner</t>
  </si>
  <si>
    <t>Milva</t>
  </si>
  <si>
    <t>2250 Crossbough Dr.</t>
  </si>
  <si>
    <t>milva@mvwdynamicadvancements.com</t>
  </si>
  <si>
    <t>MVW Dynamic Advancements</t>
  </si>
  <si>
    <t>CHef de Cuisine</t>
  </si>
  <si>
    <t>35-2021.00; 35-9021.00</t>
  </si>
  <si>
    <t>Dishwashers; Food Preparation Workers</t>
  </si>
  <si>
    <t>Toledo, OH</t>
  </si>
  <si>
    <t>P-100-21127-295927</t>
  </si>
  <si>
    <t>Bachelor's degree or foreign degree equivalent  in Computer Science, Engineering, Math, Information Systems, Physics, or related.</t>
  </si>
  <si>
    <t>="Education or experience in Distributed Systems; Cloud development; Data Warehousing; Algorithms; Web Services; SQL and/or T-SQL; and Coordinating program development of computer software applications/systems/services from design through product release.</t>
  </si>
  <si>
    <t>P-400-21153-361377</t>
  </si>
  <si>
    <t>Mullen</t>
  </si>
  <si>
    <t>315 Livingston Dr</t>
  </si>
  <si>
    <t>The Mullen Group Inc.</t>
  </si>
  <si>
    <t>Classic Landscape</t>
  </si>
  <si>
    <t>Ste 235 - 136</t>
  </si>
  <si>
    <t>P-100-21137-320620</t>
  </si>
  <si>
    <t>P-400-21137-319938</t>
  </si>
  <si>
    <t>1141 N 3RD AVE</t>
  </si>
  <si>
    <t>Transport provided, designated locale to job site at no cost to worker; begin: Union, MS Newton county:  continue multiple counties in following States: MS-GA-LA-NC-OK-SC-TN-TX-VA-AL-AR-FL-CO-NM-WY-ID-OR-MT-WA-AZ-UT</t>
  </si>
  <si>
    <t>P-400-21131-302865</t>
  </si>
  <si>
    <t>EGONZALEZ@GRANDBEACHHOTEL.COM</t>
  </si>
  <si>
    <t>GRAND BEACH HOSPITALITY GROUP, LLC</t>
  </si>
  <si>
    <t>P-400-21140-328393</t>
  </si>
  <si>
    <t>LUNA</t>
  </si>
  <si>
    <t>217 N RAILROAD AVE</t>
  </si>
  <si>
    <t>DILLON</t>
  </si>
  <si>
    <t>cargusluna@protonmail.com</t>
  </si>
  <si>
    <t>68 LUNA LLC</t>
  </si>
  <si>
    <t>TORTILLA LUNA'S</t>
  </si>
  <si>
    <t>TORTILLA TECHNICIAN</t>
  </si>
  <si>
    <t>51-3093.00</t>
  </si>
  <si>
    <t>Food Cooking Machine Operators and Tenders</t>
  </si>
  <si>
    <t>="KNOWLEDGE OF THE USE OF MEXICAN MACHINES, TOOLS, REAPIR AND MAINTENANCE, A PERSON WITH THE ABILITY TO SEE LITTLE DETAILS THAT NEED TO BE FIXED. THE ABILITY TO SOLVE PROBLEMS, HONESTY, WORK AS PART OF A TEAM, ABILITY TO COMMUNICATE WITH COWORKERS AND WIT</t>
  </si>
  <si>
    <t>P-400-21140-329444</t>
  </si>
  <si>
    <t>BOWER</t>
  </si>
  <si>
    <t>10420 WASHINGTON PALM WAY</t>
  </si>
  <si>
    <t>FORT MEYERS</t>
  </si>
  <si>
    <t>HERITAGE PALMS GOLF AND COUNTRY CLUB</t>
  </si>
  <si>
    <t xml:space="preserve">JATIN </t>
  </si>
  <si>
    <t>P-400-21125-288205</t>
  </si>
  <si>
    <t>General Manger</t>
  </si>
  <si>
    <t>Low Voltage Specialist</t>
  </si>
  <si>
    <t>P-400-21124-286398</t>
  </si>
  <si>
    <t>Christmas Decor Installer</t>
  </si>
  <si>
    <t>="Able to work in all kind of weather (extreme heat, extreme cold and Rain), stand, stoop, kneel, climb a 8ft to 16ft Ladder, able to work in High Heights, sit, reach (over head or ground level) all is done for prolong period of times, pick up to 30lbs
P</t>
  </si>
  <si>
    <t xml:space="preserve">Worker is required to Multi Work locations in East Baton Rouge and Livingston Parish at Private Residence and Commercial Properties 
Transportation is offered from Pick up location to each Worksite daily </t>
  </si>
  <si>
    <t>P-100-21176-426629</t>
  </si>
  <si>
    <t>P-400-21149-355904</t>
  </si>
  <si>
    <t xml:space="preserve">MARCO ISLAND </t>
  </si>
  <si>
    <t xml:space="preserve">9.	Marco Prime </t>
  </si>
  <si>
    <t>P-100-21154-364034</t>
  </si>
  <si>
    <t>2 Federal Street</t>
  </si>
  <si>
    <t>Parexel International</t>
  </si>
  <si>
    <t>P-100-21128-298059</t>
  </si>
  <si>
    <t>STRATH</t>
  </si>
  <si>
    <t>2508 9TH AVENUE</t>
  </si>
  <si>
    <t>STRATH@TRICOAST.COM</t>
  </si>
  <si>
    <t>TRICOAST WORLDWIDE INC</t>
  </si>
  <si>
    <t>1825 S. OXFORD AVENUE</t>
  </si>
  <si>
    <t>RAYNOR</t>
  </si>
  <si>
    <t>KATE</t>
  </si>
  <si>
    <t>16133 VENTURA BOULEVARD</t>
  </si>
  <si>
    <t>IMELDA@KATERAYNOR.COM</t>
  </si>
  <si>
    <t>RAYNOR &amp; ASSOCIATES</t>
  </si>
  <si>
    <t>FILM AND VIDEO AUDITOR</t>
  </si>
  <si>
    <t>Films, Communications, or Media or its equivalent.</t>
  </si>
  <si>
    <t>Film and Video Editors</t>
  </si>
  <si>
    <t>P-400-21133-312205</t>
  </si>
  <si>
    <t>="Must be able to lift, carry, pull and push up to 50 pounds, repeatedly, throughout a shift. Must be able to kneel, crouch, squat, climb, stand, sit, balance, reach, bend, push, pull and walk for prolonged periods. Training not required but is offered if</t>
  </si>
  <si>
    <t>P-100-21125-288635</t>
  </si>
  <si>
    <t>Embedded SW Sr. Eng Specialist</t>
  </si>
  <si>
    <t>="Research, design, develop, and test operating systems-level software, compilers, and network distribution software for medical, industrial, military, communications, aerospace, business, scientific, and general computing applications. Set operational sp</t>
  </si>
  <si>
    <t>Electrical Engineering- Computer Science- Computer Engineering.</t>
  </si>
  <si>
    <t>="Technical lead, and subject matter expert for Ubuntu/Linux based operating systems including leading the design, development, releasing, and documentation of the Ubuntu/Linux based operating system software.  This includes leading the design, developmen</t>
  </si>
  <si>
    <t xml:space="preserve">Mossville </t>
  </si>
  <si>
    <t>P-400-21153-362556</t>
  </si>
  <si>
    <t>Irie</t>
  </si>
  <si>
    <t>Biancia</t>
  </si>
  <si>
    <t>6429 Restlawn Drive</t>
  </si>
  <si>
    <t>admin@paved2perfection.com</t>
  </si>
  <si>
    <t>Paved 2 Perfection LLC</t>
  </si>
  <si>
    <t>Paver Installer</t>
  </si>
  <si>
    <t>Segmental Paver Installer</t>
  </si>
  <si>
    <t>Duval County, St Johns County, Nassau County, Baker County, daily to jobsites.</t>
  </si>
  <si>
    <t>P-100-21153-363509</t>
  </si>
  <si>
    <t>P-400-21146-347306</t>
  </si>
  <si>
    <t>P-400-21145-342075</t>
  </si>
  <si>
    <t>Kingston Musso Anders</t>
  </si>
  <si>
    <t>Enrico</t>
  </si>
  <si>
    <t>6236 Kingspointe Pkwy</t>
  </si>
  <si>
    <t>STE #1</t>
  </si>
  <si>
    <t>executive@xptax.com</t>
  </si>
  <si>
    <t>XP TAX &amp; ACCOUNTING SERVICES LLC</t>
  </si>
  <si>
    <t>6236 KINGSPOINTE PKWY</t>
  </si>
  <si>
    <t>Brazilian Income Tax Specialist</t>
  </si>
  <si>
    <t>Tax Department Supervisor</t>
  </si>
  <si>
    <t>Orlando-Kissimmee-Sanford, FL</t>
  </si>
  <si>
    <t>P-100-21144-337782</t>
  </si>
  <si>
    <t>SUITE 350 &amp; VARIOUS UNANTICIPATED LOCATIONS THROUGH OUT U.S</t>
  </si>
  <si>
    <t>P-400-21137-320630</t>
  </si>
  <si>
    <t>Sheedy</t>
  </si>
  <si>
    <t>Director, Ski and Snowboard School</t>
  </si>
  <si>
    <t>565 MOUNTAIN VILLAGE BLVD.</t>
  </si>
  <si>
    <t>Telluride</t>
  </si>
  <si>
    <t>NSHEEDY@TELLURIDESKIRESORT.COM</t>
  </si>
  <si>
    <t>TSG Ski and Golf, LLC</t>
  </si>
  <si>
    <t>Telluride Ski and Golf</t>
  </si>
  <si>
    <t>565 Mountain Village Blvd.</t>
  </si>
  <si>
    <t>Ski Instructor, Level III Certified</t>
  </si>
  <si>
    <t>565 Mountain Village Blvd</t>
  </si>
  <si>
    <t>*Job performed on 2000 skiable acres at resort*</t>
  </si>
  <si>
    <t>Chien</t>
  </si>
  <si>
    <t>P-100-21123-283567</t>
  </si>
  <si>
    <t xml:space="preserve"> Mika</t>
  </si>
  <si>
    <t xml:space="preserve">="Knowledge of and/or experience with (can be gained through education and/or experience): Data structures and algorithms; Command of one or more of Java, Python, or C++ programming language; Distributed systems; Software development experience with high </t>
  </si>
  <si>
    <t>May require up to 2% of international and domestic travel time.</t>
  </si>
  <si>
    <t>P-100-21141-333709</t>
  </si>
  <si>
    <t>Gurshaan</t>
  </si>
  <si>
    <t>Gurshaan.Chattha@Chugh.Com</t>
  </si>
  <si>
    <t>Chugh,LLP</t>
  </si>
  <si>
    <t xml:space="preserve">Software Engineer-Technical Lead  </t>
  </si>
  <si>
    <t>Logistics, Supply Chain Mgmt, Industrial Engineering or a related field</t>
  </si>
  <si>
    <t>Director, Supply Planning</t>
  </si>
  <si>
    <t>P-400-21125-288441</t>
  </si>
  <si>
    <t>Mylena</t>
  </si>
  <si>
    <t xml:space="preserve">ADMIN ASSIST </t>
  </si>
  <si>
    <t>2088 Albany HWY</t>
  </si>
  <si>
    <t>mylena@dawsontarp.com</t>
  </si>
  <si>
    <t>DAWSON TARPAULINS, INC</t>
  </si>
  <si>
    <t>Albany, GA</t>
  </si>
  <si>
    <t>Zealtech, Inc.</t>
  </si>
  <si>
    <t xml:space="preserve">Position requires 50% national travel.    </t>
  </si>
  <si>
    <t>39111 Paseo Padre Parkway, Suite 301</t>
  </si>
  <si>
    <t>GIORDANO</t>
  </si>
  <si>
    <t>EXECUTIVE DIRECTOR OF HOUSING SERVICES</t>
  </si>
  <si>
    <t>1 CUMBERLAND SQUARE</t>
  </si>
  <si>
    <t>SGIORDANO@CUBERLAND.EDU</t>
  </si>
  <si>
    <t>CUMBERLAND UNIVERSITY</t>
  </si>
  <si>
    <t>PINHO</t>
  </si>
  <si>
    <t>IZI</t>
  </si>
  <si>
    <t>IZI@PINHOLAW.COM</t>
  </si>
  <si>
    <t>PINHO LAW PLLC</t>
  </si>
  <si>
    <t>Residential Advisors</t>
  </si>
  <si>
    <t>HOUSING DIRECTOR</t>
  </si>
  <si>
    <t>P-400-21133-311072</t>
  </si>
  <si>
    <t>Dunne</t>
  </si>
  <si>
    <t>14850 West Highway 40</t>
  </si>
  <si>
    <t>dunnewaver1@bellsouth.net</t>
  </si>
  <si>
    <t>Wavertree Stables</t>
  </si>
  <si>
    <t>Stable Attendant</t>
  </si>
  <si>
    <t>14840 West Hwy. 40</t>
  </si>
  <si>
    <t>P-100-21133-311347</t>
  </si>
  <si>
    <t>JAMES VANARIA &amp; SONS LANDSCAPING INC.</t>
  </si>
  <si>
    <t>63 MILTON ST</t>
  </si>
  <si>
    <t>STONE MASON</t>
  </si>
  <si>
    <t>Irvington</t>
  </si>
  <si>
    <t>P-400-21132-308565</t>
  </si>
  <si>
    <t>Rosson</t>
  </si>
  <si>
    <t>156 Frontage Road</t>
  </si>
  <si>
    <t>Dunlap</t>
  </si>
  <si>
    <t>melissa@montesstone.com</t>
  </si>
  <si>
    <t>Montes Stone Products, LLC</t>
  </si>
  <si>
    <t>Quarry Helper</t>
  </si>
  <si>
    <t>Helpers--Extraction Workers</t>
  </si>
  <si>
    <t>Chattanooga, TN-GA</t>
  </si>
  <si>
    <t>P-400-21125-288629</t>
  </si>
  <si>
    <t>310 Staton Road</t>
  </si>
  <si>
    <t>hr@edgecombe.com</t>
  </si>
  <si>
    <t>Cotton Belt, INC</t>
  </si>
  <si>
    <t>Edgecombe Furniture</t>
  </si>
  <si>
    <t>Chia-Hsuan</t>
  </si>
  <si>
    <t>103 Oakmont Drive</t>
  </si>
  <si>
    <t>polly@fickeymartinezlaw.com</t>
  </si>
  <si>
    <t>Fickey Martinez Law Firm, P.L.L.C.</t>
  </si>
  <si>
    <t>Upholstery Technicians</t>
  </si>
  <si>
    <t xml:space="preserve">Head Maintenance </t>
  </si>
  <si>
    <t xml:space="preserve">310 Staton Road </t>
  </si>
  <si>
    <t>Greenville, NC</t>
  </si>
  <si>
    <t>P-400-21140-329884</t>
  </si>
  <si>
    <t>KENNEY</t>
  </si>
  <si>
    <t>2425 W. AMMANN RD.</t>
  </si>
  <si>
    <t>BULVERDE</t>
  </si>
  <si>
    <t>STEVE@JDKINC.COM</t>
  </si>
  <si>
    <t>JDK ASSOCIATES, INC.</t>
  </si>
  <si>
    <t>34 Briarcreek</t>
  </si>
  <si>
    <t>Whitesboro</t>
  </si>
  <si>
    <t>Sherman-Denison, TX</t>
  </si>
  <si>
    <t>Louchart</t>
  </si>
  <si>
    <t>40 General Warren Blvd.</t>
  </si>
  <si>
    <t>vlouchart@temenos.com</t>
  </si>
  <si>
    <t>Temenos USA, Inc.</t>
  </si>
  <si>
    <t>Business Solutions Manager</t>
  </si>
  <si>
    <t>101 Crawfords Corner Road</t>
  </si>
  <si>
    <t>#3131</t>
  </si>
  <si>
    <t>Holmdel</t>
  </si>
  <si>
    <t>Caregivers</t>
  </si>
  <si>
    <t>P-400-21154-365701</t>
  </si>
  <si>
    <t>SUITE 1600</t>
  </si>
  <si>
    <t>P-100-21125-288020</t>
  </si>
  <si>
    <t>Computer Science,Computer Information Systems,Engineering (Comp/Mech/Elec) or a related field.Foreign degree equivalent is acceptable.Will also accept any suitable combination of education,training an</t>
  </si>
  <si>
    <t>Computer Science,Computer Information Systems,Engineering(Comp/Mech/Elec) or related field.Foreign degree equivalent is acceptable.Will accept any suitable combination of education,training and/or exp</t>
  </si>
  <si>
    <t>3000 BAYPORT DRIVE, SUITE 840</t>
  </si>
  <si>
    <t>Spiridigliozzi</t>
  </si>
  <si>
    <t>Director, Human Resources, RD</t>
  </si>
  <si>
    <t>11 WEST 42ND STREET</t>
  </si>
  <si>
    <t>THEA.SPIRIDIGLIOZZI@MICHAELKORS.COM</t>
  </si>
  <si>
    <t>MACRIS</t>
  </si>
  <si>
    <t>JATAREMAE@FRAGOMEN.COM</t>
  </si>
  <si>
    <t>Infrastructure Cloud Engineer</t>
  </si>
  <si>
    <t>="Bachelor’s degree in Computer Science, Engineering or related field and three (3) years of experience in cloud technologies. 
Must have three (3) years of experience in the following:
1)	Supporting Windows Server OS
2)	Supporting Linux OS
3)	Scripting</t>
  </si>
  <si>
    <t>Director IT Infrastructure Engineering</t>
  </si>
  <si>
    <t>1 Meadowlands Plaza</t>
  </si>
  <si>
    <t>P-100-21125-288764</t>
  </si>
  <si>
    <t>17300 Chenal Parkway</t>
  </si>
  <si>
    <t>Ste 450</t>
  </si>
  <si>
    <t>Paladino and Company, P.A.</t>
  </si>
  <si>
    <t>Palco, Inc.</t>
  </si>
  <si>
    <t>jiarui@xielaw.com</t>
  </si>
  <si>
    <t>Xie Law Offices</t>
  </si>
  <si>
    <t>Electronic Engg., Computer Engg or Foreign equiv.</t>
  </si>
  <si>
    <t xml:space="preserve"> Occasional travel is required.  </t>
  </si>
  <si>
    <t>P-400-21138-322253</t>
  </si>
  <si>
    <t>P-100-21131-305434</t>
  </si>
  <si>
    <t>Ashika (cb/S2373)</t>
  </si>
  <si>
    <t>Chemistry, Polymer Chemistry or related field.</t>
  </si>
  <si>
    <t>="Bachelor’s degree or foreign equivalent in Chemistry, Polymer Chemistry or related field, and 4 years of experience in research in chemical field. 
Educational or experience background must include: 
1. Polymers and materials chemistry including desi</t>
  </si>
  <si>
    <t>P-400-21146-344842</t>
  </si>
  <si>
    <t xml:space="preserve">GROUNDSKEEPER </t>
  </si>
  <si>
    <t>="Experience must be verifiable.
Pre-hire drug test and background check, carried out equally between the U.S. workers and the H-2B workers.
Must be available to work split-shifts, nights, weekends &amp; holidays as needed. 
Must be able to lift, pull, push o</t>
  </si>
  <si>
    <t>P-100-21179-430868</t>
  </si>
  <si>
    <t>Parlavecchio</t>
  </si>
  <si>
    <t>718 Teaneck Road</t>
  </si>
  <si>
    <t>cparlavecchio@holyname.org</t>
  </si>
  <si>
    <t>Holy Name Medical Center</t>
  </si>
  <si>
    <t>Computer Science, Computer Engineering, Electronic Engineering, or related major.</t>
  </si>
  <si>
    <t>Director, Product Solutions</t>
  </si>
  <si>
    <t>P-100-21140-328353</t>
  </si>
  <si>
    <t>Production Superintendent</t>
  </si>
  <si>
    <t>Industrial, mechanical, or mechatronics engineering, or related</t>
  </si>
  <si>
    <t>1800 West Frank Avenue</t>
  </si>
  <si>
    <t>P-100-21169-409573</t>
  </si>
  <si>
    <t>8100 Tyler Blvd.</t>
  </si>
  <si>
    <t>P-100-21144-339543</t>
  </si>
  <si>
    <t>250 B &amp; Various unanticipated locations throughout the U.S</t>
  </si>
  <si>
    <t xml:space="preserve">DULLES </t>
  </si>
  <si>
    <t>Rajinder</t>
  </si>
  <si>
    <t>P-400-21140-329606</t>
  </si>
  <si>
    <t>Hill Country Smoked Meats, LLC</t>
  </si>
  <si>
    <t>Klein Smokehaus</t>
  </si>
  <si>
    <t>P-100-21173-417660</t>
  </si>
  <si>
    <t>Michel Kors USA, Inc.</t>
  </si>
  <si>
    <t>P-100-21140-331310</t>
  </si>
  <si>
    <t>Malini</t>
  </si>
  <si>
    <t>1920 Association Drive, Ste. 501</t>
  </si>
  <si>
    <t>IMMIGRATION@CLOUDBCLABS.COM</t>
  </si>
  <si>
    <t>Cloud BC Labs, Inc.</t>
  </si>
  <si>
    <t>RE: CLOUD BC LABS, INC.</t>
  </si>
  <si>
    <t>ACCOUNTS MANAGER</t>
  </si>
  <si>
    <t>1920 ASSOCIATION DRIVE, STE. 501</t>
  </si>
  <si>
    <t xml:space="preserve">RESTON </t>
  </si>
  <si>
    <t>P-400-21132-308587</t>
  </si>
  <si>
    <t>P-100-21132-306468</t>
  </si>
  <si>
    <t>Business Administration, Computer Science, Information Systems, Biomedical Technology, Public Health or related field of study</t>
  </si>
  <si>
    <t>="MINIMUM Education Experience Requirement: Master’s degree in Business Administration, Computer Science, Information Systems, Biomedical Technology, Public Health or related field of study AND Two (2) Years of experience in the job offered or related occ</t>
  </si>
  <si>
    <t>P-100-21137-317222</t>
  </si>
  <si>
    <t>Mgr, Human Resources</t>
  </si>
  <si>
    <t xml:space="preserve">Public Health, Data Science, Science, Statistics, Biomedical Engineering or related field. </t>
  </si>
  <si>
    <t>P-200-21153-362606</t>
  </si>
  <si>
    <t>Kids Depot of Otay Ranch</t>
  </si>
  <si>
    <t>Senior Interior Designer</t>
  </si>
  <si>
    <t xml:space="preserve">Bachelors Interior Design </t>
  </si>
  <si>
    <t xml:space="preserve">Senior Interior Designer </t>
  </si>
  <si>
    <t>CHULA VISTA</t>
  </si>
  <si>
    <t>FULL STACK ENGINEER</t>
  </si>
  <si>
    <t>8X8, Inc.</t>
  </si>
  <si>
    <t>Sr. Network Engineer</t>
  </si>
  <si>
    <t>Master’s degree or foreign equivalent in Computer Networking, Electrical Engineering, or a related field.</t>
  </si>
  <si>
    <t>="Skills with the following required: networking including LAN, WAN, and Wireless LAN; experience in following concepts TCP IP, subnetting, switching, routing, MPLS networks, and SD WAN; DNS, HTTP, LLDP, CDP, DHCP, NTP, and VLAN; advanced routing protocol</t>
  </si>
  <si>
    <t>P-100-21174-420468</t>
  </si>
  <si>
    <t>Senior Principal Operations Strategy</t>
  </si>
  <si>
    <t>Business Administration, Operations Management, Business Analytics, or a related field.</t>
  </si>
  <si>
    <t>="Six (6) years of progressively responsible experience in the job offered or related occupation:  participating in Lean, Six Sigma, and continuous improvement activities; setting vision and identifying strategic levers to attain vision, including convert</t>
  </si>
  <si>
    <t>="Four (4) years of experience in the job offered or related occupation:  participating in Lean, Six Sigma, and continuous improvement activities; setting vision and identifying strategic levers to attain vision, including converting strategies into initi</t>
  </si>
  <si>
    <t>Vice President, CSE Strategy and Operations</t>
  </si>
  <si>
    <t>P-400-21139-324799</t>
  </si>
  <si>
    <t>Roland</t>
  </si>
  <si>
    <t>1397 Skyview Drive</t>
  </si>
  <si>
    <t>SALT LAKE CIT</t>
  </si>
  <si>
    <t>westshanghai@yahoo.com</t>
  </si>
  <si>
    <t>Carbon Construction</t>
  </si>
  <si>
    <t>1397 E SKYVIEW DR</t>
  </si>
  <si>
    <t>3455 Brinker Ave</t>
  </si>
  <si>
    <t>Ogden</t>
  </si>
  <si>
    <t>Ogden-Clearfield, UT</t>
  </si>
  <si>
    <t>P-100-21175-424023</t>
  </si>
  <si>
    <t>Garth</t>
  </si>
  <si>
    <t>Sr. People Operations Associate</t>
  </si>
  <si>
    <t>One World Trade Center</t>
  </si>
  <si>
    <t>Suite 45A</t>
  </si>
  <si>
    <t>immigration@hyperscience.com</t>
  </si>
  <si>
    <t>Hyper Labs, Inc</t>
  </si>
  <si>
    <t>Hyperscience</t>
  </si>
  <si>
    <t>211 S Clark Street</t>
  </si>
  <si>
    <t>#735</t>
  </si>
  <si>
    <t>Computer Science and Mathematics, or related field</t>
  </si>
  <si>
    <t>="Master's degree in Computer Science and Mathematics, or related field plus 6 months of experience. Any amount of experience in: Experience utilizing analytical skills; Experience in modern ML/DL technologies for proven experience applying them to real-w</t>
  </si>
  <si>
    <t>P-100-21134-315763</t>
  </si>
  <si>
    <t>311 ARSENAL ST</t>
  </si>
  <si>
    <t>02472-2783</t>
  </si>
  <si>
    <t>eriley@liaisonedu.com</t>
  </si>
  <si>
    <t>Liaison International LLC</t>
  </si>
  <si>
    <t>P-400-21127-296310</t>
  </si>
  <si>
    <t>Law Offices of Malvern C. Burnett APLC</t>
  </si>
  <si>
    <t>P-400-21132-307205</t>
  </si>
  <si>
    <t>Gunnison</t>
  </si>
  <si>
    <t>PO Box 276</t>
  </si>
  <si>
    <t>Crown Point</t>
  </si>
  <si>
    <t>gunnisonorchards@gmail.com</t>
  </si>
  <si>
    <t xml:space="preserve">Gunnison Lakeshore Orchards, Inc. </t>
  </si>
  <si>
    <t>Reliable Labor Services, LLC</t>
  </si>
  <si>
    <t>Packers and Packagers</t>
  </si>
  <si>
    <t>3196 NYS RT 9N</t>
  </si>
  <si>
    <t>Capital/Northern New York nonmetropolitan area</t>
  </si>
  <si>
    <t>P-100-21173-417250</t>
  </si>
  <si>
    <t>P-400-21132-308262</t>
  </si>
  <si>
    <t>TOVAR RODRIGUEZ</t>
  </si>
  <si>
    <t>EDGARDO</t>
  </si>
  <si>
    <t>14047 MATHEWS DRIVE</t>
  </si>
  <si>
    <t>jsmith89@asu.edu</t>
  </si>
  <si>
    <t>MARVIN EDGARDO TOVAR RODRIGUEZ</t>
  </si>
  <si>
    <t>14047 MATHEWS DR</t>
  </si>
  <si>
    <t>JANET</t>
  </si>
  <si>
    <t>4270 JOHN MARR DRIVE</t>
  </si>
  <si>
    <t># 201</t>
  </si>
  <si>
    <t>PELE LAW OFFICES PLLC</t>
  </si>
  <si>
    <t>ONET</t>
  </si>
  <si>
    <t xml:space="preserve">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
  </si>
  <si>
    <t>P-100-21173-417571</t>
  </si>
  <si>
    <t xml:space="preserve">N&amp;R of Lincoln County, Inc </t>
  </si>
  <si>
    <t xml:space="preserve">De La Rosa King </t>
  </si>
  <si>
    <t xml:space="preserve">Karla </t>
  </si>
  <si>
    <t>Department of Computer Science</t>
  </si>
  <si>
    <t>P-100-21132-309293</t>
  </si>
  <si>
    <t>Technology Architect </t>
  </si>
  <si>
    <t xml:space="preserve">Bachelor's degree or foreign equivalent degree in Computer Science, Information and Communication Engineering or a related field plus five (5) years of experience in a related occupation. </t>
  </si>
  <si>
    <t>Sr Director, IT Architecture &amp; Engineering</t>
  </si>
  <si>
    <t>P-400-21153-362179</t>
  </si>
  <si>
    <t>="Requires physical stamina. Work is in adverse weather. Must lift and carry 50 lbs. Extensive walking over rough terrain.  Production standard of 2000 trees correctly planted per 8 hour day after one week of on the job training. Work schedule and locatio</t>
  </si>
  <si>
    <t>2239 Hollywood Dr</t>
  </si>
  <si>
    <t>Caminez-Bentley</t>
  </si>
  <si>
    <t>2618 Centennial Place</t>
  </si>
  <si>
    <t>abentley@lawfla.com</t>
  </si>
  <si>
    <t>Messer Caparello</t>
  </si>
  <si>
    <t>6965 PIAZZA GRANDE AVE</t>
  </si>
  <si>
    <t>GILBERT</t>
  </si>
  <si>
    <t>P-400-21141-334639</t>
  </si>
  <si>
    <t>magana</t>
  </si>
  <si>
    <t>francisco</t>
  </si>
  <si>
    <t>contractor</t>
  </si>
  <si>
    <t>8565 99th Ave.</t>
  </si>
  <si>
    <t>vero beach</t>
  </si>
  <si>
    <t xml:space="preserve">indian river </t>
  </si>
  <si>
    <t>fmworkforce20@gmail.com</t>
  </si>
  <si>
    <t>fun vest inc.</t>
  </si>
  <si>
    <t>3407 SE 108th Ave.</t>
  </si>
  <si>
    <t>portland</t>
  </si>
  <si>
    <t>multnomah</t>
  </si>
  <si>
    <t>FM WORK FORCE</t>
  </si>
  <si>
    <t>CARNIVAL WORKER</t>
  </si>
  <si>
    <t>washington and oregon</t>
  </si>
  <si>
    <t>3407 SE 108TH AVE.</t>
  </si>
  <si>
    <t>P-400-21144-339852</t>
  </si>
  <si>
    <t>Brehmer</t>
  </si>
  <si>
    <t>1000 Benstein Road</t>
  </si>
  <si>
    <t>Walled Lake</t>
  </si>
  <si>
    <t>frank@sueslandscaping.com</t>
  </si>
  <si>
    <t>Sue’s Landscaping, Inc.</t>
  </si>
  <si>
    <t>The H-2B Temporary Landscape Laborers will perform job duties at 1000 Benstein Road, Walled Lake, MI 48390 and at multiple worksites within the following counties: Oakland, Wayne, Macomb, Livingston and Washtenaw.
Employer will provide daily transportation from the headquarters at 1000 Benstein Road, Walled Lake, MI 48390 to and from worksites.</t>
  </si>
  <si>
    <t>P-400-21138-322082</t>
  </si>
  <si>
    <t>236 Mills Gap Road</t>
  </si>
  <si>
    <t>Fletcher</t>
  </si>
  <si>
    <t>Front Desk Clerk</t>
  </si>
  <si>
    <t>80 SW 8 STREET, SUITE 2810</t>
  </si>
  <si>
    <t>P-400-21153-362175</t>
  </si>
  <si>
    <t>P-400-21137-320439</t>
  </si>
  <si>
    <t>Ski/Snowboard Instructor, Level III</t>
  </si>
  <si>
    <t>General Manager, Ski and Snowboard School</t>
  </si>
  <si>
    <t>5001 Northstar Drive</t>
  </si>
  <si>
    <t>P-100-21134-316501</t>
  </si>
  <si>
    <t xml:space="preserve">ANN  ARBOR </t>
  </si>
  <si>
    <t>PROJECT MANAGERS</t>
  </si>
  <si>
    <t>SUITE 370 &amp; Various unanticipated locations throughout the U.S.</t>
  </si>
  <si>
    <t>THE PRINCIPAL CONSULTING INC.</t>
  </si>
  <si>
    <t>P-400-21141-335005</t>
  </si>
  <si>
    <t>Pate</t>
  </si>
  <si>
    <t>201 Center Street</t>
  </si>
  <si>
    <t>Dundee</t>
  </si>
  <si>
    <t>adam.pate@statewideharvesting.com</t>
  </si>
  <si>
    <t>Statewide Harvesting &amp; Hauling LLC</t>
  </si>
  <si>
    <t>Agricultural Equipment Mechanic</t>
  </si>
  <si>
    <t>="Must have a valid commercial drivers license or above, pass a required drivers license background check and mandated drug and alcohol test. Agricultural equipment mechanics must have and maintain a suitable driving record, and be insured by the employer</t>
  </si>
  <si>
    <t>SOME TRAVEL TO FIELD SITES WHICH ARE NOT WORK SITES AS DEFINED BY LAW. TRAVEL IS INFREQUENT AND SPORADIC.</t>
  </si>
  <si>
    <t>201 CENTER STREET</t>
  </si>
  <si>
    <t>Newport</t>
  </si>
  <si>
    <t>P-100-21148-352636</t>
  </si>
  <si>
    <t>tarunpal@dhillon@fragomen.com</t>
  </si>
  <si>
    <t>Software Engineer, Fleet Management</t>
  </si>
  <si>
    <t>Master’s degree in Robotics Engineering, Computer Science, or a closely related field.</t>
  </si>
  <si>
    <t>="Master’s degree in Robotics Engineering, Computer Science, or a closely related field.
Requires two years of experience in a robotics engineering position. Experience must include: building robotics applications that involve planning, navigation, and hu</t>
  </si>
  <si>
    <t>P-400-21153-363339</t>
  </si>
  <si>
    <t>Dean III</t>
  </si>
  <si>
    <t>15 Pine Street</t>
  </si>
  <si>
    <t>Seabrook</t>
  </si>
  <si>
    <t>ejd@fiestashows.com</t>
  </si>
  <si>
    <t>Wacky Worm of NH, Inc.</t>
  </si>
  <si>
    <t>32 Stard Road</t>
  </si>
  <si>
    <t>Ste 1100</t>
  </si>
  <si>
    <t>P-400-21125-289715</t>
  </si>
  <si>
    <t>SOUTHEAST UTILITY CONSTRUCTION, LLC.</t>
  </si>
  <si>
    <t>128 AIRPORT INDUSTRIAL DRIVE, SUITE 101</t>
  </si>
  <si>
    <t>Charlotte-Concord-Gastonia, NC-SC</t>
  </si>
  <si>
    <t>P-400-21147-348170</t>
  </si>
  <si>
    <t>BELLIVEAU</t>
  </si>
  <si>
    <t>FOOD AND BEVERAGE DIRECTOR</t>
  </si>
  <si>
    <t>1403 Glen Eagle Blvd.</t>
  </si>
  <si>
    <t>GLEN EAGLE GOLF &amp; COUNTRY CLUB, INC.</t>
  </si>
  <si>
    <t>="Experience must be verifiable
Must be available to work split-shifts, nights, weekends &amp; holidays as needed. 
Must be able to lift, pull, push or carry up to 25 lbs or more, and walk or stand for long periods of time. 
Professional appearance, articulat</t>
  </si>
  <si>
    <t>P-400-21153-363642</t>
  </si>
  <si>
    <t>1547 E Park Avenue</t>
  </si>
  <si>
    <t>economic.concrete09@gmail.com</t>
  </si>
  <si>
    <t>Economic Concrete Services, Inc.</t>
  </si>
  <si>
    <t>1515 Linden Street</t>
  </si>
  <si>
    <t>solutionslawiowa@gmail.com</t>
  </si>
  <si>
    <t>Solutions Law Firm PLC</t>
  </si>
  <si>
    <t>="Must be able to lift and carry 60 pounds 75 yards. Must be able to perform physical activities such as lift, walk, stoop, bend, push, and pull.  Work is outdoors, exposed to weather. Must be capable of doing physically strenuous labor for long hours, oc</t>
  </si>
  <si>
    <t>Will travel to worksites within the Des Moines-West Des Moines, IA BLS area.</t>
  </si>
  <si>
    <t>1600 E Madison Avenue</t>
  </si>
  <si>
    <t>Deepak</t>
  </si>
  <si>
    <t>P-100-21146-346983</t>
  </si>
  <si>
    <t>Walvekar</t>
  </si>
  <si>
    <t>Eryne</t>
  </si>
  <si>
    <t xml:space="preserve">="Four years of experience in: DB2, Oracle; AS00 (iSeries); RPG, RPG ILE, and SQLRPGLE; Manhattan WMI, Sterling OMS, and Mark Magic; DBU, X-Analysis, and Service-Now; and MQ Series, FTP, Webservice, and User Space.
Any suitable combination of education, </t>
  </si>
  <si>
    <t>P-100-21133-311570</t>
  </si>
  <si>
    <t>="MINIMUM REQUIREMENTS:
Education: Bachelor’s degree or foreign equivalent in Computer Science, Information Technology, Engineering, or a related field.
Experience: 3 years of experience in the job offered or a related position.
SPECIAL SKILLS:
- 3 y</t>
  </si>
  <si>
    <t>P-100-21137-317279</t>
  </si>
  <si>
    <t>Sandra@GoldLawOffices.com</t>
  </si>
  <si>
    <t>DDS or DMD degree</t>
  </si>
  <si>
    <t>P-400-21152-359118</t>
  </si>
  <si>
    <t>BLANKENSHIP</t>
  </si>
  <si>
    <t>550 Montgomery Hwy</t>
  </si>
  <si>
    <t>Vestavia Hills</t>
  </si>
  <si>
    <t>pblankenship@landscapeworkshop.com</t>
  </si>
  <si>
    <t>Landscape Workshop LLC</t>
  </si>
  <si>
    <t>TRANSPORTATION PROVIDED FROM CENTRAL LOCATION TO MULTIPLE JOB SITES.</t>
  </si>
  <si>
    <t>1116 Manchester Street</t>
  </si>
  <si>
    <t>="Four (4) years of experience in the job offered or related occupation:  utilizing observability tools, including AppDynamics and CatchPoint; analyzing and reviewing code for changes; troubleshooting and proposing fixes for outages; utilizing database te</t>
  </si>
  <si>
    <t>P-400-21153-363650</t>
  </si>
  <si>
    <t>HALILI</t>
  </si>
  <si>
    <t>103 AVENUE C AND 1ST STREET</t>
  </si>
  <si>
    <t>SAN LEON</t>
  </si>
  <si>
    <t>cincovis@gmail.com</t>
  </si>
  <si>
    <t>COASTAL EMPLOYMENT AGENCY INC.</t>
  </si>
  <si>
    <t>PRESTIGE OSYTERS</t>
  </si>
  <si>
    <t>5717 Hidden Oaks Drive</t>
  </si>
  <si>
    <t>cincovis@hotmail.com</t>
  </si>
  <si>
    <t>C.L.C. Labor Services</t>
  </si>
  <si>
    <t>Oyster Shucker</t>
  </si>
  <si>
    <t>103 Avenue C and 1st Street</t>
  </si>
  <si>
    <t>P-400-21133-312084</t>
  </si>
  <si>
    <t>10301 North I-35 Service Rd</t>
  </si>
  <si>
    <t>Mailing: P.O. Box 352 , Arcadia, OK 73007</t>
  </si>
  <si>
    <t>Picture Perfect Lawns, Inc.</t>
  </si>
  <si>
    <t>10301 North I-35 Service Rd,</t>
  </si>
  <si>
    <t>P-100-21125-288914</t>
  </si>
  <si>
    <t>13-2051.00; 13-2051.00; 13-2051.00</t>
  </si>
  <si>
    <t>Financial Analysts; Financial Analysts; Financial Analysts</t>
  </si>
  <si>
    <t>Langdon</t>
  </si>
  <si>
    <t>mithuu1@gmail.com</t>
  </si>
  <si>
    <t>Gharti-Chhetry</t>
  </si>
  <si>
    <t>41-2011.00; 53-7071.00</t>
  </si>
  <si>
    <t>Cashiers; Gas Compressor and Gas Pumping Station Operators</t>
  </si>
  <si>
    <t>Ruther Glen</t>
  </si>
  <si>
    <t>1629 K STREET NW,,</t>
  </si>
  <si>
    <t>P-400-21130-300044</t>
  </si>
  <si>
    <t>354 West Main Street</t>
  </si>
  <si>
    <t>Thibodaux</t>
  </si>
  <si>
    <t>rforet@foretgroup.com</t>
  </si>
  <si>
    <t>Foret Contracting Group, LLC</t>
  </si>
  <si>
    <t>P-400-21133-312105</t>
  </si>
  <si>
    <t>="The Petitioner will consider for employment any person who possesses at least one (1) year of service experience in a fine-dining or high-volume environment at a high-end restaurant, resort, or private club required.  
Applicant must pass pre-employmen</t>
  </si>
  <si>
    <t>P-100-21173-419721</t>
  </si>
  <si>
    <t>Computer Science, Engineering (any) or a related field</t>
  </si>
  <si>
    <t>="Master’s degree* in Computer Science, Engineering (any) or a related field. Two years’ experience as a senior software engineer, or related
1. Requirement gathering, design and development of:
- data import and processing frameworks for processing tim</t>
  </si>
  <si>
    <t>8515 East Orchard Rd</t>
  </si>
  <si>
    <t>MISSISSIPPI BAPTIST MEDICAL CENTER</t>
  </si>
  <si>
    <t>1225 NORTH STATE STREET</t>
  </si>
  <si>
    <t>INTERNAL MEDICINE PHYSICIAN</t>
  </si>
  <si>
    <t>P-400-21152-359838</t>
  </si>
  <si>
    <t>10800 Lanham Severn Rd</t>
  </si>
  <si>
    <t>ARTISTIC SNOW, LLC</t>
  </si>
  <si>
    <t>TRANSPORTATION PROVIDED TO/FROM PRINCE GEORGES COUNTY PICK UP LOCATION.</t>
  </si>
  <si>
    <t>P-203-21154-365817</t>
  </si>
  <si>
    <t>Hirshman</t>
  </si>
  <si>
    <t>1155 4th St.</t>
  </si>
  <si>
    <t>Apt 332</t>
  </si>
  <si>
    <t>jason@uncountable.com</t>
  </si>
  <si>
    <t xml:space="preserve">Uncountable Inc. </t>
  </si>
  <si>
    <t>415 Brannan St.</t>
  </si>
  <si>
    <t>engineering discipline</t>
  </si>
  <si>
    <t>P-100-21138-321986</t>
  </si>
  <si>
    <t>P-400-21153-363590</t>
  </si>
  <si>
    <t>Halili</t>
  </si>
  <si>
    <t>P O Box 8448</t>
  </si>
  <si>
    <t>PRESTIGE OYSTERS</t>
  </si>
  <si>
    <t>103 Avenue  C and 1st Street</t>
  </si>
  <si>
    <t>915 BROADWAY</t>
  </si>
  <si>
    <t>PORT LAVACA</t>
  </si>
  <si>
    <t>Coastal Plains Region of Texas nonmetropolitan area</t>
  </si>
  <si>
    <t xml:space="preserve">Product Manager, Engineering </t>
  </si>
  <si>
    <t>Baolin</t>
  </si>
  <si>
    <t>1255 NW 9th Ave.</t>
  </si>
  <si>
    <t>baolinchen@usworkingvisa.com</t>
  </si>
  <si>
    <t>ANTONIO</t>
  </si>
  <si>
    <t>RENEE</t>
  </si>
  <si>
    <t>P-100-21146-345873</t>
  </si>
  <si>
    <t>P-400-21132-307093</t>
  </si>
  <si>
    <t>Dietz</t>
  </si>
  <si>
    <t>2300 N. Scenic Highway</t>
  </si>
  <si>
    <t>P.O. Box 832</t>
  </si>
  <si>
    <t>lmcauley@mountainlakecc.com</t>
  </si>
  <si>
    <t>Mountain Lake Corporation</t>
  </si>
  <si>
    <t>P-400-21146-345837</t>
  </si>
  <si>
    <t>BAKKAR</t>
  </si>
  <si>
    <t>ABDELMEJID</t>
  </si>
  <si>
    <t>500 NASSAU ROAD</t>
  </si>
  <si>
    <t xml:space="preserve">ISLAND COUNTRY CLUB INC </t>
  </si>
  <si>
    <t xml:space="preserve">CFO </t>
  </si>
  <si>
    <t>P-100-21160-381800</t>
  </si>
  <si>
    <t>Software Engineer **** ML59570A KRANTZ</t>
  </si>
  <si>
    <t>Computer Science, Engineering, Mathematics, Infor.mation Systems, Physics or a related field.</t>
  </si>
  <si>
    <t>Gay</t>
  </si>
  <si>
    <t>P-400-21147-351234</t>
  </si>
  <si>
    <t>WELLS</t>
  </si>
  <si>
    <t>ROB</t>
  </si>
  <si>
    <t>13771 WATERFRONT DRIVE</t>
  </si>
  <si>
    <t>BOKEELIA</t>
  </si>
  <si>
    <t>TARPON LODGE LLC</t>
  </si>
  <si>
    <t xml:space="preserve">13771 WATERFRONT DRIVE </t>
  </si>
  <si>
    <t>P-400-21144-337417</t>
  </si>
  <si>
    <t>515 Industrial Dr.</t>
  </si>
  <si>
    <t>Rockmart</t>
  </si>
  <si>
    <t>twelch@deepsouthind.com</t>
  </si>
  <si>
    <t>Deep South Industrial Services, Inc.</t>
  </si>
  <si>
    <t xml:space="preserve"> Industrial Cleaning Laborer</t>
  </si>
  <si>
    <t>Typical is on a week to week basis with one week per site. Regular (sporadic events of visit but at least once a year)  sites of ours include: Savannah, GA / Augusta, GA / Macon, GA / Richmond, VA / Birmingham, AL / Roanoke, VA / Decatur, AL / Cumberland City, TN / Jacksonville, FL / St. Augustine, FL / Panama City, FL / Hodge, LA</t>
  </si>
  <si>
    <t>P-100-21138-323286</t>
  </si>
  <si>
    <t>1510 Brookhollow Dr.</t>
  </si>
  <si>
    <t>P-100-21169-409686</t>
  </si>
  <si>
    <t>P-100-21175-424624</t>
  </si>
  <si>
    <t xml:space="preserve">230 Pine Street </t>
  </si>
  <si>
    <t xml:space="preserve">Unit A </t>
  </si>
  <si>
    <t xml:space="preserve">Santa Monica </t>
  </si>
  <si>
    <t xml:space="preserve">600 Low Street </t>
  </si>
  <si>
    <t xml:space="preserve">Regional Program Director/Global Head Functional Safety </t>
  </si>
  <si>
    <t>="From boxes F.b.1.b and F.b.4.b: Minimum Requirements: Minimum Bachelor’s Degree in Electrical Engineering or related field; or foreign degree equivalent plus 5 years of experience in Testing, Inspection and Certification (TIC).
Must have engineering ex</t>
  </si>
  <si>
    <t xml:space="preserve">88 Lawn Avenue </t>
  </si>
  <si>
    <t>P-400-21152-359383</t>
  </si>
  <si>
    <t>1440 Coronel Dr</t>
  </si>
  <si>
    <t>Texian Light &amp; Landscapes LLC</t>
  </si>
  <si>
    <t>immigrationl@fisherbroyles.com</t>
  </si>
  <si>
    <t xml:space="preserve">Field Supervisor </t>
  </si>
  <si>
    <t>TRANSPORTATION PROVIDED TO/FROM AN EL PASO COUNTY PICK UP LOCATION</t>
  </si>
  <si>
    <t>1440 CORONEL DR</t>
  </si>
  <si>
    <t>226 Airport Pkwy</t>
  </si>
  <si>
    <t>Virsec Systems Inc.</t>
  </si>
  <si>
    <t xml:space="preserve">Solution Architect </t>
  </si>
  <si>
    <t>Virsec Systems, Inc.</t>
  </si>
  <si>
    <t>226 Airport Pkwy, Suite 350</t>
  </si>
  <si>
    <t>P-100-21125-287461</t>
  </si>
  <si>
    <t>Senior Systems Developer – Java Apps</t>
  </si>
  <si>
    <t>="Must have 8 years of experience in systems development positions with the following: Performing software development using Java EE; Utilizing Spring framework; Developing eCommerce websites in SAP Hybris; Developing in SAP Commerce Cloud; Utilizing tran</t>
  </si>
  <si>
    <t>P-400-21140-331262</t>
  </si>
  <si>
    <t>P-400-21154-365653</t>
  </si>
  <si>
    <t>720 Olive Way</t>
  </si>
  <si>
    <t>P-400-21124-286187</t>
  </si>
  <si>
    <t>7133 W. CARIBBEAN LN.</t>
  </si>
  <si>
    <t>sanderschefs@gmail.com</t>
  </si>
  <si>
    <t>B &amp; J CONCESSIONS LLC</t>
  </si>
  <si>
    <t>B &amp; J CONCESSIONS</t>
  </si>
  <si>
    <t>="THE JOB REQUIRES THAT THE APPLICANT BE QUALIFIED, READY, WILLING, ABLE, AND AVAILABLE TO PERFORM DURING THE ENTIRE EMPLOYMENT AT THE DESIGNATED WORKSITES UNDER ADVERSE WEATHER; TO ENTER INTO AND COMPLY WITH EMPLOYMENT CONTRACTS; TO FOLLOW WORKPLACE RULE</t>
  </si>
  <si>
    <t>EMPLOYER IS AN OUTDOOR TRAVELING CONCESSION PROVIDER WITH TRAVEL REQUIRED FROM EVENT LOCATION TO EVENT LOCATION. HOUSING AND
TRANSPORTATION TO/FROM EACH EVENT LOCATION OFFERED TO ALL EMPLOYEES UNDER THIS JOB OFFER. EMPLOYER MAKES AVAILABLE TRANSPORTATION FROM VENUE TO VENUE</t>
  </si>
  <si>
    <t>P-400-21140-331648</t>
  </si>
  <si>
    <t>ISLAND COUNTRY CLUB INC</t>
  </si>
  <si>
    <t>P-400-21152-357999</t>
  </si>
  <si>
    <t>Blower</t>
  </si>
  <si>
    <t>1151 West Chester Pike</t>
  </si>
  <si>
    <t>CPM Landscaping, Inc.</t>
  </si>
  <si>
    <t>1151 West Chester Pike,</t>
  </si>
  <si>
    <t>P-100-21125-287985</t>
  </si>
  <si>
    <t>Management Information Systems or a related field</t>
  </si>
  <si>
    <t>P-100-21138-324391</t>
  </si>
  <si>
    <t>dhale@ipcoop.com</t>
  </si>
  <si>
    <t>Independent Purchasing Cooperative</t>
  </si>
  <si>
    <t>Occasional travel to Milford, Connecticut, 2 to 4 times per year, amounting to no more than 5% of total time. Relocation is not requred.</t>
  </si>
  <si>
    <t>P-400-21133-309921</t>
  </si>
  <si>
    <t>Ilhyun</t>
  </si>
  <si>
    <t>314 East Highland Mall Boulevard Suite 406</t>
  </si>
  <si>
    <t>william@wjanglaw.com</t>
  </si>
  <si>
    <t>P-100-21145-343453</t>
  </si>
  <si>
    <t>LINDSAY</t>
  </si>
  <si>
    <t>16431 SCIENTIFIC WAY</t>
  </si>
  <si>
    <t>BLINDSAY@ULTRASYSTEMS.COM</t>
  </si>
  <si>
    <t>ULTRASYSTEMS ENVIRONMENTAL, INC.</t>
  </si>
  <si>
    <t>RE: ULTRASYSTEMS</t>
  </si>
  <si>
    <t>GIS ANALYST</t>
  </si>
  <si>
    <t>="Qualified applicants must also have demonstrable proficiency, skill, experience, and knowledge with the following:
1.	GIS software including ArcGIS and Trimble Pathfinder Office
2.	Coordinate and direct both large/small-scale surveys, testing programs,</t>
  </si>
  <si>
    <t>Geographic Information Systems Technicians</t>
  </si>
  <si>
    <t>GIS MANAGER</t>
  </si>
  <si>
    <t>StubHub, Inc.</t>
  </si>
  <si>
    <t>="Master’s degree, or foreign equivalent, in Computer Science, Software Engineering, or closely related quantitative discipline plus two (2) years of experience in the job offered or two (2) years of experience in the field of software engineering or prog</t>
  </si>
  <si>
    <t>3rd Flr.</t>
  </si>
  <si>
    <t>P-100-21146-344376</t>
  </si>
  <si>
    <t>Karpenko</t>
  </si>
  <si>
    <t>Valentin</t>
  </si>
  <si>
    <t>COMPUTER SCIENCE, ENGINEERING (ANY), MATHEMATICS, BUSINESS ADMINISTRATION, OR RELATED FIELD.</t>
  </si>
  <si>
    <t>="MUST HAVE A MASTER'S DEGREE (OR FOREIGN EQUIVALENT) IN COMPUTER SCIENCE, ENGINEERING (ANY), MATHEMATICS, BUSINESS ADMINISTRATION, OR RELATED FIELD, PLUS TWO (2) YEARS OF EXPERIENCE IN THE IT FIELD AS A MANAGER - CLIENT SERVICES, ASSOCIATE MANAGER, ASSOC</t>
  </si>
  <si>
    <t>TRAVEL REQUIRED.</t>
  </si>
  <si>
    <t>West Columbia</t>
  </si>
  <si>
    <t>P-400-21159-379116</t>
  </si>
  <si>
    <t>9725 York Seafood Ln.</t>
  </si>
  <si>
    <t>PO Box 88, Topping, Virginia 23169</t>
  </si>
  <si>
    <t>114 Lexington Turnpike</t>
  </si>
  <si>
    <t>Phoenix Labor Consultants</t>
  </si>
  <si>
    <t xml:space="preserve">JENNIFER </t>
  </si>
  <si>
    <t>P-100-21169-409543</t>
  </si>
  <si>
    <t>P-100-21146-344567</t>
  </si>
  <si>
    <t>P-100-21166-398424</t>
  </si>
  <si>
    <t>P-400-21149-355868</t>
  </si>
  <si>
    <t>IRMA</t>
  </si>
  <si>
    <t>2271 GOOSE LAKE ROAD</t>
  </si>
  <si>
    <t>CAHOKIA</t>
  </si>
  <si>
    <t>I &amp; G PROPERTIES LLC</t>
  </si>
  <si>
    <t xml:space="preserve">2271 GOOSE LAKE ROAD </t>
  </si>
  <si>
    <t xml:space="preserve">MULTIPLE SITES IN ST CLAIR COUNTY </t>
  </si>
  <si>
    <t>P-400-21145-341961</t>
  </si>
  <si>
    <t>Woolery</t>
  </si>
  <si>
    <t>Carren</t>
  </si>
  <si>
    <t>461 W. Crogan Street</t>
  </si>
  <si>
    <t>info@tenderhandsga.com</t>
  </si>
  <si>
    <t>TENDER HANDS PRIVATE HOME CARE</t>
  </si>
  <si>
    <t xml:space="preserve">Norcross </t>
  </si>
  <si>
    <t>P-100-21173-417922</t>
  </si>
  <si>
    <t>Director HR</t>
  </si>
  <si>
    <t>Software Engineering, Information Technology, Electrical Engineering, Systems Engineering, Computer Science or Computer Engineering</t>
  </si>
  <si>
    <t>Section Manager Software Engineering</t>
  </si>
  <si>
    <t>Require 25% travel of which 5% domestic and 20% international.</t>
  </si>
  <si>
    <t>P-100-21179-430786</t>
  </si>
  <si>
    <t xml:space="preserve">China Bistro &amp; Sushi LLC </t>
  </si>
  <si>
    <t>5650  Stirling Rd #8 and #9</t>
  </si>
  <si>
    <t>P-400-21151-356707</t>
  </si>
  <si>
    <t>Beckwith</t>
  </si>
  <si>
    <t>690 Hendrix Rd.</t>
  </si>
  <si>
    <t>Kilmichael</t>
  </si>
  <si>
    <t>rbeckwith8401@gmail.com</t>
  </si>
  <si>
    <t>Beckwith Forestry, Inc.</t>
  </si>
  <si>
    <t>630 Hendrix Rd.</t>
  </si>
  <si>
    <t>Schwindaman</t>
  </si>
  <si>
    <t>Fredrick</t>
  </si>
  <si>
    <t>112 Byram Parkway</t>
  </si>
  <si>
    <t>Byram</t>
  </si>
  <si>
    <t>dschwin@msn.com</t>
  </si>
  <si>
    <t>Schwindaman Law Firm PLLC</t>
  </si>
  <si>
    <t>Northwest Mississippi nonmetropolitan area</t>
  </si>
  <si>
    <t>1065 Bucks Lake Road</t>
  </si>
  <si>
    <t>Plumas District Hospital</t>
  </si>
  <si>
    <t>kleinvisas@gmail.com</t>
  </si>
  <si>
    <t>Chesterland</t>
  </si>
  <si>
    <t>P-400-21126-293122</t>
  </si>
  <si>
    <t>="MUST BE ABLE TO LIFT UP 50 LBS TO 60 LBS, WALK, BEND, STOOP, REACH OVERHEAD OR GROUND LEVEL, KNEEL, STAND FOR PROLONGED PERIODS OF TIME, ABOUT TO WORK IN EXTREME HEAT, COLD OR WET CONDITIONS
3 MONTHS FORKLIFT OPERATIONS
ONCE HIRED MAY BE REQUIRED TO T</t>
  </si>
  <si>
    <t>will travel between two location 
5340 Hwy 84 Vidalia, LA 71373
6062 Hwy 129 Monterey LA 71354</t>
  </si>
  <si>
    <t>6062 Hwy 129 Monterey LA 71354</t>
  </si>
  <si>
    <t>Northeast Louisiana nonmetropolitan area</t>
  </si>
  <si>
    <t>Sr. Operations and HR Manager</t>
  </si>
  <si>
    <t>7388 S. Revere Parkway</t>
  </si>
  <si>
    <t>Suite 901</t>
  </si>
  <si>
    <t>Bioinformatics Applications Scientist II</t>
  </si>
  <si>
    <t>Manager, Life Sciences Support</t>
  </si>
  <si>
    <t>P-400-21130-300974</t>
  </si>
  <si>
    <t>DAY</t>
  </si>
  <si>
    <t>PO BOX 273</t>
  </si>
  <si>
    <t>melissakoskoski5@gmail.com</t>
  </si>
  <si>
    <t>DAY LANDSCAPING INSTALLS</t>
  </si>
  <si>
    <t>375 VANKIRK RIDGE RD</t>
  </si>
  <si>
    <t>375 VANKIRK RIDGE ROAD</t>
  </si>
  <si>
    <t>Pittsburgh, PA</t>
  </si>
  <si>
    <t>P-100-21141-332811</t>
  </si>
  <si>
    <t>Consumer Goods and Retail</t>
  </si>
  <si>
    <t>P-100-21137-318682</t>
  </si>
  <si>
    <t>SOUZA</t>
  </si>
  <si>
    <t>DARLEEN</t>
  </si>
  <si>
    <t>Senior Vice President/CHRO Human Resources</t>
  </si>
  <si>
    <t>43 NEW SCOTLAND AVE</t>
  </si>
  <si>
    <t>SouzaD@amc.edu</t>
  </si>
  <si>
    <t>1217 West 7th Street</t>
  </si>
  <si>
    <t>CLINICAL LABORATORY TECHNOLOGIST I</t>
  </si>
  <si>
    <t>Medical/ Clinical Laboratory Technology</t>
  </si>
  <si>
    <t>="A Clinical Laboratory Technologist must meet New York State Education Department’s requirements for Clinical Laboratory Technologist. This technologist position requires a Bachelor’s degree or foreign equivalent degree in Medical Technology, Clinical La</t>
  </si>
  <si>
    <t>43 New Scotland Avenue</t>
  </si>
  <si>
    <t>P-400-21127-295533</t>
  </si>
  <si>
    <t>Dobbs</t>
  </si>
  <si>
    <t>9330 Maloney Road</t>
  </si>
  <si>
    <t>Mailing: PO Box 34156 , Indianapolis, IN 46234</t>
  </si>
  <si>
    <t>Brownsburg</t>
  </si>
  <si>
    <t>Franco Landscaping Inc.</t>
  </si>
  <si>
    <t>400 Preston Ave STE 300</t>
  </si>
  <si>
    <t>9330 Maloney Rd.</t>
  </si>
  <si>
    <t>P-400-21142-336064</t>
  </si>
  <si>
    <t>H2 VISA CONSULTANTS LLC</t>
  </si>
  <si>
    <t>123 US HWY 81 NE</t>
  </si>
  <si>
    <t>P-100-21139-326601</t>
  </si>
  <si>
    <t xml:space="preserve">555 Montgomery Street </t>
  </si>
  <si>
    <t>P-100-21174-421009</t>
  </si>
  <si>
    <t>P-100-21154-365290</t>
  </si>
  <si>
    <t xml:space="preserve">Fortuna </t>
  </si>
  <si>
    <t>750 East Main St.</t>
  </si>
  <si>
    <t>Rollease Acmedca Inc.</t>
  </si>
  <si>
    <t>Product Manager - Motorization</t>
  </si>
  <si>
    <t>Senior Product Manager - Automate</t>
  </si>
  <si>
    <t xml:space="preserve">Domestic (U.S.) travel 10-20% to assist with trade shows, customer visits, and field site visits. </t>
  </si>
  <si>
    <t>P-100-21168-408208</t>
  </si>
  <si>
    <t>Solutions Designer</t>
  </si>
  <si>
    <t>P-400-21133-310939</t>
  </si>
  <si>
    <t>Brandy</t>
  </si>
  <si>
    <t>4197 Steadman Road</t>
  </si>
  <si>
    <t>Tallapoosa</t>
  </si>
  <si>
    <t>Vin Woods, LLC</t>
  </si>
  <si>
    <t>169 Weyerhaeuser Road (report to work)</t>
  </si>
  <si>
    <t>Augusta-Richmond County, GA-SC</t>
  </si>
  <si>
    <t>P-100-21138-320732</t>
  </si>
  <si>
    <t xml:space="preserve">IT SDE (Software Engineer) </t>
  </si>
  <si>
    <t>P-100-21132-306462</t>
  </si>
  <si>
    <t>="MINIMUM Education &amp; Experience Requirement: Bachelor’s degree in Business Administration, Computer Science, Information Systems, Biomedical Technology, Public Health or related field of study AND Five (5) Years of experience in the job offered or relate</t>
  </si>
  <si>
    <t>P-200-21179-429888</t>
  </si>
  <si>
    <t>Martinez Law Group</t>
  </si>
  <si>
    <t>Required to major in Law and study Immigration Law</t>
  </si>
  <si>
    <t>P-400-21134-315403</t>
  </si>
  <si>
    <t>Rie</t>
  </si>
  <si>
    <t>7 Cole Drive</t>
  </si>
  <si>
    <t>poulard.donna@gmail.com</t>
  </si>
  <si>
    <t>Nicholas Frederick Rie</t>
  </si>
  <si>
    <t>7 Cole drive</t>
  </si>
  <si>
    <t>P-400-21125-287400</t>
  </si>
  <si>
    <t xml:space="preserve">DRUMMOND </t>
  </si>
  <si>
    <t>MARYUM</t>
  </si>
  <si>
    <t>2471 OLD SEWELL</t>
  </si>
  <si>
    <t xml:space="preserve">MARRIETTA </t>
  </si>
  <si>
    <t>info@vsc-logistics.com</t>
  </si>
  <si>
    <t>Veterans Shippers Carrier</t>
  </si>
  <si>
    <t>VSC LOGISTICS</t>
  </si>
  <si>
    <t xml:space="preserve">2761 OLD SEWELL </t>
  </si>
  <si>
    <t>MARRIETTA</t>
  </si>
  <si>
    <t>DRIVER</t>
  </si>
  <si>
    <t>MAINLAND USA</t>
  </si>
  <si>
    <t xml:space="preserve">0 REGAN </t>
  </si>
  <si>
    <t xml:space="preserve">DOUGLASVILLE </t>
  </si>
  <si>
    <t>P-100-21127-296387</t>
  </si>
  <si>
    <t>Mattia</t>
  </si>
  <si>
    <t>West Tennessee nonmetropolitan area</t>
  </si>
  <si>
    <t>P-100-21123-282534</t>
  </si>
  <si>
    <t>See Addendum*</t>
  </si>
  <si>
    <t>="* Continued from F.b.1.b. &amp; F.c.2.b: Master's degree in Computer Science, Computer Information Systems, Engineering (Comp/Mech/Elec) or a related field plus 2 years of experience. In lieu of the above, we will also accept a Bachelor's degree in Computer</t>
  </si>
  <si>
    <t>Other unanticipated locations across the U.S.***</t>
  </si>
  <si>
    <t>P-100-21132-307733</t>
  </si>
  <si>
    <t>P-100-21137-318580</t>
  </si>
  <si>
    <t xml:space="preserve">Salinas </t>
  </si>
  <si>
    <t>322 S Michigan Avenue</t>
  </si>
  <si>
    <t>Information Technology, Electronics Engineering or related field</t>
  </si>
  <si>
    <t>="Required skills: 2 years with each: EPIC implementation, configuration and testing; EPIC: Cadence, Grand Central, Prelude; post-production build support; gather requirements from end-users to understand workflows and develop system support. Background a</t>
  </si>
  <si>
    <t>680 N Lake Shore Drive</t>
  </si>
  <si>
    <t>P-400-21152-359002</t>
  </si>
  <si>
    <t>Potter Jr</t>
  </si>
  <si>
    <t>2903 Ann St.</t>
  </si>
  <si>
    <t>Permian Basin Lighting Specialties, LLC</t>
  </si>
  <si>
    <t>2427 E Hwy 80</t>
  </si>
  <si>
    <t>P-400-21127-295520</t>
  </si>
  <si>
    <t>Morel</t>
  </si>
  <si>
    <t>13928 Progress Pkwy</t>
  </si>
  <si>
    <t>Mailing: 3684 Forest Run Drive , Richfield, OH 44286</t>
  </si>
  <si>
    <t>North Royalton</t>
  </si>
  <si>
    <t>Morel Landscaping, LLC</t>
  </si>
  <si>
    <t>12020 York Rd</t>
  </si>
  <si>
    <t xml:space="preserve">Business Administration, Finance, Accounting or related field </t>
  </si>
  <si>
    <t>P-100-21153-360856</t>
  </si>
  <si>
    <t>Analytics, Integrated Marketing Communications, Statistics, or a related field.</t>
  </si>
  <si>
    <t>P-400-21153-361773</t>
  </si>
  <si>
    <t>Cafeteria Cashier</t>
  </si>
  <si>
    <t>Food and Beverage Supervisor</t>
  </si>
  <si>
    <t>fesani@emattorney.com</t>
  </si>
  <si>
    <t>P-100-21127-295298</t>
  </si>
  <si>
    <t>Associate Director, C &amp; ORC Specialist</t>
  </si>
  <si>
    <t>Computer Science, Finance, or a related field of study</t>
  </si>
  <si>
    <t xml:space="preserve">="•	2 Years of Experience in Anti-Money Laundering (AML) Compliance with a wealth management, broker dealer, retail and/or private bank and/or correspondent bank or investment bank. 
•	Experience with:
     o	AML Transaction Monitoring Systems, including </t>
  </si>
  <si>
    <t xml:space="preserve">480 Washington Blvd </t>
  </si>
  <si>
    <t>P-400-21146-344863</t>
  </si>
  <si>
    <t>SHAIN</t>
  </si>
  <si>
    <t xml:space="preserve">CLUBHOUSE MANAGER	 </t>
  </si>
  <si>
    <t>P-400-21153-361805</t>
  </si>
  <si>
    <t>P-100-21131-304997</t>
  </si>
  <si>
    <t>Computer Science, Engineering, Mathematics, or related field of study</t>
  </si>
  <si>
    <t>P-400-21123-282452</t>
  </si>
  <si>
    <t>Libertytemp@yahoo.com</t>
  </si>
  <si>
    <t>P-100-21127-296565</t>
  </si>
  <si>
    <t>VA CLEANING SERVICE LLC</t>
  </si>
  <si>
    <t>5401 S KIRKMAN RD</t>
  </si>
  <si>
    <t>STE 203</t>
  </si>
  <si>
    <t>NIGHT SHIFT CLEANER</t>
  </si>
  <si>
    <t>5401 KIRKMAN RD</t>
  </si>
  <si>
    <t xml:space="preserve"> NNAGABHUSHAN@NISUM.COM</t>
  </si>
  <si>
    <t>P-100-21127-294540</t>
  </si>
  <si>
    <t>AlertEnterprise Inc.</t>
  </si>
  <si>
    <t>SoftSol Resources Inc</t>
  </si>
  <si>
    <t>BUSINESS ADMINISTRATION, OPERATIONS OR RELATED FIELD</t>
  </si>
  <si>
    <t>P-400-21127-297180</t>
  </si>
  <si>
    <t>Groundskeeping Worker</t>
  </si>
  <si>
    <t>BEMIDJI</t>
  </si>
  <si>
    <t>Northwest Minnesota nonmetropolitan area</t>
  </si>
  <si>
    <t>P-400-21142-336059</t>
  </si>
  <si>
    <t xml:space="preserve">16066 NORTH TEN LANE </t>
  </si>
  <si>
    <t>NAMPA</t>
  </si>
  <si>
    <t>P-400-21148-354142</t>
  </si>
  <si>
    <t>="The Petitioner will consider for employment any person who possesses at least three (3) months of experience in a fine-dining or high-volume environment at a high-end restaurant, resort, or private club.
Applicant must complete pre-employment backgroun</t>
  </si>
  <si>
    <t>P-400-21150-356257</t>
  </si>
  <si>
    <t>BEDOYA</t>
  </si>
  <si>
    <t>71 Mariner Drive</t>
  </si>
  <si>
    <t>Manorville Landscaping Inc</t>
  </si>
  <si>
    <t xml:space="preserve">71 Mariner Drive </t>
  </si>
  <si>
    <t>MULTIPLE SITES IN SUFFOLK/NASSAU COUNTY.</t>
  </si>
  <si>
    <t>P-400-21131-303593</t>
  </si>
  <si>
    <t xml:space="preserve">Restaurant Cook </t>
  </si>
  <si>
    <t>="The Petitioner will consider for employment any person who possesses at least six (6) months of culinary experience in a fine-dining or high-volume environment at a high-end restaurant, resort, hotel, or private club. 
Applicant must complete pre-emplo</t>
  </si>
  <si>
    <t>All worksites located in Palm Beach Gardens and Juno Beach, Florida.  Travel throughout this area is required.  Transportation between worksites is provided.</t>
  </si>
  <si>
    <t>P-400-21149-355933</t>
  </si>
  <si>
    <t>="The Petitioner will consider for employment any person who possesses at least six (6) months of service experience in a fine-dining or high-volume environment at a high-end restaurant, resort, or private club.  Applicant must complete pre-employment bac</t>
  </si>
  <si>
    <t>P-100-21132-308806</t>
  </si>
  <si>
    <t>LAW OFFICE OF THOMAS V. ALLEN, PLLC.</t>
  </si>
  <si>
    <t xml:space="preserve">="Master’s degree in Science, Technology, Engineering, or any related field is required. A Bachelor’s degree in the above-mentioned fields along with 5 years of experience in job offered or related occupation is acceptable in lieu of Master’s degree. Any </t>
  </si>
  <si>
    <t xml:space="preserve">200 CENTENNIAL AVENUE </t>
  </si>
  <si>
    <t>SUITE # 204  &amp; Various unanticipated locations throughout the U.S.</t>
  </si>
  <si>
    <t>P-100-21155-370378</t>
  </si>
  <si>
    <t>clive@healthcrowd.com</t>
  </si>
  <si>
    <t>Electrical Engineering, Computer Science, Computer Engineering, Statistics, Information Management, or related field.</t>
  </si>
  <si>
    <t>="The following may be gained via academic coursework or internship: Big data management; Programming languages like C++, Python, and PERL; Proficiency in statistical analysis tools like R; Fundamental platforms such as Hadoop and Spark;  Hypothesis testi</t>
  </si>
  <si>
    <t>P-400-21137-319271</t>
  </si>
  <si>
    <t>MITCHELL</t>
  </si>
  <si>
    <t>DAREN</t>
  </si>
  <si>
    <t>911 HWY 65 NORTH</t>
  </si>
  <si>
    <t>MARSHALL</t>
  </si>
  <si>
    <t>DMITCHELL@APEXROW.NET</t>
  </si>
  <si>
    <t>APEX ROW LLC</t>
  </si>
  <si>
    <t>LANDSCAPING ROW WORKER</t>
  </si>
  <si>
    <t>CREW LEADER</t>
  </si>
  <si>
    <t>TRANSPORT TO/FROM JOB LOCATION PROVIDED BY EMPLOYER ON DAILY WORK DAYS AT NO COST TO WORKER. AREAS OF EMPLOYMENT ARE WITHIN THE FOLLOWING: AR-KS-KY-MO-OK-TX</t>
  </si>
  <si>
    <t>North Arkansas nonmetropolitan area</t>
  </si>
  <si>
    <t>P-100-21165-394836</t>
  </si>
  <si>
    <t>="•       In lieu of a Bachelor’s degree, employer will accept an additional 24 months of software development 
        experience formulating and analyzing software requirements.
•	Experience: 6 months of software development experience formulating and a</t>
  </si>
  <si>
    <t>P-100-21133-311916</t>
  </si>
  <si>
    <t>Master’s degree* in Finance or a related field</t>
  </si>
  <si>
    <t>="•	Ability to translate product concepts and ideas into functional requirements
•	Demonstrated domain knowledge in financial/investment data, analytics, and workplace communication 
•	Track record of leading technical projects through full life cycle fro</t>
  </si>
  <si>
    <t>Bachelor’s degree* in Finance or a related field</t>
  </si>
  <si>
    <t>*May work remotely from anywhere in the US.</t>
  </si>
  <si>
    <t>P-100-21174-421401</t>
  </si>
  <si>
    <t>50 Francisco Street</t>
  </si>
  <si>
    <t>P-100-21176-427281</t>
  </si>
  <si>
    <t>Sabre BLBL Inc.</t>
  </si>
  <si>
    <t>Computer Science, Engineering, MIS, CIS, Technology or related field</t>
  </si>
  <si>
    <t>P-400-21126-291839</t>
  </si>
  <si>
    <t>P-400-21148-353914</t>
  </si>
  <si>
    <t>Swerdlin</t>
  </si>
  <si>
    <t>13125 Southfields Rd.</t>
  </si>
  <si>
    <t>srentas@equineclinic.com</t>
  </si>
  <si>
    <t>PetVet Care Centers (Florida) LLC</t>
  </si>
  <si>
    <t>Palm Beach Equine Clinic</t>
  </si>
  <si>
    <t>MJA International Law Group, APC</t>
  </si>
  <si>
    <t>Equine Veterinary Technician</t>
  </si>
  <si>
    <t>Veterinary Technician Associate's degree or foreign equivalent</t>
  </si>
  <si>
    <t>SAME DAY TRAVEL IN THE IMMEDIATE SURROUNDING AREA WHILE ACCOMPANYING VETERINARIANS TO ON-SITE PATIENT VISITS.</t>
  </si>
  <si>
    <t>P-400-21153-362165</t>
  </si>
  <si>
    <t>Cornejo</t>
  </si>
  <si>
    <t>198 County Road 47</t>
  </si>
  <si>
    <t>Mailing: PO Box 656 , Fayette, AL 35555</t>
  </si>
  <si>
    <t>Fayette</t>
  </si>
  <si>
    <t>midvalleyofficesupplies@yahoo.com</t>
  </si>
  <si>
    <t>Cornejo Forestry Service, Inc.</t>
  </si>
  <si>
    <t>P-100-21174-421542</t>
  </si>
  <si>
    <t>Pho DNoodle House LLC</t>
  </si>
  <si>
    <t>North Brunswick</t>
  </si>
  <si>
    <t>P-400-21148-354232</t>
  </si>
  <si>
    <t>5950 Burnham Road</t>
  </si>
  <si>
    <t>CRichards@quailwest.com</t>
  </si>
  <si>
    <t>Quail West Foundation, Inc.</t>
  </si>
  <si>
    <t>Quail West Golf &amp; Country Club</t>
  </si>
  <si>
    <t>P-400-21132-307568</t>
  </si>
  <si>
    <t>Abell III</t>
  </si>
  <si>
    <t>709 Glover Ave</t>
  </si>
  <si>
    <t>Valley Park</t>
  </si>
  <si>
    <t>Lawn Masters, Inc.</t>
  </si>
  <si>
    <t>P-400-21141-334412</t>
  </si>
  <si>
    <t>30 Abrahams Path</t>
  </si>
  <si>
    <t>Easthampton</t>
  </si>
  <si>
    <t>Eduardo's Lawn Care Service Corp</t>
  </si>
  <si>
    <t>30 Abraham's Path</t>
  </si>
  <si>
    <t>Landscaping</t>
  </si>
  <si>
    <t>P-400-21138-321566</t>
  </si>
  <si>
    <t>="The Petitioner will consider for employment any person who possesses at least six (6) months of culinary experience in a fine-dining or high-volume environment at a high-end restaurant, resort, or private club.
Applicant must complete pre-employment ba</t>
  </si>
  <si>
    <t>3 Center Plaza</t>
  </si>
  <si>
    <t>P-100-21125-289290</t>
  </si>
  <si>
    <t>JBELL@FRAGOMEN.COM</t>
  </si>
  <si>
    <t>Bachelor’s degree (U.S. or equivalent) in Economics, Finance, Business or a related field.</t>
  </si>
  <si>
    <t>="Prior experience must include (5) years of experience with: Building and maintaining relationships with and presenting recent market developments risk management strategies to senior executives and other key decision makers (such as CFOs, Treasurers, As</t>
  </si>
  <si>
    <t>Travel required approximately 15% of the time to meet with clients in locations outside of NY, NY.</t>
  </si>
  <si>
    <t>200 WEST STREET</t>
  </si>
  <si>
    <t>P-400-21140-330060</t>
  </si>
  <si>
    <t>P-100-21163-392494</t>
  </si>
  <si>
    <t>P-400-21151-356780</t>
  </si>
  <si>
    <t>KRISTIN</t>
  </si>
  <si>
    <t>Stone Crab Fishermen</t>
  </si>
  <si>
    <t>3390 Gulfview Ave</t>
  </si>
  <si>
    <t>kristin@keysfisheries.com</t>
  </si>
  <si>
    <t>Hans Im Glueck Inc</t>
  </si>
  <si>
    <t>1470 Ocean Breeze Avenue</t>
  </si>
  <si>
    <t>Stone Crab Fisherman</t>
  </si>
  <si>
    <t>Fishing in the Atlantic Ocean and Gulf of Mexico on fishing vessel 
Frequency - daily</t>
  </si>
  <si>
    <t>P-100-21141-334633</t>
  </si>
  <si>
    <t>="Skills Required: C, C++, Java, Linux, Big Data, and Android.   Master’s degree in Science, Technology, or Engineering (any) with 1 year of experience in job offered or related occupation is required. Bachelor’s degree in the above fields along with 5 ye</t>
  </si>
  <si>
    <t>SUITE A and various unanticipated locations throughout the U.S.</t>
  </si>
  <si>
    <t>COX</t>
  </si>
  <si>
    <t>Wayne Farms, LLC</t>
  </si>
  <si>
    <t>POULTRY CUTTER AND TRIMMER</t>
  </si>
  <si>
    <t>977 WAYNE POULTRY RD</t>
  </si>
  <si>
    <t>PENDERGRASS</t>
  </si>
  <si>
    <t>="Master’s degree in Science, Technology, Engineering, or any related field with 6 months of experience in the job offered or related occupation is required. Bachelor’s degree in any of the above mentioned fields along with 5 years of experience in job of</t>
  </si>
  <si>
    <t>P-100-21167-402987</t>
  </si>
  <si>
    <t xml:space="preserve">12920  SE 38th Street </t>
  </si>
  <si>
    <t>P-100-21154-364573</t>
  </si>
  <si>
    <t xml:space="preserve">Principal Information Technology Services Analyst </t>
  </si>
  <si>
    <t>in Information Technology, Computer Engineering or a related field of study.</t>
  </si>
  <si>
    <t>P-400-21131-303455</t>
  </si>
  <si>
    <t>BAY HARBOR HOTEL LLC</t>
  </si>
  <si>
    <t>9601 E BAY HARBOR DR</t>
  </si>
  <si>
    <t>BAY HARBOR ISLANDS</t>
  </si>
  <si>
    <t>9601 E BAY HARBOR DRIVE</t>
  </si>
  <si>
    <t>P-400-21169-411329</t>
  </si>
  <si>
    <t>P-100-21140-328597</t>
  </si>
  <si>
    <t>160 SPEAR ST</t>
  </si>
  <si>
    <t>FL 13</t>
  </si>
  <si>
    <t>94105-1546</t>
  </si>
  <si>
    <t xml:space="preserve">="Must have experience in the following areas: Programming experience using the following: Scala, Java, Python and Go; Experience with API; Experience with multithreading and asynchronous programming; Experience with distributed systems and microservices </t>
  </si>
  <si>
    <t>P-100-21134-315474</t>
  </si>
  <si>
    <t>Specialist</t>
  </si>
  <si>
    <t xml:space="preserve">Engineering Management, Statistics, Business Analytics, or related field, or foreign degree equivalent. </t>
  </si>
  <si>
    <t>="Minimum of one (1) year of experience conducting complex statistical analyses to prepare data for use in predictive modeling. Experience must have included: coding in SQL, R, and Python; building supervised and unsupervised machine learning models, perf</t>
  </si>
  <si>
    <t>Domestic &amp; international travel typically required. Destination and frequency impossible to predict.</t>
  </si>
  <si>
    <t>280 Congress St, Suite 1100</t>
  </si>
  <si>
    <t>Kristona-Drue</t>
  </si>
  <si>
    <t>NA Human Resources Manager</t>
  </si>
  <si>
    <t>diana.kristona-drue@capco.com</t>
  </si>
  <si>
    <t>THE CAPITAL MARKETS COMPANY</t>
  </si>
  <si>
    <t>77 WATER STREET</t>
  </si>
  <si>
    <t>Mathematics, Finance, or related field.</t>
  </si>
  <si>
    <t>computer science, information systems or related field</t>
  </si>
  <si>
    <t>P-100-21139-327407</t>
  </si>
  <si>
    <t>ATTORNEY-T-LAW</t>
  </si>
  <si>
    <t>="SKILLS REQUIRED: ECLIPSE, MS VISIO, AXURE, IBM JAZZ, KAFKA, XML, JSON AND BIRT. MASTER’S DEGREE IN SCIENCE, TECHNOLOGY, ENGINEERING, OR ANY RELATED FIELD WITH 1 YEAR OF EXPERIENCE IN THE JOB OFFERED OR RELATED OCCUPATION
IS REQUIRED. BACHELOR’S DEGREE I</t>
  </si>
  <si>
    <t>SUITE 113 AND VARIOUS UNANATICIPATED LOCATIONS THROUGHOUT THE U.S.</t>
  </si>
  <si>
    <t>6360 South Fiddlers Green Circle</t>
  </si>
  <si>
    <t>P-400-21131-302698</t>
  </si>
  <si>
    <t>904 Phlox Avenue</t>
  </si>
  <si>
    <t>picorooysters@gmail.com</t>
  </si>
  <si>
    <t>Picoro Oysters LLC</t>
  </si>
  <si>
    <t>P-400-21154-366013</t>
  </si>
  <si>
    <t>8147-8139 OLD NORTH DAKOTA 44</t>
  </si>
  <si>
    <t>Senior Software Engineering Architect</t>
  </si>
  <si>
    <t>P-400-21126-292823</t>
  </si>
  <si>
    <t xml:space="preserve">Lejeune </t>
  </si>
  <si>
    <t>4273 Manuel Lake Road</t>
  </si>
  <si>
    <t>Basile</t>
  </si>
  <si>
    <t>lejeuneaerialapplication1@gmail.com</t>
  </si>
  <si>
    <t>Lejeune Aerial Applications LLC</t>
  </si>
  <si>
    <t xml:space="preserve">="HAVING ALLERGIES TO FERTILIZER, DUST, PESTICIDE, INSECT SPRAY AND RELATED CHEMICALS COULD AFFECT WORKERS ABILITY TO WORK.
ONCE HIRED WORKER MAY BE REQUIRED TO SUBMIT A RANDOM DRUG TEST (AT NO COST TO WORKER). TESTING POSITIVE OR NOT COMPLYING WITH DRUG </t>
  </si>
  <si>
    <t>IF NEEDED MAY TRAVEL TO MULTI FIELD TO DELIVER SUPPLIES TO PILOT IN A SINGLE DAY</t>
  </si>
  <si>
    <t>Bellville</t>
  </si>
  <si>
    <t>Pennington</t>
  </si>
  <si>
    <t>233 Rodney Drive</t>
  </si>
  <si>
    <t>michael@penningtonlawnbr.com</t>
  </si>
  <si>
    <t>Pennington Lawn &amp; Landscape LLC</t>
  </si>
  <si>
    <t>1348 Seabord Ave</t>
  </si>
  <si>
    <t>233 Rodney Drive Baton Rouge LA 70808 Mailing</t>
  </si>
  <si>
    <t>WILL TRAVEL TO MULTI WORK LOCATION IN A SINGLE DAY AT PRIVATE RESIDENCE AND COMMERCIAL PROPERTIES</t>
  </si>
  <si>
    <t>Cris</t>
  </si>
  <si>
    <t>P-400-21123-282893</t>
  </si>
  <si>
    <t>P-100-21153-361062</t>
  </si>
  <si>
    <t>Snidvongs Na Ayudhaya</t>
  </si>
  <si>
    <t>Tayaporn</t>
  </si>
  <si>
    <t>235 East 53rd Street</t>
  </si>
  <si>
    <t>chatt.cupboard@gmail.com</t>
  </si>
  <si>
    <t>The Cupboard LLC</t>
  </si>
  <si>
    <t>Mama's Cupboard</t>
  </si>
  <si>
    <t>Head Cook, Asian Cuisine</t>
  </si>
  <si>
    <t>P-400-21133-312134</t>
  </si>
  <si>
    <t>10600 E. Crescent Moon Drive</t>
  </si>
  <si>
    <t>Housekeeping Attendant</t>
  </si>
  <si>
    <t xml:space="preserve">Travel/relocation to unanticipated client/work sites throughout the U.S. </t>
  </si>
  <si>
    <t>P-400-21125-289890</t>
  </si>
  <si>
    <t>Self</t>
  </si>
  <si>
    <t>7887 Moss Creek Road</t>
  </si>
  <si>
    <t>HBH LAND GROUP, LLC</t>
  </si>
  <si>
    <t>US LAWNS OF MYRTLE BEACH</t>
  </si>
  <si>
    <t>="MUST BE 18 DUE TO INSURANCE. MUST SHOW PROOF OF LEGAL AUTHORIZATION TO WORK IN THE UNITED STATES. DRUG/ALCOHOL/TOBACCO FREE WORK ZONE. PERFORM PHYSICAL ACTIVITIES: SUCH AS LIFT, BALANCE, WALK, STOOP, HANDLE, POSITION, MOVE, MANIPULATE MATERIALS USE STAT</t>
  </si>
  <si>
    <t>Provided daily transportation to and from designated worksite: begin in Myrtle Beach, Horry County, SC - continue into Horry &amp; Georgetown counties of SC, Brunswick county of NC; Myrtle Beach-Conway-North Myrtle Beach SC-NC area &amp; Northeast South Carolina nonmetro area.</t>
  </si>
  <si>
    <t>7887 Moss Creek Road (report to work)</t>
  </si>
  <si>
    <t>P-100-21159-377940</t>
  </si>
  <si>
    <t>P-100-21127-294433</t>
  </si>
  <si>
    <t>P-100-21144-337760</t>
  </si>
  <si>
    <t>="Skills required: Microsoft Windows, C, Visual Basic, Auto CAD, Mango DB, MS-Access, Informatica MDM, Altova XML Spy tool, QTP, SOAP UI,MTM, Opti-Trax, Tortoise SVN, SAP, ABAP. Master’s degree in Science, Technology, Engineering, or any related field wit</t>
  </si>
  <si>
    <t>SUITE 370 &amp; VARIOUS UNANTICIPATED LOCATIONS THROUGHOUT THE U.S</t>
  </si>
  <si>
    <t>P-100-21159-379130</t>
  </si>
  <si>
    <t>P-100-21159-380820</t>
  </si>
  <si>
    <t>P-400-21123-283005</t>
  </si>
  <si>
    <t>1885 Wooddale Court</t>
  </si>
  <si>
    <t>Progreen Lawn and Landscape, LLC</t>
  </si>
  <si>
    <t>Louisiana</t>
  </si>
  <si>
    <t>P-100-21136-317136</t>
  </si>
  <si>
    <t>Overbeek</t>
  </si>
  <si>
    <t>141 River's Edge Drive</t>
  </si>
  <si>
    <t>Traverse City</t>
  </si>
  <si>
    <t>goverbeek@hagerty.com</t>
  </si>
  <si>
    <t>Hagerty Insurance Agency</t>
  </si>
  <si>
    <t>Warner Norcross + Judd</t>
  </si>
  <si>
    <t xml:space="preserve">Master's in Electrical Engineering </t>
  </si>
  <si>
    <t>141 River's Edge</t>
  </si>
  <si>
    <t>Goyal</t>
  </si>
  <si>
    <t>P-400-21150-356156</t>
  </si>
  <si>
    <t>BERTRAND</t>
  </si>
  <si>
    <t>9800 TREVISO BAY BLVD</t>
  </si>
  <si>
    <t>TREVISO BAY MASTER ASSN INC</t>
  </si>
  <si>
    <t>P-100-21169-409465</t>
  </si>
  <si>
    <t>Electronic Engineering, Computer Science, Digital Sciences, or related field.</t>
  </si>
  <si>
    <t>="Five (5) years of progressively responsible experience in the job offered or a related occupation: utilizing end-to-end systems development life cycles, including waterfall and iterative approaches to software development; utilizing ISO, CMM, Six Sigma;</t>
  </si>
  <si>
    <t xml:space="preserve">="Three (3) years of experience in the job offered or a related occupation: utilizing end-to-end systems development life cycles, including waterfall and iterative approaches to software development; utilizing ISO, CMM, Six Sigma; conducting and applying </t>
  </si>
  <si>
    <t>P-100-21152-358884</t>
  </si>
  <si>
    <t>P-100-21159-379297</t>
  </si>
  <si>
    <t>DOLAN</t>
  </si>
  <si>
    <t>2 Center Plaza</t>
  </si>
  <si>
    <t>ldolan@nitscheng.com</t>
  </si>
  <si>
    <t>Nitsch Engineering, Inc.</t>
  </si>
  <si>
    <t>Room 430</t>
  </si>
  <si>
    <t>38 Third Ave.</t>
  </si>
  <si>
    <t>Civil Engineer, Transportation Engineer, or closely related field</t>
  </si>
  <si>
    <t>VP, Director of Transportation Engineering</t>
  </si>
  <si>
    <t>test</t>
  </si>
  <si>
    <t>P-400-21146-344893</t>
  </si>
  <si>
    <t>STALEY</t>
  </si>
  <si>
    <t xml:space="preserve">HR DIRECTOR </t>
  </si>
  <si>
    <t>10471 Boca Woods Lane</t>
  </si>
  <si>
    <t>BOCA WOODS COUNTRY CLUB ASSOCIATION INC</t>
  </si>
  <si>
    <t>="Experience must be verifiable.
Pre-hire drug test &amp; background check, carried out equally between U.S. workers and H-2B workers 
Must be available to work split-shifts, nights, weekends &amp; holidays as needed. 
Must be able to lift, pull, push or carry up</t>
  </si>
  <si>
    <t>1601 Dodge Street</t>
  </si>
  <si>
    <t>P-400-21152-359765</t>
  </si>
  <si>
    <t>6386 Beth Rd</t>
  </si>
  <si>
    <t>jlamb@unitedlandservices.com</t>
  </si>
  <si>
    <t>Florida ULS Operating LLC</t>
  </si>
  <si>
    <t>3D Trees</t>
  </si>
  <si>
    <t>Lehigh</t>
  </si>
  <si>
    <t>Senior Vice President, Product Manager, Platform</t>
  </si>
  <si>
    <t>P-400-21147-351592</t>
  </si>
  <si>
    <t>Lupian</t>
  </si>
  <si>
    <t>36225 HWY 213</t>
  </si>
  <si>
    <t>Molalla</t>
  </si>
  <si>
    <t>rueforestcontractinginc@gmail.com</t>
  </si>
  <si>
    <t>Rue Forest Contracting, Inc.</t>
  </si>
  <si>
    <t>Teuta</t>
  </si>
  <si>
    <t>Veizaj</t>
  </si>
  <si>
    <t>1342 Capitol St. NE</t>
  </si>
  <si>
    <t>teuta@immigrationoregon.com</t>
  </si>
  <si>
    <t>Hecht &amp; Norman LLP</t>
  </si>
  <si>
    <t>Weekly travel throughout Marion County and Clackamas County.</t>
  </si>
  <si>
    <t>P-100-21173-419923</t>
  </si>
  <si>
    <t>P-400-21149-355895</t>
  </si>
  <si>
    <t xml:space="preserve">1215 Bald Eagle Drive Marco </t>
  </si>
  <si>
    <t xml:space="preserve">The Snook Inn </t>
  </si>
  <si>
    <t xml:space="preserve">1215 Bald Eagle Drive </t>
  </si>
  <si>
    <t>Apps/Sys Eng Mgmt 3 - Pre-Sales - Sales Plan (Cloud Sol MR)*</t>
  </si>
  <si>
    <t>P-400-21147-348105</t>
  </si>
  <si>
    <t>P-100-21166-398657</t>
  </si>
  <si>
    <t>="Bachelor’s degree and 5 years of experience, in lieu of a Bachelor’s degree employer will accept an additional 2 years of experience, which must include some experience with each of the following skills:
+ architecture design concepts and techniques;
+</t>
  </si>
  <si>
    <t>P-100-21146-347843</t>
  </si>
  <si>
    <t>2 Brier Hill Ct.,  2B Building F</t>
  </si>
  <si>
    <t xml:space="preserve">Sweekrutha  </t>
  </si>
  <si>
    <t xml:space="preserve">Pharmaceutical Sciences or Pharmacology or Pharmacy </t>
  </si>
  <si>
    <t xml:space="preserve">Job Loc: </t>
  </si>
  <si>
    <t>East Brunswick, NJ or unanticipated client sites within the U.S</t>
  </si>
  <si>
    <t xml:space="preserve">5550 Granite Parkway  Suite # 100 </t>
  </si>
  <si>
    <t>Head of Data Science</t>
  </si>
  <si>
    <t>P-100-21147-349340</t>
  </si>
  <si>
    <t>Travel domestically and internationally approximately 20% of the time</t>
  </si>
  <si>
    <t>P-400-21154-366537</t>
  </si>
  <si>
    <t>P-100-21138-323537</t>
  </si>
  <si>
    <t>Information Technology or Related</t>
  </si>
  <si>
    <t>="Requires a Bachelor’s degree in Information Technology or related. Requires 8 years of related employment experience. Requires 5 years of experience with SAP Material Management (MM); Master Data - SAP ECC, &amp; S/4 HANA; SAP Ariba Supplier Lifecycle &amp; Per</t>
  </si>
  <si>
    <t>Locations in Texas, as per customer requirements.</t>
  </si>
  <si>
    <t>P-400-21141-332964</t>
  </si>
  <si>
    <t>Stainback</t>
  </si>
  <si>
    <t>46623 County Rd</t>
  </si>
  <si>
    <t>Itta Bena</t>
  </si>
  <si>
    <t>America's Catch Inc.</t>
  </si>
  <si>
    <t>Ste 235-136</t>
  </si>
  <si>
    <t>Fish Processor</t>
  </si>
  <si>
    <t>Jaynes</t>
  </si>
  <si>
    <t>222 St John Street</t>
  </si>
  <si>
    <t>Ste 321</t>
  </si>
  <si>
    <t>mbj@landisarn.com</t>
  </si>
  <si>
    <t>Landis Arn &amp; Jaynes, P.A.</t>
  </si>
  <si>
    <t>P-100-21162-389672</t>
  </si>
  <si>
    <t xml:space="preserve">Computer Science, Engineering (any), Information Technology, Computer Information Systems, Management Information Systems ora related field </t>
  </si>
  <si>
    <t xml:space="preserve">four (4) years of described experience </t>
  </si>
  <si>
    <t xml:space="preserve">Travel to unanticipated client locations approximately 30% as required. </t>
  </si>
  <si>
    <t>P-400-21148-354287</t>
  </si>
  <si>
    <t>P-400-21124-286541</t>
  </si>
  <si>
    <t>Schloemer</t>
  </si>
  <si>
    <t>Government Affairs Manager</t>
  </si>
  <si>
    <t>1624 Grouper Avenue</t>
  </si>
  <si>
    <t>Port St Joe</t>
  </si>
  <si>
    <t>keithschloemer@gmail.com</t>
  </si>
  <si>
    <t>Raffield Fisheries, Inc.</t>
  </si>
  <si>
    <t>Purse Seine Fishermen</t>
  </si>
  <si>
    <t>Fishing Boat Captain</t>
  </si>
  <si>
    <t>P-400-21130-299777</t>
  </si>
  <si>
    <t>Bell Person</t>
  </si>
  <si>
    <t>P-400-21145-341960</t>
  </si>
  <si>
    <t>4267 FR 2187</t>
  </si>
  <si>
    <t>P-400-21124-285837</t>
  </si>
  <si>
    <t>Thibodeaux</t>
  </si>
  <si>
    <t>6004 Cameron St.</t>
  </si>
  <si>
    <t>Bob's Tree Preservation, Inc.</t>
  </si>
  <si>
    <t>P-100-21180-432866</t>
  </si>
  <si>
    <t>="Special Requirements:
Proven experience in overseeing the direction, development, and implementation of software solutions.
Strong knowledge of system and software quality assurance best practices and methodologies.
Technically fluent in programming lan</t>
  </si>
  <si>
    <t>EVP &amp; Chief Technology Officer</t>
  </si>
  <si>
    <t>Building 2, Suite 400</t>
  </si>
  <si>
    <t>P-400-21149-355872</t>
  </si>
  <si>
    <t>HUTCHINSON</t>
  </si>
  <si>
    <t>19 RED CREEK CIRCLE</t>
  </si>
  <si>
    <t xml:space="preserve">HAMPTON BAYS </t>
  </si>
  <si>
    <t xml:space="preserve">HUTCHISON LANDSCAPE SERVICES </t>
  </si>
  <si>
    <t xml:space="preserve">19 RED CREEK CIRCLE </t>
  </si>
  <si>
    <t>HAMPTON BAYS</t>
  </si>
  <si>
    <t>P-100-21141-333394</t>
  </si>
  <si>
    <t>15-1121.00; 15-2031.00</t>
  </si>
  <si>
    <t>Computer Systems Analysts; Operations Research Analysts</t>
  </si>
  <si>
    <t>P-400-21131-302830</t>
  </si>
  <si>
    <t>Picoro Oysters, LLC</t>
  </si>
  <si>
    <t>P-400-21142-336256</t>
  </si>
  <si>
    <t>Scholtens</t>
  </si>
  <si>
    <t>5776 Bryant Rd.</t>
  </si>
  <si>
    <t>Ludington</t>
  </si>
  <si>
    <t>russ@rscholtensplumbing.com</t>
  </si>
  <si>
    <t>Ray Scholtens Plumbing, Inc</t>
  </si>
  <si>
    <t>142 S. Main St</t>
  </si>
  <si>
    <t>Scottville</t>
  </si>
  <si>
    <t>Alvarado-Jorquera</t>
  </si>
  <si>
    <t>202 S. Harrison St.</t>
  </si>
  <si>
    <t>carlos@carlosalvaradolaw.com</t>
  </si>
  <si>
    <t>Carlos Alvarado Law PC</t>
  </si>
  <si>
    <t xml:space="preserve">Office and Administrative Support Worker </t>
  </si>
  <si>
    <t>Balance of Lower Peninsula of Michigan nonmetropolitan area</t>
  </si>
  <si>
    <t>P-400-21150-356215</t>
  </si>
  <si>
    <t>711 Horseshoe Blvd</t>
  </si>
  <si>
    <t>BOSSIER CITY</t>
  </si>
  <si>
    <t>P-100-21141-335739</t>
  </si>
  <si>
    <t>Gauthier</t>
  </si>
  <si>
    <t xml:space="preserve">1562 ALAMO PINTADO RD. </t>
  </si>
  <si>
    <t>Solvang</t>
  </si>
  <si>
    <t>mgauthier@magenergysolutions.com</t>
  </si>
  <si>
    <t>Rideau Cellars LLC</t>
  </si>
  <si>
    <t xml:space="preserve">1562 Alamo Pintado Rd. </t>
  </si>
  <si>
    <t>Mizushima</t>
  </si>
  <si>
    <t>egroups@fragomen.com</t>
  </si>
  <si>
    <t>Head Cook (RC-MH)</t>
  </si>
  <si>
    <t>Post-secondary certificate or foreign equivalent in Culinary Arts, Hospitality, Wine or related field of study.</t>
  </si>
  <si>
    <t>Tasting Room Manager</t>
  </si>
  <si>
    <t>1562 Alamo Pintado Rd.</t>
  </si>
  <si>
    <t>P-400-21140-329852</t>
  </si>
  <si>
    <t>P-100-21165-396646</t>
  </si>
  <si>
    <t>333 NE 24TH ST</t>
  </si>
  <si>
    <t>P-400-21133-312234</t>
  </si>
  <si>
    <t xml:space="preserve">The Hamlin Companies </t>
  </si>
  <si>
    <t>Hamlin Roofing</t>
  </si>
  <si>
    <t>Trent@Trentwilliamslaw.com</t>
  </si>
  <si>
    <t>Williams Law PLLC</t>
  </si>
  <si>
    <t>General Laborer - Roofer</t>
  </si>
  <si>
    <t>P-100-21175-424626</t>
  </si>
  <si>
    <t>P-100-21130-300000</t>
  </si>
  <si>
    <t>Rangelov</t>
  </si>
  <si>
    <t>Marjan</t>
  </si>
  <si>
    <t>13643 Coman Rd</t>
  </si>
  <si>
    <t>marjanrangelov@yahoo.com</t>
  </si>
  <si>
    <t>RANGELOV, INC.</t>
  </si>
  <si>
    <t>THE JOB IS DRIVING FROM THE HEADQUARTERS LOCATED AT 1364 COMAN RD, JACKSONVILLE, FL, 32218 TO THE WORKSITES VIA TRUCK THEREFORE ALL WORK WILL REQUIRE TRAVEL 100% OF THE TIME. THE PURPOSE OF THE TRAVEL IS TO PICK UP GOODS AND MATERIALS AND DELIVER THEM TO THE DESTINATION AS INSTRUCTED.</t>
  </si>
  <si>
    <t>P-400-21131-305139</t>
  </si>
  <si>
    <t>201 N. Galyean Road</t>
  </si>
  <si>
    <t xml:space="preserve">Transport provided, designated locale to job site. Begin in Alcorn County, MS. Continue in States: AL, AR, FL, GA, KY, LA, MS, NC, OH, OK, SC, TN, TX, VA.
***TENTATIVE ITINERARY***	TEMPORARY FORESTRY WORKERS (SPECIAL PROCEDURES TEGL 27-06) PLEASE NOTE FOR FUTURE FORM ETA 9142-B APPLICATION:
A master application may be filed when all starting locations in the itinerary begin in one ETA Region and consists of crews working for only one employer and the total range of crews’ start dates cannot be greater than 14 days. The employer may file a master application when an itinerary involves states in separated geographic areas as long as these states are connective states. The ETA must be filed in the itinerary’s starting state. The itinerary is titled tentative since this occupation is weather dependent; precise dates, subsequent locations, and contracts may not be defined at the time of placing the job order. The itinerary includes the known minimum wages standards in specific states which might differ (be higher than) from the issued Prevailing Wage Determination. The employer has listed the most specific location possible; requesting the entire BLS area listed on the certification as forested lands do not have distinct town, city, or county lines.
</t>
  </si>
  <si>
    <t>201 N. Galyean Road (Report to Work)</t>
  </si>
  <si>
    <t>P-400-21126-291833</t>
  </si>
  <si>
    <t>Dowden</t>
  </si>
  <si>
    <t>Forestry Supervisor</t>
  </si>
  <si>
    <t>7668 N. U.S. Highway 287</t>
  </si>
  <si>
    <t>PO Box 1154, Palestine, TX 75802</t>
  </si>
  <si>
    <t>Tennessee Colony</t>
  </si>
  <si>
    <t>Cdowden@thunderbirdfs.com</t>
  </si>
  <si>
    <t>Thunderbird Field Services, LLC</t>
  </si>
  <si>
    <t>Mailing: PO Box 1154 , Palestine, TX 75802</t>
  </si>
  <si>
    <t>Rachel Camp 539</t>
  </si>
  <si>
    <t>Goldona</t>
  </si>
  <si>
    <t>P-400-21131-302465</t>
  </si>
  <si>
    <t>="The Petitioner will consider for employment any person who possesses at least six (6) months of culinary experience in a fine-dining or high-volume environment at a high-end restaurant, resort, or private club.
Applicant must complete pre-employment CO</t>
  </si>
  <si>
    <t>P-400-21138-322496</t>
  </si>
  <si>
    <t>P-400-21131-303538</t>
  </si>
  <si>
    <t>7801 Old Granger Road</t>
  </si>
  <si>
    <t>Royal Landscape-Irrigation, Inc.</t>
  </si>
  <si>
    <t>7801 Old Granger Rd,</t>
  </si>
  <si>
    <t>P-100-21147-348793</t>
  </si>
  <si>
    <t>CIPRIANO</t>
  </si>
  <si>
    <t>P-400-21133-309915</t>
  </si>
  <si>
    <t>East South Dakota nonmetropolitan area</t>
  </si>
  <si>
    <t>P-400-21145-343993</t>
  </si>
  <si>
    <t xml:space="preserve">8610 Cherry Lane </t>
  </si>
  <si>
    <t>mgriffin@selecteventgroup.com</t>
  </si>
  <si>
    <t>Select Event Group, Inc.</t>
  </si>
  <si>
    <t xml:space="preserve">Recreation Attendants </t>
  </si>
  <si>
    <t>Transport provided, designated locale to job site. Begin in Prince George's County, MD. Continue in Counties/Areas: Anne Arundel, Arlington, Baltimore city, Carroll, Charles, Clarke, District of Columbia, Dorchester, Fairfax, Fauquier, Frederick, Howard, Kent, Loudoun, Montgomery, New Castle, Prince George's, Prince William, Queen Anne's, Talbot and areas of Baltimore-Columbia-Towson, MD, Maryland nonmetropolitan area, Philadelphia-Camden-Wilmington, PA-NJ-DE-MD, Washington-Arlington-Alexandria, DC-VA-MD-WV.</t>
  </si>
  <si>
    <t>8610 Cherry Lane (Report to Work)</t>
  </si>
  <si>
    <t>P-100-21137-318773</t>
  </si>
  <si>
    <t>NARTAL SYSTEMS , INC</t>
  </si>
  <si>
    <t>P-400-21133-310663</t>
  </si>
  <si>
    <t>8329 MEADE SPRINGER RD</t>
  </si>
  <si>
    <t>alex@landscapesbybrown.com</t>
  </si>
  <si>
    <t>BROWN PLANTING &amp; LAND MANAGEMENT, LLC</t>
  </si>
  <si>
    <t>8331 MEADE SPRINGER RD</t>
  </si>
  <si>
    <t>P-400-21151-357006</t>
  </si>
  <si>
    <t>Director MX Operations</t>
  </si>
  <si>
    <t>631 N WW White Rd</t>
  </si>
  <si>
    <t>blake@prestonwoodlandscape.com</t>
  </si>
  <si>
    <t>Prestonwood Landscape Services-SA LLC</t>
  </si>
  <si>
    <t>Prestonwood Landscape Services</t>
  </si>
  <si>
    <t>Lawn Maintenance Crew Helper</t>
  </si>
  <si>
    <t>Foreman/Quality Control Manager</t>
  </si>
  <si>
    <t>P-100-21140-330466</t>
  </si>
  <si>
    <t>FedEx Supply Chain, Inc.</t>
  </si>
  <si>
    <t>700 Cranberry Woods Drive</t>
  </si>
  <si>
    <t xml:space="preserve">="Must have two years’ experience with the following: Maintaining the integrity, security, and availability of databases; Performing database and software life-cycle activities to ensure highest level of system performance and availability and compliance </t>
  </si>
  <si>
    <t>Manager IT Infrastructure</t>
  </si>
  <si>
    <t>5201 Alliance Gateway Freeway</t>
  </si>
  <si>
    <t>P-400-21130-299455</t>
  </si>
  <si>
    <t>Jackson, MS</t>
  </si>
  <si>
    <t>P-400-21140-329675</t>
  </si>
  <si>
    <t>Foreman; Project Manager</t>
  </si>
  <si>
    <t>The H-2B Temporary Landscape Laborers will perform job duties at 2383 Pilot Knob Road, Mendota Heights, MN 55120 and at multiple worksites within the following geographic areas: Anoka, Carver, Dakota, Hennepin, Le Sueur, Ramsey, Scott, Washington, and Wright counties within the Twin Cities metropolitan area and Rice County within the Southeast Minnesota nonmetropolitan area.
Employer will provide daily transportation from the shop at 2383 Pilot Knob Road, Mendota Heights, MN 55120 to and from worksites, or employee may report directly to the worksite on their own</t>
  </si>
  <si>
    <t>P-100-21158-375749</t>
  </si>
  <si>
    <t>Jamadar</t>
  </si>
  <si>
    <t>Mohammedidrish</t>
  </si>
  <si>
    <t>3100 Highway 365</t>
  </si>
  <si>
    <t>Port Arthur</t>
  </si>
  <si>
    <t>idrish@hmhansoti.com</t>
  </si>
  <si>
    <t>H &amp; M Hansoti LLC</t>
  </si>
  <si>
    <t>P-100-21175-424633</t>
  </si>
  <si>
    <t xml:space="preserve">HR Manager - Crime Lord </t>
  </si>
  <si>
    <t>idritani@wolfsdorf.com</t>
  </si>
  <si>
    <t>123 Sunshine Road</t>
  </si>
  <si>
    <t>iditrani@wolfsdorf.com</t>
  </si>
  <si>
    <t>"Please see Box F.b.5</t>
  </si>
  <si>
    <t xml:space="preserve">456 Sunshine Boulevard </t>
  </si>
  <si>
    <t>P-400-21132-307488</t>
  </si>
  <si>
    <t>Food &amp; Beverage Manager and Food &amp; Beverage Director</t>
  </si>
  <si>
    <t>P-400-21146-344891</t>
  </si>
  <si>
    <t>P-400-21147-349959</t>
  </si>
  <si>
    <t>P-400-21153-362205</t>
  </si>
  <si>
    <t>Mincin</t>
  </si>
  <si>
    <t>185 Macek Drive</t>
  </si>
  <si>
    <t>southhillshardscapecreations@comcast.net</t>
  </si>
  <si>
    <t>South Hills Hardscape Creations</t>
  </si>
  <si>
    <t>P-100-21176-426934</t>
  </si>
  <si>
    <t>NTT Manages Services Americas</t>
  </si>
  <si>
    <t>Will work at various, unanticipated client sites throughout the US for 25%.  Must be willing to travel anywhere in the US and may be assigned to work at client sites across the U.S.</t>
  </si>
  <si>
    <t>="Master’s degree in Science, Technology, Engineering, or any related field is required. Bachelor’s degree in any of the above mentioned fields along with 5 years of experience in job offered or related occupation is acceptable in lieu of Master’s degree.</t>
  </si>
  <si>
    <t>P-100-21166-400164</t>
  </si>
  <si>
    <t>="-THIS POSITION ALSO REQUIRES EDUCATION OR EXPERIENCE IN: ACTIVE DIRECTORY DOMAIN SERVICES; ACTIVE DIRECTORY FEDERATION SERVICES; AZURE AD DOMAINS, GROUPS, AND USER’S MANAGEMENT- AAD IAM; AZURE AD CONDITIONAL ACCESS; AZURE AD DEVICE AUTHENTICATION; AZURE</t>
  </si>
  <si>
    <t>Service Engineering Manage</t>
  </si>
  <si>
    <t>P-400-21180-431181</t>
  </si>
  <si>
    <t>Dickinson Lodging Group, LLC</t>
  </si>
  <si>
    <t>205 E 6th Street</t>
  </si>
  <si>
    <t>103 14th ST W</t>
  </si>
  <si>
    <t>P-100-21132-305826</t>
  </si>
  <si>
    <t xml:space="preserve">Computer Science, Information Systems, Engineering (any) or related field </t>
  </si>
  <si>
    <t>="Skills required: Experience in designing and implementing RESTful microservices using Java, J2EE, and Spring MVC. Experience in designing, architecting, and implementing reusable UI components and styling webpages using React, NodeJS, HapiJS, Electrode,</t>
  </si>
  <si>
    <t>Computer Science, Information Systems, Engineering (any) or related field</t>
  </si>
  <si>
    <t>P-400-21153-361135</t>
  </si>
  <si>
    <t>P-100-21148-353463</t>
  </si>
  <si>
    <t>Escario/cl (dayana, s)</t>
  </si>
  <si>
    <t>P-100-21140-330550</t>
  </si>
  <si>
    <t xml:space="preserve"> Flint</t>
  </si>
  <si>
    <t>Assistant Vice President of HR</t>
  </si>
  <si>
    <t xml:space="preserve"> 411 Fifth Ave., 5th Floor</t>
  </si>
  <si>
    <t xml:space="preserve"> tina.flint@enstargroup.com</t>
  </si>
  <si>
    <t xml:space="preserve"> 411 Fifth Avenue, FI.5</t>
  </si>
  <si>
    <t xml:space="preserve"> Head of Corporate Actuarial</t>
  </si>
  <si>
    <t>="Bachelor’s or foreign equivalent degree in Mathematics, Statistic, Actuarial Science or a related quantitative field and eight (8) of experience in the job offered or related occupation. Experience must include: 1. At least 8 years of reserving experien</t>
  </si>
  <si>
    <t>P-100-21181-436190</t>
  </si>
  <si>
    <t>P-100-21138-322268</t>
  </si>
  <si>
    <t>P-400-21126-292802</t>
  </si>
  <si>
    <t xml:space="preserve">Director of Software Engineering </t>
  </si>
  <si>
    <t>P-400-21148-354673</t>
  </si>
  <si>
    <t>P-400-21123-282658</t>
  </si>
  <si>
    <t>P-400-21154-365384</t>
  </si>
  <si>
    <t>P-400-21153-361781</t>
  </si>
  <si>
    <t>P-400-21151-357036</t>
  </si>
  <si>
    <t>Brummett</t>
  </si>
  <si>
    <t>9453 FM 512</t>
  </si>
  <si>
    <t>Wolfe City</t>
  </si>
  <si>
    <t>brummettconcrete@ymail.com</t>
  </si>
  <si>
    <t>Brummett Concrete</t>
  </si>
  <si>
    <t>Crystal Lake</t>
  </si>
  <si>
    <t>P-100-21147-350174</t>
  </si>
  <si>
    <t>P-100-21149-355630</t>
  </si>
  <si>
    <t>Business, Technology, or Education</t>
  </si>
  <si>
    <t>P-100-21139-324560</t>
  </si>
  <si>
    <t>Computer Science, Electronics Engineering, or a related field</t>
  </si>
  <si>
    <t>P-100-21166-399892</t>
  </si>
  <si>
    <t>="Board certification in Neurology or eligible for certification; Ohio Medical License or eligible for licensure in Ohio.  Requires successful completion of a background check.
NOTE REGARDING BOX F.b.3.b. (TRAINING):  before the new version of the Form 9</t>
  </si>
  <si>
    <t>Job duties may require travel between various Ohio State University Medical Center facilities in Franklin County, Ohio.  (All are Ohio State University facilities, not third party sites, in Franklin County, Ohio.)
(Frequency:  may be seeing patients in different locations on a daily basis.  Maximum distance of offices would be approximately 8 miles apart.)</t>
  </si>
  <si>
    <t xml:space="preserve">Finance or Accounting </t>
  </si>
  <si>
    <t>Los Angeles-Long Beach-Anaheim, CA</t>
  </si>
  <si>
    <t>Associate, Data Operations</t>
  </si>
  <si>
    <t>="Three (3) years of experience in the job offered or a related occupation: utilizing investment risk analytics including duration, value at risk (VaR), and option adjusted spread; communicating with clients to explain technical software details; utilizin</t>
  </si>
  <si>
    <t>="Five (5) years of progressively responsible experience in the job offered or a related occupation: utilizing investment risk analytics including duration, value at risk (VaR), and option adjusted spread; communicating with clients to explain technical s</t>
  </si>
  <si>
    <t>100 Bellevue Parkway</t>
  </si>
  <si>
    <t>P-400-21126-293146</t>
  </si>
  <si>
    <t>Gerhardt</t>
  </si>
  <si>
    <t>4220 Winchester Pike</t>
  </si>
  <si>
    <t>GreenScapes Landscape Company, Inc.</t>
  </si>
  <si>
    <t>Crew Technician</t>
  </si>
  <si>
    <t>="Must lift/carry 50 lbs., when necessary.  Saturday work required, when necessary.  Employer-paid drug testing required of foreign and domestic workers prior to commencing work and post-hire at random and post-accident. Post-hire background check require</t>
  </si>
  <si>
    <t>P-400-21146-344876</t>
  </si>
  <si>
    <t>P-100-21138-322318</t>
  </si>
  <si>
    <t>ASSISTANT VICE PRESIDENT, HUMAN RESOURCES</t>
  </si>
  <si>
    <t>Clinical Laboratory Technologist II</t>
  </si>
  <si>
    <t>P-100-21161-387875</t>
  </si>
  <si>
    <t xml:space="preserve">German </t>
  </si>
  <si>
    <t xml:space="preserve">6319 NW 99 Ave. </t>
  </si>
  <si>
    <t>G J CARGO CORP</t>
  </si>
  <si>
    <t>P-100-21173-418673</t>
  </si>
  <si>
    <t>GLENDORA</t>
  </si>
  <si>
    <t>Corsicana</t>
  </si>
  <si>
    <t>P-100-21170-412567</t>
  </si>
  <si>
    <t>Lead Partner Decision Scientist</t>
  </si>
  <si>
    <t>Finance, Economics, Mathematics, or related quantitative subject</t>
  </si>
  <si>
    <t>Manager, Partner Decision Science</t>
  </si>
  <si>
    <t>Domestic travel is required, approximately 3 days per Quarter.</t>
  </si>
  <si>
    <t>P-400-21153-362275</t>
  </si>
  <si>
    <t>1410 Missouri Blvd</t>
  </si>
  <si>
    <t>claudiaayala01@hotmail.com</t>
  </si>
  <si>
    <t>El Jimador Mexican Restaurant</t>
  </si>
  <si>
    <t>1410 Missouri Blvd.</t>
  </si>
  <si>
    <t>250 W Main Street</t>
  </si>
  <si>
    <t>Wyatt Tarrant Combs LLP</t>
  </si>
  <si>
    <t>P-400-21154-366634</t>
  </si>
  <si>
    <t>P-100-21124-285729</t>
  </si>
  <si>
    <t>Apogee Medical Group, Michigan, PC</t>
  </si>
  <si>
    <t>416 Connable</t>
  </si>
  <si>
    <t>Petoskey</t>
  </si>
  <si>
    <t>47-3011.00</t>
  </si>
  <si>
    <t>P-400-21137-319967</t>
  </si>
  <si>
    <t>6 CIRCLE DR</t>
  </si>
  <si>
    <t>rbricks1@aol.com</t>
  </si>
  <si>
    <t>Natural Living Inc</t>
  </si>
  <si>
    <t>DBA Rick Williams Masonry</t>
  </si>
  <si>
    <t>6 Circle Drive</t>
  </si>
  <si>
    <t xml:space="preserve">403 N 4th Street </t>
  </si>
  <si>
    <t>Springfield, IL</t>
  </si>
  <si>
    <t xml:space="preserve">A </t>
  </si>
  <si>
    <t>Mount Sinai Hospital</t>
  </si>
  <si>
    <t>="Master’s Degree in Business Administration, Economics, or Finance, plus three years of experience in position offered or in a program/project management position.*
*All required experience must have included performing and overseeing cross-border proje</t>
  </si>
  <si>
    <t>President, Mount Sinai International</t>
  </si>
  <si>
    <t>Must be willing to travel internationally 20% of the time.</t>
  </si>
  <si>
    <t>P-100-21162-391049</t>
  </si>
  <si>
    <t xml:space="preserve">computer science or a related field </t>
  </si>
  <si>
    <t>="In lieu of a bachelor’s degree in computer science or a related field and 8 years of experience, employer will accept 12 years of experience implementing and maintaining Enterprise Software Solutions including EAM, GIS, APM or CIS in large, global asset</t>
  </si>
  <si>
    <t>4th floor</t>
  </si>
  <si>
    <t>P-400-21144-340076</t>
  </si>
  <si>
    <t xml:space="preserve">511 E ADAMS STREET </t>
  </si>
  <si>
    <t>PO BOX 830</t>
  </si>
  <si>
    <t>P-100-21174-421161</t>
  </si>
  <si>
    <t>SANTIAGO</t>
  </si>
  <si>
    <t>P-400-21153-363284</t>
  </si>
  <si>
    <t>Corl</t>
  </si>
  <si>
    <t>1204 Shenandoah Street</t>
  </si>
  <si>
    <t>watcher7557@gmail.com</t>
  </si>
  <si>
    <t>Watchmen Ventures LLC</t>
  </si>
  <si>
    <t>239 Industrial Blvd.</t>
  </si>
  <si>
    <t>Whiteville</t>
  </si>
  <si>
    <t>Southeast Coastal North Carolina nonmetropolitan area</t>
  </si>
  <si>
    <t>P-100-21135-316553</t>
  </si>
  <si>
    <t>303 Parkway Drive NE</t>
  </si>
  <si>
    <t>P-100-21144-339682</t>
  </si>
  <si>
    <t>=" Master’s degree in Science, Technology, or Engineering (any) with 1 year of experience in job offered or related occupation is required. Bachelor’s degree in the above fields along with 5 years of experience in job offered or related occupation is acce</t>
  </si>
  <si>
    <t>P-400-21149-355660</t>
  </si>
  <si>
    <t>Macias</t>
  </si>
  <si>
    <t xml:space="preserve">6307 Heatherbrook Dr. </t>
  </si>
  <si>
    <t>emacias.jmi@gmail.com</t>
  </si>
  <si>
    <t>J Macias Industries LLC</t>
  </si>
  <si>
    <t>6307 Heatherbrook Dr.</t>
  </si>
  <si>
    <t>Labor</t>
  </si>
  <si>
    <t>Field Manager</t>
  </si>
  <si>
    <t>P-400-21145-341838</t>
  </si>
  <si>
    <t>109 N Main</t>
  </si>
  <si>
    <t>jrwoodsman123@gmail.com</t>
  </si>
  <si>
    <t>Woodsman Inc</t>
  </si>
  <si>
    <t>Laborer - Tree Trimming Specialist</t>
  </si>
  <si>
    <t>Tree Trimmer/Pruner</t>
  </si>
  <si>
    <t>Travis and Williamson Counties in Texas - daily to complete work.</t>
  </si>
  <si>
    <t>109 N Main St</t>
  </si>
  <si>
    <t>P-400-21132-307362</t>
  </si>
  <si>
    <t>="ABLE TO LIFT 30 LBS TO 50 LBS, STAND, WALK, KNEEL, BEND, REACH OVERHEAD/GROUND LEVEL FOR LONG PERIOD OF TIMES, CLIMB 8 FT TO 16 FT LADDERS, HIGH
HEIGHTS, SIT, WORK IN ALL KIND OF WEATHER (EXTREME HEAT, COLD AND RAIN) ONCE HIRED MAY BE REQUIRED TO TAKE A</t>
  </si>
  <si>
    <t>P-100-21158-375004</t>
  </si>
  <si>
    <t>="BACHELORS DEGREE OR HIGHER IN PHYSICS, BIOMEDICAL ENGINEERING, MEDICAL SCIENCE, OR ANY RELATED FIELD OF STUDY, PLUS AT LEAST FIVE (5) YEARS OF POST-DEGREE, PROGRESSIVELY RESPONSIBLE EXPERIENCE IN ANY RELATED POSITION(S) INVOLVING MEDICAL PHYSICS.
QUALIF</t>
  </si>
  <si>
    <t xml:space="preserve">Domestic and international travel required up to 60% of the time.  Work from home benefit available. </t>
  </si>
  <si>
    <t>P-100-21123-281438</t>
  </si>
  <si>
    <t>NJ Woori Church Inc</t>
  </si>
  <si>
    <t>229 Terrace Ave</t>
  </si>
  <si>
    <t>P-100-21126-293656</t>
  </si>
  <si>
    <t>P-400-21144-336858</t>
  </si>
  <si>
    <t>P-100-21127-295626</t>
  </si>
  <si>
    <t>1170 Peachtree Street NE</t>
  </si>
  <si>
    <t xml:space="preserve">Architect I (Multi-Family-Atlanta) </t>
  </si>
  <si>
    <t xml:space="preserve">="* 2 years’ experience with designing large-scale (at least 450,000 square footage of building and 250,000 square footage of parking) mixed-use projects; 2 years’ experience in a design office with computer modeling and 3D software (Revit, Sketchup, and </t>
  </si>
  <si>
    <t>P-100-21127-294549</t>
  </si>
  <si>
    <t xml:space="preserve">2 St. Clair Ave., E. </t>
  </si>
  <si>
    <t>Ste. 901</t>
  </si>
  <si>
    <t>M4T2T5</t>
  </si>
  <si>
    <t xml:space="preserve">Ruppert Landscape, Inc. </t>
  </si>
  <si>
    <t>P-100-21147-350246</t>
  </si>
  <si>
    <t>P-400-21144-338981</t>
  </si>
  <si>
    <t xml:space="preserve">HOUSEKEEPING SUPERVISOR </t>
  </si>
  <si>
    <t>P-400-21131-304818</t>
  </si>
  <si>
    <t xml:space="preserve">Host and Hostesses </t>
  </si>
  <si>
    <t xml:space="preserve">="Must pass pre-employment drug test (in accordance with company’s Drug Free Workplace Policy) and background check; this includes seasonal and full-time annual positions and is applied to all applicants regardless of their national origin, race, gender, </t>
  </si>
  <si>
    <t>Principal Solution Architect</t>
  </si>
  <si>
    <t>12331-B Riata Trace Pkwy, Building 4</t>
  </si>
  <si>
    <t>P-100-21133-311170</t>
  </si>
  <si>
    <t xml:space="preserve">Bachelor’s degree or equivalent in Accounting or a related academic field. </t>
  </si>
  <si>
    <t>="Work experience to include: (1) 2 years of experience in public accounting in at least two of the following industries: Technology, Life Sciences, Consumer Products, Financial services, or Non-Profits. (2) Experience auditing accounts including inventor</t>
  </si>
  <si>
    <t xml:space="preserve">VCIT Solutions, Inc. </t>
  </si>
  <si>
    <t>3985  Steve Reynolds Blvd STE  L-101</t>
  </si>
  <si>
    <t>P-400-21133-311996</t>
  </si>
  <si>
    <t>="The Petitioner will consider for employment any person who possesses at least one (1) year of service experience in a fine-dining or high-volume environment at a high-end restaurant, resort, or private club.
Applicant must complete pre-employment backg</t>
  </si>
  <si>
    <t>Training Manager and Food &amp; Beverage Manager</t>
  </si>
  <si>
    <t>P-100-21139-325622</t>
  </si>
  <si>
    <t>IT, ENG (ANY) OR OTHER STEM FLD</t>
  </si>
  <si>
    <t>Gillett</t>
  </si>
  <si>
    <t>P-400-21125-288934</t>
  </si>
  <si>
    <t>Decorative Greens Cutter/ Arranger</t>
  </si>
  <si>
    <t>1804 NW Martin Road</t>
  </si>
  <si>
    <t>Forest Grove</t>
  </si>
  <si>
    <t>P-100-21131-303429</t>
  </si>
  <si>
    <t>Senior Account/Sales Manager</t>
  </si>
  <si>
    <t>Automotive Engineering, Electrical/Electronics Engineering or a related field of study; will accept equivalent foreign degree;</t>
  </si>
  <si>
    <t>="Education: Bachelor – Automotive Engineering, Electrical/Electronics Engineering or a related field of study; will accept equivalent foreign degree;
Experience: Five (5) years in the position above, as an Account Manager, or in a related lithium ion bat</t>
  </si>
  <si>
    <t>Chief Customer Officer</t>
  </si>
  <si>
    <t>P-400-21133-311295</t>
  </si>
  <si>
    <t>Duraney</t>
  </si>
  <si>
    <t>William Jr.</t>
  </si>
  <si>
    <t>6751 Taylor Rd Building D</t>
  </si>
  <si>
    <t>ameriscapeoffice@aol.com</t>
  </si>
  <si>
    <t>AMERISCAPE, INC.</t>
  </si>
  <si>
    <t xml:space="preserve">6751 TAYLOR ROAD,  </t>
  </si>
  <si>
    <t>Transportation provided from central location to various worksites within area of intended employment.</t>
  </si>
  <si>
    <t>6751 Taylor Road</t>
  </si>
  <si>
    <t>Engineer (Mobile Software Engineer)</t>
  </si>
  <si>
    <t>Computer Science, Software Engineering, MIS, or a related focus*</t>
  </si>
  <si>
    <t>="*Bachelor’s degree in a related field (Computer Science, Software Engineering, MIS, etc.) or a related focus plus 2 years of software development work experience in the job offered or a similar role (e.g., Mobile Developer, Quality Assurance, Software E</t>
  </si>
  <si>
    <t>P-400-21154-364224</t>
  </si>
  <si>
    <t>Dante</t>
  </si>
  <si>
    <t>1204 White St</t>
  </si>
  <si>
    <t>southernmoststaffing@gamil.com</t>
  </si>
  <si>
    <t>Southernmost Staffing Solutions LLC</t>
  </si>
  <si>
    <t>1204 white st</t>
  </si>
  <si>
    <t>136-20 38th Ave.</t>
  </si>
  <si>
    <t>Suite 11G-2</t>
  </si>
  <si>
    <t>shan.zhulaw@gmail.com</t>
  </si>
  <si>
    <t>Shan Zhu Law Group, P.C.</t>
  </si>
  <si>
    <t>Resort Housekeeping Cleaner</t>
  </si>
  <si>
    <t>Resort manager</t>
  </si>
  <si>
    <t>P-100-21123-281172</t>
  </si>
  <si>
    <t>Caterpillar,Inc.</t>
  </si>
  <si>
    <t>ONLINE WAGE LIBRARY</t>
  </si>
  <si>
    <t>Software  Development</t>
  </si>
  <si>
    <t>1901 S. First  Street</t>
  </si>
  <si>
    <t>P-100-21138-324427</t>
  </si>
  <si>
    <t>LANDCSAPE DESIGNER</t>
  </si>
  <si>
    <t>P-400-21146-347244</t>
  </si>
  <si>
    <t>yvonne.toy@cipllp.com</t>
  </si>
  <si>
    <t>P-100-21147-350119</t>
  </si>
  <si>
    <t>P-400-21125-288937</t>
  </si>
  <si>
    <t>Ardeneaux</t>
  </si>
  <si>
    <t xml:space="preserve">14461 Frenchtown Road </t>
  </si>
  <si>
    <t>hrm@corporategreen.us</t>
  </si>
  <si>
    <t>CORPORATE GREEN LLC</t>
  </si>
  <si>
    <t>GREENSEASONS</t>
  </si>
  <si>
    <t>56010 HWY 33</t>
  </si>
  <si>
    <t>SLIDELL</t>
  </si>
  <si>
    <t xml:space="preserve">WILL TRAVEL TO MULTI WORKSITES DAILY AT PRIVATE RESIDENCE AND COMMERCIAL PROPERTIES 
</t>
  </si>
  <si>
    <t>56010 Hwy 33</t>
  </si>
  <si>
    <t>New Orleans-Metairie, LA</t>
  </si>
  <si>
    <t>P-400-21130-299215</t>
  </si>
  <si>
    <t xml:space="preserve">="Skills required: Experience coding in an object-oriented programming language Java. Experience designing and testing Relational database management systems including MySQL. Experience writing unit test cases and integration test using Junit. Experience </t>
  </si>
  <si>
    <t>Lucedale</t>
  </si>
  <si>
    <t>P-100-21166-397959</t>
  </si>
  <si>
    <t>MAKENZIE</t>
  </si>
  <si>
    <t>500 PLAZA DRIVE</t>
  </si>
  <si>
    <t>SR. HUMAN RESOURCES GENERALIST</t>
  </si>
  <si>
    <t>SECAUCUS</t>
  </si>
  <si>
    <t>makenzie.L.cox@questdiagnostics.com</t>
  </si>
  <si>
    <t xml:space="preserve">QUEST DIAGNOSTICS INCORPORATED </t>
  </si>
  <si>
    <t>cgolderer@klaskolaw.com</t>
  </si>
  <si>
    <t xml:space="preserve">ANY OCCUPATION THAT PROVIDES REQUIRED EXPERIENCE. </t>
  </si>
  <si>
    <t>="Five (5) years of experience developing software using Java;  using Visual Basic and Angular JS frameworks for user interface development; extracting data with Perl Scripts; and architecting and designing databases and debugging applications. Two (2) ye</t>
  </si>
  <si>
    <t>DIRECTOR, SCIENCE - ASSOCIATE</t>
  </si>
  <si>
    <t>33608 Ortega Highway</t>
  </si>
  <si>
    <t>SAN JUAN CAPISTRANO</t>
  </si>
  <si>
    <t>Snow Removal Laborer</t>
  </si>
  <si>
    <t>P-100-21155-369233</t>
  </si>
  <si>
    <t>1954 AIRPORT ROAD</t>
  </si>
  <si>
    <t>Suite 234</t>
  </si>
  <si>
    <t>deepak.goyal@kr3infosys.com</t>
  </si>
  <si>
    <t>KR3 Information Systems, Inc.</t>
  </si>
  <si>
    <t>Sr. DevOp Engineer</t>
  </si>
  <si>
    <t>Computer Science/Computer Information System/Computer or Electronics Engineerin</t>
  </si>
  <si>
    <t xml:space="preserve">="Minimum Master’s degree or equivalent in Computer Science/Computer Information System/Computer or Electronics Engineering and 1- year experience in job offered or in the alternate field of Application Development. Experience in the alternate occupation </t>
  </si>
  <si>
    <t>Computer Science/Computer Information System/Computer or Electronics Engineering</t>
  </si>
  <si>
    <t>1954 AIRPORT ROAD, SUITE 234</t>
  </si>
  <si>
    <t>P-400-21130-299296</t>
  </si>
  <si>
    <t>P-100-21139-324969</t>
  </si>
  <si>
    <t>SAVVY INFO SYSTEMS, INC</t>
  </si>
  <si>
    <t>COMPUTER SCIENCE / APPLICATIONS/ ENGINEERING, INFORMATION TECHNOLOGY, ANY ENGINEERING OR RELATED.</t>
  </si>
  <si>
    <t>="MASTERS OR FOREIGN EQUIVALENT IN COMPUTER SCIENCE / APPLICATIONS/ ENGINEERING, INFORMATION TECHNOLOGY, ANY ENGINEERING OR RELATED FILED. IN THE ALTERNATIVE, WILL ACCEPT BACHELORS OR FOREIGN EQUIVALENT IN COMPUTER SCIENCE/APPLICATIONS/ ENGINEERING, INFOR</t>
  </si>
  <si>
    <t xml:space="preserve">Zwaik, Gilbert &amp; Associates </t>
  </si>
  <si>
    <t>P-100-21131-304666</t>
  </si>
  <si>
    <t>BACKMAN</t>
  </si>
  <si>
    <t>VERNA</t>
  </si>
  <si>
    <t>C N LEONG</t>
  </si>
  <si>
    <t>680 IWILEI ROAD</t>
  </si>
  <si>
    <t>#660</t>
  </si>
  <si>
    <t>VBACKMAN@QUEENS.ORG</t>
  </si>
  <si>
    <t>CARERESOURCE HAWAII</t>
  </si>
  <si>
    <t>CARERESOURCE</t>
  </si>
  <si>
    <t xml:space="preserve"> #660</t>
  </si>
  <si>
    <t>BEECHINOR</t>
  </si>
  <si>
    <t>ANN VICTORINO</t>
  </si>
  <si>
    <t>500 LUNALILO HOME ROAD</t>
  </si>
  <si>
    <t>#27-E</t>
  </si>
  <si>
    <t>L.Beechinor@hawaiiantel.net</t>
  </si>
  <si>
    <t>Self Employed</t>
  </si>
  <si>
    <t>Rehabilitation Services Coordinator</t>
  </si>
  <si>
    <t>Driving in the community on most work days, to service clients in various healthcare facilities or homes of clients, throughout the island of Oahu, Hawai¿i.</t>
  </si>
  <si>
    <t>P-100-21148-353353</t>
  </si>
  <si>
    <t>Withrow</t>
  </si>
  <si>
    <t>O’brian</t>
  </si>
  <si>
    <t>Director, Pilot Industry Relations &amp; Sourcing</t>
  </si>
  <si>
    <t xml:space="preserve">660 Barnstable Road </t>
  </si>
  <si>
    <t>cameron.withrow@capeair.com</t>
  </si>
  <si>
    <t>Hyannis Air Service, Inc</t>
  </si>
  <si>
    <t>Cape Air and Nantucket Airlines</t>
  </si>
  <si>
    <t>660 Barnstable Road</t>
  </si>
  <si>
    <t>pvilas@theepsteingroup.org</t>
  </si>
  <si>
    <t>The Law Office of Shayne Epstein</t>
  </si>
  <si>
    <t>CAPTAINS</t>
  </si>
  <si>
    <t>53-2011.00</t>
  </si>
  <si>
    <t>Airline Pilots, Copilots, and Flight Engineers</t>
  </si>
  <si>
    <t>RELOCATION NOT REQUIRED. PILOT WILL DEPART AND RETURN TO AIRPORT DAILY.</t>
  </si>
  <si>
    <t>P-100-21134-315070</t>
  </si>
  <si>
    <t xml:space="preserve"> Senior Security Engineer</t>
  </si>
  <si>
    <t>P-400-21153-362174</t>
  </si>
  <si>
    <t>P-100-21133-310587</t>
  </si>
  <si>
    <t xml:space="preserve">Lincoln National Corporation </t>
  </si>
  <si>
    <t xml:space="preserve">Lincoln Financial Group </t>
  </si>
  <si>
    <t xml:space="preserve">150 N. Radnor-Chester Road, A-308 </t>
  </si>
  <si>
    <t>Analyst, Data Analytics</t>
  </si>
  <si>
    <t>Information Technology and Management or a related field</t>
  </si>
  <si>
    <t>="REQUIREMENTS: Bachelor’s degree or foreign equivalent in Information Technology and Management or a related field. Experience must include 2 years of experience: (i) using T-SQL, PL/SQL, or Hive to analyze and manipulate large volumes of data; (ii) perf</t>
  </si>
  <si>
    <t>Director of Data Strategy and Delivery</t>
  </si>
  <si>
    <t xml:space="preserve">Radnor </t>
  </si>
  <si>
    <t>P-100-21140-328577</t>
  </si>
  <si>
    <t>="Experience in using multivariable regression modeling to build cohort models to predict customer usage and spend patterns; Experience with cross platform API and integrations and workflows to ensure proper data formatting and data flow across systems. M</t>
  </si>
  <si>
    <t>P-400-21153-361792</t>
  </si>
  <si>
    <t>Kitchen Attendant</t>
  </si>
  <si>
    <t xml:space="preserve">All worksites located in Stratton, Vermont.  Travel between worksites is required and is within walking distance. </t>
  </si>
  <si>
    <t>P-100-21166-398972</t>
  </si>
  <si>
    <t xml:space="preserve">MIO Information Security Analyst </t>
  </si>
  <si>
    <t>Cyber Security, Computer Science, or a related field or the foreign degree equivalent.</t>
  </si>
  <si>
    <t>="Minimum 6 months of experience (gained before, during, or after degree, including internship experience gained as part of degree studies) in cyber security. Experience must include the following: firewall exceptions and rulesets; and password tenability</t>
  </si>
  <si>
    <t>Head of Information Security</t>
  </si>
  <si>
    <t>P-400-21147-351408</t>
  </si>
  <si>
    <t>MCENTYRE</t>
  </si>
  <si>
    <t>ROCIO</t>
  </si>
  <si>
    <t>HR-DIRECTOR</t>
  </si>
  <si>
    <t>1306 COBB INDUSTRIAL DRIVE</t>
  </si>
  <si>
    <t>rmcentyre@lacosencha.net</t>
  </si>
  <si>
    <t>La Cosecha XII, LLC</t>
  </si>
  <si>
    <t>La Parrilla Mexican Restaurant</t>
  </si>
  <si>
    <t>JOON</t>
  </si>
  <si>
    <t xml:space="preserve">1295 OLD PEACHTREE ROAD </t>
  </si>
  <si>
    <t>info@jjeonglaw.com</t>
  </si>
  <si>
    <t>THE LAW OFFICE OF JOON JEONG, LLC</t>
  </si>
  <si>
    <t>1820 JONESBORO ROAD</t>
  </si>
  <si>
    <t>P-400-21127-296234</t>
  </si>
  <si>
    <t>23920 Snell Road</t>
  </si>
  <si>
    <t>Columbia Station</t>
  </si>
  <si>
    <t>Palmer's Lawn Care Inc.</t>
  </si>
  <si>
    <t>dba Palmer's Lawn Care</t>
  </si>
  <si>
    <t>Clinton Township</t>
  </si>
  <si>
    <t>P-400-21151-357035</t>
  </si>
  <si>
    <t>McCleskey</t>
  </si>
  <si>
    <t>1141 Ashley Ln.</t>
  </si>
  <si>
    <t>cjsandknop@hotmail.com</t>
  </si>
  <si>
    <t>Sandknop Farm Enterprises LLC</t>
  </si>
  <si>
    <t>TREE FARM MANAGER</t>
  </si>
  <si>
    <t>P-400-21131-303532</t>
  </si>
  <si>
    <t>Illescas</t>
  </si>
  <si>
    <t>379 Old Hunter Road</t>
  </si>
  <si>
    <t>Mailing: P.O. Box 96 , Jefferson, GA 30549</t>
  </si>
  <si>
    <t>Statham</t>
  </si>
  <si>
    <t>A &amp; I Interiors, LLC - AL</t>
  </si>
  <si>
    <t>="Must lift/carry 50 lbs., when necessary. Saturday and Sunday work required, when necessary. Employer-paid drug testing required of foreign and domestic workers prior to commencing work and post-hire at random. Post-hire background check required of fore</t>
  </si>
  <si>
    <t>US-431 &amp; Horsley Rd,</t>
  </si>
  <si>
    <t>Albertville</t>
  </si>
  <si>
    <t>P-100-21145-341617</t>
  </si>
  <si>
    <t>P-100-21124-284908</t>
  </si>
  <si>
    <t>Myung Sun</t>
  </si>
  <si>
    <t>3449 Lawrenceville-Suwanee Road</t>
  </si>
  <si>
    <t xml:space="preserve">BI Developer </t>
  </si>
  <si>
    <t>P-400-21148-352698</t>
  </si>
  <si>
    <t>Ianiro</t>
  </si>
  <si>
    <t>11644 Chilicothe Rd</t>
  </si>
  <si>
    <t>ianirolandscape@sbcglobal.net</t>
  </si>
  <si>
    <t>Ianiro Landscaping Inc</t>
  </si>
  <si>
    <t>Ianiro Landscape Development</t>
  </si>
  <si>
    <t>12115 Fowlers Mill Rd</t>
  </si>
  <si>
    <t>Chardon</t>
  </si>
  <si>
    <t>elizabeth@ebfordlaw.com</t>
  </si>
  <si>
    <t>Elizabeth B Ford, Attorney at Law LLC</t>
  </si>
  <si>
    <t>Cleveland-Elyria, OH</t>
  </si>
  <si>
    <t>P-100-21174-419936</t>
  </si>
  <si>
    <t>P-400-21139-326398</t>
  </si>
  <si>
    <t>25333 Sprague Rd</t>
  </si>
  <si>
    <t>MLD Group LLC</t>
  </si>
  <si>
    <t>Ground Person</t>
  </si>
  <si>
    <t>25333 Sprague Road,</t>
  </si>
  <si>
    <t>P-100-21144-339376</t>
  </si>
  <si>
    <t>P-100-21153-360993</t>
  </si>
  <si>
    <t xml:space="preserve">Beecher Manor Nursing &amp; Rehabilitation Center </t>
  </si>
  <si>
    <t xml:space="preserve">1201 Dixie Highway </t>
  </si>
  <si>
    <t>Beecher</t>
  </si>
  <si>
    <t>2201 Main St</t>
  </si>
  <si>
    <t>Extended Care Clinical, LLC</t>
  </si>
  <si>
    <t>1201 DIXIE HIGHWAY</t>
  </si>
  <si>
    <t>BEECHER</t>
  </si>
  <si>
    <t>P-400-21144-337260</t>
  </si>
  <si>
    <t>2920 Middle Bridge Ct</t>
  </si>
  <si>
    <t>Crofton</t>
  </si>
  <si>
    <t>hmballard@gmail.com</t>
  </si>
  <si>
    <t>Daniel Roy Ballard</t>
  </si>
  <si>
    <t>2920 Middle Bridge Ct.</t>
  </si>
  <si>
    <t>Fickey Martinez Law Firm</t>
  </si>
  <si>
    <t>P-400-21153-361385</t>
  </si>
  <si>
    <t>Transport provided, designated locale to job site. Begin in Worth County, GA. Continue in Counties/Areas: Brooks, Colquitt, Cook, Dooly, Dougherty, Early, Irwin, Lee, Mitchell, Sumter, Terrell, Tift, Worth and areas of Albany, GA, Middle Georgia nonmetropolitan area, South Georgia nonmetropolitan area, Valdosta, GA.</t>
  </si>
  <si>
    <t>6186 Thomas Rd (Report to Work)</t>
  </si>
  <si>
    <t>P-100-21175-424906</t>
  </si>
  <si>
    <t>P-100-21141-333052</t>
  </si>
  <si>
    <t>NETLINE TECHNOLOGIES, LLC</t>
  </si>
  <si>
    <t>1000 RT 9 N</t>
  </si>
  <si>
    <t xml:space="preserve">SCIENCE, TECHNOLOGY, ENGINEERING, OR ANY RELATED FIELD.
</t>
  </si>
  <si>
    <t>="Master’s degree in Science, Technology, Engineering, or any related field with 1 year of experience in the job offered or related occupation is required. Bachelor’s degree in the above mentioned fields along with 5 years of experience in the job offered</t>
  </si>
  <si>
    <t>Lemier</t>
  </si>
  <si>
    <t>34225 Grand River Ave.</t>
  </si>
  <si>
    <t>Medilodge of Farmington</t>
  </si>
  <si>
    <t>34225 Grand River Ave</t>
  </si>
  <si>
    <t>P-100-21165-393908</t>
  </si>
  <si>
    <t>or its foreign equivalent, Physical Therapy, Physiotherapy, or a closely related PT field.</t>
  </si>
  <si>
    <t>P-100-21127-295472</t>
  </si>
  <si>
    <t>228 SAINT GEORGE STREET</t>
  </si>
  <si>
    <t>P-400-21131-303375</t>
  </si>
  <si>
    <t>Tree Trimmer and Pruner</t>
  </si>
  <si>
    <t xml:space="preserve">Will Travel Multi Work Locations in a single dat at Private Residence and Commercial Properties
Main work will be performed in Terrebonne and Lafourche Parish - Other location listed will be if/when Emergency Request During Hurricane season or server weather causes down Trees or Electrical Lines.   </t>
  </si>
  <si>
    <t>P-400-21133-309910</t>
  </si>
  <si>
    <t>471 Potter Town Road</t>
  </si>
  <si>
    <t xml:space="preserve">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The wage entered in item G.4 reflects the area of intended employment entered in F.e.4 and F.e.5.
</t>
  </si>
  <si>
    <t>P-400-21146-344854</t>
  </si>
  <si>
    <t>RADCLIFFE</t>
  </si>
  <si>
    <t>DIRECTOR OF MEMBERSHIP &amp; HUMAN RESOURCES</t>
  </si>
  <si>
    <t>7407 SE Hill Terrace</t>
  </si>
  <si>
    <t>LOBLOLLY, INC.</t>
  </si>
  <si>
    <t>="Experience must be verifiable.
Pre-hire drug test, carried out equally between U.S. workers and H-2B workers.
Must be available to work split-shifts, nights, weekends &amp; holidays as needed. 
Must be able to lift, pull, push or carry up to 25 lbs or more,</t>
  </si>
  <si>
    <t>Chef de Cuisine</t>
  </si>
  <si>
    <t>P-100-21134-313099</t>
  </si>
  <si>
    <t>18323 Bothell Everett Hwy</t>
  </si>
  <si>
    <t>qzhong2222@hotmail.com</t>
  </si>
  <si>
    <t>Washington University Prep, LLC</t>
  </si>
  <si>
    <t>Chen and Mu</t>
  </si>
  <si>
    <t>Musical Teacher</t>
  </si>
  <si>
    <t>Four Year College Degree</t>
  </si>
  <si>
    <t xml:space="preserve">Musical Education
</t>
  </si>
  <si>
    <t>Music Teacher</t>
  </si>
  <si>
    <t>P-100-21165-395907</t>
  </si>
  <si>
    <t>="**Master’s or foreign academic equivalent in Computer Science, Information Technology Management, Engineering (Any), or related with ***1 year of relevant IT experience as a Computer / Engineering Professional. In lieu of the above, will also accept a *</t>
  </si>
  <si>
    <t xml:space="preserve">Addendum to Section F.e.7: Job locations in Morristown, NJ &amp; various unanticipated client sites nationally requiring relocation and travel to these sites involving short and long term assignments.
</t>
  </si>
  <si>
    <t>P-100-21174-422611</t>
  </si>
  <si>
    <t>Senior Attorney</t>
  </si>
  <si>
    <t>="4 years of post-baccalaureate, progressively responsible experience in each of the following skills:
•	Pipeline operations
•	Application of 49 CFR 195 and 192 and various applicable industry standards (ASME B31.4, B31.8, API 1160, etc.)
•	Operation, ca</t>
  </si>
  <si>
    <t>P-100-21153-361736</t>
  </si>
  <si>
    <t>Burbank Rehabilitation Center, LLC</t>
  </si>
  <si>
    <t xml:space="preserve">5400 W 87th St </t>
  </si>
  <si>
    <t>ravaljyoti@gmail.com</t>
  </si>
  <si>
    <t xml:space="preserve">Burbank Rehabilitation Center LLC </t>
  </si>
  <si>
    <t xml:space="preserve">Burbank </t>
  </si>
  <si>
    <t>P-400-21154-365839</t>
  </si>
  <si>
    <t>Guel</t>
  </si>
  <si>
    <t>5205 Arrowdell Road</t>
  </si>
  <si>
    <t>Balch Springs</t>
  </si>
  <si>
    <t>MGMenterprises612@yahoo.com</t>
  </si>
  <si>
    <t>M.G.M. Enterprises, Inc.</t>
  </si>
  <si>
    <t>DAILY TRANSPORTATION PROVIDED BY EMPLOYER TO AND FROM WORK SITES FROM A CENTRALIZED PICK-UP AREA IN BALCH SPRINGS, TX.</t>
  </si>
  <si>
    <t>P-100-21127-296527</t>
  </si>
  <si>
    <t>MEDICAL DGEREE</t>
  </si>
  <si>
    <t>CHIEF OF STAFF</t>
  </si>
  <si>
    <t>P-400-21125-289335</t>
  </si>
  <si>
    <t>Flisek</t>
  </si>
  <si>
    <t>Golf Course Superintendent</t>
  </si>
  <si>
    <t>1000 Nevillewood Drive</t>
  </si>
  <si>
    <t>Presto</t>
  </si>
  <si>
    <t>The Club at Nevillewood</t>
  </si>
  <si>
    <t xml:space="preserve">Housekeeper </t>
  </si>
  <si>
    <t>P-400-21133-310512</t>
  </si>
  <si>
    <t xml:space="preserve">MEDINA </t>
  </si>
  <si>
    <t>P-400-21140-330056</t>
  </si>
  <si>
    <t>800 NW 62nd Avenue, Suite 590</t>
  </si>
  <si>
    <t>F&amp;B Attendant</t>
  </si>
  <si>
    <t>Restaurant/Banquet Manager</t>
  </si>
  <si>
    <t>9891 Gulf Shore Driver</t>
  </si>
  <si>
    <t xml:space="preserve">Medline Industries, Inc. </t>
  </si>
  <si>
    <t>P-100-21162-391515</t>
  </si>
  <si>
    <t>STE 302A</t>
  </si>
  <si>
    <t xml:space="preserve">      555 West 18th Street</t>
  </si>
  <si>
    <t xml:space="preserve">Comp. Sci, Comp. Engin’rg, CIS, MIS, or other related academic discipline </t>
  </si>
  <si>
    <t>555 West 18th Street</t>
  </si>
  <si>
    <t>P-100-21179-429611</t>
  </si>
  <si>
    <t>3 Greenway Plaza, Suite 800</t>
  </si>
  <si>
    <t>Petroleum Geo-Services, Inc.</t>
  </si>
  <si>
    <t>15375 Memorial Drive</t>
  </si>
  <si>
    <t>Project Interpreter II</t>
  </si>
  <si>
    <t>Bachelor’s degree in Geophysics, Geology or Geoscience</t>
  </si>
  <si>
    <t>Imaging Supervisor</t>
  </si>
  <si>
    <t>Steffen</t>
  </si>
  <si>
    <t>Daniel Joseph</t>
  </si>
  <si>
    <t>34419 295th Street</t>
  </si>
  <si>
    <t>Steffen Farms LLC</t>
  </si>
  <si>
    <t>Kerner Andersson</t>
  </si>
  <si>
    <t>PO Box 143</t>
  </si>
  <si>
    <t>anna@kernerlegal.com</t>
  </si>
  <si>
    <t>Kerner Andersson Law Firm Prof. L.L.C.</t>
  </si>
  <si>
    <t>P-400-21152-359351</t>
  </si>
  <si>
    <t>="Skills Required: PHP, Python, JavaScript, HTML, CSS, Oracle, MySQL, and Linux. Master’s degree in Science, Technology, or Engineering (any) with 1 year of experience in job offered or related occupation is required. Bachelor’s degree in the above fields</t>
  </si>
  <si>
    <t>P-400-21153-363018</t>
  </si>
  <si>
    <t>jaimeayala01@hotmail.com</t>
  </si>
  <si>
    <t>KREBS</t>
  </si>
  <si>
    <t>GLEN</t>
  </si>
  <si>
    <t>250 WEST MAIN STREET</t>
  </si>
  <si>
    <t>GKREBS@WYATTFIRM.COM</t>
  </si>
  <si>
    <t>Jefferson City, MO</t>
  </si>
  <si>
    <t xml:space="preserve">WANSEUK </t>
  </si>
  <si>
    <t xml:space="preserve">ATTORNEY AT LAW </t>
  </si>
  <si>
    <t>3530 WILSHIRE BLVD.</t>
  </si>
  <si>
    <t>SUITE 1720</t>
  </si>
  <si>
    <t>brian@brianohlaw.com</t>
  </si>
  <si>
    <t xml:space="preserve">BRIAN </t>
  </si>
  <si>
    <t>LAW OFFICES OF BRIAN W. OH, PLC.</t>
  </si>
  <si>
    <t>P-400-21153-361280</t>
  </si>
  <si>
    <t>="The Petitioner will consider for employment any person who possesses at least six (6) months of experience in a high-volume food and beverage environment at a high-end restaurant, resort, or private club.  Applicant must complete pre-employment backgrou</t>
  </si>
  <si>
    <t>P-400-21145-343991</t>
  </si>
  <si>
    <t>Lees</t>
  </si>
  <si>
    <t>453 U.S. Hwy 61 South</t>
  </si>
  <si>
    <t>Natchez</t>
  </si>
  <si>
    <t>brian@roux61.com</t>
  </si>
  <si>
    <t>Roux Brothers, LLC</t>
  </si>
  <si>
    <t>Roux 61</t>
  </si>
  <si>
    <t>Southwest Mississippi nonmetropolitan area</t>
  </si>
  <si>
    <t>MEDICAL/ CLINICAL LABORATORY TECHNOLOGY</t>
  </si>
  <si>
    <t>="A CLINICAL LABORATORY TECHNOLOGIST MUST MEET NEW YORK STATE EDUCATION DEPARTMENT’S REQUIREMENTS FOR CLINICAL LABORATORY TECHNOLOGIST. THIS TECHNOLOGIST POSITION REQUIRES A BACHELOR’S DEGREE OR FOREIGN EQUIVALENT DEGREE IN MEDICAL TECHNOLOGY, CLINICAL LA</t>
  </si>
  <si>
    <t>P-100-21166-398440</t>
  </si>
  <si>
    <t>Bldg B</t>
  </si>
  <si>
    <t>P-400-21154-365729</t>
  </si>
  <si>
    <t>P-400-21144-338903</t>
  </si>
  <si>
    <t>Kyababchyan</t>
  </si>
  <si>
    <t>Zohrab</t>
  </si>
  <si>
    <t>875 N SR 24</t>
  </si>
  <si>
    <t>arevhospitality@gmail.com</t>
  </si>
  <si>
    <t>Arev Hospitality, LLC</t>
  </si>
  <si>
    <t xml:space="preserve"> DBA La Cueva Restaurante Mexicano</t>
  </si>
  <si>
    <t>P-400-21153-361950</t>
  </si>
  <si>
    <t>MACCHIA</t>
  </si>
  <si>
    <t>8 WHITE FARM ROAD</t>
  </si>
  <si>
    <t>WINGDALE</t>
  </si>
  <si>
    <t>Amacchiasnowremoval@gmail.com</t>
  </si>
  <si>
    <t>A MACCHIA SNOW REMOVAL, INC</t>
  </si>
  <si>
    <t>160 S CENTRAL AVENUE</t>
  </si>
  <si>
    <t>ELMSFORD</t>
  </si>
  <si>
    <t>SNOW REMOVAL TECHNICIAN</t>
  </si>
  <si>
    <t>160 SOUTH CENTRAL AVENUE</t>
  </si>
  <si>
    <t>Jarrod</t>
  </si>
  <si>
    <t>P-400-21151-357029</t>
  </si>
  <si>
    <t>P-100-21161-386608</t>
  </si>
  <si>
    <t>Computer Science, Management Information Systems, Computer Engineering, Information Technology or related field.</t>
  </si>
  <si>
    <t>="Six (6) years of progressively responsible experience in job offered or related occupation: developing services in highly available and scalable environments using design patterns; utilizing relational and NoSQL databases; working with CI/CD pipelines t</t>
  </si>
  <si>
    <t>="Four (4) years of experience in job offered or related occupation: developing services in highly available and scalable environments using design patterns; utilizing relational and NoSQL databases; working with CI/CD pipelines to perform automated build</t>
  </si>
  <si>
    <t>P-400-21146-347267</t>
  </si>
  <si>
    <t>Kaylah</t>
  </si>
  <si>
    <t>2105 Capurro Way Suite 105</t>
  </si>
  <si>
    <t>k.clayton@fmsstaffing.com</t>
  </si>
  <si>
    <t>Firstclass Management Solutions, LLC</t>
  </si>
  <si>
    <t>Law Office of William Jang, PLLC</t>
  </si>
  <si>
    <t>P-100-21141-335403</t>
  </si>
  <si>
    <t>="Skills required: Informatica Power Center, Oracle ODI, Oracle OWB, SQL PL/SQL, DataStage, UNIX, Teradata, and Cognos. Master’s degree in Science, Technology, Engineering, or any related field with 1 year of experience in the job offered or related occup</t>
  </si>
  <si>
    <t>P-100-21167-402187</t>
  </si>
  <si>
    <t>HR Process Improvement Manager, Sr.</t>
  </si>
  <si>
    <t>Anthem, Inc</t>
  </si>
  <si>
    <t>200 Virginia Ave</t>
  </si>
  <si>
    <t>Data Administration Analyst Sr.</t>
  </si>
  <si>
    <t>Computer Science, Information Management, or related field.</t>
  </si>
  <si>
    <t xml:space="preserve">="Requires a Bachelor's degree in Computer Science, Information Management or a related field, plus 5 years of experience working in information systems. Additional requirements: 3 years of experience in data administration; 2 years of experience in data </t>
  </si>
  <si>
    <t>P-100-21146-345700</t>
  </si>
  <si>
    <t>MASTERS DEGREE (OR FOREIGN EQUIVALENT) IN COMPUTER ENGINEERING, ELECTRICAL ENGINEERING, OR ELECTRONICS ENGINEERING</t>
  </si>
  <si>
    <t xml:space="preserve">Civil Engineering or related field </t>
  </si>
  <si>
    <t>P-400-21124-285836</t>
  </si>
  <si>
    <t>Nuckolls</t>
  </si>
  <si>
    <t>639 Shady Grove Rd.</t>
  </si>
  <si>
    <t>Hot Springs</t>
  </si>
  <si>
    <t>Hot Springs Country Club</t>
  </si>
  <si>
    <t>P-100-21165-394972</t>
  </si>
  <si>
    <t>Spridgeon</t>
  </si>
  <si>
    <t>2849 Executive Dr.</t>
  </si>
  <si>
    <t>timothy@spridgeon.com</t>
  </si>
  <si>
    <t>AVERY CONSTRUCTION DESIGN CONSULTING, INC.</t>
  </si>
  <si>
    <t>AVERY CONSTRUCTION</t>
  </si>
  <si>
    <t>5319 CULBREATH RD.</t>
  </si>
  <si>
    <t>BROOKSVILLE</t>
  </si>
  <si>
    <t>Timothy M Spridgeon P A</t>
  </si>
  <si>
    <t>LEAD RESIDENTIAL REMODELER</t>
  </si>
  <si>
    <t>Position requires daily travel to various undetermined job sites throughout Pinellas, Hillsborough and Pasco Counties, FL.</t>
  </si>
  <si>
    <t>CURRENT WORKSITE</t>
  </si>
  <si>
    <t>288 BEACH DR. NE, UNIT 4A</t>
  </si>
  <si>
    <t>ST PETERSBURG</t>
  </si>
  <si>
    <t>P-100-21166-400693</t>
  </si>
  <si>
    <t xml:space="preserve">Bachelor's or foreign equivalent in Graphic Design, Interaction Design, Industrial Design, or a related field. </t>
  </si>
  <si>
    <t>P-100-21139-325912</t>
  </si>
  <si>
    <t xml:space="preserve">Business Operations Consultant </t>
  </si>
  <si>
    <t xml:space="preserve">1295 State Street </t>
  </si>
  <si>
    <t>recruitingoperations@massmutual.com</t>
  </si>
  <si>
    <t>Computer Science, Statistics, or related</t>
  </si>
  <si>
    <t>60 Madison Ave</t>
  </si>
  <si>
    <t>P-400-21124-285984</t>
  </si>
  <si>
    <t>50 Tower St</t>
  </si>
  <si>
    <t>lara@lan-design.net</t>
  </si>
  <si>
    <t>Landesign, LLC</t>
  </si>
  <si>
    <t>Gloria@pesusa.com</t>
  </si>
  <si>
    <t>1406 Continental Drive</t>
  </si>
  <si>
    <t>P-400-21152-358700</t>
  </si>
  <si>
    <t>2 Union St</t>
  </si>
  <si>
    <t>joe@threeriversfun.com</t>
  </si>
  <si>
    <t>Upward Management Group LLC</t>
  </si>
  <si>
    <t>Upward Management Group</t>
  </si>
  <si>
    <t>Shipyard Brew Haus at White Cap Lodge</t>
  </si>
  <si>
    <t>White Heat Rd</t>
  </si>
  <si>
    <t>Newry</t>
  </si>
  <si>
    <t>P-400-21133-309926</t>
  </si>
  <si>
    <t xml:space="preserve">will travel to worksite daily. </t>
  </si>
  <si>
    <t>P-100-21139-327832</t>
  </si>
  <si>
    <t>P-100-21165-394099</t>
  </si>
  <si>
    <t>P-100-21144-337881</t>
  </si>
  <si>
    <t xml:space="preserve">="Skills required: C, C++, SQL, ASP.NET, XML Wed Services, Azure PaaS, Data Warehouse, Tableau, Git, TFS, Agile Methodology. Master’s degree in Science, Technology, Engineering, or any related field with 1 year of experience in the job offered or related </t>
  </si>
  <si>
    <t>250 B &amp; VARIOUS UNANTICIPATED LOCATIONS THROUGHOUT THE U.S</t>
  </si>
  <si>
    <t>P-400-21133-312269</t>
  </si>
  <si>
    <t>="The Petitioner will consider for employment any person who possesses at least one (1) year of service experience in a fine-dining or high-volume environment at a high-end restaurant, resort, or private club.  
Applicant must complete pre-employment bac</t>
  </si>
  <si>
    <t>P-400-21138-322280</t>
  </si>
  <si>
    <t>10070 State Route 4</t>
  </si>
  <si>
    <t>jjones@cpiwhitehall.com</t>
  </si>
  <si>
    <t>Commonwealth Plywood Inc.</t>
  </si>
  <si>
    <t>P-400-21140-329652</t>
  </si>
  <si>
    <t>5775 Davidson Hwy</t>
  </si>
  <si>
    <t>P-100-21138-321635</t>
  </si>
  <si>
    <t xml:space="preserve">Communications, Marketing, or a closely related field </t>
  </si>
  <si>
    <t>P-400-21139-327242</t>
  </si>
  <si>
    <t>15306 S ALEXANDER ROAD</t>
  </si>
  <si>
    <t>fstucks@rbdconstruction.com</t>
  </si>
  <si>
    <t>RBD Holdings, LLC</t>
  </si>
  <si>
    <t>Employer provides transportation from office to and from job sites. There is no itinerary involved as there are multiple locations.</t>
  </si>
  <si>
    <t>5548 HWY 65 S.</t>
  </si>
  <si>
    <t>Pine Bluff</t>
  </si>
  <si>
    <t>Pine Bluff, AR</t>
  </si>
  <si>
    <t>P-100-21172-413712</t>
  </si>
  <si>
    <t xml:space="preserve">TEA </t>
  </si>
  <si>
    <t xml:space="preserve">Business Administration, Business Management, or related. </t>
  </si>
  <si>
    <t>P-100-21145-341657</t>
  </si>
  <si>
    <t>Product Growth Analyst (91.146466.7)</t>
  </si>
  <si>
    <t>P-400-21127-296215</t>
  </si>
  <si>
    <t>Rodriguez Lopez</t>
  </si>
  <si>
    <t>11830 N 75th St #103</t>
  </si>
  <si>
    <t>Mailing: P.O. Box 103 , Hygiene, CO 80533</t>
  </si>
  <si>
    <t>Hygiene</t>
  </si>
  <si>
    <t>Vintage Stone Company LLC</t>
  </si>
  <si>
    <t>400 Preston Ave STE300</t>
  </si>
  <si>
    <t>Masonmen</t>
  </si>
  <si>
    <t xml:space="preserve">="Must lift/carry 50 lbs., when necessary.  Saturday work required, when necessary.  Post-hire upon suspicion of use and post-accident drug testing required of foreign and domestic workers. Post-hire background check and employment eligibility (e-Verify) </t>
  </si>
  <si>
    <t>3587 Stone Canyon Road</t>
  </si>
  <si>
    <t>P-400-21125-289254</t>
  </si>
  <si>
    <t>rickprescott15@gmail.com</t>
  </si>
  <si>
    <t>Syringa Landscape LLC</t>
  </si>
  <si>
    <t>Syringa Landscape</t>
  </si>
  <si>
    <t>10287 W State St.</t>
  </si>
  <si>
    <t>Worksite within the Boise MSA only, all travel and tools provided by Employer.</t>
  </si>
  <si>
    <t>P-400-21125-289213</t>
  </si>
  <si>
    <t>P-400-21137-320001</t>
  </si>
  <si>
    <t>186 Dubois Street</t>
  </si>
  <si>
    <t>PO Box 626</t>
  </si>
  <si>
    <t>Livingston Manor</t>
  </si>
  <si>
    <t>sweetbasilliberty@gmail.com</t>
  </si>
  <si>
    <t>Look Sao, Inc.</t>
  </si>
  <si>
    <t>Sweet Basil Thai Restaurant</t>
  </si>
  <si>
    <t>19 John St.</t>
  </si>
  <si>
    <t>cooks</t>
  </si>
  <si>
    <t>head cook</t>
  </si>
  <si>
    <t>Information Technology, Computer Engineering, or related field.</t>
  </si>
  <si>
    <t>P-100-21169-409403</t>
  </si>
  <si>
    <t>amandawong@gmail.com</t>
  </si>
  <si>
    <t>P-400-21134-316126</t>
  </si>
  <si>
    <t>Bisceglia</t>
  </si>
  <si>
    <t>3210 Lake Shore Drive</t>
  </si>
  <si>
    <t>thelodges@yahoo.com</t>
  </si>
  <si>
    <t>Boathouse Restaurant LLC</t>
  </si>
  <si>
    <t>Glens Falls, NY</t>
  </si>
  <si>
    <t>P-400-21123-282274</t>
  </si>
  <si>
    <t>10 Sprout Creek Ct.</t>
  </si>
  <si>
    <t>Wappingers Falls</t>
  </si>
  <si>
    <t>Lehigh Lawns &amp; Landscaping, Inc.</t>
  </si>
  <si>
    <t>P-100-21137-319680</t>
  </si>
  <si>
    <t>APLA Code Development Lead (20742.753)</t>
  </si>
  <si>
    <t>="Employer will accept Bachelor’s degree in Business Administration, Economics, Statistics, Finance, Marketing, or Communications and 5 years of progressive post-baccalaureate experience in the job offered or a related occupation. Experience must include:</t>
  </si>
  <si>
    <t>3350 SW 148 Ave</t>
  </si>
  <si>
    <t>P-100-21124-287108</t>
  </si>
  <si>
    <t>SPARTA INC</t>
  </si>
  <si>
    <t>4231 LAUREL ST</t>
  </si>
  <si>
    <t>ANCHORAGE</t>
  </si>
  <si>
    <t xml:space="preserve">The job is driving from the headquarters located at 4231 Laurel St, Anchorage, AK, 99508 all over the U.S via truck. Therefore all work will require travel 100% of the time. The purpose of the travel is to pick up goods and materials and deliver them to the destination as instructed.  </t>
  </si>
  <si>
    <t xml:space="preserve">Anchorage </t>
  </si>
  <si>
    <t>P-100-21134-314168</t>
  </si>
  <si>
    <t>P-400-21124-285562</t>
  </si>
  <si>
    <t>Northern Vermont nonmetropolitan area</t>
  </si>
  <si>
    <t>P-100-21131-305111</t>
  </si>
  <si>
    <t>ImmigrationNA@Parexel.com</t>
  </si>
  <si>
    <t>="Minimum requirements: Master's degree in Computer Science, Software Engineering, or a related field plus two years (or Bachelor's degree plus five progressive years) of IT systems project management experience.  Must have two years of experience with ea</t>
  </si>
  <si>
    <t>Swain</t>
  </si>
  <si>
    <t xml:space="preserve">Jim </t>
  </si>
  <si>
    <t>8651 N. Orange Bud Terr</t>
  </si>
  <si>
    <t>Crystal River</t>
  </si>
  <si>
    <t>jjswain2005@yahoo.com</t>
  </si>
  <si>
    <t>Pizza On A Stick, Inc</t>
  </si>
  <si>
    <t>8651 N. Orange bud Terr</t>
  </si>
  <si>
    <t>P-400-21130-299931</t>
  </si>
  <si>
    <t>49038 Dunhill Drive</t>
  </si>
  <si>
    <t>SC Lawnscape, LLC</t>
  </si>
  <si>
    <t>37877 Groesbeck Hwy,</t>
  </si>
  <si>
    <t>P-400-21147-351158</t>
  </si>
  <si>
    <t xml:space="preserve">TARPON LODGE LLC </t>
  </si>
  <si>
    <t>P-400-21146-347448</t>
  </si>
  <si>
    <t>3558 W GLENCOE STREET</t>
  </si>
  <si>
    <t>P-100-21137-317789</t>
  </si>
  <si>
    <t xml:space="preserve">10291 NW 74 TH TERR </t>
  </si>
  <si>
    <t>achayaplanetdistributors@gmail.com</t>
  </si>
  <si>
    <t>671 W . 18 TH STREET</t>
  </si>
  <si>
    <t xml:space="preserve"> VILCHEZ  QUINTERO</t>
  </si>
  <si>
    <t>P Q INTEGRAL SEVICES CORP</t>
  </si>
  <si>
    <t>PLEAE SEE ADDENDUM</t>
  </si>
  <si>
    <t>HUMA RESOURCES ASSISTANT</t>
  </si>
  <si>
    <t>P-400-21154-366474</t>
  </si>
  <si>
    <t>RESERVATION/HOTEL DESK CLERK</t>
  </si>
  <si>
    <t>P-100-21131-302883</t>
  </si>
  <si>
    <t>REF: PARIKH ( 5066067)</t>
  </si>
  <si>
    <t xml:space="preserve">Master’s  or foreign degree equivalent in Computer Science, Computer Engineering, Electrical Engineering, or related field. </t>
  </si>
  <si>
    <t>Senior Product Manager 2 - Technical [3402-Info Sys Mgmt 2]</t>
  </si>
  <si>
    <t>Computer Science, Business Administration, Information Technology, or closely related quantitative discipline</t>
  </si>
  <si>
    <t>="(1)	Business Process Modelling
(2)	Pega CPM (Customer Process Manager)
(3)	Agile Methodology
(4)	Business Analysis
(5)	Pega's Disputes Management module
(6)	Pega's Knowledge Management module
(7)	Pega's Campaign Management module
(8)	Pega Business Proce</t>
  </si>
  <si>
    <t>P-400-21131-303080</t>
  </si>
  <si>
    <t>Golf Course Maintenance Worker</t>
  </si>
  <si>
    <t xml:space="preserve">Golf Course Superintendent </t>
  </si>
  <si>
    <t>222 2nd Avenue South</t>
  </si>
  <si>
    <t>P-100-21130-301651</t>
  </si>
  <si>
    <t>Morgan Lewis  &amp; Bockius LLP</t>
  </si>
  <si>
    <t>P-400-21144-339810</t>
  </si>
  <si>
    <t>Mi Esquina Market Inc</t>
  </si>
  <si>
    <t>Gainesville Seafood Market</t>
  </si>
  <si>
    <t>1403 Atlanta Hwy</t>
  </si>
  <si>
    <t>Restaurant worker</t>
  </si>
  <si>
    <t>P-100-21132-308441</t>
  </si>
  <si>
    <t>Computer Science, Electronic or Computer Engineering, Information Technology or closely related field.</t>
  </si>
  <si>
    <t>P-400-21153-361625</t>
  </si>
  <si>
    <t>MELODIE</t>
  </si>
  <si>
    <t>750 JOE DANIEL RD</t>
  </si>
  <si>
    <t>BRADYVILLE</t>
  </si>
  <si>
    <t>MDANIEL@HUFFPUFFTRUCKING.COM</t>
  </si>
  <si>
    <t>HUFF &amp; PUFF TRUCKING, INC.</t>
  </si>
  <si>
    <t>LOT 1933 W MISHAWAKA RD</t>
  </si>
  <si>
    <t>ELKHART</t>
  </si>
  <si>
    <t>Elkhart-Goshen, IN</t>
  </si>
  <si>
    <t>P-400-21154-366240</t>
  </si>
  <si>
    <t>2100 EAST OVERLAND DRIVE</t>
  </si>
  <si>
    <t>SCOTTSBLUFF</t>
  </si>
  <si>
    <t>P-400-21153-361800</t>
  </si>
  <si>
    <t>P-400-21147-350054</t>
  </si>
  <si>
    <t>Rufino</t>
  </si>
  <si>
    <t xml:space="preserve">402 atkins ave. </t>
  </si>
  <si>
    <t>neptune</t>
  </si>
  <si>
    <t>rufinoimprov@gmail.com</t>
  </si>
  <si>
    <t>C &amp; R home improvement LLC</t>
  </si>
  <si>
    <t>402 atkins ave</t>
  </si>
  <si>
    <t>constructions helpers</t>
  </si>
  <si>
    <t>in the Monmouth area,  depending in the needs of the company.</t>
  </si>
  <si>
    <t>neptune city</t>
  </si>
  <si>
    <t>P-400-21145-343953</t>
  </si>
  <si>
    <t>Arnoldo</t>
  </si>
  <si>
    <t>2500 Monkey Lane</t>
  </si>
  <si>
    <t>Silsbee</t>
  </si>
  <si>
    <t>valencia1977@live.com</t>
  </si>
  <si>
    <t>Arnoldo Valencia, Jr.</t>
  </si>
  <si>
    <t>Valencia Forestry</t>
  </si>
  <si>
    <t>1336 US HWY 1</t>
  </si>
  <si>
    <t>P-400-21123-282544</t>
  </si>
  <si>
    <t>P-400-21139-327077</t>
  </si>
  <si>
    <t>Nail</t>
  </si>
  <si>
    <t>Supervisor/President</t>
  </si>
  <si>
    <t>733 B Highway 6 East</t>
  </si>
  <si>
    <t>Nail Forestry Services, INC</t>
  </si>
  <si>
    <t>733-B Highway 6 East</t>
  </si>
  <si>
    <t>733-b Highway 6 East</t>
  </si>
  <si>
    <t>P-400-21152-359009</t>
  </si>
  <si>
    <t>431 Atlas Drive</t>
  </si>
  <si>
    <t>P-100-21155-370125</t>
  </si>
  <si>
    <t>P-100-21137-318723</t>
  </si>
  <si>
    <t>PATRCIK</t>
  </si>
  <si>
    <t>P-100-21124-285564</t>
  </si>
  <si>
    <t>sayaka@shinsengumigroup.com</t>
  </si>
  <si>
    <t>18517 S. Western Ave.</t>
  </si>
  <si>
    <t>P-100-21172-413692</t>
  </si>
  <si>
    <t xml:space="preserve">Business Administration or Business Management. </t>
  </si>
  <si>
    <t>P-100-21169-409772</t>
  </si>
  <si>
    <t>P-400-21152-357615</t>
  </si>
  <si>
    <t>4323 VT Route 108 South</t>
  </si>
  <si>
    <t>Jeffersonville</t>
  </si>
  <si>
    <t>sschaffer@smuggs.com</t>
  </si>
  <si>
    <t>Smuggler’s Notch Management Company, Ltd.</t>
  </si>
  <si>
    <t>Smuggler’s Notch Resort</t>
  </si>
  <si>
    <t>YIN</t>
  </si>
  <si>
    <t>JIARUI</t>
  </si>
  <si>
    <t>1770 INDIAN TRAIL LILBURN ROAD</t>
  </si>
  <si>
    <t>HELP@XIELAW.COM</t>
  </si>
  <si>
    <t>XIE LAW OFFICES LLC</t>
  </si>
  <si>
    <t>P-100-21138-322300</t>
  </si>
  <si>
    <t>90% of the time, throughout the U.S. - West Coast, Southeast, Gulf Coast, and Midwest regions.</t>
  </si>
  <si>
    <t>2590 Willamette Dr. NE</t>
  </si>
  <si>
    <t>FINANCE DIRECTOR</t>
  </si>
  <si>
    <t>2800 S ORANGE BLOSSOM TRAIL</t>
  </si>
  <si>
    <t>amberbuild@yahoo.com</t>
  </si>
  <si>
    <t>DOMA CONCEPTS LLC</t>
  </si>
  <si>
    <t>izi@pinholaw.com</t>
  </si>
  <si>
    <t>Pinho Law PLLC</t>
  </si>
  <si>
    <t>1200 S John Young Pkwy</t>
  </si>
  <si>
    <t>P-100-21165-395138</t>
  </si>
  <si>
    <t>P-400-21137-320089</t>
  </si>
  <si>
    <t>CHIARO</t>
  </si>
  <si>
    <t xml:space="preserve">OFFICE MANAGER </t>
  </si>
  <si>
    <t>301 ROUTE 66</t>
  </si>
  <si>
    <t>HUDSON</t>
  </si>
  <si>
    <t>CHIAROSUE@YAHOO.COM</t>
  </si>
  <si>
    <t>YONDER FRUIT DISTRIBUTORS LLC</t>
  </si>
  <si>
    <t>MARCHESE</t>
  </si>
  <si>
    <t xml:space="preserve">MARY ANN </t>
  </si>
  <si>
    <t xml:space="preserve">59 MAIN STREET </t>
  </si>
  <si>
    <t xml:space="preserve">PO BOX 326 </t>
  </si>
  <si>
    <t>MILTON</t>
  </si>
  <si>
    <t>VALLEYGROWERSCO@GMAIL.COM</t>
  </si>
  <si>
    <t xml:space="preserve">VALLEY GROWERS CO-OP INC </t>
  </si>
  <si>
    <t>FRUIT GRADER, SORTER &amp; PACKER</t>
  </si>
  <si>
    <t xml:space="preserve">FRUIT GRADER, SORTER &amp; PACKER </t>
  </si>
  <si>
    <t xml:space="preserve">301 ROUTE 66 </t>
  </si>
  <si>
    <t>Central East New York nonmetropolitan area</t>
  </si>
  <si>
    <t>Principal Engineer I</t>
  </si>
  <si>
    <t>="Bachelor’s degree (or foreign equivalent) in Computer Science, Information Technology, or a related field. 3 years of experience documenting network environments; troubleshooting network infrastructure; and working in network engineering. 2 years of exp</t>
  </si>
  <si>
    <t>P-100-21153-360857</t>
  </si>
  <si>
    <t>P-100-21169-409115</t>
  </si>
  <si>
    <t>Qiaoxin</t>
  </si>
  <si>
    <t xml:space="preserve">1901 Rickety Ln </t>
  </si>
  <si>
    <t xml:space="preserve">suite 209 </t>
  </si>
  <si>
    <t>tyler</t>
  </si>
  <si>
    <t>hr@elink-elite.com</t>
  </si>
  <si>
    <t xml:space="preserve">Elink Elite, LLC </t>
  </si>
  <si>
    <t xml:space="preserve">Suite 209 </t>
  </si>
  <si>
    <t xml:space="preserve">The L L Law Group </t>
  </si>
  <si>
    <t xml:space="preserve">Senior Accountant </t>
  </si>
  <si>
    <t xml:space="preserve">accounting </t>
  </si>
  <si>
    <t>P-400-21125-289212</t>
  </si>
  <si>
    <t>="ABLE TO: LIFT 50LBS, STAND, WALK, KNEEL, BEND, REACH OVERHEAD/GROUND LEVEL FOR LONG PERIOD OF TIMES, WORK IN ALL KIND OF WEATHER CONDITIONS(EXTREME HEAT, EXTREME COLD AND RAIN).
ONCE HIRED MAY BE SUBJECT TO A RANDOM DRUG TEST AT NO COST TO WORKER, IF T</t>
  </si>
  <si>
    <t>P-400-21145-342690</t>
  </si>
  <si>
    <t>P-100-21131-302918</t>
  </si>
  <si>
    <t>Colon</t>
  </si>
  <si>
    <t>Metro Office Park, Street 1</t>
  </si>
  <si>
    <t>Building 6, Suite 205</t>
  </si>
  <si>
    <t>jesus.colon@c2spr.com</t>
  </si>
  <si>
    <t>Fernando M Socol  PA</t>
  </si>
  <si>
    <t>="Education and Experience: Bachelor's or foreign equivalent in Computer Science, Engineering, Mathematics, Information Systems, Physics, or a related field; and 24 months of software-related, centralized and coordinated program, product, or project manag</t>
  </si>
  <si>
    <t>P-400-21146-346679</t>
  </si>
  <si>
    <t xml:space="preserve">Travel to various worksites within area of intended employment required. Transportation to and from all worksites provided by Employer at no cost. </t>
  </si>
  <si>
    <t>444 2nd Rd</t>
  </si>
  <si>
    <t>Howells</t>
  </si>
  <si>
    <t>P-400-21144-336967</t>
  </si>
  <si>
    <t>P-400-21127-297057</t>
  </si>
  <si>
    <t>Recinos</t>
  </si>
  <si>
    <t>Sonata</t>
  </si>
  <si>
    <t>912 McKinley Ave</t>
  </si>
  <si>
    <t>Box 114</t>
  </si>
  <si>
    <t>Detroit Lakes</t>
  </si>
  <si>
    <t>winterscapes@mail.com</t>
  </si>
  <si>
    <t>Winterscapes LLC</t>
  </si>
  <si>
    <t>Snow Removal Service</t>
  </si>
  <si>
    <t>Labor manager</t>
  </si>
  <si>
    <t>P-100-21155-369726</t>
  </si>
  <si>
    <t>Maddie</t>
  </si>
  <si>
    <t>51 Long Springs Road</t>
  </si>
  <si>
    <t>maddison.bauer@gmail.com</t>
  </si>
  <si>
    <t>W. David Bauer &amp; Elizabeth Bauer</t>
  </si>
  <si>
    <t>dlazaar@wildesweinberg.com</t>
  </si>
  <si>
    <t>P-100-21168-406897</t>
  </si>
  <si>
    <t>8954 Hospital Drive</t>
  </si>
  <si>
    <t>P-100-21127-296059</t>
  </si>
  <si>
    <t xml:space="preserve">McCrummen </t>
  </si>
  <si>
    <t>="Specific Skills Requirement 
•	(1) Utilizing languages and frameworks including JavaScript, HTML, CSS, Bootstrap, TypeScript, AngularJS, Angular 8, 9, Node JS, Express JS, Hapi, JAVA, Spring Boot, Bash Script, and Shell Script.
•	(2) Working with libra</t>
  </si>
  <si>
    <t>P-400-21141-333895</t>
  </si>
  <si>
    <t>HOST</t>
  </si>
  <si>
    <t>P-400-21146-344865</t>
  </si>
  <si>
    <t>JONATHANS LANDING GOLF CLUB</t>
  </si>
  <si>
    <t>P-400-21126-291936</t>
  </si>
  <si>
    <t>P-100-21140-331574</t>
  </si>
  <si>
    <t>11315 Corporate Blvd., Ste. #110, Orlando FL 32817.</t>
  </si>
  <si>
    <t>P-400-21146-344859</t>
  </si>
  <si>
    <t xml:space="preserve">JANINE </t>
  </si>
  <si>
    <t>P-400-21141-334560</t>
  </si>
  <si>
    <t>125 Industrial Blvd</t>
  </si>
  <si>
    <t>Ellijay</t>
  </si>
  <si>
    <t>Hampton Inn and Suites</t>
  </si>
  <si>
    <t>P-100-21165-393855</t>
  </si>
  <si>
    <t>or its equivalent, in Physical Therapy, Physiotherapy, or a closely related PT field</t>
  </si>
  <si>
    <t>P-400-21126-293610</t>
  </si>
  <si>
    <t>110 Hancock Rd</t>
  </si>
  <si>
    <t>Mailing: P.O. Box 253 , Lucedale, MS 39452</t>
  </si>
  <si>
    <t>staff@harrisbk.com</t>
  </si>
  <si>
    <t>Maria Garcia</t>
  </si>
  <si>
    <t>Red Creek Tree Planting</t>
  </si>
  <si>
    <t>="Requires physical stamina.  Extensive walking over rough terrain. Work is outdoors in extreme temperatures and adverse weather. Must lift and carry 50 lbs. Work schedule and locations dependent on weather conditions. Overnight travel required. Productio</t>
  </si>
  <si>
    <t>110 Hancock Road</t>
  </si>
  <si>
    <t>P-400-21130-298515</t>
  </si>
  <si>
    <t>P-100-21153-362359</t>
  </si>
  <si>
    <t>="Employer will accept a Bachelor’s degree in Computer Science, or related field followed by 5 years of progressive, post baccalaureate experience in in the position offered a computer-related occupation. *In lieu of a Bachelor’s degree and 5 years of wor</t>
  </si>
  <si>
    <t>12401 Research Blvd</t>
  </si>
  <si>
    <t>P-400-21148-354451</t>
  </si>
  <si>
    <t>SAVAGE</t>
  </si>
  <si>
    <t>105 PHILADELPHIA AVE</t>
  </si>
  <si>
    <t>EGG HARBOR CITY</t>
  </si>
  <si>
    <t>HARBORCITY2021@GMAIL.COM</t>
  </si>
  <si>
    <t>ONE 05 LLC</t>
  </si>
  <si>
    <t>LEATHERHEAD PUB</t>
  </si>
  <si>
    <t>EGG HARBOR</t>
  </si>
  <si>
    <t>RESTAURANT HELPER</t>
  </si>
  <si>
    <t>Atlantic City-Hammonton, NJ</t>
  </si>
  <si>
    <t>P-400-21137-320454</t>
  </si>
  <si>
    <t>Heavenly Valley, Limited Partnership</t>
  </si>
  <si>
    <t>Kirkwood Mountain Resort</t>
  </si>
  <si>
    <t>1501 Kirkwood Meadows Drive</t>
  </si>
  <si>
    <t>P-100-21173-418468</t>
  </si>
  <si>
    <t>Organizational Behavior or related management field</t>
  </si>
  <si>
    <t>595 Commonwealth Ave</t>
  </si>
  <si>
    <t>P-400-21132-307903</t>
  </si>
  <si>
    <t>SALZMAN</t>
  </si>
  <si>
    <t>1505 S TIMBERLINE ROAD</t>
  </si>
  <si>
    <t>sbath@bathgardencenter.com</t>
  </si>
  <si>
    <t>BATH, INC.</t>
  </si>
  <si>
    <t>BATH LANDSCAPE AND IRRIGATION</t>
  </si>
  <si>
    <t>Fort Collins, CO</t>
  </si>
  <si>
    <t>P-100-21165-395571</t>
  </si>
  <si>
    <t>Data Analyst-Business Intelligence Analyst (multpl position)</t>
  </si>
  <si>
    <t xml:space="preserve">Engineering (all), Business Administration, Computer Science, Technology, or related field </t>
  </si>
  <si>
    <t xml:space="preserve">Position headquartered in Danville, IL  with travel required to unanticipated project sites throughout the U.S. based on client need.
</t>
  </si>
  <si>
    <t>P-400-21152-359975</t>
  </si>
  <si>
    <t>Rohlf</t>
  </si>
  <si>
    <t>1833 Pieper Rd.</t>
  </si>
  <si>
    <t>Come Follow Me LLC</t>
  </si>
  <si>
    <t>Hallelujah Lighting</t>
  </si>
  <si>
    <t>immiogration@fisherbroyles.com</t>
  </si>
  <si>
    <t>P-400-21123-283496</t>
  </si>
  <si>
    <t>Trejo</t>
  </si>
  <si>
    <t>248 Randalia Road</t>
  </si>
  <si>
    <t>Chesapeake City</t>
  </si>
  <si>
    <t>Wicho &amp; Sons, LLC</t>
  </si>
  <si>
    <t>248 Randalia Rd.</t>
  </si>
  <si>
    <t>P-400-21147-350368</t>
  </si>
  <si>
    <t>996 JERUSALEM AVE</t>
  </si>
  <si>
    <t>UNIONDALE</t>
  </si>
  <si>
    <t>RODNEYS LANDSCAPING</t>
  </si>
  <si>
    <t>996 JERUSALEM AVENUE</t>
  </si>
  <si>
    <t>P-400-21127-296713</t>
  </si>
  <si>
    <t>1103 136th Ave. NE</t>
  </si>
  <si>
    <t>Prairie View Landscaping &amp; Nursery, Inc</t>
  </si>
  <si>
    <t>="Must lift/carry 50 lbs., when necessary.  Saturday and Sunday work required, when necessary.  Post-hire random, post-accident and upon suspicion of use drug testing required of foreign and domestic workers. Post-hire background check and employment elig</t>
  </si>
  <si>
    <t>1103 136th Ave NE</t>
  </si>
  <si>
    <t>P-100-21166-398601</t>
  </si>
  <si>
    <t>Hasbani</t>
  </si>
  <si>
    <t>DreamHome NY LLC</t>
  </si>
  <si>
    <t>P-100-21155-370507</t>
  </si>
  <si>
    <t xml:space="preserve">="Employer will accept a MA’s degree in Computer Science, Information Technology, Business Administration (MBA) or a related field and 5 years of experience in the job offered or a computer-related occupation. 
Position requires:
1.	Project and Program </t>
  </si>
  <si>
    <t>Mitchell Presson DBA Timberland Forestry Service</t>
  </si>
  <si>
    <t>P-400-21148-354766</t>
  </si>
  <si>
    <t xml:space="preserve">Clay </t>
  </si>
  <si>
    <t>Milan Supply Chain Solutions, Inc.</t>
  </si>
  <si>
    <t>OTR Truck Driver</t>
  </si>
  <si>
    <t>="• Must be able to lift 50 pound 
• 5 Years prior OTR experience 
• Valid Mexican CDL or FDDL
• Must pass a drug screen 
• No accidents or moving violations in the last 3 years 
• No felony convictions or DUI/DWI in the last 10 years 
• Must be able to r</t>
  </si>
  <si>
    <t>• Pick up and drop off locations in various cities within the following states: TN, AL, MS, GA, KY, TX, MO, IL, IN, OH, MI, WI, FL, NC, SC, VA, PA, AR</t>
  </si>
  <si>
    <t>P-100-21126-294261</t>
  </si>
  <si>
    <t>THE JOB IS DRIVING FROM THE HEADQUARTERS LOCATED AT 1364 COMAN RD, JACKSONVILLE, FL, 32218 ALL OVER THE U.S. VIA TRUCK THEREFORE ALL WORK WILL REQUIRE TRAVEL 100% OF THE TIME. THE PURPOSE OF THE TRAVEL IS TO PICK UP GOODS AND MATERIALS AND DELIVER THEM TO THE DESTINATION AS INSTRUCTED.</t>
  </si>
  <si>
    <t>Clackamas</t>
  </si>
  <si>
    <t>P-400-21145-341789</t>
  </si>
  <si>
    <t>2543 Willow Ave</t>
  </si>
  <si>
    <t>Thayer</t>
  </si>
  <si>
    <t>="Four (4) years of experience in the job offered or related occupation: completing statistical analysis using methodologies, including profiling, quality analysis, and optimization; performing data exploration, manipulation, and analysis using SAS; and u</t>
  </si>
  <si>
    <t>2402 W. Beardsley Road</t>
  </si>
  <si>
    <t>P-400-21132-308604</t>
  </si>
  <si>
    <t>1850 Parkway</t>
  </si>
  <si>
    <t>jwilson@comfortinnapplevalley.com</t>
  </si>
  <si>
    <t>Parkgrove L.P.</t>
  </si>
  <si>
    <t>Comfort Inn Apple Valley</t>
  </si>
  <si>
    <t>P-100-21133-311442</t>
  </si>
  <si>
    <t>P-400-21130-301177</t>
  </si>
  <si>
    <t>11834 Woodsboro Creagerstown Road</t>
  </si>
  <si>
    <t>Woodsboro</t>
  </si>
  <si>
    <t>11834 Woodsboro Creagrstown Road</t>
  </si>
  <si>
    <t>P-400-21153-363259</t>
  </si>
  <si>
    <t>HAEFFNER</t>
  </si>
  <si>
    <t>TED</t>
  </si>
  <si>
    <t>3200 CANAL STREET</t>
  </si>
  <si>
    <t xml:space="preserve">ST CHARLES </t>
  </si>
  <si>
    <t xml:space="preserve">TNT LAWN SERVICES LLC </t>
  </si>
  <si>
    <t xml:space="preserve">3200 CANAL STREET </t>
  </si>
  <si>
    <t xml:space="preserve">MULTIPLE SITES IN ST CHARLES </t>
  </si>
  <si>
    <t>ST CHARLES</t>
  </si>
  <si>
    <t>P-400-21134-315942</t>
  </si>
  <si>
    <t>Northern Hospitality Management LLC</t>
  </si>
  <si>
    <t>P-100-21127-297742</t>
  </si>
  <si>
    <t xml:space="preserve">3700 Wilshire Blvd. </t>
  </si>
  <si>
    <t>2717 S. Hill Street</t>
  </si>
  <si>
    <t>Graphic Design, Painting, Fine Arts or related.</t>
  </si>
  <si>
    <t>P-400-21130-299956</t>
  </si>
  <si>
    <t>2077 North Frontage Rd, Ste 111 Vail, CO 81657 (physical)</t>
  </si>
  <si>
    <t>PO Box 3487 Vail, CO 81658 (mailing)</t>
  </si>
  <si>
    <t>Vail Chop LLC</t>
  </si>
  <si>
    <t>Vail Chophouse</t>
  </si>
  <si>
    <t>675 Lionshead pl. (physical)</t>
  </si>
  <si>
    <t>PO Box 4022  Avon, Co. 81620 (mailing)</t>
  </si>
  <si>
    <t>2077 North Frontage Rd., Ste 111 Vail CO 81657 (physical)</t>
  </si>
  <si>
    <t>P-100-21133-311284</t>
  </si>
  <si>
    <t>P-100-21131-303217</t>
  </si>
  <si>
    <t>Senior Associate, DevOps</t>
  </si>
  <si>
    <t>Must have a Bachelor's degree or foreign equivalent in Computer Science, Business Administration, Information Technology, Computer Information Systems or a related field.</t>
  </si>
  <si>
    <t>Master’s degree or foreign equivalent in Computer Science, Business Administration, Information Technology, Computer Information Systems or a related field, plus 1 year of related work experience.</t>
  </si>
  <si>
    <t>P-400-21127-295394</t>
  </si>
  <si>
    <t>11 Northeastern Blvd., Ste. #370</t>
  </si>
  <si>
    <t>Stanton Landscaping &amp; Irrigation, LLC</t>
  </si>
  <si>
    <t>11 Northeastern Blvd, Ste 370</t>
  </si>
  <si>
    <t>Baram</t>
  </si>
  <si>
    <t>33 S. Commercial Street</t>
  </si>
  <si>
    <t>h.baram@snhu.edu</t>
  </si>
  <si>
    <t>Southern New Hampshire University</t>
  </si>
  <si>
    <t>2500 North River Road</t>
  </si>
  <si>
    <t>15-1199.08; 15-2031.00</t>
  </si>
  <si>
    <t>Business Intelligence Analysts; Operations Research Analysts</t>
  </si>
  <si>
    <t>="Five (5) years of experience:
1. In Data Science techniques
2. Building and managing Machine Learning solutions (recommender systems, gradient boosting machines)
3. Supporting business with advanced machine learning solutions leveraging advanced modelin</t>
  </si>
  <si>
    <t>Vice President of Analytics</t>
  </si>
  <si>
    <t>Less than 5% domestic travel for conferences.</t>
  </si>
  <si>
    <t>P-100-21168-405821</t>
  </si>
  <si>
    <t xml:space="preserve">Director, Operations Consulting  </t>
  </si>
  <si>
    <t>Finance, Accounting, Economics, Business Administration, Industrial Technology or a related field</t>
  </si>
  <si>
    <t xml:space="preserve">="Minimum Requirements: 
Must have a Bachelor’s degree or foreign equivalent in Finance, Accounting, Economics, Business Administration, Industrial Technology or a related field, plus 7 years of post-bachelor’s, progressive related work experience; OR a </t>
  </si>
  <si>
    <t>SCIENCE, TECHNOLOGY, COMPUTER APPLICATIONS, ENGINEERING, OR ANY RELATED FIELD.</t>
  </si>
  <si>
    <t>P-400-21137-320428</t>
  </si>
  <si>
    <t>3403 W VAN DORN ST</t>
  </si>
  <si>
    <t>P-400-21152-359400</t>
  </si>
  <si>
    <t>Younes-Holz</t>
  </si>
  <si>
    <t>104 3rd Avenue</t>
  </si>
  <si>
    <t>NMN Express Inc</t>
  </si>
  <si>
    <t>Holiday Inn Express</t>
  </si>
  <si>
    <t>920 S 20th St</t>
  </si>
  <si>
    <t>P-100-21159-379331</t>
  </si>
  <si>
    <t>Reslife Office</t>
  </si>
  <si>
    <t>HOUSING  ASSISTANT</t>
  </si>
  <si>
    <t>Hospitality or Business Administration</t>
  </si>
  <si>
    <t>P-100-21131-301896</t>
  </si>
  <si>
    <t>Guo</t>
  </si>
  <si>
    <t>11500 State Highway 121</t>
  </si>
  <si>
    <t>info@greatwallmortgage.com</t>
  </si>
  <si>
    <t>Greatwall, Inc.</t>
  </si>
  <si>
    <t>In accounting, economics or related</t>
  </si>
  <si>
    <t>P-400-21133-310811</t>
  </si>
  <si>
    <t>Zepka</t>
  </si>
  <si>
    <t>1 Smithbridge Rd.</t>
  </si>
  <si>
    <t>Unit 94</t>
  </si>
  <si>
    <t>Chester Heights</t>
  </si>
  <si>
    <t>impactir@gmail.com</t>
  </si>
  <si>
    <t>Impact Irrigation Solutions</t>
  </si>
  <si>
    <t>18 D Smithbridge Rd.</t>
  </si>
  <si>
    <t>Landscape &amp; Groundskeep Worker</t>
  </si>
  <si>
    <t>Transport provided, designated locale to job site. Begin in Delaware County, PA. Continue in counties/areas: Delaware, PA, Chester, PA, Montgomery, PA, Philadelphia, PA, New Castle, DE, Bucks, PA and areas of Philadelphia-Camden-Wilmington, PA-NJ-DE-MD.</t>
  </si>
  <si>
    <t>18 D Smithbridge Road (report to work)</t>
  </si>
  <si>
    <t>P-400-21134-315027</t>
  </si>
  <si>
    <t>Cromwell</t>
  </si>
  <si>
    <t>808 Costa Grande Drive</t>
  </si>
  <si>
    <t>Evergreen Property Management, Inc.</t>
  </si>
  <si>
    <t>3181 Shipps Corner Road</t>
  </si>
  <si>
    <t>P-100-21148-355119</t>
  </si>
  <si>
    <t>14933 Spriggs Tree Lane</t>
  </si>
  <si>
    <t>Capital Investment Ent LLC</t>
  </si>
  <si>
    <t xml:space="preserve">Kwik Pick Gas Station and Convenience Store </t>
  </si>
  <si>
    <t>8422 Ladysmith Road</t>
  </si>
  <si>
    <t>Director, HR &amp; Support</t>
  </si>
  <si>
    <t>3380 Blue Springs Road</t>
  </si>
  <si>
    <t>tclement@croftae.com</t>
  </si>
  <si>
    <t>P-400-21125-289250</t>
  </si>
  <si>
    <t>77 Holland Lane</t>
  </si>
  <si>
    <t>sandovalmasonry@gmail.com</t>
  </si>
  <si>
    <t>Sandoval Masonry Inc</t>
  </si>
  <si>
    <t>Sandoval Masonry</t>
  </si>
  <si>
    <t>77 Holland Rd</t>
  </si>
  <si>
    <t xml:space="preserve">Travel to the following counties: Park, Madison, Deer Lodge, Gallatin, depending on client needs and employer deadlines. Employer will provide ALL transportation and tools. </t>
  </si>
  <si>
    <t>P-100-21155-370450</t>
  </si>
  <si>
    <t>Bachelor’s degree in Business Analytics, Data Science, or a related field.</t>
  </si>
  <si>
    <t>Growth and Marketing</t>
  </si>
  <si>
    <t>Only incidental travel is required.</t>
  </si>
  <si>
    <t>P-400-21132-308175</t>
  </si>
  <si>
    <t>3014 Stanford Rd</t>
  </si>
  <si>
    <t>Panama City</t>
  </si>
  <si>
    <t>katy.harrell@southeasternoutdoormanagement.com</t>
  </si>
  <si>
    <t>Southeastern Outdoor Management, Inc.</t>
  </si>
  <si>
    <t xml:space="preserve">="Must be able to lift 50 lbs. Must pass a pre-employment criminal background check and drug test. Workers are subject to post-injury/incident drug test, paid by employer and applied equally to all workers, U.S. and foreign/H-2B. Applicants must complete </t>
  </si>
  <si>
    <t>averde3104@gmail.com</t>
  </si>
  <si>
    <t>Gordon Corp.</t>
  </si>
  <si>
    <t>P-100-21158-376056</t>
  </si>
  <si>
    <t>LOGISTICS ENGINEER</t>
  </si>
  <si>
    <t>P-100-21172-415965</t>
  </si>
  <si>
    <t>P-100-21134-313018</t>
  </si>
  <si>
    <t>any field of Engineering</t>
  </si>
  <si>
    <t>P-100-21172-413655</t>
  </si>
  <si>
    <t>Information Technology, Computer Engineering, or a related field of study .</t>
  </si>
  <si>
    <t>Probeyahn</t>
  </si>
  <si>
    <t>4560 Kemptown CT</t>
  </si>
  <si>
    <t>gmpro7@comcast.net</t>
  </si>
  <si>
    <t>G&amp;K Services</t>
  </si>
  <si>
    <t>P-100-21168-408058</t>
  </si>
  <si>
    <t>="Bachelor’s degree in Computer Science, Engineering, or related field and 5 years of experience designing or supporting technical solutions (e.g. front-end and back-end systems). In lieu of a Bachelor’s degree, the employer will accept an additional 2 ye</t>
  </si>
  <si>
    <t>Production</t>
  </si>
  <si>
    <t>P-400-21153-361278</t>
  </si>
  <si>
    <t>Houseman</t>
  </si>
  <si>
    <t>P-100-21175-422884</t>
  </si>
  <si>
    <t>11-3021.00; 15-1121.00; 15-1199.09</t>
  </si>
  <si>
    <t>Computer Systems Analysts; Computer and Information Systems Managers; Information Technology Project Managers</t>
  </si>
  <si>
    <t>P-400-21126-291849</t>
  </si>
  <si>
    <t>P-400-21132-308492</t>
  </si>
  <si>
    <t>3 Central Plaza</t>
  </si>
  <si>
    <t>#419</t>
  </si>
  <si>
    <t>SEVEN HILLS FORESTRY, LLC</t>
  </si>
  <si>
    <t xml:space="preserve"> Work site(s): Begin in; Waynesboro, Augusta County, VA 22980. Transport provided, designated locale to job site. Continue into the various counties within the States of AL, AR, DE, FL, GA, KY, LA, MD, MS, NC, NJ, NY, OH, OK, PA, SC, TN, TX, VA, WV. 
***TENTATIVE ITINERARY***	TEMPORARY FORESTRY WORKERS (SPECIAL PROCEDURES TEGL 27-06) PLEASE NOTE FOR FUTURE FORM ETA 9142-B APPLICATION:
A master application may be filed when all starting locations in the itinerary begin in one ETA Region and consists of crews working for only one employer and the total range of crews’ start dates cannot be greater than 14 days. The employer may file a master application when an itinerary involves states in separated geographic areas as long as these states are connective states. The ETA must be filed in the itinerary’s starting state. The itinerary is titled tentative since this occupation is weather dependent; precise dates, subsequent locations, and contracts may not be defined at the time of placing the job order. The itinerary includes the known minimum wages standards in specific states which might differ (be higher than) from the issued Prevailing Wage Determination. The employer has listed the most specific location possible; requesting the entire BLS area listed on the certification as forested lands do not have distinct town, city, or county lines.
</t>
  </si>
  <si>
    <t>1620 North Delphine Avenue (Report to Work)</t>
  </si>
  <si>
    <t>Waynesboro</t>
  </si>
  <si>
    <t>P-100-21160-381699</t>
  </si>
  <si>
    <t xml:space="preserve">="Experience must include the following skills/tools/technologies: Building an online platform using Python, Jquery, Solr, Django, AWS-CLI, S3, CDN, EC2, Jupyter, Memcache, Redis, D3.Js; Experience with DCE (Distributed Computing Environment), Oauth 2.0, </t>
  </si>
  <si>
    <t>P-400-21154-366746</t>
  </si>
  <si>
    <t>6560 E West Branch Rd</t>
  </si>
  <si>
    <t>Saint Helen</t>
  </si>
  <si>
    <t>ficjay@gmail.com</t>
  </si>
  <si>
    <t>Jay C Jenkins</t>
  </si>
  <si>
    <t>Denoble</t>
  </si>
  <si>
    <t>Damjan</t>
  </si>
  <si>
    <t>Petar</t>
  </si>
  <si>
    <t>51 Elm Street</t>
  </si>
  <si>
    <t>info@fronteratech.com</t>
  </si>
  <si>
    <t>Denoble Law PLLC</t>
  </si>
  <si>
    <t>6490 E West Branch Rd</t>
  </si>
  <si>
    <t>Northeast Lower Peninsula of Michigan nonmetropolitan area</t>
  </si>
  <si>
    <t>P-400-21125-288952</t>
  </si>
  <si>
    <t>Deputy Clerk</t>
  </si>
  <si>
    <t>38927 Hamilton Road</t>
  </si>
  <si>
    <t>Long Creek</t>
  </si>
  <si>
    <t>lcdeputyclerk@grantesd.k12.or.us</t>
  </si>
  <si>
    <t>Grant County School District #17</t>
  </si>
  <si>
    <t>Long Creek School District #17</t>
  </si>
  <si>
    <t>PO Box 429</t>
  </si>
  <si>
    <t>375 E. Main Street</t>
  </si>
  <si>
    <t>Custodial Duties, Teacher's Aide, Cafeteria Cook substitute</t>
  </si>
  <si>
    <t>Custodial Cleaning</t>
  </si>
  <si>
    <t>375 E. Main St.</t>
  </si>
  <si>
    <t>Cooks, Institution and Cafeteria; Teacher Assistants</t>
  </si>
  <si>
    <t xml:space="preserve">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The employer's job duties represent a combination of the occupation in item G.4, 25-9041.00 - Teacher Assistants and 35-2012.00 - Cooks, Institution and Cafeteria.
The prevailing wage is issued based on the employer submitted CBA.
</t>
  </si>
  <si>
    <t>P-400-21145-341973</t>
  </si>
  <si>
    <t xml:space="preserve"> 3158 290th St.</t>
  </si>
  <si>
    <t>Dows</t>
  </si>
  <si>
    <t>P-100-21155-371315</t>
  </si>
  <si>
    <t>April.Aningalan@mountsinai.org</t>
  </si>
  <si>
    <t>P-400-21132-307498</t>
  </si>
  <si>
    <t>Department Chef and Executive Chef</t>
  </si>
  <si>
    <t xml:space="preserve">500 Palm Avenue </t>
  </si>
  <si>
    <t>P-400-21125-290052</t>
  </si>
  <si>
    <t>DeClerck</t>
  </si>
  <si>
    <t>2359 Avon Industrial Drive</t>
  </si>
  <si>
    <t>Green Meadows Lawnscape, Inc.</t>
  </si>
  <si>
    <t>Detroit-Warren-Dearborn, MI</t>
  </si>
  <si>
    <t>P-400-21123-282053</t>
  </si>
  <si>
    <t>Arguello</t>
  </si>
  <si>
    <t>4230 N Bay Road</t>
  </si>
  <si>
    <t>ashleytarguello@gmail.com</t>
  </si>
  <si>
    <t>Ashley Arguello</t>
  </si>
  <si>
    <t>Mendieta</t>
  </si>
  <si>
    <t>Leonel</t>
  </si>
  <si>
    <t>2332 Galiano Street</t>
  </si>
  <si>
    <t>2nd Floor, Suite 228</t>
  </si>
  <si>
    <t>leonel@mendieta.law</t>
  </si>
  <si>
    <t>The Mendieta Law Firm, PLLC</t>
  </si>
  <si>
    <t>Nanny Housekeeper</t>
  </si>
  <si>
    <t>The Nanny Housekeeper is expected to travel with the family between their homes located in Miami, FL and Naples, FL.</t>
  </si>
  <si>
    <t>P-400-21154-366059</t>
  </si>
  <si>
    <t xml:space="preserve">H2 VISA CONSULTANTS, LLC </t>
  </si>
  <si>
    <t>P-400-21146-344838</t>
  </si>
  <si>
    <t>SZAKAL</t>
  </si>
  <si>
    <t xml:space="preserve">KATY </t>
  </si>
  <si>
    <t>FOOD AND BEVERAGE MANAGER</t>
  </si>
  <si>
    <t>4475 N. Ocean Blvd.</t>
  </si>
  <si>
    <t xml:space="preserve">ST. ANDREWS CLUB </t>
  </si>
  <si>
    <t>P-400-21148-354226</t>
  </si>
  <si>
    <t>="The Petitioner will consider for employment any person who possesses at least three (3) months of service experience in a fine-dining or high-volume environment at a high-end restaurant, resort, or private club.  Applicant must complete pre-employment b</t>
  </si>
  <si>
    <t>P-400-21137-320568</t>
  </si>
  <si>
    <t>52 Trimont Lane</t>
  </si>
  <si>
    <t>P-100-21176-427880</t>
  </si>
  <si>
    <t>Business Administration, Finance, Accounting or closely related field</t>
  </si>
  <si>
    <t>="Experience must include constructing and analyzing financial modeling for private and public market transactions, comparable analysis using valuation methodologies including Discount Cash Flow model and working with U.S. and Korean banks for fund raisin</t>
  </si>
  <si>
    <t>="In lieu of bachelor's degree, employer will accept high school diploma (or foreign equivalent) and 4 years of experience in related work in corporate M &amp; A's. Experience must include constructing and analyzing financial modeling for private and public m</t>
  </si>
  <si>
    <t>Riviera Beach</t>
  </si>
  <si>
    <t>P-100-21155-368412</t>
  </si>
  <si>
    <t>P-100-21174-420516</t>
  </si>
  <si>
    <t>13-1161.00; 15-1132.00</t>
  </si>
  <si>
    <t>Market Research Analysts and Marketing Specialists; Software Developers, Applications</t>
  </si>
  <si>
    <t>Computer Engineering, Computer Information Systems, Computer Science or related field.</t>
  </si>
  <si>
    <t>="Five (5) years of progressively responsible experience in the job offered or a related occupation: planning, implementing and monitoring enterprise-level information technology hardware and operating system infrastructures; conducting information system</t>
  </si>
  <si>
    <t>Senior Director – IT System</t>
  </si>
  <si>
    <t>P-400-21154-366233</t>
  </si>
  <si>
    <t>Kissel-Jonker</t>
  </si>
  <si>
    <t>madisonkissel@yahoo.com</t>
  </si>
  <si>
    <t>Wavy Ticket, LLC</t>
  </si>
  <si>
    <t>P-400-21133-310692</t>
  </si>
  <si>
    <t>458 Charles H Dimmock Pkwy</t>
  </si>
  <si>
    <t>Colonial Heights</t>
  </si>
  <si>
    <t>CKF Colonial LLC</t>
  </si>
  <si>
    <t>P.O Box 1226</t>
  </si>
  <si>
    <t xml:space="preserve">Amherst </t>
  </si>
  <si>
    <t>CLEANUP WORKER</t>
  </si>
  <si>
    <t>320 Park Ave</t>
  </si>
  <si>
    <t>Mizuho Securities USA LLC</t>
  </si>
  <si>
    <t>P-100-21161-387802</t>
  </si>
  <si>
    <t>Tsionas</t>
  </si>
  <si>
    <t>201 East Delaware Avenue</t>
  </si>
  <si>
    <t>atsionas@tsionasinc.com</t>
  </si>
  <si>
    <t>Tsionas Management Inc.</t>
  </si>
  <si>
    <t>Will travel daily to various buildings within New Castle County, Delaware.</t>
  </si>
  <si>
    <t>Alpine</t>
  </si>
  <si>
    <t>P-100-21123-281785</t>
  </si>
  <si>
    <t>P-100-21144-337799</t>
  </si>
  <si>
    <t>SUITE # 204 &amp; VARIOUS UNANTICIPATED LOCATIONS THROUGHOUT THE U.S</t>
  </si>
  <si>
    <t>P-400-21154-365837</t>
  </si>
  <si>
    <t>P-400-21131-304389</t>
  </si>
  <si>
    <t>466 Centerville Rd.</t>
  </si>
  <si>
    <t>Na</t>
  </si>
  <si>
    <t>P-100-21138-321748</t>
  </si>
  <si>
    <t xml:space="preserve">="Master’s degree in Science, Technology, Computer Applications, Engineering, or any related field is required. Bachelor’s degree in the above mentioned fields along with 5 years of experience in job offered or related occupation is acceptable in lieu of </t>
  </si>
  <si>
    <t>P-400-21152-358021</t>
  </si>
  <si>
    <t xml:space="preserve">Hasegawa </t>
  </si>
  <si>
    <t xml:space="preserve">8125 W Grand Avenue </t>
  </si>
  <si>
    <t>AAA Snow Removal Inc</t>
  </si>
  <si>
    <t>Immigration@fisherbroyles.com</t>
  </si>
  <si>
    <t xml:space="preserve">TRANSPORTATION PROVIDED TO/FROM AREAS JOBSITES FROM A CENTRAL DENVER COUNTY LOCATION
</t>
  </si>
  <si>
    <t xml:space="preserve"> 2655 E 52nd Ave</t>
  </si>
  <si>
    <t>P-400-21153-361295</t>
  </si>
  <si>
    <t>P-100-21179-429049</t>
  </si>
  <si>
    <t>4650 Kemptown CT</t>
  </si>
  <si>
    <t>="Skills Required: ServiceNow, SQL, Web Services, XML, UAT, Oracle Cloud ERP, OneStream, MS Visio, and Balsamiq. Master’s degree in Science, Technology, Engineering, or any related field is required. Bachelor’s degree in the above fields along with 5 year</t>
  </si>
  <si>
    <t>P-100-21125-288066</t>
  </si>
  <si>
    <t>700 CRANBERRY WOODS DRIVE</t>
  </si>
  <si>
    <t>ANALYST, IT IMPLEMENTATION</t>
  </si>
  <si>
    <t xml:space="preserve">="MUST HAVE 2 YEARS OF EXPERIENCE WITH THE FOLLOWING: MANHATTAN SCOPE WMS IMPLEMENTATIONS BY LEADING THE DESIGN SESSIONS, CONFIGURE WMS AND ENHANCE BUSINESS PROCESSES; DEVELOPING SCI REPORTS; DEVELOPING CUSTOM PACKING SLIPS, SHIPPING LABELS AND ALL OTHER </t>
  </si>
  <si>
    <t>DATA ENGINEER</t>
  </si>
  <si>
    <t>P-400-21126-292230</t>
  </si>
  <si>
    <t>Holton</t>
  </si>
  <si>
    <t>570 South Commercial Drive</t>
  </si>
  <si>
    <t>Grand Junction</t>
  </si>
  <si>
    <t>gogreen@liquigreenlawn.com</t>
  </si>
  <si>
    <t>Grand Junction Holiday Lighting, Inc.</t>
  </si>
  <si>
    <t>Holiday Lighting Installer</t>
  </si>
  <si>
    <t>EMPLOYER PROVIDES TRANSPORTATION TO AND FROM ALL WORKSITES.</t>
  </si>
  <si>
    <t>P-400-21127-295605</t>
  </si>
  <si>
    <t>PO Box 3487 (mailing)</t>
  </si>
  <si>
    <t>PO Box 5549 Avon, Co. 81620 (mailing)</t>
  </si>
  <si>
    <t>2077 North Frontage Road West Suite 111  (physical)</t>
  </si>
  <si>
    <t>PO.Box 3487, Vail Co. 81658 (mailing)</t>
  </si>
  <si>
    <t>Employer owns two restaurants in Eagle County. One in Avon, one in Vail, a 10 mile commuting distance. Workers will be assigned to one of the to locations depending on staffing needs.</t>
  </si>
  <si>
    <t>675 Lionshead Place , Vail Co. 81657</t>
  </si>
  <si>
    <t xml:space="preserve">76 Avondale Lane Avon, Co. 81620 </t>
  </si>
  <si>
    <t>P-100-21146-347109</t>
  </si>
  <si>
    <t xml:space="preserve">Deborah </t>
  </si>
  <si>
    <t>Civil Engineer 4</t>
  </si>
  <si>
    <t>="Master’s degree in Civil Engineering or related field plus three years of related experience in overhead transmission line design, or, in the alternative, Bachelor’s degree in Civil Engineering or related field plus five years of related experience in o</t>
  </si>
  <si>
    <t xml:space="preserve">Domestic travel required 10%. </t>
  </si>
  <si>
    <t>P-100-21137-317272</t>
  </si>
  <si>
    <t xml:space="preserve"> P-1</t>
  </si>
  <si>
    <t>P-400-21130-299103</t>
  </si>
  <si>
    <t>2320 138th Street</t>
  </si>
  <si>
    <t>Mailing: P.O. Box 119 , Blue Island, IL 60406</t>
  </si>
  <si>
    <t>Blue Island</t>
  </si>
  <si>
    <t>Dependable Lawn Care, Inc.</t>
  </si>
  <si>
    <t xml:space="preserve">Kenefick </t>
  </si>
  <si>
    <t>MERIT LOGISTICS</t>
  </si>
  <si>
    <t>29122 RANCHO VIEJO RD #211</t>
  </si>
  <si>
    <t>San Juan Capistrano</t>
  </si>
  <si>
    <t>FREIGHT HANDLER</t>
  </si>
  <si>
    <t>11500 SE Highway 212</t>
  </si>
  <si>
    <t>P-400-21127-295720</t>
  </si>
  <si>
    <t>Christmas Decor Laborers</t>
  </si>
  <si>
    <t>="MUST BE ABLE TO CLIMB 8 TO 16 FTS LADDERS, WORK AT HIGH HEIGHTS, WALK, SIT, STAND, BEND, STOOP, REACH (OVERHEAD AND GROUND LEVEL,) KNEEL
REPETITIVELY FOR LONG PERIOD OF TIMES, LIFT UP TO 30 LBS. TO 50 LBS, USE HAND TOOLS (HAMMER, STAPLERS, CLIP, EXT. CO</t>
  </si>
  <si>
    <t>WORKER MAY TRAVEL TO MULTI WORKSITES IN A SINGLE DAY AT PRIVATE RESIDENCE AND COMMERCIAL PROPRIETIES</t>
  </si>
  <si>
    <t>1348 Seaboard Ave</t>
  </si>
  <si>
    <t>P-400-21146-346668</t>
  </si>
  <si>
    <t>2212 County Rd T</t>
  </si>
  <si>
    <t>Dewitt</t>
  </si>
  <si>
    <t>P-400-21140-328790</t>
  </si>
  <si>
    <t>Van Loben Sels</t>
  </si>
  <si>
    <t>314 Lytton Avenue</t>
  </si>
  <si>
    <t>info@angleofrepose.co</t>
  </si>
  <si>
    <t>Angle of Repose, LLC</t>
  </si>
  <si>
    <t>DeArcangelis</t>
  </si>
  <si>
    <t>Taleen</t>
  </si>
  <si>
    <t>Naz</t>
  </si>
  <si>
    <t>533 Airport Boulevard</t>
  </si>
  <si>
    <t>taleen@dearcsatlaw.com</t>
  </si>
  <si>
    <t>DeArcangelis &amp; DeArcangelis, Attorneys at Law</t>
  </si>
  <si>
    <t>="Must have training in Montessori. Must have training and experience in BLW (Baby-Led Weaning). Must be comfortable driving family car and children in the city and suburban areas. Must be comfortable with large dogs. Knowledge of RIE (Respectful Infant E</t>
  </si>
  <si>
    <t xml:space="preserve">Travel with family within the continental United States required up to 3 times per year. </t>
  </si>
  <si>
    <t>2604 Pacific Avenue</t>
  </si>
  <si>
    <t>4567 Village Creek Road</t>
  </si>
  <si>
    <t>P-400-21126-291654</t>
  </si>
  <si>
    <t>Larrieu</t>
  </si>
  <si>
    <t>Klark</t>
  </si>
  <si>
    <t>2550 Berner Street</t>
  </si>
  <si>
    <t>klarrieu@thelandscapepartners.com</t>
  </si>
  <si>
    <t>The Landscape Partners LLC</t>
  </si>
  <si>
    <t>Landscape Laborer/Crew Leader</t>
  </si>
  <si>
    <t>2550 BERNER STREET</t>
  </si>
  <si>
    <t xml:space="preserve">FT. WORTH </t>
  </si>
  <si>
    <t>P-400-21132-307709</t>
  </si>
  <si>
    <t>752 West Kings Highway</t>
  </si>
  <si>
    <t>Mailing: PO Box 670 , Downingtown, PA 19335</t>
  </si>
  <si>
    <t>Coatesville</t>
  </si>
  <si>
    <t>Mattia Landscape &amp; Nursery, Inc.</t>
  </si>
  <si>
    <t>P-400-21142-336050</t>
  </si>
  <si>
    <t>SCHOTT TAXIDERMY, LLC</t>
  </si>
  <si>
    <t>19405 BANDERA RD</t>
  </si>
  <si>
    <t>HELOTES</t>
  </si>
  <si>
    <t>P-400-21140-331724</t>
  </si>
  <si>
    <t>Gabe</t>
  </si>
  <si>
    <t>2215 King Arthur Blvd., Suite A</t>
  </si>
  <si>
    <t>Gillum Lawn Maintenance, LLC</t>
  </si>
  <si>
    <t>P-400-21126-292227</t>
  </si>
  <si>
    <t>Wieser</t>
  </si>
  <si>
    <t>411 S. Lincoln Street</t>
  </si>
  <si>
    <t>jenny.wieser@jelly.com</t>
  </si>
  <si>
    <t>Fischer &amp; Wieser Specialty Foods, Inc.</t>
  </si>
  <si>
    <t>Production Kitchen Staff</t>
  </si>
  <si>
    <t>="General ability to reach and write, is preferred. Position requires three (3) months of food processing and machine/equipment operations experience. Must be able to lift/carry up to 50 pounds. Must be able to pass employer paid post-employment drug test</t>
  </si>
  <si>
    <t>Transportation will be provided by Employer</t>
  </si>
  <si>
    <t>P-400-21133-311641</t>
  </si>
  <si>
    <t>Mosteller</t>
  </si>
  <si>
    <t>26532 Railroad Avenue</t>
  </si>
  <si>
    <t>Loxley</t>
  </si>
  <si>
    <t>K&amp;G Industrial Services, LLC</t>
  </si>
  <si>
    <t>="MUST PERFORM PHYSICAL ACTIVITIES THAT REQUIRE CLIMBING, LIFTING, BALANCING, WALKING, STOOPING, AND HANDLING OF MATERIALS, LIFT 75 LBS. AND BE ABLE
TO LIFT 75 LBS.
MUST BE AVAILABLE 24/7 FOR EMERGENCY REPAIRS.
WORK SCHEDULE VARIES DURING THE WEEK MON-S</t>
  </si>
  <si>
    <t>9751 AL-144</t>
  </si>
  <si>
    <t>Ragland</t>
  </si>
  <si>
    <t>P-100-21147-351132</t>
  </si>
  <si>
    <t xml:space="preserve">4TH  FLOOR </t>
  </si>
  <si>
    <t xml:space="preserve">9TH FLOOR </t>
  </si>
  <si>
    <t xml:space="preserve">Computer Science, Business Administration, or related field, or foreign degree equivalent. </t>
  </si>
  <si>
    <t xml:space="preserve">404 Wyman Street, Suite 225 </t>
  </si>
  <si>
    <t>P-100-21130-301526</t>
  </si>
  <si>
    <t>899 West Evelyn Avenue</t>
  </si>
  <si>
    <t>Business Administration, Marketing, Strategic Management, or closely-related</t>
  </si>
  <si>
    <t>P-100-21144-337652</t>
  </si>
  <si>
    <t>Science, Technology, Engineering, or any related field.</t>
  </si>
  <si>
    <t>P-400-21141-333040</t>
  </si>
  <si>
    <t>46623 County Rd 523</t>
  </si>
  <si>
    <t>America's Catch Inc</t>
  </si>
  <si>
    <t>44623 County Rd</t>
  </si>
  <si>
    <t xml:space="preserve">Itta Bena </t>
  </si>
  <si>
    <t>Packers and Packagers, Hand; Packers and Packagers, Hand</t>
  </si>
  <si>
    <t>P-400-21144-339164</t>
  </si>
  <si>
    <t>P.O Box 369</t>
  </si>
  <si>
    <t>P-400-21131-303261</t>
  </si>
  <si>
    <t>Sharna</t>
  </si>
  <si>
    <t>2001 Broadway Avenue</t>
  </si>
  <si>
    <t>sbarnes@completecontractconsulting.com</t>
  </si>
  <si>
    <t>COMPLETE CONTRACT CONSULTING LLC</t>
  </si>
  <si>
    <t>2001 BROADWAY AVENUE</t>
  </si>
  <si>
    <t>Garbage Driver Helpers or Assistants</t>
  </si>
  <si>
    <t>Refuse and Recyclable Material Collectors</t>
  </si>
  <si>
    <t>6760 Muskogee Street</t>
  </si>
  <si>
    <t>P-400-21130-299216</t>
  </si>
  <si>
    <t>P-400-21126-292961</t>
  </si>
  <si>
    <t>Godoy</t>
  </si>
  <si>
    <t>118 OUSEL FALLS RD.</t>
  </si>
  <si>
    <t>bigskyalbertos@gmail.com</t>
  </si>
  <si>
    <t>TOTO Enterprises, LLC</t>
  </si>
  <si>
    <t>Albertos Mexican Cuisine</t>
  </si>
  <si>
    <t>118 Ousel Falls Rd.</t>
  </si>
  <si>
    <t>P-400-21127-296823</t>
  </si>
  <si>
    <t>Klose</t>
  </si>
  <si>
    <t>4921 George Washington Memorial Hwy</t>
  </si>
  <si>
    <t>Ken Matthews Landscape Nursery Company</t>
  </si>
  <si>
    <t>DBA Ken Matthews Garden Center</t>
  </si>
  <si>
    <t>4921 George Washington Hwy</t>
  </si>
  <si>
    <t>P-100-21170-412385</t>
  </si>
  <si>
    <t xml:space="preserve">3530 WILSHIRE BLVD. </t>
  </si>
  <si>
    <t>CREATIVE FUTURE SYSTEMS, INC.</t>
  </si>
  <si>
    <t>400 SYLVAN AVE.</t>
  </si>
  <si>
    <t xml:space="preserve">ENGLEWOOD CLIFFS </t>
  </si>
  <si>
    <t>#1720</t>
  </si>
  <si>
    <t xml:space="preserve">NETWORK ENGINEER </t>
  </si>
  <si>
    <t>COMPUTER SCIENCE, TELECOMMUNICATION ENGINEERING, INFORMATION TECHNOLOGY, OR RELATED.</t>
  </si>
  <si>
    <t>P-400-21124-286975</t>
  </si>
  <si>
    <t>psabates@trumpmiami.com</t>
  </si>
  <si>
    <t>International Resorts Management Group L.L.C.</t>
  </si>
  <si>
    <t>18001 COLLINS AVENUE</t>
  </si>
  <si>
    <t>P-400-21141-333110</t>
  </si>
  <si>
    <t>P-100-21140-330700</t>
  </si>
  <si>
    <t>="-Education:  Master’s or foreign equivalent degree in Computer Science, Engineering, Information Systems, Business Administration or a related field. 
-5 years experience in managing products and businesses, including identifying and defining growth st</t>
  </si>
  <si>
    <t>P-400-21134-315809</t>
  </si>
  <si>
    <t>264 County Road 888 (report to work)</t>
  </si>
  <si>
    <t>P-400-21138-322710</t>
  </si>
  <si>
    <t>Torgersen</t>
  </si>
  <si>
    <t>Kyla</t>
  </si>
  <si>
    <t>8250 Danbury Boulevard</t>
  </si>
  <si>
    <t>kylat@vccnaples.com</t>
  </si>
  <si>
    <t>Vanderbilt Community Association, Inc.</t>
  </si>
  <si>
    <t>Vanderbilt Country Club</t>
  </si>
  <si>
    <t>="The Petitioner will consider for employment any person who possesses at least  two (2) years of culinary experience in a fine-dining or high-volume environment at a high-end restaurant, resort, or private club.
Applicant must complete pre-employment ba</t>
  </si>
  <si>
    <t>P-100-21140-328711</t>
  </si>
  <si>
    <t>P-400-21138-321582</t>
  </si>
  <si>
    <t>Zavala Tenorio</t>
  </si>
  <si>
    <t>505B New St</t>
  </si>
  <si>
    <t>laprezallc@yahoo.com</t>
  </si>
  <si>
    <t>La Preza General Contracting LLC.</t>
  </si>
  <si>
    <t>Construction Worker</t>
  </si>
  <si>
    <t>Yes</t>
  </si>
  <si>
    <t>51 Board St</t>
  </si>
  <si>
    <t>Penns Grove</t>
  </si>
  <si>
    <t xml:space="preserve">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The wage entered in item G.7 reflects the area of intended employment entered in F.e.4 and F.e.5.
</t>
  </si>
  <si>
    <t>P-400-21131-303500</t>
  </si>
  <si>
    <t>9449 COLLINS AVE</t>
  </si>
  <si>
    <t>SURFSIDE</t>
  </si>
  <si>
    <t>Beach House LLC</t>
  </si>
  <si>
    <t xml:space="preserve">9449 COLLINS AVE </t>
  </si>
  <si>
    <t>P-100-21138-321729</t>
  </si>
  <si>
    <t>Project Analyst</t>
  </si>
  <si>
    <t>P-400-21127-295526</t>
  </si>
  <si>
    <t>431 Southern Blvd</t>
  </si>
  <si>
    <t>Limbach's Landscaping LLC</t>
  </si>
  <si>
    <t>Lead Landscape Laborers</t>
  </si>
  <si>
    <t>P-100-21169-409567</t>
  </si>
  <si>
    <t>P-100-21162-391711</t>
  </si>
  <si>
    <t>CLS US Services Inc</t>
  </si>
  <si>
    <t xml:space="preserve">C++ Application Development Manager </t>
  </si>
  <si>
    <t>P-100-21153-361142</t>
  </si>
  <si>
    <t>="Prior experience must include: design and develop using SAP technologies including SAP HANA, SAP Process Integration (PI), SAP Gateway with OData, SAP Fiori, CDS Views, and SAP ABAP, using ABAP Unit and SAP ATC (3 years exp); design, development, testin</t>
  </si>
  <si>
    <t>P-100-21156-372513</t>
  </si>
  <si>
    <t>Vicon Motion Systems Inc.</t>
  </si>
  <si>
    <t>Kinesiology, Exercise and Movement Science, Bioinformatics, or related</t>
  </si>
  <si>
    <t xml:space="preserve">Quarterly domestic and international travel to visit research or university laboratories.  Travel expenses fully reimbursed by employer. </t>
  </si>
  <si>
    <t>P-100-21167-401536</t>
  </si>
  <si>
    <t>P-400-21141-333089</t>
  </si>
  <si>
    <t>46623 County Road 523</t>
  </si>
  <si>
    <t>Floor Supervisor</t>
  </si>
  <si>
    <t>Meat, Poultry, and Fish Cutters and Trimmers; Meat, Poultry, and Fish Cutters and Trimmers</t>
  </si>
  <si>
    <t>Hitesh</t>
  </si>
  <si>
    <t>P-100-21141-334774</t>
  </si>
  <si>
    <t>671 North Glebe Rd.</t>
  </si>
  <si>
    <t xml:space="preserve">Vice President, Cyber Security </t>
  </si>
  <si>
    <t>Electronic Engineering, Information Systems, Information Security, Cyber Security, Mathematics, Computer Science or related field of study</t>
  </si>
  <si>
    <t>="Requires five (5) years of experience with: Application Penetration Testing experience; Hands on penetration testing experience for web applications, mobile applications, and APIs; Mobile (Android and iOS) Penetration Testing experience; Network and Wir</t>
  </si>
  <si>
    <t>671 N Glebe Rd</t>
  </si>
  <si>
    <t>P-400-21144-336857</t>
  </si>
  <si>
    <t>Duane</t>
  </si>
  <si>
    <t>Oqnwe</t>
  </si>
  <si>
    <t>bluecrab63@yahoo.com</t>
  </si>
  <si>
    <t>Duane L. Elliott</t>
  </si>
  <si>
    <t xml:space="preserve">Israt </t>
  </si>
  <si>
    <t xml:space="preserve">vTech Solution, Inc. </t>
  </si>
  <si>
    <t xml:space="preserve">RE: vTech Solution, Inc. </t>
  </si>
  <si>
    <t>13-1161.00; 13-1161.00</t>
  </si>
  <si>
    <t>Market Research Analysts and Marketing Specialists; Market Research Analysts and Marketing Specialists</t>
  </si>
  <si>
    <t xml:space="preserve">Sr. Director of Business Development </t>
  </si>
  <si>
    <t>P-400-21131-304304</t>
  </si>
  <si>
    <t>P-400-21154-366187</t>
  </si>
  <si>
    <t>P-400-21140-330721</t>
  </si>
  <si>
    <t>Kiefer</t>
  </si>
  <si>
    <t>HR Recruiter</t>
  </si>
  <si>
    <t>3204 Point Township Drive</t>
  </si>
  <si>
    <t>Sunbury</t>
  </si>
  <si>
    <t>k.kiefer@strong9.com</t>
  </si>
  <si>
    <t xml:space="preserve">Strong Spas </t>
  </si>
  <si>
    <t>Northumberland</t>
  </si>
  <si>
    <t>Ramsburg</t>
  </si>
  <si>
    <t>100 Pine St</t>
  </si>
  <si>
    <t>McNees Wallace &amp; Nurick LLC</t>
  </si>
  <si>
    <t>Southern Pennsylvania nonmetropolitan area</t>
  </si>
  <si>
    <t>P-100-21160-380973</t>
  </si>
  <si>
    <t>Shoily</t>
  </si>
  <si>
    <t>1100 H St. NW</t>
  </si>
  <si>
    <t>1100 H. St. NW</t>
  </si>
  <si>
    <t>Senior Market Analyst</t>
  </si>
  <si>
    <t>P-100-21141-334359</t>
  </si>
  <si>
    <t xml:space="preserve"> SOFTWARE DEVELOPER </t>
  </si>
  <si>
    <t>P-400-21146-345271</t>
  </si>
  <si>
    <t>Jedlicka</t>
  </si>
  <si>
    <t>1101 Ohio Drive Suite 101</t>
  </si>
  <si>
    <t>info@cosmiccanine.com</t>
  </si>
  <si>
    <t>Cosmic Canine Training LLC</t>
  </si>
  <si>
    <t>Cosmic Canine</t>
  </si>
  <si>
    <t>Molina</t>
  </si>
  <si>
    <t>2205 w Division St suite a2</t>
  </si>
  <si>
    <t>jm@jmolinalawfirm.com</t>
  </si>
  <si>
    <t>J Molina Law Firm PLLC</t>
  </si>
  <si>
    <t>Experience Dog Trainer</t>
  </si>
  <si>
    <t>P-400-21131-302763</t>
  </si>
  <si>
    <t>Benitez Centurion</t>
  </si>
  <si>
    <t>302 Ash Street</t>
  </si>
  <si>
    <t>vivi.bentz@gmail.com</t>
  </si>
  <si>
    <t>Eddy's Oysters LLC</t>
  </si>
  <si>
    <t>106 E. Bay Avenue</t>
  </si>
  <si>
    <t>P-400-21146-344840</t>
  </si>
  <si>
    <t>PETRINA GROUP INTERNATIONAL INC</t>
  </si>
  <si>
    <t>P-400-21145-340475</t>
  </si>
  <si>
    <t>2301 Parkway</t>
  </si>
  <si>
    <t>Pigeon Forge</t>
  </si>
  <si>
    <t>P-100-21144-337693</t>
  </si>
  <si>
    <t>P-100-21127-295956</t>
  </si>
  <si>
    <t>SUITE 202</t>
  </si>
  <si>
    <t>P-400-21126-293472</t>
  </si>
  <si>
    <t>MAYORGA</t>
  </si>
  <si>
    <t>ADRIANA</t>
  </si>
  <si>
    <t>1018 N GIBSON ST</t>
  </si>
  <si>
    <t>ACCOUNTING@ESQUIPULASTRUCKINGLLC.COM</t>
  </si>
  <si>
    <t>ESQUIPULAS TRUCKING LLC</t>
  </si>
  <si>
    <t>1150 W MAGNOLIA ST</t>
  </si>
  <si>
    <t>Over-the-Road CLD Class A Driver</t>
  </si>
  <si>
    <t>Interstate CDL Class A Tractor-Trailer Truck Driver</t>
  </si>
  <si>
    <t xml:space="preserve">The position is Interstate CDL Class A Tractor-Trailer Truck Driver, the driver is required to travel over the road nationwide following 70 hours/8 days under DOT FMCSA guidelines. </t>
  </si>
  <si>
    <t>KALCZEWSKI</t>
  </si>
  <si>
    <t>Corporate HR and Talent Acquisition Manager</t>
  </si>
  <si>
    <t>2711 Centerville Road</t>
  </si>
  <si>
    <t>jennifer.kalczewski@colfaxcorp.com</t>
  </si>
  <si>
    <t>Colfax Corporation</t>
  </si>
  <si>
    <t>Treasury Manager</t>
  </si>
  <si>
    <t>Inver Grove Heights</t>
  </si>
  <si>
    <t>P-400-21126-291678</t>
  </si>
  <si>
    <t xml:space="preserve">Landscape Laborers </t>
  </si>
  <si>
    <t>P-400-21125-290039</t>
  </si>
  <si>
    <t>P-400-21139-327213</t>
  </si>
  <si>
    <t>1102 N Cherry Street</t>
  </si>
  <si>
    <t>fernando@lcwauto.com</t>
  </si>
  <si>
    <t>LCW Automotive Corp.</t>
  </si>
  <si>
    <t>Electrician - Motor Vehicle</t>
  </si>
  <si>
    <t>Electronic Equipment Installers and Repairers, Motor Vehicles</t>
  </si>
  <si>
    <t>P-100-21161-385615</t>
  </si>
  <si>
    <t>Finance, Financial Management, Business Administration or a related field.</t>
  </si>
  <si>
    <t>P-400-21126-291622</t>
  </si>
  <si>
    <t>3000 Old Alabama Road, suite 119-413</t>
  </si>
  <si>
    <t>Making Life Easier</t>
  </si>
  <si>
    <t>3000 Old Alabama Road, Suite 119-413</t>
  </si>
  <si>
    <t>P-400-21131-304756</t>
  </si>
  <si>
    <t>Work site(s): Provided daily transportation to and from the worksite; begin in Augusta, Richmond County, GA 30909. Continue into the county(ies) of Columbia &amp; Richmond counties GA; &amp; area of Augusta-Richmond, GA-SC.</t>
  </si>
  <si>
    <t>2633 Perimeter Parkway (Report to Work)</t>
  </si>
  <si>
    <t>P-100-21130-300162</t>
  </si>
  <si>
    <t>LONG ISLAND, NEW YORK AND NEW YORK CITY WEEKLY</t>
  </si>
  <si>
    <t>P-400-21124-286486</t>
  </si>
  <si>
    <t>Amusement and Recreation Attendants - Food Concessions</t>
  </si>
  <si>
    <t xml:space="preserve">Employer is an Outdoor Traveling Amusement Attraction.  Travel is required from event location to event location as per the itinerary as detailed in Appendix A: Request for Additional Worksite (s).  
Optional mobile housing &amp; local convenience travel are available.  
</t>
  </si>
  <si>
    <t>8651 N Orange Bud Terr</t>
  </si>
  <si>
    <t>P-400-21138-322094</t>
  </si>
  <si>
    <t>434 Esclip Road</t>
  </si>
  <si>
    <t>P. O. Box 2107, Elizabeth City, NC 27906</t>
  </si>
  <si>
    <t>Elizabeth City</t>
  </si>
  <si>
    <t>frogisland_23@hotmail.com</t>
  </si>
  <si>
    <t>Frog Island Seafood, Inc.</t>
  </si>
  <si>
    <t>3997 Caratoke Hwy.</t>
  </si>
  <si>
    <t>Barco</t>
  </si>
  <si>
    <t>P-400-21132-307479</t>
  </si>
  <si>
    <t xml:space="preserve">Front Desk Attendant </t>
  </si>
  <si>
    <t>="The Petitioner will consider for employment any person who possesses at least three (3) months of guest service experience at a high-end hotel, resort, or private club.  Applicant must complete pre-employment background check and drug screening.  Applic</t>
  </si>
  <si>
    <t>P-400-21145-342368</t>
  </si>
  <si>
    <t>500 Bowen Loop</t>
  </si>
  <si>
    <t>mariquitah1974@gmail.com; jesusbnz@yahoo.com</t>
  </si>
  <si>
    <t>Benitez Concrete, LLC.</t>
  </si>
  <si>
    <t>House Painters</t>
  </si>
  <si>
    <t>Travel required on a weekly basis to job sites located in Harris, Montgomery, Walker, Liberty, Chambers, Galveston, Brazoria, Fort Bend, Austin, and Waller Counties within the State of Texas.
Transportation to worksites will be provided by Benitez Concrete, LLC. from a central pick-up location.</t>
  </si>
  <si>
    <t>920 SW EMKAY DRIVE</t>
  </si>
  <si>
    <t>BEND</t>
  </si>
  <si>
    <t>TT MARKETING LLC</t>
  </si>
  <si>
    <t>MAZAMA MEDIA</t>
  </si>
  <si>
    <t>MAZZA</t>
  </si>
  <si>
    <t>SMAZZA@BELTRANBRITO.COM</t>
  </si>
  <si>
    <t xml:space="preserve">Communications or foreign equivalent </t>
  </si>
  <si>
    <t>P-100-21126-294317</t>
  </si>
  <si>
    <t>P-400-21145-343957</t>
  </si>
  <si>
    <t>2622 W. 4th Street</t>
  </si>
  <si>
    <t xml:space="preserve">Chester </t>
  </si>
  <si>
    <t>gzang14@aol.com</t>
  </si>
  <si>
    <t>D.G.S. Landscaping, LLC</t>
  </si>
  <si>
    <t>Transport provided, designated locale to job site. Begin in Delaware County, PA. Continue in Counties/Areas: Chester, Delaware and areas of Philadelphia-Camden-Wilmington, PA-NJ-DE-MD.</t>
  </si>
  <si>
    <t>2622 West 4th Street (Report to Work)</t>
  </si>
  <si>
    <t>P-400-21123-282595</t>
  </si>
  <si>
    <t>Amber@LABORCI.COM</t>
  </si>
  <si>
    <t>Metro Lawn Sprinklers</t>
  </si>
  <si>
    <t xml:space="preserve">291 Indacom Dr. </t>
  </si>
  <si>
    <t>St. Peters</t>
  </si>
  <si>
    <t xml:space="preserve">Transport provided, designated locale to job site. Begin in St. Charles County, MO. Continue in counties/areas: Franklin, Jefferson, Lincoln, St. Charles, St. Louis city, St. Louis, Warren, &amp; Washington counties of MO; St. Louis MO-IL, &amp; Southeast Missouri nonmetropolitan area. </t>
  </si>
  <si>
    <t>291 Indacom Dr. (report to work)</t>
  </si>
  <si>
    <t>P-400-21130-300953</t>
  </si>
  <si>
    <t>411 Galvin Pkwy</t>
  </si>
  <si>
    <t>Harvard</t>
  </si>
  <si>
    <t>Gonzalez Lawn Landscaping Inc.</t>
  </si>
  <si>
    <t>411 Galvin Parkway</t>
  </si>
  <si>
    <t>P-100-21180-431127</t>
  </si>
  <si>
    <t>Vohra</t>
  </si>
  <si>
    <t>Promod</t>
  </si>
  <si>
    <t>Chief HR and Talent Strategy Officer</t>
  </si>
  <si>
    <t>promod.vohra@acsicorp.com</t>
  </si>
  <si>
    <t>American CyberSystems, Inc.</t>
  </si>
  <si>
    <t>Financial Planning &amp; Systems Manager</t>
  </si>
  <si>
    <t>="Related experience must also include at least 1 year experience working with MS-SQL, MS-Excel, Power BI, SAP BPC and Tableau as well as 1 year experience with statistical tests, distributions, maximum likelihood estimators, variance analysis, analyzing,</t>
  </si>
  <si>
    <t>Director of Financial Planning</t>
  </si>
  <si>
    <t>P-100-21129-298288</t>
  </si>
  <si>
    <t>attorneypengfang@fanglawlawoffices.com</t>
  </si>
  <si>
    <t>SENIOR MANAGEMENT ANALYST</t>
  </si>
  <si>
    <t>MANAGEMENT OR A RELATED FIELD</t>
  </si>
  <si>
    <t>JEFF</t>
  </si>
  <si>
    <t>Kapadia</t>
  </si>
  <si>
    <t>Mala</t>
  </si>
  <si>
    <t>Bajpai</t>
  </si>
  <si>
    <t>P-400-21154-365597</t>
  </si>
  <si>
    <t xml:space="preserve">CAPE NEDDICK </t>
  </si>
  <si>
    <t>STONEY BROOK LANDSCAPING LLC</t>
  </si>
  <si>
    <t>P-400-21146-345684</t>
  </si>
  <si>
    <t>1800 SE Hills Club Terrace</t>
  </si>
  <si>
    <t>P-400-21154-365746</t>
  </si>
  <si>
    <t>H2 Visa Consultants, LLC</t>
  </si>
  <si>
    <t>12 RIVERSIDE ROAD</t>
  </si>
  <si>
    <t>BILLINGS</t>
  </si>
  <si>
    <t>P-200-21125-288191</t>
  </si>
  <si>
    <t>Barvaliya</t>
  </si>
  <si>
    <t>6420 Naples Blvd.</t>
  </si>
  <si>
    <t>barvaliyahitesh@yahoo.com</t>
  </si>
  <si>
    <t>Aarav Creamery Inc.</t>
  </si>
  <si>
    <t>Coldstone Creamery</t>
  </si>
  <si>
    <t>Kufdakis</t>
  </si>
  <si>
    <t>2161 Palm Beach Lakes Blvd.</t>
  </si>
  <si>
    <t>Ste 406</t>
  </si>
  <si>
    <t>sk@devore-immigration.com</t>
  </si>
  <si>
    <t>Gene S. Devore, P.A</t>
  </si>
  <si>
    <t>Computer science, and business related occupation (such as business administration).</t>
  </si>
  <si>
    <t>Martinez (nn/1145.6687)</t>
  </si>
  <si>
    <t>Cross, Gunter, Witherspoon and Galchus</t>
  </si>
  <si>
    <t>P-400-21144-340032</t>
  </si>
  <si>
    <t>1424 Old Knoxville Highway</t>
  </si>
  <si>
    <t>Rockingham</t>
  </si>
  <si>
    <t>P-400-21147-351017</t>
  </si>
  <si>
    <t>3077 Carter Hill Road</t>
  </si>
  <si>
    <t>Southeast Forest Products Manufacturing, Inc.</t>
  </si>
  <si>
    <t>99 Planer Mill Road</t>
  </si>
  <si>
    <t>P-200-21166-398030</t>
  </si>
  <si>
    <t>Dekruyff</t>
  </si>
  <si>
    <t>Law Office of Juan Dekruyff</t>
  </si>
  <si>
    <t>J.D. or LL.M from a U.S. school</t>
  </si>
  <si>
    <t>P-100-21126-291883</t>
  </si>
  <si>
    <t>XL SOFTEK, INC</t>
  </si>
  <si>
    <t>P-100-21165-396779</t>
  </si>
  <si>
    <t>P-100-21175-424482</t>
  </si>
  <si>
    <t>Hirao (5834323)</t>
  </si>
  <si>
    <t>="OAuth Protocol and Test Driven development ;  System integration using RESTful APIs;  Agile environments using Scrum, Kanban, or Extreme Programming;  2 years of experience writing RESTful APIs;  2 years of experience with Spring and Hibernate;  3 years</t>
  </si>
  <si>
    <t>P-400-21152-359248</t>
  </si>
  <si>
    <t>5550 NW 40th St.qq</t>
  </si>
  <si>
    <t>P-400-21151-357041</t>
  </si>
  <si>
    <t>1235 E Cherokee St</t>
  </si>
  <si>
    <t>Bioverativ Therapeutics, Inc.</t>
  </si>
  <si>
    <t>Biochemistry, Biology, Biophysics, Biotechnology, Biomedical Engineering, or a related life science field.</t>
  </si>
  <si>
    <t>Senior Principal Scientist, Lab Head</t>
  </si>
  <si>
    <t>225 2nd Avenue</t>
  </si>
  <si>
    <t>P-100-21147-350333</t>
  </si>
  <si>
    <t xml:space="preserve">Martinez Martinez </t>
  </si>
  <si>
    <t xml:space="preserve">Giuliana </t>
  </si>
  <si>
    <t xml:space="preserve">Primary Care Physician </t>
  </si>
  <si>
    <t>The position requires employer's minimum requirements for entry into this occupation is an MD or DO degree. The employer will accept ECFMG equivalency to MD</t>
  </si>
  <si>
    <t>1225 E Coolspring Ave</t>
  </si>
  <si>
    <t>114 W. Magnolia St.</t>
  </si>
  <si>
    <t>P-400-21146-348019</t>
  </si>
  <si>
    <t xml:space="preserve">="Must be able to work weekends and holidays. All applicants (U.S. workers and foreign workers) must meet hiring standards of Biltmore: Must be functionally literate and have a criminal background check void of any misdemeanors within 2 years or felonies </t>
  </si>
  <si>
    <t>One Approach Rd</t>
  </si>
  <si>
    <t>P-400-21133-309849</t>
  </si>
  <si>
    <t>Clark, SD</t>
  </si>
  <si>
    <t>P-400-21131-302469</t>
  </si>
  <si>
    <t>Webley</t>
  </si>
  <si>
    <t>1917 Trade Center Way</t>
  </si>
  <si>
    <t>Swebley@goldencarefl.com</t>
  </si>
  <si>
    <t xml:space="preserve">Golden Care Home Health Inc. </t>
  </si>
  <si>
    <t>="The Petitioner will consider for employment any person who possesses at least one (1) year of experience in a home healthcare setting or high-end medical care facility. 
Applicant must complete pre-employment background check and drug screening and mus</t>
  </si>
  <si>
    <t>All worksites located in Lee and Collier Counties in Florida.  Occasional travel throughout this area and between worksites is required.  All worksites are within a normal commuting distance (less than thirty (30) minutes) of the primary job location.  Transportation between worksites is provided.</t>
  </si>
  <si>
    <t>1920 ASSOCIATION DR., STE. 501</t>
  </si>
  <si>
    <t>CLOUD BC LABS, INC.</t>
  </si>
  <si>
    <t>RE: CLOUD BC</t>
  </si>
  <si>
    <t>="Qualified applicants must also have demonstrable proficiency, skill, experience, and knowledge with the following:
1.	C/C++
2.	Win32
3.	Linux/Unix
4.	Visual Studio
5.	IAR
6.	Eclipse
No travel, No telecommuting. Job duties are project-based and perform</t>
  </si>
  <si>
    <t>TECHNICAL LEADER.ENGINEERING</t>
  </si>
  <si>
    <t>P-400-21132-307290</t>
  </si>
  <si>
    <t>330 W Ben White Rd</t>
  </si>
  <si>
    <t>P-400-21126-292903</t>
  </si>
  <si>
    <t>P-100-21147-349225</t>
  </si>
  <si>
    <t>ELKINS</t>
  </si>
  <si>
    <t>SERETHA</t>
  </si>
  <si>
    <t>1 W MEDICAL CT</t>
  </si>
  <si>
    <t>WICHITA FALLS</t>
  </si>
  <si>
    <t>serethae@ostcwf.com</t>
  </si>
  <si>
    <t>ORTHOPAEDIC ASSOCIATES LLP</t>
  </si>
  <si>
    <t xml:space="preserve">Radiologic Scientist </t>
  </si>
  <si>
    <t xml:space="preserve">Radiologic Sciences </t>
  </si>
  <si>
    <t>P-400-21146-344403</t>
  </si>
  <si>
    <t xml:space="preserve">State Highway 210 </t>
  </si>
  <si>
    <t xml:space="preserve">Richards Brandt Miller Nelson </t>
  </si>
  <si>
    <t>P-100-21145-340610</t>
  </si>
  <si>
    <t>1385 English Ln NW</t>
  </si>
  <si>
    <t>P-400-21134-314991</t>
  </si>
  <si>
    <t>Hamlin Compnanies</t>
  </si>
  <si>
    <t>McCallister Rio Grande Investments, LP</t>
  </si>
  <si>
    <t>400 E 2nd Ave</t>
  </si>
  <si>
    <t>P-400-21151-356968</t>
  </si>
  <si>
    <t>4820 W 129th Street</t>
  </si>
  <si>
    <t>Alsip</t>
  </si>
  <si>
    <t>anja.jukic@roamingnetworks.rs</t>
  </si>
  <si>
    <t>Aslip</t>
  </si>
  <si>
    <t xml:space="preserve">Travel on a daily basis from main worksite to various cell tower sites throughout the Dallas-Fort Worth-Arlington, TX Metropolitan Statistical Area (19100).
</t>
  </si>
  <si>
    <t>P-100-21133-311012</t>
  </si>
  <si>
    <t>Tax Accountant, Tax, PCS Standard (FSO) (Senior)(M.P)</t>
  </si>
  <si>
    <t>Bachelor’s degree in Accounting, Finance, Economics, Tax, Law or a related field</t>
  </si>
  <si>
    <t>="Bachelor’s degree in Accounting, Finance, Economics, Tax, Law or a related field and 2 years of work experience in Tax and/or Financial Planning. 
Must have 1 year of experience in Federal Income Tax and State/City Income Tax. 
Must have 1 year of exp</t>
  </si>
  <si>
    <t xml:space="preserve">Master’s degree in Accounting, Finance, Economics, Tax, Law or related field </t>
  </si>
  <si>
    <t xml:space="preserve">="Alternatively, will accept a Master’s degree in Accounting, Finance, Economics, Tax, Law or related field and 1 year of work experience in Tax and/or Financial Planning. 
Must have 1 year of experience in Federal Income Tax and State/City Income Tax. 
</t>
  </si>
  <si>
    <t>Tax Accountant, Tax, PCS Standard (FSO) (Mgr)</t>
  </si>
  <si>
    <t xml:space="preserve"> 5 Times Square</t>
  </si>
  <si>
    <t>P-100-21138-321875</t>
  </si>
  <si>
    <t>SOFTWRE DEVELOPER</t>
  </si>
  <si>
    <t xml:space="preserve">="kills Required: PHP, Python, JavaScript, HTML, CSS, Oracle, MySQL, and Linux. Master’s degree in Science, Technology, or Engineering (any) with 1 year of experience in job offered or related occupation is required. Bachelor’s degree in the above fields </t>
  </si>
  <si>
    <t>SUITE 501 AND VARIOUS UNANTICIPATED LOCATIONS THROUGHOUT THE U.S</t>
  </si>
  <si>
    <t>HR Operations Coordinator</t>
  </si>
  <si>
    <t>6230 Stoneridge Mall Road</t>
  </si>
  <si>
    <t>us-immigration@10xgenomics.com</t>
  </si>
  <si>
    <t>10x Genomics, Inc.</t>
  </si>
  <si>
    <t>P-400-21126-293844</t>
  </si>
  <si>
    <t xml:space="preserve"> 166 Hargraves Drive, St. C400-125</t>
  </si>
  <si>
    <t>Northridge Construction, Inc.</t>
  </si>
  <si>
    <t>Daily travel to worksites in the area of intended employment is required. Employer will provide transportation to and from all worksites.</t>
  </si>
  <si>
    <t xml:space="preserve">4th and Reynolds </t>
  </si>
  <si>
    <t>Goldthwaite</t>
  </si>
  <si>
    <t>P-400-21137-318234</t>
  </si>
  <si>
    <t>="Knowledge of the following (can be gained through education and/or experience):
 1.	CPU microarchitecture (out-of-order execution, register renaming, reservation stations, processor pipelines, etc.;)
2.	Functional debug of errors in the RTL model
3.	Spe</t>
  </si>
  <si>
    <t>P-400-21148-353206</t>
  </si>
  <si>
    <t>16128 CLAYTON ROAD</t>
  </si>
  <si>
    <t>700 CROWN INDUSTRIAL CT CHESTERFIELD MO 63005</t>
  </si>
  <si>
    <t xml:space="preserve">360 LAWN SOLUTIONS LLC </t>
  </si>
  <si>
    <t>700 CROWN INDUSTRIAL COURT</t>
  </si>
  <si>
    <t>P-100-21154-367046</t>
  </si>
  <si>
    <t xml:space="preserve">Assistant Vice President of HR, Strategic Enablement </t>
  </si>
  <si>
    <t>Assistant VP, Machine Learning and Data Science</t>
  </si>
  <si>
    <t>Mathematics, Statistics or closely related field</t>
  </si>
  <si>
    <t>P-400-21146-344882</t>
  </si>
  <si>
    <t xml:space="preserve">KENNETH </t>
  </si>
  <si>
    <t xml:space="preserve">Palm Beach Gardens </t>
  </si>
  <si>
    <t>FRENCHMAN’S RESERVE COUNTRY CLUB</t>
  </si>
  <si>
    <t>P-100-21175-425510</t>
  </si>
  <si>
    <t>Caleb</t>
  </si>
  <si>
    <t>cjohnson@pdh.org</t>
  </si>
  <si>
    <t>Clinical Laboratory Scientist or Medical Technologist or directly related field</t>
  </si>
  <si>
    <t>P-100-21144-339056</t>
  </si>
  <si>
    <t>Suite # 1100</t>
  </si>
  <si>
    <t>P-400-21128-297912</t>
  </si>
  <si>
    <t>P-400-21132-308571</t>
  </si>
  <si>
    <t xml:space="preserve">McMurray </t>
  </si>
  <si>
    <t>="The Petitioner will consider for employment any person who possesses at least three (3) months months of experience at a high-end hotel, resort, or private club.
Applicant must complete pre-employment background check and drug screening.  
Applicant m</t>
  </si>
  <si>
    <t>P-100-21172-415331</t>
  </si>
  <si>
    <t>Z Transpoprtation INC</t>
  </si>
  <si>
    <t>Commercial Truck Driver</t>
  </si>
  <si>
    <t xml:space="preserve">All 48 mainland states we operate in </t>
  </si>
  <si>
    <t>16107 Kensington Drive</t>
  </si>
  <si>
    <t>P-400-21141-334460</t>
  </si>
  <si>
    <t>Retail Sales Associate/Kitchen Helper</t>
  </si>
  <si>
    <t>="Able to lift 50lbs. Have knowledge of American currency &amp; ability to count, give &amp; make change. Be 18 years of age. Must speak and understand English at least at a conversational level. Mon-Sun, 40 hrs/wk. As early as 5am-as late as 10pm. Work week &amp; st</t>
  </si>
  <si>
    <t>10781 OH-66</t>
  </si>
  <si>
    <t>heatherp@cooperfarms.com</t>
  </si>
  <si>
    <t>Cooper Farms, Inc.</t>
  </si>
  <si>
    <t>22348 Rd 140</t>
  </si>
  <si>
    <t>Hedge</t>
  </si>
  <si>
    <t>23378 State Route 66</t>
  </si>
  <si>
    <t>P-400-21146-347566</t>
  </si>
  <si>
    <t>="Must pass pre-hire drug test and medical physical.  Must pass written and functional welding test at employer's expense.  Must be able to lift and/or move a minimum of 50lbs.   Must be willing and able to climb and work in high places that may exceed 20</t>
  </si>
  <si>
    <t>51-4121.06</t>
  </si>
  <si>
    <t>P-400-21144-337911</t>
  </si>
  <si>
    <t>HOMINIUK</t>
  </si>
  <si>
    <t>52215 N. LILAC ROAD</t>
  </si>
  <si>
    <t>SOUTH BEND</t>
  </si>
  <si>
    <t>bhominiuk@foegleylandscape.com</t>
  </si>
  <si>
    <t>FOEGLEY LANDSCAPE, INC.</t>
  </si>
  <si>
    <t>South Bend-Mishawaka, IN-MI</t>
  </si>
  <si>
    <t>P-100-21169-410728</t>
  </si>
  <si>
    <t>Ryan Claims &amp; Consulting Group Inc.</t>
  </si>
  <si>
    <t>GREENE</t>
  </si>
  <si>
    <t>P-400-21146-345834</t>
  </si>
  <si>
    <t xml:space="preserve">DAVE </t>
  </si>
  <si>
    <t xml:space="preserve">2765 MICHIGAN AVE RD NE </t>
  </si>
  <si>
    <t xml:space="preserve">CLEVELAND </t>
  </si>
  <si>
    <t>Dalton, GA</t>
  </si>
  <si>
    <t>P-100-21159-380249</t>
  </si>
  <si>
    <t>JMogan18@massmutal.com</t>
  </si>
  <si>
    <t>Data Solutions Architect</t>
  </si>
  <si>
    <t>="One (1) year of experience in the job offered or related occupation must involve data architecture and data management principles using traditional RDBMS, MPP appliances, columnar repositories, distributed-data technologies, or cloud platforms; using SQ</t>
  </si>
  <si>
    <t>Head of Data Analytics – Audit/Corporate Audit</t>
  </si>
  <si>
    <t>P-400-21146-345149</t>
  </si>
  <si>
    <t>Nepper</t>
  </si>
  <si>
    <t>4300 NE 14th Street</t>
  </si>
  <si>
    <t>justin@nehringconstruction.com</t>
  </si>
  <si>
    <t>Nehring Construction, Inc.</t>
  </si>
  <si>
    <t>General Construction Laborers</t>
  </si>
  <si>
    <t>Job sites will vary but all will be within central Iowa – typically within a 60-mile radius of Des Moines, IA including the following counties: Boone, Story, Marshall, Dallas, Polk, Jasper, Madison, Warren, Marion.
Workers will report to the main shop at 4300 NE 14th Street, Des Moines, IA 50313 to transport to projects or report directly to the project site on their own.</t>
  </si>
  <si>
    <t>P-100-21138-322008</t>
  </si>
  <si>
    <t>="SKILLS REQUIRED: PHP, PYTHON, JAVASCRIPT, HTML, CSS, ORACLE, MYSQL, AND LINUX. MASTER’S DEGREE IN SCIENCE, TECHNOLOGY, OR ENGINEERING (ANY) WITH 1
YEAR OF EXPERIENCE IN JOB OFFERED OR RELATED OCCUPATION IS REQUIRED. BACHELOR’S DEGREE IN THE ABOVE FIELDS</t>
  </si>
  <si>
    <t>P-100-21124-286378</t>
  </si>
  <si>
    <t>="Employer will accept Bachelor’s degree in Computer Science, Computer Engineering, Computer Information Systems, Engineering or related technical field and 5 years of experience in the job offered or a related occupation. Experience must include: 
1.	IB</t>
  </si>
  <si>
    <t>2118 Centennial Drive</t>
  </si>
  <si>
    <t>drew.soulshine@gmail.com</t>
  </si>
  <si>
    <t>Soulshine Farms LLC</t>
  </si>
  <si>
    <t>Administrative</t>
  </si>
  <si>
    <t>P-400-21148-352027</t>
  </si>
  <si>
    <t>Bamgbade</t>
  </si>
  <si>
    <t>Adewunmi</t>
  </si>
  <si>
    <t>320 80TH ST</t>
  </si>
  <si>
    <t>UNIT 11</t>
  </si>
  <si>
    <t>remi@zesteconsultants.com</t>
  </si>
  <si>
    <t>Lotti Solutions Inc</t>
  </si>
  <si>
    <t>Miami Beach FL</t>
  </si>
  <si>
    <t>="Must be able to work weekends and holidays . Must be able to rotate shifts. Must be available to work all shifts: 8am - 3:30 pm and/or 3pm to 10:30 pm.  Sat/Sun work required, when necessary. 
 Must be able to climb stairs &amp; lift/carry 40 lbs, when nec</t>
  </si>
  <si>
    <t>2201 Collins Avenue</t>
  </si>
  <si>
    <t>P-400-21159-377047</t>
  </si>
  <si>
    <t>Nicholson</t>
  </si>
  <si>
    <t>37 Red Cross Avenue</t>
  </si>
  <si>
    <t>christian@echome.fm</t>
  </si>
  <si>
    <t>Echome Inc.</t>
  </si>
  <si>
    <t>South American &amp; European Music Industry Analyst</t>
  </si>
  <si>
    <t>The candidate is required to have studied languages and the regions thereof in South America/Europe.</t>
  </si>
  <si>
    <t xml:space="preserve">The candidate will most likely be required to travel, expenses paid to Miami, Florida where a large amount of Latin/South American labels have branches of their business. </t>
  </si>
  <si>
    <t>8 Glenmont Road</t>
  </si>
  <si>
    <t>P-400-21139-326159</t>
  </si>
  <si>
    <t>Koncan</t>
  </si>
  <si>
    <t>Leonora</t>
  </si>
  <si>
    <t>117 7th Street</t>
  </si>
  <si>
    <t>Crested Butte</t>
  </si>
  <si>
    <t>Roxxyclean@yahoo.com</t>
  </si>
  <si>
    <t>Roxxy's Cleaning LLC</t>
  </si>
  <si>
    <t>Housekeeping Cleaners</t>
  </si>
  <si>
    <t>Transport provided, designated locale to job site. Begin in Gunnison County, CO. Continue in Counties/Areas: Gunnison and areas of Southwest Colorado nonmetropolitan area.</t>
  </si>
  <si>
    <t>117 7th St (report to work)</t>
  </si>
  <si>
    <t>Southwest Colorado nonmetropolitan area</t>
  </si>
  <si>
    <t>P-400-21126-292817</t>
  </si>
  <si>
    <t>Venezia's New York Style Pizza - Tempe, Inc</t>
  </si>
  <si>
    <t xml:space="preserve">27 E Southern Ave </t>
  </si>
  <si>
    <t>P-100-21133-312139</t>
  </si>
  <si>
    <t>Building 6,. Suite 205</t>
  </si>
  <si>
    <t>C2S Consulting  LLC</t>
  </si>
  <si>
    <t>Senior Consultant Supply Chain Management</t>
  </si>
  <si>
    <t>P-400-21137-317863</t>
  </si>
  <si>
    <t>8905 REGENTS PARK DRIVE SUITE #230-1</t>
  </si>
  <si>
    <t xml:space="preserve">Montgomery </t>
  </si>
  <si>
    <t>P-400-21130-299086</t>
  </si>
  <si>
    <t>P-100-21140-331483</t>
  </si>
  <si>
    <t>Jakka Sai</t>
  </si>
  <si>
    <t xml:space="preserve">Bhavya </t>
  </si>
  <si>
    <t>25663 SMOTHERMAN ROAD, Suite B30</t>
  </si>
  <si>
    <t>hr@viratsolutions.com</t>
  </si>
  <si>
    <t>Virat Solutions Inc</t>
  </si>
  <si>
    <t>Visualization Engineer</t>
  </si>
  <si>
    <t>Computer Science, Information Technology, Bioinformatics, or related</t>
  </si>
  <si>
    <t>P-100-21153-362806</t>
  </si>
  <si>
    <t>Migliorini</t>
  </si>
  <si>
    <t>1298 N. Palm Ave.</t>
  </si>
  <si>
    <t>gialdallc@yahoo.com</t>
  </si>
  <si>
    <t xml:space="preserve">GIALDA, L.L.C. </t>
  </si>
  <si>
    <t xml:space="preserve">Café Epicure </t>
  </si>
  <si>
    <t>Jaensch</t>
  </si>
  <si>
    <t>P. Christopher</t>
  </si>
  <si>
    <t>2198 Main Street</t>
  </si>
  <si>
    <t>chris@visaamerica.com</t>
  </si>
  <si>
    <t>Peter J. Jaensch Immigration Law Firm, P.A.</t>
  </si>
  <si>
    <t xml:space="preserve">Italian Restaurant Manager  </t>
  </si>
  <si>
    <t>P-100-21126-293892</t>
  </si>
  <si>
    <t>P-400-21132-307091</t>
  </si>
  <si>
    <t>P-400-21152-358037</t>
  </si>
  <si>
    <t>48 E. Hintz Rd.</t>
  </si>
  <si>
    <t>Wheeling</t>
  </si>
  <si>
    <t>brian@milieuland.com</t>
  </si>
  <si>
    <t>Milieu Design LLC</t>
  </si>
  <si>
    <t>Transport provided, designated locale to job site. Begin in Cook County, IL. Continue in Counties/Areas: Cook, DuPage, Lake, McHenry and area of Chicago-Naperville-Elgin, IL-IN-WI.</t>
  </si>
  <si>
    <t>48 E Hintz Road (Report to Work)</t>
  </si>
  <si>
    <t>P-100-21145-342564</t>
  </si>
  <si>
    <t>="Employer requires a Master’s degree in Education, Special Education, Psychology, Social Work, or related field plus 12 months experience in job offered or working with children with intellectual disabilities, socio-emotional problems and/or special need</t>
  </si>
  <si>
    <t>9175 Judicial Drive</t>
  </si>
  <si>
    <t>P-400-21125-290038</t>
  </si>
  <si>
    <t>35 JAMIE LANE</t>
  </si>
  <si>
    <t>ELDON</t>
  </si>
  <si>
    <t>NELSON POOL COMPANY LLC</t>
  </si>
  <si>
    <t>LABORERS, GENERAL</t>
  </si>
  <si>
    <t>MULTIPLE JOB SITES IN CAMDEN &amp; MILLER COUNTY'S. EMPLOYER WILL TRANSPORT WORKERS TO AND FROM EACH JOB LOCATION</t>
  </si>
  <si>
    <t>Central Missouri nonmetropolitan area</t>
  </si>
  <si>
    <t>P-400-21147-349974</t>
  </si>
  <si>
    <t>Counter Attendant</t>
  </si>
  <si>
    <t>P-400-21137-320447</t>
  </si>
  <si>
    <t>P-400-21144-339030</t>
  </si>
  <si>
    <t>P-100-21130-301291</t>
  </si>
  <si>
    <t>Ji Yoon</t>
  </si>
  <si>
    <t>pfeollc@gmail.com</t>
  </si>
  <si>
    <t>1880 Century Place NE</t>
  </si>
  <si>
    <t>wykimlaw@gmail.com</t>
  </si>
  <si>
    <t>Accounting, Finance, or a closely related field.</t>
  </si>
  <si>
    <t>P-100-21123-282521</t>
  </si>
  <si>
    <t>Program Manager Non Technical</t>
  </si>
  <si>
    <t>2021 Radford Global Technology Survey-5063 Electronic Design Engineer 3</t>
  </si>
  <si>
    <t>P-100-21181-434403</t>
  </si>
  <si>
    <t xml:space="preserve">Cyber Security - Cyber Transformation - Mgr </t>
  </si>
  <si>
    <t xml:space="preserve">="Must have a Master’s degree in Management Information Systems (MIS), Computer Science, Engineering, Business, Accounting, Finance or a related field and 4 years of combined experience in consulting, advisory, cybersecurity assessment, or auditing. Must </t>
  </si>
  <si>
    <t xml:space="preserve">Cyber Security - Cyber Transformation - Sr. Mgr </t>
  </si>
  <si>
    <t>P-100-21139-327434</t>
  </si>
  <si>
    <t>="SKILLS REQUIRED: INFORMATICA, PYTHON, HADOOP, AWS, AZURE, JAVA, J2EE, DB2, PL/SQL, UNIX, SHELL SCRIPTING, ORACLE, OBIEE, ODI. MASTER’S DEGREE IN SCIENCE, TECHNOLOGY, ENGINEERING, OR ANY RELATED FIELD WITH 1 YEAR OF EXPERIENCE IN THE JOB OFFERED OR RELAT</t>
  </si>
  <si>
    <t>2650 US -130</t>
  </si>
  <si>
    <t>SUITE # E AND VARIOUS UNANTICIPATED LOCATIONS THROUGHOUT HE U.S.</t>
  </si>
  <si>
    <t>P-400-21132-308624</t>
  </si>
  <si>
    <t>1208 California Ln, Suite 106</t>
  </si>
  <si>
    <t>rewheel@sbcglobal.net</t>
  </si>
  <si>
    <t>Rodney Wheeler</t>
  </si>
  <si>
    <t>Wheeler Company</t>
  </si>
  <si>
    <t>P-100-21152-358267</t>
  </si>
  <si>
    <t xml:space="preserve">Mattress World USA, Inc. </t>
  </si>
  <si>
    <t>Hamilton Sofa and Leather Gallery</t>
  </si>
  <si>
    <t xml:space="preserve">Pharmacist </t>
  </si>
  <si>
    <t>P-400-21126-292001</t>
  </si>
  <si>
    <t>Pipelayer</t>
  </si>
  <si>
    <t>P-400-21145-343958</t>
  </si>
  <si>
    <t xml:space="preserve">Ezequiel </t>
  </si>
  <si>
    <t>9722 SE Washington St.</t>
  </si>
  <si>
    <t>gutierrezez05@gmail.com</t>
  </si>
  <si>
    <t>El Gran Patron, Inc.</t>
  </si>
  <si>
    <t>Micava Cocina De El Pacifico and Fine Spirits</t>
  </si>
  <si>
    <t>Transport provided, designated locale to job site. Begin in Multnomah County, OR. Continue in Counties/Areas: Benton, Multnomah and areas of Corvallis, OR, Portland-Vancouver-Hillsboro, OR-WA.</t>
  </si>
  <si>
    <t>9722 SE Washington St. (Report to Work)</t>
  </si>
  <si>
    <t>P-400-21141-334074</t>
  </si>
  <si>
    <t>McGee</t>
  </si>
  <si>
    <t>28111 Northline Rd</t>
  </si>
  <si>
    <t>davidmcgee312@gmail.com</t>
  </si>
  <si>
    <t>Gordon Components MI, LLC</t>
  </si>
  <si>
    <t>Truss Builder</t>
  </si>
  <si>
    <t>Woodworking Operators and Tenders</t>
  </si>
  <si>
    <t>P-400-21125-289350</t>
  </si>
  <si>
    <t xml:space="preserve">Dias Genda </t>
  </si>
  <si>
    <t xml:space="preserve"> Marilia</t>
  </si>
  <si>
    <t>CKF 13350 LLC</t>
  </si>
  <si>
    <t>13350 Midlothian Turnpike</t>
  </si>
  <si>
    <t>Cook and Dishwasher</t>
  </si>
  <si>
    <t>13350 MIDLOTHIAN TPKE</t>
  </si>
  <si>
    <t>MIDLOTHIAN</t>
  </si>
  <si>
    <t xml:space="preserve">JESSICA (220.6829.3) </t>
  </si>
  <si>
    <t xml:space="preserve">80% Travel Required Nationally. </t>
  </si>
  <si>
    <t xml:space="preserve">Franklin </t>
  </si>
  <si>
    <t>P-100-21131-302800</t>
  </si>
  <si>
    <t xml:space="preserve">Ogletree, Deakins, Nash, Smoak, and Stewart,  P.C. </t>
  </si>
  <si>
    <t>Senior Analyst, Operations Finance</t>
  </si>
  <si>
    <t>Accounting, Finance or related field of study</t>
  </si>
  <si>
    <t>="MINIMUM Education Requirement and Experience Requirement: Bachelor’s degree in Accounting, Finance or related field of study AND Three (3) Years of Experience in the job offered or related occupation. 
Applicants must have demonstrated experience with:</t>
  </si>
  <si>
    <t>Assoc. Director Operations Finance</t>
  </si>
  <si>
    <t>P-100-21123-281490</t>
  </si>
  <si>
    <t>P-400-21140-329976</t>
  </si>
  <si>
    <t>Housekeeping Floor Manager</t>
  </si>
  <si>
    <t>P-100-21134-315294</t>
  </si>
  <si>
    <t>59th floor</t>
  </si>
  <si>
    <t>P-100-21132-308668</t>
  </si>
  <si>
    <t>LAW OFFICE OF THOMAS V ALLEN PLLC</t>
  </si>
  <si>
    <t>System Analyst</t>
  </si>
  <si>
    <t>SCIENCE, COMPUTER APPLICATIONS, TECHNOLOGY, ENGINEERING, OR ANY RELATED FIELD</t>
  </si>
  <si>
    <t>P-100-21131-304029</t>
  </si>
  <si>
    <t xml:space="preserve"> Senior Information Security Analyst </t>
  </si>
  <si>
    <t>P-400-21145-340447</t>
  </si>
  <si>
    <t>MANAGER/OWNER</t>
  </si>
  <si>
    <t xml:space="preserve">3849 PARKWAY </t>
  </si>
  <si>
    <t>P-100-21146-346412</t>
  </si>
  <si>
    <t>Sr. Infrastructure Engineer I</t>
  </si>
  <si>
    <t xml:space="preserve">Computer Science,  Computer Applications, Computer Engineering, Business Administration or Computer Information Systems </t>
  </si>
  <si>
    <t>="Position requires Bachelor's degree or foreign education equivalent  in Computer Science, Computer Engineering, Business Administration or  Computer Information Systems plus seven (7) years of experience in providing solutions using BPM tools using Appi</t>
  </si>
  <si>
    <t>Group Delivery Manager, Vice President</t>
  </si>
  <si>
    <t>1625 W Fountainhead Parkway</t>
  </si>
  <si>
    <t>P-100-21138-323627</t>
  </si>
  <si>
    <t xml:space="preserve">15950 N. Dallas Pkwy </t>
  </si>
  <si>
    <t>P-100-21126-294166</t>
  </si>
  <si>
    <t xml:space="preserve">Business Administration, Management, Engineering (Any), MIS or any related field. </t>
  </si>
  <si>
    <t>P-400-21141-334328</t>
  </si>
  <si>
    <t>General Manager of Operations</t>
  </si>
  <si>
    <t xml:space="preserve">Employee will be required to travel in the Metro Atlanta area to perform rigging jobs and pick up materials required for operation of general duties. Travel is on an as needed basis only. </t>
  </si>
  <si>
    <t>P-100-21158-376002</t>
  </si>
  <si>
    <t>CAMPAGNA</t>
  </si>
  <si>
    <t>295 DURHAM AVE</t>
  </si>
  <si>
    <t>MARIANNE@TEKGENTE.COM</t>
  </si>
  <si>
    <t>TEKGENTE SOLUTIONS INC</t>
  </si>
  <si>
    <t>Sr. Data/Business Systems Analyst</t>
  </si>
  <si>
    <t xml:space="preserve"> CS, CIS, IT, Engg (any) </t>
  </si>
  <si>
    <t>LEAD APPLICATION ENGINEER</t>
  </si>
  <si>
    <t>P-400-21176-427115</t>
  </si>
  <si>
    <t xml:space="preserve">Travel between worksites and employer restaurants in the following Louisiana Parishes: Caddo and Bossier. </t>
  </si>
  <si>
    <t>Computer Engineering, Applied Computer Science, Computer Information Systems, or related field.</t>
  </si>
  <si>
    <t>="Three (3) years of experience in the job offered or a related occupation: utilizing database management systems, operating systems and systems administration concepts; utilizing version control systems including GIT, TFS, SVN, and JIRA; utilizing Oracle</t>
  </si>
  <si>
    <t>25% travel required.</t>
  </si>
  <si>
    <t>P-100-21152-359566</t>
  </si>
  <si>
    <t>P-400-21124-285111</t>
  </si>
  <si>
    <t>P-400-21127-295572</t>
  </si>
  <si>
    <t xml:space="preserve">Hohman </t>
  </si>
  <si>
    <t xml:space="preserve">8490 Tower Drive </t>
  </si>
  <si>
    <t xml:space="preserve">Turfscape Co., Inc. </t>
  </si>
  <si>
    <t xml:space="preserve">8490 Tower Drive  </t>
  </si>
  <si>
    <t xml:space="preserve">Twinsburg </t>
  </si>
  <si>
    <t xml:space="preserve"> R.</t>
  </si>
  <si>
    <t>="Must lift/carry 50 lbs., when necessary.  Saturday work required, when necessary.  Post-hire upon suspicion of use and post-accident drug testing required of foreign and domestic workers. Post-hire background check required of foreign and domestic worke</t>
  </si>
  <si>
    <t xml:space="preserve">EMPLOYER PROVIDES INCIDENTAL TRANSPORTATION BETWEEN WORKSITES AS NECESSARY. </t>
  </si>
  <si>
    <t>8490 Tower Drive</t>
  </si>
  <si>
    <t>P-400-21151-356996</t>
  </si>
  <si>
    <t>5885 Highway 311</t>
  </si>
  <si>
    <t>HCAO@JENSENTUNA.COM</t>
  </si>
  <si>
    <t>JENSEN TUNA INC</t>
  </si>
  <si>
    <t>FISH CUTTER/TRIMMERS</t>
  </si>
  <si>
    <t>P-400-21123-282175</t>
  </si>
  <si>
    <t>MEIJER</t>
  </si>
  <si>
    <t>991 Route 22 West, Suite 200</t>
  </si>
  <si>
    <t>jordi@dutchtotalsoccer.com</t>
  </si>
  <si>
    <t>DUTCH TOTAL SOCCER, LLC</t>
  </si>
  <si>
    <t>Recreational program instructor, soccer</t>
  </si>
  <si>
    <t>Recreation Program Director</t>
  </si>
  <si>
    <t>Travel to, work at, soccer fields and facilities in Somerset, Middlesex &amp; Union Counties, NJ</t>
  </si>
  <si>
    <t>100 Commons Way</t>
  </si>
  <si>
    <t>&amp; fields in Somerset County &amp; listed NJ counties</t>
  </si>
  <si>
    <t>P-400-21153-363001</t>
  </si>
  <si>
    <t>MCDONNELL</t>
  </si>
  <si>
    <t xml:space="preserve">4 COUNTRY VIEW COURT </t>
  </si>
  <si>
    <t xml:space="preserve">The Lawn Champs LLC </t>
  </si>
  <si>
    <t>4 Country View Court</t>
  </si>
  <si>
    <t>MULTIPLE SITES IN ST LOUIS AND ST CHARLES</t>
  </si>
  <si>
    <t>P-400-21154-366846</t>
  </si>
  <si>
    <t>Lift Operator</t>
  </si>
  <si>
    <t>="The Petitioner will consider for employment any person who possesses at least three (3) months of guest service experience in a resort, private club, or tourism environment.
Applicant may be required to complete pre-employment COVID-19 test and/or comp</t>
  </si>
  <si>
    <t xml:space="preserve">Lift Operations Supervisor </t>
  </si>
  <si>
    <t>P-100-21125-288472</t>
  </si>
  <si>
    <t>P-100-21148-354389</t>
  </si>
  <si>
    <t>667 HOWARD STREET</t>
  </si>
  <si>
    <t>Anova Applied Electronics Inc.</t>
  </si>
  <si>
    <t>MOORE AND VAN ALLEN</t>
  </si>
  <si>
    <t xml:space="preserve">Business Administration, Operations or Supply Chain Management or Industrial Engineering </t>
  </si>
  <si>
    <t>="experience in supply chain and logistics in the domestic appliance hardware industry. Must have experience: with integrating through acquisition with a global company; with International Customs, Duties and Tax Laws, GAAP accounting standards and Tax sy</t>
  </si>
  <si>
    <t>P-400-21146-344731</t>
  </si>
  <si>
    <t>Ruvalcaba</t>
  </si>
  <si>
    <t>Alvar</t>
  </si>
  <si>
    <t>President / Owner</t>
  </si>
  <si>
    <t>10070 Harris Avenue</t>
  </si>
  <si>
    <t>alvarlane902@hotmail.com</t>
  </si>
  <si>
    <t>Ruvalcaba's Carpentry LLC</t>
  </si>
  <si>
    <t>Helper - Carpentry Workers</t>
  </si>
  <si>
    <t xml:space="preserve">Daily transportation provided to and from area worksites at employer’s expense from employer’s place of business [10070 Harris Avenue, Apopka, FL], or other predetermined centralized location.  </t>
  </si>
  <si>
    <t>P-100-21146-344457</t>
  </si>
  <si>
    <t>P-100-21168-405752</t>
  </si>
  <si>
    <t xml:space="preserve"> RF Engineer </t>
  </si>
  <si>
    <t xml:space="preserve"> Electrical Engineering or related field</t>
  </si>
  <si>
    <t>P-400-21152-359291</t>
  </si>
  <si>
    <t>P-400-21130-299078</t>
  </si>
  <si>
    <t xml:space="preserve">Facilities Director </t>
  </si>
  <si>
    <t>P-100-21132-307063</t>
  </si>
  <si>
    <t>50 CRAGWOOD RAOD</t>
  </si>
  <si>
    <t>P-100-21123-282700</t>
  </si>
  <si>
    <t>P-100-21138-324271</t>
  </si>
  <si>
    <t>Information and Communication Technology</t>
  </si>
  <si>
    <t>P-400-21123-283420</t>
  </si>
  <si>
    <t>8805 Telegraph Road</t>
  </si>
  <si>
    <t>P-400-21150-356144</t>
  </si>
  <si>
    <t>TYSON</t>
  </si>
  <si>
    <t>2800 YACHT CLUB BLVD</t>
  </si>
  <si>
    <t>CORAL RIDGE YACHT CLUB INC</t>
  </si>
  <si>
    <t>P-400-21144-337464</t>
  </si>
  <si>
    <t>BARRETO FORESTRY CONTRACTING, INC.</t>
  </si>
  <si>
    <t>243 BARNEY STREET</t>
  </si>
  <si>
    <t>GLOSTER</t>
  </si>
  <si>
    <t>FOREST LABORER</t>
  </si>
  <si>
    <t>THE JOB DUTIES WILL BE PERFORMED IN THE FIELD. THE WORK SITES INCLUDE AMITE, LINCOLN, FORREST, PEARL RIVER, LAMAR, FRANKLIN, MARION, WALTHALL, AND PIKE COUNTIES. TRANSPORTATION WILL BE PROVIDED BY THE EMPLOYER TO AND FROM THE WORK SITE.</t>
  </si>
  <si>
    <t>IN THE FIELD- 243 BARNEY STREET</t>
  </si>
  <si>
    <t>P-100-21154-367012</t>
  </si>
  <si>
    <t xml:space="preserve">="Full time. Minimum 2 years experience required as supervisor.  Supervise and coordinate activities of workers constructing, erecting, installing, and repairing wooden structures, flooring, fixtures and supports for concrete forms.  Examine blueprints / </t>
  </si>
  <si>
    <t>TRAVEL REQUIRED TO SUPERVISE PROJECTS AND WORKERS IN SALEM COUNTY, NEW JERSEY.</t>
  </si>
  <si>
    <t>P-100-21147-350975</t>
  </si>
  <si>
    <t>P-100-21125-289701</t>
  </si>
  <si>
    <t>Mechanical Engineering, Electrical Engineering, or related technical field (or foreign equivalent)</t>
  </si>
  <si>
    <t>="One (1) year of experience in developing and implementing automated test programs for design verification and validation in electrical and mechanical devices, fixtures, and systems for biotechnology; one (1) year of experience in Python and Arduino; one</t>
  </si>
  <si>
    <t>Senior Director, Hardware Engineering</t>
  </si>
  <si>
    <t>P-400-21154-366349</t>
  </si>
  <si>
    <t>P-400-21167-403640</t>
  </si>
  <si>
    <t>2305 E. Belt Line Rd.</t>
  </si>
  <si>
    <t>="•	The ability to quickly move your hand, your hand together with your arm, or your two hands to grasp, manipulate, or assemble objects. 
•	 The ability to exert maximum muscle force to lift, push, pull, or carry objects. 
•	 The ability to use your abdo</t>
  </si>
  <si>
    <t>P-400-21127-295536</t>
  </si>
  <si>
    <t>Thiergartner</t>
  </si>
  <si>
    <t>6050 Stone Road, Suite A</t>
  </si>
  <si>
    <t>Brookside Construction Services, Inc.</t>
  </si>
  <si>
    <t>="Must lift/carry 50 lbs., when necessary.  Saturday and Sunday work required, when necessary.  Employer-paid drug testing required prior to commencing work for new hires, foreign and domestic. Post-hire upon suspicion of use and post-accident drug testin</t>
  </si>
  <si>
    <t>6050 Stone Road</t>
  </si>
  <si>
    <t>P-100-21140-331055</t>
  </si>
  <si>
    <t>Comp Sci/Engg/Info Tech/rel/equiv</t>
  </si>
  <si>
    <t>P-100-21138-321790</t>
  </si>
  <si>
    <t>="Employing business and technical architect, process, and requirements methodologies to tailor Business Case to requirements; performing analysis and practical implementation of global financial regulations (US, Europe and APAC) including client onboardi</t>
  </si>
  <si>
    <t>80% travel is required to various and unanticipated CAPCO offices and client sites nationally.</t>
  </si>
  <si>
    <t>P-100-21146-345748</t>
  </si>
  <si>
    <t xml:space="preserve">Four (4) years of described experience </t>
  </si>
  <si>
    <t>See F.c.2.</t>
  </si>
  <si>
    <t xml:space="preserve">Jitendra </t>
  </si>
  <si>
    <t>57 W BURNSIDE AVENUE, SUITE B1</t>
  </si>
  <si>
    <t xml:space="preserve">MHHC PHARMACY, INC. </t>
  </si>
  <si>
    <t xml:space="preserve">Doctor of Pharmacy or Foreign Equivalent </t>
  </si>
  <si>
    <t>P-100-21144-339550</t>
  </si>
  <si>
    <t>P-100-21176-427554</t>
  </si>
  <si>
    <t>="1. Experience must include plant propagation and cultivation; insect pest management; using fungicides, plant growth regulators, and fertilizer to produce quality ornamental crops; and regulating greenhouse environments (heat, light, cooling, photoperio</t>
  </si>
  <si>
    <t>BELLINGHAM</t>
  </si>
  <si>
    <t xml:space="preserve">Must be available to work on projects at various, unanticipated sites within commuting distance of Slalom’s New York, NY office. </t>
  </si>
  <si>
    <t>="Education or experience must include: 
1.	Experience with SOC2 Type 2; 
2.	Experience with NIST and information security standards; 
3.	Experience with computer and network security, 
4.	Experience with authentication, security protocols and applied cr</t>
  </si>
  <si>
    <t>Tedrick</t>
  </si>
  <si>
    <t xml:space="preserve">331 Oyster Point Blvd. </t>
  </si>
  <si>
    <t>jtedrick@assemblybio.com</t>
  </si>
  <si>
    <t>Assembly Biosciences, Inc.</t>
  </si>
  <si>
    <t>Assembly Biosciences</t>
  </si>
  <si>
    <t>331 Oyster Point Blvd.</t>
  </si>
  <si>
    <t>Zedginidze</t>
  </si>
  <si>
    <t>Biologist (Clinical Research Associate, Clinical Operations)</t>
  </si>
  <si>
    <t>Biology, Psychology, or related field</t>
  </si>
  <si>
    <t>="Must have at least 1 year of prior work experience in each of the following:
1. Clinical trial processes and medical terminology
2. Clinical trials in Hepatitis B Virus (HBV) and Infectious Diseases
3. Conducting global clinical trials for countries wit</t>
  </si>
  <si>
    <t>Clinical Program Manager</t>
  </si>
  <si>
    <t>P-100-21126-294045</t>
  </si>
  <si>
    <t>P-100-21124-285544</t>
  </si>
  <si>
    <t>Senior Manager- Global Mobility</t>
  </si>
  <si>
    <t xml:space="preserve">Solutions Manager </t>
  </si>
  <si>
    <t>="F.b.1.b. Indicate the major(s) and/or field(s) of study required and F.b.5. Special Skills or Other Requirements: Employer requires a Bachelor’s degree in Financial Management, Information Systems Management, or related technical field plus 60 months ex</t>
  </si>
  <si>
    <t>P-400-21133-310079</t>
  </si>
  <si>
    <t>Karageorgis</t>
  </si>
  <si>
    <t>Pantelis</t>
  </si>
  <si>
    <t>22-76 Steinway Str B</t>
  </si>
  <si>
    <t>kcgreekfood@gmail.com</t>
  </si>
  <si>
    <t>KC Concessions Inc</t>
  </si>
  <si>
    <t>22-76 Steinway Ste B</t>
  </si>
  <si>
    <t>P-200-21124-283961</t>
  </si>
  <si>
    <t>Contact’s Las</t>
  </si>
  <si>
    <t xml:space="preserve">First </t>
  </si>
  <si>
    <t xml:space="preserve">Job </t>
  </si>
  <si>
    <t xml:space="preserve">Address </t>
  </si>
  <si>
    <t>City</t>
  </si>
  <si>
    <t>sss@ins.com</t>
  </si>
  <si>
    <t>sds</t>
  </si>
  <si>
    <t xml:space="preserve">Middle </t>
  </si>
  <si>
    <t>fff@ins.com</t>
  </si>
  <si>
    <t>name busi</t>
  </si>
  <si>
    <t xml:space="preserve"> Job Title</t>
  </si>
  <si>
    <t>13-1032.00</t>
  </si>
  <si>
    <t>Insurance Appraisers, Auto Damage</t>
  </si>
  <si>
    <t>dicate the major(s) and/or field(s) of study requir</t>
  </si>
  <si>
    <t>ate the major(s) and/or field(s) of study accepted § (May list more than one related major and more t</t>
  </si>
  <si>
    <t>asdsd</t>
  </si>
  <si>
    <t xml:space="preserve">address </t>
  </si>
  <si>
    <t>city</t>
  </si>
  <si>
    <t>P-400-21127-297531</t>
  </si>
  <si>
    <t>6120 Muck Pond Rd</t>
  </si>
  <si>
    <t>(Mail: PO Box 6667, Seffner FL 33583)</t>
  </si>
  <si>
    <t>Seffner</t>
  </si>
  <si>
    <t>foleysconcessions@yahoo.com</t>
  </si>
  <si>
    <t>Foley's Concessions</t>
  </si>
  <si>
    <t>Mize</t>
  </si>
  <si>
    <t xml:space="preserve">Employer is an Outdoor Traveling Amusement Attraction.  Travel is required from event location to event location as per the itinerary as detailed in Addendum Section F.e.7.: Additional Worksites.  
Optional mobile housing &amp; local convenience travel are available.  
</t>
  </si>
  <si>
    <t>P-100-21134-314807</t>
  </si>
  <si>
    <t>Computer Science, Computer Engineering, or related field, (or foreign equivalent).</t>
  </si>
  <si>
    <t xml:space="preserve">Director, Information Security </t>
  </si>
  <si>
    <t>P-100-21127-297043</t>
  </si>
  <si>
    <t>VISITING PATIENTS' HOMES IN NORTHERN NEW YORK &amp; NEW JERSEY AREA AS NEEDED.</t>
  </si>
  <si>
    <t>P-100-21134-314255</t>
  </si>
  <si>
    <t xml:space="preserve">Doty </t>
  </si>
  <si>
    <t xml:space="preserve">Computer Science, IT, a related field or equivalent. </t>
  </si>
  <si>
    <t xml:space="preserve">="Requires at least a Bachelor's degree in Computer Science, IT, a related field, or the equivalent plus five years of experience. Experience must include three years of experience in each of the following: acting as architect on maor projects; designing </t>
  </si>
  <si>
    <t xml:space="preserve">Travel to domestic client sites, as needed.  </t>
  </si>
  <si>
    <t>P-400-21123-282418</t>
  </si>
  <si>
    <t>400 Pioneer Rd.</t>
  </si>
  <si>
    <t>Red River</t>
  </si>
  <si>
    <t>Northern New Mexico nonmetropolitan area</t>
  </si>
  <si>
    <t>P-100-21153-360865</t>
  </si>
  <si>
    <t>Analytics, Industrial Engineering, Statistics, Business Administration, or a related field.</t>
  </si>
  <si>
    <t>Analytics, Industrial Engineering, Statistics, Business Administration, or a related field of study.</t>
  </si>
  <si>
    <t>P-100-21124-285875</t>
  </si>
  <si>
    <t>FEDEX SUPPLY CHAIN, INC.</t>
  </si>
  <si>
    <t>CONSTANGY, BROOKS, SMITH AND PROPHETE, LLP</t>
  </si>
  <si>
    <t>="MUST HAVE 2 YEARS OF EXPERIENCE WITH THE FOLLOWING: MANHATTAN SCOPE WMS IMPLEMENTATIONS BY LEADING THE DESIGN SESSIONS, CONFIGURE WMS AND ENHANCE BUSINESS PROCESSES; DEVELOPING SCI REPORTS; DEVELOPING CUSTOM PACKING SLIPS, SHIPPING LABELS, AND ALL OTHER</t>
  </si>
  <si>
    <t xml:space="preserve">50% DOMESTIC TRAVEL REQUIRED </t>
  </si>
  <si>
    <t>P-400-21125-288682</t>
  </si>
  <si>
    <t>320 W. Reserve</t>
  </si>
  <si>
    <t>samantha.michele1@gmail.com</t>
  </si>
  <si>
    <t>Steven J. Buchanan</t>
  </si>
  <si>
    <t>Morales McFarland</t>
  </si>
  <si>
    <t>dmoralesmcfarland@mcgrathnorth.com</t>
  </si>
  <si>
    <t>McGrath North Mullin &amp; Kratz, PC, LLO</t>
  </si>
  <si>
    <t>Early Childhood Development</t>
  </si>
  <si>
    <t xml:space="preserve">California - 1-2 times per year
Florida - 1 time per year
Hawaii - 1-2 times per year
Missouri - 1-2 times per year
Nebraska - 1-2 times per year
</t>
  </si>
  <si>
    <t xml:space="preserve">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Form ETA-9141.
The wage entered in item G.4 reflects the area of intended employment entered in F.e.4 and F.e.5.
The six digit SOC code is assigned based on the extension 39-9011.01 - Nannies.  
</t>
  </si>
  <si>
    <t>P-400-21124-286051</t>
  </si>
  <si>
    <t>="- MUST PERFORM PHYSICAL ACTIVITIES THAT REQUIRE CLIMBING, LIFTING, BALANCING, WALKING, STOOPING, AND HANDLING OF MATERIALS, LIFT 75 LBS.
- MUST BE AVAILABLE 24/7 FOR EMERGENCY REPAIRS. WORK SCHEDULE VARIES DURING THE WEEK MON-SUN WITH POSSIBLE WEEKDAYS</t>
  </si>
  <si>
    <t>P-100-21161-387394</t>
  </si>
  <si>
    <t>32749 Route 14</t>
  </si>
  <si>
    <t>andresgc@hallscandies.com</t>
  </si>
  <si>
    <t>Halls Candies LLC</t>
  </si>
  <si>
    <t>Confectionary Factory Worker</t>
  </si>
  <si>
    <t>P-400-21154-365891</t>
  </si>
  <si>
    <t>Merkle</t>
  </si>
  <si>
    <t>210 Vine Street</t>
  </si>
  <si>
    <t>Wilder</t>
  </si>
  <si>
    <t>merklelawncareservices@gmail.com</t>
  </si>
  <si>
    <t>Merkle Lawn Care Company, Inc.</t>
  </si>
  <si>
    <t>Groundskeeping Helper</t>
  </si>
  <si>
    <t>EMPLOYER WILL PROVIDE DAILY TRANSPORTATION TO AND FROM WORK SITES FROM A CENTRALIZED PICK-UP AREA IN WILDER, KY</t>
  </si>
  <si>
    <t>Associate, Technology Product Management, Operations</t>
  </si>
  <si>
    <t>P-400-21131-303434</t>
  </si>
  <si>
    <t>108 Swamp Drive</t>
  </si>
  <si>
    <t>P-400-21180-431236</t>
  </si>
  <si>
    <t>Watertown Lodging Group, LLC</t>
  </si>
  <si>
    <t>P-400-21152-359995</t>
  </si>
  <si>
    <t>18402 US Highway 41</t>
  </si>
  <si>
    <t>Quality Sod and Landscape LLC</t>
  </si>
  <si>
    <t>Mailing: 12428 San Jose Blvd, Jacksonville, FL 32223</t>
  </si>
  <si>
    <t>P-100-21130-300096</t>
  </si>
  <si>
    <t>3116 W. Vanowen St.</t>
  </si>
  <si>
    <t>hopelaw123@hmail.com</t>
  </si>
  <si>
    <t>Electrical or RF Engineering, or related.</t>
  </si>
  <si>
    <t>This position requires travel to various unanticipated locations throughout the Northeast Region of the USA. Frequency of the travel depends on workloads. Best estimate of the travel frequency is around 4 times per month.</t>
  </si>
  <si>
    <t>P-100-21169-410679</t>
  </si>
  <si>
    <t>Encompass Rehabilitation Hospital of Austin, LLC.</t>
  </si>
  <si>
    <t>Encompass Rehabilitation Hospital of Austin</t>
  </si>
  <si>
    <t>330 W Ben White blvd</t>
  </si>
  <si>
    <t>P-100-21138-323372</t>
  </si>
  <si>
    <t>sarrah@mazamamedia.com</t>
  </si>
  <si>
    <t>CLIENT SUCCESS ACCOUNT MANAGER</t>
  </si>
  <si>
    <t>P-100-21133-311007</t>
  </si>
  <si>
    <t>P-100-21123-281248</t>
  </si>
  <si>
    <t xml:space="preserve">Clinical or Counseling Psychology </t>
  </si>
  <si>
    <t>P-100-21168-406106</t>
  </si>
  <si>
    <t>P-100-21140-331540</t>
  </si>
  <si>
    <t>30300 AGOURA ROAD, STE. B100</t>
  </si>
  <si>
    <t>P-100-21179-430465</t>
  </si>
  <si>
    <t>SANTACLARA9@FRAGOMEN.COM</t>
  </si>
  <si>
    <t>P-100-21133-311444</t>
  </si>
  <si>
    <t>P-400-21147-348168</t>
  </si>
  <si>
    <t>P-400-21147-350624</t>
  </si>
  <si>
    <t>BRINKMAN</t>
  </si>
  <si>
    <t>204 SWEETMANS LANE</t>
  </si>
  <si>
    <t>MILLSTONE</t>
  </si>
  <si>
    <t>WM CENTRAL JERSEY INC</t>
  </si>
  <si>
    <t>MULTIPLE JOB LOCATIONS IN MONMOUTH COUNTY</t>
  </si>
  <si>
    <t>P-100-21139-327212</t>
  </si>
  <si>
    <t>="SKILLS REQUIRED: JAVA, REST, SPRING BOOT, HIBERNATE, JUNIT, JENKINS, RALLY AND J2EE. MASTER’S DEGREE IN SCIENCE, TECHNOLOGY, ENGINEERING, OR ANY RELATED FIELD WITH 1 YEAR OF EXPERIENCE IN THE JOB OFFERED OR RELATED OCCUPATION
IS REQUIRED. BACHELOR’S DEG</t>
  </si>
  <si>
    <t>P-400-21152-360072</t>
  </si>
  <si>
    <t>Western Lawns</t>
  </si>
  <si>
    <t>14900 N Sara Rd</t>
  </si>
  <si>
    <t>Yukon</t>
  </si>
  <si>
    <t xml:space="preserve">="Must have a valid driver’s license or able to apply for a driver’s license within 7 days of starting employment. Post-employment criminal background check and drug test required, cost paid by employer. Must be able to work a 4 day schedule, may include </t>
  </si>
  <si>
    <t>Transportation will be provided from main worksites to multiple worksites within the intended area of employment.</t>
  </si>
  <si>
    <t>14900 N Sara Road</t>
  </si>
  <si>
    <t>P-400-21123-282929</t>
  </si>
  <si>
    <t>Kamplain</t>
  </si>
  <si>
    <t>602 Homestead Lane</t>
  </si>
  <si>
    <t>tkamplain9245@charter.net</t>
  </si>
  <si>
    <t>P&amp;K Ventures, LLC</t>
  </si>
  <si>
    <t xml:space="preserve">500 President Clinton Ave </t>
  </si>
  <si>
    <t>gernst@cgwg.com</t>
  </si>
  <si>
    <t>THE WORK IS LOCATED WITHIN VARIOUS COUNTIES LISTED ABOVE IN THE STATES OF ALABAMA, AND GEORGIA. TRAVEL TO THE COUNTIES IS REQUIRED. TRANSPORTATION WILL BE PROVIDED TO AND FROM A CENTRAL LOCATION FOR EACH LOCATION SUCH AS A NEARBY HOTEL.</t>
  </si>
  <si>
    <t>1400 Jack Warner Parkway</t>
  </si>
  <si>
    <t>Logging Equipment Operators</t>
  </si>
  <si>
    <t>Tuscaloosa, AL</t>
  </si>
  <si>
    <t>P-100-21138-321738</t>
  </si>
  <si>
    <t>WORKER MAY TRAVEL TO MULTI WORKSITES IN A SINGLE DAY AT PRIVATE RESIDENCE AND COMMERCIAL PROPERTIES</t>
  </si>
  <si>
    <t>P-200-21131-302088</t>
  </si>
  <si>
    <t>Zhaohui</t>
  </si>
  <si>
    <t>6654 Owens Drive</t>
  </si>
  <si>
    <t>mike.zhou@advancedseq.com</t>
  </si>
  <si>
    <t>Advancedseq LLC</t>
  </si>
  <si>
    <t>biochemical engineering;  chemical engineering;  biochemistry; molecular biology</t>
  </si>
  <si>
    <t>P-100-21153-360690</t>
  </si>
  <si>
    <t>P-100-21152-358486</t>
  </si>
  <si>
    <t>See Job Duties (Section F.a.2.)</t>
  </si>
  <si>
    <t>P-100-21176-427846</t>
  </si>
  <si>
    <t>Garba</t>
  </si>
  <si>
    <t>nicole@garbaindustrial.com</t>
  </si>
  <si>
    <t xml:space="preserve">Avila Rodriguez Hernandez Mena &amp; Garro LLP </t>
  </si>
  <si>
    <t>P-400-21148-354765</t>
  </si>
  <si>
    <t>P-100-21124-284886</t>
  </si>
  <si>
    <t xml:space="preserve"> Roger</t>
  </si>
  <si>
    <t>Manger</t>
  </si>
  <si>
    <t>P-100-21155-370871</t>
  </si>
  <si>
    <t>P-100-21138-322310</t>
  </si>
  <si>
    <t>P-100-21123-283396</t>
  </si>
  <si>
    <t>BAUSTISTA, JR.</t>
  </si>
  <si>
    <t>425 E. Gladstone Street</t>
  </si>
  <si>
    <t>cbj.gladstonecare@aol.com</t>
  </si>
  <si>
    <t>Jaewood Healthcare, LLC</t>
  </si>
  <si>
    <t>Gladstone Care and Rehabilitatin Center</t>
  </si>
  <si>
    <t>435 E. GLADSTONE STREET</t>
  </si>
  <si>
    <t>P-400-21138-322052</t>
  </si>
  <si>
    <t>1825 Big Horn Ave</t>
  </si>
  <si>
    <t>Western Wyoming nonmetropolitan area</t>
  </si>
  <si>
    <t>P-400-21180-431192</t>
  </si>
  <si>
    <t>Dickinson Lodging Association, LLC</t>
  </si>
  <si>
    <t>110 14th St SW</t>
  </si>
  <si>
    <t>P-400-21153-363080</t>
  </si>
  <si>
    <t>32705 Highway 1 South</t>
  </si>
  <si>
    <t>White Castle</t>
  </si>
  <si>
    <t>prodriguezwcfc@bellsouth.net</t>
  </si>
  <si>
    <t>White Castle Fertilizer Co-op</t>
  </si>
  <si>
    <t>none used</t>
  </si>
  <si>
    <t>JACKIE</t>
  </si>
  <si>
    <t>3939 Twelve Oaks Ave</t>
  </si>
  <si>
    <t>mitchell3939@cox.net</t>
  </si>
  <si>
    <t>Foreign Labor Solutions, LLC</t>
  </si>
  <si>
    <t>P-400-21131-303072</t>
  </si>
  <si>
    <t>Director of Hospitality</t>
  </si>
  <si>
    <t>P-100-21127-296260</t>
  </si>
  <si>
    <t>Saedifar</t>
  </si>
  <si>
    <t>Mahnaz</t>
  </si>
  <si>
    <t>411 N. Central Avenue</t>
  </si>
  <si>
    <t>Ste, 619</t>
  </si>
  <si>
    <t>Royasaedifar@yahoo.com</t>
  </si>
  <si>
    <t>MJ Medical Management Inc.</t>
  </si>
  <si>
    <t>Ste 610</t>
  </si>
  <si>
    <t>Staff Services Manager</t>
  </si>
  <si>
    <t>Ste. 610</t>
  </si>
  <si>
    <t>P-400-21130-299912</t>
  </si>
  <si>
    <t>P-100-21140-331251</t>
  </si>
  <si>
    <t>P-400-21141-332820</t>
  </si>
  <si>
    <t>Patcharin</t>
  </si>
  <si>
    <t>27B Bonaparte Point Rd</t>
  </si>
  <si>
    <t>Hopatcong</t>
  </si>
  <si>
    <t>ploy3310@yahoo.com</t>
  </si>
  <si>
    <t>Twist on Thai cafe LLC</t>
  </si>
  <si>
    <t>Twist on Thai cafe</t>
  </si>
  <si>
    <t>430 River Styx Rd</t>
  </si>
  <si>
    <t>HOPATCONG</t>
  </si>
  <si>
    <t>Hopatcong Borough</t>
  </si>
  <si>
    <t>P-400-21131-302464</t>
  </si>
  <si>
    <t>="The Petitioner will consider for employment any person who possesses at least six (6) months of service experience in a fine-dining or high-volume environment at a high-end restaurant, resort, or private club.
Applicant must complete pre-employment COV</t>
  </si>
  <si>
    <t>P-400-21148-352151</t>
  </si>
  <si>
    <t>Yamashiro</t>
  </si>
  <si>
    <t>Care Home Owner</t>
  </si>
  <si>
    <t>45-386 Kamehameha Highway</t>
  </si>
  <si>
    <t>Kaneohe</t>
  </si>
  <si>
    <t>yamashirocarehomellc@gmail.com</t>
  </si>
  <si>
    <t>Yamashiro Care Home LLC</t>
  </si>
  <si>
    <t>Admin Assistant/Data Entry Personnel</t>
  </si>
  <si>
    <t>Bachelor of Science in Computer Science
Bachelor of Science in Commerce Major in Marketing</t>
  </si>
  <si>
    <t>Urban Honolulu, HI</t>
  </si>
  <si>
    <t>P-100-21130-300652</t>
  </si>
  <si>
    <t xml:space="preserve">REF: MALI REDDY ( 5270337) </t>
  </si>
  <si>
    <t>P-100-21172-415593</t>
  </si>
  <si>
    <t>Crift  &amp; Associates, P.C.</t>
  </si>
  <si>
    <t>P-400-21144-337509</t>
  </si>
  <si>
    <t>="The Petitioner will consider for employment any person who possesses at least one (1) year of culinary experience in a fine-dining or high-volume environment at a high-end restaurant, resort, or private club.  
Applicant must complete pre-employment dr</t>
  </si>
  <si>
    <t>P-100-21155-369926</t>
  </si>
  <si>
    <t>Director, HR Business Operations</t>
  </si>
  <si>
    <t>klane@realchemistry.com</t>
  </si>
  <si>
    <t>The WeissComm Group LTD</t>
  </si>
  <si>
    <t>W2O Group</t>
  </si>
  <si>
    <t>RWE ML Operations</t>
  </si>
  <si>
    <t xml:space="preserve">a highly technical field such as Computer Science, Information Systems, Engineering, or related field (willing to accept foreign education equivalent) </t>
  </si>
  <si>
    <t>="Candidate must also possess the following (quantitative experience requirements not applicable to this section): Demonstrated expertise in library- or framework-level software engineering in the Apache Spark ecosystem using Scala; Demonstrated expertise</t>
  </si>
  <si>
    <t>Chief Technology Officer, Swoop</t>
  </si>
  <si>
    <t>P-400-21151-357016</t>
  </si>
  <si>
    <t>Stroech</t>
  </si>
  <si>
    <t>P.O. Box 15994579 Highway 290 West</t>
  </si>
  <si>
    <t>Brenham</t>
  </si>
  <si>
    <t>chrisann@washingtoncountylandscapes.com</t>
  </si>
  <si>
    <t>Stroech Enterprise, LLC</t>
  </si>
  <si>
    <t>Washington County Landscapes</t>
  </si>
  <si>
    <t>4579 Highway 290 West</t>
  </si>
  <si>
    <t>P-100-21138-322334</t>
  </si>
  <si>
    <t>P-400-21138-320760</t>
  </si>
  <si>
    <t>Johnnie</t>
  </si>
  <si>
    <t>11601 W Hwy 290 Ste A101</t>
  </si>
  <si>
    <t>johnnie@hsbs.us</t>
  </si>
  <si>
    <t>HS Business Services, LLC</t>
  </si>
  <si>
    <t>11601 W Hwy 290, Ste. A101</t>
  </si>
  <si>
    <t xml:space="preserve">="Must be 21 years of age or older. Must be able to lift and carry up to 75 lbs. and stand and bend repetitively throughout shift. Business is open 7 days per week; therefore, the days of work will vary depending on scheduling, but it will generally be 5 </t>
  </si>
  <si>
    <t>362 Livesay Lane</t>
  </si>
  <si>
    <t>P-100-21132-306766</t>
  </si>
  <si>
    <t>P-100-21166-400333</t>
  </si>
  <si>
    <t>="Bachelor's degree in computer science, information systems  or related field (willing to accept foreign education equivalent) plus seven years of experience in Java software development.
Specific skills/other requirements - Must also possess the followi</t>
  </si>
  <si>
    <t>="Master's degree in computer science, information systems or related field (willing to accept foreign education equivalent) and five years of experience in Java software development.
Specific skills/other requirements - Must also possess the following (q</t>
  </si>
  <si>
    <t xml:space="preserve">3 South 2nd Street </t>
  </si>
  <si>
    <t>P-100-21144-339389</t>
  </si>
  <si>
    <t xml:space="preserve">Computer Science or computer-related field of study. </t>
  </si>
  <si>
    <t>="Applicants must have demonstrated experience with:
•	HEDIS Experience, HL7 Experience, FHIR Standards, and Clinical Healthcare Data; 
•	react.js;
•	Javascript Frameworks
•	Relational Databases;
•	MY SQL and MS SQL Server;
•	SSIS;
•	Oracle;
•	Amazon Web</t>
  </si>
  <si>
    <t>P-100-21165-394688</t>
  </si>
  <si>
    <t>P-400-21151-356883</t>
  </si>
  <si>
    <t>Transport provided, designated locale to job site. Begin in Fulton County, GA. Continue in Counties/Areas: Butts, Cherokee, Clayton, Cobb, Dawson, DeKalb, Douglas, Fayette, Floyd, Forsyth, Fulton, Gwinnett, Hall, Henry, Jackson, Jasper, Lumpkin, Morgan, Newton, Paulding, Pickens, Rockdale, Spalding, Walton and areas of Atlanta-Sandy Springs-Roswell, GA, Gainesville, GA, North Georgia nonmetropolitan area, Rome, GA.</t>
  </si>
  <si>
    <t>2255 Cumberland Pkwy SE (Report to Work)</t>
  </si>
  <si>
    <t>Bldg 1700</t>
  </si>
  <si>
    <t>P-400-21139-326389</t>
  </si>
  <si>
    <t>4703 Berkshire Road</t>
  </si>
  <si>
    <t>St James City</t>
  </si>
  <si>
    <t>="Must show proof of legal authorization to work in the United States. Drug/alcohol/tobacco-free work zone. Must be 18 due to travel.  Must walk substantially (up to 15 miles/day), also stoop, bend while carrying a pack (up to 50lbs) thru rough terrain (n</t>
  </si>
  <si>
    <t xml:space="preserve">Transport provided, designated locale to the job site. Begin in Lee County, FL. Continue in States/Areas: AL, FL, GA. </t>
  </si>
  <si>
    <t>4703 Berkshire rd (report to work)</t>
  </si>
  <si>
    <t>P-100-21134-314479</t>
  </si>
  <si>
    <t>LAW OFFICES OF ANTHONY KORDA LLC DBA THE KORDA LAW FIRM</t>
  </si>
  <si>
    <t>P-400-21151-357028</t>
  </si>
  <si>
    <t>10483 Fincher Rd</t>
  </si>
  <si>
    <t>kim@evergreenlls.com</t>
  </si>
  <si>
    <t>McMonies Holdings, LLC</t>
  </si>
  <si>
    <t>Evergreen Lawn &amp; Landscape</t>
  </si>
  <si>
    <t>10483 Fincher Rd.</t>
  </si>
  <si>
    <t>landscape laborer</t>
  </si>
  <si>
    <t>P-100-21168-405373</t>
  </si>
  <si>
    <t>300 Spectrum Center Dr. #1500</t>
  </si>
  <si>
    <t>P-200-21175-425257</t>
  </si>
  <si>
    <t>P-400-21125-289969</t>
  </si>
  <si>
    <t>="Must be 18 years or older. Requires physical stamina. Extensive walking over rough terrain. Work is in adverse weather. Must lift and carry 50 lbs. Production standard of 7,500 seedlings mechanically planted per 7.5 hr day after one week of on the job t</t>
  </si>
  <si>
    <t>P-400-21152-359377</t>
  </si>
  <si>
    <t>P-100-21146-346174</t>
  </si>
  <si>
    <t>Verde</t>
  </si>
  <si>
    <t xml:space="preserve">13840 Leola Dr </t>
  </si>
  <si>
    <t>13840 Leola Dr</t>
  </si>
  <si>
    <t>P-100-21173-417341</t>
  </si>
  <si>
    <t xml:space="preserve">N&amp;R of South Hampton, LLC </t>
  </si>
  <si>
    <t xml:space="preserve">South Hampton Place </t>
  </si>
  <si>
    <t xml:space="preserve">4700 Brandon Woods St </t>
  </si>
  <si>
    <t>Computer Science, Engineering, Information Systems Management, Accounting, Finance or a related field.</t>
  </si>
  <si>
    <t>="Master’s degree in Computer Science, Engineering, Information Systems Management, Accounting, Finance or a related field, plus 7 years of related work experience. 
Must have 6 years of experience in engagement management, engagement reporting and clien</t>
  </si>
  <si>
    <t>P-100-21144-339372</t>
  </si>
  <si>
    <t>Computer Science, Information Technology, Engineering or related</t>
  </si>
  <si>
    <t>="Spring MVC, Spring Boot, Kubernetes, Github, Gitlab, Bitbucket, Hibernate, JPA, JSP, JMS, EJB, Struts, Oracle,  MariaDB, WebLogic, WebSphere, JBOSS, Tomcat, Eclipse, Spring Tool Suite, SQL Developer, , XML Spy, Apache Nifi, , Maven, Unix, Ubuntu, CentOS</t>
  </si>
  <si>
    <t>P-400-21141-332987</t>
  </si>
  <si>
    <t>P-400-21154-365807</t>
  </si>
  <si>
    <t>Chenault</t>
  </si>
  <si>
    <t>408 Jason Drive</t>
  </si>
  <si>
    <t>atouchofconstructionllc@gmail.com</t>
  </si>
  <si>
    <t>A Touch of Construction, LLC</t>
  </si>
  <si>
    <t>135 Walton Ave</t>
  </si>
  <si>
    <t>EMPLOYER WILL PROVIDED DAILY TRANSPORTATION TO AND FROM A CENTRALIZED PICKUP AREA IN CORSICANA, TEXAS.</t>
  </si>
  <si>
    <t>2100 SH-31 W</t>
  </si>
  <si>
    <t>P-100-21158-374336</t>
  </si>
  <si>
    <t xml:space="preserve">Chateau Village Nursing &amp; Rehabilitation Center </t>
  </si>
  <si>
    <t xml:space="preserve">7050 Madison St </t>
  </si>
  <si>
    <t>7050 Madison Street</t>
  </si>
  <si>
    <t>P-100-21126-293370</t>
  </si>
  <si>
    <t>57 W Burnside Avenue, Suite B1</t>
  </si>
  <si>
    <t>Mhhc@golirx.com</t>
  </si>
  <si>
    <t xml:space="preserve">875 Sixth Avenue, Suite #1810 </t>
  </si>
  <si>
    <t xml:space="preserve">Bachelors degree or Foreign Equivalent in Pharmacy or Pharmaceutical Science.
</t>
  </si>
  <si>
    <t>="Education/Experience/Other Requirements: 
Doctor or Pharmacy or Foreign Equivalent in Pharmacy or  Pharmaceutical Science and one (1) year experience as Pharmacist performing job duties listed in Section E-Job Offer Information, Subsection a-Job Descrip</t>
  </si>
  <si>
    <t>P-400-21130-299691</t>
  </si>
  <si>
    <t>Castro Law PLLC DBA Castro Law Firm</t>
  </si>
  <si>
    <t>Waiters/Waitresses</t>
  </si>
  <si>
    <t>="Must be able to communicate clearly with the patron and be able to hold and relay information to deliver to patron and kitchen staff. Must have adequate temperament to greet and welcome patrons graciously. Extensive standing and walking may be required.</t>
  </si>
  <si>
    <t>P-100-21175-424789</t>
  </si>
  <si>
    <t>P-400-21152-358752</t>
  </si>
  <si>
    <t>2823 Flintstone Road</t>
  </si>
  <si>
    <t>Millers</t>
  </si>
  <si>
    <t>Alpha Landscape Contractors, Inc.</t>
  </si>
  <si>
    <t>P-400-21138-322134</t>
  </si>
  <si>
    <t>1231 Salem Park Court</t>
  </si>
  <si>
    <t>P-400-21153-362389</t>
  </si>
  <si>
    <t>P-100-21152-359234</t>
  </si>
  <si>
    <t xml:space="preserve">Dufrenne </t>
  </si>
  <si>
    <t xml:space="preserve">Patria </t>
  </si>
  <si>
    <t>A New Day Adult Living</t>
  </si>
  <si>
    <t>1015 S. Orange Avenue</t>
  </si>
  <si>
    <t>P-100-21126-293436</t>
  </si>
  <si>
    <t>Must be willing to travel  domestically (15%) and internationally (10%).</t>
  </si>
  <si>
    <t>P-400-21137-320575</t>
  </si>
  <si>
    <t>Heavenly Mountain Resort</t>
  </si>
  <si>
    <t>3535 Lake Tahoe Blvd.</t>
  </si>
  <si>
    <t>P-400-21148-354140</t>
  </si>
  <si>
    <t>="The Petitioner will consider for employment any person who possesses at least one (1) year of service experience in a fine-dining or high-volume environment at a high-end restaurant, resort, or private club required.  At least six (6) months of the qual</t>
  </si>
  <si>
    <t>P-400-21137-320540</t>
  </si>
  <si>
    <t>2544 WILLOW POINT ROAD</t>
  </si>
  <si>
    <t>P-400-21131-304382</t>
  </si>
  <si>
    <t>1804 Borman Circle Drive, Suite 100</t>
  </si>
  <si>
    <t>Midas Hospitality, LLC</t>
  </si>
  <si>
    <t>DBA Midas Hospitality</t>
  </si>
  <si>
    <t>4245 Duncan Ave.</t>
  </si>
  <si>
    <t>P-100-21131-304714</t>
  </si>
  <si>
    <t>Science, Technology, Computer Applications, Engineering, or any related field.</t>
  </si>
  <si>
    <t>P-400-21152-358045</t>
  </si>
  <si>
    <t>P-400-21180-431168</t>
  </si>
  <si>
    <t xml:space="preserve">205 6th Street SE </t>
  </si>
  <si>
    <t>maids and housekeeping</t>
  </si>
  <si>
    <t>1430 Sims</t>
  </si>
  <si>
    <t>P-400-21137-318816</t>
  </si>
  <si>
    <t>Jeske</t>
  </si>
  <si>
    <t xml:space="preserve">69 White Pine Canyon Road </t>
  </si>
  <si>
    <t>carol@skyhighacademy.org</t>
  </si>
  <si>
    <t>Sky High Academy Limited</t>
  </si>
  <si>
    <t>69 White Pine Canyon Road</t>
  </si>
  <si>
    <t>Ski Coach</t>
  </si>
  <si>
    <t>69 White Canyon Road</t>
  </si>
  <si>
    <t>P-400-21146-344853</t>
  </si>
  <si>
    <t xml:space="preserve">BROOKE </t>
  </si>
  <si>
    <t>LOBLOLLY INC</t>
  </si>
  <si>
    <t xml:space="preserve">Hobe Sound </t>
  </si>
  <si>
    <t>P-400-21124-285828</t>
  </si>
  <si>
    <t>14234 McDermott Dr.</t>
  </si>
  <si>
    <t>NCC Services, Inc.</t>
  </si>
  <si>
    <t>P-400-21148-354461</t>
  </si>
  <si>
    <t>13505 N FM 620</t>
  </si>
  <si>
    <t xml:space="preserve">Travel to worksites required. Employer provides transportation to and from all worksites at no cost. </t>
  </si>
  <si>
    <t xml:space="preserve">13505 N FM 620 </t>
  </si>
  <si>
    <t>P-400-21150-356163</t>
  </si>
  <si>
    <t>IANNOTTI</t>
  </si>
  <si>
    <t>10343 STONEBRIDGE BLVD</t>
  </si>
  <si>
    <t>STONEBRIDGE COUNTRY CLUB</t>
  </si>
  <si>
    <t>P-400-21133-310867</t>
  </si>
  <si>
    <t>Lacayo</t>
  </si>
  <si>
    <t>303 Belonda Street</t>
  </si>
  <si>
    <t>Mailing: 3198 Mayflower Drive , Pittsburgh, PA 15227</t>
  </si>
  <si>
    <t>Buildings and Builders Company, LLC</t>
  </si>
  <si>
    <t>468 Wheatfield Drive</t>
  </si>
  <si>
    <t>Delaware</t>
  </si>
  <si>
    <t>P-100-21135-316529</t>
  </si>
  <si>
    <t>P-400-21123-281274</t>
  </si>
  <si>
    <t>regina@loveshousellc.com</t>
  </si>
  <si>
    <t>LAW OFFICE OF REGINA Y KANE</t>
  </si>
  <si>
    <t>6477 COLLEGE PARK SQUARE</t>
  </si>
  <si>
    <t>Driver will perform the duties in and around the Hampton Roads area</t>
  </si>
  <si>
    <t>P-400-21153-360306</t>
  </si>
  <si>
    <t xml:space="preserve">6599 Jacaranda Avanue </t>
  </si>
  <si>
    <t>="Must possess a Class "A license" from the US, or the equivalent license from Mexico or Canada that permits operation of a commercial vehicle in the United States."</t>
  </si>
  <si>
    <t xml:space="preserve">Driver will be employed and based out of the Company's Memphis, Tennessee Terminal at 1896 E. Brooks Rd Memphis TN 38116. The driver will be driving from the 1896 E. Brooks Rd terminal to different, as yet unknown, warehouse locations in a maximum 50- mile radius to pick up or deliver freight on a daily basis. At the end of each drive, the driver will return to the 1896 E. Brooks Road terminal. The counties the driver will drive to and from are: Shelby County (Memphis, Tennessee); Crittenden County (West Memphis, Arkansas); and Desoto County (Olive Branch, Mississippi).
   </t>
  </si>
  <si>
    <t xml:space="preserve">1896 E. Brooks Road </t>
  </si>
  <si>
    <t>P-400-21130-298517</t>
  </si>
  <si>
    <t>P-400-21124-285083</t>
  </si>
  <si>
    <t>Gutter &amp; Leaf, LLC</t>
  </si>
  <si>
    <t>3019 NW Evangeline Thruway</t>
  </si>
  <si>
    <t>="Must be able to lift 50 lbs., walk, bend, stoop for long periods of time, and climb a ladder.  Must not be fearful of heights.  Work is performed outdoors in all types of weather conditions including temps from below 30 to an excess of 100 degrees.  1 m</t>
  </si>
  <si>
    <t>Daily travel back &amp; forth to the private residences &amp; commercial businesses in Lafayette parish</t>
  </si>
  <si>
    <t xml:space="preserve">The Prevailing Wage Determination for the purposes of the H-2B program shall be the greater of the (1) actual wage level paid by the employer to other employees with similar experience and qualifications for such positions in the same location; or (2) the wage listed in Section G4 of the ETA Form 9141
The wage entered in item G.4 reflects the area of intended employment entered in F.e.4 and F.e.5.
The All Other SOC is assigned based on the extension 37-2019.00 - Building Cleaning Workers, All Other. </t>
  </si>
  <si>
    <t>P-400-21126-293425</t>
  </si>
  <si>
    <t>2077 North Frontage Road West Suite 111, Vail Co. 81657</t>
  </si>
  <si>
    <t>PO Box 3487, Vail Co. 81658 (mailing)</t>
  </si>
  <si>
    <t>Indio's Landscaping LLC</t>
  </si>
  <si>
    <t>410 Porphyry Road Gypsum, Co. 81637</t>
  </si>
  <si>
    <t>2077 North Frontage Road West, suite 111</t>
  </si>
  <si>
    <t>P-100-21160-382477</t>
  </si>
  <si>
    <t>850 N Shoreline Blvd.</t>
  </si>
  <si>
    <t>computational science or related field</t>
  </si>
  <si>
    <t>="¿	Master’s degree in computational science or related field.
¿	Proficient in C/C++, Python, or JavaScript.
¿	Familiar with basic computer vision concepts such as homogeneous coordinates, projection matrices, or epipolar geometry. 
¿	Familiar with NVIDIA</t>
  </si>
  <si>
    <t>P-400-21133-310788</t>
  </si>
  <si>
    <t>10 14th Street</t>
  </si>
  <si>
    <t>JCF Capital LLC</t>
  </si>
  <si>
    <t>DBA Broehl's Lawn Maintenance</t>
  </si>
  <si>
    <t>1145 S. Utica Ave.</t>
  </si>
  <si>
    <t>Crystal.David@hillcrest.com</t>
  </si>
  <si>
    <t>AHS Hillcrest Medical Center</t>
  </si>
  <si>
    <t>P-400-21144-338875</t>
  </si>
  <si>
    <t>Yushuvayev</t>
  </si>
  <si>
    <t>Yakov</t>
  </si>
  <si>
    <t>13201 N. 35th Avenue</t>
  </si>
  <si>
    <t>Suite B1</t>
  </si>
  <si>
    <t>yyushuvayeva@gchomecare.com</t>
  </si>
  <si>
    <t>Grand Canyon Home Care</t>
  </si>
  <si>
    <t>24654 N Lake Pleasant Pkwy</t>
  </si>
  <si>
    <t>#103-103</t>
  </si>
  <si>
    <t>mbklawoffice@gmail.com</t>
  </si>
  <si>
    <t>Law Office of Mala Bajpai Kapadia</t>
  </si>
  <si>
    <t>In-Home Caregiver</t>
  </si>
  <si>
    <t>Office &amp; Human Resources Manager</t>
  </si>
  <si>
    <t>13201 N 35th Avenue</t>
  </si>
  <si>
    <t>P-100-21161-385352</t>
  </si>
  <si>
    <t>P-100-21161-388338</t>
  </si>
  <si>
    <t xml:space="preserve">2323 Ross Avenue </t>
  </si>
  <si>
    <t>P-100-21139-325826</t>
  </si>
  <si>
    <t>="NYS "NURSE PRACTITIONER IN FAMILY HEALTH" CERTIFICATE"</t>
  </si>
  <si>
    <t>P-100-21123-283072</t>
  </si>
  <si>
    <t xml:space="preserve">2911 Research Drive </t>
  </si>
  <si>
    <t>P-400-21146-347515</t>
  </si>
  <si>
    <t>Electrician</t>
  </si>
  <si>
    <t>P-100-21174-420470</t>
  </si>
  <si>
    <t xml:space="preserve"> Software Developer </t>
  </si>
  <si>
    <t>Bachelor’s Degree in Electronics and Communication Engineering</t>
  </si>
  <si>
    <t>P-400-21137-319009</t>
  </si>
  <si>
    <t>PO BOX 1366</t>
  </si>
  <si>
    <t>JRWOODSMAN123@GMAIL.COM</t>
  </si>
  <si>
    <t>WOODSMAN INC</t>
  </si>
  <si>
    <t>TREE PRUNER</t>
  </si>
  <si>
    <t>2205 E 4TH ST</t>
  </si>
  <si>
    <t>609 PENNSYLVANIA AVENUE SE</t>
  </si>
  <si>
    <t>aatish609@yahoo.com</t>
  </si>
  <si>
    <t>AL-HAMD INC</t>
  </si>
  <si>
    <t>AATISH ON THE HILL</t>
  </si>
  <si>
    <t>P-400-21152-359277</t>
  </si>
  <si>
    <t>18509 Santa Maria Dr.</t>
  </si>
  <si>
    <t>ross@raoyster.com</t>
  </si>
  <si>
    <t>R&amp;A Oyster Company Inc.</t>
  </si>
  <si>
    <t>Kendra.Elliott@kelliottlaw.com</t>
  </si>
  <si>
    <t>Floor Worker</t>
  </si>
  <si>
    <t>11850 Argyle Rd.</t>
  </si>
  <si>
    <t>P-400-21125-289665</t>
  </si>
  <si>
    <t>CUC, LLC.</t>
  </si>
  <si>
    <t>1036 CAMP JUBILEE ROAD</t>
  </si>
  <si>
    <t>SEVEN SPRINGS</t>
  </si>
  <si>
    <t>P-400-21153-363064</t>
  </si>
  <si>
    <t>1221 S 9th Ave</t>
  </si>
  <si>
    <t>james@bidetking.com</t>
  </si>
  <si>
    <t>WebGerms Health Inc</t>
  </si>
  <si>
    <t>2031 Merced Ave</t>
  </si>
  <si>
    <t>South El Monte</t>
  </si>
  <si>
    <t>Live-in Nanny Housekeeper</t>
  </si>
  <si>
    <t>P-400-21124-287152</t>
  </si>
  <si>
    <t>P-400-21127-296407</t>
  </si>
  <si>
    <t xml:space="preserve">managing member </t>
  </si>
  <si>
    <t>Alpha Consolidated Contracting Services, LLC</t>
  </si>
  <si>
    <t>3053 Banks Road</t>
  </si>
  <si>
    <t>1875 50th Street E</t>
  </si>
  <si>
    <t>P-100-21162-390355</t>
  </si>
  <si>
    <t>3043 W Lawrence</t>
  </si>
  <si>
    <t xml:space="preserve">BOOKKEEPER </t>
  </si>
  <si>
    <t xml:space="preserve">Business Administration or Management </t>
  </si>
  <si>
    <t>P-400-21139-327298</t>
  </si>
  <si>
    <t>P-400-21153-360410</t>
  </si>
  <si>
    <t>VALERTI</t>
  </si>
  <si>
    <t>24 BLACKBERRY LANE</t>
  </si>
  <si>
    <t>MORICHES</t>
  </si>
  <si>
    <t>OUTDOOR EXPRESSION INC</t>
  </si>
  <si>
    <t>CENTER MORICHES</t>
  </si>
  <si>
    <t>P-100-21167-401634</t>
  </si>
  <si>
    <t>GMEDINA@FRAGOMEN.COM</t>
  </si>
  <si>
    <t xml:space="preserve">Master's degree or foreign equivalent in Applied Computer Science, Computer Science, Computer/Electronic/Mechanical Engineering, Management Information Systems, Business Administration, or related </t>
  </si>
  <si>
    <t xml:space="preserve">Bachelor's degree or foreign equivalent in Applied Computer Science, Computer Science, Computer/Electronic/Mechanical Engineering, Management Information Systems, Business Administration, or related </t>
  </si>
  <si>
    <t>P-400-21123-281360</t>
  </si>
  <si>
    <t>26532 Railroad Ave.</t>
  </si>
  <si>
    <t>="- Must perform physical activities that require climbing, lifting, balancing, walking, stooping, and handling of materials, lift 75 lbs. 
- Must be available 24/7 for emergency repairs.  Work schedule varies during the week Mon-Sun with possible weekda</t>
  </si>
  <si>
    <t>P-100-21124-286163</t>
  </si>
  <si>
    <t>="SKILLS/TOOLS: Experience with HDFS, Hadoop, HBase, Hive, MongoDB, Vertica, Amazon Redshift, Oracle, Python, SQL, NoSQL, ElasticSearch, Java, Kafka, MPP, Spark, MapReduce,  Sqoop, TDCH, StreamSets, Salesforce, Sqoop, Alteryx, developing frameworks, and m</t>
  </si>
  <si>
    <t>2354 NW 168th PL</t>
  </si>
  <si>
    <t>P-100-21168-407642</t>
  </si>
  <si>
    <t>Bioethics or closely related field.</t>
  </si>
  <si>
    <t>370 West 9th Avenue</t>
  </si>
  <si>
    <t>P-400-21123-281164</t>
  </si>
  <si>
    <t>RCM Health Care</t>
  </si>
  <si>
    <t>Law Offices of Ronald A. NAIR</t>
  </si>
  <si>
    <t>33 N Dearborn Street</t>
  </si>
  <si>
    <t>Suite 1535</t>
  </si>
  <si>
    <t>P-400-21146-346666</t>
  </si>
  <si>
    <t>8156 Fiddlers Creek Parkway</t>
  </si>
  <si>
    <t>P-100-21127-295168</t>
  </si>
  <si>
    <t>P-100-21139-328169</t>
  </si>
  <si>
    <t>Self-Service Capabilities Analyst (20742.18)</t>
  </si>
  <si>
    <t>="Employer will accept Bachelor’s degree in Business Administration, Operations Management, Project Management, or Graphic Design and 5 years of progressive post-baccalaureate experience in the job offered or a related occupation. Experience must include:</t>
  </si>
  <si>
    <t>P-400-21133-309898</t>
  </si>
  <si>
    <t>P-100-21147-351613</t>
  </si>
  <si>
    <t>P-100-21166-399012</t>
  </si>
  <si>
    <t>Houtz</t>
  </si>
  <si>
    <t>550 South Hope Street, Suite 1950</t>
  </si>
  <si>
    <t>Brianne.Houtz@smithgroup.com</t>
  </si>
  <si>
    <t>P-400-21141-334348</t>
  </si>
  <si>
    <t>P-100-21161-384946</t>
  </si>
  <si>
    <t>P-400-21127-295896</t>
  </si>
  <si>
    <t xml:space="preserve">workers may be required to travel to job sites in forested areas of Skamania county. </t>
  </si>
  <si>
    <t>P-100-21161-388156</t>
  </si>
  <si>
    <t>Wierzbicki</t>
  </si>
  <si>
    <t xml:space="preserve">821 Howard Street </t>
  </si>
  <si>
    <t>Michael.wierzbicki@quayaustralia.com</t>
  </si>
  <si>
    <t>Quay Eyeware Inc.</t>
  </si>
  <si>
    <t xml:space="preserve">Quay Australia </t>
  </si>
  <si>
    <t>jgrady@graadyfirm.com</t>
  </si>
  <si>
    <t>The Grady Firm, P.C.</t>
  </si>
  <si>
    <t>Business Intelligence and Integration Developer</t>
  </si>
  <si>
    <t xml:space="preserve">Industrial Engineering </t>
  </si>
  <si>
    <t>="Experience with Business Intelligence development in Microsoft Stack (SSIS, SSAS, SSRS, SQL Server, Power BI); Experience with Microsoft SQL Server administration and database design; Experience with relational and dimensional data models; experience wi</t>
  </si>
  <si>
    <t xml:space="preserve">Head of Information Technology </t>
  </si>
  <si>
    <t>821 Howard Street</t>
  </si>
  <si>
    <t>P-400-21140-330841</t>
  </si>
  <si>
    <t>="The Petitioner will consider for employment any person who possesses at least Six (6) months of culinary experience in a fine-dining or high-volume environment at a high-end restaurant, resort, or private club.  Applicant must complete pre-employment ba</t>
  </si>
  <si>
    <t>Corporate Chef</t>
  </si>
  <si>
    <t>P-400-21148-354138</t>
  </si>
  <si>
    <t xml:space="preserve"> Piscataway</t>
  </si>
  <si>
    <t>P-100-21153-362338</t>
  </si>
  <si>
    <t xml:space="preserve">Voyager Therapeutics, Inc. </t>
  </si>
  <si>
    <t xml:space="preserve">Senior Scientist I, Transgene Regulation </t>
  </si>
  <si>
    <t>19-1029.02; 19-1029.02</t>
  </si>
  <si>
    <t>Molecular and Cellular Biologists; Molecular and Cellular Biologists</t>
  </si>
  <si>
    <t>vaccine immunology, molecular biology, biology and related.</t>
  </si>
  <si>
    <t>P-400-21133-311480</t>
  </si>
  <si>
    <t>Lutt</t>
  </si>
  <si>
    <t>4201 Broadway Ave.</t>
  </si>
  <si>
    <t>rlutt@comfortech.biz</t>
  </si>
  <si>
    <t xml:space="preserve">Lutt Enterprises </t>
  </si>
  <si>
    <t>Comfort Tech Mechanical</t>
  </si>
  <si>
    <t>4201 Broadway Ave</t>
  </si>
  <si>
    <t xml:space="preserve">Technician </t>
  </si>
  <si>
    <t>Travel within a 50 mile radius of our office location to job sites Monday- Friday.</t>
  </si>
  <si>
    <t>Heating, Air Conditioning, and Refrigeration Mechanics and Installers</t>
  </si>
  <si>
    <t>P-100-21138-321473</t>
  </si>
  <si>
    <t>Computer Science, Mathematics, Economics, Finance, Engineering or a related field.</t>
  </si>
  <si>
    <t>="utilizing industry messaging standards including FIX, SWIFT and FpML; utilizing  SQL and databases; working with post trade processes including confirmation, settlements, reconciliations, collateral and margin management, corporate actions, mortgage pro</t>
  </si>
  <si>
    <t>P-100-21159-379576</t>
  </si>
  <si>
    <t>JParkin@medline.com</t>
  </si>
  <si>
    <t>Re: Medline Industries Inc.</t>
  </si>
  <si>
    <t>P-400-21130-299223</t>
  </si>
  <si>
    <t>P-100-21181-437911</t>
  </si>
  <si>
    <t>Kanjiani</t>
  </si>
  <si>
    <t>Karim</t>
  </si>
  <si>
    <t>13945 N. US-183</t>
  </si>
  <si>
    <t>D105</t>
  </si>
  <si>
    <t>md@megafurnitureusa.com</t>
  </si>
  <si>
    <t>Mega Furniture Hub LLC</t>
  </si>
  <si>
    <t>Mega Furniture</t>
  </si>
  <si>
    <t xml:space="preserve">13945 N. US-183 </t>
  </si>
  <si>
    <t>P-400-21146-346225</t>
  </si>
  <si>
    <t>Garavito</t>
  </si>
  <si>
    <t>7418 Cherokee Dr</t>
  </si>
  <si>
    <t>Downey</t>
  </si>
  <si>
    <t>cgaravito8617@hotmail.com</t>
  </si>
  <si>
    <t>Carolina Garavito</t>
  </si>
  <si>
    <t>7418 CHEROKEE DR</t>
  </si>
  <si>
    <t>7600 W Tidwell RD</t>
  </si>
  <si>
    <t>william@webrookslaw.com</t>
  </si>
  <si>
    <t>W. E. Brooks Law Firm</t>
  </si>
  <si>
    <t>="WORKED AT LEAST 10 YEARS AS A NANNY
KNOWLEDGE OF CHILD DEVELOPMENT AND MILESTONES
TEAM PLAYER WHO CAN BE A FULL CHARGE NANNY WHEN PARENTS ARE AT WORK
NEWBORN/INFANT EXPERIENCE
ATTENTIVE CHILD CARE
A HIGHLY RECOMMENDED PERSON WITH EXCELLENT REFERENCES
FR</t>
  </si>
  <si>
    <t>DOWNEY</t>
  </si>
  <si>
    <t>P-400-21127-295310</t>
  </si>
  <si>
    <t>11079 Greenacres Rd</t>
  </si>
  <si>
    <t>P-400-21149-355909</t>
  </si>
  <si>
    <t>Marco Prime</t>
  </si>
  <si>
    <t>P-400-21124-285818</t>
  </si>
  <si>
    <t>Beall</t>
  </si>
  <si>
    <t>9334 Saltsburg Rd.</t>
  </si>
  <si>
    <t>Beall's Greenhouse Nursery &amp; Supply, Inc.</t>
  </si>
  <si>
    <t>P-400-21137-317956</t>
  </si>
  <si>
    <t>P-100-21131-304995</t>
  </si>
  <si>
    <t>P-100-21137-319091</t>
  </si>
  <si>
    <t xml:space="preserve">="Bachelor's degree in Computer Science, Engineering, Information Systems Management, Accounting, Finance or a related field, plus 8 years of related experience. Employer will accept a 3 or 4 year bachelor's degree or combination of degrees.
Must have 6 </t>
  </si>
  <si>
    <t>P-400-21151-356965</t>
  </si>
  <si>
    <t>Transport provided, designated locale to job site. Begin in Dallas County, TX. Continue in Counties/Areas: Collin, Dallas, Delta, Denton, Ellis, Hunt, Johnson, Kaufman, Parker, Robertson, Rockwall, Tarrant, Wise and areas of College Station-Bryan, TX, Dallas-Fort Worth-Arlington, TX, North Texas Region of Texas nonmetropolitan area.</t>
  </si>
  <si>
    <t>910 Texas St (Report to Work)</t>
  </si>
  <si>
    <t>4550 Walney Road</t>
  </si>
  <si>
    <t>P-100-21127-297583</t>
  </si>
  <si>
    <t>P-400-21130-299627</t>
  </si>
  <si>
    <t>P-400-21130-298459</t>
  </si>
  <si>
    <t>LANDSCAPE MAINTENACE WORKER</t>
  </si>
  <si>
    <t>256 N Meyer Ave</t>
  </si>
  <si>
    <t>Cutters and Trimmers, Hand</t>
  </si>
  <si>
    <t>P-100-21147-349595</t>
  </si>
  <si>
    <t>P-100-21162-390472</t>
  </si>
  <si>
    <t xml:space="preserve">="Education: Bachelor’s or foreign equivalent in Computer Science, Engineering, Mathematics, Information Systems, Physics, or a related field. In lieu of a Bachelor’s degree, employer will accept an additional 24 months of software development experience </t>
  </si>
  <si>
    <t>="In lieu of a Bachelor’s degree, employer will accept an additional 24 months of software development experience formulating and analyzing software requirements.
Experience: 6 months of software development experience formulating and analyzing software r</t>
  </si>
  <si>
    <t>P-400-21152-359731</t>
  </si>
  <si>
    <t>4221 Red Deer Drive</t>
  </si>
  <si>
    <t>brian@photogenicgarden.com</t>
  </si>
  <si>
    <t>Apollo Investments, Inc.</t>
  </si>
  <si>
    <t>Photogenic</t>
  </si>
  <si>
    <t xml:space="preserve">Daily travel to worksites in area of intended employment required. Employer provides transportation to and from all worksites at no cost. </t>
  </si>
  <si>
    <t>1825 Dakota Street</t>
  </si>
  <si>
    <t>P-100-21165-394321</t>
  </si>
  <si>
    <t>Enterprise Act Engineer II</t>
  </si>
  <si>
    <t xml:space="preserve">Computer Science, Engineering, Mathematics, or a related field  </t>
  </si>
  <si>
    <t>="Must have one year of experience in the following: 1) experience in operational parameters and troubleshooting for Computing, Storage, Networking, CDN, Databases, DevOps, Big Data and Analytics, Security, or Applications Development in a distributed sys</t>
  </si>
  <si>
    <t>Domestic travel up to 20%.</t>
  </si>
  <si>
    <t>P-400-21153-363697</t>
  </si>
  <si>
    <t>BELLAVIA</t>
  </si>
  <si>
    <t>10515 HIGHWAY 16</t>
  </si>
  <si>
    <t>AMITE</t>
  </si>
  <si>
    <t>frankieb@amiteoysters.com</t>
  </si>
  <si>
    <t>AMITE OYSTERS L.L.C.</t>
  </si>
  <si>
    <t xml:space="preserve">C.L.C. Labor Services </t>
  </si>
  <si>
    <t>10515 Highway 16</t>
  </si>
  <si>
    <t>Amite</t>
  </si>
  <si>
    <t>Hammond, LA</t>
  </si>
  <si>
    <t>P-100-21131-303035</t>
  </si>
  <si>
    <t>P-100-21139-327696</t>
  </si>
  <si>
    <t xml:space="preserve">2711 Centerville Road </t>
  </si>
  <si>
    <t>K&amp;LGates LLP</t>
  </si>
  <si>
    <t>MBA with a focus in Finance or related field; or foreign degree equivalent.</t>
  </si>
  <si>
    <t>Bachelor’s degree in finance, accounting, or a related field or a foreign degree equivalent.</t>
  </si>
  <si>
    <t>="•	Bachelor’s degree in finance, accounting, or a related field or a foreign degree equivalent.
•	MBA with a focus in Finance or related field; or foreign degree equivalent.
•	5 years of direct treasury work experience including 3 years management experi</t>
  </si>
  <si>
    <t>VP, Finance and Treasurer</t>
  </si>
  <si>
    <t xml:space="preserve">Required to travel up to 25% of time (domestic and international) </t>
  </si>
  <si>
    <t>Technical Lead, Design for Reliability</t>
  </si>
  <si>
    <t>Materials Engineering, or a closely related field</t>
  </si>
  <si>
    <t>="Bachelor’s degree or foreign equivalent in Materials Engineering, or a closely related field and 5 years of progressively responsible [or a Master’s degree or foreign equivalent in Materials Engineering or a closely related field and 2 years of] experie</t>
  </si>
  <si>
    <t>Director, Design for Reliability</t>
  </si>
  <si>
    <t>P-100-21132-309173</t>
  </si>
  <si>
    <t>Mathematics, Statistics, Machine Learning, Computer Science or related</t>
  </si>
  <si>
    <t>="Position requires coursework in the following: Predictive modeling, optimization, and machine learning; Data mining with a range of advanced technical tools (Python, R, Hadoop, Hive, SQL, Java, Spark, etc.) for timely manipulation of large data sets; Ma</t>
  </si>
  <si>
    <t>Chief Analytics Officer</t>
  </si>
  <si>
    <t>P-400-21145-340672</t>
  </si>
  <si>
    <t>PRESTIGE OYSTERS BOATS</t>
  </si>
  <si>
    <t>CLC LABOR SERVICES</t>
  </si>
  <si>
    <t>OYSTER BOAT DECKHAND</t>
  </si>
  <si>
    <t>boat captain</t>
  </si>
  <si>
    <t xml:space="preserve">Deckhands will need to navigate in the local bays in order to catch oysters.   </t>
  </si>
  <si>
    <t>RON</t>
  </si>
  <si>
    <t>seafood@fulchersnc.net</t>
  </si>
  <si>
    <t>P-400-21130-300318</t>
  </si>
  <si>
    <t>Daniel's Foods, Inc.</t>
  </si>
  <si>
    <t>Mirabelle at Beaver Creek</t>
  </si>
  <si>
    <t>55 Village Rd (physical)</t>
  </si>
  <si>
    <t>PO Box 1111 Avon CO 81620 (mailing)</t>
  </si>
  <si>
    <t>2077 North Frontage Rd West Ste 111 Vail CO 81658 (physical)</t>
  </si>
  <si>
    <t xml:space="preserve">55 Village Rd </t>
  </si>
  <si>
    <t>P-400-21145-343968</t>
  </si>
  <si>
    <t>Hull</t>
  </si>
  <si>
    <t>20005 11th Ave N</t>
  </si>
  <si>
    <t>seneca@franzwitte.com</t>
  </si>
  <si>
    <t>Franz Witte Landscape Contracting, Inc.</t>
  </si>
  <si>
    <t>Transport provided, designated locale to job site. Begin in Canyon County, ID. Continue in Counties/Areas: Ada, Canyon, Valley and areas of Boise City, ID, Northwestern Idaho nonmetropolitan area.</t>
  </si>
  <si>
    <t>20005 11th Ave N (Report to Work)</t>
  </si>
  <si>
    <t>P-400-21153-361808</t>
  </si>
  <si>
    <t>Flor</t>
  </si>
  <si>
    <t>112 Mayfair Drive</t>
  </si>
  <si>
    <t>Hamlet</t>
  </si>
  <si>
    <t>unitedforestservices@gmail.com</t>
  </si>
  <si>
    <t>United Forest Services, LLC</t>
  </si>
  <si>
    <t>Travel between job sites</t>
  </si>
  <si>
    <t>Piedmont North Carolina nonmetropolitan area</t>
  </si>
  <si>
    <t>P-100-21166-400191</t>
  </si>
  <si>
    <t>P-400-21154-366245</t>
  </si>
  <si>
    <t>P-100-21158-375059</t>
  </si>
  <si>
    <t>P-100-21160-382421</t>
  </si>
  <si>
    <t>P-100-21153-361687</t>
  </si>
  <si>
    <t>P-400-21142-336084</t>
  </si>
  <si>
    <t>83901 COUNTY ROAD 21</t>
  </si>
  <si>
    <t>RENVILLE</t>
  </si>
  <si>
    <t>P-100-21175-424636</t>
  </si>
  <si>
    <t xml:space="preserve">HR Manager - </t>
  </si>
  <si>
    <t>5 Snow Mann Way</t>
  </si>
  <si>
    <t>Apt 270</t>
  </si>
  <si>
    <t>WRapid Corporation</t>
  </si>
  <si>
    <t>="From boxes F.b.1.b and F.b.4.b: Minimum Requirements: Bachelor’s Degree in Electrical Engineering or related field; or foreign degree equivalent plus 5 years of experience in Testing, Inspection and Certification (TIC).
Must have: engineering experienc</t>
  </si>
  <si>
    <t>P-400-21124-285970</t>
  </si>
  <si>
    <t>12915 State Highway 30</t>
  </si>
  <si>
    <t>tlc@txlandscaper.com</t>
  </si>
  <si>
    <t>David &amp; Deike Interests, LLC</t>
  </si>
  <si>
    <t>Texas Landscape Creations</t>
  </si>
  <si>
    <t>12915 state Highway 30</t>
  </si>
  <si>
    <t>Landscape Installation Crew</t>
  </si>
  <si>
    <t>P-400-21146-344848</t>
  </si>
  <si>
    <t xml:space="preserve">HOUSEKEEPER </t>
  </si>
  <si>
    <t>P-100-21168-406787</t>
  </si>
  <si>
    <t>P-400-21131-303233</t>
  </si>
  <si>
    <t>P-400-21138-323833</t>
  </si>
  <si>
    <t>stovesand</t>
  </si>
  <si>
    <t>daniel</t>
  </si>
  <si>
    <t>3476 Park Ave</t>
  </si>
  <si>
    <t>dan@paducahford.com</t>
  </si>
  <si>
    <t>Paducah Ford, Inc</t>
  </si>
  <si>
    <t>Foreign Labor certification data center</t>
  </si>
  <si>
    <t>Automotive Mechanic</t>
  </si>
  <si>
    <t>49-3023.01</t>
  </si>
  <si>
    <t>West Kentucky nonmetropolitan area</t>
  </si>
  <si>
    <t>P-400-21160-384270</t>
  </si>
  <si>
    <t>Schue</t>
  </si>
  <si>
    <t>P-400-21133-310707</t>
  </si>
  <si>
    <t>CKF RICHMOND, INC.</t>
  </si>
  <si>
    <t>Cook/ Rotisserie Line Cook /Dishwasher</t>
  </si>
  <si>
    <t>="Must be able to exert well-paced mobility. Must be able to lift/carry up to 50 pounds. Good knife skills are essential. Ability to work at special events when required. Ability to work in a fast-paced environment.  Ability to work under the direction of</t>
  </si>
  <si>
    <t>2311 W Broad St</t>
  </si>
  <si>
    <t>P-100-21127-294462</t>
  </si>
  <si>
    <t>114 Gatlin Road</t>
  </si>
  <si>
    <t>P. O. Box 250, Oriental, NC 28571</t>
  </si>
  <si>
    <t>Alliance</t>
  </si>
  <si>
    <t>Fulcher's Seafood LLC</t>
  </si>
  <si>
    <t>Shrimp Processors</t>
  </si>
  <si>
    <t>P-400-21132-307752</t>
  </si>
  <si>
    <t>Fiesser</t>
  </si>
  <si>
    <t>4038 Route 202</t>
  </si>
  <si>
    <t>Doylestown</t>
  </si>
  <si>
    <t>Richard J. Fiesser</t>
  </si>
  <si>
    <t>DBA Spring Valley Nurseries</t>
  </si>
  <si>
    <t>P-100-21161-384852</t>
  </si>
  <si>
    <t>Nagase/385.24337-2/syc</t>
  </si>
  <si>
    <t>Computer Science, Engineering, Information Technology, Management Information Systems, or related technical field</t>
  </si>
  <si>
    <t>P-100-21151-357102</t>
  </si>
  <si>
    <t>106 W Allegan Street***</t>
  </si>
  <si>
    <t>P-400-21150-356190</t>
  </si>
  <si>
    <t>14700 FRONT BEACH RD</t>
  </si>
  <si>
    <t>P-100-21141-332320</t>
  </si>
  <si>
    <t>P-100-21138-324456</t>
  </si>
  <si>
    <t>P-400-21152-359415</t>
  </si>
  <si>
    <t>P-100-21123-282050</t>
  </si>
  <si>
    <t>P-100-21166-398423</t>
  </si>
  <si>
    <t>P-400-21137-318740</t>
  </si>
  <si>
    <t>P-100-21155-371071</t>
  </si>
  <si>
    <t>="*From F.b.1 and F.b.4: Minimum Education and Experience Requirements: Master's degree or equivalent in Computer Science, Computer Information Systems, Data Analytics, or related field and 1 year of related experience performing database/ETL development.</t>
  </si>
  <si>
    <t xml:space="preserve">="**From F.c.2 and F.c.4: Alternatively, will accept a Bachelor's degree or equivalent in Computer Science, Computer Information Systems, Data Analytics, or related field and 1 year of related experience performing database/ETL development.
Must have: 1 </t>
  </si>
  <si>
    <t>P-400-21152-358549</t>
  </si>
  <si>
    <t>Green Touch Lighting and Snow Inc</t>
  </si>
  <si>
    <t>6314 West Broadway</t>
  </si>
  <si>
    <t>Mccordsville</t>
  </si>
  <si>
    <t>3355 Bee Caves</t>
  </si>
  <si>
    <t>TRANSPORTATION PROVIDED TO/FROM HANCOCK COUNTY PICK UP LOCATION.</t>
  </si>
  <si>
    <t>McCordsville</t>
  </si>
  <si>
    <t>P-100-21124-285529</t>
  </si>
  <si>
    <t>P-100-21123-281477</t>
  </si>
  <si>
    <t>Digital Application Architect</t>
  </si>
  <si>
    <t>Software Development/ Software Engineering</t>
  </si>
  <si>
    <t>Software Engineering Mgr.</t>
  </si>
  <si>
    <t>P-100-21166-400451</t>
  </si>
  <si>
    <t xml:space="preserve">39400 MURRIETA HOT SPRINGS RD. SUITE#105 </t>
  </si>
  <si>
    <t>P-100-21167-403748</t>
  </si>
  <si>
    <t>="Requires 12 months of experience in Coordinating program development of computer software applications/systems/services from design through product release; Algorithms; Web Services; Web Apps; Data Structures; SQL Server; and CI/CD (Continuous Integrati</t>
  </si>
  <si>
    <t>DOMINGUEZ</t>
  </si>
  <si>
    <t>P-100-21148-353423</t>
  </si>
  <si>
    <t xml:space="preserve">Electrical Engineering, Computer Science or related field </t>
  </si>
  <si>
    <t>1010 W Trade Street, Apt #336</t>
  </si>
  <si>
    <t>P-400-21125-289700</t>
  </si>
  <si>
    <t>Heriberto</t>
  </si>
  <si>
    <t>441 Old House Rd</t>
  </si>
  <si>
    <t>RAMIREZ PINESTRAW, LLC</t>
  </si>
  <si>
    <t>="Must be 18 due to insurance. Must show proof of legal authority to work in the U.S. Drug/Alcohol/Tobacco free work zone. Perform physical activities: such as lift, balance, walk, stoop, handle, position, move, manipulate materials use static strength to</t>
  </si>
  <si>
    <t>TRANSPORT PROVIDED, DESIGNATED LOCALE TO JOB SITE. BEGIN IN ESTILL COUNTY, SC. CONTINUE IN COUNTIES/AREAS: BEAUFORT, HAMPTON, JASPER, AND AREAS
OF HILTON HEAD ISLAND-BLUFFTON-BEAUFORT, SC, NORTHEAST SOUTH CAROLINA NONMETROPOLITAN AREA.</t>
  </si>
  <si>
    <t>441 Old House Road (report to work)</t>
  </si>
  <si>
    <t>Northeast South Carolina nonmetropolitan area</t>
  </si>
  <si>
    <t>The Prevailing Wage Determination for the purposes of the H-2B program shall be the greater of the (1) actual wage level paid by the employer to other employees with similar experience and qualifications for such positions in the same location; or (2) the wage listed in Section G.7 of the ETA Form 9141.
The wage entered in item G.4 reflects the area of intended employment entered in F.e.4 and F.e.5.</t>
  </si>
  <si>
    <t>P-400-21131-303526</t>
  </si>
  <si>
    <t>Tree Trimming and Pruner</t>
  </si>
  <si>
    <t>126 SHAMMROCK DRIVE</t>
  </si>
  <si>
    <t>P-400-21147-349818</t>
  </si>
  <si>
    <t>Cook I &amp; II</t>
  </si>
  <si>
    <t>2319 Holcomb Rd.</t>
  </si>
  <si>
    <t>Sterling Construction Contractors, LLC</t>
  </si>
  <si>
    <t>="Must be 18 due to hazardous materials. Must show proof of legal authorization to work in the United States. Drug/alcohol/tobacco free work zone. Perform physical activities such as: lift, balance, walk, stoop, handle, position, move, manipulate material</t>
  </si>
  <si>
    <t>P-100-21170-412618</t>
  </si>
  <si>
    <t>15-20% of the time</t>
  </si>
  <si>
    <t>P-400-21147-350229</t>
  </si>
  <si>
    <t>JARVIS</t>
  </si>
  <si>
    <t>2708 Park Street</t>
  </si>
  <si>
    <t>Cool Moose Coffee Company</t>
  </si>
  <si>
    <t>FOOD PREPARATION WORKER</t>
  </si>
  <si>
    <t>P-100-21168-406465</t>
  </si>
  <si>
    <t xml:space="preserve">N&amp;R of Columbia, LLC </t>
  </si>
  <si>
    <t xml:space="preserve">Parkside Manor </t>
  </si>
  <si>
    <t>P-100-21152-359690</t>
  </si>
  <si>
    <t>Hyuk</t>
  </si>
  <si>
    <t>Attorney (085449-00205)</t>
  </si>
  <si>
    <t>605  Fairchild Drive, Flr.</t>
  </si>
  <si>
    <t>Computer Applications, Computer Science, Computer Engineering or a related field.</t>
  </si>
  <si>
    <t>P-100-21133-310912</t>
  </si>
  <si>
    <t>P-100-21152-359616</t>
  </si>
  <si>
    <t>Tenesha</t>
  </si>
  <si>
    <t>1800 City Farm Drive</t>
  </si>
  <si>
    <t>Building 4, Suite B</t>
  </si>
  <si>
    <t>tenesha.williams@plexosgroup.com</t>
  </si>
  <si>
    <t>PLEXOS GROUP LLC</t>
  </si>
  <si>
    <t>1800 CITY FARM DR</t>
  </si>
  <si>
    <t>BUILDING 4 SUITE B</t>
  </si>
  <si>
    <t>Computer Science, Electrical,  Engineering, Computer Information Systems, Information Technology or related field.</t>
  </si>
  <si>
    <t>1800 City Farm Drive, Bldg 4, Suite B</t>
  </si>
  <si>
    <t>P-100-21161-388486</t>
  </si>
  <si>
    <t xml:space="preserve">Parkin </t>
  </si>
  <si>
    <t>Sr. IS-Security Analyst III</t>
  </si>
  <si>
    <t>="QUALIFIED APPLICANTS MUST ALSO HAVE DEMONSTRABLE PROFICIENCY, KNOWLEDGE, SKILL AND/OR EXPERIENCE WITH THE FOLLOWING:
1.	SEIM TOOLS
2.	ONE OR MORE OF THE FOLLOWING NETWORK SECURITY CONTROLS: IDS/IPS, FIREWALLS OR CHECKPOINT.
3.	TCP/IP AND NETWORKING/SYS</t>
  </si>
  <si>
    <t xml:space="preserve">Manager IS Security </t>
  </si>
  <si>
    <t>P-400-21124-285932</t>
  </si>
  <si>
    <t>262 96th Street</t>
  </si>
  <si>
    <t>Stone Harbor</t>
  </si>
  <si>
    <t>08247-1912</t>
  </si>
  <si>
    <t>angela@globalpursuitsh.com</t>
  </si>
  <si>
    <t>Angela Marsh</t>
  </si>
  <si>
    <t>Retail Sales Person</t>
  </si>
  <si>
    <t>P-400-21137-320443</t>
  </si>
  <si>
    <t>VR US HOLDINGS II, LLC</t>
  </si>
  <si>
    <t>Stowe Mountain Resort</t>
  </si>
  <si>
    <t>5781 Mountain Road</t>
  </si>
  <si>
    <t xml:space="preserve"> 5800 Mountain Road</t>
  </si>
  <si>
    <t>P-100-21146-347778</t>
  </si>
  <si>
    <t>INTUIT_IMMIGRATION@INTUIT.COM</t>
  </si>
  <si>
    <t xml:space="preserve">Product Management Engineer/Mgr 3 Senior Product Manager </t>
  </si>
  <si>
    <t>="Employer will accept a Master’s degree in Computer Science, Engineering or related field and 3 years of work experience in the job offered or in a product manager or engineer-related occupation. Position requires: 
1.	Defining success metrics, prioritiz</t>
  </si>
  <si>
    <t>P-400-21126-293073</t>
  </si>
  <si>
    <t>STACEY@LABORCI.COM</t>
  </si>
  <si>
    <t>Robert M. McHenry</t>
  </si>
  <si>
    <t>McHenry Forestry</t>
  </si>
  <si>
    <t>974 McHenry Rd.</t>
  </si>
  <si>
    <t>Broken Bow</t>
  </si>
  <si>
    <t>Transport provided, designated locale to job site. Begin in McCurtain County, OK . Continue in States: AR, LA, OK, TX.</t>
  </si>
  <si>
    <t>302 N. Park Drive (Report to Work)</t>
  </si>
  <si>
    <t>P-100-21139-324973</t>
  </si>
  <si>
    <t>COMPUTER SCIENCE /APPLICATION/ENGINEERING, INFORMATION  TECHNOLOGY, ANY ENGINEERING  OR RELATED.</t>
  </si>
  <si>
    <t>="MASTERS OR FOREIGN EQUIVALENT IN COMPUTER SCIENCE / APPLICATIONS/ ENGINEERING, INFORMATION TECHNOLOGY , ANY ENGINEERING OR RELATED FILED. IN THE ALTERNATIVE, WILL ACCEPT BACHELORS OR FOREIGN EQUIVALENT IN COMPUTER SCIENCE / APPLICATIONS/ ENGINEERING, IN</t>
  </si>
  <si>
    <t>MAY TRAVEL TO VARIOUS CLIENT LOCATIONS  THROUGHOUT THE UNITED STATES WITH EXPENSES PAID BY THE EMPLOYER.</t>
  </si>
  <si>
    <t>P-400-21130-299834</t>
  </si>
  <si>
    <t>P-400-21152-359604</t>
  </si>
  <si>
    <t>937 Bulkhead</t>
  </si>
  <si>
    <t>jaanerud@unitedlandservices.com</t>
  </si>
  <si>
    <t>United Landscapes</t>
  </si>
  <si>
    <t>Transportation provided from main worksite to multiple worksites within the area of intended employment.</t>
  </si>
  <si>
    <t>P-100-21140-329955</t>
  </si>
  <si>
    <t>P-400-21131-303008</t>
  </si>
  <si>
    <t>Cunniff</t>
  </si>
  <si>
    <t>325 New Boston Street Unit 16</t>
  </si>
  <si>
    <t>Mailing: PO BOX 750111 , Arlington, MA 02475</t>
  </si>
  <si>
    <t>Cunniff Landscape, Inc.</t>
  </si>
  <si>
    <t>325 New Boston Street, Unit 16</t>
  </si>
  <si>
    <t>woburn</t>
  </si>
  <si>
    <t>P-400-21151-357010</t>
  </si>
  <si>
    <t>1366 Round Table Dr</t>
  </si>
  <si>
    <t>Prestonwood Landscape Services-DFW LLC</t>
  </si>
  <si>
    <t>P-400-21124-286516</t>
  </si>
  <si>
    <t>Demas</t>
  </si>
  <si>
    <t>800 Waterpoint Ct. West</t>
  </si>
  <si>
    <t>Granbury</t>
  </si>
  <si>
    <t>dennisdemas@att.net</t>
  </si>
  <si>
    <t>Demas Enterprises, Inc.</t>
  </si>
  <si>
    <t>800 Waterpoint Ct. W.</t>
  </si>
  <si>
    <t>Amusements and Recreation Attendant - Rides</t>
  </si>
  <si>
    <t xml:space="preserve">Employer is an Outdoor Traveling Amusement Attraction.  Travel is required from event location to event location as per the itinerary as detailed in Appendix A : Request for  Additional Worksite (s).  
Optional mobile housing &amp; local convenience travel are available.  </t>
  </si>
  <si>
    <t>Hwy 159</t>
  </si>
  <si>
    <t>P-100-21167-401221</t>
  </si>
  <si>
    <t>Domestic travel is required, approximately 3 days per Quarter</t>
  </si>
  <si>
    <t>P-400-21139-325430</t>
  </si>
  <si>
    <t>Nix Jackson</t>
  </si>
  <si>
    <t>PO Box 1209</t>
  </si>
  <si>
    <t>Red Lodge</t>
  </si>
  <si>
    <t>tricia@redlodgeresturants.com</t>
  </si>
  <si>
    <t>Red Lodge Pizza Co.</t>
  </si>
  <si>
    <t>115 Broadway Ave S</t>
  </si>
  <si>
    <t>P-400-21126-292870</t>
  </si>
  <si>
    <t>Food Servers</t>
  </si>
  <si>
    <t>P-400-21148-354671</t>
  </si>
  <si>
    <t>P-100-21138-324283</t>
  </si>
  <si>
    <t>6100 219th St SW</t>
  </si>
  <si>
    <t>P-400-21146-344885</t>
  </si>
  <si>
    <t>="Experience must be verifiable. 
Pre-hire drug test and background check, carried out equally between U.S. workers and H-2B workers. 
Must be available to work split-shifts, nights, weekends &amp; holidays as needed. 
Must be able to lift, pull, push or carr</t>
  </si>
  <si>
    <t>P-400-21130-299085</t>
  </si>
  <si>
    <t xml:space="preserve">Server Captain </t>
  </si>
  <si>
    <t>P-100-21134-315892</t>
  </si>
  <si>
    <t>="Master’s degree (or foreign equivalent) in Analytics, Engineering, Business Administration, Marketing or similar field plus2 years of experience in the job offered or in Performance Media or Direct Response Marketing. 
Position requires 2 years of expe</t>
  </si>
  <si>
    <t>P-100-21137-319765</t>
  </si>
  <si>
    <t>G.H. Daniels III &amp; Associates, Inc</t>
  </si>
  <si>
    <t>Primarily in Eagle County but may travel to neighboring counties and occasionally travel to Grand Junction, returning to Gypsum, CO during business hours.</t>
  </si>
  <si>
    <t>P-400-21124-285842</t>
  </si>
  <si>
    <t>Gorjon</t>
  </si>
  <si>
    <t>10475 State Rt. 108</t>
  </si>
  <si>
    <t>Green Angels Landscaping, LLC</t>
  </si>
  <si>
    <t>365 Boyle Road</t>
  </si>
  <si>
    <t>Selden</t>
  </si>
  <si>
    <t>Zara Pizza &amp; Restaurant</t>
  </si>
  <si>
    <t>Zwaik</t>
  </si>
  <si>
    <t>5014 Express Drive S</t>
  </si>
  <si>
    <t>employmentbased@zwaik.com</t>
  </si>
  <si>
    <t>P-100-21175-422870</t>
  </si>
  <si>
    <t>TEST ANALYST</t>
  </si>
  <si>
    <t>P-400-21144-339134</t>
  </si>
  <si>
    <t xml:space="preserve">12600 HARBOUR RIDGE BLVD </t>
  </si>
  <si>
    <t xml:space="preserve">GOLF MAINTENANCE LABORER </t>
  </si>
  <si>
    <t>GOLF MAINTENANCE LABORER</t>
  </si>
  <si>
    <t>P-400-21130-299056</t>
  </si>
  <si>
    <t>Tackett</t>
  </si>
  <si>
    <t>7080 Mulberry Road</t>
  </si>
  <si>
    <t>Mulberry Creek Greenhouses Inc.</t>
  </si>
  <si>
    <t>DBA Abate Greenhouses &amp; Landscaping</t>
  </si>
  <si>
    <t>P-100-21141-335167</t>
  </si>
  <si>
    <t>2020 US MBD/TRS - MERCER/GARTNER INFO TECH SURVEY</t>
  </si>
  <si>
    <t>P-100-21141-335354</t>
  </si>
  <si>
    <t>P-100-21181-436806</t>
  </si>
  <si>
    <t>Amy K Myers, LLC.</t>
  </si>
  <si>
    <t>P-100-21175-424334</t>
  </si>
  <si>
    <t>P-400-21124-285217</t>
  </si>
  <si>
    <t>BESTER</t>
  </si>
  <si>
    <t>GARRY</t>
  </si>
  <si>
    <t>13535 EASTPOINTE BLVD</t>
  </si>
  <si>
    <t>SBESTER@EASTPOINTE-CC.COM</t>
  </si>
  <si>
    <t>EASTPOINTE GOLF MANAGEMENT, LLC</t>
  </si>
  <si>
    <t>ASGHAR</t>
  </si>
  <si>
    <t>SHERAZ</t>
  </si>
  <si>
    <t>PASHA</t>
  </si>
  <si>
    <t>515 N FLAGLER DRIVE SUITE P300</t>
  </si>
  <si>
    <t>SHAZ@ASGHARLAWFIRM.COM</t>
  </si>
  <si>
    <t>ASGHAR LAW, LLC</t>
  </si>
  <si>
    <t>WAITER</t>
  </si>
  <si>
    <t>13535 EASTEPOINTE BLVD</t>
  </si>
  <si>
    <t>P-400-21154-366753</t>
  </si>
  <si>
    <t xml:space="preserve">8969 Arenzville Rd. </t>
  </si>
  <si>
    <t>Beardstown</t>
  </si>
  <si>
    <t>btownwash@casscomm.com</t>
  </si>
  <si>
    <t>Beardstown Truck Wash, LLC.</t>
  </si>
  <si>
    <t>Bay Worker</t>
  </si>
  <si>
    <t>="The workers must be able to lift and carry materials or equipment with weight of fifty (50) pounds frequently throughout the workday. The work requires repetitive movements and extensive walking. Weekly work schedule is 40 hours per week (8 hours Monday</t>
  </si>
  <si>
    <t>P-100-21179-430447</t>
  </si>
  <si>
    <t>Paralegal  (SHLNUC)</t>
  </si>
  <si>
    <t>may work from home; below the office address</t>
  </si>
  <si>
    <t>P-400-21148-351965</t>
  </si>
  <si>
    <t>859 Victory Trail Rd.</t>
  </si>
  <si>
    <t>P-400-21154-365549</t>
  </si>
  <si>
    <t>Donal</t>
  </si>
  <si>
    <t>17 S. Bacton Hill Road</t>
  </si>
  <si>
    <t>Frazer</t>
  </si>
  <si>
    <t>Rainmaker Irrigation, Inc.</t>
  </si>
  <si>
    <t>="Must lift/carry 50 lbs., when necessary.  Saturday and Sunday work required, when necessary.  Post-hire random drug testing required of foreign and domestic workers. Post-hire background checks may be required of foreign and domestic workers based on co</t>
  </si>
  <si>
    <t>P-100-21169-411722</t>
  </si>
  <si>
    <t>ALVES</t>
  </si>
  <si>
    <t>1359 E SAMPLE ROAD</t>
  </si>
  <si>
    <t>PERM@THEEPSTEINGROUP.ORG</t>
  </si>
  <si>
    <t>CRIZABELLA POOLS INC</t>
  </si>
  <si>
    <t>934 N UNIVERSITY DRIVE # 412</t>
  </si>
  <si>
    <t>CORAL SPRINGS</t>
  </si>
  <si>
    <t>PERM@THEESPESTEINGROUP.ORG</t>
  </si>
  <si>
    <t>LAW OFFICE OF SHAYNE J EPSTEIN, P.A.</t>
  </si>
  <si>
    <t>ASSISTANT POOL TECHNICIAN</t>
  </si>
  <si>
    <t>934 N UNIVERSITY DRIVE 412</t>
  </si>
  <si>
    <t>P-100-21166-396842</t>
  </si>
  <si>
    <t>P-400-21154-366921</t>
  </si>
  <si>
    <t>46 Fiddlehead Bay Road</t>
  </si>
  <si>
    <t>Chestertown</t>
  </si>
  <si>
    <t>sharon@thefernlodge.com</t>
  </si>
  <si>
    <t>The Fern Lodge LLC</t>
  </si>
  <si>
    <t>P-100-21145-340578</t>
  </si>
  <si>
    <t>Atlanta and the surrounding suburbs</t>
  </si>
  <si>
    <t>P-100-21148-353427</t>
  </si>
  <si>
    <t>P-400-21137-318791</t>
  </si>
  <si>
    <t>498 N HWY Drive</t>
  </si>
  <si>
    <t>Transport provided, designated locale to the job site. Begin in St. Louis  County, MO. Continue in Counties/Areas: Franklin, Jefferson, St. Louis, St. Louis city, and areas of St. Louis, MO-IL.</t>
  </si>
  <si>
    <t>498 N HWY Drive (Report to Work)</t>
  </si>
  <si>
    <t>P-400-21148-353627</t>
  </si>
  <si>
    <t>Hunter Resort Vacations Inc.</t>
  </si>
  <si>
    <t>P-400-21146-345099</t>
  </si>
  <si>
    <t>Sarena</t>
  </si>
  <si>
    <t>5335 Highway 61</t>
  </si>
  <si>
    <t>P.O. Box 148</t>
  </si>
  <si>
    <t>Lutsen</t>
  </si>
  <si>
    <t>sarena@staycvr.com</t>
  </si>
  <si>
    <t>Cascade Vacation Rentals, LLC</t>
  </si>
  <si>
    <t>5335 West Highway 61</t>
  </si>
  <si>
    <t>Crew Leader or Housekeeping Manager</t>
  </si>
  <si>
    <t xml:space="preserve">The H-2B Temporary Housekeepers will perform job duties at vacation homes / lodges managed by Cascade Vacation Rentals in Lutsen, Grand Marais and surrounding North Shore communities.
Employees will be provided transportation and/or a company vehicle to drive from 126 Norbakken Road, Lutsen MN 55612 or 21 W 2nd St, Grand Marais, MN 55604 to and from the worksite properties.
Various client worksites. Centralized pick up points at Lutsen and Grand Marais
</t>
  </si>
  <si>
    <t>P-400-21130-299542</t>
  </si>
  <si>
    <t>P-400-21130-300231</t>
  </si>
  <si>
    <t>Helle</t>
  </si>
  <si>
    <t>41156 NC Highway 12</t>
  </si>
  <si>
    <t>amy.helle@vacasa.com</t>
  </si>
  <si>
    <t>Hatteras Realty LLC</t>
  </si>
  <si>
    <t>Northeast Coastal North Carolina nonmetropolitan area</t>
  </si>
  <si>
    <t>P-400-21130-300844</t>
  </si>
  <si>
    <t>P-400-21153-360400</t>
  </si>
  <si>
    <t>Handy</t>
  </si>
  <si>
    <t>1785 Pacific Ave.</t>
  </si>
  <si>
    <t>KNL Equipment Lease Co.</t>
  </si>
  <si>
    <t>TRANSPORTATION PROVIDED TO/FROM JOBSITES FROM A CENTRAL WEBER COUNTY PICK UP LOCATION.</t>
  </si>
  <si>
    <t>P-100-21179-428868</t>
  </si>
  <si>
    <t>P-100-21153-363134</t>
  </si>
  <si>
    <t>P-400-21149-355919</t>
  </si>
  <si>
    <t xml:space="preserve">11.	Davinci Restaurant </t>
  </si>
  <si>
    <t>P-100-21127-296356</t>
  </si>
  <si>
    <t>P-400-21124-287100</t>
  </si>
  <si>
    <t>P-400-21125-289268</t>
  </si>
  <si>
    <t xml:space="preserve">850 Kaliste Saloom </t>
  </si>
  <si>
    <t>P-400-21152-358542</t>
  </si>
  <si>
    <t>P-400-21130-300374</t>
  </si>
  <si>
    <t>="The Petitioner will consider for employment any person who possesses at least one (1) year of culinary experience in a fine-dining or high-volume food preparation and production environment.  Applicant must complete pre-employment drug screening.  Appli</t>
  </si>
  <si>
    <t>P-100-21124-286762</t>
  </si>
  <si>
    <t xml:space="preserve">Business Administration or Finance </t>
  </si>
  <si>
    <t>="Master’s degree in Business Administration or Finance and ten (10) years of experience. Experience must include the following: 
1. Finance or strategy experience including experience in supply chain or operations. 
2. Leading financial planning process</t>
  </si>
  <si>
    <t>P-400-21152-358555</t>
  </si>
  <si>
    <t>="The Petitioner will consider for employment any person who possesses at least six (6) months of service experience in a fine-dining or high-volume environment at a high-end restaurant, resort, or private club.   Applicant must complete pre-employment ba</t>
  </si>
  <si>
    <t>P-400-21169-412240</t>
  </si>
  <si>
    <t>OXENTENKO</t>
  </si>
  <si>
    <t>2319 HOLCOMB RD.</t>
  </si>
  <si>
    <t>RINGGOLD</t>
  </si>
  <si>
    <t>AMBER@LABORCI.COM</t>
  </si>
  <si>
    <t>Transport provided, designated locale to job site. Begin in Jackson County, FL. Continue in Counties/Areas: Bay, Calhoun, Gulf, Holmes, Jackson, Liberty, Walton, Washington and areas of Crestview-Fort Walton Beach-Destin, FL, North Florida nonmetropolitan area, Panama City, FL.</t>
  </si>
  <si>
    <t>4655 Highway 90 (Report to Work)</t>
  </si>
  <si>
    <t>P-100-21124-284821</t>
  </si>
  <si>
    <t>spark@fragomen.com</t>
  </si>
  <si>
    <t>See Box F.b.4.b</t>
  </si>
  <si>
    <t>P-400-21141-332172</t>
  </si>
  <si>
    <t>Human Resources Director/Controller</t>
  </si>
  <si>
    <t>1105 8th Street North</t>
  </si>
  <si>
    <t>michele@northwoodfoods.net</t>
  </si>
  <si>
    <t>Northwood Foods, LLC</t>
  </si>
  <si>
    <t>Helgeson</t>
  </si>
  <si>
    <t>222 N LaSalle Street</t>
  </si>
  <si>
    <t>mbode@vedderprice.com</t>
  </si>
  <si>
    <t xml:space="preserve">Vedder Price P.C. </t>
  </si>
  <si>
    <t>Production Line Operator</t>
  </si>
  <si>
    <t>Production Supervisor/Facility Superintendent</t>
  </si>
  <si>
    <t>P-100-21175-423998</t>
  </si>
  <si>
    <t>15 GLEN ST</t>
  </si>
  <si>
    <t>Computer Science, Engineering, Physics, or Mathematics</t>
  </si>
  <si>
    <t>="In the alternative, employer will also accept a Bachelor’s degree (4 year single source only) in Computer Science, Engineering, Physics, or Mathematics, plus 5 years of progressive professional experience in developing email and calendar processing, sto</t>
  </si>
  <si>
    <t>P-100-21127-294450</t>
  </si>
  <si>
    <t>P-100-21144-339428</t>
  </si>
  <si>
    <t>P-400-21139-326500</t>
  </si>
  <si>
    <t>Mailing: 2011 Highway 87 , Alabaster, AL 35007</t>
  </si>
  <si>
    <t>Asplundh Tree Expert, LLC - SC</t>
  </si>
  <si>
    <t>1142 Methodist Park Road</t>
  </si>
  <si>
    <t>P-100-21146-344717</t>
  </si>
  <si>
    <t>Computer Science, Mathematics, Economics, or a related field</t>
  </si>
  <si>
    <t>P-100-21174-421255</t>
  </si>
  <si>
    <t xml:space="preserve">Technical Lead Backline Escalations </t>
  </si>
  <si>
    <t>P-100-21133-312961</t>
  </si>
  <si>
    <t>Bruin Group, LLC</t>
  </si>
  <si>
    <t>P-400-21134-313362</t>
  </si>
  <si>
    <t>CAIN</t>
  </si>
  <si>
    <t>VICE-PRESIDENT OF WATER FRONT FISH HOUSE</t>
  </si>
  <si>
    <t>14358 SHELL BELT RD</t>
  </si>
  <si>
    <t>BAYOU LA BATRE</t>
  </si>
  <si>
    <t>WATER FRONT FISH HOUSE INC.</t>
  </si>
  <si>
    <t>14358 SHELL BELT ROAD</t>
  </si>
  <si>
    <t>CHAVEZ</t>
  </si>
  <si>
    <t>CINCOVIS@HOTMAIL.COM</t>
  </si>
  <si>
    <t>C.L.C. LABOR SERVICES</t>
  </si>
  <si>
    <t>WAREHOUSE OYSTER SHUCKER</t>
  </si>
  <si>
    <t>P-100-21139-326277</t>
  </si>
  <si>
    <t>PELOTON INTERACTIVE, INC.</t>
  </si>
  <si>
    <t>COMP SCI, COMP ENG OR RLTD FLD</t>
  </si>
  <si>
    <t>="Master’s degree (or foreign equivalent) in Computer Science, Computer Engineering or a related field, PLUS demonstrable knowledge of: Computer Networking; Network Security; Operating Systems Architecture &amp; Design; Multithreaded Programming; Database Sys</t>
  </si>
  <si>
    <t>P-100-21130-299980</t>
  </si>
  <si>
    <t>Department Chair, Department of Computer Science</t>
  </si>
  <si>
    <t xml:space="preserve">1111 Engineering Drive </t>
  </si>
  <si>
    <t>P-400-21142-336025</t>
  </si>
  <si>
    <t>MILES CITY LIVESTOCK COMMISSION, LLP</t>
  </si>
  <si>
    <t>337 INTERSTATE 94 BUSINESS LOOP</t>
  </si>
  <si>
    <t>MILES CITY</t>
  </si>
  <si>
    <t>GENERAL LIVESTOCK WORKER</t>
  </si>
  <si>
    <t>377 INTERSTATE 94 BUSINESS LOOP</t>
  </si>
  <si>
    <t>P-400-21133-311211</t>
  </si>
  <si>
    <t>P-100-21130-300667</t>
  </si>
  <si>
    <t xml:space="preserve">Position requires Bachelor's degree or foreign equivalent degree in Electrical Engineering, Information Technology or a related field plus five (5) years of experience in a related occupation.  </t>
  </si>
  <si>
    <t xml:space="preserve">Position requires 50% national travel.  
   </t>
  </si>
  <si>
    <t>P-100-21160-381526</t>
  </si>
  <si>
    <t>P-100-21147-349613</t>
  </si>
  <si>
    <t>Full Stack Developer (Digital Experience)</t>
  </si>
  <si>
    <t>="Five (5) years of progressively responsible experience in the job offered or related occupation must involve building and deploying cloud-based platforms such as Amazon Web Services, Azure, or Google Cloud Platform; building and deploying modular, scala</t>
  </si>
  <si>
    <t>Head of Digital Experience</t>
  </si>
  <si>
    <t>P-400-21137-320461</t>
  </si>
  <si>
    <t>3860 Saddle Road</t>
  </si>
  <si>
    <t>P-400-21134-315706</t>
  </si>
  <si>
    <t>43200 Highway 141</t>
  </si>
  <si>
    <t>Gateway</t>
  </si>
  <si>
    <t>beverly.fuller@gatewaycanyons.com</t>
  </si>
  <si>
    <t>Noble House Gateway, LLC</t>
  </si>
  <si>
    <t>Gateway Canyons Resort</t>
  </si>
  <si>
    <t>MAILING: PO BOX 339, Gateway, CO 81522</t>
  </si>
  <si>
    <t>Grand Junction, CO</t>
  </si>
  <si>
    <t>P-400-21153-362360</t>
  </si>
  <si>
    <t>KURZ</t>
  </si>
  <si>
    <t xml:space="preserve">38 LITTLE PLAINS ROAD </t>
  </si>
  <si>
    <t>STIX AND STONES LANDSCAPING INC</t>
  </si>
  <si>
    <t>38 LITTLE PLAINS ROAD</t>
  </si>
  <si>
    <t>P-400-21147-350619</t>
  </si>
  <si>
    <t xml:space="preserve">="Must pass pre-hire drug test and medical physical.   Must pass written and functional welding test at employer's expense.  Must be able to lift and/or move a minimum of 50 lbs.   Must be willing and able to climb and work in high places that may exceed </t>
  </si>
  <si>
    <t>P-100-21144-337912</t>
  </si>
  <si>
    <t>SCIENCE, COMPUTER APPLICATIONS, TECHNOLOGY, ENGINEERING, OR ANY RELATED FIELD.</t>
  </si>
  <si>
    <t>P-100-21175-424625</t>
  </si>
  <si>
    <t>5 Dreary Lane</t>
  </si>
  <si>
    <t>="From Boxes F.b.1.b and F.b.4.b: Minimum Requirements: Bachelor’s Degree in Electrical Engineering or related field; or foreign degree equivalent plus 5 years of experience in Testing, Inspection and Certification (TIC)
Must have: Engineering experience</t>
  </si>
  <si>
    <t>P-400-21130-299830</t>
  </si>
  <si>
    <t>="The Petitioner will consider for employment any person who possesses at least three (3) months of experience at a high-end restaurant, resort, or private club.
Applicant must complete pre-employment background check and drug screening.  
Applicant mus</t>
  </si>
  <si>
    <t>5050 Castle Hot Springs Road</t>
  </si>
  <si>
    <t>P-100-21147-348835</t>
  </si>
  <si>
    <t>P-400-21152-358449</t>
  </si>
  <si>
    <t>1300 VALLEY DRIVE</t>
  </si>
  <si>
    <t>OGDEN</t>
  </si>
  <si>
    <t>P-100-21173-419779</t>
  </si>
  <si>
    <t xml:space="preserve">Suite 500      </t>
  </si>
  <si>
    <t xml:space="preserve">ARLINGTON </t>
  </si>
  <si>
    <t>P-400-21146-344846</t>
  </si>
  <si>
    <t xml:space="preserve">Boynton Beach, FL </t>
  </si>
  <si>
    <t>P-203-21127-296164</t>
  </si>
  <si>
    <t>Greenough</t>
  </si>
  <si>
    <t>750 E TERRA COTTA AVENUE</t>
  </si>
  <si>
    <t>kgreenough@illinoisfoot.com</t>
  </si>
  <si>
    <t>Northern Illinois Foot &amp; Ankle Specialists, LLC</t>
  </si>
  <si>
    <t>Northern Illinois Foot &amp; Ankle Specialists</t>
  </si>
  <si>
    <t>Podiatric Physician &amp; Surgeon</t>
  </si>
  <si>
    <t>Doctor of Podiatric Medicine</t>
  </si>
  <si>
    <t>Completion of Doctor of Podiatric Medicine degree (4 years) and then completion of 3 year foot and ankle surgical residency</t>
  </si>
  <si>
    <t>Podiatrists</t>
  </si>
  <si>
    <t>750 E. Terra Cotta Ave, Ste C</t>
  </si>
  <si>
    <t>Great Falls</t>
  </si>
  <si>
    <t>P-400-21131-303713</t>
  </si>
  <si>
    <t>DAVILA</t>
  </si>
  <si>
    <t xml:space="preserve">RECRUITER </t>
  </si>
  <si>
    <t>1442 AMY LN</t>
  </si>
  <si>
    <t>FRANKLIN</t>
  </si>
  <si>
    <t>laura@cornettroofing.com</t>
  </si>
  <si>
    <t xml:space="preserve">Cornett Restoration LLC </t>
  </si>
  <si>
    <t>Cornett Roofing Systems</t>
  </si>
  <si>
    <t>1442 Amy Ln</t>
  </si>
  <si>
    <t>franklin</t>
  </si>
  <si>
    <t>Roof Installer</t>
  </si>
  <si>
    <t>Ohio, Kentuky, Cincinnati</t>
  </si>
  <si>
    <t>Roofers; Roofers</t>
  </si>
  <si>
    <t>Civil Engineering or Construction Management</t>
  </si>
  <si>
    <t>P-400-21144-340269</t>
  </si>
  <si>
    <t>P-400-21124-286108</t>
  </si>
  <si>
    <t xml:space="preserve">Poultry Worker </t>
  </si>
  <si>
    <t xml:space="preserve">2118 Centennial Drive </t>
  </si>
  <si>
    <t>P-400-21141-333223</t>
  </si>
  <si>
    <t>19999 WEST COUNTRY CLUB DR</t>
  </si>
  <si>
    <t>P-100-21141-334394</t>
  </si>
  <si>
    <t>Pawan@deltassi.com</t>
  </si>
  <si>
    <t xml:space="preserve">DELTA SYSTEM &amp; SOFTWARE INC. </t>
  </si>
  <si>
    <t>DELTA SYSTEM &amp; SOFTWARE INC.</t>
  </si>
  <si>
    <t>JOB MAY REQUIRE TRAVEL WITHIN USA WITH EXPENSE PAID BY
EMPLOYER</t>
  </si>
  <si>
    <t>P-400-21133-310888</t>
  </si>
  <si>
    <t>101 South Ave</t>
  </si>
  <si>
    <t>christinaann250@aol.com</t>
  </si>
  <si>
    <t>Christina Ann, Inc.</t>
  </si>
  <si>
    <t>P-400-21146-346170</t>
  </si>
  <si>
    <t>P-400-21134-315988</t>
  </si>
  <si>
    <t>Resort Grounds Worker</t>
  </si>
  <si>
    <t>P-400-21152-359219</t>
  </si>
  <si>
    <t>P-100-21134-314494</t>
  </si>
  <si>
    <t>P-100-21140-331284</t>
  </si>
  <si>
    <t>State Archivist/Assistant Vice Chancellor</t>
  </si>
  <si>
    <t>5800 Jonesboro Road</t>
  </si>
  <si>
    <t>Christopher.Davidson@USG.org</t>
  </si>
  <si>
    <t xml:space="preserve"> Board of Regents of the University System of Georgia</t>
  </si>
  <si>
    <t>270 Washington St., SW</t>
  </si>
  <si>
    <t>Suite 5188</t>
  </si>
  <si>
    <t xml:space="preserve">315 W Ponce de Leon Ave. </t>
  </si>
  <si>
    <t>Kelly@KramerImmigration.com</t>
  </si>
  <si>
    <t>Kramer Partners, LLP</t>
  </si>
  <si>
    <t>Conservator</t>
  </si>
  <si>
    <t>25-4011.00</t>
  </si>
  <si>
    <t>Archivists</t>
  </si>
  <si>
    <t xml:space="preserve">Art Conservation or closely related field </t>
  </si>
  <si>
    <t>="Experience must include at least 1 year in a special collections library or archives; at least 1 year in training conservation assistants; and at least three years in creating and presenting conservation/preservation education.   Applicants are expected</t>
  </si>
  <si>
    <t>Museum Technicians and Conservators</t>
  </si>
  <si>
    <t>State Archivist</t>
  </si>
  <si>
    <t>P-100-21175-424627</t>
  </si>
  <si>
    <t xml:space="preserve">="From Boxes F.b.1.b and F.b.4.b: Minimum Requirements: Bachelor’s Degree in Electrical Engineering or related field; or foreign degree equivalent + 5 years of experience in Testing, Inspection and Certification (TIC).
Must have:  engineering experience </t>
  </si>
  <si>
    <t>P-400-21152-358102</t>
  </si>
  <si>
    <t>733 b Highway 6 East</t>
  </si>
  <si>
    <t>P-400-21127-295508</t>
  </si>
  <si>
    <t>Ashton III</t>
  </si>
  <si>
    <t>1813 Gum Bridge Rd</t>
  </si>
  <si>
    <t>Ashton Landscaping Inc.</t>
  </si>
  <si>
    <t>P-100-21146-344405</t>
  </si>
  <si>
    <t xml:space="preserve">Travel required.  </t>
  </si>
  <si>
    <t>P-400-21154-365827</t>
  </si>
  <si>
    <t>Chasteen</t>
  </si>
  <si>
    <t>250 Westinghouse Drive</t>
  </si>
  <si>
    <t>420 Tobacco Road</t>
  </si>
  <si>
    <t>HighlandsDS2020@gmail.com</t>
  </si>
  <si>
    <t>Highlands Diversified Services</t>
  </si>
  <si>
    <t>Helpers- Production Workers</t>
  </si>
  <si>
    <t>P-400-21124-285839</t>
  </si>
  <si>
    <t>Director of People &amp; Recruting</t>
  </si>
  <si>
    <t>7115 Treaschwig Rd.</t>
  </si>
  <si>
    <t>P-100-21154-364359</t>
  </si>
  <si>
    <t>="Skills Required: Must have experience with: Designing and implementing Big data solutions using Apache Spark, Scala and Hadoop; Designing and developing real time streaming applications using Kafka streams; Coding in object-oriented programming language</t>
  </si>
  <si>
    <t>P-100-21138-322954</t>
  </si>
  <si>
    <t>P-400-21141-334096</t>
  </si>
  <si>
    <t>Soldo</t>
  </si>
  <si>
    <t>15677 Palermo Terrace</t>
  </si>
  <si>
    <t>rsoldo@dolphinpoolservices.com</t>
  </si>
  <si>
    <t>Dolphin Pool Services, LLC</t>
  </si>
  <si>
    <t xml:space="preserve">Travel to various worksites in the area of intended employment required. Employer provides transportation to and from worksites at no cost. </t>
  </si>
  <si>
    <t>7025 Newington Road</t>
  </si>
  <si>
    <t>P-400-21125-289640</t>
  </si>
  <si>
    <t>P-100-21141-333743</t>
  </si>
  <si>
    <t>Martinez (BM/cl//1145.5085.4)</t>
  </si>
  <si>
    <t>="Employer will accept Master's degree in Computer Science, Engineering, or related technical field and 2 years of work experience in job offered, or in a computer-related occupation. Position requires: 
1.	Scripting with Powershell, Python, and SQL; 
2.</t>
  </si>
  <si>
    <t>P-400-21151-357015</t>
  </si>
  <si>
    <t>2825 Sharlot Blvd</t>
  </si>
  <si>
    <t>truckwash151@gmail.com</t>
  </si>
  <si>
    <t>Cooper's Truck N RV Wash, LLC</t>
  </si>
  <si>
    <t>Truck washer</t>
  </si>
  <si>
    <t>P-400-21130-300069</t>
  </si>
  <si>
    <t>2454 Glenda Lane</t>
  </si>
  <si>
    <t>cris@goldlandscape.com</t>
  </si>
  <si>
    <t>Gold Personnel LLC</t>
  </si>
  <si>
    <t>Gold Landscape LLC</t>
  </si>
  <si>
    <t>P-400-21140-329956</t>
  </si>
  <si>
    <t>Blalock</t>
  </si>
  <si>
    <t>2861 Parkway</t>
  </si>
  <si>
    <t>christy@threebearsgeneralstore.com</t>
  </si>
  <si>
    <t>Three Bears Inc.</t>
  </si>
  <si>
    <t>Three Bears General Store</t>
  </si>
  <si>
    <t>P-100-21132-306970</t>
  </si>
  <si>
    <t>1120 S. Utica Ave.</t>
  </si>
  <si>
    <t>P-100-21124-283614</t>
  </si>
  <si>
    <t>250 Catalonia Ave</t>
  </si>
  <si>
    <t>STE 405</t>
  </si>
  <si>
    <t>P-400-21130-298479</t>
  </si>
  <si>
    <t>4340 E PARADISE LANE</t>
  </si>
  <si>
    <t>Delivery Truck Driver</t>
  </si>
  <si>
    <t>Tuscon</t>
  </si>
  <si>
    <t>P-100-21134-316107</t>
  </si>
  <si>
    <t>Physical Therapy or related PT field.</t>
  </si>
  <si>
    <t>="Position requires a Bachelor's degree, or foreign equivalent, in Physical Therapy, Physiotherapy, Kinesiology, Exercise Science, or related field and must possess a Physical Therapist State License or be eligible for State Licensure as a Physical Therap</t>
  </si>
  <si>
    <t>P-100-21173-419137</t>
  </si>
  <si>
    <t>Director, Wireless Engineering</t>
  </si>
  <si>
    <t>P-400-21139-325321</t>
  </si>
  <si>
    <t>EMPLOYER WILL PROVIDE TRANSPORTATION TO AND FROM THE TWO PLANT LOCATIONS AS NEEDED. THERE IS NO ITINERARY INVOLVED.</t>
  </si>
  <si>
    <t>Food Cooking Machine Operators and Tenders; Meat, Poultry, and Fish Cutters and Trimmers</t>
  </si>
  <si>
    <t>P-100-21126-293686</t>
  </si>
  <si>
    <t xml:space="preserve">LAW OFFICE OF DAVID W. WILLIAMS, INC. </t>
  </si>
  <si>
    <t>P-100-21132-307313</t>
  </si>
  <si>
    <t>dba Sutter Health System Office</t>
  </si>
  <si>
    <t>INFORMATION TECHNOLOGY, ENGINEERING OR A CLOSELY-RELATED FIELD OF
CONCENTRATION.</t>
  </si>
  <si>
    <t>10391 Peter A. McCuen Blvd</t>
  </si>
  <si>
    <t xml:space="preserve">Mather </t>
  </si>
  <si>
    <t>P-400-21138-323700</t>
  </si>
  <si>
    <t>83670-5020</t>
  </si>
  <si>
    <t>7275  Sweet Ola Hwy.</t>
  </si>
  <si>
    <t>P-400-21131-303876</t>
  </si>
  <si>
    <t>="The Petitioner will consider for employment any person who possesses at least three (3) months of experience at a high-end hotel, resort, or private club.
Applicant must complete pre-employment background check and drug screening.  
Applicant must pro</t>
  </si>
  <si>
    <t>P-100-21127-297828</t>
  </si>
  <si>
    <t>Textile CA Designer</t>
  </si>
  <si>
    <t>P-100-21155-371525</t>
  </si>
  <si>
    <t xml:space="preserve">675 Creekside Way  </t>
  </si>
  <si>
    <t>P-400-21131-303888</t>
  </si>
  <si>
    <t>P-400-21137-320325</t>
  </si>
  <si>
    <t>1248 HERMITAGE ROAD</t>
  </si>
  <si>
    <t>MANAKIN-SABOT</t>
  </si>
  <si>
    <t>P-100-21139-324963</t>
  </si>
  <si>
    <t>TECHNOLOGY, COMPUTER SCIENCE OR ANY ENGINEERING OR RELATED.</t>
  </si>
  <si>
    <t>="MASTER OR FOREIGN EQUIVALENT IN TECHNOLOGY, COMPUTER SCIENCE, ANY ENGINEERING OR RELATED FIELD. IN THE ALTERNATIVE, WILL ACCEPT BACHELOR OR FOREIGN EQUIVALENT IN TECHNOLOGY, COMPUTER SCIENCE,  ANY ENGINEERING OR RELATED FIELD PLUS FIVE YEARS OF PROGRESS</t>
  </si>
  <si>
    <t>P-100-21153-363321</t>
  </si>
  <si>
    <t>P-100-21137-319476</t>
  </si>
  <si>
    <t>usafarmlabor@gmail.com</t>
  </si>
  <si>
    <t>P-100-21127-297190</t>
  </si>
  <si>
    <t>slemier@medilogeoffarmington.com</t>
  </si>
  <si>
    <t xml:space="preserve">Farmington OPCO, LLC </t>
  </si>
  <si>
    <t>Soonhyun</t>
  </si>
  <si>
    <t>P-400-21152-358669</t>
  </si>
  <si>
    <t xml:space="preserve">Green  </t>
  </si>
  <si>
    <t>Vaugn</t>
  </si>
  <si>
    <t xml:space="preserve">6314 West Broadway </t>
  </si>
  <si>
    <t>TRANSPORTATION PROVIDED TO/FROM  Hancock COUNTY PICK UP LOCATION.</t>
  </si>
  <si>
    <t>MCCORDSVILLE</t>
  </si>
  <si>
    <t>P-100-21180-432524</t>
  </si>
  <si>
    <t>P-400-21152-358135</t>
  </si>
  <si>
    <t>P-100-21127-296338</t>
  </si>
  <si>
    <t>35-9099.00</t>
  </si>
  <si>
    <t>P-100-21179-429836</t>
  </si>
  <si>
    <t>=".NET core, Entity Framework, JavaScript, Angular 7, RESTful API, Microservices Architecture, Specflow, Selenium, Kubernetes dockers – containers, Entity framework, Agile Scrum Methodology, Azure Application Insights or SPLUNK and CI/CD pipeline using Az</t>
  </si>
  <si>
    <t>P-400-21144-339153</t>
  </si>
  <si>
    <t>Harvison</t>
  </si>
  <si>
    <t>1686 Overview Dr</t>
  </si>
  <si>
    <t>matt@casualcushion.com</t>
  </si>
  <si>
    <t>Casual Cushion Corporation</t>
  </si>
  <si>
    <t>Sewer</t>
  </si>
  <si>
    <t>P-400-21125-289574</t>
  </si>
  <si>
    <t>15044 N Scottsdale Road</t>
  </si>
  <si>
    <t>Troon Golf, LLC</t>
  </si>
  <si>
    <t>1000 Dean Road</t>
  </si>
  <si>
    <t>P-100-21138-321943</t>
  </si>
  <si>
    <t>P-100-21144-339531</t>
  </si>
  <si>
    <t>SUITE # 1100 &amp; Various unanticipated locations throughout the U.S.</t>
  </si>
  <si>
    <t>P-400-21145-343035</t>
  </si>
  <si>
    <t>Buster</t>
  </si>
  <si>
    <t>2495 CR37E</t>
  </si>
  <si>
    <t>Milagro Stone Company, LLC</t>
  </si>
  <si>
    <t>Machine Operators</t>
  </si>
  <si>
    <t>600 Staiger Dr</t>
  </si>
  <si>
    <t>P-100-21126-294253</t>
  </si>
  <si>
    <t>1040 INDIAN TRAIL LILBURN RD NW, SUITE C-2</t>
  </si>
  <si>
    <t>1040 INDIAN TRAIL LILBURN ED NW SUITE C-2</t>
  </si>
  <si>
    <t xml:space="preserve">Commercial Property &amp; Casualty Insurance Agents </t>
  </si>
  <si>
    <t>1040 INDIAN TRAIL LILBURN RD NW SUITE C-2</t>
  </si>
  <si>
    <t>P-100-21175-423731</t>
  </si>
  <si>
    <t xml:space="preserve">Yi </t>
  </si>
  <si>
    <t>Aucta Pharmaceuticals. Inc.</t>
  </si>
  <si>
    <t>P-400-21138-323617</t>
  </si>
  <si>
    <t>Valladares</t>
  </si>
  <si>
    <t>4708 Warehouse Ln.</t>
  </si>
  <si>
    <t>firstransporters777@gmail.com</t>
  </si>
  <si>
    <t>First Transporters LLC</t>
  </si>
  <si>
    <t>999 Ponce de Leon Blvd.</t>
  </si>
  <si>
    <t>Suite 1040</t>
  </si>
  <si>
    <t>jnegron@esotopa.com</t>
  </si>
  <si>
    <t>Eduardo Soto, P.A.</t>
  </si>
  <si>
    <t>Travel through the United States' 48 contiguous states on a weekly basis.</t>
  </si>
  <si>
    <t>P-100-21124-283688</t>
  </si>
  <si>
    <t>P-100-21141-334338</t>
  </si>
  <si>
    <t>Industrial Engeneering</t>
  </si>
  <si>
    <t>P-203-21162-390104</t>
  </si>
  <si>
    <t>SANTANDER</t>
  </si>
  <si>
    <t>Financial Institution</t>
  </si>
  <si>
    <t>Head of Commercial Area</t>
  </si>
  <si>
    <t>50% travel to Latin American countries</t>
  </si>
  <si>
    <t>P-400-21137-319118</t>
  </si>
  <si>
    <t>Gomersal</t>
  </si>
  <si>
    <t>6161 Willow Lake Drive</t>
  </si>
  <si>
    <t>gombec@gwis.com</t>
  </si>
  <si>
    <t>John A. Gomersal</t>
  </si>
  <si>
    <t>J.A.G. Lawn Maintenance &amp; Landscaping</t>
  </si>
  <si>
    <t>213 W Barlow Rd</t>
  </si>
  <si>
    <t>P-400-21130-299742</t>
  </si>
  <si>
    <t>P-100-21168-406752</t>
  </si>
  <si>
    <t>P-400-21146-348065</t>
  </si>
  <si>
    <t>="One year of related culinary experience in a full-service restaurant required. All applicants (U.S. and foreign workers) must meet hiring standards of Biltmore: must be functionally literate, and have a criminal background check clear of any misdemeanor</t>
  </si>
  <si>
    <t>P-400-21125-289026</t>
  </si>
  <si>
    <t>P-400-21131-303488</t>
  </si>
  <si>
    <t>P-100-21148-355424</t>
  </si>
  <si>
    <t xml:space="preserve">Bachelor's or foreign equivalent in Computer Science, Engineering, Mathematics, Information Systems, Physics, or a related field; </t>
  </si>
  <si>
    <t>P-400-21154-365737</t>
  </si>
  <si>
    <t>83901 County Road 21</t>
  </si>
  <si>
    <t>P-400-21148-353264</t>
  </si>
  <si>
    <t>50 Ferry Avenue</t>
  </si>
  <si>
    <t>Collingswood</t>
  </si>
  <si>
    <t>dfeliciano@catellibrothers.com</t>
  </si>
  <si>
    <t>Catelli Brothers Inc.</t>
  </si>
  <si>
    <t>PO Box 877</t>
  </si>
  <si>
    <t>Suite 311</t>
  </si>
  <si>
    <t>FordMurray Law</t>
  </si>
  <si>
    <t>General Labor</t>
  </si>
  <si>
    <t xml:space="preserve">50 Ferry Avenue </t>
  </si>
  <si>
    <t>P-400-21130-299685</t>
  </si>
  <si>
    <t>P-400-21127-296160</t>
  </si>
  <si>
    <t>7903 County Rd. 1500, Suite 52</t>
  </si>
  <si>
    <t>Bluebonnet Outdoor, LLC</t>
  </si>
  <si>
    <t>Lubbock, TX</t>
  </si>
  <si>
    <t>P-400-21127-294710</t>
  </si>
  <si>
    <t>HEALEY</t>
  </si>
  <si>
    <t>573 Eayrestown Road</t>
  </si>
  <si>
    <t>LUMBERTON</t>
  </si>
  <si>
    <t>alice@healeyphilanthropic.org</t>
  </si>
  <si>
    <t>GLENEAYRE FARMS, INC.</t>
  </si>
  <si>
    <t>FRIESTAD</t>
  </si>
  <si>
    <t>Ste 400-167</t>
  </si>
  <si>
    <t>SFRIESTAD@FRIESTAD.COM</t>
  </si>
  <si>
    <t>LAW OFFICE OF SHAWN FRIESTAD</t>
  </si>
  <si>
    <t>SHOW HORSE STABLE ATTENDANT</t>
  </si>
  <si>
    <t>P-400-21152-359924</t>
  </si>
  <si>
    <t>monica@laborci.com</t>
  </si>
  <si>
    <t>1180 Purvis to Baxterville Rd (Report to Work)</t>
  </si>
  <si>
    <t>P-400-21147-350656</t>
  </si>
  <si>
    <t>138 Chestnut Street</t>
  </si>
  <si>
    <t>Mailing: P.O. Box 6 , Roanoke, AL 36274</t>
  </si>
  <si>
    <t>office@forestreenetworkservices.com</t>
  </si>
  <si>
    <t>Forestree Network Services, LLC</t>
  </si>
  <si>
    <t>="Requires physical stamina. Extensive walking over rough terrain. Work is outdoors in extreme temperatures and adverse weather. Must lift and carry 50 lbs. Work schedule and locations dependent on weather conditions. Production standard of 2000 trees cor</t>
  </si>
  <si>
    <t>P-400-21132-308070</t>
  </si>
  <si>
    <t>Viox</t>
  </si>
  <si>
    <t>3324 Port Union Rd</t>
  </si>
  <si>
    <t>greenbriar.rob@gmail.com</t>
  </si>
  <si>
    <t>Qualified Property Services Inc.</t>
  </si>
  <si>
    <t>Greenbriar Landscaping</t>
  </si>
  <si>
    <t>P-100-21140-330607</t>
  </si>
  <si>
    <t>P-100-21168-406829</t>
  </si>
  <si>
    <t>P-400-21148-353920</t>
  </si>
  <si>
    <t>Henson</t>
  </si>
  <si>
    <t>395 Ledbetter Rd</t>
  </si>
  <si>
    <t>doug@uniquestone.com</t>
  </si>
  <si>
    <t>Henson Family Investments LLC</t>
  </si>
  <si>
    <t>Unique Stone</t>
  </si>
  <si>
    <t>395 Ledbetter Rd.</t>
  </si>
  <si>
    <t>P-400-21140-330025</t>
  </si>
  <si>
    <t>3300 Port Union Rd</t>
  </si>
  <si>
    <t>mbailey@tr-gear.com</t>
  </si>
  <si>
    <t>TR Gear Landscaping, LLC</t>
  </si>
  <si>
    <t>P-100-21148-353497</t>
  </si>
  <si>
    <t>Escario/cl (dayana, v)</t>
  </si>
  <si>
    <t>P-400-21140-331325</t>
  </si>
  <si>
    <t>Laundry Production Operator</t>
  </si>
  <si>
    <t>1.	3000 Logistics Center Drive</t>
  </si>
  <si>
    <t>P-400-21127-296213</t>
  </si>
  <si>
    <t>Fliginger</t>
  </si>
  <si>
    <t>1505 14th St</t>
  </si>
  <si>
    <t>Mailing: P.O. Box 2926 , Great Falls, MT 59403</t>
  </si>
  <si>
    <t>Dr. Lawn Landscape Services, Inc.</t>
  </si>
  <si>
    <t>dba Doctor Lawn Landscape Management</t>
  </si>
  <si>
    <t>1505 14th Street SW</t>
  </si>
  <si>
    <t>P-400-21141-332939</t>
  </si>
  <si>
    <t>P-400-21127-295530</t>
  </si>
  <si>
    <t>Sain</t>
  </si>
  <si>
    <t>Director Golf/Grounds Maint.</t>
  </si>
  <si>
    <t>6031 Saint Andrews Lane</t>
  </si>
  <si>
    <t>The Country Club of Virginia Incorporated</t>
  </si>
  <si>
    <t>P-400-21131-304787</t>
  </si>
  <si>
    <t>5035 Beach Rd</t>
  </si>
  <si>
    <t>5starwooser@gmail.com</t>
  </si>
  <si>
    <t>GW Group</t>
  </si>
  <si>
    <t>Transport provided, designated locale to job site. Begin in Medina County, OH. Continue in Counties/Areas: Delaware, Medina, Summit, Wayne and areas of Akron, OH, Cleveland-Elyria, OH, Columbus, OH, North Northeastern Ohio non-metropolitan area (non-contiguous).</t>
  </si>
  <si>
    <t>5035 Beach Road  Suite B (Report to Work)</t>
  </si>
  <si>
    <t>P-100-21126-294270</t>
  </si>
  <si>
    <t>Position requires 20% domestic/international travel, fully reimbursed by employer.</t>
  </si>
  <si>
    <t>P-400-21150-356153</t>
  </si>
  <si>
    <t>P-400-21133-309928</t>
  </si>
  <si>
    <t>P-400-21150-356148</t>
  </si>
  <si>
    <t>P-100-21139-325963</t>
  </si>
  <si>
    <t>P-400-21127-296425</t>
  </si>
  <si>
    <t>Stell</t>
  </si>
  <si>
    <t>48W811 Melms Road</t>
  </si>
  <si>
    <t>Hampshire</t>
  </si>
  <si>
    <t>EverGreen Landscape Associates, LLC</t>
  </si>
  <si>
    <t>48W811 Melms Rd,</t>
  </si>
  <si>
    <t>P-400-21125-289960</t>
  </si>
  <si>
    <t>LANDSCAPING LABORERS</t>
  </si>
  <si>
    <t>P-400-21134-316106</t>
  </si>
  <si>
    <t>Work site(s): Transport provided, designated locale to job site at no cost to worker; begin: Union,  Newton County, MS continue into multiple counties in the following States:  MS-GA-LA-NC-OK-SC-TN-TX-VA-AL-AR-FL</t>
  </si>
  <si>
    <t>P-400-21150-356197</t>
  </si>
  <si>
    <t>P-400-21150-356206</t>
  </si>
  <si>
    <t>777 CASINO DR</t>
  </si>
  <si>
    <t>CHEROKEE</t>
  </si>
  <si>
    <t>P-100-21138-323316</t>
  </si>
  <si>
    <t>P-100-21152-359579</t>
  </si>
  <si>
    <t>Butani</t>
  </si>
  <si>
    <t xml:space="preserve">Arit </t>
  </si>
  <si>
    <t>Attorney ( (084156-00092)</t>
  </si>
  <si>
    <t xml:space="preserve">Computer Engineering, Computer Science,  Information Systems or related field 
</t>
  </si>
  <si>
    <t>P-400-21180-431199</t>
  </si>
  <si>
    <t>Best Western and Rio Grande Inn</t>
  </si>
  <si>
    <t>Durango</t>
  </si>
  <si>
    <t>P-400-21146-347401</t>
  </si>
  <si>
    <t>Iron Installer</t>
  </si>
  <si>
    <t>PACKERS AND PACKAGERS, HAND</t>
  </si>
  <si>
    <t>P-100-21181-437082</t>
  </si>
  <si>
    <t>Staff Accountant &amp; Tax Consultant</t>
  </si>
  <si>
    <t>P-100-21140-331504</t>
  </si>
  <si>
    <t>ARISTIZABAL</t>
  </si>
  <si>
    <t xml:space="preserve">SANDRA P. ARISTIZABAL </t>
  </si>
  <si>
    <t xml:space="preserve">LAW OFFICES OF DAVID WILLIAMS </t>
  </si>
  <si>
    <t>P-100-21155-370021</t>
  </si>
  <si>
    <t>P-100-21132-307653</t>
  </si>
  <si>
    <t xml:space="preserve">Bachelor’s degree or foreign equivalent in Comp Sci, Electrical/Electronics/Data Engg, Math, Physics, Economics, or rel field 1 year of experience as Data Analyst, Data Science Intern or rel. </t>
  </si>
  <si>
    <t>P-400-21132-308617</t>
  </si>
  <si>
    <t>Tolson</t>
  </si>
  <si>
    <t>1350 S. Highway 89</t>
  </si>
  <si>
    <t>Mailing: PO BOX 7671 , Jackson, WY 83002</t>
  </si>
  <si>
    <t>Valley Landscape Service Inc.</t>
  </si>
  <si>
    <t>="Must lift/carry 50 lbs., when necessary.  Job requires extensive walking, frequent standing, stooping, squatting, and kneeling. Saturday work required, when necessary.  Post-hire random, post-accident and upon suspicion of use drug testing required of f</t>
  </si>
  <si>
    <t>P-100-21123-283357</t>
  </si>
  <si>
    <t>Dany (mbrdna/goek.a/jl)</t>
  </si>
  <si>
    <t>Supervising Attorney</t>
  </si>
  <si>
    <t xml:space="preserve">Automotive Engineering, Electrical Engineer, Mechanical Engineering, or related field (or foreign equivalent), plus 7 (seven) years of experience in the job offered or related occupation. </t>
  </si>
  <si>
    <t>P-100-21124-284833</t>
  </si>
  <si>
    <t>COMP SC,ENG(ANY),TECH, INFORM.SYS</t>
  </si>
  <si>
    <t xml:space="preserve">1699 E.Woodfield Road </t>
  </si>
  <si>
    <t>P-100-21154-364915</t>
  </si>
  <si>
    <t>Human Resources Employee Advocate</t>
  </si>
  <si>
    <t>Gresham Smith</t>
  </si>
  <si>
    <t>Architecture Project Coordinator</t>
  </si>
  <si>
    <t>Architecture or related field of study</t>
  </si>
  <si>
    <t>="MINIMUM Education Requirement and Experience Requirement: Master’s degree in Architecture or related field of study AND Two (2) Years of experience in the job offered or related occupation. 
Applicants must have demonstrated experience with: 
•	Intern</t>
  </si>
  <si>
    <t xml:space="preserve">Architecture or related field of study </t>
  </si>
  <si>
    <t>="ALTERNATE Education and Experience Requirement: Bachelor’s degree in Architecture or related field of study AND Three (3) Years of experience in the job offered or related occupation. 
Applicants must have demonstrated experience with: 
•	Internationa</t>
  </si>
  <si>
    <t>P-100-21165-394055</t>
  </si>
  <si>
    <t>Any Science or Technical field</t>
  </si>
  <si>
    <t>="Education &amp; Experience:
Bachelor’s degree in any Science or Technical field, and five (5) years of progressive post-bachelor’s experience in the position offered or related role.
Special Skills:
Full term of required experience must include:
Implementi</t>
  </si>
  <si>
    <t>P-400-21145-340692</t>
  </si>
  <si>
    <t>212 BAYOU STREET</t>
  </si>
  <si>
    <t>J.M.R. TRANSPORT COMPANY</t>
  </si>
  <si>
    <t>RODRIGUEZ BOATS</t>
  </si>
  <si>
    <t>BOAT CAPTAIN</t>
  </si>
  <si>
    <t>BOATS WILL NAVIGATE ON THE BAYS IN SEARCH OF OYSTERS.</t>
  </si>
  <si>
    <t>220 MONTIER</t>
  </si>
  <si>
    <t>P-400-21131-305346</t>
  </si>
  <si>
    <t>Transport provided, designated locale to job site. Begin in Chesterfield County, SC. Continue in States: GA, MD, NC, PA, SC, VA.</t>
  </si>
  <si>
    <t>P-100-21168-406843</t>
  </si>
  <si>
    <t>P-100-21181-436384</t>
  </si>
  <si>
    <t>swee@shankarninan.com</t>
  </si>
  <si>
    <t>Regulatory and Compliance Analyst</t>
  </si>
  <si>
    <t xml:space="preserve">Chemistry or Pharmacy or Pharmaceutical Science </t>
  </si>
  <si>
    <t>="Masters degree or Foreign Equivalent in Chemistry or Pharmacy or Pharmaceutical Science and and six (6) months experience performing job duties listed in Section F-Job Offer Information, Subsection a-Job Description #2 or Bachelors Degree or Foreign Equ</t>
  </si>
  <si>
    <t>="DEGREE/EXPERIENCE REQUIREMENTS:
Masters degree or Foreign Equivalent in Chemistry or Pharmacy or Pharmaceutical Science and and six (6) months experience performing job duties listed in Section F-Job Offer Information, Subsection a-Job Description #2 or</t>
  </si>
  <si>
    <t>P-400-21147-349734</t>
  </si>
  <si>
    <t>Bar Porter</t>
  </si>
  <si>
    <t>P-100-21166-399425</t>
  </si>
  <si>
    <t>Computer Science, Business, or related field, or foreign degree equivalent.</t>
  </si>
  <si>
    <t>P-400-21133-311111</t>
  </si>
  <si>
    <t>Kiefhaber</t>
  </si>
  <si>
    <t>Wheat</t>
  </si>
  <si>
    <t>8620 Park Street</t>
  </si>
  <si>
    <t>Wheat's Lawn &amp; Custom Landscape, Inc.</t>
  </si>
  <si>
    <t>Landscape &amp; Grounds Worker</t>
  </si>
  <si>
    <t>="Must lift/carry 50 lbs., when necessary.  Saturday work required, when necessary.  Post-hire upon suspicion of use and post-accident drug testing required of foreign and domestic workers. Must have daily transportation to/from designated central locatio</t>
  </si>
  <si>
    <t>8620 Park St.</t>
  </si>
  <si>
    <t>P-100-21127-296470</t>
  </si>
  <si>
    <t xml:space="preserve">Associate’s degree in Science, Technology, Computer Applications, or Engineering (any) </t>
  </si>
  <si>
    <t>P-400-21137-317953</t>
  </si>
  <si>
    <t>P-400-21151-356882</t>
  </si>
  <si>
    <t>P-100-21155-370788</t>
  </si>
  <si>
    <t>="5 years of experience in the job offered or similar biochemical laboratory experience in the industry setting.
At least three (3) years of experience with each of the following:
o	Broad range of biochemical techniques including SDS-PAGE, western blotti</t>
  </si>
  <si>
    <t>="3 years of experience in the job offered or similar biochemical laboratory experience in the industry setting.
At least three (3) years of experience with each of the following:
o	Broad range of biochemical techniques including SDS-PAGE, western blotti</t>
  </si>
  <si>
    <t>P-100-21173-418333</t>
  </si>
  <si>
    <t>Computer Science, Information Systems, or related field of study.</t>
  </si>
  <si>
    <t>Bachelor's degree or equivalent* Employer will accept one year directly related work experience in lieu of one year of education.</t>
  </si>
  <si>
    <t>Computer Science, Information Systems or related field of study.</t>
  </si>
  <si>
    <t>P-400-21141-334719</t>
  </si>
  <si>
    <t>5096 HWY 64 E</t>
  </si>
  <si>
    <t>BTHOMAS@HPMAIL.COM</t>
  </si>
  <si>
    <t>HAWKINS &amp; PRICE, LLC</t>
  </si>
  <si>
    <t xml:space="preserve">6013 HWY 64 E </t>
  </si>
  <si>
    <t>ASTORIA</t>
  </si>
  <si>
    <t>P-400-21127-296879</t>
  </si>
  <si>
    <t>Dannevik</t>
  </si>
  <si>
    <t>Nic</t>
  </si>
  <si>
    <t>1213 East 24th Street</t>
  </si>
  <si>
    <t>WRD, LLC</t>
  </si>
  <si>
    <t>dba Reed Dillon &amp; Associates</t>
  </si>
  <si>
    <t xml:space="preserve">="Must lift/carry 50 lbs. when necessary. Saturday and Sunday work required, when necessary.  Employer-paid drug testing required of foreign and domestic workers prior to commencing work and post-hire at random, upon suspicion of use, and post-accident.  </t>
  </si>
  <si>
    <t>1213 East 24th street,</t>
  </si>
  <si>
    <t>P-100-21123-281550</t>
  </si>
  <si>
    <t xml:space="preserve">843 Quince Orchard Blvd. </t>
  </si>
  <si>
    <t>P-400-21133-309934</t>
  </si>
  <si>
    <t>P-100-21133-309597</t>
  </si>
  <si>
    <t>P-400-21129-298364</t>
  </si>
  <si>
    <t xml:space="preserve"> DBA Rick Williams Masonry</t>
  </si>
  <si>
    <t>6 Circle Dr</t>
  </si>
  <si>
    <t>Mason Tender</t>
  </si>
  <si>
    <t xml:space="preserve">403 N 4th street </t>
  </si>
  <si>
    <t>P-100-21161-386611</t>
  </si>
  <si>
    <t>P-100-21140-328590</t>
  </si>
  <si>
    <t>="Must have experience in the following areas:  	Experience with Linux/Unix administration;  Experience with Shell Scripting; 	Experience JVM troubleshooting like Thread dump, Heap dump and GC analysis; Experience with one of the following data pipelines:</t>
  </si>
  <si>
    <t>="Must have experience in the following areas: Experience with Linux/Unix administration; Experience with Shell Scripting; Experience JVM troubleshooting like Thread dump, Heap dump and GC analysis; Experience with one of the following data pipelines: Had</t>
  </si>
  <si>
    <t>P-400-21134-315690</t>
  </si>
  <si>
    <t>P-400-21137-317221</t>
  </si>
  <si>
    <t>ORIA</t>
  </si>
  <si>
    <t>92668 FERN HILL RD</t>
  </si>
  <si>
    <t>SANTIAGO@FERNHILLHOLLYFARMS.COM</t>
  </si>
  <si>
    <t>SWISS PACIFIC, LLC</t>
  </si>
  <si>
    <t>FERNHILL HOLLY FARMS</t>
  </si>
  <si>
    <t>="WORKERS NEED TO BE ABLE TO STAND FOR THEIR 8 HOUR SHIFT, HAVE DEXTERITY TO USE THEIR HANDS QUICKLY, FOLLOW INSTRUCTIONS GIVEN BY THE FLORAL DESIGNER WHEN PROVIDING THE MATERIALS. WORKERS NEED TO BE ABLE TO HAVE AN EYE FOR QUALITY &amp; APPEARANCE SO THE PRO</t>
  </si>
  <si>
    <t>Coast Oregon nonmetropolitan area</t>
  </si>
  <si>
    <t>P-100-21134-313355</t>
  </si>
  <si>
    <t>Blossom Bakery LLC</t>
  </si>
  <si>
    <t>15-1134.00; 43-5071.00; 53-1021.00; 53-7064.00</t>
  </si>
  <si>
    <t>First-Line Supervisors of Helpers, Laborers, and Material Movers, Hand; Packers and Packagers, Hand; Shipping, Receiving, and Traffic Clerks; Web Developers</t>
  </si>
  <si>
    <t>Supply Chain Management, Logistics, Industrial Engineering, or Systems Engineering</t>
  </si>
  <si>
    <t>P-400-21125-288094</t>
  </si>
  <si>
    <t>P-100-21169-409428</t>
  </si>
  <si>
    <t>P-100-21130-299884</t>
  </si>
  <si>
    <t>Pham (test)</t>
  </si>
  <si>
    <t>909 Montgomery St Ste 200</t>
  </si>
  <si>
    <t>bpham@jackson-hertogs.com</t>
  </si>
  <si>
    <t>P-100-21175-423138</t>
  </si>
  <si>
    <t>="Bachelor’s Degree in Financial Engineering or a related quantitative field and 7 years of progressive, post-baccalaureate experience with quantitative modelling and data analysis.
Must also possess 3 years of experience in each of the following:
•	Tra</t>
  </si>
  <si>
    <t>P-400-21124-285820</t>
  </si>
  <si>
    <t>DeLoach</t>
  </si>
  <si>
    <t>1329 Heidt Ave.</t>
  </si>
  <si>
    <t>Tidewater Landscape Management, Inc.</t>
  </si>
  <si>
    <t>P-100-21131-303265</t>
  </si>
  <si>
    <t xml:space="preserve">Sr. Software Engineer, Android </t>
  </si>
  <si>
    <t>P-100-21166-399606</t>
  </si>
  <si>
    <t xml:space="preserve">Senior Consultant - Data Engineering </t>
  </si>
  <si>
    <t xml:space="preserve">Engineering, Statistics or related field, or foreign degree equivalent. </t>
  </si>
  <si>
    <t xml:space="preserve">Domestic and international travel typically required. Destination and frequency impossible to predict. </t>
  </si>
  <si>
    <t>P-400-21146-344103</t>
  </si>
  <si>
    <t>925 ELLENDALE AVE</t>
  </si>
  <si>
    <t>RHALLCNH@AOL.COM</t>
  </si>
  <si>
    <t>C &amp; H REFORESTERS INC.</t>
  </si>
  <si>
    <t xml:space="preserve">Transport provided from designated locale to job site(s) at no cost to worker multiple cities, counties in the following States: OR-WA-MT-ID </t>
  </si>
  <si>
    <t>925 E ELLENDALE AVE</t>
  </si>
  <si>
    <t>P-400-21134-314352</t>
  </si>
  <si>
    <t>212 U.S. Highway 1</t>
  </si>
  <si>
    <t>Suite 18</t>
  </si>
  <si>
    <t>kmurray@eq-inc.com</t>
  </si>
  <si>
    <t>Environmental Quality, Inc.</t>
  </si>
  <si>
    <t>FDACS Licensed Professional Herbicide Applicator</t>
  </si>
  <si>
    <t>212 US Highway 1</t>
  </si>
  <si>
    <t>P-400-21130-300357</t>
  </si>
  <si>
    <t>="The Petitioner will consider for employment any person who possesses at least three (3) months of housekeeping experience at a high-end resort, hotel, or private club.  Applicant must complete pre-employment drug screening.  Applicant may be required to</t>
  </si>
  <si>
    <t xml:space="preserve">Housekeeping Supervisor </t>
  </si>
  <si>
    <t>P-100-21155-370466</t>
  </si>
  <si>
    <t>P-100-21165-395792</t>
  </si>
  <si>
    <t>5014 Express Drive South</t>
  </si>
  <si>
    <t>Pie Castle, Inc.</t>
  </si>
  <si>
    <t>P-100-21155-369680</t>
  </si>
  <si>
    <t>Jovel</t>
  </si>
  <si>
    <t>ajovel@aginstallers.com</t>
  </si>
  <si>
    <t>AG Installers, Inc.</t>
  </si>
  <si>
    <t>="Must possess knowledge of the practical application of engineering science and technology. This includes applying principles, techniques, procedures and equipment to the design and production of various goods and services.
Demonstrable ability of manag</t>
  </si>
  <si>
    <t>Position requires domestic travel for construction assignments to several unanticipated locations throughout the United States normal to the position.</t>
  </si>
  <si>
    <t>P-400-21123-282499</t>
  </si>
  <si>
    <t>Cooking Room Worker</t>
  </si>
  <si>
    <t>Cooking Room Supervisor</t>
  </si>
  <si>
    <t>P-100-21158-374852</t>
  </si>
  <si>
    <t>Computer Science, Computer Engineering, or a closely related degree.</t>
  </si>
  <si>
    <t>Computer Science, Computer Engineering, or a closely related degree</t>
  </si>
  <si>
    <t>P-400-21131-303448</t>
  </si>
  <si>
    <t>MB FLORIDA LTD</t>
  </si>
  <si>
    <t>4835 Collins Ave</t>
  </si>
  <si>
    <t>P-400-21153-361286</t>
  </si>
  <si>
    <t xml:space="preserve">Training and Recruitment Manager, Human Resources	</t>
  </si>
  <si>
    <t>P-100-21165-395261</t>
  </si>
  <si>
    <t>P-400-21125-289975</t>
  </si>
  <si>
    <t>Sersen</t>
  </si>
  <si>
    <t>16435 York Road</t>
  </si>
  <si>
    <t>Monkton</t>
  </si>
  <si>
    <t>Kingsdene Nurseries, Inc.</t>
  </si>
  <si>
    <t>Kingsdene Nursery and Garden Center</t>
  </si>
  <si>
    <t>WAGE_SOURCE_REQUESTED</t>
  </si>
  <si>
    <t>P-400-21153-361284</t>
  </si>
  <si>
    <t>Cook III</t>
  </si>
  <si>
    <t xml:space="preserve">="The Petitioner will consider for employment any person who possesses at least one (1) year of culinary experience in a related field in a fine-dining or high-volume environment at a high-end restaurant, resort, or private club.  Applicant must complete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</si>
</sst>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
    <numFmt numFmtId="165" formatCode="[&lt;=9999999]###\-####;\(###\)\ ###\-####"/>
    <numFmt numFmtId="166" formatCode="&quot;$&quot;#,##0.0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
    <xf numFmtId="0" fontId="0" fillId="0" borderId="0" xfId="0"/>
    <xf numFmtId="14" fontId="0" fillId="0" borderId="0" xfId="0" applyNumberFormat="1"/>
    <xf numFmtId="0" fontId="0" fillId="0" borderId="0" xfId="0" applyAlignment="1">
      <alignment wrapText="1"/>
    </xf>
    <xf numFmtId="164" fontId="0" fillId="0" borderId="0" xfId="0" applyNumberFormat="1"/>
    <xf numFmtId="165" fontId="0" fillId="0" borderId="0" xfId="0" applyNumberFormat="1"/>
    <xf numFmtId="164" fontId="0" fillId="0" borderId="0" xfId="0" applyNumberFormat="1" applyAlignment="1">
      <alignment horizontal="right"/>
    </xf>
    <xf numFmtId="166" fontId="0" fillId="0" borderId="0" xfId="0" applyNumberFormat="1"/>
    <xf numFmtId="0" fontId="0" fillId="0" borderId="0" xfId="0" applyFill="1"/>
    <xf numFmtId="164" fontId="0" fillId="0" borderId="0" xfId="0" applyNumberFormat="1" applyAlignment="1">
      <alignment horizontal="left"/>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2315"/>
  <sheetViews>
    <sheetView tabSelected="1" workbookViewId="0">
      <pane ySplit="1" topLeftCell="A2" activePane="bottomLeft" state="frozen"/>
      <selection pane="bottomLeft"/>
    </sheetView>
  </sheetViews>
  <sheetFormatPr defaultRowHeight="15" customHeight="1" x14ac:dyDescent="0.35"/>
  <cols>
    <col min="1" max="1" width="18.54296875" bestFit="1" customWidth="1"/>
    <col min="2" max="2" width="37" bestFit="1" customWidth="1"/>
    <col min="3" max="3" width="15.1796875" style="1" bestFit="1" customWidth="1"/>
    <col min="4" max="4" width="21.81640625" style="1" bestFit="1" customWidth="1"/>
    <col min="5" max="5" width="24" style="1" bestFit="1" customWidth="1"/>
    <col min="6" max="6" width="31.54296875" style="1" bestFit="1" customWidth="1"/>
    <col min="7" max="7" width="19.26953125" style="1" bestFit="1" customWidth="1"/>
    <col min="8" max="8" width="15.54296875" bestFit="1" customWidth="1"/>
    <col min="9" max="9" width="41" bestFit="1" customWidth="1"/>
    <col min="10" max="10" width="38.453125" bestFit="1" customWidth="1"/>
    <col min="11" max="11" width="29.81640625" bestFit="1" customWidth="1"/>
    <col min="12" max="14" width="50.7265625" customWidth="1"/>
    <col min="15" max="15" width="31" bestFit="1" customWidth="1"/>
    <col min="16" max="16" width="21.7265625" bestFit="1" customWidth="1"/>
    <col min="17" max="17" width="29.1796875" style="3" bestFit="1" customWidth="1"/>
    <col min="18" max="18" width="26.26953125" bestFit="1" customWidth="1"/>
    <col min="19" max="19" width="25.7265625" bestFit="1" customWidth="1"/>
    <col min="20" max="20" width="22.7265625" style="4" bestFit="1" customWidth="1"/>
    <col min="21" max="21" width="27" bestFit="1" customWidth="1"/>
    <col min="22" max="23" width="50.7265625" customWidth="1"/>
    <col min="24" max="24" width="110.54296875" bestFit="1" customWidth="1"/>
    <col min="25" max="26" width="50.7265625" customWidth="1"/>
    <col min="27" max="27" width="30.453125" bestFit="1" customWidth="1"/>
    <col min="28" max="28" width="28.453125" bestFit="1" customWidth="1"/>
    <col min="29" max="29" width="24.26953125" style="3" bestFit="1" customWidth="1"/>
    <col min="30" max="30" width="26.26953125" bestFit="1" customWidth="1"/>
    <col min="31" max="31" width="21.54296875" bestFit="1" customWidth="1"/>
    <col min="32" max="32" width="17.81640625" style="4" bestFit="1" customWidth="1"/>
    <col min="33" max="33" width="21.7265625" bestFit="1" customWidth="1"/>
    <col min="34" max="34" width="12.26953125" bestFit="1" customWidth="1"/>
    <col min="35" max="35" width="25.7265625" bestFit="1" customWidth="1"/>
    <col min="36" max="36" width="39.54296875" bestFit="1" customWidth="1"/>
    <col min="37" max="37" width="30.1796875" bestFit="1" customWidth="1"/>
    <col min="38" max="38" width="32.1796875" bestFit="1" customWidth="1"/>
    <col min="39" max="39" width="56.26953125" bestFit="1" customWidth="1"/>
    <col min="40" max="40" width="53.26953125" bestFit="1" customWidth="1"/>
    <col min="41" max="41" width="22.453125" bestFit="1" customWidth="1"/>
    <col min="42" max="42" width="33" bestFit="1" customWidth="1"/>
    <col min="43" max="43" width="31.54296875" style="5" bestFit="1" customWidth="1"/>
    <col min="44" max="44" width="27.26953125" bestFit="1" customWidth="1"/>
    <col min="45" max="45" width="28" bestFit="1" customWidth="1"/>
    <col min="46" max="46" width="25" style="4" bestFit="1" customWidth="1"/>
    <col min="47" max="47" width="29.26953125" bestFit="1" customWidth="1"/>
    <col min="48" max="48" width="50" customWidth="1"/>
    <col min="49" max="49" width="50.7265625" customWidth="1"/>
    <col min="50" max="50" width="19.81640625" bestFit="1" customWidth="1"/>
    <col min="51" max="51" width="31.81640625" bestFit="1" customWidth="1"/>
    <col min="52" max="52" width="31.26953125" bestFit="1" customWidth="1"/>
    <col min="53" max="53" width="22.453125" bestFit="1" customWidth="1"/>
    <col min="54" max="54" width="24.81640625" bestFit="1" customWidth="1"/>
    <col min="55" max="55" width="21.54296875" bestFit="1" customWidth="1"/>
    <col min="56" max="56" width="4.54296875" bestFit="1" customWidth="1"/>
    <col min="57" max="57" width="26.1796875" bestFit="1" customWidth="1"/>
    <col min="58" max="58" width="50.7265625" customWidth="1"/>
    <col min="59" max="59" width="26.7265625" style="1" bestFit="1" customWidth="1"/>
    <col min="60" max="60" width="50.7265625" customWidth="1"/>
    <col min="61" max="61" width="22.54296875" bestFit="1" customWidth="1"/>
    <col min="62" max="63" width="50.7265625" customWidth="1"/>
    <col min="64" max="64" width="27.81640625" bestFit="1" customWidth="1"/>
    <col min="65" max="66" width="50.7265625" customWidth="1"/>
    <col min="67" max="67" width="20" bestFit="1" customWidth="1"/>
    <col min="68" max="68" width="50.7265625" customWidth="1"/>
    <col min="69" max="69" width="19.81640625" bestFit="1" customWidth="1"/>
    <col min="70" max="70" width="29" bestFit="1" customWidth="1"/>
    <col min="71" max="71" width="50.7265625" customWidth="1"/>
    <col min="72" max="72" width="21.81640625" bestFit="1" customWidth="1"/>
    <col min="73" max="73" width="31" bestFit="1" customWidth="1"/>
    <col min="74" max="74" width="50.7265625" customWidth="1"/>
    <col min="75" max="75" width="29.81640625" bestFit="1" customWidth="1"/>
    <col min="76" max="79" width="50.7265625" customWidth="1"/>
    <col min="80" max="80" width="28.1796875" bestFit="1" customWidth="1"/>
    <col min="81" max="81" width="25.54296875" bestFit="1" customWidth="1"/>
    <col min="82" max="83" width="50.7265625" customWidth="1"/>
    <col min="84" max="84" width="14" bestFit="1" customWidth="1"/>
    <col min="85" max="85" width="23.1796875" bestFit="1" customWidth="1"/>
    <col min="86" max="86" width="50.7265625" customWidth="1"/>
    <col min="87" max="87" width="15.81640625" bestFit="1" customWidth="1"/>
    <col min="88" max="88" width="25" bestFit="1" customWidth="1"/>
    <col min="89" max="89" width="18.81640625" bestFit="1" customWidth="1"/>
    <col min="90" max="93" width="50.7265625" customWidth="1"/>
    <col min="94" max="94" width="22" bestFit="1" customWidth="1"/>
    <col min="95" max="96" width="50.7265625" customWidth="1"/>
    <col min="97" max="97" width="17.7265625" bestFit="1" customWidth="1"/>
    <col min="98" max="101" width="50.7265625" customWidth="1"/>
    <col min="102" max="102" width="28.453125" bestFit="1" customWidth="1"/>
    <col min="103" max="103" width="28" bestFit="1" customWidth="1"/>
    <col min="104" max="104" width="33.453125" style="3" bestFit="1" customWidth="1"/>
    <col min="105" max="105" width="27.7265625" bestFit="1" customWidth="1"/>
    <col min="106" max="106" width="15.81640625" bestFit="1" customWidth="1"/>
    <col min="107" max="107" width="50.7265625" customWidth="1"/>
    <col min="108" max="108" width="12.7265625" bestFit="1" customWidth="1"/>
    <col min="109" max="109" width="49.7265625" customWidth="1"/>
    <col min="110" max="110" width="20.81640625" bestFit="1" customWidth="1"/>
    <col min="111" max="111" width="50.7265625" customWidth="1"/>
    <col min="112" max="112" width="17.453125" style="6" bestFit="1" customWidth="1"/>
    <col min="113" max="113" width="18.7265625" bestFit="1" customWidth="1"/>
    <col min="114" max="114" width="22.54296875" bestFit="1" customWidth="1"/>
    <col min="115" max="115" width="20" bestFit="1" customWidth="1"/>
    <col min="116" max="116" width="19.7265625" bestFit="1" customWidth="1"/>
    <col min="117" max="117" width="21.7265625" bestFit="1" customWidth="1"/>
    <col min="118" max="118" width="23" bestFit="1" customWidth="1"/>
    <col min="119" max="119" width="26.81640625" bestFit="1" customWidth="1"/>
    <col min="120" max="120" width="24.26953125" bestFit="1" customWidth="1"/>
    <col min="121" max="121" width="24" bestFit="1" customWidth="1"/>
    <col min="122" max="122" width="50.7265625" customWidth="1"/>
    <col min="123" max="123" width="18.453125" style="6" bestFit="1" customWidth="1"/>
    <col min="124" max="124" width="50.7265625" customWidth="1"/>
    <col min="125" max="125" width="29" style="1" bestFit="1" customWidth="1"/>
    <col min="126" max="126" width="29.7265625" style="1" bestFit="1" customWidth="1"/>
  </cols>
  <sheetData>
    <row r="1" spans="1:126" ht="15" customHeight="1" x14ac:dyDescent="0.35">
      <c r="A1" t="s">
        <v>0</v>
      </c>
      <c r="B1" t="s">
        <v>1</v>
      </c>
      <c r="C1" s="1" t="s">
        <v>2</v>
      </c>
      <c r="D1" s="1" t="s">
        <v>3</v>
      </c>
      <c r="E1" s="1" t="s">
        <v>4</v>
      </c>
      <c r="F1" s="1" t="s">
        <v>5</v>
      </c>
      <c r="G1" s="1" t="s">
        <v>6</v>
      </c>
      <c r="H1" t="s">
        <v>7</v>
      </c>
      <c r="I1" t="s">
        <v>8</v>
      </c>
      <c r="J1" t="s">
        <v>9</v>
      </c>
      <c r="K1" t="s">
        <v>10</v>
      </c>
      <c r="L1" t="s">
        <v>11</v>
      </c>
      <c r="M1" t="s">
        <v>12</v>
      </c>
      <c r="N1" t="s">
        <v>13</v>
      </c>
      <c r="O1" t="s">
        <v>14</v>
      </c>
      <c r="P1" t="s">
        <v>15</v>
      </c>
      <c r="Q1" s="3" t="s">
        <v>16</v>
      </c>
      <c r="R1" t="s">
        <v>17</v>
      </c>
      <c r="S1" t="s">
        <v>18</v>
      </c>
      <c r="T1" s="4" t="s">
        <v>19</v>
      </c>
      <c r="U1" t="s">
        <v>20</v>
      </c>
      <c r="V1" t="s">
        <v>21</v>
      </c>
      <c r="W1" t="s">
        <v>22</v>
      </c>
      <c r="X1" t="s">
        <v>23</v>
      </c>
      <c r="Y1" t="s">
        <v>24</v>
      </c>
      <c r="Z1" t="s">
        <v>25</v>
      </c>
      <c r="AA1" t="s">
        <v>26</v>
      </c>
      <c r="AB1" t="s">
        <v>27</v>
      </c>
      <c r="AC1" s="3" t="s">
        <v>28</v>
      </c>
      <c r="AD1" t="s">
        <v>29</v>
      </c>
      <c r="AE1" t="s">
        <v>30</v>
      </c>
      <c r="AF1" s="4" t="s">
        <v>31</v>
      </c>
      <c r="AG1" t="s">
        <v>32</v>
      </c>
      <c r="AH1" t="s">
        <v>33</v>
      </c>
      <c r="AI1" t="s">
        <v>34</v>
      </c>
      <c r="AJ1" t="s">
        <v>35</v>
      </c>
      <c r="AK1" t="s">
        <v>36</v>
      </c>
      <c r="AL1" t="s">
        <v>37</v>
      </c>
      <c r="AM1" t="s">
        <v>38</v>
      </c>
      <c r="AN1" t="s">
        <v>39</v>
      </c>
      <c r="AO1" t="s">
        <v>40</v>
      </c>
      <c r="AP1" t="s">
        <v>41</v>
      </c>
      <c r="AQ1" s="8" t="s">
        <v>42</v>
      </c>
      <c r="AR1" t="s">
        <v>43</v>
      </c>
      <c r="AS1" t="s">
        <v>44</v>
      </c>
      <c r="AT1" s="4" t="s">
        <v>45</v>
      </c>
      <c r="AU1" t="s">
        <v>46</v>
      </c>
      <c r="AV1" t="s">
        <v>47</v>
      </c>
      <c r="AW1" t="s">
        <v>48</v>
      </c>
      <c r="AX1" t="s">
        <v>49</v>
      </c>
      <c r="AY1" t="s">
        <v>50</v>
      </c>
      <c r="AZ1" t="s">
        <v>51</v>
      </c>
      <c r="BA1" t="s">
        <v>52</v>
      </c>
      <c r="BB1" t="s">
        <v>53</v>
      </c>
      <c r="BC1" t="s">
        <v>54</v>
      </c>
      <c r="BD1" t="s">
        <v>55</v>
      </c>
      <c r="BE1" t="s">
        <v>20204</v>
      </c>
      <c r="BF1" t="s">
        <v>56</v>
      </c>
      <c r="BG1" s="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c r="CW1" t="s">
        <v>99</v>
      </c>
      <c r="CX1" t="s">
        <v>100</v>
      </c>
      <c r="CY1" t="s">
        <v>101</v>
      </c>
      <c r="CZ1" s="3" t="s">
        <v>102</v>
      </c>
      <c r="DA1" t="s">
        <v>103</v>
      </c>
      <c r="DB1" t="s">
        <v>104</v>
      </c>
      <c r="DC1" t="s">
        <v>105</v>
      </c>
      <c r="DD1" t="s">
        <v>106</v>
      </c>
      <c r="DE1" t="s">
        <v>107</v>
      </c>
      <c r="DF1" t="s">
        <v>108</v>
      </c>
      <c r="DG1" t="s">
        <v>109</v>
      </c>
      <c r="DH1" s="6" t="s">
        <v>110</v>
      </c>
      <c r="DI1" t="s">
        <v>111</v>
      </c>
      <c r="DJ1" t="s">
        <v>112</v>
      </c>
      <c r="DK1" t="s">
        <v>113</v>
      </c>
      <c r="DL1" t="s">
        <v>114</v>
      </c>
      <c r="DM1" t="s">
        <v>115</v>
      </c>
      <c r="DN1" t="s">
        <v>116</v>
      </c>
      <c r="DO1" t="s">
        <v>117</v>
      </c>
      <c r="DP1" t="s">
        <v>118</v>
      </c>
      <c r="DQ1" t="s">
        <v>119</v>
      </c>
      <c r="DR1" t="s">
        <v>120</v>
      </c>
      <c r="DS1" s="6" t="s">
        <v>121</v>
      </c>
      <c r="DT1" t="s">
        <v>122</v>
      </c>
      <c r="DU1" s="1" t="s">
        <v>123</v>
      </c>
      <c r="DV1" s="1" t="s">
        <v>124</v>
      </c>
    </row>
    <row r="2" spans="1:126" s="7" customFormat="1" ht="15" customHeight="1" x14ac:dyDescent="0.35">
      <c r="A2" t="s">
        <v>19063</v>
      </c>
      <c r="B2" t="s">
        <v>318</v>
      </c>
      <c r="C2" s="1">
        <v>44319</v>
      </c>
      <c r="D2" s="1">
        <v>44351</v>
      </c>
      <c r="E2" s="1"/>
      <c r="F2" s="1"/>
      <c r="G2" s="1"/>
      <c r="H2" t="s">
        <v>319</v>
      </c>
      <c r="I2" t="s">
        <v>8595</v>
      </c>
      <c r="J2" t="s">
        <v>3209</v>
      </c>
      <c r="K2" t="s">
        <v>1198</v>
      </c>
      <c r="L2" t="s">
        <v>130</v>
      </c>
      <c r="M2" t="s">
        <v>8596</v>
      </c>
      <c r="N2" t="s">
        <v>8597</v>
      </c>
      <c r="O2" t="s">
        <v>4358</v>
      </c>
      <c r="P2" t="s">
        <v>702</v>
      </c>
      <c r="Q2" s="3">
        <v>6851</v>
      </c>
      <c r="R2" t="s">
        <v>128</v>
      </c>
      <c r="S2"/>
      <c r="T2" s="4">
        <v>12039816333</v>
      </c>
      <c r="U2"/>
      <c r="V2" t="s">
        <v>8598</v>
      </c>
      <c r="W2" t="s">
        <v>8594</v>
      </c>
      <c r="X2" t="s">
        <v>19064</v>
      </c>
      <c r="Y2" t="s">
        <v>8593</v>
      </c>
      <c r="Z2" t="s">
        <v>2489</v>
      </c>
      <c r="AA2" t="s">
        <v>494</v>
      </c>
      <c r="AB2" t="s">
        <v>129</v>
      </c>
      <c r="AC2" s="3" t="str">
        <f>"10018"</f>
        <v>10018</v>
      </c>
      <c r="AD2" t="s">
        <v>128</v>
      </c>
      <c r="AE2"/>
      <c r="AF2" s="4">
        <v>12122211544</v>
      </c>
      <c r="AG2"/>
      <c r="AH2" t="str">
        <f>"561320"</f>
        <v>561320</v>
      </c>
      <c r="AI2" t="s">
        <v>130</v>
      </c>
      <c r="AJ2" t="s">
        <v>8595</v>
      </c>
      <c r="AK2" t="s">
        <v>3209</v>
      </c>
      <c r="AL2" t="s">
        <v>16545</v>
      </c>
      <c r="AM2" t="s">
        <v>8596</v>
      </c>
      <c r="AN2" t="s">
        <v>8597</v>
      </c>
      <c r="AO2" t="s">
        <v>4358</v>
      </c>
      <c r="AP2" t="s">
        <v>703</v>
      </c>
      <c r="AQ2" s="5">
        <v>6851</v>
      </c>
      <c r="AR2" t="s">
        <v>128</v>
      </c>
      <c r="AS2"/>
      <c r="AT2" s="4">
        <v>12029816333</v>
      </c>
      <c r="AU2"/>
      <c r="AV2" t="s">
        <v>8598</v>
      </c>
      <c r="AW2" t="s">
        <v>19065</v>
      </c>
      <c r="AX2" t="s">
        <v>131</v>
      </c>
      <c r="AY2" t="s">
        <v>131</v>
      </c>
      <c r="AZ2" t="s">
        <v>131</v>
      </c>
      <c r="BA2" t="s">
        <v>131</v>
      </c>
      <c r="BB2" t="s">
        <v>131</v>
      </c>
      <c r="BC2" t="s">
        <v>131</v>
      </c>
      <c r="BD2" t="s">
        <v>131</v>
      </c>
      <c r="BE2" t="s">
        <v>132</v>
      </c>
      <c r="BF2"/>
      <c r="BG2" s="1"/>
      <c r="BH2" t="s">
        <v>9056</v>
      </c>
      <c r="BI2" t="s">
        <v>131</v>
      </c>
      <c r="BJ2"/>
      <c r="BK2"/>
      <c r="BL2" t="s">
        <v>133</v>
      </c>
      <c r="BM2"/>
      <c r="BN2" t="s">
        <v>9057</v>
      </c>
      <c r="BO2" t="s">
        <v>131</v>
      </c>
      <c r="BP2" t="s">
        <v>134</v>
      </c>
      <c r="BQ2" t="s">
        <v>131</v>
      </c>
      <c r="BR2"/>
      <c r="BS2" t="str">
        <f t="shared" ref="BS2:BS33" si="0">"N/A"</f>
        <v>N/A</v>
      </c>
      <c r="BT2" t="s">
        <v>131</v>
      </c>
      <c r="BU2"/>
      <c r="BV2" t="str">
        <f>""</f>
        <v/>
      </c>
      <c r="BW2" t="s">
        <v>135</v>
      </c>
      <c r="BX2" t="str">
        <f>"State of Illinois Occupational Therapy License or License Eligibility [Proof of Passing NBCOT Examination]."</f>
        <v>State of Illinois Occupational Therapy License or License Eligibility [Proof of Passing NBCOT Examination].</v>
      </c>
      <c r="BY2" t="str">
        <f>""</f>
        <v/>
      </c>
      <c r="BZ2" t="str">
        <f>""</f>
        <v/>
      </c>
      <c r="CA2" t="str">
        <f>""</f>
        <v/>
      </c>
      <c r="CB2" t="s">
        <v>131</v>
      </c>
      <c r="CC2"/>
      <c r="CD2"/>
      <c r="CE2"/>
      <c r="CF2" t="s">
        <v>131</v>
      </c>
      <c r="CG2"/>
      <c r="CH2" t="str">
        <f>""</f>
        <v/>
      </c>
      <c r="CI2" t="s">
        <v>131</v>
      </c>
      <c r="CJ2"/>
      <c r="CK2" t="s">
        <v>131</v>
      </c>
      <c r="CL2" t="str">
        <f>""</f>
        <v/>
      </c>
      <c r="CM2" t="str">
        <f>""</f>
        <v/>
      </c>
      <c r="CN2" t="str">
        <f>""</f>
        <v/>
      </c>
      <c r="CO2" t="str">
        <f>""</f>
        <v/>
      </c>
      <c r="CP2" t="str">
        <f>"29-1122.00"</f>
        <v>29-1122.00</v>
      </c>
      <c r="CQ2" t="s">
        <v>4909</v>
      </c>
      <c r="CR2" t="s">
        <v>11012</v>
      </c>
      <c r="CS2" t="s">
        <v>131</v>
      </c>
      <c r="CT2"/>
      <c r="CU2" t="s">
        <v>19066</v>
      </c>
      <c r="CV2" t="s">
        <v>19067</v>
      </c>
      <c r="CW2" t="s">
        <v>262</v>
      </c>
      <c r="CX2" t="s">
        <v>263</v>
      </c>
      <c r="CY2"/>
      <c r="CZ2" s="3" t="str">
        <f>"60602"</f>
        <v>60602</v>
      </c>
      <c r="DA2" t="s">
        <v>131</v>
      </c>
      <c r="DB2" t="str">
        <f>"29-1122"</f>
        <v>29-1122</v>
      </c>
      <c r="DC2" t="s">
        <v>4909</v>
      </c>
      <c r="DD2" t="s">
        <v>134</v>
      </c>
      <c r="DE2" t="s">
        <v>134</v>
      </c>
      <c r="DF2" t="str">
        <f>""</f>
        <v/>
      </c>
      <c r="DG2"/>
      <c r="DH2" s="6">
        <v>41.25</v>
      </c>
      <c r="DI2" t="s">
        <v>344</v>
      </c>
      <c r="DJ2"/>
      <c r="DK2" t="s">
        <v>345</v>
      </c>
      <c r="DL2"/>
      <c r="DM2"/>
      <c r="DN2"/>
      <c r="DO2"/>
      <c r="DP2"/>
      <c r="DQ2"/>
      <c r="DR2" t="s">
        <v>8471</v>
      </c>
      <c r="DS2" s="6">
        <v>41.25</v>
      </c>
      <c r="DT2" t="s">
        <v>424</v>
      </c>
      <c r="DU2" s="1">
        <v>44351</v>
      </c>
      <c r="DV2" s="1">
        <v>44440</v>
      </c>
    </row>
    <row r="3" spans="1:126" s="7" customFormat="1" ht="15" customHeight="1" x14ac:dyDescent="0.35">
      <c r="A3" t="s">
        <v>18945</v>
      </c>
      <c r="B3" t="s">
        <v>318</v>
      </c>
      <c r="C3" s="1">
        <v>44319</v>
      </c>
      <c r="D3" s="1">
        <v>44351</v>
      </c>
      <c r="E3" s="1"/>
      <c r="F3" s="1"/>
      <c r="G3" s="1"/>
      <c r="H3" t="s">
        <v>319</v>
      </c>
      <c r="I3" t="s">
        <v>4127</v>
      </c>
      <c r="J3" t="s">
        <v>2262</v>
      </c>
      <c r="K3" t="s">
        <v>135</v>
      </c>
      <c r="L3" t="s">
        <v>460</v>
      </c>
      <c r="M3" t="s">
        <v>14119</v>
      </c>
      <c r="N3" t="s">
        <v>3819</v>
      </c>
      <c r="O3" t="s">
        <v>4895</v>
      </c>
      <c r="P3" t="s">
        <v>588</v>
      </c>
      <c r="Q3" s="3">
        <v>23464</v>
      </c>
      <c r="R3" t="s">
        <v>128</v>
      </c>
      <c r="S3"/>
      <c r="T3" s="4">
        <v>17576924207</v>
      </c>
      <c r="U3"/>
      <c r="V3" t="s">
        <v>18946</v>
      </c>
      <c r="W3" t="s">
        <v>14121</v>
      </c>
      <c r="X3" t="s">
        <v>18947</v>
      </c>
      <c r="Y3" t="s">
        <v>18948</v>
      </c>
      <c r="Z3" t="s">
        <v>17945</v>
      </c>
      <c r="AA3" t="s">
        <v>4895</v>
      </c>
      <c r="AB3" t="s">
        <v>306</v>
      </c>
      <c r="AC3" s="3" t="str">
        <f>"23464"</f>
        <v>23464</v>
      </c>
      <c r="AD3" t="s">
        <v>128</v>
      </c>
      <c r="AE3"/>
      <c r="AF3" s="4">
        <v>17576924207</v>
      </c>
      <c r="AG3"/>
      <c r="AH3" t="str">
        <f>"485991"</f>
        <v>485991</v>
      </c>
      <c r="AI3" t="s">
        <v>167</v>
      </c>
      <c r="AJ3"/>
      <c r="AK3"/>
      <c r="AL3"/>
      <c r="AM3"/>
      <c r="AN3"/>
      <c r="AO3"/>
      <c r="AP3"/>
      <c r="AQ3" s="5"/>
      <c r="AR3"/>
      <c r="AS3"/>
      <c r="AT3" s="4"/>
      <c r="AU3"/>
      <c r="AV3"/>
      <c r="AW3"/>
      <c r="AX3" t="s">
        <v>131</v>
      </c>
      <c r="AY3" t="s">
        <v>131</v>
      </c>
      <c r="AZ3" t="s">
        <v>131</v>
      </c>
      <c r="BA3" t="s">
        <v>131</v>
      </c>
      <c r="BB3" t="s">
        <v>131</v>
      </c>
      <c r="BC3" t="s">
        <v>131</v>
      </c>
      <c r="BD3" t="s">
        <v>131</v>
      </c>
      <c r="BE3" t="s">
        <v>132</v>
      </c>
      <c r="BF3"/>
      <c r="BG3" s="1"/>
      <c r="BH3" t="s">
        <v>5948</v>
      </c>
      <c r="BI3" t="s">
        <v>131</v>
      </c>
      <c r="BJ3"/>
      <c r="BK3"/>
      <c r="BL3" t="s">
        <v>167</v>
      </c>
      <c r="BM3"/>
      <c r="BN3"/>
      <c r="BO3" t="s">
        <v>131</v>
      </c>
      <c r="BP3" t="s">
        <v>134</v>
      </c>
      <c r="BQ3" t="s">
        <v>131</v>
      </c>
      <c r="BR3"/>
      <c r="BS3" t="str">
        <f t="shared" si="0"/>
        <v>N/A</v>
      </c>
      <c r="BT3" t="s">
        <v>131</v>
      </c>
      <c r="BU3"/>
      <c r="BV3" t="str">
        <f>""</f>
        <v/>
      </c>
      <c r="BW3" t="s">
        <v>135</v>
      </c>
      <c r="BX3" t="str">
        <f>"Must have a valid drivers license from home country and be able to provide a driving record from home country."</f>
        <v>Must have a valid drivers license from home country and be able to provide a driving record from home country.</v>
      </c>
      <c r="BY3" t="str">
        <f>""</f>
        <v/>
      </c>
      <c r="BZ3" t="str">
        <f>""</f>
        <v/>
      </c>
      <c r="CA3" t="str">
        <f>""</f>
        <v/>
      </c>
      <c r="CB3" t="s">
        <v>131</v>
      </c>
      <c r="CC3"/>
      <c r="CD3"/>
      <c r="CE3"/>
      <c r="CF3" t="s">
        <v>131</v>
      </c>
      <c r="CG3"/>
      <c r="CH3" t="str">
        <f>""</f>
        <v/>
      </c>
      <c r="CI3" t="s">
        <v>131</v>
      </c>
      <c r="CJ3"/>
      <c r="CK3" t="s">
        <v>131</v>
      </c>
      <c r="CL3" t="str">
        <f>""</f>
        <v/>
      </c>
      <c r="CM3" t="str">
        <f>""</f>
        <v/>
      </c>
      <c r="CN3" t="str">
        <f>""</f>
        <v/>
      </c>
      <c r="CO3" t="str">
        <f>""</f>
        <v/>
      </c>
      <c r="CP3" t="str">
        <f>"53-3022.00"</f>
        <v>53-3022.00</v>
      </c>
      <c r="CQ3" t="s">
        <v>14122</v>
      </c>
      <c r="CR3" t="s">
        <v>460</v>
      </c>
      <c r="CS3" t="s">
        <v>135</v>
      </c>
      <c r="CT3" t="s">
        <v>18949</v>
      </c>
      <c r="CU3" t="s">
        <v>18948</v>
      </c>
      <c r="CV3" t="s">
        <v>17945</v>
      </c>
      <c r="CW3" t="s">
        <v>14559</v>
      </c>
      <c r="CX3" t="s">
        <v>306</v>
      </c>
      <c r="CY3"/>
      <c r="CZ3" s="3" t="str">
        <f>"23464"</f>
        <v>23464</v>
      </c>
      <c r="DA3" t="s">
        <v>131</v>
      </c>
      <c r="DB3" t="str">
        <f>"53-3022"</f>
        <v>53-3022</v>
      </c>
      <c r="DC3" t="s">
        <v>14122</v>
      </c>
      <c r="DD3" t="s">
        <v>134</v>
      </c>
      <c r="DE3" t="s">
        <v>134</v>
      </c>
      <c r="DF3" t="str">
        <f>""</f>
        <v/>
      </c>
      <c r="DG3"/>
      <c r="DH3" s="6">
        <v>14.05</v>
      </c>
      <c r="DI3" t="s">
        <v>344</v>
      </c>
      <c r="DJ3"/>
      <c r="DK3" t="s">
        <v>345</v>
      </c>
      <c r="DL3"/>
      <c r="DM3"/>
      <c r="DN3"/>
      <c r="DO3"/>
      <c r="DP3"/>
      <c r="DQ3"/>
      <c r="DR3" t="s">
        <v>14124</v>
      </c>
      <c r="DS3" s="6">
        <v>14.05</v>
      </c>
      <c r="DT3" t="s">
        <v>424</v>
      </c>
      <c r="DU3" s="1">
        <v>44351</v>
      </c>
      <c r="DV3" s="1">
        <v>44440</v>
      </c>
    </row>
    <row r="4" spans="1:126" s="7" customFormat="1" ht="15" customHeight="1" x14ac:dyDescent="0.35">
      <c r="A4" t="s">
        <v>19054</v>
      </c>
      <c r="B4" t="s">
        <v>318</v>
      </c>
      <c r="C4" s="1">
        <v>44319</v>
      </c>
      <c r="D4" s="1">
        <v>44351</v>
      </c>
      <c r="E4" s="1"/>
      <c r="F4" s="1"/>
      <c r="G4" s="1"/>
      <c r="H4" t="s">
        <v>319</v>
      </c>
      <c r="I4" t="s">
        <v>17772</v>
      </c>
      <c r="J4" t="s">
        <v>2295</v>
      </c>
      <c r="K4"/>
      <c r="L4" t="s">
        <v>1205</v>
      </c>
      <c r="M4" t="s">
        <v>17773</v>
      </c>
      <c r="N4"/>
      <c r="O4" t="s">
        <v>17774</v>
      </c>
      <c r="P4" t="s">
        <v>1217</v>
      </c>
      <c r="Q4" s="3">
        <v>36551</v>
      </c>
      <c r="R4" t="s">
        <v>128</v>
      </c>
      <c r="S4"/>
      <c r="T4" s="4">
        <v>12519647440</v>
      </c>
      <c r="U4"/>
      <c r="V4" t="s">
        <v>134</v>
      </c>
      <c r="W4" t="s">
        <v>17775</v>
      </c>
      <c r="X4"/>
      <c r="Y4" t="s">
        <v>19055</v>
      </c>
      <c r="Z4"/>
      <c r="AA4" t="s">
        <v>17774</v>
      </c>
      <c r="AB4" t="s">
        <v>1218</v>
      </c>
      <c r="AC4" s="3" t="str">
        <f>"36551"</f>
        <v>36551</v>
      </c>
      <c r="AD4" t="s">
        <v>128</v>
      </c>
      <c r="AE4"/>
      <c r="AF4" s="4">
        <v>12519647440</v>
      </c>
      <c r="AG4"/>
      <c r="AH4" t="str">
        <f>"23814"</f>
        <v>23814</v>
      </c>
      <c r="AI4" t="s">
        <v>287</v>
      </c>
      <c r="AJ4" t="s">
        <v>414</v>
      </c>
      <c r="AK4" t="s">
        <v>301</v>
      </c>
      <c r="AL4" t="s">
        <v>415</v>
      </c>
      <c r="AM4" t="s">
        <v>416</v>
      </c>
      <c r="AN4" t="s">
        <v>417</v>
      </c>
      <c r="AO4" t="s">
        <v>399</v>
      </c>
      <c r="AP4" t="s">
        <v>400</v>
      </c>
      <c r="AQ4" s="5">
        <v>75231</v>
      </c>
      <c r="AR4" t="s">
        <v>128</v>
      </c>
      <c r="AS4"/>
      <c r="AT4" s="4">
        <v>12145265665</v>
      </c>
      <c r="AU4"/>
      <c r="AV4" t="s">
        <v>418</v>
      </c>
      <c r="AW4" t="s">
        <v>419</v>
      </c>
      <c r="AX4" t="s">
        <v>131</v>
      </c>
      <c r="AY4" t="s">
        <v>131</v>
      </c>
      <c r="AZ4" t="s">
        <v>131</v>
      </c>
      <c r="BA4" t="s">
        <v>131</v>
      </c>
      <c r="BB4" t="s">
        <v>131</v>
      </c>
      <c r="BC4" t="s">
        <v>131</v>
      </c>
      <c r="BD4" t="s">
        <v>131</v>
      </c>
      <c r="BE4" t="s">
        <v>132</v>
      </c>
      <c r="BF4"/>
      <c r="BG4" s="1"/>
      <c r="BH4" t="s">
        <v>11658</v>
      </c>
      <c r="BI4" t="s">
        <v>131</v>
      </c>
      <c r="BJ4"/>
      <c r="BK4"/>
      <c r="BL4" t="s">
        <v>167</v>
      </c>
      <c r="BM4"/>
      <c r="BN4"/>
      <c r="BO4" t="s">
        <v>131</v>
      </c>
      <c r="BP4" t="s">
        <v>134</v>
      </c>
      <c r="BQ4" t="s">
        <v>131</v>
      </c>
      <c r="BR4"/>
      <c r="BS4" t="str">
        <f t="shared" si="0"/>
        <v>N/A</v>
      </c>
      <c r="BT4" t="s">
        <v>135</v>
      </c>
      <c r="BU4">
        <v>3</v>
      </c>
      <c r="BV4" t="str">
        <f>"Refractory Materials Repairer"</f>
        <v>Refractory Materials Repairer</v>
      </c>
      <c r="BW4" t="s">
        <v>135</v>
      </c>
      <c r="BX4" t="str">
        <f>""</f>
        <v/>
      </c>
      <c r="BY4" t="str">
        <f>""</f>
        <v/>
      </c>
      <c r="BZ4" t="str">
        <f>""</f>
        <v/>
      </c>
      <c r="CA4" s="2" t="s">
        <v>19056</v>
      </c>
      <c r="CB4" t="s">
        <v>131</v>
      </c>
      <c r="CC4"/>
      <c r="CD4"/>
      <c r="CE4"/>
      <c r="CF4" t="s">
        <v>131</v>
      </c>
      <c r="CG4"/>
      <c r="CH4" t="str">
        <f>""</f>
        <v/>
      </c>
      <c r="CI4" t="s">
        <v>131</v>
      </c>
      <c r="CJ4"/>
      <c r="CK4" t="s">
        <v>131</v>
      </c>
      <c r="CL4" t="str">
        <f>""</f>
        <v/>
      </c>
      <c r="CM4" t="str">
        <f>""</f>
        <v/>
      </c>
      <c r="CN4" t="str">
        <f>""</f>
        <v/>
      </c>
      <c r="CO4" t="str">
        <f>""</f>
        <v/>
      </c>
      <c r="CP4" t="str">
        <f>"49-9045.00"</f>
        <v>49-9045.00</v>
      </c>
      <c r="CQ4" t="s">
        <v>11660</v>
      </c>
      <c r="CR4"/>
      <c r="CS4" t="s">
        <v>131</v>
      </c>
      <c r="CT4"/>
      <c r="CU4" t="s">
        <v>17777</v>
      </c>
      <c r="CV4"/>
      <c r="CW4" t="s">
        <v>17778</v>
      </c>
      <c r="CX4" t="s">
        <v>1218</v>
      </c>
      <c r="CY4"/>
      <c r="CZ4" s="3" t="str">
        <f>"35131"</f>
        <v>35131</v>
      </c>
      <c r="DA4" t="s">
        <v>131</v>
      </c>
      <c r="DB4" t="str">
        <f>"49-9045"</f>
        <v>49-9045</v>
      </c>
      <c r="DC4" t="s">
        <v>11660</v>
      </c>
      <c r="DD4" t="s">
        <v>134</v>
      </c>
      <c r="DE4" t="s">
        <v>134</v>
      </c>
      <c r="DF4" t="str">
        <f>""</f>
        <v/>
      </c>
      <c r="DG4"/>
      <c r="DH4" s="6">
        <v>22.17</v>
      </c>
      <c r="DI4" t="s">
        <v>344</v>
      </c>
      <c r="DJ4"/>
      <c r="DK4" t="s">
        <v>345</v>
      </c>
      <c r="DL4"/>
      <c r="DM4"/>
      <c r="DN4"/>
      <c r="DO4"/>
      <c r="DP4"/>
      <c r="DQ4"/>
      <c r="DR4"/>
      <c r="DS4" s="6">
        <v>22.17</v>
      </c>
      <c r="DT4" t="s">
        <v>424</v>
      </c>
      <c r="DU4" s="1">
        <v>44351</v>
      </c>
      <c r="DV4" s="1">
        <v>44440</v>
      </c>
    </row>
    <row r="5" spans="1:126" s="7" customFormat="1" ht="15" customHeight="1" x14ac:dyDescent="0.35">
      <c r="A5" t="s">
        <v>17602</v>
      </c>
      <c r="B5" t="s">
        <v>318</v>
      </c>
      <c r="C5" s="1">
        <v>44319</v>
      </c>
      <c r="D5" s="1">
        <v>44351</v>
      </c>
      <c r="E5" s="1"/>
      <c r="F5" s="1"/>
      <c r="G5" s="1"/>
      <c r="H5" t="s">
        <v>319</v>
      </c>
      <c r="I5" t="s">
        <v>17603</v>
      </c>
      <c r="J5" t="s">
        <v>895</v>
      </c>
      <c r="K5" t="s">
        <v>2371</v>
      </c>
      <c r="L5" t="s">
        <v>1105</v>
      </c>
      <c r="M5" t="s">
        <v>17604</v>
      </c>
      <c r="N5"/>
      <c r="O5" t="s">
        <v>2025</v>
      </c>
      <c r="P5" t="s">
        <v>194</v>
      </c>
      <c r="Q5" s="3">
        <v>33140</v>
      </c>
      <c r="R5" t="s">
        <v>128</v>
      </c>
      <c r="S5"/>
      <c r="T5" s="4">
        <v>19086700614</v>
      </c>
      <c r="U5"/>
      <c r="V5" t="s">
        <v>17605</v>
      </c>
      <c r="W5" t="s">
        <v>17606</v>
      </c>
      <c r="X5"/>
      <c r="Y5" t="s">
        <v>17604</v>
      </c>
      <c r="Z5"/>
      <c r="AA5" t="s">
        <v>2025</v>
      </c>
      <c r="AB5" t="s">
        <v>195</v>
      </c>
      <c r="AC5" s="3" t="str">
        <f>"33140"</f>
        <v>33140</v>
      </c>
      <c r="AD5" t="s">
        <v>128</v>
      </c>
      <c r="AE5"/>
      <c r="AF5" s="4">
        <v>19086700614</v>
      </c>
      <c r="AG5"/>
      <c r="AH5" t="str">
        <f>"814110"</f>
        <v>814110</v>
      </c>
      <c r="AI5" t="s">
        <v>130</v>
      </c>
      <c r="AJ5" t="s">
        <v>17607</v>
      </c>
      <c r="AK5" t="s">
        <v>17608</v>
      </c>
      <c r="AL5" t="s">
        <v>6423</v>
      </c>
      <c r="AM5" t="s">
        <v>17609</v>
      </c>
      <c r="AN5" t="s">
        <v>17610</v>
      </c>
      <c r="AO5" t="s">
        <v>620</v>
      </c>
      <c r="AP5" t="s">
        <v>195</v>
      </c>
      <c r="AQ5" s="5">
        <v>33134</v>
      </c>
      <c r="AR5" t="s">
        <v>128</v>
      </c>
      <c r="AS5"/>
      <c r="AT5" s="4">
        <v>17868770719</v>
      </c>
      <c r="AU5"/>
      <c r="AV5" t="s">
        <v>17611</v>
      </c>
      <c r="AW5" t="s">
        <v>17612</v>
      </c>
      <c r="AX5" t="s">
        <v>131</v>
      </c>
      <c r="AY5" t="s">
        <v>131</v>
      </c>
      <c r="AZ5" t="s">
        <v>131</v>
      </c>
      <c r="BA5" t="s">
        <v>131</v>
      </c>
      <c r="BB5" t="s">
        <v>131</v>
      </c>
      <c r="BC5" t="s">
        <v>131</v>
      </c>
      <c r="BD5" t="s">
        <v>131</v>
      </c>
      <c r="BE5" t="s">
        <v>132</v>
      </c>
      <c r="BF5"/>
      <c r="BG5" s="1"/>
      <c r="BH5" t="s">
        <v>17613</v>
      </c>
      <c r="BI5" t="s">
        <v>131</v>
      </c>
      <c r="BJ5"/>
      <c r="BK5"/>
      <c r="BL5" t="s">
        <v>167</v>
      </c>
      <c r="BM5"/>
      <c r="BN5"/>
      <c r="BO5" t="s">
        <v>131</v>
      </c>
      <c r="BP5" t="s">
        <v>134</v>
      </c>
      <c r="BQ5" t="s">
        <v>131</v>
      </c>
      <c r="BR5"/>
      <c r="BS5" t="str">
        <f t="shared" si="0"/>
        <v>N/A</v>
      </c>
      <c r="BT5" t="s">
        <v>135</v>
      </c>
      <c r="BU5">
        <v>12</v>
      </c>
      <c r="BV5" t="str">
        <f>"Nanny Housekeeper"</f>
        <v>Nanny Housekeeper</v>
      </c>
      <c r="BW5" t="s">
        <v>135</v>
      </c>
      <c r="BX5" t="str">
        <f>""</f>
        <v/>
      </c>
      <c r="BY5" t="str">
        <f>"Must be proficient in Spanish"</f>
        <v>Must be proficient in Spanish</v>
      </c>
      <c r="BZ5" t="str">
        <f>""</f>
        <v/>
      </c>
      <c r="CA5" t="str">
        <f>""</f>
        <v/>
      </c>
      <c r="CB5" t="s">
        <v>131</v>
      </c>
      <c r="CC5"/>
      <c r="CD5"/>
      <c r="CE5"/>
      <c r="CF5" t="s">
        <v>131</v>
      </c>
      <c r="CG5"/>
      <c r="CH5" t="str">
        <f>""</f>
        <v/>
      </c>
      <c r="CI5" t="s">
        <v>131</v>
      </c>
      <c r="CJ5"/>
      <c r="CK5" t="s">
        <v>131</v>
      </c>
      <c r="CL5" t="str">
        <f>""</f>
        <v/>
      </c>
      <c r="CM5" t="str">
        <f>""</f>
        <v/>
      </c>
      <c r="CN5" t="str">
        <f>""</f>
        <v/>
      </c>
      <c r="CO5" t="str">
        <f>""</f>
        <v/>
      </c>
      <c r="CP5" t="str">
        <f>"37-2012.00"</f>
        <v>37-2012.00</v>
      </c>
      <c r="CQ5" t="s">
        <v>479</v>
      </c>
      <c r="CR5" t="s">
        <v>17613</v>
      </c>
      <c r="CS5" t="s">
        <v>135</v>
      </c>
      <c r="CT5" t="s">
        <v>17614</v>
      </c>
      <c r="CU5" t="s">
        <v>17604</v>
      </c>
      <c r="CV5"/>
      <c r="CW5" t="s">
        <v>2025</v>
      </c>
      <c r="CX5" t="s">
        <v>195</v>
      </c>
      <c r="CY5"/>
      <c r="CZ5" s="3" t="str">
        <f>"33140"</f>
        <v>33140</v>
      </c>
      <c r="DA5" t="s">
        <v>135</v>
      </c>
      <c r="DB5" t="str">
        <f>"39-9011"</f>
        <v>39-9011</v>
      </c>
      <c r="DC5" t="s">
        <v>342</v>
      </c>
      <c r="DD5" t="s">
        <v>343</v>
      </c>
      <c r="DE5" t="s">
        <v>339</v>
      </c>
      <c r="DF5" t="str">
        <f>"39-9011.01"</f>
        <v>39-9011.01</v>
      </c>
      <c r="DG5" t="s">
        <v>339</v>
      </c>
      <c r="DH5" s="6">
        <v>12.12</v>
      </c>
      <c r="DI5" t="s">
        <v>344</v>
      </c>
      <c r="DJ5"/>
      <c r="DK5" t="s">
        <v>345</v>
      </c>
      <c r="DL5"/>
      <c r="DM5"/>
      <c r="DN5"/>
      <c r="DO5"/>
      <c r="DP5"/>
      <c r="DQ5"/>
      <c r="DR5" t="s">
        <v>2160</v>
      </c>
      <c r="DS5" s="6">
        <v>13.06</v>
      </c>
      <c r="DT5" s="2" t="s">
        <v>15494</v>
      </c>
      <c r="DU5" s="1">
        <v>44351</v>
      </c>
      <c r="DV5" s="1">
        <v>44440</v>
      </c>
    </row>
    <row r="6" spans="1:126" s="7" customFormat="1" ht="15" customHeight="1" x14ac:dyDescent="0.35">
      <c r="A6" t="s">
        <v>18447</v>
      </c>
      <c r="B6" t="s">
        <v>318</v>
      </c>
      <c r="C6" s="1">
        <v>44319</v>
      </c>
      <c r="D6" s="1">
        <v>44351</v>
      </c>
      <c r="E6" s="1"/>
      <c r="F6" s="1"/>
      <c r="G6" s="1"/>
      <c r="H6" t="s">
        <v>319</v>
      </c>
      <c r="I6" t="s">
        <v>18448</v>
      </c>
      <c r="J6" t="s">
        <v>8638</v>
      </c>
      <c r="K6"/>
      <c r="L6" t="s">
        <v>395</v>
      </c>
      <c r="M6" t="s">
        <v>18449</v>
      </c>
      <c r="N6"/>
      <c r="O6" t="s">
        <v>2440</v>
      </c>
      <c r="P6" t="s">
        <v>273</v>
      </c>
      <c r="Q6" s="3">
        <v>8807</v>
      </c>
      <c r="R6" t="s">
        <v>128</v>
      </c>
      <c r="S6" t="s">
        <v>273</v>
      </c>
      <c r="T6" s="4">
        <v>19085812178</v>
      </c>
      <c r="U6"/>
      <c r="V6" t="s">
        <v>18450</v>
      </c>
      <c r="W6" t="s">
        <v>18451</v>
      </c>
      <c r="X6"/>
      <c r="Y6" t="s">
        <v>18449</v>
      </c>
      <c r="Z6"/>
      <c r="AA6" t="s">
        <v>2440</v>
      </c>
      <c r="AB6" t="s">
        <v>276</v>
      </c>
      <c r="AC6" s="3" t="str">
        <f>"08807"</f>
        <v>08807</v>
      </c>
      <c r="AD6" t="s">
        <v>128</v>
      </c>
      <c r="AE6"/>
      <c r="AF6" s="4">
        <v>19085812178</v>
      </c>
      <c r="AG6"/>
      <c r="AH6" t="str">
        <f>"611620"</f>
        <v>611620</v>
      </c>
      <c r="AI6" t="s">
        <v>130</v>
      </c>
      <c r="AJ6" t="s">
        <v>14869</v>
      </c>
      <c r="AK6" t="s">
        <v>1153</v>
      </c>
      <c r="AL6" t="s">
        <v>2240</v>
      </c>
      <c r="AM6" t="s">
        <v>14870</v>
      </c>
      <c r="AN6"/>
      <c r="AO6" t="s">
        <v>14871</v>
      </c>
      <c r="AP6" t="s">
        <v>276</v>
      </c>
      <c r="AQ6" s="5">
        <v>7040</v>
      </c>
      <c r="AR6" t="s">
        <v>128</v>
      </c>
      <c r="AS6"/>
      <c r="AT6" s="4">
        <v>19737620700</v>
      </c>
      <c r="AU6"/>
      <c r="AV6" t="s">
        <v>14872</v>
      </c>
      <c r="AW6" t="s">
        <v>14873</v>
      </c>
      <c r="AX6" t="s">
        <v>131</v>
      </c>
      <c r="AY6" t="s">
        <v>131</v>
      </c>
      <c r="AZ6" t="s">
        <v>131</v>
      </c>
      <c r="BA6" t="s">
        <v>131</v>
      </c>
      <c r="BB6" t="s">
        <v>131</v>
      </c>
      <c r="BC6" t="s">
        <v>131</v>
      </c>
      <c r="BD6" t="s">
        <v>131</v>
      </c>
      <c r="BE6" t="s">
        <v>132</v>
      </c>
      <c r="BF6"/>
      <c r="BG6" s="1"/>
      <c r="BH6" t="s">
        <v>18452</v>
      </c>
      <c r="BI6" t="s">
        <v>131</v>
      </c>
      <c r="BJ6"/>
      <c r="BK6"/>
      <c r="BL6" t="s">
        <v>167</v>
      </c>
      <c r="BM6"/>
      <c r="BN6"/>
      <c r="BO6" t="s">
        <v>131</v>
      </c>
      <c r="BP6" t="s">
        <v>134</v>
      </c>
      <c r="BQ6" t="s">
        <v>131</v>
      </c>
      <c r="BR6"/>
      <c r="BS6" t="str">
        <f t="shared" si="0"/>
        <v>N/A</v>
      </c>
      <c r="BT6" t="s">
        <v>135</v>
      </c>
      <c r="BU6">
        <v>12</v>
      </c>
      <c r="BV6" t="str">
        <f>"Soccer recreation instruction for ages 10 or under"</f>
        <v>Soccer recreation instruction for ages 10 or under</v>
      </c>
      <c r="BW6" t="s">
        <v>131</v>
      </c>
      <c r="BX6" t="str">
        <f>""</f>
        <v/>
      </c>
      <c r="BY6" t="str">
        <f>""</f>
        <v/>
      </c>
      <c r="BZ6" t="str">
        <f>""</f>
        <v/>
      </c>
      <c r="CA6" t="str">
        <f>""</f>
        <v/>
      </c>
      <c r="CB6" t="s">
        <v>131</v>
      </c>
      <c r="CC6"/>
      <c r="CD6"/>
      <c r="CE6"/>
      <c r="CF6" t="s">
        <v>131</v>
      </c>
      <c r="CG6"/>
      <c r="CH6" t="str">
        <f>""</f>
        <v/>
      </c>
      <c r="CI6" t="s">
        <v>131</v>
      </c>
      <c r="CJ6"/>
      <c r="CK6" t="s">
        <v>131</v>
      </c>
      <c r="CL6" t="str">
        <f>""</f>
        <v/>
      </c>
      <c r="CM6" t="str">
        <f>""</f>
        <v/>
      </c>
      <c r="CN6" t="str">
        <f>""</f>
        <v/>
      </c>
      <c r="CO6" t="str">
        <f>""</f>
        <v/>
      </c>
      <c r="CP6" t="str">
        <f>"39-9032.00"</f>
        <v>39-9032.00</v>
      </c>
      <c r="CQ6" t="s">
        <v>9239</v>
      </c>
      <c r="CR6" t="s">
        <v>18453</v>
      </c>
      <c r="CS6" t="s">
        <v>135</v>
      </c>
      <c r="CT6" t="s">
        <v>18454</v>
      </c>
      <c r="CU6" t="s">
        <v>18455</v>
      </c>
      <c r="CV6" t="s">
        <v>18456</v>
      </c>
      <c r="CW6" t="s">
        <v>2440</v>
      </c>
      <c r="CX6" t="s">
        <v>276</v>
      </c>
      <c r="CY6"/>
      <c r="CZ6" s="3" t="str">
        <f>"08807"</f>
        <v>08807</v>
      </c>
      <c r="DA6" t="s">
        <v>135</v>
      </c>
      <c r="DB6" t="str">
        <f>"39-9032"</f>
        <v>39-9032</v>
      </c>
      <c r="DC6" t="s">
        <v>9239</v>
      </c>
      <c r="DD6" t="s">
        <v>134</v>
      </c>
      <c r="DE6" t="s">
        <v>134</v>
      </c>
      <c r="DF6" t="str">
        <f>""</f>
        <v/>
      </c>
      <c r="DG6"/>
      <c r="DH6" s="6">
        <v>16.41</v>
      </c>
      <c r="DI6" t="s">
        <v>344</v>
      </c>
      <c r="DJ6"/>
      <c r="DK6" t="s">
        <v>345</v>
      </c>
      <c r="DL6"/>
      <c r="DM6"/>
      <c r="DN6"/>
      <c r="DO6"/>
      <c r="DP6"/>
      <c r="DQ6"/>
      <c r="DR6" t="s">
        <v>346</v>
      </c>
      <c r="DS6" s="6">
        <v>16.41</v>
      </c>
      <c r="DT6" s="2" t="s">
        <v>347</v>
      </c>
      <c r="DU6" s="1">
        <v>44351</v>
      </c>
      <c r="DV6" s="1">
        <v>44440</v>
      </c>
    </row>
    <row r="7" spans="1:126" s="7" customFormat="1" ht="15" customHeight="1" x14ac:dyDescent="0.35">
      <c r="A7" t="s">
        <v>17114</v>
      </c>
      <c r="B7" t="s">
        <v>318</v>
      </c>
      <c r="C7" s="1">
        <v>44319</v>
      </c>
      <c r="D7" s="1">
        <v>44351</v>
      </c>
      <c r="E7" s="1"/>
      <c r="F7" s="1"/>
      <c r="G7" s="1"/>
      <c r="H7" t="s">
        <v>319</v>
      </c>
      <c r="I7" t="s">
        <v>16230</v>
      </c>
      <c r="J7" t="s">
        <v>704</v>
      </c>
      <c r="K7"/>
      <c r="L7" t="s">
        <v>395</v>
      </c>
      <c r="M7" t="s">
        <v>17115</v>
      </c>
      <c r="N7"/>
      <c r="O7" t="s">
        <v>17116</v>
      </c>
      <c r="P7" t="s">
        <v>127</v>
      </c>
      <c r="Q7" s="3">
        <v>12590</v>
      </c>
      <c r="R7" t="s">
        <v>128</v>
      </c>
      <c r="S7"/>
      <c r="T7" s="4">
        <v>18454634400</v>
      </c>
      <c r="U7"/>
      <c r="V7" t="s">
        <v>134</v>
      </c>
      <c r="W7" t="s">
        <v>17117</v>
      </c>
      <c r="X7"/>
      <c r="Y7" t="s">
        <v>17115</v>
      </c>
      <c r="Z7"/>
      <c r="AA7" t="s">
        <v>17116</v>
      </c>
      <c r="AB7" t="s">
        <v>129</v>
      </c>
      <c r="AC7" s="3" t="str">
        <f>"12590"</f>
        <v>12590</v>
      </c>
      <c r="AD7" t="s">
        <v>128</v>
      </c>
      <c r="AE7"/>
      <c r="AF7" s="4">
        <v>18454634400</v>
      </c>
      <c r="AG7"/>
      <c r="AH7" t="str">
        <f>"56173"</f>
        <v>56173</v>
      </c>
      <c r="AI7" t="s">
        <v>287</v>
      </c>
      <c r="AJ7" t="s">
        <v>414</v>
      </c>
      <c r="AK7" t="s">
        <v>301</v>
      </c>
      <c r="AL7" t="s">
        <v>415</v>
      </c>
      <c r="AM7" t="s">
        <v>416</v>
      </c>
      <c r="AN7" t="s">
        <v>417</v>
      </c>
      <c r="AO7" t="s">
        <v>399</v>
      </c>
      <c r="AP7" t="s">
        <v>400</v>
      </c>
      <c r="AQ7" s="5">
        <v>75231</v>
      </c>
      <c r="AR7" t="s">
        <v>128</v>
      </c>
      <c r="AS7"/>
      <c r="AT7" s="4">
        <v>12145265665</v>
      </c>
      <c r="AU7"/>
      <c r="AV7" t="s">
        <v>418</v>
      </c>
      <c r="AW7" t="s">
        <v>419</v>
      </c>
      <c r="AX7" t="s">
        <v>131</v>
      </c>
      <c r="AY7" t="s">
        <v>131</v>
      </c>
      <c r="AZ7" t="s">
        <v>131</v>
      </c>
      <c r="BA7" t="s">
        <v>131</v>
      </c>
      <c r="BB7" t="s">
        <v>131</v>
      </c>
      <c r="BC7" t="s">
        <v>131</v>
      </c>
      <c r="BD7" t="s">
        <v>131</v>
      </c>
      <c r="BE7" t="s">
        <v>132</v>
      </c>
      <c r="BF7"/>
      <c r="BG7" s="1"/>
      <c r="BH7" t="s">
        <v>2215</v>
      </c>
      <c r="BI7" t="s">
        <v>131</v>
      </c>
      <c r="BJ7"/>
      <c r="BK7"/>
      <c r="BL7" t="s">
        <v>167</v>
      </c>
      <c r="BM7"/>
      <c r="BN7"/>
      <c r="BO7" t="s">
        <v>131</v>
      </c>
      <c r="BP7" t="s">
        <v>134</v>
      </c>
      <c r="BQ7" t="s">
        <v>131</v>
      </c>
      <c r="BR7"/>
      <c r="BS7" t="str">
        <f t="shared" si="0"/>
        <v>N/A</v>
      </c>
      <c r="BT7" t="s">
        <v>131</v>
      </c>
      <c r="BU7"/>
      <c r="BV7" t="str">
        <f>""</f>
        <v/>
      </c>
      <c r="BW7" t="s">
        <v>135</v>
      </c>
      <c r="BX7" t="str">
        <f>""</f>
        <v/>
      </c>
      <c r="BY7" t="str">
        <f>""</f>
        <v/>
      </c>
      <c r="BZ7" t="str">
        <f>""</f>
        <v/>
      </c>
      <c r="CA7" t="str">
        <f>"Must be able to lift 50 lbs, and work in adverse weather conditions.
"</f>
        <v xml:space="preserve">Must be able to lift 50 lbs, and work in adverse weather conditions.
</v>
      </c>
      <c r="CB7" t="s">
        <v>131</v>
      </c>
      <c r="CC7"/>
      <c r="CD7"/>
      <c r="CE7"/>
      <c r="CF7" t="s">
        <v>131</v>
      </c>
      <c r="CG7"/>
      <c r="CH7" t="str">
        <f>""</f>
        <v/>
      </c>
      <c r="CI7" t="s">
        <v>131</v>
      </c>
      <c r="CJ7"/>
      <c r="CK7" t="s">
        <v>131</v>
      </c>
      <c r="CL7" t="str">
        <f>""</f>
        <v/>
      </c>
      <c r="CM7" t="str">
        <f>""</f>
        <v/>
      </c>
      <c r="CN7" t="str">
        <f>""</f>
        <v/>
      </c>
      <c r="CO7" t="str">
        <f>""</f>
        <v/>
      </c>
      <c r="CP7" t="str">
        <f>"37-3011.00"</f>
        <v>37-3011.00</v>
      </c>
      <c r="CQ7" t="s">
        <v>920</v>
      </c>
      <c r="CR7"/>
      <c r="CS7" t="s">
        <v>131</v>
      </c>
      <c r="CT7"/>
      <c r="CU7" t="s">
        <v>17115</v>
      </c>
      <c r="CV7"/>
      <c r="CW7" t="s">
        <v>17116</v>
      </c>
      <c r="CX7" t="s">
        <v>129</v>
      </c>
      <c r="CY7"/>
      <c r="CZ7" s="3" t="str">
        <f>"12590"</f>
        <v>12590</v>
      </c>
      <c r="DA7" t="s">
        <v>135</v>
      </c>
      <c r="DB7" t="str">
        <f>"37-3011"</f>
        <v>37-3011</v>
      </c>
      <c r="DC7" t="s">
        <v>920</v>
      </c>
      <c r="DD7" t="s">
        <v>134</v>
      </c>
      <c r="DE7" t="s">
        <v>134</v>
      </c>
      <c r="DF7" t="str">
        <f>""</f>
        <v/>
      </c>
      <c r="DG7"/>
      <c r="DH7" s="6">
        <v>17.75</v>
      </c>
      <c r="DI7" t="s">
        <v>344</v>
      </c>
      <c r="DJ7"/>
      <c r="DK7" t="s">
        <v>345</v>
      </c>
      <c r="DL7"/>
      <c r="DM7"/>
      <c r="DN7"/>
      <c r="DO7"/>
      <c r="DP7"/>
      <c r="DQ7"/>
      <c r="DR7" t="s">
        <v>346</v>
      </c>
      <c r="DS7" s="6">
        <v>17.75</v>
      </c>
      <c r="DT7" t="s">
        <v>3921</v>
      </c>
      <c r="DU7" s="1">
        <v>44351</v>
      </c>
      <c r="DV7" s="1">
        <v>44440</v>
      </c>
    </row>
    <row r="8" spans="1:126" s="7" customFormat="1" ht="15" customHeight="1" x14ac:dyDescent="0.35">
      <c r="A8" t="s">
        <v>9922</v>
      </c>
      <c r="B8" t="s">
        <v>318</v>
      </c>
      <c r="C8" s="1">
        <v>44319</v>
      </c>
      <c r="D8" s="1">
        <v>44351</v>
      </c>
      <c r="E8" s="1"/>
      <c r="F8" s="1"/>
      <c r="G8" s="1"/>
      <c r="H8" t="s">
        <v>319</v>
      </c>
      <c r="I8" t="s">
        <v>2672</v>
      </c>
      <c r="J8" t="s">
        <v>1493</v>
      </c>
      <c r="K8" t="s">
        <v>2673</v>
      </c>
      <c r="L8" t="s">
        <v>460</v>
      </c>
      <c r="M8" t="s">
        <v>2674</v>
      </c>
      <c r="N8"/>
      <c r="O8" t="s">
        <v>1418</v>
      </c>
      <c r="P8" t="s">
        <v>2675</v>
      </c>
      <c r="Q8" s="3">
        <v>89511</v>
      </c>
      <c r="R8" t="s">
        <v>128</v>
      </c>
      <c r="S8"/>
      <c r="T8" s="4">
        <v>15305465950</v>
      </c>
      <c r="U8"/>
      <c r="V8" t="s">
        <v>2676</v>
      </c>
      <c r="W8" t="s">
        <v>2677</v>
      </c>
      <c r="X8" t="s">
        <v>734</v>
      </c>
      <c r="Y8" t="s">
        <v>2674</v>
      </c>
      <c r="Z8"/>
      <c r="AA8" t="s">
        <v>1418</v>
      </c>
      <c r="AB8" t="s">
        <v>1073</v>
      </c>
      <c r="AC8" s="3" t="str">
        <f>"89511"</f>
        <v>89511</v>
      </c>
      <c r="AD8" t="s">
        <v>128</v>
      </c>
      <c r="AE8"/>
      <c r="AF8" s="4">
        <v>15305465950</v>
      </c>
      <c r="AG8"/>
      <c r="AH8" t="str">
        <f>"56121"</f>
        <v>56121</v>
      </c>
      <c r="AI8" t="s">
        <v>167</v>
      </c>
      <c r="AJ8"/>
      <c r="AK8"/>
      <c r="AL8"/>
      <c r="AM8"/>
      <c r="AN8"/>
      <c r="AO8"/>
      <c r="AP8"/>
      <c r="AQ8" s="5"/>
      <c r="AR8"/>
      <c r="AS8"/>
      <c r="AT8" s="4"/>
      <c r="AU8"/>
      <c r="AV8"/>
      <c r="AW8"/>
      <c r="AX8" t="s">
        <v>131</v>
      </c>
      <c r="AY8" t="s">
        <v>131</v>
      </c>
      <c r="AZ8" t="s">
        <v>131</v>
      </c>
      <c r="BA8" t="s">
        <v>131</v>
      </c>
      <c r="BB8" t="s">
        <v>131</v>
      </c>
      <c r="BC8" t="s">
        <v>131</v>
      </c>
      <c r="BD8" t="s">
        <v>131</v>
      </c>
      <c r="BE8" t="s">
        <v>132</v>
      </c>
      <c r="BF8"/>
      <c r="BG8" s="1"/>
      <c r="BH8" t="s">
        <v>2678</v>
      </c>
      <c r="BI8" t="s">
        <v>131</v>
      </c>
      <c r="BJ8"/>
      <c r="BK8"/>
      <c r="BL8" t="s">
        <v>167</v>
      </c>
      <c r="BM8"/>
      <c r="BN8"/>
      <c r="BO8" t="s">
        <v>131</v>
      </c>
      <c r="BP8" t="s">
        <v>134</v>
      </c>
      <c r="BQ8" t="s">
        <v>131</v>
      </c>
      <c r="BR8"/>
      <c r="BS8" t="str">
        <f t="shared" si="0"/>
        <v>N/A</v>
      </c>
      <c r="BT8" t="s">
        <v>135</v>
      </c>
      <c r="BU8">
        <v>1</v>
      </c>
      <c r="BV8" t="str">
        <f>"Snowmaker"</f>
        <v>Snowmaker</v>
      </c>
      <c r="BW8" t="s">
        <v>131</v>
      </c>
      <c r="BX8" t="str">
        <f>""</f>
        <v/>
      </c>
      <c r="BY8" t="str">
        <f>""</f>
        <v/>
      </c>
      <c r="BZ8" t="str">
        <f>""</f>
        <v/>
      </c>
      <c r="CA8" t="str">
        <f>""</f>
        <v/>
      </c>
      <c r="CB8" t="s">
        <v>131</v>
      </c>
      <c r="CC8"/>
      <c r="CD8"/>
      <c r="CE8"/>
      <c r="CF8" t="s">
        <v>131</v>
      </c>
      <c r="CG8"/>
      <c r="CH8" t="str">
        <f>""</f>
        <v/>
      </c>
      <c r="CI8" t="s">
        <v>131</v>
      </c>
      <c r="CJ8"/>
      <c r="CK8" t="s">
        <v>131</v>
      </c>
      <c r="CL8" t="str">
        <f>""</f>
        <v/>
      </c>
      <c r="CM8" t="str">
        <f>""</f>
        <v/>
      </c>
      <c r="CN8" t="str">
        <f>""</f>
        <v/>
      </c>
      <c r="CO8" t="str">
        <f>""</f>
        <v/>
      </c>
      <c r="CP8" t="str">
        <f>"51-9199.00"</f>
        <v>51-9199.00</v>
      </c>
      <c r="CQ8" t="s">
        <v>1893</v>
      </c>
      <c r="CR8" t="s">
        <v>2679</v>
      </c>
      <c r="CS8" t="s">
        <v>131</v>
      </c>
      <c r="CT8"/>
      <c r="CU8" t="s">
        <v>9923</v>
      </c>
      <c r="CV8"/>
      <c r="CW8" t="s">
        <v>9924</v>
      </c>
      <c r="CX8" t="s">
        <v>471</v>
      </c>
      <c r="CY8"/>
      <c r="CZ8" s="3" t="str">
        <f>"80444"</f>
        <v>80444</v>
      </c>
      <c r="DA8" t="s">
        <v>131</v>
      </c>
      <c r="DB8" t="str">
        <f>"51-9199"</f>
        <v>51-9199</v>
      </c>
      <c r="DC8" t="s">
        <v>1893</v>
      </c>
      <c r="DD8" t="s">
        <v>134</v>
      </c>
      <c r="DE8" t="s">
        <v>134</v>
      </c>
      <c r="DF8" t="str">
        <f>""</f>
        <v/>
      </c>
      <c r="DG8"/>
      <c r="DH8" s="6">
        <v>17.48</v>
      </c>
      <c r="DI8" t="s">
        <v>344</v>
      </c>
      <c r="DJ8"/>
      <c r="DK8" t="s">
        <v>345</v>
      </c>
      <c r="DL8"/>
      <c r="DM8"/>
      <c r="DN8"/>
      <c r="DO8"/>
      <c r="DP8"/>
      <c r="DQ8"/>
      <c r="DR8" t="s">
        <v>9925</v>
      </c>
      <c r="DS8" s="6">
        <v>17.48</v>
      </c>
      <c r="DT8" t="s">
        <v>424</v>
      </c>
      <c r="DU8" s="1">
        <v>44351</v>
      </c>
      <c r="DV8" s="1">
        <v>44440</v>
      </c>
    </row>
    <row r="9" spans="1:126" s="7" customFormat="1" ht="15" customHeight="1" x14ac:dyDescent="0.35">
      <c r="A9" t="s">
        <v>14174</v>
      </c>
      <c r="B9" t="s">
        <v>318</v>
      </c>
      <c r="C9" s="1">
        <v>44319</v>
      </c>
      <c r="D9" s="1">
        <v>44351</v>
      </c>
      <c r="E9" s="1"/>
      <c r="F9" s="1"/>
      <c r="G9" s="1"/>
      <c r="H9" t="s">
        <v>319</v>
      </c>
      <c r="I9" t="s">
        <v>2672</v>
      </c>
      <c r="J9" t="s">
        <v>1493</v>
      </c>
      <c r="K9" t="s">
        <v>2673</v>
      </c>
      <c r="L9" t="s">
        <v>460</v>
      </c>
      <c r="M9" t="s">
        <v>2674</v>
      </c>
      <c r="N9"/>
      <c r="O9" t="s">
        <v>1418</v>
      </c>
      <c r="P9" t="s">
        <v>2675</v>
      </c>
      <c r="Q9" s="3">
        <v>89511</v>
      </c>
      <c r="R9" t="s">
        <v>128</v>
      </c>
      <c r="S9"/>
      <c r="T9" s="4">
        <v>15305465950</v>
      </c>
      <c r="U9"/>
      <c r="V9" t="s">
        <v>2676</v>
      </c>
      <c r="W9" t="s">
        <v>2677</v>
      </c>
      <c r="X9" t="s">
        <v>14175</v>
      </c>
      <c r="Y9" t="s">
        <v>2674</v>
      </c>
      <c r="Z9"/>
      <c r="AA9" t="s">
        <v>1418</v>
      </c>
      <c r="AB9" t="s">
        <v>1073</v>
      </c>
      <c r="AC9" s="3" t="str">
        <f>"89511"</f>
        <v>89511</v>
      </c>
      <c r="AD9" t="s">
        <v>128</v>
      </c>
      <c r="AE9"/>
      <c r="AF9" s="4">
        <v>15305465950</v>
      </c>
      <c r="AG9"/>
      <c r="AH9" t="str">
        <f>"56121"</f>
        <v>56121</v>
      </c>
      <c r="AI9" t="s">
        <v>167</v>
      </c>
      <c r="AJ9"/>
      <c r="AK9"/>
      <c r="AL9"/>
      <c r="AM9"/>
      <c r="AN9"/>
      <c r="AO9"/>
      <c r="AP9"/>
      <c r="AQ9" s="5"/>
      <c r="AR9"/>
      <c r="AS9"/>
      <c r="AT9" s="4"/>
      <c r="AU9"/>
      <c r="AV9"/>
      <c r="AW9"/>
      <c r="AX9" t="s">
        <v>131</v>
      </c>
      <c r="AY9" t="s">
        <v>131</v>
      </c>
      <c r="AZ9" t="s">
        <v>131</v>
      </c>
      <c r="BA9" t="s">
        <v>131</v>
      </c>
      <c r="BB9" t="s">
        <v>131</v>
      </c>
      <c r="BC9" t="s">
        <v>131</v>
      </c>
      <c r="BD9" t="s">
        <v>131</v>
      </c>
      <c r="BE9" t="s">
        <v>132</v>
      </c>
      <c r="BF9"/>
      <c r="BG9" s="1"/>
      <c r="BH9" t="s">
        <v>2678</v>
      </c>
      <c r="BI9" t="s">
        <v>131</v>
      </c>
      <c r="BJ9"/>
      <c r="BK9"/>
      <c r="BL9" t="s">
        <v>167</v>
      </c>
      <c r="BM9"/>
      <c r="BN9"/>
      <c r="BO9" t="s">
        <v>131</v>
      </c>
      <c r="BP9" t="s">
        <v>134</v>
      </c>
      <c r="BQ9" t="s">
        <v>131</v>
      </c>
      <c r="BR9"/>
      <c r="BS9" t="str">
        <f t="shared" si="0"/>
        <v>N/A</v>
      </c>
      <c r="BT9" t="s">
        <v>135</v>
      </c>
      <c r="BU9">
        <v>1</v>
      </c>
      <c r="BV9" t="str">
        <f>"Snowmaker"</f>
        <v>Snowmaker</v>
      </c>
      <c r="BW9" t="s">
        <v>131</v>
      </c>
      <c r="BX9" t="str">
        <f>""</f>
        <v/>
      </c>
      <c r="BY9" t="str">
        <f>""</f>
        <v/>
      </c>
      <c r="BZ9" t="str">
        <f>""</f>
        <v/>
      </c>
      <c r="CA9" t="str">
        <f>""</f>
        <v/>
      </c>
      <c r="CB9" t="s">
        <v>131</v>
      </c>
      <c r="CC9"/>
      <c r="CD9"/>
      <c r="CE9"/>
      <c r="CF9" t="s">
        <v>131</v>
      </c>
      <c r="CG9"/>
      <c r="CH9" t="str">
        <f>""</f>
        <v/>
      </c>
      <c r="CI9" t="s">
        <v>131</v>
      </c>
      <c r="CJ9"/>
      <c r="CK9" t="s">
        <v>131</v>
      </c>
      <c r="CL9" t="str">
        <f>""</f>
        <v/>
      </c>
      <c r="CM9" t="str">
        <f>""</f>
        <v/>
      </c>
      <c r="CN9" t="str">
        <f>""</f>
        <v/>
      </c>
      <c r="CO9" t="str">
        <f>""</f>
        <v/>
      </c>
      <c r="CP9" t="str">
        <f>"51-9199.00"</f>
        <v>51-9199.00</v>
      </c>
      <c r="CQ9" t="s">
        <v>1893</v>
      </c>
      <c r="CR9" t="s">
        <v>2679</v>
      </c>
      <c r="CS9" t="s">
        <v>131</v>
      </c>
      <c r="CT9"/>
      <c r="CU9" t="s">
        <v>14176</v>
      </c>
      <c r="CV9"/>
      <c r="CW9" t="s">
        <v>14177</v>
      </c>
      <c r="CX9" t="s">
        <v>389</v>
      </c>
      <c r="CY9"/>
      <c r="CZ9" s="3" t="str">
        <f>"54304"</f>
        <v>54304</v>
      </c>
      <c r="DA9" t="s">
        <v>131</v>
      </c>
      <c r="DB9" t="str">
        <f>"51-9199"</f>
        <v>51-9199</v>
      </c>
      <c r="DC9" t="s">
        <v>1893</v>
      </c>
      <c r="DD9" t="s">
        <v>134</v>
      </c>
      <c r="DE9" t="s">
        <v>134</v>
      </c>
      <c r="DF9" t="str">
        <f>""</f>
        <v/>
      </c>
      <c r="DG9"/>
      <c r="DH9" s="6">
        <v>15.12</v>
      </c>
      <c r="DI9" t="s">
        <v>344</v>
      </c>
      <c r="DJ9"/>
      <c r="DK9" t="s">
        <v>345</v>
      </c>
      <c r="DL9"/>
      <c r="DM9"/>
      <c r="DN9"/>
      <c r="DO9"/>
      <c r="DP9"/>
      <c r="DQ9"/>
      <c r="DR9" t="s">
        <v>14178</v>
      </c>
      <c r="DS9" s="6">
        <v>15.12</v>
      </c>
      <c r="DT9" t="s">
        <v>424</v>
      </c>
      <c r="DU9" s="1">
        <v>44351</v>
      </c>
      <c r="DV9" s="1">
        <v>44440</v>
      </c>
    </row>
    <row r="10" spans="1:126" s="7" customFormat="1" ht="15" customHeight="1" x14ac:dyDescent="0.35">
      <c r="A10" t="s">
        <v>18604</v>
      </c>
      <c r="B10" t="s">
        <v>318</v>
      </c>
      <c r="C10" s="1">
        <v>44319</v>
      </c>
      <c r="D10" s="1">
        <v>44351</v>
      </c>
      <c r="E10" s="1"/>
      <c r="F10" s="1"/>
      <c r="G10" s="1"/>
      <c r="H10" t="s">
        <v>319</v>
      </c>
      <c r="I10" t="s">
        <v>2672</v>
      </c>
      <c r="J10" t="s">
        <v>1493</v>
      </c>
      <c r="K10" t="s">
        <v>2673</v>
      </c>
      <c r="L10" t="s">
        <v>460</v>
      </c>
      <c r="M10" t="s">
        <v>2674</v>
      </c>
      <c r="N10"/>
      <c r="O10" t="s">
        <v>1418</v>
      </c>
      <c r="P10" t="s">
        <v>2675</v>
      </c>
      <c r="Q10" s="3">
        <v>89511</v>
      </c>
      <c r="R10" t="s">
        <v>128</v>
      </c>
      <c r="S10"/>
      <c r="T10" s="4">
        <v>15305465950</v>
      </c>
      <c r="U10"/>
      <c r="V10" t="s">
        <v>2676</v>
      </c>
      <c r="W10" t="s">
        <v>2677</v>
      </c>
      <c r="X10" t="s">
        <v>2677</v>
      </c>
      <c r="Y10" t="s">
        <v>2674</v>
      </c>
      <c r="Z10"/>
      <c r="AA10" t="s">
        <v>1418</v>
      </c>
      <c r="AB10" t="s">
        <v>1073</v>
      </c>
      <c r="AC10" s="3" t="str">
        <f>"89511"</f>
        <v>89511</v>
      </c>
      <c r="AD10" t="s">
        <v>128</v>
      </c>
      <c r="AE10"/>
      <c r="AF10" s="4">
        <v>15305465950</v>
      </c>
      <c r="AG10"/>
      <c r="AH10" t="str">
        <f>"56121"</f>
        <v>56121</v>
      </c>
      <c r="AI10" t="s">
        <v>167</v>
      </c>
      <c r="AJ10"/>
      <c r="AK10"/>
      <c r="AL10"/>
      <c r="AM10"/>
      <c r="AN10"/>
      <c r="AO10"/>
      <c r="AP10"/>
      <c r="AQ10" s="5"/>
      <c r="AR10"/>
      <c r="AS10"/>
      <c r="AT10" s="4"/>
      <c r="AU10"/>
      <c r="AV10"/>
      <c r="AW10"/>
      <c r="AX10" t="s">
        <v>131</v>
      </c>
      <c r="AY10" t="s">
        <v>131</v>
      </c>
      <c r="AZ10" t="s">
        <v>131</v>
      </c>
      <c r="BA10" t="s">
        <v>131</v>
      </c>
      <c r="BB10" t="s">
        <v>131</v>
      </c>
      <c r="BC10" t="s">
        <v>131</v>
      </c>
      <c r="BD10" t="s">
        <v>131</v>
      </c>
      <c r="BE10" t="s">
        <v>132</v>
      </c>
      <c r="BF10"/>
      <c r="BG10" s="1"/>
      <c r="BH10" t="s">
        <v>2678</v>
      </c>
      <c r="BI10" t="s">
        <v>131</v>
      </c>
      <c r="BJ10"/>
      <c r="BK10"/>
      <c r="BL10" t="s">
        <v>167</v>
      </c>
      <c r="BM10"/>
      <c r="BN10"/>
      <c r="BO10" t="s">
        <v>131</v>
      </c>
      <c r="BP10" t="s">
        <v>134</v>
      </c>
      <c r="BQ10" t="s">
        <v>131</v>
      </c>
      <c r="BR10"/>
      <c r="BS10" t="str">
        <f t="shared" si="0"/>
        <v>N/A</v>
      </c>
      <c r="BT10" t="s">
        <v>135</v>
      </c>
      <c r="BU10">
        <v>1</v>
      </c>
      <c r="BV10" t="str">
        <f>"Snowmaker"</f>
        <v>Snowmaker</v>
      </c>
      <c r="BW10" t="s">
        <v>131</v>
      </c>
      <c r="BX10" t="str">
        <f>""</f>
        <v/>
      </c>
      <c r="BY10" t="str">
        <f>""</f>
        <v/>
      </c>
      <c r="BZ10" t="str">
        <f>""</f>
        <v/>
      </c>
      <c r="CA10" t="str">
        <f>""</f>
        <v/>
      </c>
      <c r="CB10" t="s">
        <v>131</v>
      </c>
      <c r="CC10"/>
      <c r="CD10"/>
      <c r="CE10"/>
      <c r="CF10" t="s">
        <v>131</v>
      </c>
      <c r="CG10"/>
      <c r="CH10" t="str">
        <f>""</f>
        <v/>
      </c>
      <c r="CI10" t="s">
        <v>131</v>
      </c>
      <c r="CJ10"/>
      <c r="CK10" t="s">
        <v>131</v>
      </c>
      <c r="CL10" t="str">
        <f>""</f>
        <v/>
      </c>
      <c r="CM10" t="str">
        <f>""</f>
        <v/>
      </c>
      <c r="CN10" t="str">
        <f>""</f>
        <v/>
      </c>
      <c r="CO10" t="str">
        <f>""</f>
        <v/>
      </c>
      <c r="CP10" t="str">
        <f>"51-9199.00"</f>
        <v>51-9199.00</v>
      </c>
      <c r="CQ10" t="s">
        <v>1893</v>
      </c>
      <c r="CR10" t="s">
        <v>2679</v>
      </c>
      <c r="CS10" t="s">
        <v>131</v>
      </c>
      <c r="CT10"/>
      <c r="CU10" t="s">
        <v>18605</v>
      </c>
      <c r="CV10"/>
      <c r="CW10" t="s">
        <v>18606</v>
      </c>
      <c r="CX10" t="s">
        <v>3100</v>
      </c>
      <c r="CY10"/>
      <c r="CZ10" s="3" t="str">
        <f>"87558"</f>
        <v>87558</v>
      </c>
      <c r="DA10" t="s">
        <v>131</v>
      </c>
      <c r="DB10" t="str">
        <f>"51-9199"</f>
        <v>51-9199</v>
      </c>
      <c r="DC10" t="s">
        <v>1893</v>
      </c>
      <c r="DD10" t="s">
        <v>134</v>
      </c>
      <c r="DE10" t="s">
        <v>134</v>
      </c>
      <c r="DF10" t="str">
        <f>""</f>
        <v/>
      </c>
      <c r="DG10"/>
      <c r="DH10" s="6">
        <v>19.91</v>
      </c>
      <c r="DI10" t="s">
        <v>344</v>
      </c>
      <c r="DJ10"/>
      <c r="DK10" t="s">
        <v>345</v>
      </c>
      <c r="DL10"/>
      <c r="DM10"/>
      <c r="DN10"/>
      <c r="DO10"/>
      <c r="DP10"/>
      <c r="DQ10"/>
      <c r="DR10" t="s">
        <v>18607</v>
      </c>
      <c r="DS10" s="6">
        <v>19.91</v>
      </c>
      <c r="DT10" t="s">
        <v>424</v>
      </c>
      <c r="DU10" s="1">
        <v>44351</v>
      </c>
      <c r="DV10" s="1">
        <v>44440</v>
      </c>
    </row>
    <row r="11" spans="1:126" s="7" customFormat="1" ht="15" customHeight="1" x14ac:dyDescent="0.35">
      <c r="A11" t="s">
        <v>2671</v>
      </c>
      <c r="B11" t="s">
        <v>318</v>
      </c>
      <c r="C11" s="1">
        <v>44319</v>
      </c>
      <c r="D11" s="1">
        <v>44351</v>
      </c>
      <c r="E11" s="1"/>
      <c r="F11" s="1"/>
      <c r="G11" s="1"/>
      <c r="H11" t="s">
        <v>319</v>
      </c>
      <c r="I11" t="s">
        <v>2672</v>
      </c>
      <c r="J11" t="s">
        <v>1493</v>
      </c>
      <c r="K11" t="s">
        <v>2673</v>
      </c>
      <c r="L11" t="s">
        <v>460</v>
      </c>
      <c r="M11" t="s">
        <v>2674</v>
      </c>
      <c r="N11"/>
      <c r="O11" t="s">
        <v>1418</v>
      </c>
      <c r="P11" t="s">
        <v>2675</v>
      </c>
      <c r="Q11" s="3">
        <v>89511</v>
      </c>
      <c r="R11" t="s">
        <v>128</v>
      </c>
      <c r="S11"/>
      <c r="T11" s="4">
        <v>15305465950</v>
      </c>
      <c r="U11"/>
      <c r="V11" t="s">
        <v>2676</v>
      </c>
      <c r="W11" t="s">
        <v>2677</v>
      </c>
      <c r="X11" t="s">
        <v>2677</v>
      </c>
      <c r="Y11" t="s">
        <v>2674</v>
      </c>
      <c r="Z11"/>
      <c r="AA11" t="s">
        <v>1418</v>
      </c>
      <c r="AB11" t="s">
        <v>1073</v>
      </c>
      <c r="AC11" s="3" t="str">
        <f>"89511"</f>
        <v>89511</v>
      </c>
      <c r="AD11" t="s">
        <v>128</v>
      </c>
      <c r="AE11"/>
      <c r="AF11" s="4">
        <v>15305465950</v>
      </c>
      <c r="AG11"/>
      <c r="AH11" t="str">
        <f>"56121"</f>
        <v>56121</v>
      </c>
      <c r="AI11" t="s">
        <v>167</v>
      </c>
      <c r="AJ11"/>
      <c r="AK11"/>
      <c r="AL11"/>
      <c r="AM11"/>
      <c r="AN11"/>
      <c r="AO11"/>
      <c r="AP11"/>
      <c r="AQ11" s="5"/>
      <c r="AR11"/>
      <c r="AS11"/>
      <c r="AT11" s="4"/>
      <c r="AU11"/>
      <c r="AV11"/>
      <c r="AW11"/>
      <c r="AX11" t="s">
        <v>131</v>
      </c>
      <c r="AY11" t="s">
        <v>131</v>
      </c>
      <c r="AZ11" t="s">
        <v>131</v>
      </c>
      <c r="BA11" t="s">
        <v>131</v>
      </c>
      <c r="BB11" t="s">
        <v>131</v>
      </c>
      <c r="BC11" t="s">
        <v>131</v>
      </c>
      <c r="BD11" t="s">
        <v>131</v>
      </c>
      <c r="BE11" t="s">
        <v>132</v>
      </c>
      <c r="BF11"/>
      <c r="BG11" s="1"/>
      <c r="BH11" t="s">
        <v>2678</v>
      </c>
      <c r="BI11" t="s">
        <v>131</v>
      </c>
      <c r="BJ11"/>
      <c r="BK11"/>
      <c r="BL11" t="s">
        <v>167</v>
      </c>
      <c r="BM11"/>
      <c r="BN11"/>
      <c r="BO11" t="s">
        <v>131</v>
      </c>
      <c r="BP11" t="s">
        <v>134</v>
      </c>
      <c r="BQ11" t="s">
        <v>131</v>
      </c>
      <c r="BR11"/>
      <c r="BS11" t="str">
        <f t="shared" si="0"/>
        <v>N/A</v>
      </c>
      <c r="BT11" t="s">
        <v>135</v>
      </c>
      <c r="BU11">
        <v>1</v>
      </c>
      <c r="BV11" t="str">
        <f>"Snowmaker"</f>
        <v>Snowmaker</v>
      </c>
      <c r="BW11" t="s">
        <v>131</v>
      </c>
      <c r="BX11" t="str">
        <f>""</f>
        <v/>
      </c>
      <c r="BY11" t="str">
        <f>""</f>
        <v/>
      </c>
      <c r="BZ11" t="str">
        <f>""</f>
        <v/>
      </c>
      <c r="CA11" t="str">
        <f>""</f>
        <v/>
      </c>
      <c r="CB11" t="s">
        <v>131</v>
      </c>
      <c r="CC11"/>
      <c r="CD11"/>
      <c r="CE11"/>
      <c r="CF11" t="s">
        <v>131</v>
      </c>
      <c r="CG11"/>
      <c r="CH11" t="str">
        <f>""</f>
        <v/>
      </c>
      <c r="CI11" t="s">
        <v>131</v>
      </c>
      <c r="CJ11"/>
      <c r="CK11" t="s">
        <v>131</v>
      </c>
      <c r="CL11" t="str">
        <f>""</f>
        <v/>
      </c>
      <c r="CM11" t="str">
        <f>""</f>
        <v/>
      </c>
      <c r="CN11" t="str">
        <f>""</f>
        <v/>
      </c>
      <c r="CO11" t="str">
        <f>""</f>
        <v/>
      </c>
      <c r="CP11" t="str">
        <f>"51-9199.00"</f>
        <v>51-9199.00</v>
      </c>
      <c r="CQ11" t="s">
        <v>1893</v>
      </c>
      <c r="CR11" t="s">
        <v>2679</v>
      </c>
      <c r="CS11" t="s">
        <v>131</v>
      </c>
      <c r="CT11"/>
      <c r="CU11" t="s">
        <v>2680</v>
      </c>
      <c r="CV11"/>
      <c r="CW11" t="s">
        <v>2681</v>
      </c>
      <c r="CX11" t="s">
        <v>594</v>
      </c>
      <c r="CY11"/>
      <c r="CZ11" s="3" t="str">
        <f>"28604"</f>
        <v>28604</v>
      </c>
      <c r="DA11" t="s">
        <v>131</v>
      </c>
      <c r="DB11" t="str">
        <f>"51-9199"</f>
        <v>51-9199</v>
      </c>
      <c r="DC11" t="s">
        <v>1893</v>
      </c>
      <c r="DD11" t="s">
        <v>134</v>
      </c>
      <c r="DE11" t="s">
        <v>134</v>
      </c>
      <c r="DF11" t="str">
        <f>""</f>
        <v/>
      </c>
      <c r="DG11"/>
      <c r="DH11" s="6">
        <v>11.07</v>
      </c>
      <c r="DI11" t="s">
        <v>344</v>
      </c>
      <c r="DJ11"/>
      <c r="DK11" t="s">
        <v>345</v>
      </c>
      <c r="DL11"/>
      <c r="DM11"/>
      <c r="DN11"/>
      <c r="DO11"/>
      <c r="DP11"/>
      <c r="DQ11"/>
      <c r="DR11" t="s">
        <v>2682</v>
      </c>
      <c r="DS11" s="6">
        <v>11.07</v>
      </c>
      <c r="DT11" t="s">
        <v>424</v>
      </c>
      <c r="DU11" s="1">
        <v>44351</v>
      </c>
      <c r="DV11" s="1">
        <v>44440</v>
      </c>
    </row>
    <row r="12" spans="1:126" s="7" customFormat="1" ht="15" customHeight="1" x14ac:dyDescent="0.35">
      <c r="A12" t="s">
        <v>15967</v>
      </c>
      <c r="B12" t="s">
        <v>318</v>
      </c>
      <c r="C12" s="1">
        <v>44319</v>
      </c>
      <c r="D12" s="1">
        <v>44351</v>
      </c>
      <c r="E12" s="1"/>
      <c r="F12" s="1"/>
      <c r="G12" s="1"/>
      <c r="H12" t="s">
        <v>319</v>
      </c>
      <c r="I12" t="s">
        <v>6729</v>
      </c>
      <c r="J12" t="s">
        <v>6730</v>
      </c>
      <c r="K12"/>
      <c r="L12" t="s">
        <v>395</v>
      </c>
      <c r="M12" t="s">
        <v>6731</v>
      </c>
      <c r="N12"/>
      <c r="O12" t="s">
        <v>6732</v>
      </c>
      <c r="P12" t="s">
        <v>127</v>
      </c>
      <c r="Q12" s="3">
        <v>12783</v>
      </c>
      <c r="R12" t="s">
        <v>128</v>
      </c>
      <c r="S12"/>
      <c r="T12" s="4">
        <v>19176732516</v>
      </c>
      <c r="U12"/>
      <c r="V12" t="s">
        <v>15968</v>
      </c>
      <c r="W12" t="s">
        <v>6734</v>
      </c>
      <c r="X12"/>
      <c r="Y12" t="s">
        <v>6731</v>
      </c>
      <c r="Z12"/>
      <c r="AA12" t="s">
        <v>6732</v>
      </c>
      <c r="AB12" t="s">
        <v>129</v>
      </c>
      <c r="AC12" s="3" t="str">
        <f>"12783"</f>
        <v>12783</v>
      </c>
      <c r="AD12" t="s">
        <v>128</v>
      </c>
      <c r="AE12"/>
      <c r="AF12" s="4">
        <v>19176732516</v>
      </c>
      <c r="AG12"/>
      <c r="AH12" t="str">
        <f>"56132"</f>
        <v>56132</v>
      </c>
      <c r="AI12" t="s">
        <v>130</v>
      </c>
      <c r="AJ12" t="s">
        <v>4153</v>
      </c>
      <c r="AK12" t="s">
        <v>301</v>
      </c>
      <c r="AL12" t="s">
        <v>1978</v>
      </c>
      <c r="AM12" t="s">
        <v>4154</v>
      </c>
      <c r="AN12" t="s">
        <v>1980</v>
      </c>
      <c r="AO12" t="s">
        <v>4155</v>
      </c>
      <c r="AP12" t="s">
        <v>382</v>
      </c>
      <c r="AQ12" s="5">
        <v>21401</v>
      </c>
      <c r="AR12" t="s">
        <v>128</v>
      </c>
      <c r="AS12"/>
      <c r="AT12" s="4">
        <v>14105739955</v>
      </c>
      <c r="AU12">
        <v>0</v>
      </c>
      <c r="AV12" t="s">
        <v>4156</v>
      </c>
      <c r="AW12" t="s">
        <v>4157</v>
      </c>
      <c r="AX12" t="s">
        <v>131</v>
      </c>
      <c r="AY12" t="s">
        <v>131</v>
      </c>
      <c r="AZ12" t="s">
        <v>131</v>
      </c>
      <c r="BA12" t="s">
        <v>131</v>
      </c>
      <c r="BB12" t="s">
        <v>131</v>
      </c>
      <c r="BC12" t="s">
        <v>131</v>
      </c>
      <c r="BD12" t="s">
        <v>131</v>
      </c>
      <c r="BE12" t="s">
        <v>132</v>
      </c>
      <c r="BF12"/>
      <c r="BG12" s="1"/>
      <c r="BH12" t="s">
        <v>12715</v>
      </c>
      <c r="BI12" t="s">
        <v>131</v>
      </c>
      <c r="BJ12"/>
      <c r="BK12"/>
      <c r="BL12" t="s">
        <v>167</v>
      </c>
      <c r="BM12"/>
      <c r="BN12"/>
      <c r="BO12" t="s">
        <v>131</v>
      </c>
      <c r="BP12" t="s">
        <v>134</v>
      </c>
      <c r="BQ12" t="s">
        <v>131</v>
      </c>
      <c r="BR12"/>
      <c r="BS12" t="str">
        <f t="shared" si="0"/>
        <v>N/A</v>
      </c>
      <c r="BT12" t="s">
        <v>131</v>
      </c>
      <c r="BU12"/>
      <c r="BV12" t="str">
        <f>""</f>
        <v/>
      </c>
      <c r="BW12" t="s">
        <v>131</v>
      </c>
      <c r="BX12" t="str">
        <f>""</f>
        <v/>
      </c>
      <c r="BY12" t="str">
        <f>""</f>
        <v/>
      </c>
      <c r="BZ12" t="str">
        <f>""</f>
        <v/>
      </c>
      <c r="CA12" t="str">
        <f>""</f>
        <v/>
      </c>
      <c r="CB12" t="s">
        <v>131</v>
      </c>
      <c r="CC12"/>
      <c r="CD12"/>
      <c r="CE12"/>
      <c r="CF12" t="s">
        <v>131</v>
      </c>
      <c r="CG12"/>
      <c r="CH12" t="str">
        <f>""</f>
        <v/>
      </c>
      <c r="CI12" t="s">
        <v>131</v>
      </c>
      <c r="CJ12"/>
      <c r="CK12" t="s">
        <v>131</v>
      </c>
      <c r="CL12" t="str">
        <f>""</f>
        <v/>
      </c>
      <c r="CM12" t="str">
        <f>""</f>
        <v/>
      </c>
      <c r="CN12" t="str">
        <f>""</f>
        <v/>
      </c>
      <c r="CO12" t="str">
        <f>""</f>
        <v/>
      </c>
      <c r="CP12" t="str">
        <f>"53-7064.00"</f>
        <v>53-7064.00</v>
      </c>
      <c r="CQ12" t="s">
        <v>2987</v>
      </c>
      <c r="CR12" t="s">
        <v>918</v>
      </c>
      <c r="CS12" t="s">
        <v>131</v>
      </c>
      <c r="CT12"/>
      <c r="CU12" t="s">
        <v>6736</v>
      </c>
      <c r="CV12"/>
      <c r="CW12" t="s">
        <v>6737</v>
      </c>
      <c r="CX12" t="s">
        <v>129</v>
      </c>
      <c r="CY12"/>
      <c r="CZ12" s="3" t="str">
        <f>"12754"</f>
        <v>12754</v>
      </c>
      <c r="DA12" t="s">
        <v>131</v>
      </c>
      <c r="DB12" t="str">
        <f>"53-7064"</f>
        <v>53-7064</v>
      </c>
      <c r="DC12" t="s">
        <v>2987</v>
      </c>
      <c r="DD12" t="s">
        <v>134</v>
      </c>
      <c r="DE12" t="s">
        <v>134</v>
      </c>
      <c r="DF12" t="str">
        <f>""</f>
        <v/>
      </c>
      <c r="DG12"/>
      <c r="DH12" s="6">
        <v>14.11</v>
      </c>
      <c r="DI12" t="s">
        <v>344</v>
      </c>
      <c r="DJ12"/>
      <c r="DK12" t="s">
        <v>345</v>
      </c>
      <c r="DL12"/>
      <c r="DM12"/>
      <c r="DN12"/>
      <c r="DO12"/>
      <c r="DP12"/>
      <c r="DQ12"/>
      <c r="DR12"/>
      <c r="DS12" s="6">
        <v>14.11</v>
      </c>
      <c r="DT12" t="s">
        <v>424</v>
      </c>
      <c r="DU12" s="1">
        <v>44351</v>
      </c>
      <c r="DV12" s="1">
        <v>44440</v>
      </c>
    </row>
    <row r="13" spans="1:126" s="7" customFormat="1" ht="15" customHeight="1" x14ac:dyDescent="0.35">
      <c r="A13" t="s">
        <v>10979</v>
      </c>
      <c r="B13" t="s">
        <v>318</v>
      </c>
      <c r="C13" s="1">
        <v>44319</v>
      </c>
      <c r="D13" s="1">
        <v>44351</v>
      </c>
      <c r="E13" s="1"/>
      <c r="F13" s="1"/>
      <c r="G13" s="1"/>
      <c r="H13" t="s">
        <v>319</v>
      </c>
      <c r="I13" t="s">
        <v>2672</v>
      </c>
      <c r="J13" t="s">
        <v>1493</v>
      </c>
      <c r="K13" t="s">
        <v>2673</v>
      </c>
      <c r="L13" t="s">
        <v>460</v>
      </c>
      <c r="M13" t="s">
        <v>2674</v>
      </c>
      <c r="N13"/>
      <c r="O13" t="s">
        <v>1418</v>
      </c>
      <c r="P13" t="s">
        <v>2675</v>
      </c>
      <c r="Q13" s="3">
        <v>89511</v>
      </c>
      <c r="R13" t="s">
        <v>128</v>
      </c>
      <c r="S13"/>
      <c r="T13" s="4">
        <v>15305465950</v>
      </c>
      <c r="U13"/>
      <c r="V13" t="s">
        <v>2676</v>
      </c>
      <c r="W13" t="s">
        <v>2677</v>
      </c>
      <c r="X13" t="s">
        <v>2677</v>
      </c>
      <c r="Y13" t="s">
        <v>2674</v>
      </c>
      <c r="Z13"/>
      <c r="AA13" t="s">
        <v>1418</v>
      </c>
      <c r="AB13" t="s">
        <v>1073</v>
      </c>
      <c r="AC13" s="3" t="str">
        <f>"89511"</f>
        <v>89511</v>
      </c>
      <c r="AD13" t="s">
        <v>128</v>
      </c>
      <c r="AE13"/>
      <c r="AF13" s="4">
        <v>15305465950</v>
      </c>
      <c r="AG13"/>
      <c r="AH13" t="str">
        <f>"56121"</f>
        <v>56121</v>
      </c>
      <c r="AI13" t="s">
        <v>167</v>
      </c>
      <c r="AJ13"/>
      <c r="AK13"/>
      <c r="AL13"/>
      <c r="AM13"/>
      <c r="AN13"/>
      <c r="AO13"/>
      <c r="AP13"/>
      <c r="AQ13" s="5"/>
      <c r="AR13"/>
      <c r="AS13"/>
      <c r="AT13" s="4"/>
      <c r="AU13"/>
      <c r="AV13"/>
      <c r="AW13"/>
      <c r="AX13" t="s">
        <v>131</v>
      </c>
      <c r="AY13" t="s">
        <v>131</v>
      </c>
      <c r="AZ13" t="s">
        <v>131</v>
      </c>
      <c r="BA13" t="s">
        <v>131</v>
      </c>
      <c r="BB13" t="s">
        <v>131</v>
      </c>
      <c r="BC13" t="s">
        <v>131</v>
      </c>
      <c r="BD13" t="s">
        <v>131</v>
      </c>
      <c r="BE13" t="s">
        <v>132</v>
      </c>
      <c r="BF13"/>
      <c r="BG13" s="1"/>
      <c r="BH13" t="s">
        <v>2678</v>
      </c>
      <c r="BI13" t="s">
        <v>131</v>
      </c>
      <c r="BJ13"/>
      <c r="BK13"/>
      <c r="BL13" t="s">
        <v>167</v>
      </c>
      <c r="BM13"/>
      <c r="BN13"/>
      <c r="BO13" t="s">
        <v>131</v>
      </c>
      <c r="BP13" t="s">
        <v>134</v>
      </c>
      <c r="BQ13" t="s">
        <v>131</v>
      </c>
      <c r="BR13"/>
      <c r="BS13" t="str">
        <f t="shared" si="0"/>
        <v>N/A</v>
      </c>
      <c r="BT13" t="s">
        <v>135</v>
      </c>
      <c r="BU13">
        <v>1</v>
      </c>
      <c r="BV13" t="str">
        <f>"Snowmaker"</f>
        <v>Snowmaker</v>
      </c>
      <c r="BW13" t="s">
        <v>131</v>
      </c>
      <c r="BX13" t="str">
        <f>""</f>
        <v/>
      </c>
      <c r="BY13" t="str">
        <f>""</f>
        <v/>
      </c>
      <c r="BZ13" t="str">
        <f>""</f>
        <v/>
      </c>
      <c r="CA13" t="str">
        <f>""</f>
        <v/>
      </c>
      <c r="CB13" t="s">
        <v>131</v>
      </c>
      <c r="CC13"/>
      <c r="CD13"/>
      <c r="CE13"/>
      <c r="CF13" t="s">
        <v>131</v>
      </c>
      <c r="CG13"/>
      <c r="CH13" t="str">
        <f>""</f>
        <v/>
      </c>
      <c r="CI13" t="s">
        <v>131</v>
      </c>
      <c r="CJ13"/>
      <c r="CK13" t="s">
        <v>131</v>
      </c>
      <c r="CL13" t="str">
        <f>""</f>
        <v/>
      </c>
      <c r="CM13" t="str">
        <f>""</f>
        <v/>
      </c>
      <c r="CN13" t="str">
        <f>""</f>
        <v/>
      </c>
      <c r="CO13" t="str">
        <f>""</f>
        <v/>
      </c>
      <c r="CP13" t="str">
        <f>"51-9199.00"</f>
        <v>51-9199.00</v>
      </c>
      <c r="CQ13" t="s">
        <v>1893</v>
      </c>
      <c r="CR13" t="s">
        <v>2679</v>
      </c>
      <c r="CS13" t="s">
        <v>131</v>
      </c>
      <c r="CT13"/>
      <c r="CU13" t="s">
        <v>10980</v>
      </c>
      <c r="CV13"/>
      <c r="CW13" t="s">
        <v>10981</v>
      </c>
      <c r="CX13" t="s">
        <v>779</v>
      </c>
      <c r="CY13"/>
      <c r="CZ13" s="3" t="str">
        <f>"37738"</f>
        <v>37738</v>
      </c>
      <c r="DA13" t="s">
        <v>131</v>
      </c>
      <c r="DB13" t="str">
        <f>"51-9199"</f>
        <v>51-9199</v>
      </c>
      <c r="DC13" t="s">
        <v>1893</v>
      </c>
      <c r="DD13" t="s">
        <v>134</v>
      </c>
      <c r="DE13" t="s">
        <v>134</v>
      </c>
      <c r="DF13" t="str">
        <f>""</f>
        <v/>
      </c>
      <c r="DG13"/>
      <c r="DH13" s="6">
        <v>15.51</v>
      </c>
      <c r="DI13" t="s">
        <v>344</v>
      </c>
      <c r="DJ13"/>
      <c r="DK13" t="s">
        <v>345</v>
      </c>
      <c r="DL13"/>
      <c r="DM13"/>
      <c r="DN13"/>
      <c r="DO13"/>
      <c r="DP13"/>
      <c r="DQ13"/>
      <c r="DR13" t="s">
        <v>8289</v>
      </c>
      <c r="DS13" s="6">
        <v>15.51</v>
      </c>
      <c r="DT13" t="s">
        <v>424</v>
      </c>
      <c r="DU13" s="1">
        <v>44351</v>
      </c>
      <c r="DV13" s="1">
        <v>44440</v>
      </c>
    </row>
    <row r="14" spans="1:126" s="7" customFormat="1" ht="15" customHeight="1" x14ac:dyDescent="0.35">
      <c r="A14" t="s">
        <v>11127</v>
      </c>
      <c r="B14" t="s">
        <v>318</v>
      </c>
      <c r="C14" s="1">
        <v>44319</v>
      </c>
      <c r="D14" s="1">
        <v>44351</v>
      </c>
      <c r="E14" s="1"/>
      <c r="F14" s="1"/>
      <c r="G14" s="1"/>
      <c r="H14" t="s">
        <v>319</v>
      </c>
      <c r="I14" t="s">
        <v>11128</v>
      </c>
      <c r="J14" t="s">
        <v>2689</v>
      </c>
      <c r="K14"/>
      <c r="L14" t="s">
        <v>395</v>
      </c>
      <c r="M14" t="s">
        <v>11129</v>
      </c>
      <c r="N14"/>
      <c r="O14" t="s">
        <v>11130</v>
      </c>
      <c r="P14" t="s">
        <v>311</v>
      </c>
      <c r="Q14" s="3">
        <v>19475</v>
      </c>
      <c r="R14" t="s">
        <v>128</v>
      </c>
      <c r="S14"/>
      <c r="T14" s="4">
        <v>16109488859</v>
      </c>
      <c r="U14"/>
      <c r="V14" t="s">
        <v>1253</v>
      </c>
      <c r="W14" t="s">
        <v>11131</v>
      </c>
      <c r="X14"/>
      <c r="Y14" t="s">
        <v>11129</v>
      </c>
      <c r="Z14"/>
      <c r="AA14" t="s">
        <v>11130</v>
      </c>
      <c r="AB14" t="s">
        <v>312</v>
      </c>
      <c r="AC14" s="3" t="str">
        <f>"19475"</f>
        <v>19475</v>
      </c>
      <c r="AD14" t="s">
        <v>128</v>
      </c>
      <c r="AE14"/>
      <c r="AF14" s="4">
        <v>16109488859</v>
      </c>
      <c r="AG14"/>
      <c r="AH14" t="str">
        <f>"56173"</f>
        <v>56173</v>
      </c>
      <c r="AI14" t="s">
        <v>287</v>
      </c>
      <c r="AJ14" t="s">
        <v>414</v>
      </c>
      <c r="AK14" t="s">
        <v>301</v>
      </c>
      <c r="AL14" t="s">
        <v>415</v>
      </c>
      <c r="AM14" t="s">
        <v>7360</v>
      </c>
      <c r="AN14" t="s">
        <v>7361</v>
      </c>
      <c r="AO14" t="s">
        <v>1513</v>
      </c>
      <c r="AP14" t="s">
        <v>400</v>
      </c>
      <c r="AQ14" s="5">
        <v>75231</v>
      </c>
      <c r="AR14" t="s">
        <v>128</v>
      </c>
      <c r="AS14"/>
      <c r="AT14" s="4">
        <v>12145265665</v>
      </c>
      <c r="AU14"/>
      <c r="AV14" t="s">
        <v>7362</v>
      </c>
      <c r="AW14" t="s">
        <v>7363</v>
      </c>
      <c r="AX14" t="s">
        <v>131</v>
      </c>
      <c r="AY14" t="s">
        <v>131</v>
      </c>
      <c r="AZ14" t="s">
        <v>131</v>
      </c>
      <c r="BA14" t="s">
        <v>131</v>
      </c>
      <c r="BB14" t="s">
        <v>131</v>
      </c>
      <c r="BC14" t="s">
        <v>131</v>
      </c>
      <c r="BD14" t="s">
        <v>131</v>
      </c>
      <c r="BE14" t="s">
        <v>132</v>
      </c>
      <c r="BF14"/>
      <c r="BG14" s="1"/>
      <c r="BH14" t="s">
        <v>2215</v>
      </c>
      <c r="BI14" t="s">
        <v>131</v>
      </c>
      <c r="BJ14"/>
      <c r="BK14"/>
      <c r="BL14" t="s">
        <v>167</v>
      </c>
      <c r="BM14"/>
      <c r="BN14"/>
      <c r="BO14" t="s">
        <v>131</v>
      </c>
      <c r="BP14" t="s">
        <v>134</v>
      </c>
      <c r="BQ14" t="s">
        <v>131</v>
      </c>
      <c r="BR14"/>
      <c r="BS14" t="str">
        <f t="shared" si="0"/>
        <v>N/A</v>
      </c>
      <c r="BT14" t="s">
        <v>131</v>
      </c>
      <c r="BU14"/>
      <c r="BV14" t="str">
        <f>""</f>
        <v/>
      </c>
      <c r="BW14" t="s">
        <v>135</v>
      </c>
      <c r="BX14" t="str">
        <f>""</f>
        <v/>
      </c>
      <c r="BY14" t="str">
        <f>""</f>
        <v/>
      </c>
      <c r="BZ14" t="str">
        <f>""</f>
        <v/>
      </c>
      <c r="CA14" t="str">
        <f>"Must be able to lift 50 lbs, work in adverse weather conditions &amp; pass a post-employment drug test paid by employer &amp; also a pre-employment criminal background check that’s required by public school systems. "</f>
        <v xml:space="preserve">Must be able to lift 50 lbs, work in adverse weather conditions &amp; pass a post-employment drug test paid by employer &amp; also a pre-employment criminal background check that’s required by public school systems. </v>
      </c>
      <c r="CB14" t="s">
        <v>131</v>
      </c>
      <c r="CC14"/>
      <c r="CD14"/>
      <c r="CE14"/>
      <c r="CF14" t="s">
        <v>131</v>
      </c>
      <c r="CG14"/>
      <c r="CH14" t="str">
        <f>""</f>
        <v/>
      </c>
      <c r="CI14" t="s">
        <v>131</v>
      </c>
      <c r="CJ14"/>
      <c r="CK14" t="s">
        <v>131</v>
      </c>
      <c r="CL14" t="str">
        <f>""</f>
        <v/>
      </c>
      <c r="CM14" t="str">
        <f>""</f>
        <v/>
      </c>
      <c r="CN14" t="str">
        <f>""</f>
        <v/>
      </c>
      <c r="CO14" t="str">
        <f>""</f>
        <v/>
      </c>
      <c r="CP14" t="str">
        <f>"37-3011.00"</f>
        <v>37-3011.00</v>
      </c>
      <c r="CQ14" t="s">
        <v>920</v>
      </c>
      <c r="CR14" t="s">
        <v>3086</v>
      </c>
      <c r="CS14" t="s">
        <v>131</v>
      </c>
      <c r="CT14"/>
      <c r="CU14" t="s">
        <v>11132</v>
      </c>
      <c r="CV14"/>
      <c r="CW14" t="s">
        <v>11130</v>
      </c>
      <c r="CX14" t="s">
        <v>312</v>
      </c>
      <c r="CY14"/>
      <c r="CZ14" s="3" t="str">
        <f>"19475"</f>
        <v>19475</v>
      </c>
      <c r="DA14" t="s">
        <v>135</v>
      </c>
      <c r="DB14" t="str">
        <f>"37-3011"</f>
        <v>37-3011</v>
      </c>
      <c r="DC14" t="s">
        <v>920</v>
      </c>
      <c r="DD14" t="s">
        <v>134</v>
      </c>
      <c r="DE14" t="s">
        <v>134</v>
      </c>
      <c r="DF14" t="str">
        <f>""</f>
        <v/>
      </c>
      <c r="DG14"/>
      <c r="DH14" s="6">
        <v>16.600000000000001</v>
      </c>
      <c r="DI14" t="s">
        <v>344</v>
      </c>
      <c r="DJ14"/>
      <c r="DK14" t="s">
        <v>345</v>
      </c>
      <c r="DL14"/>
      <c r="DM14"/>
      <c r="DN14"/>
      <c r="DO14"/>
      <c r="DP14"/>
      <c r="DQ14"/>
      <c r="DR14"/>
      <c r="DS14" s="6">
        <v>16.600000000000001</v>
      </c>
      <c r="DT14" t="s">
        <v>424</v>
      </c>
      <c r="DU14" s="1">
        <v>44351</v>
      </c>
      <c r="DV14" s="1">
        <v>44440</v>
      </c>
    </row>
    <row r="15" spans="1:126" s="7" customFormat="1" ht="15" customHeight="1" x14ac:dyDescent="0.35">
      <c r="A15" t="s">
        <v>20186</v>
      </c>
      <c r="B15" t="s">
        <v>318</v>
      </c>
      <c r="C15" s="1">
        <v>44319</v>
      </c>
      <c r="D15" s="1">
        <v>44351</v>
      </c>
      <c r="E15" s="1"/>
      <c r="F15" s="1"/>
      <c r="G15" s="1"/>
      <c r="H15" t="s">
        <v>319</v>
      </c>
      <c r="I15" t="s">
        <v>6729</v>
      </c>
      <c r="J15" t="s">
        <v>6730</v>
      </c>
      <c r="K15"/>
      <c r="L15" t="s">
        <v>395</v>
      </c>
      <c r="M15" t="s">
        <v>6731</v>
      </c>
      <c r="N15"/>
      <c r="O15" t="s">
        <v>6732</v>
      </c>
      <c r="P15" t="s">
        <v>127</v>
      </c>
      <c r="Q15" s="3">
        <v>12783</v>
      </c>
      <c r="R15" t="s">
        <v>128</v>
      </c>
      <c r="S15"/>
      <c r="T15" s="4">
        <v>19176732516</v>
      </c>
      <c r="U15"/>
      <c r="V15" t="s">
        <v>15968</v>
      </c>
      <c r="W15" t="s">
        <v>6734</v>
      </c>
      <c r="X15"/>
      <c r="Y15" t="s">
        <v>6731</v>
      </c>
      <c r="Z15"/>
      <c r="AA15" t="s">
        <v>6732</v>
      </c>
      <c r="AB15" t="s">
        <v>129</v>
      </c>
      <c r="AC15" s="3" t="str">
        <f>"12783"</f>
        <v>12783</v>
      </c>
      <c r="AD15" t="s">
        <v>128</v>
      </c>
      <c r="AE15"/>
      <c r="AF15" s="4">
        <v>19176732516</v>
      </c>
      <c r="AG15"/>
      <c r="AH15" t="str">
        <f>"56132"</f>
        <v>56132</v>
      </c>
      <c r="AI15" t="s">
        <v>130</v>
      </c>
      <c r="AJ15" t="s">
        <v>4153</v>
      </c>
      <c r="AK15" t="s">
        <v>301</v>
      </c>
      <c r="AL15" t="s">
        <v>1978</v>
      </c>
      <c r="AM15" t="s">
        <v>4154</v>
      </c>
      <c r="AN15" t="s">
        <v>1980</v>
      </c>
      <c r="AO15" t="s">
        <v>4155</v>
      </c>
      <c r="AP15" t="s">
        <v>382</v>
      </c>
      <c r="AQ15" s="5">
        <v>21401</v>
      </c>
      <c r="AR15" t="s">
        <v>128</v>
      </c>
      <c r="AS15"/>
      <c r="AT15" s="4">
        <v>14105739955</v>
      </c>
      <c r="AU15">
        <v>0</v>
      </c>
      <c r="AV15" t="s">
        <v>4156</v>
      </c>
      <c r="AW15" t="s">
        <v>4157</v>
      </c>
      <c r="AX15" t="s">
        <v>131</v>
      </c>
      <c r="AY15" t="s">
        <v>131</v>
      </c>
      <c r="AZ15" t="s">
        <v>131</v>
      </c>
      <c r="BA15" t="s">
        <v>131</v>
      </c>
      <c r="BB15" t="s">
        <v>131</v>
      </c>
      <c r="BC15" t="s">
        <v>131</v>
      </c>
      <c r="BD15" t="s">
        <v>131</v>
      </c>
      <c r="BE15" t="s">
        <v>132</v>
      </c>
      <c r="BF15"/>
      <c r="BG15" s="1"/>
      <c r="BH15" t="s">
        <v>20187</v>
      </c>
      <c r="BI15" t="s">
        <v>131</v>
      </c>
      <c r="BJ15"/>
      <c r="BK15"/>
      <c r="BL15" t="s">
        <v>167</v>
      </c>
      <c r="BM15"/>
      <c r="BN15"/>
      <c r="BO15" t="s">
        <v>131</v>
      </c>
      <c r="BP15" t="s">
        <v>134</v>
      </c>
      <c r="BQ15" t="s">
        <v>131</v>
      </c>
      <c r="BR15"/>
      <c r="BS15" t="str">
        <f t="shared" si="0"/>
        <v>N/A</v>
      </c>
      <c r="BT15" t="s">
        <v>131</v>
      </c>
      <c r="BU15"/>
      <c r="BV15" t="str">
        <f>""</f>
        <v/>
      </c>
      <c r="BW15" t="s">
        <v>131</v>
      </c>
      <c r="BX15" t="str">
        <f>""</f>
        <v/>
      </c>
      <c r="BY15" t="str">
        <f>""</f>
        <v/>
      </c>
      <c r="BZ15" t="str">
        <f>""</f>
        <v/>
      </c>
      <c r="CA15" t="str">
        <f>""</f>
        <v/>
      </c>
      <c r="CB15" t="s">
        <v>131</v>
      </c>
      <c r="CC15"/>
      <c r="CD15"/>
      <c r="CE15"/>
      <c r="CF15" t="s">
        <v>131</v>
      </c>
      <c r="CG15"/>
      <c r="CH15" t="str">
        <f>""</f>
        <v/>
      </c>
      <c r="CI15" t="s">
        <v>131</v>
      </c>
      <c r="CJ15"/>
      <c r="CK15" t="s">
        <v>131</v>
      </c>
      <c r="CL15" t="str">
        <f>""</f>
        <v/>
      </c>
      <c r="CM15" t="str">
        <f>""</f>
        <v/>
      </c>
      <c r="CN15" t="str">
        <f>""</f>
        <v/>
      </c>
      <c r="CO15" t="str">
        <f>""</f>
        <v/>
      </c>
      <c r="CP15" t="str">
        <f>"51-3093.00"</f>
        <v>51-3093.00</v>
      </c>
      <c r="CQ15" t="s">
        <v>15189</v>
      </c>
      <c r="CR15" t="s">
        <v>20188</v>
      </c>
      <c r="CS15" t="s">
        <v>131</v>
      </c>
      <c r="CT15"/>
      <c r="CU15" t="s">
        <v>6736</v>
      </c>
      <c r="CV15"/>
      <c r="CW15" t="s">
        <v>6737</v>
      </c>
      <c r="CX15" t="s">
        <v>129</v>
      </c>
      <c r="CY15"/>
      <c r="CZ15" s="3" t="str">
        <f>"12754"</f>
        <v>12754</v>
      </c>
      <c r="DA15" t="s">
        <v>131</v>
      </c>
      <c r="DB15" t="str">
        <f>"51-3092"</f>
        <v>51-3092</v>
      </c>
      <c r="DC15" t="s">
        <v>2402</v>
      </c>
      <c r="DD15" t="s">
        <v>134</v>
      </c>
      <c r="DE15" t="s">
        <v>134</v>
      </c>
      <c r="DF15" t="str">
        <f>""</f>
        <v/>
      </c>
      <c r="DG15"/>
      <c r="DH15" s="6">
        <v>17.14</v>
      </c>
      <c r="DI15" t="s">
        <v>344</v>
      </c>
      <c r="DJ15"/>
      <c r="DK15" t="s">
        <v>345</v>
      </c>
      <c r="DL15"/>
      <c r="DM15"/>
      <c r="DN15"/>
      <c r="DO15"/>
      <c r="DP15"/>
      <c r="DQ15"/>
      <c r="DR15"/>
      <c r="DS15" s="6">
        <v>17.14</v>
      </c>
      <c r="DT15" t="s">
        <v>424</v>
      </c>
      <c r="DU15" s="1">
        <v>44351</v>
      </c>
      <c r="DV15" s="1">
        <v>44440</v>
      </c>
    </row>
    <row r="16" spans="1:126" s="7" customFormat="1" ht="15" customHeight="1" x14ac:dyDescent="0.35">
      <c r="A16" t="s">
        <v>17209</v>
      </c>
      <c r="B16" t="s">
        <v>318</v>
      </c>
      <c r="C16" s="1">
        <v>44319</v>
      </c>
      <c r="D16" s="1">
        <v>44351</v>
      </c>
      <c r="E16" s="1"/>
      <c r="F16" s="1"/>
      <c r="G16" s="1"/>
      <c r="H16" t="s">
        <v>319</v>
      </c>
      <c r="I16" t="s">
        <v>6729</v>
      </c>
      <c r="J16" t="s">
        <v>6730</v>
      </c>
      <c r="K16"/>
      <c r="L16" t="s">
        <v>395</v>
      </c>
      <c r="M16" t="s">
        <v>6731</v>
      </c>
      <c r="N16"/>
      <c r="O16" t="s">
        <v>6732</v>
      </c>
      <c r="P16" t="s">
        <v>127</v>
      </c>
      <c r="Q16" s="3">
        <v>12783</v>
      </c>
      <c r="R16" t="s">
        <v>128</v>
      </c>
      <c r="S16"/>
      <c r="T16" s="4">
        <v>19176732516</v>
      </c>
      <c r="U16"/>
      <c r="V16" t="s">
        <v>6733</v>
      </c>
      <c r="W16" t="s">
        <v>6734</v>
      </c>
      <c r="X16"/>
      <c r="Y16" t="s">
        <v>6731</v>
      </c>
      <c r="Z16"/>
      <c r="AA16" t="s">
        <v>6732</v>
      </c>
      <c r="AB16" t="s">
        <v>129</v>
      </c>
      <c r="AC16" s="3" t="str">
        <f>"12783"</f>
        <v>12783</v>
      </c>
      <c r="AD16" t="s">
        <v>128</v>
      </c>
      <c r="AE16"/>
      <c r="AF16" s="4">
        <v>19176732516</v>
      </c>
      <c r="AG16"/>
      <c r="AH16" t="str">
        <f>"56132"</f>
        <v>56132</v>
      </c>
      <c r="AI16" t="s">
        <v>130</v>
      </c>
      <c r="AJ16" t="s">
        <v>4153</v>
      </c>
      <c r="AK16" t="s">
        <v>301</v>
      </c>
      <c r="AL16" t="s">
        <v>1978</v>
      </c>
      <c r="AM16" t="s">
        <v>4154</v>
      </c>
      <c r="AN16" t="s">
        <v>1980</v>
      </c>
      <c r="AO16" t="s">
        <v>4155</v>
      </c>
      <c r="AP16" t="s">
        <v>382</v>
      </c>
      <c r="AQ16" s="5">
        <v>21401</v>
      </c>
      <c r="AR16" t="s">
        <v>128</v>
      </c>
      <c r="AS16"/>
      <c r="AT16" s="4">
        <v>14105739955</v>
      </c>
      <c r="AU16">
        <v>0</v>
      </c>
      <c r="AV16" t="s">
        <v>4156</v>
      </c>
      <c r="AW16" t="s">
        <v>4157</v>
      </c>
      <c r="AX16" t="s">
        <v>131</v>
      </c>
      <c r="AY16" t="s">
        <v>131</v>
      </c>
      <c r="AZ16" t="s">
        <v>131</v>
      </c>
      <c r="BA16" t="s">
        <v>131</v>
      </c>
      <c r="BB16" t="s">
        <v>131</v>
      </c>
      <c r="BC16" t="s">
        <v>131</v>
      </c>
      <c r="BD16" t="s">
        <v>131</v>
      </c>
      <c r="BE16" t="s">
        <v>132</v>
      </c>
      <c r="BF16"/>
      <c r="BG16" s="1"/>
      <c r="BH16" t="s">
        <v>13693</v>
      </c>
      <c r="BI16" t="s">
        <v>131</v>
      </c>
      <c r="BJ16"/>
      <c r="BK16"/>
      <c r="BL16" t="s">
        <v>167</v>
      </c>
      <c r="BM16"/>
      <c r="BN16"/>
      <c r="BO16" t="s">
        <v>131</v>
      </c>
      <c r="BP16" t="s">
        <v>134</v>
      </c>
      <c r="BQ16" t="s">
        <v>131</v>
      </c>
      <c r="BR16"/>
      <c r="BS16" t="str">
        <f t="shared" si="0"/>
        <v>N/A</v>
      </c>
      <c r="BT16" t="s">
        <v>131</v>
      </c>
      <c r="BU16"/>
      <c r="BV16" t="str">
        <f>""</f>
        <v/>
      </c>
      <c r="BW16" t="s">
        <v>131</v>
      </c>
      <c r="BX16" t="str">
        <f>""</f>
        <v/>
      </c>
      <c r="BY16" t="str">
        <f>""</f>
        <v/>
      </c>
      <c r="BZ16" t="str">
        <f>""</f>
        <v/>
      </c>
      <c r="CA16" t="str">
        <f>""</f>
        <v/>
      </c>
      <c r="CB16" t="s">
        <v>131</v>
      </c>
      <c r="CC16"/>
      <c r="CD16"/>
      <c r="CE16"/>
      <c r="CF16" t="s">
        <v>131</v>
      </c>
      <c r="CG16"/>
      <c r="CH16" t="str">
        <f>""</f>
        <v/>
      </c>
      <c r="CI16" t="s">
        <v>131</v>
      </c>
      <c r="CJ16"/>
      <c r="CK16" t="s">
        <v>131</v>
      </c>
      <c r="CL16" t="str">
        <f>""</f>
        <v/>
      </c>
      <c r="CM16" t="str">
        <f>""</f>
        <v/>
      </c>
      <c r="CN16" t="str">
        <f>""</f>
        <v/>
      </c>
      <c r="CO16" t="str">
        <f>""</f>
        <v/>
      </c>
      <c r="CP16" t="str">
        <f>"51-9198.00"</f>
        <v>51-9198.00</v>
      </c>
      <c r="CQ16" t="s">
        <v>2685</v>
      </c>
      <c r="CR16" t="s">
        <v>918</v>
      </c>
      <c r="CS16" t="s">
        <v>131</v>
      </c>
      <c r="CT16"/>
      <c r="CU16" t="s">
        <v>6736</v>
      </c>
      <c r="CV16"/>
      <c r="CW16" t="s">
        <v>6737</v>
      </c>
      <c r="CX16" t="s">
        <v>129</v>
      </c>
      <c r="CY16"/>
      <c r="CZ16" s="3" t="str">
        <f>"12754"</f>
        <v>12754</v>
      </c>
      <c r="DA16" t="s">
        <v>131</v>
      </c>
      <c r="DB16" t="str">
        <f>"51-9198"</f>
        <v>51-9198</v>
      </c>
      <c r="DC16" t="s">
        <v>2685</v>
      </c>
      <c r="DD16" t="s">
        <v>134</v>
      </c>
      <c r="DE16" t="s">
        <v>134</v>
      </c>
      <c r="DF16" t="str">
        <f>""</f>
        <v/>
      </c>
      <c r="DG16"/>
      <c r="DH16" s="6">
        <v>14.02</v>
      </c>
      <c r="DI16" t="s">
        <v>344</v>
      </c>
      <c r="DJ16"/>
      <c r="DK16" t="s">
        <v>345</v>
      </c>
      <c r="DL16"/>
      <c r="DM16"/>
      <c r="DN16"/>
      <c r="DO16"/>
      <c r="DP16"/>
      <c r="DQ16"/>
      <c r="DR16"/>
      <c r="DS16" s="6">
        <v>14.02</v>
      </c>
      <c r="DT16" t="s">
        <v>424</v>
      </c>
      <c r="DU16" s="1">
        <v>44351</v>
      </c>
      <c r="DV16" s="1">
        <v>44440</v>
      </c>
    </row>
    <row r="17" spans="1:126" s="7" customFormat="1" ht="15" customHeight="1" x14ac:dyDescent="0.35">
      <c r="A17" t="s">
        <v>6728</v>
      </c>
      <c r="B17" t="s">
        <v>318</v>
      </c>
      <c r="C17" s="1">
        <v>44319</v>
      </c>
      <c r="D17" s="1">
        <v>44351</v>
      </c>
      <c r="E17" s="1"/>
      <c r="F17" s="1"/>
      <c r="G17" s="1"/>
      <c r="H17" t="s">
        <v>319</v>
      </c>
      <c r="I17" t="s">
        <v>6729</v>
      </c>
      <c r="J17" t="s">
        <v>6730</v>
      </c>
      <c r="K17"/>
      <c r="L17" t="s">
        <v>395</v>
      </c>
      <c r="M17" t="s">
        <v>6731</v>
      </c>
      <c r="N17"/>
      <c r="O17" t="s">
        <v>6732</v>
      </c>
      <c r="P17" t="s">
        <v>127</v>
      </c>
      <c r="Q17" s="3">
        <v>12783</v>
      </c>
      <c r="R17" t="s">
        <v>128</v>
      </c>
      <c r="S17"/>
      <c r="T17" s="4">
        <v>19176732516</v>
      </c>
      <c r="U17"/>
      <c r="V17" t="s">
        <v>6733</v>
      </c>
      <c r="W17" t="s">
        <v>6734</v>
      </c>
      <c r="X17"/>
      <c r="Y17" t="s">
        <v>6731</v>
      </c>
      <c r="Z17"/>
      <c r="AA17" t="s">
        <v>6732</v>
      </c>
      <c r="AB17" t="s">
        <v>129</v>
      </c>
      <c r="AC17" s="3" t="str">
        <f>"12783"</f>
        <v>12783</v>
      </c>
      <c r="AD17" t="s">
        <v>128</v>
      </c>
      <c r="AE17"/>
      <c r="AF17" s="4">
        <v>19176732516</v>
      </c>
      <c r="AG17"/>
      <c r="AH17" t="str">
        <f>"56132"</f>
        <v>56132</v>
      </c>
      <c r="AI17" t="s">
        <v>130</v>
      </c>
      <c r="AJ17" t="s">
        <v>4153</v>
      </c>
      <c r="AK17" t="s">
        <v>301</v>
      </c>
      <c r="AL17" t="s">
        <v>1978</v>
      </c>
      <c r="AM17" t="s">
        <v>4154</v>
      </c>
      <c r="AN17" t="s">
        <v>1980</v>
      </c>
      <c r="AO17" t="s">
        <v>4155</v>
      </c>
      <c r="AP17" t="s">
        <v>382</v>
      </c>
      <c r="AQ17" s="5">
        <v>21401</v>
      </c>
      <c r="AR17" t="s">
        <v>128</v>
      </c>
      <c r="AS17"/>
      <c r="AT17" s="4">
        <v>14105739955</v>
      </c>
      <c r="AU17">
        <v>0</v>
      </c>
      <c r="AV17" t="s">
        <v>4156</v>
      </c>
      <c r="AW17" t="s">
        <v>4157</v>
      </c>
      <c r="AX17" t="s">
        <v>131</v>
      </c>
      <c r="AY17" t="s">
        <v>131</v>
      </c>
      <c r="AZ17" t="s">
        <v>131</v>
      </c>
      <c r="BA17" t="s">
        <v>131</v>
      </c>
      <c r="BB17" t="s">
        <v>131</v>
      </c>
      <c r="BC17" t="s">
        <v>131</v>
      </c>
      <c r="BD17" t="s">
        <v>131</v>
      </c>
      <c r="BE17" t="s">
        <v>132</v>
      </c>
      <c r="BF17"/>
      <c r="BG17" s="1"/>
      <c r="BH17" t="s">
        <v>6735</v>
      </c>
      <c r="BI17" t="s">
        <v>131</v>
      </c>
      <c r="BJ17"/>
      <c r="BK17"/>
      <c r="BL17" t="s">
        <v>167</v>
      </c>
      <c r="BM17"/>
      <c r="BN17"/>
      <c r="BO17" t="s">
        <v>131</v>
      </c>
      <c r="BP17" t="s">
        <v>134</v>
      </c>
      <c r="BQ17" t="s">
        <v>131</v>
      </c>
      <c r="BR17"/>
      <c r="BS17" t="str">
        <f t="shared" si="0"/>
        <v>N/A</v>
      </c>
      <c r="BT17" t="s">
        <v>131</v>
      </c>
      <c r="BU17"/>
      <c r="BV17" t="str">
        <f>""</f>
        <v/>
      </c>
      <c r="BW17" t="s">
        <v>131</v>
      </c>
      <c r="BX17" t="str">
        <f>""</f>
        <v/>
      </c>
      <c r="BY17" t="str">
        <f>""</f>
        <v/>
      </c>
      <c r="BZ17" t="str">
        <f>""</f>
        <v/>
      </c>
      <c r="CA17" t="str">
        <f>""</f>
        <v/>
      </c>
      <c r="CB17" t="s">
        <v>131</v>
      </c>
      <c r="CC17"/>
      <c r="CD17"/>
      <c r="CE17"/>
      <c r="CF17" t="s">
        <v>131</v>
      </c>
      <c r="CG17"/>
      <c r="CH17" t="str">
        <f>""</f>
        <v/>
      </c>
      <c r="CI17" t="s">
        <v>131</v>
      </c>
      <c r="CJ17"/>
      <c r="CK17" t="s">
        <v>131</v>
      </c>
      <c r="CL17" t="str">
        <f>""</f>
        <v/>
      </c>
      <c r="CM17" t="str">
        <f>""</f>
        <v/>
      </c>
      <c r="CN17" t="str">
        <f>""</f>
        <v/>
      </c>
      <c r="CO17" t="str">
        <f>""</f>
        <v/>
      </c>
      <c r="CP17" t="str">
        <f>"51-9198.00"</f>
        <v>51-9198.00</v>
      </c>
      <c r="CQ17" t="s">
        <v>2685</v>
      </c>
      <c r="CR17" t="s">
        <v>918</v>
      </c>
      <c r="CS17" t="s">
        <v>131</v>
      </c>
      <c r="CT17"/>
      <c r="CU17" t="s">
        <v>6736</v>
      </c>
      <c r="CV17"/>
      <c r="CW17" t="s">
        <v>6737</v>
      </c>
      <c r="CX17" t="s">
        <v>129</v>
      </c>
      <c r="CY17"/>
      <c r="CZ17" s="3" t="str">
        <f>"12754"</f>
        <v>12754</v>
      </c>
      <c r="DA17" t="s">
        <v>131</v>
      </c>
      <c r="DB17" t="str">
        <f>"51-3092"</f>
        <v>51-3092</v>
      </c>
      <c r="DC17" t="s">
        <v>2402</v>
      </c>
      <c r="DD17" t="s">
        <v>134</v>
      </c>
      <c r="DE17" t="s">
        <v>134</v>
      </c>
      <c r="DF17" t="str">
        <f>""</f>
        <v/>
      </c>
      <c r="DG17"/>
      <c r="DH17" s="6">
        <v>17.14</v>
      </c>
      <c r="DI17" t="s">
        <v>344</v>
      </c>
      <c r="DJ17"/>
      <c r="DK17" t="s">
        <v>345</v>
      </c>
      <c r="DL17"/>
      <c r="DM17"/>
      <c r="DN17"/>
      <c r="DO17"/>
      <c r="DP17"/>
      <c r="DQ17"/>
      <c r="DR17"/>
      <c r="DS17" s="6">
        <v>17.14</v>
      </c>
      <c r="DT17" t="s">
        <v>424</v>
      </c>
      <c r="DU17" s="1">
        <v>44351</v>
      </c>
      <c r="DV17" s="1">
        <v>44440</v>
      </c>
    </row>
    <row r="18" spans="1:126" s="7" customFormat="1" ht="15" customHeight="1" x14ac:dyDescent="0.35">
      <c r="A18" t="s">
        <v>18019</v>
      </c>
      <c r="B18" t="s">
        <v>318</v>
      </c>
      <c r="C18" s="1">
        <v>44319</v>
      </c>
      <c r="D18" s="1">
        <v>44350</v>
      </c>
      <c r="E18" s="1"/>
      <c r="F18" s="1"/>
      <c r="G18" s="1"/>
      <c r="H18" t="s">
        <v>319</v>
      </c>
      <c r="I18" t="s">
        <v>13801</v>
      </c>
      <c r="J18" t="s">
        <v>3992</v>
      </c>
      <c r="K18" t="s">
        <v>15681</v>
      </c>
      <c r="L18" t="s">
        <v>10137</v>
      </c>
      <c r="M18" t="s">
        <v>2048</v>
      </c>
      <c r="N18" t="s">
        <v>2049</v>
      </c>
      <c r="O18" t="s">
        <v>9947</v>
      </c>
      <c r="P18" t="s">
        <v>3075</v>
      </c>
      <c r="Q18" s="3">
        <v>83814</v>
      </c>
      <c r="R18" t="s">
        <v>128</v>
      </c>
      <c r="S18"/>
      <c r="T18" s="4">
        <v>12087772654</v>
      </c>
      <c r="U18"/>
      <c r="V18" t="s">
        <v>18020</v>
      </c>
      <c r="W18" t="s">
        <v>18021</v>
      </c>
      <c r="X18"/>
      <c r="Y18" t="s">
        <v>18022</v>
      </c>
      <c r="Z18"/>
      <c r="AA18" t="s">
        <v>18023</v>
      </c>
      <c r="AB18" t="s">
        <v>258</v>
      </c>
      <c r="AC18" s="3" t="str">
        <f>"63376"</f>
        <v>63376</v>
      </c>
      <c r="AD18" t="s">
        <v>128</v>
      </c>
      <c r="AE18"/>
      <c r="AF18" s="4">
        <v>16369398243</v>
      </c>
      <c r="AG18"/>
      <c r="AH18" t="str">
        <f>"56173"</f>
        <v>56173</v>
      </c>
      <c r="AI18" t="s">
        <v>287</v>
      </c>
      <c r="AJ18" t="s">
        <v>9944</v>
      </c>
      <c r="AK18" t="s">
        <v>9945</v>
      </c>
      <c r="AL18" t="s">
        <v>355</v>
      </c>
      <c r="AM18" t="s">
        <v>2048</v>
      </c>
      <c r="AN18" t="s">
        <v>9946</v>
      </c>
      <c r="AO18" t="s">
        <v>9947</v>
      </c>
      <c r="AP18" t="s">
        <v>1243</v>
      </c>
      <c r="AQ18" s="5">
        <v>83814</v>
      </c>
      <c r="AR18" t="s">
        <v>128</v>
      </c>
      <c r="AS18"/>
      <c r="AT18" s="4">
        <v>12087772654</v>
      </c>
      <c r="AU18"/>
      <c r="AV18" t="s">
        <v>9942</v>
      </c>
      <c r="AW18" t="s">
        <v>4715</v>
      </c>
      <c r="AX18" t="s">
        <v>131</v>
      </c>
      <c r="AY18" t="s">
        <v>131</v>
      </c>
      <c r="AZ18" t="s">
        <v>131</v>
      </c>
      <c r="BA18" t="s">
        <v>131</v>
      </c>
      <c r="BB18" t="s">
        <v>131</v>
      </c>
      <c r="BC18" t="s">
        <v>131</v>
      </c>
      <c r="BD18" t="s">
        <v>131</v>
      </c>
      <c r="BE18" t="s">
        <v>132</v>
      </c>
      <c r="BF18"/>
      <c r="BG18" s="1"/>
      <c r="BH18" t="s">
        <v>7864</v>
      </c>
      <c r="BI18" t="s">
        <v>131</v>
      </c>
      <c r="BJ18"/>
      <c r="BK18"/>
      <c r="BL18" t="s">
        <v>167</v>
      </c>
      <c r="BM18"/>
      <c r="BN18"/>
      <c r="BO18" t="s">
        <v>131</v>
      </c>
      <c r="BP18" t="s">
        <v>134</v>
      </c>
      <c r="BQ18" t="s">
        <v>131</v>
      </c>
      <c r="BR18"/>
      <c r="BS18" t="str">
        <f t="shared" si="0"/>
        <v>N/A</v>
      </c>
      <c r="BT18" t="s">
        <v>131</v>
      </c>
      <c r="BU18"/>
      <c r="BV18" t="str">
        <f>""</f>
        <v/>
      </c>
      <c r="BW18" t="s">
        <v>131</v>
      </c>
      <c r="BX18" t="str">
        <f>""</f>
        <v/>
      </c>
      <c r="BY18" t="str">
        <f>""</f>
        <v/>
      </c>
      <c r="BZ18" t="str">
        <f>""</f>
        <v/>
      </c>
      <c r="CA18" t="str">
        <f>""</f>
        <v/>
      </c>
      <c r="CB18" t="s">
        <v>131</v>
      </c>
      <c r="CC18"/>
      <c r="CD18"/>
      <c r="CE18"/>
      <c r="CF18" t="s">
        <v>131</v>
      </c>
      <c r="CG18"/>
      <c r="CH18" t="str">
        <f>""</f>
        <v/>
      </c>
      <c r="CI18" t="s">
        <v>131</v>
      </c>
      <c r="CJ18"/>
      <c r="CK18" t="s">
        <v>131</v>
      </c>
      <c r="CL18" t="str">
        <f>""</f>
        <v/>
      </c>
      <c r="CM18" t="str">
        <f>""</f>
        <v/>
      </c>
      <c r="CN18" t="str">
        <f>""</f>
        <v/>
      </c>
      <c r="CO18" t="str">
        <f>""</f>
        <v/>
      </c>
      <c r="CP18" t="str">
        <f>"37-3011.00"</f>
        <v>37-3011.00</v>
      </c>
      <c r="CQ18" t="s">
        <v>920</v>
      </c>
      <c r="CR18"/>
      <c r="CS18" t="s">
        <v>135</v>
      </c>
      <c r="CT18" t="s">
        <v>18024</v>
      </c>
      <c r="CU18" t="s">
        <v>18025</v>
      </c>
      <c r="CV18"/>
      <c r="CW18" t="s">
        <v>18023</v>
      </c>
      <c r="CX18" t="s">
        <v>258</v>
      </c>
      <c r="CY18"/>
      <c r="CZ18" s="3" t="str">
        <f>"63376"</f>
        <v>63376</v>
      </c>
      <c r="DA18" t="s">
        <v>135</v>
      </c>
      <c r="DB18" t="str">
        <f>"37-3011"</f>
        <v>37-3011</v>
      </c>
      <c r="DC18" t="s">
        <v>920</v>
      </c>
      <c r="DD18" t="s">
        <v>134</v>
      </c>
      <c r="DE18" t="s">
        <v>134</v>
      </c>
      <c r="DF18" t="str">
        <f>""</f>
        <v/>
      </c>
      <c r="DG18"/>
      <c r="DH18" s="6">
        <v>15.37</v>
      </c>
      <c r="DI18" t="s">
        <v>344</v>
      </c>
      <c r="DJ18"/>
      <c r="DK18" t="s">
        <v>345</v>
      </c>
      <c r="DL18"/>
      <c r="DM18"/>
      <c r="DN18"/>
      <c r="DO18"/>
      <c r="DP18"/>
      <c r="DQ18"/>
      <c r="DR18" t="s">
        <v>4139</v>
      </c>
      <c r="DS18" s="6">
        <v>15.37</v>
      </c>
      <c r="DT18" s="2" t="s">
        <v>347</v>
      </c>
      <c r="DU18" s="1">
        <v>44350</v>
      </c>
      <c r="DV18" s="1">
        <v>44439</v>
      </c>
    </row>
    <row r="19" spans="1:126" s="7" customFormat="1" ht="15" customHeight="1" x14ac:dyDescent="0.35">
      <c r="A19" t="s">
        <v>12522</v>
      </c>
      <c r="B19" t="s">
        <v>318</v>
      </c>
      <c r="C19" s="1">
        <v>44319</v>
      </c>
      <c r="D19" s="1">
        <v>44351</v>
      </c>
      <c r="E19" s="1"/>
      <c r="F19" s="1"/>
      <c r="G19" s="1"/>
      <c r="H19" t="s">
        <v>319</v>
      </c>
      <c r="I19" t="s">
        <v>8656</v>
      </c>
      <c r="J19" t="s">
        <v>12523</v>
      </c>
      <c r="K19"/>
      <c r="L19" t="s">
        <v>7565</v>
      </c>
      <c r="M19" t="s">
        <v>12524</v>
      </c>
      <c r="N19"/>
      <c r="O19" t="s">
        <v>4582</v>
      </c>
      <c r="P19" t="s">
        <v>194</v>
      </c>
      <c r="Q19" s="3">
        <v>33414</v>
      </c>
      <c r="R19" t="s">
        <v>128</v>
      </c>
      <c r="S19"/>
      <c r="T19" s="4">
        <v>19546508056</v>
      </c>
      <c r="U19"/>
      <c r="V19" t="s">
        <v>12525</v>
      </c>
      <c r="W19" t="s">
        <v>12526</v>
      </c>
      <c r="X19"/>
      <c r="Y19" t="s">
        <v>12524</v>
      </c>
      <c r="Z19"/>
      <c r="AA19" t="s">
        <v>4582</v>
      </c>
      <c r="AB19" t="s">
        <v>195</v>
      </c>
      <c r="AC19" s="3" t="str">
        <f>"33414"</f>
        <v>33414</v>
      </c>
      <c r="AD19" t="s">
        <v>128</v>
      </c>
      <c r="AE19"/>
      <c r="AF19" s="4">
        <v>19546508056</v>
      </c>
      <c r="AG19"/>
      <c r="AH19" t="str">
        <f>"71121"</f>
        <v>71121</v>
      </c>
      <c r="AI19" t="s">
        <v>130</v>
      </c>
      <c r="AJ19" t="s">
        <v>1528</v>
      </c>
      <c r="AK19" t="s">
        <v>1529</v>
      </c>
      <c r="AL19" t="s">
        <v>1060</v>
      </c>
      <c r="AM19" t="s">
        <v>1530</v>
      </c>
      <c r="AN19" t="s">
        <v>1531</v>
      </c>
      <c r="AO19" t="s">
        <v>1532</v>
      </c>
      <c r="AP19" t="s">
        <v>129</v>
      </c>
      <c r="AQ19" s="5">
        <v>12207</v>
      </c>
      <c r="AR19" t="s">
        <v>128</v>
      </c>
      <c r="AS19"/>
      <c r="AT19" s="4">
        <v>15187012770</v>
      </c>
      <c r="AU19"/>
      <c r="AV19" t="s">
        <v>1533</v>
      </c>
      <c r="AW19" t="s">
        <v>1534</v>
      </c>
      <c r="AX19" t="s">
        <v>131</v>
      </c>
      <c r="AY19" t="s">
        <v>131</v>
      </c>
      <c r="AZ19" t="s">
        <v>131</v>
      </c>
      <c r="BA19" t="s">
        <v>131</v>
      </c>
      <c r="BB19" t="s">
        <v>131</v>
      </c>
      <c r="BC19" t="s">
        <v>131</v>
      </c>
      <c r="BD19" t="s">
        <v>131</v>
      </c>
      <c r="BE19" t="s">
        <v>132</v>
      </c>
      <c r="BF19"/>
      <c r="BG19" s="1"/>
      <c r="BH19" t="s">
        <v>12527</v>
      </c>
      <c r="BI19" t="s">
        <v>131</v>
      </c>
      <c r="BJ19"/>
      <c r="BK19"/>
      <c r="BL19" t="s">
        <v>167</v>
      </c>
      <c r="BM19"/>
      <c r="BN19"/>
      <c r="BO19" t="s">
        <v>131</v>
      </c>
      <c r="BP19" t="s">
        <v>134</v>
      </c>
      <c r="BQ19" t="s">
        <v>131</v>
      </c>
      <c r="BR19"/>
      <c r="BS19" t="str">
        <f t="shared" si="0"/>
        <v>N/A</v>
      </c>
      <c r="BT19" t="s">
        <v>135</v>
      </c>
      <c r="BU19">
        <v>1</v>
      </c>
      <c r="BV19" t="str">
        <f>"Groom/Stable Attendant"</f>
        <v>Groom/Stable Attendant</v>
      </c>
      <c r="BW19" t="s">
        <v>135</v>
      </c>
      <c r="BX19" t="str">
        <f>""</f>
        <v/>
      </c>
      <c r="BY19" t="str">
        <f>""</f>
        <v/>
      </c>
      <c r="BZ19" t="str">
        <f>""</f>
        <v/>
      </c>
      <c r="CA19" t="str">
        <f>"Ability to lift 1501bs with assistance. Random drug testing may be required post-employment for all workers, both domestic and H-2B workers at employer expense for safety of horses and workers.  Split shift 5am-11am; 3pm-5pm. "</f>
        <v xml:space="preserve">Ability to lift 1501bs with assistance. Random drug testing may be required post-employment for all workers, both domestic and H-2B workers at employer expense for safety of horses and workers.  Split shift 5am-11am; 3pm-5pm. </v>
      </c>
      <c r="CB19" t="s">
        <v>131</v>
      </c>
      <c r="CC19"/>
      <c r="CD19"/>
      <c r="CE19"/>
      <c r="CF19" t="s">
        <v>131</v>
      </c>
      <c r="CG19"/>
      <c r="CH19" t="str">
        <f>""</f>
        <v/>
      </c>
      <c r="CI19" t="s">
        <v>131</v>
      </c>
      <c r="CJ19"/>
      <c r="CK19" t="s">
        <v>131</v>
      </c>
      <c r="CL19" t="str">
        <f>""</f>
        <v/>
      </c>
      <c r="CM19" t="str">
        <f>""</f>
        <v/>
      </c>
      <c r="CN19" t="str">
        <f>""</f>
        <v/>
      </c>
      <c r="CO19" t="str">
        <f>""</f>
        <v/>
      </c>
      <c r="CP19" t="str">
        <f>"39-2021.00"</f>
        <v>39-2021.00</v>
      </c>
      <c r="CQ19" t="s">
        <v>4482</v>
      </c>
      <c r="CR19"/>
      <c r="CS19" t="s">
        <v>131</v>
      </c>
      <c r="CT19"/>
      <c r="CU19" t="s">
        <v>12528</v>
      </c>
      <c r="CV19"/>
      <c r="CW19" t="s">
        <v>3512</v>
      </c>
      <c r="CX19" t="s">
        <v>195</v>
      </c>
      <c r="CY19"/>
      <c r="CZ19" s="3" t="str">
        <f>"33446"</f>
        <v>33446</v>
      </c>
      <c r="DA19" t="s">
        <v>131</v>
      </c>
      <c r="DB19" t="str">
        <f>"39-2021"</f>
        <v>39-2021</v>
      </c>
      <c r="DC19" t="s">
        <v>4482</v>
      </c>
      <c r="DD19" t="s">
        <v>134</v>
      </c>
      <c r="DE19" t="s">
        <v>134</v>
      </c>
      <c r="DF19" t="str">
        <f>""</f>
        <v/>
      </c>
      <c r="DG19"/>
      <c r="DH19" s="6">
        <v>13.7</v>
      </c>
      <c r="DI19" t="s">
        <v>344</v>
      </c>
      <c r="DJ19"/>
      <c r="DK19" t="s">
        <v>345</v>
      </c>
      <c r="DL19"/>
      <c r="DM19"/>
      <c r="DN19"/>
      <c r="DO19"/>
      <c r="DP19"/>
      <c r="DQ19"/>
      <c r="DR19"/>
      <c r="DS19" s="6">
        <v>13.7</v>
      </c>
      <c r="DT19" t="s">
        <v>3921</v>
      </c>
      <c r="DU19" s="1">
        <v>44351</v>
      </c>
      <c r="DV19" s="1">
        <v>44440</v>
      </c>
    </row>
    <row r="20" spans="1:126" s="7" customFormat="1" ht="15" customHeight="1" x14ac:dyDescent="0.35">
      <c r="A20" t="s">
        <v>18687</v>
      </c>
      <c r="B20" t="s">
        <v>318</v>
      </c>
      <c r="C20" s="1">
        <v>44319</v>
      </c>
      <c r="D20" s="1">
        <v>44356</v>
      </c>
      <c r="E20" s="1"/>
      <c r="F20" s="1"/>
      <c r="G20" s="1"/>
      <c r="H20" t="s">
        <v>319</v>
      </c>
      <c r="I20" t="s">
        <v>1493</v>
      </c>
      <c r="J20" t="s">
        <v>18688</v>
      </c>
      <c r="K20"/>
      <c r="L20" t="s">
        <v>6879</v>
      </c>
      <c r="M20" t="s">
        <v>18689</v>
      </c>
      <c r="N20"/>
      <c r="O20" t="s">
        <v>5470</v>
      </c>
      <c r="P20" t="s">
        <v>1217</v>
      </c>
      <c r="Q20" s="3">
        <v>35405</v>
      </c>
      <c r="R20" t="s">
        <v>128</v>
      </c>
      <c r="S20"/>
      <c r="T20" s="4">
        <v>12056518889</v>
      </c>
      <c r="U20"/>
      <c r="V20" t="s">
        <v>18690</v>
      </c>
      <c r="W20" t="s">
        <v>18691</v>
      </c>
      <c r="X20"/>
      <c r="Y20" t="s">
        <v>18689</v>
      </c>
      <c r="Z20"/>
      <c r="AA20" t="s">
        <v>5470</v>
      </c>
      <c r="AB20" t="s">
        <v>1218</v>
      </c>
      <c r="AC20" s="3" t="str">
        <f>"35405"</f>
        <v>35405</v>
      </c>
      <c r="AD20" t="s">
        <v>128</v>
      </c>
      <c r="AE20"/>
      <c r="AF20" s="4">
        <v>12056578889</v>
      </c>
      <c r="AG20"/>
      <c r="AH20" t="str">
        <f>"11531"</f>
        <v>11531</v>
      </c>
      <c r="AI20" t="s">
        <v>130</v>
      </c>
      <c r="AJ20" t="s">
        <v>6883</v>
      </c>
      <c r="AK20" t="s">
        <v>745</v>
      </c>
      <c r="AL20" t="s">
        <v>6884</v>
      </c>
      <c r="AM20" t="s">
        <v>18692</v>
      </c>
      <c r="AN20" t="s">
        <v>788</v>
      </c>
      <c r="AO20" t="s">
        <v>3140</v>
      </c>
      <c r="AP20" t="s">
        <v>397</v>
      </c>
      <c r="AQ20" s="5">
        <v>72201</v>
      </c>
      <c r="AR20" t="s">
        <v>128</v>
      </c>
      <c r="AS20"/>
      <c r="AT20" s="4">
        <v>15013719999</v>
      </c>
      <c r="AU20"/>
      <c r="AV20" t="s">
        <v>18693</v>
      </c>
      <c r="AW20" t="s">
        <v>18070</v>
      </c>
      <c r="AX20" t="s">
        <v>131</v>
      </c>
      <c r="AY20" t="s">
        <v>131</v>
      </c>
      <c r="AZ20" t="s">
        <v>131</v>
      </c>
      <c r="BA20" t="s">
        <v>131</v>
      </c>
      <c r="BB20" t="s">
        <v>131</v>
      </c>
      <c r="BC20" t="s">
        <v>131</v>
      </c>
      <c r="BD20" t="s">
        <v>131</v>
      </c>
      <c r="BE20" t="s">
        <v>132</v>
      </c>
      <c r="BF20"/>
      <c r="BG20" s="1"/>
      <c r="BH20" t="s">
        <v>8273</v>
      </c>
      <c r="BI20" t="s">
        <v>131</v>
      </c>
      <c r="BJ20"/>
      <c r="BK20"/>
      <c r="BL20" t="s">
        <v>167</v>
      </c>
      <c r="BM20"/>
      <c r="BN20"/>
      <c r="BO20" t="s">
        <v>131</v>
      </c>
      <c r="BP20" t="s">
        <v>134</v>
      </c>
      <c r="BQ20" t="s">
        <v>131</v>
      </c>
      <c r="BR20"/>
      <c r="BS20" t="str">
        <f t="shared" si="0"/>
        <v>N/A</v>
      </c>
      <c r="BT20" t="s">
        <v>131</v>
      </c>
      <c r="BU20"/>
      <c r="BV20" t="str">
        <f>""</f>
        <v/>
      </c>
      <c r="BW20" t="s">
        <v>131</v>
      </c>
      <c r="BX20" t="str">
        <f>""</f>
        <v/>
      </c>
      <c r="BY20" t="str">
        <f>""</f>
        <v/>
      </c>
      <c r="BZ20" t="str">
        <f>""</f>
        <v/>
      </c>
      <c r="CA20" t="str">
        <f>""</f>
        <v/>
      </c>
      <c r="CB20" t="s">
        <v>131</v>
      </c>
      <c r="CC20"/>
      <c r="CD20"/>
      <c r="CE20"/>
      <c r="CF20" t="s">
        <v>131</v>
      </c>
      <c r="CG20"/>
      <c r="CH20" t="str">
        <f>""</f>
        <v/>
      </c>
      <c r="CI20" t="s">
        <v>131</v>
      </c>
      <c r="CJ20"/>
      <c r="CK20" t="s">
        <v>131</v>
      </c>
      <c r="CL20" t="str">
        <f>""</f>
        <v/>
      </c>
      <c r="CM20" t="str">
        <f>""</f>
        <v/>
      </c>
      <c r="CN20" t="str">
        <f>""</f>
        <v/>
      </c>
      <c r="CO20" t="str">
        <f>""</f>
        <v/>
      </c>
      <c r="CP20" t="str">
        <f>"45-4011.00"</f>
        <v>45-4011.00</v>
      </c>
      <c r="CQ20" t="s">
        <v>4310</v>
      </c>
      <c r="CR20"/>
      <c r="CS20" t="s">
        <v>135</v>
      </c>
      <c r="CT20" t="s">
        <v>18694</v>
      </c>
      <c r="CU20" t="s">
        <v>18695</v>
      </c>
      <c r="CV20"/>
      <c r="CW20" t="s">
        <v>5470</v>
      </c>
      <c r="CX20" t="s">
        <v>1218</v>
      </c>
      <c r="CY20"/>
      <c r="CZ20" s="3" t="str">
        <f>"35404"</f>
        <v>35404</v>
      </c>
      <c r="DA20" t="s">
        <v>135</v>
      </c>
      <c r="DB20" t="str">
        <f>"45-4022"</f>
        <v>45-4022</v>
      </c>
      <c r="DC20" t="s">
        <v>18696</v>
      </c>
      <c r="DD20" t="s">
        <v>134</v>
      </c>
      <c r="DE20" t="s">
        <v>134</v>
      </c>
      <c r="DF20" t="str">
        <f>""</f>
        <v/>
      </c>
      <c r="DG20"/>
      <c r="DH20" s="6">
        <v>16.78</v>
      </c>
      <c r="DI20" t="s">
        <v>344</v>
      </c>
      <c r="DJ20"/>
      <c r="DK20" t="s">
        <v>345</v>
      </c>
      <c r="DL20"/>
      <c r="DM20"/>
      <c r="DN20"/>
      <c r="DO20"/>
      <c r="DP20"/>
      <c r="DQ20"/>
      <c r="DR20" t="s">
        <v>18697</v>
      </c>
      <c r="DS20" s="6">
        <v>23.14</v>
      </c>
      <c r="DT20" s="2" t="s">
        <v>347</v>
      </c>
      <c r="DU20" s="1">
        <v>44356</v>
      </c>
      <c r="DV20" s="1">
        <v>44445</v>
      </c>
    </row>
    <row r="21" spans="1:126" s="7" customFormat="1" ht="15" customHeight="1" x14ac:dyDescent="0.35">
      <c r="A21" t="s">
        <v>16185</v>
      </c>
      <c r="B21" t="s">
        <v>318</v>
      </c>
      <c r="C21" s="1">
        <v>44319</v>
      </c>
      <c r="D21" s="1">
        <v>44351</v>
      </c>
      <c r="E21" s="1"/>
      <c r="F21" s="1"/>
      <c r="G21" s="1"/>
      <c r="H21" t="s">
        <v>319</v>
      </c>
      <c r="I21" t="s">
        <v>3887</v>
      </c>
      <c r="J21" t="s">
        <v>1157</v>
      </c>
      <c r="K21"/>
      <c r="L21" t="s">
        <v>1105</v>
      </c>
      <c r="M21" t="s">
        <v>16186</v>
      </c>
      <c r="N21"/>
      <c r="O21" t="s">
        <v>3874</v>
      </c>
      <c r="P21" t="s">
        <v>1760</v>
      </c>
      <c r="Q21" s="3">
        <v>70806</v>
      </c>
      <c r="R21" t="s">
        <v>128</v>
      </c>
      <c r="S21"/>
      <c r="T21" s="4">
        <v>12252239077</v>
      </c>
      <c r="U21"/>
      <c r="V21" t="s">
        <v>134</v>
      </c>
      <c r="W21" t="s">
        <v>16187</v>
      </c>
      <c r="X21"/>
      <c r="Y21" t="s">
        <v>16186</v>
      </c>
      <c r="Z21"/>
      <c r="AA21" t="s">
        <v>3874</v>
      </c>
      <c r="AB21" t="s">
        <v>1763</v>
      </c>
      <c r="AC21" s="3" t="str">
        <f>"70806"</f>
        <v>70806</v>
      </c>
      <c r="AD21" t="s">
        <v>128</v>
      </c>
      <c r="AE21" t="s">
        <v>16188</v>
      </c>
      <c r="AF21" s="4">
        <v>12252239077</v>
      </c>
      <c r="AG21"/>
      <c r="AH21" t="str">
        <f>"56173"</f>
        <v>56173</v>
      </c>
      <c r="AI21" t="s">
        <v>287</v>
      </c>
      <c r="AJ21" t="s">
        <v>414</v>
      </c>
      <c r="AK21" t="s">
        <v>301</v>
      </c>
      <c r="AL21" t="s">
        <v>415</v>
      </c>
      <c r="AM21" t="s">
        <v>7360</v>
      </c>
      <c r="AN21" t="s">
        <v>7361</v>
      </c>
      <c r="AO21" t="s">
        <v>1513</v>
      </c>
      <c r="AP21" t="s">
        <v>400</v>
      </c>
      <c r="AQ21" s="5">
        <v>75231</v>
      </c>
      <c r="AR21" t="s">
        <v>128</v>
      </c>
      <c r="AS21"/>
      <c r="AT21" s="4">
        <v>12145265665</v>
      </c>
      <c r="AU21"/>
      <c r="AV21" t="s">
        <v>7362</v>
      </c>
      <c r="AW21" t="s">
        <v>7363</v>
      </c>
      <c r="AX21" t="s">
        <v>131</v>
      </c>
      <c r="AY21" t="s">
        <v>131</v>
      </c>
      <c r="AZ21" t="s">
        <v>131</v>
      </c>
      <c r="BA21" t="s">
        <v>131</v>
      </c>
      <c r="BB21" t="s">
        <v>131</v>
      </c>
      <c r="BC21" t="s">
        <v>131</v>
      </c>
      <c r="BD21" t="s">
        <v>131</v>
      </c>
      <c r="BE21" t="s">
        <v>132</v>
      </c>
      <c r="BF21"/>
      <c r="BG21" s="1"/>
      <c r="BH21" t="s">
        <v>2215</v>
      </c>
      <c r="BI21" t="s">
        <v>131</v>
      </c>
      <c r="BJ21"/>
      <c r="BK21"/>
      <c r="BL21" t="s">
        <v>167</v>
      </c>
      <c r="BM21"/>
      <c r="BN21"/>
      <c r="BO21" t="s">
        <v>131</v>
      </c>
      <c r="BP21" t="s">
        <v>134</v>
      </c>
      <c r="BQ21" t="s">
        <v>131</v>
      </c>
      <c r="BR21"/>
      <c r="BS21" t="str">
        <f t="shared" si="0"/>
        <v>N/A</v>
      </c>
      <c r="BT21" t="s">
        <v>131</v>
      </c>
      <c r="BU21"/>
      <c r="BV21" t="str">
        <f>""</f>
        <v/>
      </c>
      <c r="BW21" t="s">
        <v>135</v>
      </c>
      <c r="BX21" t="str">
        <f>""</f>
        <v/>
      </c>
      <c r="BY21" t="str">
        <f>""</f>
        <v/>
      </c>
      <c r="BZ21" t="str">
        <f>""</f>
        <v/>
      </c>
      <c r="CA21" t="str">
        <f>"Must be able to lift 50 lbs, work in adverse weather conditions."</f>
        <v>Must be able to lift 50 lbs, work in adverse weather conditions.</v>
      </c>
      <c r="CB21" t="s">
        <v>131</v>
      </c>
      <c r="CC21"/>
      <c r="CD21"/>
      <c r="CE21"/>
      <c r="CF21" t="s">
        <v>131</v>
      </c>
      <c r="CG21"/>
      <c r="CH21" t="str">
        <f>""</f>
        <v/>
      </c>
      <c r="CI21" t="s">
        <v>131</v>
      </c>
      <c r="CJ21"/>
      <c r="CK21" t="s">
        <v>131</v>
      </c>
      <c r="CL21" t="str">
        <f>""</f>
        <v/>
      </c>
      <c r="CM21" t="str">
        <f>""</f>
        <v/>
      </c>
      <c r="CN21" t="str">
        <f>""</f>
        <v/>
      </c>
      <c r="CO21" t="str">
        <f>""</f>
        <v/>
      </c>
      <c r="CP21" t="str">
        <f>"37-3011.00"</f>
        <v>37-3011.00</v>
      </c>
      <c r="CQ21" t="s">
        <v>920</v>
      </c>
      <c r="CR21"/>
      <c r="CS21" t="s">
        <v>131</v>
      </c>
      <c r="CT21"/>
      <c r="CU21" t="s">
        <v>16186</v>
      </c>
      <c r="CV21"/>
      <c r="CW21" t="s">
        <v>3874</v>
      </c>
      <c r="CX21" t="s">
        <v>1763</v>
      </c>
      <c r="CY21"/>
      <c r="CZ21" s="3" t="str">
        <f>"70815"</f>
        <v>70815</v>
      </c>
      <c r="DA21" t="s">
        <v>135</v>
      </c>
      <c r="DB21" t="str">
        <f>"37-3011"</f>
        <v>37-3011</v>
      </c>
      <c r="DC21" t="s">
        <v>920</v>
      </c>
      <c r="DD21" t="s">
        <v>134</v>
      </c>
      <c r="DE21" t="s">
        <v>134</v>
      </c>
      <c r="DF21" t="str">
        <f>""</f>
        <v/>
      </c>
      <c r="DG21"/>
      <c r="DH21" s="6">
        <v>14.59</v>
      </c>
      <c r="DI21" t="s">
        <v>344</v>
      </c>
      <c r="DJ21"/>
      <c r="DK21" t="s">
        <v>345</v>
      </c>
      <c r="DL21"/>
      <c r="DM21"/>
      <c r="DN21"/>
      <c r="DO21"/>
      <c r="DP21"/>
      <c r="DQ21"/>
      <c r="DR21" t="s">
        <v>3877</v>
      </c>
      <c r="DS21" s="6">
        <v>14.59</v>
      </c>
      <c r="DT21" t="s">
        <v>424</v>
      </c>
      <c r="DU21" s="1">
        <v>44351</v>
      </c>
      <c r="DV21" s="1">
        <v>44440</v>
      </c>
    </row>
    <row r="22" spans="1:126" s="7" customFormat="1" ht="15" customHeight="1" x14ac:dyDescent="0.35">
      <c r="A22" t="s">
        <v>10124</v>
      </c>
      <c r="B22" t="s">
        <v>318</v>
      </c>
      <c r="C22" s="1">
        <v>44319</v>
      </c>
      <c r="D22" s="1">
        <v>44351</v>
      </c>
      <c r="E22" s="1"/>
      <c r="F22" s="1"/>
      <c r="G22" s="1"/>
      <c r="H22" t="s">
        <v>319</v>
      </c>
      <c r="I22" t="s">
        <v>10125</v>
      </c>
      <c r="J22" t="s">
        <v>6654</v>
      </c>
      <c r="K22"/>
      <c r="L22" t="s">
        <v>907</v>
      </c>
      <c r="M22" t="s">
        <v>10126</v>
      </c>
      <c r="N22"/>
      <c r="O22" t="s">
        <v>7508</v>
      </c>
      <c r="P22" t="s">
        <v>412</v>
      </c>
      <c r="Q22" s="3">
        <v>79602</v>
      </c>
      <c r="R22" t="s">
        <v>128</v>
      </c>
      <c r="S22"/>
      <c r="T22" s="4">
        <v>13256982410</v>
      </c>
      <c r="U22"/>
      <c r="V22" t="s">
        <v>134</v>
      </c>
      <c r="W22" t="s">
        <v>10127</v>
      </c>
      <c r="X22"/>
      <c r="Y22" t="s">
        <v>10126</v>
      </c>
      <c r="Z22"/>
      <c r="AA22" t="s">
        <v>7508</v>
      </c>
      <c r="AB22" t="s">
        <v>400</v>
      </c>
      <c r="AC22" s="3" t="str">
        <f>"79602"</f>
        <v>79602</v>
      </c>
      <c r="AD22" t="s">
        <v>128</v>
      </c>
      <c r="AE22"/>
      <c r="AF22" s="4">
        <v>13256982410</v>
      </c>
      <c r="AG22"/>
      <c r="AH22" t="str">
        <f>"56173"</f>
        <v>56173</v>
      </c>
      <c r="AI22" t="s">
        <v>287</v>
      </c>
      <c r="AJ22" t="s">
        <v>414</v>
      </c>
      <c r="AK22" t="s">
        <v>301</v>
      </c>
      <c r="AL22" t="s">
        <v>415</v>
      </c>
      <c r="AM22" t="s">
        <v>7360</v>
      </c>
      <c r="AN22" t="s">
        <v>7361</v>
      </c>
      <c r="AO22" t="s">
        <v>1513</v>
      </c>
      <c r="AP22" t="s">
        <v>400</v>
      </c>
      <c r="AQ22" s="5">
        <v>75231</v>
      </c>
      <c r="AR22" t="s">
        <v>128</v>
      </c>
      <c r="AS22"/>
      <c r="AT22" s="4">
        <v>12145265665</v>
      </c>
      <c r="AU22"/>
      <c r="AV22" t="s">
        <v>7362</v>
      </c>
      <c r="AW22" t="s">
        <v>7363</v>
      </c>
      <c r="AX22" t="s">
        <v>131</v>
      </c>
      <c r="AY22" t="s">
        <v>131</v>
      </c>
      <c r="AZ22" t="s">
        <v>131</v>
      </c>
      <c r="BA22" t="s">
        <v>131</v>
      </c>
      <c r="BB22" t="s">
        <v>131</v>
      </c>
      <c r="BC22" t="s">
        <v>131</v>
      </c>
      <c r="BD22" t="s">
        <v>131</v>
      </c>
      <c r="BE22" t="s">
        <v>132</v>
      </c>
      <c r="BF22"/>
      <c r="BG22" s="1"/>
      <c r="BH22" t="s">
        <v>2215</v>
      </c>
      <c r="BI22" t="s">
        <v>131</v>
      </c>
      <c r="BJ22"/>
      <c r="BK22"/>
      <c r="BL22" t="s">
        <v>167</v>
      </c>
      <c r="BM22"/>
      <c r="BN22"/>
      <c r="BO22" t="s">
        <v>131</v>
      </c>
      <c r="BP22" t="s">
        <v>134</v>
      </c>
      <c r="BQ22" t="s">
        <v>131</v>
      </c>
      <c r="BR22"/>
      <c r="BS22" t="str">
        <f t="shared" si="0"/>
        <v>N/A</v>
      </c>
      <c r="BT22" t="s">
        <v>131</v>
      </c>
      <c r="BU22"/>
      <c r="BV22" t="str">
        <f>""</f>
        <v/>
      </c>
      <c r="BW22" t="s">
        <v>135</v>
      </c>
      <c r="BX22" t="str">
        <f>""</f>
        <v/>
      </c>
      <c r="BY22" t="str">
        <f>""</f>
        <v/>
      </c>
      <c r="BZ22" t="str">
        <f>""</f>
        <v/>
      </c>
      <c r="CA22" t="str">
        <f>"Must be able to lift 50 lbs, work in adverse weather conditions &amp; pass a pre &amp; post drug test paid by employer."</f>
        <v>Must be able to lift 50 lbs, work in adverse weather conditions &amp; pass a pre &amp; post drug test paid by employer.</v>
      </c>
      <c r="CB22" t="s">
        <v>131</v>
      </c>
      <c r="CC22"/>
      <c r="CD22"/>
      <c r="CE22"/>
      <c r="CF22" t="s">
        <v>131</v>
      </c>
      <c r="CG22"/>
      <c r="CH22" t="str">
        <f>""</f>
        <v/>
      </c>
      <c r="CI22" t="s">
        <v>131</v>
      </c>
      <c r="CJ22"/>
      <c r="CK22" t="s">
        <v>131</v>
      </c>
      <c r="CL22" t="str">
        <f>""</f>
        <v/>
      </c>
      <c r="CM22" t="str">
        <f>""</f>
        <v/>
      </c>
      <c r="CN22" t="str">
        <f>""</f>
        <v/>
      </c>
      <c r="CO22" t="str">
        <f>""</f>
        <v/>
      </c>
      <c r="CP22" t="str">
        <f>"37-3011.00"</f>
        <v>37-3011.00</v>
      </c>
      <c r="CQ22" t="s">
        <v>920</v>
      </c>
      <c r="CR22"/>
      <c r="CS22" t="s">
        <v>131</v>
      </c>
      <c r="CT22"/>
      <c r="CU22" t="s">
        <v>10126</v>
      </c>
      <c r="CV22"/>
      <c r="CW22" t="s">
        <v>7508</v>
      </c>
      <c r="CX22" t="s">
        <v>400</v>
      </c>
      <c r="CY22"/>
      <c r="CZ22" s="3" t="str">
        <f>"79602"</f>
        <v>79602</v>
      </c>
      <c r="DA22" t="s">
        <v>135</v>
      </c>
      <c r="DB22" t="str">
        <f>"37-3011"</f>
        <v>37-3011</v>
      </c>
      <c r="DC22" t="s">
        <v>920</v>
      </c>
      <c r="DD22" t="s">
        <v>134</v>
      </c>
      <c r="DE22" t="s">
        <v>134</v>
      </c>
      <c r="DF22" t="str">
        <f>""</f>
        <v/>
      </c>
      <c r="DG22"/>
      <c r="DH22" s="6">
        <v>12.21</v>
      </c>
      <c r="DI22" t="s">
        <v>344</v>
      </c>
      <c r="DJ22"/>
      <c r="DK22" t="s">
        <v>345</v>
      </c>
      <c r="DL22"/>
      <c r="DM22"/>
      <c r="DN22"/>
      <c r="DO22"/>
      <c r="DP22"/>
      <c r="DQ22"/>
      <c r="DR22" t="s">
        <v>10128</v>
      </c>
      <c r="DS22" s="6">
        <v>13.93</v>
      </c>
      <c r="DT22" t="s">
        <v>424</v>
      </c>
      <c r="DU22" s="1">
        <v>44351</v>
      </c>
      <c r="DV22" s="1">
        <v>44440</v>
      </c>
    </row>
    <row r="23" spans="1:126" s="7" customFormat="1" ht="15" customHeight="1" x14ac:dyDescent="0.35">
      <c r="A23" t="s">
        <v>13430</v>
      </c>
      <c r="B23" t="s">
        <v>318</v>
      </c>
      <c r="C23" s="1">
        <v>44319</v>
      </c>
      <c r="D23" s="1">
        <v>44350</v>
      </c>
      <c r="E23" s="1"/>
      <c r="F23" s="1"/>
      <c r="G23" s="1"/>
      <c r="H23" t="s">
        <v>319</v>
      </c>
      <c r="I23" t="s">
        <v>13431</v>
      </c>
      <c r="J23" t="s">
        <v>5317</v>
      </c>
      <c r="K23"/>
      <c r="L23" t="s">
        <v>223</v>
      </c>
      <c r="M23" t="s">
        <v>10942</v>
      </c>
      <c r="N23"/>
      <c r="O23" t="s">
        <v>699</v>
      </c>
      <c r="P23" t="s">
        <v>412</v>
      </c>
      <c r="Q23" s="3">
        <v>78223</v>
      </c>
      <c r="R23" t="s">
        <v>128</v>
      </c>
      <c r="S23"/>
      <c r="T23" s="4">
        <v>12103892768</v>
      </c>
      <c r="U23"/>
      <c r="V23" t="s">
        <v>10943</v>
      </c>
      <c r="W23" t="s">
        <v>10944</v>
      </c>
      <c r="X23" t="s">
        <v>10944</v>
      </c>
      <c r="Y23" t="s">
        <v>10942</v>
      </c>
      <c r="Z23"/>
      <c r="AA23" t="s">
        <v>699</v>
      </c>
      <c r="AB23" t="s">
        <v>400</v>
      </c>
      <c r="AC23" s="3" t="str">
        <f>"78223"</f>
        <v>78223</v>
      </c>
      <c r="AD23" t="s">
        <v>128</v>
      </c>
      <c r="AE23"/>
      <c r="AF23" s="4">
        <v>12103892768</v>
      </c>
      <c r="AG23"/>
      <c r="AH23" t="str">
        <f>"238110"</f>
        <v>238110</v>
      </c>
      <c r="AI23" t="s">
        <v>287</v>
      </c>
      <c r="AJ23" t="s">
        <v>13432</v>
      </c>
      <c r="AK23" t="s">
        <v>4602</v>
      </c>
      <c r="AL23" t="s">
        <v>13433</v>
      </c>
      <c r="AM23" t="s">
        <v>13434</v>
      </c>
      <c r="AN23" t="s">
        <v>13435</v>
      </c>
      <c r="AO23" t="s">
        <v>10950</v>
      </c>
      <c r="AP23" t="s">
        <v>400</v>
      </c>
      <c r="AQ23" s="5">
        <v>78557</v>
      </c>
      <c r="AR23" t="s">
        <v>128</v>
      </c>
      <c r="AS23"/>
      <c r="AT23" s="4">
        <v>12102391005</v>
      </c>
      <c r="AU23"/>
      <c r="AV23" t="s">
        <v>13436</v>
      </c>
      <c r="AW23" t="s">
        <v>13437</v>
      </c>
      <c r="AX23" t="s">
        <v>131</v>
      </c>
      <c r="AY23" t="s">
        <v>131</v>
      </c>
      <c r="AZ23" t="s">
        <v>131</v>
      </c>
      <c r="BA23" t="s">
        <v>131</v>
      </c>
      <c r="BB23" t="s">
        <v>131</v>
      </c>
      <c r="BC23" t="s">
        <v>131</v>
      </c>
      <c r="BD23" t="s">
        <v>131</v>
      </c>
      <c r="BE23" t="s">
        <v>132</v>
      </c>
      <c r="BF23"/>
      <c r="BG23" s="1"/>
      <c r="BH23" t="s">
        <v>10953</v>
      </c>
      <c r="BI23" t="s">
        <v>131</v>
      </c>
      <c r="BJ23"/>
      <c r="BK23"/>
      <c r="BL23" t="s">
        <v>167</v>
      </c>
      <c r="BM23"/>
      <c r="BN23"/>
      <c r="BO23" t="s">
        <v>131</v>
      </c>
      <c r="BP23" t="s">
        <v>134</v>
      </c>
      <c r="BQ23" t="s">
        <v>131</v>
      </c>
      <c r="BR23"/>
      <c r="BS23" t="str">
        <f t="shared" si="0"/>
        <v>N/A</v>
      </c>
      <c r="BT23" t="s">
        <v>135</v>
      </c>
      <c r="BU23">
        <v>6</v>
      </c>
      <c r="BV23" t="str">
        <f>"Rebar Worker"</f>
        <v>Rebar Worker</v>
      </c>
      <c r="BW23" t="s">
        <v>131</v>
      </c>
      <c r="BX23" t="str">
        <f>""</f>
        <v/>
      </c>
      <c r="BY23" t="str">
        <f>""</f>
        <v/>
      </c>
      <c r="BZ23" t="str">
        <f>""</f>
        <v/>
      </c>
      <c r="CA23" t="str">
        <f>""</f>
        <v/>
      </c>
      <c r="CB23" t="s">
        <v>131</v>
      </c>
      <c r="CC23"/>
      <c r="CD23"/>
      <c r="CE23"/>
      <c r="CF23" t="s">
        <v>131</v>
      </c>
      <c r="CG23"/>
      <c r="CH23" t="str">
        <f>""</f>
        <v/>
      </c>
      <c r="CI23" t="s">
        <v>131</v>
      </c>
      <c r="CJ23"/>
      <c r="CK23" t="s">
        <v>131</v>
      </c>
      <c r="CL23" t="str">
        <f>""</f>
        <v/>
      </c>
      <c r="CM23" t="str">
        <f>""</f>
        <v/>
      </c>
      <c r="CN23" t="str">
        <f>""</f>
        <v/>
      </c>
      <c r="CO23" t="str">
        <f>""</f>
        <v/>
      </c>
      <c r="CP23" t="str">
        <f>"47-2171.00"</f>
        <v>47-2171.00</v>
      </c>
      <c r="CQ23" t="s">
        <v>10954</v>
      </c>
      <c r="CR23" t="s">
        <v>13438</v>
      </c>
      <c r="CS23" t="s">
        <v>131</v>
      </c>
      <c r="CT23"/>
      <c r="CU23" t="s">
        <v>10942</v>
      </c>
      <c r="CV23"/>
      <c r="CW23" t="s">
        <v>699</v>
      </c>
      <c r="CX23" t="s">
        <v>400</v>
      </c>
      <c r="CY23"/>
      <c r="CZ23" s="3" t="str">
        <f>"78223"</f>
        <v>78223</v>
      </c>
      <c r="DA23" t="s">
        <v>131</v>
      </c>
      <c r="DB23" t="str">
        <f>"47-2171"</f>
        <v>47-2171</v>
      </c>
      <c r="DC23" t="s">
        <v>10954</v>
      </c>
      <c r="DD23" t="s">
        <v>134</v>
      </c>
      <c r="DE23" t="s">
        <v>134</v>
      </c>
      <c r="DF23" t="str">
        <f>""</f>
        <v/>
      </c>
      <c r="DG23"/>
      <c r="DH23" s="6">
        <v>25.41</v>
      </c>
      <c r="DI23" t="s">
        <v>344</v>
      </c>
      <c r="DJ23"/>
      <c r="DK23" t="s">
        <v>345</v>
      </c>
      <c r="DL23"/>
      <c r="DM23"/>
      <c r="DN23"/>
      <c r="DO23"/>
      <c r="DP23"/>
      <c r="DQ23"/>
      <c r="DR23" t="s">
        <v>3920</v>
      </c>
      <c r="DS23" s="6">
        <v>25.41</v>
      </c>
      <c r="DT23" t="s">
        <v>424</v>
      </c>
      <c r="DU23" s="1">
        <v>44350</v>
      </c>
      <c r="DV23" s="1">
        <v>44439</v>
      </c>
    </row>
    <row r="24" spans="1:126" s="7" customFormat="1" ht="15" customHeight="1" x14ac:dyDescent="0.35">
      <c r="A24" t="s">
        <v>13186</v>
      </c>
      <c r="B24" t="s">
        <v>318</v>
      </c>
      <c r="C24" s="1">
        <v>44319</v>
      </c>
      <c r="D24" s="1">
        <v>44351</v>
      </c>
      <c r="E24" s="1"/>
      <c r="F24" s="1"/>
      <c r="G24" s="1"/>
      <c r="H24" t="s">
        <v>319</v>
      </c>
      <c r="I24" t="s">
        <v>10125</v>
      </c>
      <c r="J24" t="s">
        <v>6654</v>
      </c>
      <c r="K24"/>
      <c r="L24" t="s">
        <v>907</v>
      </c>
      <c r="M24" t="s">
        <v>13187</v>
      </c>
      <c r="N24"/>
      <c r="O24" t="s">
        <v>801</v>
      </c>
      <c r="P24" t="s">
        <v>412</v>
      </c>
      <c r="Q24" s="3">
        <v>79701</v>
      </c>
      <c r="R24" t="s">
        <v>128</v>
      </c>
      <c r="S24"/>
      <c r="T24" s="4">
        <v>13256982410</v>
      </c>
      <c r="U24"/>
      <c r="V24" t="s">
        <v>134</v>
      </c>
      <c r="W24" t="s">
        <v>10127</v>
      </c>
      <c r="X24"/>
      <c r="Y24" t="s">
        <v>13187</v>
      </c>
      <c r="Z24"/>
      <c r="AA24" t="s">
        <v>801</v>
      </c>
      <c r="AB24" t="s">
        <v>400</v>
      </c>
      <c r="AC24" s="3" t="str">
        <f>"79701"</f>
        <v>79701</v>
      </c>
      <c r="AD24" t="s">
        <v>128</v>
      </c>
      <c r="AE24"/>
      <c r="AF24" s="4">
        <v>13256982410</v>
      </c>
      <c r="AG24"/>
      <c r="AH24" t="str">
        <f t="shared" ref="AH24:AH30" si="1">"56173"</f>
        <v>56173</v>
      </c>
      <c r="AI24" t="s">
        <v>287</v>
      </c>
      <c r="AJ24" t="s">
        <v>414</v>
      </c>
      <c r="AK24" t="s">
        <v>301</v>
      </c>
      <c r="AL24" t="s">
        <v>415</v>
      </c>
      <c r="AM24" t="s">
        <v>7360</v>
      </c>
      <c r="AN24" t="s">
        <v>7361</v>
      </c>
      <c r="AO24" t="s">
        <v>1513</v>
      </c>
      <c r="AP24" t="s">
        <v>400</v>
      </c>
      <c r="AQ24" s="5">
        <v>75231</v>
      </c>
      <c r="AR24" t="s">
        <v>128</v>
      </c>
      <c r="AS24"/>
      <c r="AT24" s="4">
        <v>12145265665</v>
      </c>
      <c r="AU24"/>
      <c r="AV24" t="s">
        <v>7362</v>
      </c>
      <c r="AW24" t="s">
        <v>7363</v>
      </c>
      <c r="AX24" t="s">
        <v>131</v>
      </c>
      <c r="AY24" t="s">
        <v>131</v>
      </c>
      <c r="AZ24" t="s">
        <v>131</v>
      </c>
      <c r="BA24" t="s">
        <v>131</v>
      </c>
      <c r="BB24" t="s">
        <v>131</v>
      </c>
      <c r="BC24" t="s">
        <v>131</v>
      </c>
      <c r="BD24" t="s">
        <v>131</v>
      </c>
      <c r="BE24" t="s">
        <v>132</v>
      </c>
      <c r="BF24"/>
      <c r="BG24" s="1"/>
      <c r="BH24" t="s">
        <v>2215</v>
      </c>
      <c r="BI24" t="s">
        <v>131</v>
      </c>
      <c r="BJ24"/>
      <c r="BK24"/>
      <c r="BL24" t="s">
        <v>167</v>
      </c>
      <c r="BM24"/>
      <c r="BN24"/>
      <c r="BO24" t="s">
        <v>131</v>
      </c>
      <c r="BP24" t="s">
        <v>134</v>
      </c>
      <c r="BQ24" t="s">
        <v>131</v>
      </c>
      <c r="BR24"/>
      <c r="BS24" t="str">
        <f t="shared" si="0"/>
        <v>N/A</v>
      </c>
      <c r="BT24" t="s">
        <v>131</v>
      </c>
      <c r="BU24"/>
      <c r="BV24" t="str">
        <f>""</f>
        <v/>
      </c>
      <c r="BW24" t="s">
        <v>135</v>
      </c>
      <c r="BX24" t="str">
        <f>""</f>
        <v/>
      </c>
      <c r="BY24" t="str">
        <f>""</f>
        <v/>
      </c>
      <c r="BZ24" t="str">
        <f>""</f>
        <v/>
      </c>
      <c r="CA24" t="str">
        <f>"Must be able to lift 50 lbs, work in adverse weather conditions &amp; pass a pre &amp; post drug test paid by employer."</f>
        <v>Must be able to lift 50 lbs, work in adverse weather conditions &amp; pass a pre &amp; post drug test paid by employer.</v>
      </c>
      <c r="CB24" t="s">
        <v>131</v>
      </c>
      <c r="CC24"/>
      <c r="CD24"/>
      <c r="CE24"/>
      <c r="CF24" t="s">
        <v>131</v>
      </c>
      <c r="CG24"/>
      <c r="CH24" t="str">
        <f>""</f>
        <v/>
      </c>
      <c r="CI24" t="s">
        <v>131</v>
      </c>
      <c r="CJ24"/>
      <c r="CK24" t="s">
        <v>131</v>
      </c>
      <c r="CL24" t="str">
        <f>""</f>
        <v/>
      </c>
      <c r="CM24" t="str">
        <f>""</f>
        <v/>
      </c>
      <c r="CN24" t="str">
        <f>""</f>
        <v/>
      </c>
      <c r="CO24" t="str">
        <f>""</f>
        <v/>
      </c>
      <c r="CP24" t="str">
        <f t="shared" ref="CP24:CP30" si="2">"37-3011.00"</f>
        <v>37-3011.00</v>
      </c>
      <c r="CQ24" t="s">
        <v>920</v>
      </c>
      <c r="CR24"/>
      <c r="CS24" t="s">
        <v>131</v>
      </c>
      <c r="CT24"/>
      <c r="CU24" t="s">
        <v>13187</v>
      </c>
      <c r="CV24"/>
      <c r="CW24" t="s">
        <v>801</v>
      </c>
      <c r="CX24" t="s">
        <v>400</v>
      </c>
      <c r="CY24"/>
      <c r="CZ24" s="3" t="str">
        <f>"79701"</f>
        <v>79701</v>
      </c>
      <c r="DA24" t="s">
        <v>135</v>
      </c>
      <c r="DB24" t="str">
        <f t="shared" ref="DB24:DB30" si="3">"37-3011"</f>
        <v>37-3011</v>
      </c>
      <c r="DC24" t="s">
        <v>920</v>
      </c>
      <c r="DD24" t="s">
        <v>134</v>
      </c>
      <c r="DE24" t="s">
        <v>134</v>
      </c>
      <c r="DF24" t="str">
        <f>""</f>
        <v/>
      </c>
      <c r="DG24"/>
      <c r="DH24" s="6">
        <v>14.53</v>
      </c>
      <c r="DI24" t="s">
        <v>344</v>
      </c>
      <c r="DJ24"/>
      <c r="DK24" t="s">
        <v>345</v>
      </c>
      <c r="DL24"/>
      <c r="DM24"/>
      <c r="DN24"/>
      <c r="DO24"/>
      <c r="DP24"/>
      <c r="DQ24"/>
      <c r="DR24" t="s">
        <v>13188</v>
      </c>
      <c r="DS24" s="6">
        <v>14.75</v>
      </c>
      <c r="DT24" t="s">
        <v>424</v>
      </c>
      <c r="DU24" s="1">
        <v>44351</v>
      </c>
      <c r="DV24" s="1">
        <v>44440</v>
      </c>
    </row>
    <row r="25" spans="1:126" s="7" customFormat="1" ht="15" customHeight="1" x14ac:dyDescent="0.35">
      <c r="A25" t="s">
        <v>9471</v>
      </c>
      <c r="B25" t="s">
        <v>318</v>
      </c>
      <c r="C25" s="1">
        <v>44319</v>
      </c>
      <c r="D25" s="1">
        <v>44351</v>
      </c>
      <c r="E25" s="1"/>
      <c r="F25" s="1"/>
      <c r="G25" s="1"/>
      <c r="H25" t="s">
        <v>319</v>
      </c>
      <c r="I25" t="s">
        <v>7356</v>
      </c>
      <c r="J25" t="s">
        <v>435</v>
      </c>
      <c r="K25"/>
      <c r="L25" t="s">
        <v>395</v>
      </c>
      <c r="M25" t="s">
        <v>7357</v>
      </c>
      <c r="N25"/>
      <c r="O25" t="s">
        <v>7358</v>
      </c>
      <c r="P25" t="s">
        <v>826</v>
      </c>
      <c r="Q25" s="3">
        <v>21030</v>
      </c>
      <c r="R25" t="s">
        <v>128</v>
      </c>
      <c r="S25"/>
      <c r="T25" s="4">
        <v>14107711970</v>
      </c>
      <c r="U25"/>
      <c r="V25" t="s">
        <v>134</v>
      </c>
      <c r="W25" t="s">
        <v>7359</v>
      </c>
      <c r="X25"/>
      <c r="Y25" t="s">
        <v>7357</v>
      </c>
      <c r="Z25"/>
      <c r="AA25" t="s">
        <v>7358</v>
      </c>
      <c r="AB25" t="s">
        <v>382</v>
      </c>
      <c r="AC25" s="3" t="str">
        <f>"21030"</f>
        <v>21030</v>
      </c>
      <c r="AD25" t="s">
        <v>128</v>
      </c>
      <c r="AE25"/>
      <c r="AF25" s="4">
        <v>14107711970</v>
      </c>
      <c r="AG25"/>
      <c r="AH25" t="str">
        <f t="shared" si="1"/>
        <v>56173</v>
      </c>
      <c r="AI25" t="s">
        <v>287</v>
      </c>
      <c r="AJ25" t="s">
        <v>414</v>
      </c>
      <c r="AK25" t="s">
        <v>301</v>
      </c>
      <c r="AL25" t="s">
        <v>415</v>
      </c>
      <c r="AM25" t="s">
        <v>9472</v>
      </c>
      <c r="AN25"/>
      <c r="AO25" t="s">
        <v>1513</v>
      </c>
      <c r="AP25" t="s">
        <v>400</v>
      </c>
      <c r="AQ25" s="5">
        <v>75231</v>
      </c>
      <c r="AR25" t="s">
        <v>128</v>
      </c>
      <c r="AS25"/>
      <c r="AT25" s="4">
        <v>12145265665</v>
      </c>
      <c r="AU25"/>
      <c r="AV25" t="s">
        <v>7362</v>
      </c>
      <c r="AW25" t="s">
        <v>7363</v>
      </c>
      <c r="AX25" t="s">
        <v>131</v>
      </c>
      <c r="AY25" t="s">
        <v>131</v>
      </c>
      <c r="AZ25" t="s">
        <v>131</v>
      </c>
      <c r="BA25" t="s">
        <v>131</v>
      </c>
      <c r="BB25" t="s">
        <v>131</v>
      </c>
      <c r="BC25" t="s">
        <v>131</v>
      </c>
      <c r="BD25" t="s">
        <v>131</v>
      </c>
      <c r="BE25" t="s">
        <v>132</v>
      </c>
      <c r="BF25"/>
      <c r="BG25" s="1"/>
      <c r="BH25" t="s">
        <v>2215</v>
      </c>
      <c r="BI25" t="s">
        <v>131</v>
      </c>
      <c r="BJ25"/>
      <c r="BK25"/>
      <c r="BL25" t="s">
        <v>167</v>
      </c>
      <c r="BM25"/>
      <c r="BN25"/>
      <c r="BO25" t="s">
        <v>131</v>
      </c>
      <c r="BP25" t="s">
        <v>134</v>
      </c>
      <c r="BQ25" t="s">
        <v>131</v>
      </c>
      <c r="BR25"/>
      <c r="BS25" t="str">
        <f t="shared" si="0"/>
        <v>N/A</v>
      </c>
      <c r="BT25" t="s">
        <v>131</v>
      </c>
      <c r="BU25"/>
      <c r="BV25" t="str">
        <f>""</f>
        <v/>
      </c>
      <c r="BW25" t="s">
        <v>135</v>
      </c>
      <c r="BX25" t="str">
        <f>""</f>
        <v/>
      </c>
      <c r="BY25" t="str">
        <f>""</f>
        <v/>
      </c>
      <c r="BZ25" t="str">
        <f>""</f>
        <v/>
      </c>
      <c r="CA25" t="str">
        <f>"Must be able to lift 50 lbs, work in adverse weather conditions &amp; pass a pre &amp; post drug test paid by employer."</f>
        <v>Must be able to lift 50 lbs, work in adverse weather conditions &amp; pass a pre &amp; post drug test paid by employer.</v>
      </c>
      <c r="CB25" t="s">
        <v>131</v>
      </c>
      <c r="CC25"/>
      <c r="CD25"/>
      <c r="CE25"/>
      <c r="CF25" t="s">
        <v>131</v>
      </c>
      <c r="CG25"/>
      <c r="CH25" t="str">
        <f>""</f>
        <v/>
      </c>
      <c r="CI25" t="s">
        <v>131</v>
      </c>
      <c r="CJ25"/>
      <c r="CK25" t="s">
        <v>131</v>
      </c>
      <c r="CL25" t="str">
        <f>""</f>
        <v/>
      </c>
      <c r="CM25" t="str">
        <f>""</f>
        <v/>
      </c>
      <c r="CN25" t="str">
        <f>""</f>
        <v/>
      </c>
      <c r="CO25" t="str">
        <f>""</f>
        <v/>
      </c>
      <c r="CP25" t="str">
        <f t="shared" si="2"/>
        <v>37-3011.00</v>
      </c>
      <c r="CQ25" t="s">
        <v>920</v>
      </c>
      <c r="CR25"/>
      <c r="CS25" t="s">
        <v>131</v>
      </c>
      <c r="CT25"/>
      <c r="CU25" t="s">
        <v>9473</v>
      </c>
      <c r="CV25"/>
      <c r="CW25" t="s">
        <v>7358</v>
      </c>
      <c r="CX25" t="s">
        <v>382</v>
      </c>
      <c r="CY25"/>
      <c r="CZ25" s="3" t="str">
        <f>"21030"</f>
        <v>21030</v>
      </c>
      <c r="DA25" t="s">
        <v>135</v>
      </c>
      <c r="DB25" t="str">
        <f t="shared" si="3"/>
        <v>37-3011</v>
      </c>
      <c r="DC25" t="s">
        <v>920</v>
      </c>
      <c r="DD25" t="s">
        <v>134</v>
      </c>
      <c r="DE25" t="s">
        <v>134</v>
      </c>
      <c r="DF25" t="str">
        <f>""</f>
        <v/>
      </c>
      <c r="DG25"/>
      <c r="DH25" s="6">
        <v>16.89</v>
      </c>
      <c r="DI25" t="s">
        <v>344</v>
      </c>
      <c r="DJ25"/>
      <c r="DK25" t="s">
        <v>345</v>
      </c>
      <c r="DL25"/>
      <c r="DM25"/>
      <c r="DN25"/>
      <c r="DO25"/>
      <c r="DP25"/>
      <c r="DQ25"/>
      <c r="DR25" t="s">
        <v>9474</v>
      </c>
      <c r="DS25" s="6">
        <v>16.89</v>
      </c>
      <c r="DT25" t="s">
        <v>424</v>
      </c>
      <c r="DU25" s="1">
        <v>44351</v>
      </c>
      <c r="DV25" s="1">
        <v>44440</v>
      </c>
    </row>
    <row r="26" spans="1:126" s="7" customFormat="1" ht="15" customHeight="1" x14ac:dyDescent="0.35">
      <c r="A26" t="s">
        <v>9017</v>
      </c>
      <c r="B26" t="s">
        <v>318</v>
      </c>
      <c r="C26" s="1">
        <v>44319</v>
      </c>
      <c r="D26" s="1">
        <v>44351</v>
      </c>
      <c r="E26" s="1"/>
      <c r="F26" s="1"/>
      <c r="G26" s="1"/>
      <c r="H26" t="s">
        <v>319</v>
      </c>
      <c r="I26" t="s">
        <v>8861</v>
      </c>
      <c r="J26" t="s">
        <v>4565</v>
      </c>
      <c r="K26"/>
      <c r="L26" t="s">
        <v>9018</v>
      </c>
      <c r="M26" t="s">
        <v>9019</v>
      </c>
      <c r="N26"/>
      <c r="O26" t="s">
        <v>715</v>
      </c>
      <c r="P26" t="s">
        <v>588</v>
      </c>
      <c r="Q26" s="3">
        <v>23228</v>
      </c>
      <c r="R26" t="s">
        <v>128</v>
      </c>
      <c r="S26"/>
      <c r="T26" s="4">
        <v>18047162540</v>
      </c>
      <c r="U26"/>
      <c r="V26" t="s">
        <v>134</v>
      </c>
      <c r="W26" t="s">
        <v>8863</v>
      </c>
      <c r="X26"/>
      <c r="Y26" t="s">
        <v>9019</v>
      </c>
      <c r="Z26"/>
      <c r="AA26" t="s">
        <v>715</v>
      </c>
      <c r="AB26" t="s">
        <v>306</v>
      </c>
      <c r="AC26" s="3" t="str">
        <f>"23228"</f>
        <v>23228</v>
      </c>
      <c r="AD26" t="s">
        <v>128</v>
      </c>
      <c r="AE26"/>
      <c r="AF26" s="4">
        <v>18047162540</v>
      </c>
      <c r="AG26"/>
      <c r="AH26" t="str">
        <f t="shared" si="1"/>
        <v>56173</v>
      </c>
      <c r="AI26" t="s">
        <v>287</v>
      </c>
      <c r="AJ26" t="s">
        <v>414</v>
      </c>
      <c r="AK26" t="s">
        <v>301</v>
      </c>
      <c r="AL26" t="s">
        <v>415</v>
      </c>
      <c r="AM26" t="s">
        <v>7360</v>
      </c>
      <c r="AN26" t="s">
        <v>7361</v>
      </c>
      <c r="AO26" t="s">
        <v>1513</v>
      </c>
      <c r="AP26" t="s">
        <v>400</v>
      </c>
      <c r="AQ26" s="5">
        <v>75231</v>
      </c>
      <c r="AR26" t="s">
        <v>128</v>
      </c>
      <c r="AS26"/>
      <c r="AT26" s="4">
        <v>12145265665</v>
      </c>
      <c r="AU26"/>
      <c r="AV26" t="s">
        <v>7362</v>
      </c>
      <c r="AW26" t="s">
        <v>7363</v>
      </c>
      <c r="AX26" t="s">
        <v>131</v>
      </c>
      <c r="AY26" t="s">
        <v>131</v>
      </c>
      <c r="AZ26" t="s">
        <v>131</v>
      </c>
      <c r="BA26" t="s">
        <v>131</v>
      </c>
      <c r="BB26" t="s">
        <v>131</v>
      </c>
      <c r="BC26" t="s">
        <v>131</v>
      </c>
      <c r="BD26" t="s">
        <v>131</v>
      </c>
      <c r="BE26" t="s">
        <v>132</v>
      </c>
      <c r="BF26"/>
      <c r="BG26" s="1"/>
      <c r="BH26" t="s">
        <v>2215</v>
      </c>
      <c r="BI26" t="s">
        <v>131</v>
      </c>
      <c r="BJ26"/>
      <c r="BK26"/>
      <c r="BL26" t="s">
        <v>167</v>
      </c>
      <c r="BM26"/>
      <c r="BN26"/>
      <c r="BO26" t="s">
        <v>131</v>
      </c>
      <c r="BP26" t="s">
        <v>134</v>
      </c>
      <c r="BQ26" t="s">
        <v>131</v>
      </c>
      <c r="BR26"/>
      <c r="BS26" t="str">
        <f t="shared" si="0"/>
        <v>N/A</v>
      </c>
      <c r="BT26" t="s">
        <v>131</v>
      </c>
      <c r="BU26"/>
      <c r="BV26" t="str">
        <f>""</f>
        <v/>
      </c>
      <c r="BW26" t="s">
        <v>135</v>
      </c>
      <c r="BX26" t="str">
        <f>""</f>
        <v/>
      </c>
      <c r="BY26" t="str">
        <f>""</f>
        <v/>
      </c>
      <c r="BZ26" t="str">
        <f>""</f>
        <v/>
      </c>
      <c r="CA26" t="str">
        <f>"Must be able to lift 50 lbs, work in adverse weather conditions &amp; pass a post-employment drug test paid by employer. "</f>
        <v xml:space="preserve">Must be able to lift 50 lbs, work in adverse weather conditions &amp; pass a post-employment drug test paid by employer. </v>
      </c>
      <c r="CB26" t="s">
        <v>131</v>
      </c>
      <c r="CC26"/>
      <c r="CD26"/>
      <c r="CE26"/>
      <c r="CF26" t="s">
        <v>131</v>
      </c>
      <c r="CG26"/>
      <c r="CH26" t="str">
        <f>""</f>
        <v/>
      </c>
      <c r="CI26" t="s">
        <v>131</v>
      </c>
      <c r="CJ26"/>
      <c r="CK26" t="s">
        <v>131</v>
      </c>
      <c r="CL26" t="str">
        <f>""</f>
        <v/>
      </c>
      <c r="CM26" t="str">
        <f>""</f>
        <v/>
      </c>
      <c r="CN26" t="str">
        <f>""</f>
        <v/>
      </c>
      <c r="CO26" t="str">
        <f>""</f>
        <v/>
      </c>
      <c r="CP26" t="str">
        <f t="shared" si="2"/>
        <v>37-3011.00</v>
      </c>
      <c r="CQ26" t="s">
        <v>920</v>
      </c>
      <c r="CR26"/>
      <c r="CS26" t="s">
        <v>131</v>
      </c>
      <c r="CT26"/>
      <c r="CU26" t="s">
        <v>9019</v>
      </c>
      <c r="CV26"/>
      <c r="CW26" t="s">
        <v>715</v>
      </c>
      <c r="CX26" t="s">
        <v>306</v>
      </c>
      <c r="CY26"/>
      <c r="CZ26" s="3" t="str">
        <f>"23228"</f>
        <v>23228</v>
      </c>
      <c r="DA26" t="s">
        <v>135</v>
      </c>
      <c r="DB26" t="str">
        <f t="shared" si="3"/>
        <v>37-3011</v>
      </c>
      <c r="DC26" t="s">
        <v>920</v>
      </c>
      <c r="DD26" t="s">
        <v>134</v>
      </c>
      <c r="DE26" t="s">
        <v>134</v>
      </c>
      <c r="DF26" t="str">
        <f>""</f>
        <v/>
      </c>
      <c r="DG26"/>
      <c r="DH26" s="6">
        <v>16.100000000000001</v>
      </c>
      <c r="DI26" t="s">
        <v>344</v>
      </c>
      <c r="DJ26"/>
      <c r="DK26" t="s">
        <v>345</v>
      </c>
      <c r="DL26"/>
      <c r="DM26"/>
      <c r="DN26"/>
      <c r="DO26"/>
      <c r="DP26"/>
      <c r="DQ26"/>
      <c r="DR26" t="s">
        <v>9020</v>
      </c>
      <c r="DS26" s="6">
        <v>16.100000000000001</v>
      </c>
      <c r="DT26" t="s">
        <v>424</v>
      </c>
      <c r="DU26" s="1">
        <v>44351</v>
      </c>
      <c r="DV26" s="1">
        <v>44440</v>
      </c>
    </row>
    <row r="27" spans="1:126" s="7" customFormat="1" ht="15" customHeight="1" x14ac:dyDescent="0.35">
      <c r="A27" t="s">
        <v>18495</v>
      </c>
      <c r="B27" t="s">
        <v>318</v>
      </c>
      <c r="C27" s="1">
        <v>44319</v>
      </c>
      <c r="D27" s="1">
        <v>44351</v>
      </c>
      <c r="E27" s="1"/>
      <c r="F27" s="1"/>
      <c r="G27" s="1"/>
      <c r="H27" t="s">
        <v>319</v>
      </c>
      <c r="I27" t="s">
        <v>8861</v>
      </c>
      <c r="J27" t="s">
        <v>4565</v>
      </c>
      <c r="K27"/>
      <c r="L27" t="s">
        <v>9018</v>
      </c>
      <c r="M27" t="s">
        <v>18496</v>
      </c>
      <c r="N27"/>
      <c r="O27" t="s">
        <v>13302</v>
      </c>
      <c r="P27" t="s">
        <v>588</v>
      </c>
      <c r="Q27" s="3">
        <v>22079</v>
      </c>
      <c r="R27" t="s">
        <v>128</v>
      </c>
      <c r="S27"/>
      <c r="T27" s="4">
        <v>17033725795</v>
      </c>
      <c r="U27"/>
      <c r="V27" t="s">
        <v>134</v>
      </c>
      <c r="W27" t="s">
        <v>16605</v>
      </c>
      <c r="X27"/>
      <c r="Y27" t="s">
        <v>18496</v>
      </c>
      <c r="Z27"/>
      <c r="AA27" t="s">
        <v>13302</v>
      </c>
      <c r="AB27" t="s">
        <v>306</v>
      </c>
      <c r="AC27" s="3" t="str">
        <f>"22079"</f>
        <v>22079</v>
      </c>
      <c r="AD27" t="s">
        <v>128</v>
      </c>
      <c r="AE27"/>
      <c r="AF27" s="4">
        <v>17033725795</v>
      </c>
      <c r="AG27"/>
      <c r="AH27" t="str">
        <f t="shared" si="1"/>
        <v>56173</v>
      </c>
      <c r="AI27" t="s">
        <v>287</v>
      </c>
      <c r="AJ27" t="s">
        <v>414</v>
      </c>
      <c r="AK27" t="s">
        <v>301</v>
      </c>
      <c r="AL27" t="s">
        <v>415</v>
      </c>
      <c r="AM27" t="s">
        <v>7360</v>
      </c>
      <c r="AN27" t="s">
        <v>7361</v>
      </c>
      <c r="AO27" t="s">
        <v>1513</v>
      </c>
      <c r="AP27" t="s">
        <v>400</v>
      </c>
      <c r="AQ27" s="5">
        <v>75231</v>
      </c>
      <c r="AR27" t="s">
        <v>128</v>
      </c>
      <c r="AS27"/>
      <c r="AT27" s="4">
        <v>12145265665</v>
      </c>
      <c r="AU27"/>
      <c r="AV27" t="s">
        <v>7362</v>
      </c>
      <c r="AW27" t="s">
        <v>7363</v>
      </c>
      <c r="AX27" t="s">
        <v>131</v>
      </c>
      <c r="AY27" t="s">
        <v>131</v>
      </c>
      <c r="AZ27" t="s">
        <v>131</v>
      </c>
      <c r="BA27" t="s">
        <v>131</v>
      </c>
      <c r="BB27" t="s">
        <v>131</v>
      </c>
      <c r="BC27" t="s">
        <v>131</v>
      </c>
      <c r="BD27" t="s">
        <v>131</v>
      </c>
      <c r="BE27" t="s">
        <v>132</v>
      </c>
      <c r="BF27"/>
      <c r="BG27" s="1"/>
      <c r="BH27" t="s">
        <v>2215</v>
      </c>
      <c r="BI27" t="s">
        <v>131</v>
      </c>
      <c r="BJ27"/>
      <c r="BK27"/>
      <c r="BL27" t="s">
        <v>167</v>
      </c>
      <c r="BM27"/>
      <c r="BN27"/>
      <c r="BO27" t="s">
        <v>131</v>
      </c>
      <c r="BP27" t="s">
        <v>134</v>
      </c>
      <c r="BQ27" t="s">
        <v>131</v>
      </c>
      <c r="BR27"/>
      <c r="BS27" t="str">
        <f t="shared" si="0"/>
        <v>N/A</v>
      </c>
      <c r="BT27" t="s">
        <v>131</v>
      </c>
      <c r="BU27"/>
      <c r="BV27" t="str">
        <f>""</f>
        <v/>
      </c>
      <c r="BW27" t="s">
        <v>135</v>
      </c>
      <c r="BX27" t="str">
        <f>""</f>
        <v/>
      </c>
      <c r="BY27" t="str">
        <f>""</f>
        <v/>
      </c>
      <c r="BZ27" t="str">
        <f>""</f>
        <v/>
      </c>
      <c r="CA27" t="str">
        <f>"Must be able to lift 50 lbs, work in adverse weather conditions &amp; pass a post-employment drug test paid by employer."</f>
        <v>Must be able to lift 50 lbs, work in adverse weather conditions &amp; pass a post-employment drug test paid by employer.</v>
      </c>
      <c r="CB27" t="s">
        <v>131</v>
      </c>
      <c r="CC27"/>
      <c r="CD27"/>
      <c r="CE27"/>
      <c r="CF27" t="s">
        <v>131</v>
      </c>
      <c r="CG27"/>
      <c r="CH27" t="str">
        <f>""</f>
        <v/>
      </c>
      <c r="CI27" t="s">
        <v>131</v>
      </c>
      <c r="CJ27"/>
      <c r="CK27" t="s">
        <v>131</v>
      </c>
      <c r="CL27" t="str">
        <f>""</f>
        <v/>
      </c>
      <c r="CM27" t="str">
        <f>""</f>
        <v/>
      </c>
      <c r="CN27" t="str">
        <f>""</f>
        <v/>
      </c>
      <c r="CO27" t="str">
        <f>""</f>
        <v/>
      </c>
      <c r="CP27" t="str">
        <f t="shared" si="2"/>
        <v>37-3011.00</v>
      </c>
      <c r="CQ27" t="s">
        <v>920</v>
      </c>
      <c r="CR27"/>
      <c r="CS27" t="s">
        <v>131</v>
      </c>
      <c r="CT27"/>
      <c r="CU27" t="s">
        <v>18496</v>
      </c>
      <c r="CV27"/>
      <c r="CW27" t="s">
        <v>13302</v>
      </c>
      <c r="CX27" t="s">
        <v>306</v>
      </c>
      <c r="CY27"/>
      <c r="CZ27" s="3" t="str">
        <f>"22079"</f>
        <v>22079</v>
      </c>
      <c r="DA27" t="s">
        <v>135</v>
      </c>
      <c r="DB27" t="str">
        <f t="shared" si="3"/>
        <v>37-3011</v>
      </c>
      <c r="DC27" t="s">
        <v>920</v>
      </c>
      <c r="DD27" t="s">
        <v>134</v>
      </c>
      <c r="DE27" t="s">
        <v>134</v>
      </c>
      <c r="DF27" t="str">
        <f>""</f>
        <v/>
      </c>
      <c r="DG27"/>
      <c r="DH27" s="6">
        <v>16.25</v>
      </c>
      <c r="DI27" t="s">
        <v>344</v>
      </c>
      <c r="DJ27"/>
      <c r="DK27" t="s">
        <v>345</v>
      </c>
      <c r="DL27"/>
      <c r="DM27"/>
      <c r="DN27"/>
      <c r="DO27"/>
      <c r="DP27"/>
      <c r="DQ27"/>
      <c r="DR27" t="s">
        <v>9742</v>
      </c>
      <c r="DS27" s="6">
        <v>16.25</v>
      </c>
      <c r="DT27" t="s">
        <v>424</v>
      </c>
      <c r="DU27" s="1">
        <v>44351</v>
      </c>
      <c r="DV27" s="1">
        <v>44440</v>
      </c>
    </row>
    <row r="28" spans="1:126" s="7" customFormat="1" ht="15" customHeight="1" x14ac:dyDescent="0.35">
      <c r="A28" t="s">
        <v>14996</v>
      </c>
      <c r="B28" t="s">
        <v>318</v>
      </c>
      <c r="C28" s="1">
        <v>44319</v>
      </c>
      <c r="D28" s="1">
        <v>44351</v>
      </c>
      <c r="E28" s="1"/>
      <c r="F28" s="1"/>
      <c r="G28" s="1"/>
      <c r="H28" t="s">
        <v>319</v>
      </c>
      <c r="I28" t="s">
        <v>14997</v>
      </c>
      <c r="J28" t="s">
        <v>618</v>
      </c>
      <c r="K28"/>
      <c r="L28" t="s">
        <v>907</v>
      </c>
      <c r="M28" t="s">
        <v>14998</v>
      </c>
      <c r="N28"/>
      <c r="O28" t="s">
        <v>14999</v>
      </c>
      <c r="P28" t="s">
        <v>811</v>
      </c>
      <c r="Q28" s="3">
        <v>29405</v>
      </c>
      <c r="R28" t="s">
        <v>128</v>
      </c>
      <c r="S28"/>
      <c r="T28" s="4">
        <v>18435535630</v>
      </c>
      <c r="U28"/>
      <c r="V28" t="s">
        <v>134</v>
      </c>
      <c r="W28" t="s">
        <v>15000</v>
      </c>
      <c r="X28"/>
      <c r="Y28" t="s">
        <v>14998</v>
      </c>
      <c r="Z28"/>
      <c r="AA28" t="s">
        <v>14999</v>
      </c>
      <c r="AB28" t="s">
        <v>812</v>
      </c>
      <c r="AC28" s="3" t="str">
        <f>"29405"</f>
        <v>29405</v>
      </c>
      <c r="AD28" t="s">
        <v>128</v>
      </c>
      <c r="AE28"/>
      <c r="AF28" s="4">
        <v>18435535630</v>
      </c>
      <c r="AG28"/>
      <c r="AH28" t="str">
        <f t="shared" si="1"/>
        <v>56173</v>
      </c>
      <c r="AI28" t="s">
        <v>287</v>
      </c>
      <c r="AJ28" t="s">
        <v>414</v>
      </c>
      <c r="AK28" t="s">
        <v>301</v>
      </c>
      <c r="AL28" t="s">
        <v>415</v>
      </c>
      <c r="AM28" t="s">
        <v>7360</v>
      </c>
      <c r="AN28" t="s">
        <v>7361</v>
      </c>
      <c r="AO28" t="s">
        <v>1513</v>
      </c>
      <c r="AP28" t="s">
        <v>400</v>
      </c>
      <c r="AQ28" s="5">
        <v>75231</v>
      </c>
      <c r="AR28" t="s">
        <v>128</v>
      </c>
      <c r="AS28"/>
      <c r="AT28" s="4">
        <v>12145265665</v>
      </c>
      <c r="AU28"/>
      <c r="AV28" t="s">
        <v>7362</v>
      </c>
      <c r="AW28" t="s">
        <v>7363</v>
      </c>
      <c r="AX28" t="s">
        <v>131</v>
      </c>
      <c r="AY28" t="s">
        <v>131</v>
      </c>
      <c r="AZ28" t="s">
        <v>131</v>
      </c>
      <c r="BA28" t="s">
        <v>131</v>
      </c>
      <c r="BB28" t="s">
        <v>131</v>
      </c>
      <c r="BC28" t="s">
        <v>131</v>
      </c>
      <c r="BD28" t="s">
        <v>131</v>
      </c>
      <c r="BE28" t="s">
        <v>132</v>
      </c>
      <c r="BF28"/>
      <c r="BG28" s="1"/>
      <c r="BH28" t="s">
        <v>2215</v>
      </c>
      <c r="BI28" t="s">
        <v>131</v>
      </c>
      <c r="BJ28"/>
      <c r="BK28"/>
      <c r="BL28" t="s">
        <v>167</v>
      </c>
      <c r="BM28"/>
      <c r="BN28"/>
      <c r="BO28" t="s">
        <v>131</v>
      </c>
      <c r="BP28" t="s">
        <v>134</v>
      </c>
      <c r="BQ28" t="s">
        <v>131</v>
      </c>
      <c r="BR28"/>
      <c r="BS28" t="str">
        <f t="shared" si="0"/>
        <v>N/A</v>
      </c>
      <c r="BT28" t="s">
        <v>131</v>
      </c>
      <c r="BU28"/>
      <c r="BV28" t="str">
        <f>""</f>
        <v/>
      </c>
      <c r="BW28" t="s">
        <v>135</v>
      </c>
      <c r="BX28" t="str">
        <f>""</f>
        <v/>
      </c>
      <c r="BY28" t="str">
        <f>""</f>
        <v/>
      </c>
      <c r="BZ28" t="str">
        <f>""</f>
        <v/>
      </c>
      <c r="CA28" t="str">
        <f>"Must be able to lift 50 lbs, work in adverse weather conditions &amp; pass a post-employment drug test paid by employer. "</f>
        <v xml:space="preserve">Must be able to lift 50 lbs, work in adverse weather conditions &amp; pass a post-employment drug test paid by employer. </v>
      </c>
      <c r="CB28" t="s">
        <v>131</v>
      </c>
      <c r="CC28"/>
      <c r="CD28"/>
      <c r="CE28"/>
      <c r="CF28" t="s">
        <v>131</v>
      </c>
      <c r="CG28"/>
      <c r="CH28" t="str">
        <f>""</f>
        <v/>
      </c>
      <c r="CI28" t="s">
        <v>131</v>
      </c>
      <c r="CJ28"/>
      <c r="CK28" t="s">
        <v>131</v>
      </c>
      <c r="CL28" t="str">
        <f>""</f>
        <v/>
      </c>
      <c r="CM28" t="str">
        <f>""</f>
        <v/>
      </c>
      <c r="CN28" t="str">
        <f>""</f>
        <v/>
      </c>
      <c r="CO28" t="str">
        <f>""</f>
        <v/>
      </c>
      <c r="CP28" t="str">
        <f t="shared" si="2"/>
        <v>37-3011.00</v>
      </c>
      <c r="CQ28" t="s">
        <v>920</v>
      </c>
      <c r="CR28"/>
      <c r="CS28" t="s">
        <v>131</v>
      </c>
      <c r="CT28"/>
      <c r="CU28" t="s">
        <v>14998</v>
      </c>
      <c r="CV28"/>
      <c r="CW28" t="s">
        <v>14999</v>
      </c>
      <c r="CX28" t="s">
        <v>812</v>
      </c>
      <c r="CY28"/>
      <c r="CZ28" s="3" t="str">
        <f>"29405"</f>
        <v>29405</v>
      </c>
      <c r="DA28" t="s">
        <v>135</v>
      </c>
      <c r="DB28" t="str">
        <f t="shared" si="3"/>
        <v>37-3011</v>
      </c>
      <c r="DC28" t="s">
        <v>920</v>
      </c>
      <c r="DD28" t="s">
        <v>134</v>
      </c>
      <c r="DE28" t="s">
        <v>134</v>
      </c>
      <c r="DF28" t="str">
        <f>""</f>
        <v/>
      </c>
      <c r="DG28"/>
      <c r="DH28" s="6">
        <v>14.39</v>
      </c>
      <c r="DI28" t="s">
        <v>344</v>
      </c>
      <c r="DJ28"/>
      <c r="DK28" t="s">
        <v>345</v>
      </c>
      <c r="DL28"/>
      <c r="DM28"/>
      <c r="DN28"/>
      <c r="DO28"/>
      <c r="DP28"/>
      <c r="DQ28"/>
      <c r="DR28" t="s">
        <v>5463</v>
      </c>
      <c r="DS28" s="6">
        <v>14.39</v>
      </c>
      <c r="DT28" t="s">
        <v>424</v>
      </c>
      <c r="DU28" s="1">
        <v>44351</v>
      </c>
      <c r="DV28" s="1">
        <v>44440</v>
      </c>
    </row>
    <row r="29" spans="1:126" s="7" customFormat="1" ht="15" customHeight="1" x14ac:dyDescent="0.35">
      <c r="A29" t="s">
        <v>13838</v>
      </c>
      <c r="B29" t="s">
        <v>318</v>
      </c>
      <c r="C29" s="1">
        <v>44319</v>
      </c>
      <c r="D29" s="1">
        <v>44351</v>
      </c>
      <c r="E29" s="1"/>
      <c r="F29" s="1"/>
      <c r="G29" s="1"/>
      <c r="H29" t="s">
        <v>319</v>
      </c>
      <c r="I29" t="s">
        <v>7080</v>
      </c>
      <c r="J29" t="s">
        <v>13839</v>
      </c>
      <c r="K29"/>
      <c r="L29" t="s">
        <v>13840</v>
      </c>
      <c r="M29" t="s">
        <v>13841</v>
      </c>
      <c r="N29"/>
      <c r="O29" t="s">
        <v>13842</v>
      </c>
      <c r="P29" t="s">
        <v>1760</v>
      </c>
      <c r="Q29" s="3">
        <v>70767</v>
      </c>
      <c r="R29" t="s">
        <v>128</v>
      </c>
      <c r="S29"/>
      <c r="T29" s="4">
        <v>12257497777</v>
      </c>
      <c r="U29"/>
      <c r="V29" t="s">
        <v>134</v>
      </c>
      <c r="W29" t="s">
        <v>13843</v>
      </c>
      <c r="X29"/>
      <c r="Y29" t="s">
        <v>13841</v>
      </c>
      <c r="Z29"/>
      <c r="AA29" t="s">
        <v>13842</v>
      </c>
      <c r="AB29" t="s">
        <v>1763</v>
      </c>
      <c r="AC29" s="3" t="str">
        <f>"70767"</f>
        <v>70767</v>
      </c>
      <c r="AD29" t="s">
        <v>128</v>
      </c>
      <c r="AE29"/>
      <c r="AF29" s="4">
        <v>12257497777</v>
      </c>
      <c r="AG29"/>
      <c r="AH29" t="str">
        <f t="shared" si="1"/>
        <v>56173</v>
      </c>
      <c r="AI29" t="s">
        <v>287</v>
      </c>
      <c r="AJ29" t="s">
        <v>414</v>
      </c>
      <c r="AK29" t="s">
        <v>301</v>
      </c>
      <c r="AL29" t="s">
        <v>415</v>
      </c>
      <c r="AM29" t="s">
        <v>7360</v>
      </c>
      <c r="AN29" t="s">
        <v>7361</v>
      </c>
      <c r="AO29" t="s">
        <v>1513</v>
      </c>
      <c r="AP29" t="s">
        <v>400</v>
      </c>
      <c r="AQ29" s="5">
        <v>75231</v>
      </c>
      <c r="AR29" t="s">
        <v>128</v>
      </c>
      <c r="AS29"/>
      <c r="AT29" s="4">
        <v>12145265665</v>
      </c>
      <c r="AU29"/>
      <c r="AV29" t="s">
        <v>7362</v>
      </c>
      <c r="AW29" t="s">
        <v>7363</v>
      </c>
      <c r="AX29" t="s">
        <v>131</v>
      </c>
      <c r="AY29" t="s">
        <v>131</v>
      </c>
      <c r="AZ29" t="s">
        <v>131</v>
      </c>
      <c r="BA29" t="s">
        <v>131</v>
      </c>
      <c r="BB29" t="s">
        <v>131</v>
      </c>
      <c r="BC29" t="s">
        <v>131</v>
      </c>
      <c r="BD29" t="s">
        <v>131</v>
      </c>
      <c r="BE29" t="s">
        <v>132</v>
      </c>
      <c r="BF29"/>
      <c r="BG29" s="1"/>
      <c r="BH29" t="s">
        <v>2215</v>
      </c>
      <c r="BI29" t="s">
        <v>131</v>
      </c>
      <c r="BJ29"/>
      <c r="BK29"/>
      <c r="BL29" t="s">
        <v>167</v>
      </c>
      <c r="BM29"/>
      <c r="BN29"/>
      <c r="BO29" t="s">
        <v>131</v>
      </c>
      <c r="BP29" t="s">
        <v>134</v>
      </c>
      <c r="BQ29" t="s">
        <v>131</v>
      </c>
      <c r="BR29"/>
      <c r="BS29" t="str">
        <f t="shared" si="0"/>
        <v>N/A</v>
      </c>
      <c r="BT29" t="s">
        <v>131</v>
      </c>
      <c r="BU29"/>
      <c r="BV29" t="str">
        <f>""</f>
        <v/>
      </c>
      <c r="BW29" t="s">
        <v>135</v>
      </c>
      <c r="BX29" t="str">
        <f>""</f>
        <v/>
      </c>
      <c r="BY29" t="str">
        <f>""</f>
        <v/>
      </c>
      <c r="BZ29" t="str">
        <f>""</f>
        <v/>
      </c>
      <c r="CA29" t="str">
        <f>"Must be able to lift 50 lbs, work in adverse weather conditions &amp; pass a pre-employment drug test paid by employer."</f>
        <v>Must be able to lift 50 lbs, work in adverse weather conditions &amp; pass a pre-employment drug test paid by employer.</v>
      </c>
      <c r="CB29" t="s">
        <v>131</v>
      </c>
      <c r="CC29"/>
      <c r="CD29"/>
      <c r="CE29"/>
      <c r="CF29" t="s">
        <v>131</v>
      </c>
      <c r="CG29"/>
      <c r="CH29" t="str">
        <f>""</f>
        <v/>
      </c>
      <c r="CI29" t="s">
        <v>131</v>
      </c>
      <c r="CJ29"/>
      <c r="CK29" t="s">
        <v>131</v>
      </c>
      <c r="CL29" t="str">
        <f>""</f>
        <v/>
      </c>
      <c r="CM29" t="str">
        <f>""</f>
        <v/>
      </c>
      <c r="CN29" t="str">
        <f>""</f>
        <v/>
      </c>
      <c r="CO29" t="str">
        <f>""</f>
        <v/>
      </c>
      <c r="CP29" t="str">
        <f t="shared" si="2"/>
        <v>37-3011.00</v>
      </c>
      <c r="CQ29" t="s">
        <v>920</v>
      </c>
      <c r="CR29"/>
      <c r="CS29" t="s">
        <v>131</v>
      </c>
      <c r="CT29"/>
      <c r="CU29" t="s">
        <v>13841</v>
      </c>
      <c r="CV29"/>
      <c r="CW29" t="s">
        <v>13842</v>
      </c>
      <c r="CX29" t="s">
        <v>1763</v>
      </c>
      <c r="CY29"/>
      <c r="CZ29" s="3" t="str">
        <f>"70767"</f>
        <v>70767</v>
      </c>
      <c r="DA29" t="s">
        <v>135</v>
      </c>
      <c r="DB29" t="str">
        <f t="shared" si="3"/>
        <v>37-3011</v>
      </c>
      <c r="DC29" t="s">
        <v>920</v>
      </c>
      <c r="DD29" t="s">
        <v>134</v>
      </c>
      <c r="DE29" t="s">
        <v>134</v>
      </c>
      <c r="DF29" t="str">
        <f>""</f>
        <v/>
      </c>
      <c r="DG29"/>
      <c r="DH29" s="6">
        <v>14.59</v>
      </c>
      <c r="DI29" t="s">
        <v>344</v>
      </c>
      <c r="DJ29"/>
      <c r="DK29" t="s">
        <v>345</v>
      </c>
      <c r="DL29"/>
      <c r="DM29"/>
      <c r="DN29"/>
      <c r="DO29"/>
      <c r="DP29"/>
      <c r="DQ29"/>
      <c r="DR29" t="s">
        <v>3877</v>
      </c>
      <c r="DS29" s="6">
        <v>14.59</v>
      </c>
      <c r="DT29" t="s">
        <v>424</v>
      </c>
      <c r="DU29" s="1">
        <v>44351</v>
      </c>
      <c r="DV29" s="1">
        <v>44440</v>
      </c>
    </row>
    <row r="30" spans="1:126" s="7" customFormat="1" ht="15" customHeight="1" x14ac:dyDescent="0.35">
      <c r="A30" t="s">
        <v>17379</v>
      </c>
      <c r="B30" t="s">
        <v>318</v>
      </c>
      <c r="C30" s="1">
        <v>44319</v>
      </c>
      <c r="D30" s="1">
        <v>44351</v>
      </c>
      <c r="E30" s="1"/>
      <c r="F30" s="1"/>
      <c r="G30" s="1"/>
      <c r="H30" t="s">
        <v>319</v>
      </c>
      <c r="I30" t="s">
        <v>17380</v>
      </c>
      <c r="J30" t="s">
        <v>1782</v>
      </c>
      <c r="K30"/>
      <c r="L30" t="s">
        <v>1105</v>
      </c>
      <c r="M30" t="s">
        <v>17381</v>
      </c>
      <c r="N30"/>
      <c r="O30" t="s">
        <v>17382</v>
      </c>
      <c r="P30" t="s">
        <v>826</v>
      </c>
      <c r="Q30" s="3">
        <v>21915</v>
      </c>
      <c r="R30" t="s">
        <v>128</v>
      </c>
      <c r="S30"/>
      <c r="T30" s="4">
        <v>14432559633</v>
      </c>
      <c r="U30"/>
      <c r="V30" t="s">
        <v>134</v>
      </c>
      <c r="W30" t="s">
        <v>17383</v>
      </c>
      <c r="X30"/>
      <c r="Y30" t="s">
        <v>17381</v>
      </c>
      <c r="Z30"/>
      <c r="AA30" t="s">
        <v>17382</v>
      </c>
      <c r="AB30" t="s">
        <v>382</v>
      </c>
      <c r="AC30" s="3" t="str">
        <f>"21915"</f>
        <v>21915</v>
      </c>
      <c r="AD30" t="s">
        <v>128</v>
      </c>
      <c r="AE30"/>
      <c r="AF30" s="4">
        <v>14432559633</v>
      </c>
      <c r="AG30"/>
      <c r="AH30" t="str">
        <f t="shared" si="1"/>
        <v>56173</v>
      </c>
      <c r="AI30" t="s">
        <v>287</v>
      </c>
      <c r="AJ30" t="s">
        <v>414</v>
      </c>
      <c r="AK30" t="s">
        <v>301</v>
      </c>
      <c r="AL30" t="s">
        <v>415</v>
      </c>
      <c r="AM30" t="s">
        <v>9472</v>
      </c>
      <c r="AN30"/>
      <c r="AO30" t="s">
        <v>1513</v>
      </c>
      <c r="AP30" t="s">
        <v>400</v>
      </c>
      <c r="AQ30" s="5">
        <v>75231</v>
      </c>
      <c r="AR30" t="s">
        <v>128</v>
      </c>
      <c r="AS30"/>
      <c r="AT30" s="4">
        <v>12145265665</v>
      </c>
      <c r="AU30"/>
      <c r="AV30" t="s">
        <v>7362</v>
      </c>
      <c r="AW30" t="s">
        <v>7363</v>
      </c>
      <c r="AX30" t="s">
        <v>131</v>
      </c>
      <c r="AY30" t="s">
        <v>131</v>
      </c>
      <c r="AZ30" t="s">
        <v>131</v>
      </c>
      <c r="BA30" t="s">
        <v>131</v>
      </c>
      <c r="BB30" t="s">
        <v>131</v>
      </c>
      <c r="BC30" t="s">
        <v>131</v>
      </c>
      <c r="BD30" t="s">
        <v>131</v>
      </c>
      <c r="BE30" t="s">
        <v>132</v>
      </c>
      <c r="BF30"/>
      <c r="BG30" s="1"/>
      <c r="BH30" t="s">
        <v>2215</v>
      </c>
      <c r="BI30" t="s">
        <v>131</v>
      </c>
      <c r="BJ30"/>
      <c r="BK30"/>
      <c r="BL30" t="s">
        <v>167</v>
      </c>
      <c r="BM30"/>
      <c r="BN30"/>
      <c r="BO30" t="s">
        <v>131</v>
      </c>
      <c r="BP30" t="s">
        <v>134</v>
      </c>
      <c r="BQ30" t="s">
        <v>131</v>
      </c>
      <c r="BR30"/>
      <c r="BS30" t="str">
        <f t="shared" si="0"/>
        <v>N/A</v>
      </c>
      <c r="BT30" t="s">
        <v>131</v>
      </c>
      <c r="BU30"/>
      <c r="BV30" t="str">
        <f>""</f>
        <v/>
      </c>
      <c r="BW30" t="s">
        <v>135</v>
      </c>
      <c r="BX30" t="str">
        <f>""</f>
        <v/>
      </c>
      <c r="BY30" t="str">
        <f>""</f>
        <v/>
      </c>
      <c r="BZ30" t="str">
        <f>""</f>
        <v/>
      </c>
      <c r="CA30" t="str">
        <f>"Must be able to lift 50 lbs, work in adverse weather conditions &amp; pass a post-employment drug test paid by employer. "</f>
        <v xml:space="preserve">Must be able to lift 50 lbs, work in adverse weather conditions &amp; pass a post-employment drug test paid by employer. </v>
      </c>
      <c r="CB30" t="s">
        <v>131</v>
      </c>
      <c r="CC30"/>
      <c r="CD30"/>
      <c r="CE30"/>
      <c r="CF30" t="s">
        <v>131</v>
      </c>
      <c r="CG30"/>
      <c r="CH30" t="str">
        <f>""</f>
        <v/>
      </c>
      <c r="CI30" t="s">
        <v>131</v>
      </c>
      <c r="CJ30"/>
      <c r="CK30" t="s">
        <v>131</v>
      </c>
      <c r="CL30" t="str">
        <f>""</f>
        <v/>
      </c>
      <c r="CM30" t="str">
        <f>""</f>
        <v/>
      </c>
      <c r="CN30" t="str">
        <f>""</f>
        <v/>
      </c>
      <c r="CO30" t="str">
        <f>""</f>
        <v/>
      </c>
      <c r="CP30" t="str">
        <f t="shared" si="2"/>
        <v>37-3011.00</v>
      </c>
      <c r="CQ30" t="s">
        <v>920</v>
      </c>
      <c r="CR30"/>
      <c r="CS30" t="s">
        <v>131</v>
      </c>
      <c r="CT30"/>
      <c r="CU30" t="s">
        <v>17384</v>
      </c>
      <c r="CV30"/>
      <c r="CW30" t="s">
        <v>17382</v>
      </c>
      <c r="CX30" t="s">
        <v>382</v>
      </c>
      <c r="CY30"/>
      <c r="CZ30" s="3" t="str">
        <f>"21915"</f>
        <v>21915</v>
      </c>
      <c r="DA30" t="s">
        <v>135</v>
      </c>
      <c r="DB30" t="str">
        <f t="shared" si="3"/>
        <v>37-3011</v>
      </c>
      <c r="DC30" t="s">
        <v>920</v>
      </c>
      <c r="DD30" t="s">
        <v>134</v>
      </c>
      <c r="DE30" t="s">
        <v>134</v>
      </c>
      <c r="DF30" t="str">
        <f>""</f>
        <v/>
      </c>
      <c r="DG30"/>
      <c r="DH30" s="6">
        <v>16.600000000000001</v>
      </c>
      <c r="DI30" t="s">
        <v>344</v>
      </c>
      <c r="DJ30"/>
      <c r="DK30" t="s">
        <v>345</v>
      </c>
      <c r="DL30"/>
      <c r="DM30"/>
      <c r="DN30"/>
      <c r="DO30"/>
      <c r="DP30"/>
      <c r="DQ30"/>
      <c r="DR30" t="s">
        <v>12670</v>
      </c>
      <c r="DS30" s="6">
        <v>16.600000000000001</v>
      </c>
      <c r="DT30" t="s">
        <v>424</v>
      </c>
      <c r="DU30" s="1">
        <v>44351</v>
      </c>
      <c r="DV30" s="1">
        <v>44440</v>
      </c>
    </row>
    <row r="31" spans="1:126" s="7" customFormat="1" ht="15" customHeight="1" x14ac:dyDescent="0.35">
      <c r="A31" t="s">
        <v>12421</v>
      </c>
      <c r="B31" t="s">
        <v>318</v>
      </c>
      <c r="C31" s="1">
        <v>44320</v>
      </c>
      <c r="D31" s="1">
        <v>44350</v>
      </c>
      <c r="E31" s="1"/>
      <c r="F31" s="1"/>
      <c r="G31" s="1"/>
      <c r="H31" t="s">
        <v>319</v>
      </c>
      <c r="I31" t="s">
        <v>3305</v>
      </c>
      <c r="J31" t="s">
        <v>3306</v>
      </c>
      <c r="K31"/>
      <c r="L31" t="s">
        <v>1205</v>
      </c>
      <c r="M31" t="s">
        <v>1896</v>
      </c>
      <c r="N31"/>
      <c r="O31" t="s">
        <v>807</v>
      </c>
      <c r="P31" t="s">
        <v>857</v>
      </c>
      <c r="Q31" s="3">
        <v>85085</v>
      </c>
      <c r="R31" t="s">
        <v>128</v>
      </c>
      <c r="S31"/>
      <c r="T31" s="4">
        <v>16238696757</v>
      </c>
      <c r="U31"/>
      <c r="V31" t="s">
        <v>3307</v>
      </c>
      <c r="W31" t="s">
        <v>3308</v>
      </c>
      <c r="X31"/>
      <c r="Y31" t="s">
        <v>1896</v>
      </c>
      <c r="Z31"/>
      <c r="AA31" t="s">
        <v>807</v>
      </c>
      <c r="AB31" t="s">
        <v>808</v>
      </c>
      <c r="AC31" s="3" t="str">
        <f>"85085"</f>
        <v>85085</v>
      </c>
      <c r="AD31" t="s">
        <v>128</v>
      </c>
      <c r="AE31"/>
      <c r="AF31" s="4">
        <v>16238696757</v>
      </c>
      <c r="AG31"/>
      <c r="AH31" t="str">
        <f>"238220"</f>
        <v>238220</v>
      </c>
      <c r="AI31" t="s">
        <v>130</v>
      </c>
      <c r="AJ31" t="s">
        <v>1899</v>
      </c>
      <c r="AK31" t="s">
        <v>1900</v>
      </c>
      <c r="AL31"/>
      <c r="AM31" t="s">
        <v>1901</v>
      </c>
      <c r="AN31" t="s">
        <v>1902</v>
      </c>
      <c r="AO31" t="s">
        <v>494</v>
      </c>
      <c r="AP31" t="s">
        <v>129</v>
      </c>
      <c r="AQ31" s="5">
        <v>10165</v>
      </c>
      <c r="AR31" t="s">
        <v>128</v>
      </c>
      <c r="AS31"/>
      <c r="AT31" s="4">
        <v>12127604400</v>
      </c>
      <c r="AU31"/>
      <c r="AV31" t="s">
        <v>1897</v>
      </c>
      <c r="AW31" t="s">
        <v>1903</v>
      </c>
      <c r="AX31" t="s">
        <v>131</v>
      </c>
      <c r="AY31" t="s">
        <v>131</v>
      </c>
      <c r="AZ31" t="s">
        <v>131</v>
      </c>
      <c r="BA31" t="s">
        <v>131</v>
      </c>
      <c r="BB31" t="s">
        <v>131</v>
      </c>
      <c r="BC31" t="s">
        <v>131</v>
      </c>
      <c r="BD31" t="s">
        <v>131</v>
      </c>
      <c r="BE31" t="s">
        <v>132</v>
      </c>
      <c r="BF31"/>
      <c r="BG31" s="1"/>
      <c r="BH31" t="s">
        <v>12422</v>
      </c>
      <c r="BI31" t="s">
        <v>131</v>
      </c>
      <c r="BJ31"/>
      <c r="BK31"/>
      <c r="BL31" t="s">
        <v>167</v>
      </c>
      <c r="BM31"/>
      <c r="BN31"/>
      <c r="BO31" t="s">
        <v>131</v>
      </c>
      <c r="BP31" t="s">
        <v>134</v>
      </c>
      <c r="BQ31" t="s">
        <v>131</v>
      </c>
      <c r="BR31"/>
      <c r="BS31" t="str">
        <f t="shared" si="0"/>
        <v>N/A</v>
      </c>
      <c r="BT31" t="s">
        <v>135</v>
      </c>
      <c r="BU31">
        <v>1</v>
      </c>
      <c r="BV31" t="str">
        <f>"Pipefitter"</f>
        <v>Pipefitter</v>
      </c>
      <c r="BW31" t="s">
        <v>131</v>
      </c>
      <c r="BX31" t="str">
        <f>""</f>
        <v/>
      </c>
      <c r="BY31" t="str">
        <f>""</f>
        <v/>
      </c>
      <c r="BZ31" t="str">
        <f>""</f>
        <v/>
      </c>
      <c r="CA31" t="str">
        <f>""</f>
        <v/>
      </c>
      <c r="CB31" t="s">
        <v>131</v>
      </c>
      <c r="CC31"/>
      <c r="CD31"/>
      <c r="CE31"/>
      <c r="CF31" t="s">
        <v>131</v>
      </c>
      <c r="CG31"/>
      <c r="CH31" t="str">
        <f>""</f>
        <v/>
      </c>
      <c r="CI31" t="s">
        <v>131</v>
      </c>
      <c r="CJ31"/>
      <c r="CK31" t="s">
        <v>131</v>
      </c>
      <c r="CL31" t="str">
        <f>""</f>
        <v/>
      </c>
      <c r="CM31" t="str">
        <f>""</f>
        <v/>
      </c>
      <c r="CN31" t="str">
        <f>""</f>
        <v/>
      </c>
      <c r="CO31" t="str">
        <f>""</f>
        <v/>
      </c>
      <c r="CP31" t="str">
        <f>"47-2152.01"</f>
        <v>47-2152.01</v>
      </c>
      <c r="CQ31" t="s">
        <v>7078</v>
      </c>
      <c r="CR31" t="s">
        <v>1205</v>
      </c>
      <c r="CS31" t="s">
        <v>131</v>
      </c>
      <c r="CT31"/>
      <c r="CU31" t="s">
        <v>1896</v>
      </c>
      <c r="CV31"/>
      <c r="CW31" t="s">
        <v>807</v>
      </c>
      <c r="CX31" t="s">
        <v>808</v>
      </c>
      <c r="CY31"/>
      <c r="CZ31" s="3" t="str">
        <f>"85085"</f>
        <v>85085</v>
      </c>
      <c r="DA31" t="s">
        <v>131</v>
      </c>
      <c r="DB31" t="str">
        <f>"47-2152"</f>
        <v>47-2152</v>
      </c>
      <c r="DC31" t="s">
        <v>4043</v>
      </c>
      <c r="DD31" t="s">
        <v>10002</v>
      </c>
      <c r="DE31" t="s">
        <v>7078</v>
      </c>
      <c r="DF31" t="str">
        <f>""</f>
        <v/>
      </c>
      <c r="DG31"/>
      <c r="DH31" s="6">
        <v>24.71</v>
      </c>
      <c r="DI31" t="s">
        <v>344</v>
      </c>
      <c r="DJ31"/>
      <c r="DK31" t="s">
        <v>345</v>
      </c>
      <c r="DL31"/>
      <c r="DM31"/>
      <c r="DN31"/>
      <c r="DO31"/>
      <c r="DP31"/>
      <c r="DQ31"/>
      <c r="DR31" t="s">
        <v>2199</v>
      </c>
      <c r="DS31" s="6">
        <v>24.71</v>
      </c>
      <c r="DT31" t="s">
        <v>424</v>
      </c>
      <c r="DU31" s="1">
        <v>44350</v>
      </c>
      <c r="DV31" s="1">
        <v>44439</v>
      </c>
    </row>
    <row r="32" spans="1:126" s="7" customFormat="1" ht="15" customHeight="1" x14ac:dyDescent="0.35">
      <c r="A32" t="s">
        <v>12374</v>
      </c>
      <c r="B32" t="s">
        <v>318</v>
      </c>
      <c r="C32" s="1">
        <v>44320</v>
      </c>
      <c r="D32" s="1">
        <v>44351</v>
      </c>
      <c r="E32" s="1"/>
      <c r="F32" s="1"/>
      <c r="G32" s="1"/>
      <c r="H32" t="s">
        <v>319</v>
      </c>
      <c r="I32" t="s">
        <v>5553</v>
      </c>
      <c r="J32" t="s">
        <v>2428</v>
      </c>
      <c r="K32" t="s">
        <v>3442</v>
      </c>
      <c r="L32" t="s">
        <v>130</v>
      </c>
      <c r="M32" t="s">
        <v>12375</v>
      </c>
      <c r="N32" t="s">
        <v>3591</v>
      </c>
      <c r="O32" t="s">
        <v>1415</v>
      </c>
      <c r="P32" t="s">
        <v>826</v>
      </c>
      <c r="Q32" s="3">
        <v>21117</v>
      </c>
      <c r="R32" t="s">
        <v>128</v>
      </c>
      <c r="S32"/>
      <c r="T32" s="4">
        <v>14435014240</v>
      </c>
      <c r="U32"/>
      <c r="V32" t="s">
        <v>5554</v>
      </c>
      <c r="W32" t="s">
        <v>12376</v>
      </c>
      <c r="X32"/>
      <c r="Y32" t="s">
        <v>11937</v>
      </c>
      <c r="Z32" t="s">
        <v>698</v>
      </c>
      <c r="AA32" t="s">
        <v>1605</v>
      </c>
      <c r="AB32" t="s">
        <v>149</v>
      </c>
      <c r="AC32" s="3" t="str">
        <f>"98004"</f>
        <v>98004</v>
      </c>
      <c r="AD32" t="s">
        <v>128</v>
      </c>
      <c r="AE32"/>
      <c r="AF32" s="4">
        <v>12067286000</v>
      </c>
      <c r="AG32"/>
      <c r="AH32" t="str">
        <f>"3117"</f>
        <v>3117</v>
      </c>
      <c r="AI32" t="s">
        <v>130</v>
      </c>
      <c r="AJ32" t="s">
        <v>5553</v>
      </c>
      <c r="AK32" t="s">
        <v>2428</v>
      </c>
      <c r="AL32" t="s">
        <v>3442</v>
      </c>
      <c r="AM32" t="s">
        <v>12375</v>
      </c>
      <c r="AN32"/>
      <c r="AO32" t="s">
        <v>1415</v>
      </c>
      <c r="AP32" t="s">
        <v>149</v>
      </c>
      <c r="AQ32" s="5">
        <v>98004</v>
      </c>
      <c r="AR32" t="s">
        <v>128</v>
      </c>
      <c r="AS32"/>
      <c r="AT32" s="4">
        <v>14435014240</v>
      </c>
      <c r="AU32"/>
      <c r="AV32" t="s">
        <v>5554</v>
      </c>
      <c r="AW32" t="s">
        <v>5555</v>
      </c>
      <c r="AX32" t="s">
        <v>131</v>
      </c>
      <c r="AY32" t="s">
        <v>131</v>
      </c>
      <c r="AZ32" t="s">
        <v>131</v>
      </c>
      <c r="BA32" t="s">
        <v>131</v>
      </c>
      <c r="BB32" t="s">
        <v>131</v>
      </c>
      <c r="BC32" t="s">
        <v>131</v>
      </c>
      <c r="BD32" t="s">
        <v>131</v>
      </c>
      <c r="BE32" t="s">
        <v>132</v>
      </c>
      <c r="BF32"/>
      <c r="BG32" s="1"/>
      <c r="BH32" t="s">
        <v>5556</v>
      </c>
      <c r="BI32" t="s">
        <v>131</v>
      </c>
      <c r="BJ32"/>
      <c r="BK32"/>
      <c r="BL32" t="s">
        <v>167</v>
      </c>
      <c r="BM32"/>
      <c r="BN32"/>
      <c r="BO32" t="s">
        <v>131</v>
      </c>
      <c r="BP32" t="s">
        <v>134</v>
      </c>
      <c r="BQ32" t="s">
        <v>131</v>
      </c>
      <c r="BR32"/>
      <c r="BS32" t="str">
        <f t="shared" si="0"/>
        <v>N/A</v>
      </c>
      <c r="BT32" t="s">
        <v>131</v>
      </c>
      <c r="BU32"/>
      <c r="BV32" t="str">
        <f>""</f>
        <v/>
      </c>
      <c r="BW32" t="s">
        <v>131</v>
      </c>
      <c r="BX32" t="str">
        <f>""</f>
        <v/>
      </c>
      <c r="BY32" t="str">
        <f>""</f>
        <v/>
      </c>
      <c r="BZ32" t="str">
        <f>""</f>
        <v/>
      </c>
      <c r="CA32" t="str">
        <f>""</f>
        <v/>
      </c>
      <c r="CB32" t="s">
        <v>131</v>
      </c>
      <c r="CC32"/>
      <c r="CD32"/>
      <c r="CE32"/>
      <c r="CF32" t="s">
        <v>131</v>
      </c>
      <c r="CG32"/>
      <c r="CH32" t="str">
        <f>""</f>
        <v/>
      </c>
      <c r="CI32" t="s">
        <v>131</v>
      </c>
      <c r="CJ32"/>
      <c r="CK32" t="s">
        <v>131</v>
      </c>
      <c r="CL32" t="str">
        <f>""</f>
        <v/>
      </c>
      <c r="CM32" t="str">
        <f>""</f>
        <v/>
      </c>
      <c r="CN32" t="str">
        <f>""</f>
        <v/>
      </c>
      <c r="CO32" t="str">
        <f>""</f>
        <v/>
      </c>
      <c r="CP32" t="str">
        <f>"51-3092.00"</f>
        <v>51-3092.00</v>
      </c>
      <c r="CQ32" t="s">
        <v>2402</v>
      </c>
      <c r="CR32" t="s">
        <v>2403</v>
      </c>
      <c r="CS32" t="s">
        <v>131</v>
      </c>
      <c r="CT32"/>
      <c r="CU32" t="s">
        <v>12377</v>
      </c>
      <c r="CV32"/>
      <c r="CW32" t="s">
        <v>12378</v>
      </c>
      <c r="CX32" t="s">
        <v>2406</v>
      </c>
      <c r="CY32"/>
      <c r="CZ32" s="3" t="str">
        <f>"99612"</f>
        <v>99612</v>
      </c>
      <c r="DA32" t="s">
        <v>131</v>
      </c>
      <c r="DB32" t="str">
        <f>"51-3022"</f>
        <v>51-3022</v>
      </c>
      <c r="DC32" t="s">
        <v>1114</v>
      </c>
      <c r="DD32" t="s">
        <v>134</v>
      </c>
      <c r="DE32" t="s">
        <v>134</v>
      </c>
      <c r="DF32" t="str">
        <f>""</f>
        <v/>
      </c>
      <c r="DG32"/>
      <c r="DH32" s="6">
        <v>12.36</v>
      </c>
      <c r="DI32" t="s">
        <v>344</v>
      </c>
      <c r="DJ32"/>
      <c r="DK32" t="s">
        <v>345</v>
      </c>
      <c r="DL32"/>
      <c r="DM32"/>
      <c r="DN32"/>
      <c r="DO32"/>
      <c r="DP32"/>
      <c r="DQ32"/>
      <c r="DR32" t="s">
        <v>12379</v>
      </c>
      <c r="DS32" s="6">
        <v>12.36</v>
      </c>
      <c r="DT32" t="s">
        <v>424</v>
      </c>
      <c r="DU32" s="1">
        <v>44351</v>
      </c>
      <c r="DV32" s="1">
        <v>44440</v>
      </c>
    </row>
    <row r="33" spans="1:126" s="7" customFormat="1" ht="15" customHeight="1" x14ac:dyDescent="0.35">
      <c r="A33" t="s">
        <v>12127</v>
      </c>
      <c r="B33" t="s">
        <v>318</v>
      </c>
      <c r="C33" s="1">
        <v>44320</v>
      </c>
      <c r="D33" s="1">
        <v>44350</v>
      </c>
      <c r="E33" s="1"/>
      <c r="F33" s="1"/>
      <c r="G33" s="1"/>
      <c r="H33" t="s">
        <v>319</v>
      </c>
      <c r="I33" t="s">
        <v>3305</v>
      </c>
      <c r="J33" t="s">
        <v>3306</v>
      </c>
      <c r="K33"/>
      <c r="L33" t="s">
        <v>1205</v>
      </c>
      <c r="M33" t="s">
        <v>1896</v>
      </c>
      <c r="N33"/>
      <c r="O33" t="s">
        <v>807</v>
      </c>
      <c r="P33" t="s">
        <v>857</v>
      </c>
      <c r="Q33" s="3">
        <v>85085</v>
      </c>
      <c r="R33" t="s">
        <v>128</v>
      </c>
      <c r="S33"/>
      <c r="T33" s="4">
        <v>16238696757</v>
      </c>
      <c r="U33"/>
      <c r="V33" t="s">
        <v>3307</v>
      </c>
      <c r="W33" t="s">
        <v>12128</v>
      </c>
      <c r="X33"/>
      <c r="Y33" t="s">
        <v>1896</v>
      </c>
      <c r="Z33"/>
      <c r="AA33" t="s">
        <v>807</v>
      </c>
      <c r="AB33" t="s">
        <v>808</v>
      </c>
      <c r="AC33" s="3" t="str">
        <f>"85085"</f>
        <v>85085</v>
      </c>
      <c r="AD33" t="s">
        <v>128</v>
      </c>
      <c r="AE33"/>
      <c r="AF33" s="4">
        <v>16238696757</v>
      </c>
      <c r="AG33"/>
      <c r="AH33" t="str">
        <f>"484230"</f>
        <v>484230</v>
      </c>
      <c r="AI33" t="s">
        <v>130</v>
      </c>
      <c r="AJ33" t="s">
        <v>1899</v>
      </c>
      <c r="AK33" t="s">
        <v>1900</v>
      </c>
      <c r="AL33"/>
      <c r="AM33" t="s">
        <v>1901</v>
      </c>
      <c r="AN33" t="s">
        <v>1902</v>
      </c>
      <c r="AO33" t="s">
        <v>494</v>
      </c>
      <c r="AP33" t="s">
        <v>129</v>
      </c>
      <c r="AQ33" s="5">
        <v>10165</v>
      </c>
      <c r="AR33" t="s">
        <v>128</v>
      </c>
      <c r="AS33"/>
      <c r="AT33" s="4">
        <v>12127604400</v>
      </c>
      <c r="AU33"/>
      <c r="AV33" t="s">
        <v>1897</v>
      </c>
      <c r="AW33" t="s">
        <v>1903</v>
      </c>
      <c r="AX33" t="s">
        <v>131</v>
      </c>
      <c r="AY33" t="s">
        <v>131</v>
      </c>
      <c r="AZ33" t="s">
        <v>131</v>
      </c>
      <c r="BA33" t="s">
        <v>131</v>
      </c>
      <c r="BB33" t="s">
        <v>131</v>
      </c>
      <c r="BC33" t="s">
        <v>131</v>
      </c>
      <c r="BD33" t="s">
        <v>131</v>
      </c>
      <c r="BE33" t="s">
        <v>132</v>
      </c>
      <c r="BF33"/>
      <c r="BG33" s="1"/>
      <c r="BH33" t="s">
        <v>1714</v>
      </c>
      <c r="BI33" t="s">
        <v>131</v>
      </c>
      <c r="BJ33"/>
      <c r="BK33"/>
      <c r="BL33" t="s">
        <v>167</v>
      </c>
      <c r="BM33"/>
      <c r="BN33"/>
      <c r="BO33" t="s">
        <v>131</v>
      </c>
      <c r="BP33" t="s">
        <v>134</v>
      </c>
      <c r="BQ33" t="s">
        <v>131</v>
      </c>
      <c r="BR33"/>
      <c r="BS33" t="str">
        <f t="shared" si="0"/>
        <v>N/A</v>
      </c>
      <c r="BT33" t="s">
        <v>135</v>
      </c>
      <c r="BU33">
        <v>1</v>
      </c>
      <c r="BV33" t="str">
        <f>"Truck Driver"</f>
        <v>Truck Driver</v>
      </c>
      <c r="BW33" t="s">
        <v>131</v>
      </c>
      <c r="BX33" t="str">
        <f>""</f>
        <v/>
      </c>
      <c r="BY33" t="str">
        <f>""</f>
        <v/>
      </c>
      <c r="BZ33" t="str">
        <f>""</f>
        <v/>
      </c>
      <c r="CA33" t="str">
        <f>""</f>
        <v/>
      </c>
      <c r="CB33" t="s">
        <v>131</v>
      </c>
      <c r="CC33"/>
      <c r="CD33"/>
      <c r="CE33"/>
      <c r="CF33" t="s">
        <v>131</v>
      </c>
      <c r="CG33"/>
      <c r="CH33" t="str">
        <f>""</f>
        <v/>
      </c>
      <c r="CI33" t="s">
        <v>131</v>
      </c>
      <c r="CJ33"/>
      <c r="CK33" t="s">
        <v>131</v>
      </c>
      <c r="CL33" t="str">
        <f>""</f>
        <v/>
      </c>
      <c r="CM33" t="str">
        <f>""</f>
        <v/>
      </c>
      <c r="CN33" t="str">
        <f>""</f>
        <v/>
      </c>
      <c r="CO33" t="str">
        <f>""</f>
        <v/>
      </c>
      <c r="CP33" t="str">
        <f>"53-3032.00"</f>
        <v>53-3032.00</v>
      </c>
      <c r="CQ33" t="s">
        <v>1238</v>
      </c>
      <c r="CR33" t="s">
        <v>1205</v>
      </c>
      <c r="CS33" t="s">
        <v>131</v>
      </c>
      <c r="CT33"/>
      <c r="CU33" t="s">
        <v>1896</v>
      </c>
      <c r="CV33"/>
      <c r="CW33" t="s">
        <v>807</v>
      </c>
      <c r="CX33" t="s">
        <v>808</v>
      </c>
      <c r="CY33"/>
      <c r="CZ33" s="3" t="str">
        <f>"85085"</f>
        <v>85085</v>
      </c>
      <c r="DA33" t="s">
        <v>131</v>
      </c>
      <c r="DB33" t="str">
        <f>"53-3032"</f>
        <v>53-3032</v>
      </c>
      <c r="DC33" t="s">
        <v>1238</v>
      </c>
      <c r="DD33" t="s">
        <v>134</v>
      </c>
      <c r="DE33" t="s">
        <v>134</v>
      </c>
      <c r="DF33" t="str">
        <f>""</f>
        <v/>
      </c>
      <c r="DG33"/>
      <c r="DH33" s="6">
        <v>23.11</v>
      </c>
      <c r="DI33" t="s">
        <v>344</v>
      </c>
      <c r="DJ33"/>
      <c r="DK33" t="s">
        <v>345</v>
      </c>
      <c r="DL33"/>
      <c r="DM33"/>
      <c r="DN33"/>
      <c r="DO33"/>
      <c r="DP33"/>
      <c r="DQ33"/>
      <c r="DR33" t="s">
        <v>2199</v>
      </c>
      <c r="DS33" s="6">
        <v>23.11</v>
      </c>
      <c r="DT33" t="s">
        <v>424</v>
      </c>
      <c r="DU33" s="1">
        <v>44350</v>
      </c>
      <c r="DV33" s="1">
        <v>44439</v>
      </c>
    </row>
    <row r="34" spans="1:126" s="7" customFormat="1" ht="15" customHeight="1" x14ac:dyDescent="0.35">
      <c r="A34" t="s">
        <v>11069</v>
      </c>
      <c r="B34" t="s">
        <v>318</v>
      </c>
      <c r="C34" s="1">
        <v>44320</v>
      </c>
      <c r="D34" s="1">
        <v>44350</v>
      </c>
      <c r="E34" s="1"/>
      <c r="F34" s="1"/>
      <c r="G34" s="1"/>
      <c r="H34" t="s">
        <v>319</v>
      </c>
      <c r="I34" t="s">
        <v>3305</v>
      </c>
      <c r="J34" t="s">
        <v>3306</v>
      </c>
      <c r="K34"/>
      <c r="L34" t="s">
        <v>1205</v>
      </c>
      <c r="M34" t="s">
        <v>1896</v>
      </c>
      <c r="N34"/>
      <c r="O34" t="s">
        <v>807</v>
      </c>
      <c r="P34" t="s">
        <v>857</v>
      </c>
      <c r="Q34" s="3">
        <v>85085</v>
      </c>
      <c r="R34" t="s">
        <v>128</v>
      </c>
      <c r="S34"/>
      <c r="T34" s="4">
        <v>16238696757</v>
      </c>
      <c r="U34"/>
      <c r="V34" t="s">
        <v>11070</v>
      </c>
      <c r="W34" t="s">
        <v>3308</v>
      </c>
      <c r="X34"/>
      <c r="Y34" t="s">
        <v>1896</v>
      </c>
      <c r="Z34"/>
      <c r="AA34" t="s">
        <v>807</v>
      </c>
      <c r="AB34" t="s">
        <v>808</v>
      </c>
      <c r="AC34" s="3" t="str">
        <f>"85085"</f>
        <v>85085</v>
      </c>
      <c r="AD34" t="s">
        <v>128</v>
      </c>
      <c r="AE34"/>
      <c r="AF34" s="4">
        <v>16238696757</v>
      </c>
      <c r="AG34"/>
      <c r="AH34" t="str">
        <f>"488490"</f>
        <v>488490</v>
      </c>
      <c r="AI34" t="s">
        <v>130</v>
      </c>
      <c r="AJ34" t="s">
        <v>1899</v>
      </c>
      <c r="AK34" t="s">
        <v>1900</v>
      </c>
      <c r="AL34"/>
      <c r="AM34" t="s">
        <v>1901</v>
      </c>
      <c r="AN34" t="s">
        <v>1902</v>
      </c>
      <c r="AO34" t="s">
        <v>494</v>
      </c>
      <c r="AP34" t="s">
        <v>129</v>
      </c>
      <c r="AQ34" s="5">
        <v>10165</v>
      </c>
      <c r="AR34" t="s">
        <v>128</v>
      </c>
      <c r="AS34"/>
      <c r="AT34" s="4">
        <v>12127604400</v>
      </c>
      <c r="AU34"/>
      <c r="AV34" t="s">
        <v>11071</v>
      </c>
      <c r="AW34" t="s">
        <v>1903</v>
      </c>
      <c r="AX34" t="s">
        <v>131</v>
      </c>
      <c r="AY34" t="s">
        <v>131</v>
      </c>
      <c r="AZ34" t="s">
        <v>131</v>
      </c>
      <c r="BA34" t="s">
        <v>131</v>
      </c>
      <c r="BB34" t="s">
        <v>131</v>
      </c>
      <c r="BC34" t="s">
        <v>131</v>
      </c>
      <c r="BD34" t="s">
        <v>131</v>
      </c>
      <c r="BE34" t="s">
        <v>132</v>
      </c>
      <c r="BF34"/>
      <c r="BG34" s="1"/>
      <c r="BH34" t="s">
        <v>1714</v>
      </c>
      <c r="BI34" t="s">
        <v>131</v>
      </c>
      <c r="BJ34"/>
      <c r="BK34"/>
      <c r="BL34" t="s">
        <v>167</v>
      </c>
      <c r="BM34"/>
      <c r="BN34"/>
      <c r="BO34" t="s">
        <v>131</v>
      </c>
      <c r="BP34" t="s">
        <v>134</v>
      </c>
      <c r="BQ34" t="s">
        <v>131</v>
      </c>
      <c r="BR34"/>
      <c r="BS34" t="str">
        <f t="shared" ref="BS34:BS61" si="4">"N/A"</f>
        <v>N/A</v>
      </c>
      <c r="BT34" t="s">
        <v>135</v>
      </c>
      <c r="BU34">
        <v>1</v>
      </c>
      <c r="BV34" t="str">
        <f>"Truck Driver"</f>
        <v>Truck Driver</v>
      </c>
      <c r="BW34" t="s">
        <v>131</v>
      </c>
      <c r="BX34" t="str">
        <f>""</f>
        <v/>
      </c>
      <c r="BY34" t="str">
        <f>""</f>
        <v/>
      </c>
      <c r="BZ34" t="str">
        <f>""</f>
        <v/>
      </c>
      <c r="CA34" t="str">
        <f>""</f>
        <v/>
      </c>
      <c r="CB34" t="s">
        <v>131</v>
      </c>
      <c r="CC34"/>
      <c r="CD34"/>
      <c r="CE34"/>
      <c r="CF34" t="s">
        <v>131</v>
      </c>
      <c r="CG34"/>
      <c r="CH34" t="str">
        <f>""</f>
        <v/>
      </c>
      <c r="CI34" t="s">
        <v>131</v>
      </c>
      <c r="CJ34"/>
      <c r="CK34" t="s">
        <v>131</v>
      </c>
      <c r="CL34" t="str">
        <f>""</f>
        <v/>
      </c>
      <c r="CM34" t="str">
        <f>""</f>
        <v/>
      </c>
      <c r="CN34" t="str">
        <f>""</f>
        <v/>
      </c>
      <c r="CO34" t="str">
        <f>""</f>
        <v/>
      </c>
      <c r="CP34" t="str">
        <f>"53-3033.00"</f>
        <v>53-3033.00</v>
      </c>
      <c r="CQ34" t="s">
        <v>1904</v>
      </c>
      <c r="CR34" t="s">
        <v>1205</v>
      </c>
      <c r="CS34" t="s">
        <v>131</v>
      </c>
      <c r="CT34"/>
      <c r="CU34" t="s">
        <v>1896</v>
      </c>
      <c r="CV34"/>
      <c r="CW34" t="s">
        <v>807</v>
      </c>
      <c r="CX34" t="s">
        <v>808</v>
      </c>
      <c r="CY34"/>
      <c r="CZ34" s="3" t="str">
        <f>"85085"</f>
        <v>85085</v>
      </c>
      <c r="DA34" t="s">
        <v>131</v>
      </c>
      <c r="DB34" t="str">
        <f>"53-3033"</f>
        <v>53-3033</v>
      </c>
      <c r="DC34" t="s">
        <v>1904</v>
      </c>
      <c r="DD34" t="s">
        <v>134</v>
      </c>
      <c r="DE34" t="s">
        <v>134</v>
      </c>
      <c r="DF34" t="str">
        <f>""</f>
        <v/>
      </c>
      <c r="DG34"/>
      <c r="DH34" s="6">
        <v>18.37</v>
      </c>
      <c r="DI34" t="s">
        <v>344</v>
      </c>
      <c r="DJ34"/>
      <c r="DK34" t="s">
        <v>345</v>
      </c>
      <c r="DL34"/>
      <c r="DM34"/>
      <c r="DN34"/>
      <c r="DO34"/>
      <c r="DP34"/>
      <c r="DQ34"/>
      <c r="DR34" t="s">
        <v>2199</v>
      </c>
      <c r="DS34" s="6">
        <v>18.37</v>
      </c>
      <c r="DT34" t="s">
        <v>424</v>
      </c>
      <c r="DU34" s="1">
        <v>44350</v>
      </c>
      <c r="DV34" s="1">
        <v>44439</v>
      </c>
    </row>
    <row r="35" spans="1:126" s="7" customFormat="1" ht="15" customHeight="1" x14ac:dyDescent="0.35">
      <c r="A35" t="s">
        <v>18956</v>
      </c>
      <c r="B35" t="s">
        <v>318</v>
      </c>
      <c r="C35" s="1">
        <v>44320</v>
      </c>
      <c r="D35" s="1">
        <v>44350</v>
      </c>
      <c r="E35" s="1"/>
      <c r="F35" s="1"/>
      <c r="G35" s="1"/>
      <c r="H35" t="s">
        <v>319</v>
      </c>
      <c r="I35" t="s">
        <v>3870</v>
      </c>
      <c r="J35" t="s">
        <v>2429</v>
      </c>
      <c r="K35"/>
      <c r="L35" t="s">
        <v>460</v>
      </c>
      <c r="M35" t="s">
        <v>3871</v>
      </c>
      <c r="N35" t="s">
        <v>3872</v>
      </c>
      <c r="O35" t="s">
        <v>3494</v>
      </c>
      <c r="P35" t="s">
        <v>593</v>
      </c>
      <c r="Q35" s="3">
        <v>27536</v>
      </c>
      <c r="R35" t="s">
        <v>128</v>
      </c>
      <c r="S35"/>
      <c r="T35" s="4">
        <v>14349173294</v>
      </c>
      <c r="U35"/>
      <c r="V35" t="s">
        <v>3873</v>
      </c>
      <c r="W35" t="s">
        <v>18957</v>
      </c>
      <c r="X35"/>
      <c r="Y35" t="s">
        <v>18958</v>
      </c>
      <c r="Z35"/>
      <c r="AA35" t="s">
        <v>9527</v>
      </c>
      <c r="AB35" t="s">
        <v>1763</v>
      </c>
      <c r="AC35" s="3" t="str">
        <f>"70507"</f>
        <v>70507</v>
      </c>
      <c r="AD35" t="s">
        <v>128</v>
      </c>
      <c r="AE35"/>
      <c r="AF35" s="4">
        <v>13375018189</v>
      </c>
      <c r="AG35"/>
      <c r="AH35" t="str">
        <f>"56179"</f>
        <v>56179</v>
      </c>
      <c r="AI35" t="s">
        <v>287</v>
      </c>
      <c r="AJ35" t="s">
        <v>3870</v>
      </c>
      <c r="AK35" t="s">
        <v>2429</v>
      </c>
      <c r="AL35" t="s">
        <v>3875</v>
      </c>
      <c r="AM35" t="s">
        <v>3872</v>
      </c>
      <c r="AN35" t="s">
        <v>3871</v>
      </c>
      <c r="AO35" t="s">
        <v>3494</v>
      </c>
      <c r="AP35" t="s">
        <v>594</v>
      </c>
      <c r="AQ35" s="5">
        <v>27536</v>
      </c>
      <c r="AR35" t="s">
        <v>128</v>
      </c>
      <c r="AS35"/>
      <c r="AT35" s="4">
        <v>14349173294</v>
      </c>
      <c r="AU35"/>
      <c r="AV35" t="s">
        <v>3873</v>
      </c>
      <c r="AW35" t="s">
        <v>3876</v>
      </c>
      <c r="AX35" t="s">
        <v>131</v>
      </c>
      <c r="AY35" t="s">
        <v>131</v>
      </c>
      <c r="AZ35" t="s">
        <v>131</v>
      </c>
      <c r="BA35" t="s">
        <v>131</v>
      </c>
      <c r="BB35" t="s">
        <v>131</v>
      </c>
      <c r="BC35" t="s">
        <v>131</v>
      </c>
      <c r="BD35" t="s">
        <v>131</v>
      </c>
      <c r="BE35" t="s">
        <v>132</v>
      </c>
      <c r="BF35"/>
      <c r="BG35" s="1"/>
      <c r="BH35" t="s">
        <v>4070</v>
      </c>
      <c r="BI35" t="s">
        <v>131</v>
      </c>
      <c r="BJ35"/>
      <c r="BK35"/>
      <c r="BL35" t="s">
        <v>167</v>
      </c>
      <c r="BM35"/>
      <c r="BN35"/>
      <c r="BO35" t="s">
        <v>131</v>
      </c>
      <c r="BP35" t="s">
        <v>134</v>
      </c>
      <c r="BQ35" t="s">
        <v>131</v>
      </c>
      <c r="BR35"/>
      <c r="BS35" t="str">
        <f t="shared" si="4"/>
        <v>N/A</v>
      </c>
      <c r="BT35" t="s">
        <v>135</v>
      </c>
      <c r="BU35">
        <v>1</v>
      </c>
      <c r="BV35" t="str">
        <f>"gutter cleaning"</f>
        <v>gutter cleaning</v>
      </c>
      <c r="BW35" t="s">
        <v>135</v>
      </c>
      <c r="BX35" t="str">
        <f>""</f>
        <v/>
      </c>
      <c r="BY35" t="str">
        <f>""</f>
        <v/>
      </c>
      <c r="BZ35" t="str">
        <f>""</f>
        <v/>
      </c>
      <c r="CA35" t="s">
        <v>18959</v>
      </c>
      <c r="CB35" t="s">
        <v>131</v>
      </c>
      <c r="CC35"/>
      <c r="CD35"/>
      <c r="CE35"/>
      <c r="CF35" t="s">
        <v>131</v>
      </c>
      <c r="CG35"/>
      <c r="CH35" t="str">
        <f>""</f>
        <v/>
      </c>
      <c r="CI35" t="s">
        <v>131</v>
      </c>
      <c r="CJ35"/>
      <c r="CK35" t="s">
        <v>131</v>
      </c>
      <c r="CL35" t="str">
        <f>""</f>
        <v/>
      </c>
      <c r="CM35" t="str">
        <f>""</f>
        <v/>
      </c>
      <c r="CN35" t="str">
        <f>""</f>
        <v/>
      </c>
      <c r="CO35" t="str">
        <f>""</f>
        <v/>
      </c>
      <c r="CP35" t="str">
        <f>"37-2019.00"</f>
        <v>37-2019.00</v>
      </c>
      <c r="CQ35" t="s">
        <v>4070</v>
      </c>
      <c r="CR35" t="s">
        <v>918</v>
      </c>
      <c r="CS35" t="s">
        <v>135</v>
      </c>
      <c r="CT35" t="s">
        <v>18960</v>
      </c>
      <c r="CU35" t="s">
        <v>18958</v>
      </c>
      <c r="CV35"/>
      <c r="CW35" t="s">
        <v>9527</v>
      </c>
      <c r="CX35" t="s">
        <v>1763</v>
      </c>
      <c r="CY35"/>
      <c r="CZ35" s="3" t="str">
        <f>"70507"</f>
        <v>70507</v>
      </c>
      <c r="DA35" t="s">
        <v>131</v>
      </c>
      <c r="DB35" t="str">
        <f>"37-2019"</f>
        <v>37-2019</v>
      </c>
      <c r="DC35" t="s">
        <v>4070</v>
      </c>
      <c r="DD35" t="s">
        <v>134</v>
      </c>
      <c r="DE35" t="s">
        <v>134</v>
      </c>
      <c r="DF35" t="str">
        <f>""</f>
        <v/>
      </c>
      <c r="DG35"/>
      <c r="DH35" s="6">
        <v>11.89</v>
      </c>
      <c r="DI35" t="s">
        <v>344</v>
      </c>
      <c r="DJ35"/>
      <c r="DK35" t="s">
        <v>345</v>
      </c>
      <c r="DL35"/>
      <c r="DM35"/>
      <c r="DN35"/>
      <c r="DO35"/>
      <c r="DP35"/>
      <c r="DQ35"/>
      <c r="DR35" t="s">
        <v>12452</v>
      </c>
      <c r="DS35" s="6">
        <v>11.89</v>
      </c>
      <c r="DT35" s="2" t="s">
        <v>18961</v>
      </c>
      <c r="DU35" s="1">
        <v>44350</v>
      </c>
      <c r="DV35" s="1">
        <v>44439</v>
      </c>
    </row>
    <row r="36" spans="1:126" s="7" customFormat="1" ht="15" customHeight="1" x14ac:dyDescent="0.35">
      <c r="A36" t="s">
        <v>3304</v>
      </c>
      <c r="B36" t="s">
        <v>318</v>
      </c>
      <c r="C36" s="1">
        <v>44320</v>
      </c>
      <c r="D36" s="1">
        <v>44350</v>
      </c>
      <c r="E36" s="1"/>
      <c r="F36" s="1"/>
      <c r="G36" s="1"/>
      <c r="H36" t="s">
        <v>319</v>
      </c>
      <c r="I36" t="s">
        <v>3305</v>
      </c>
      <c r="J36" t="s">
        <v>3306</v>
      </c>
      <c r="K36"/>
      <c r="L36" t="s">
        <v>1205</v>
      </c>
      <c r="M36" t="s">
        <v>1896</v>
      </c>
      <c r="N36"/>
      <c r="O36" t="s">
        <v>2188</v>
      </c>
      <c r="P36" t="s">
        <v>857</v>
      </c>
      <c r="Q36" s="3">
        <v>10165</v>
      </c>
      <c r="R36" t="s">
        <v>128</v>
      </c>
      <c r="S36"/>
      <c r="T36" s="4">
        <v>16238696757</v>
      </c>
      <c r="U36"/>
      <c r="V36" t="s">
        <v>3307</v>
      </c>
      <c r="W36" t="s">
        <v>3308</v>
      </c>
      <c r="X36"/>
      <c r="Y36" t="s">
        <v>1896</v>
      </c>
      <c r="Z36"/>
      <c r="AA36" t="s">
        <v>807</v>
      </c>
      <c r="AB36" t="s">
        <v>808</v>
      </c>
      <c r="AC36" s="3" t="str">
        <f>"85085"</f>
        <v>85085</v>
      </c>
      <c r="AD36" t="s">
        <v>128</v>
      </c>
      <c r="AE36"/>
      <c r="AF36" s="4">
        <v>16238696757</v>
      </c>
      <c r="AG36"/>
      <c r="AH36" t="str">
        <f>"221310"</f>
        <v>221310</v>
      </c>
      <c r="AI36" t="s">
        <v>130</v>
      </c>
      <c r="AJ36" t="s">
        <v>1899</v>
      </c>
      <c r="AK36" t="s">
        <v>1900</v>
      </c>
      <c r="AL36"/>
      <c r="AM36" t="s">
        <v>1901</v>
      </c>
      <c r="AN36" t="s">
        <v>1902</v>
      </c>
      <c r="AO36" t="s">
        <v>494</v>
      </c>
      <c r="AP36" t="s">
        <v>129</v>
      </c>
      <c r="AQ36" s="5">
        <v>10165</v>
      </c>
      <c r="AR36" t="s">
        <v>128</v>
      </c>
      <c r="AS36"/>
      <c r="AT36" s="4">
        <v>12127604400</v>
      </c>
      <c r="AU36"/>
      <c r="AV36" t="s">
        <v>1897</v>
      </c>
      <c r="AW36" t="s">
        <v>1903</v>
      </c>
      <c r="AX36" t="s">
        <v>131</v>
      </c>
      <c r="AY36" t="s">
        <v>131</v>
      </c>
      <c r="AZ36" t="s">
        <v>131</v>
      </c>
      <c r="BA36" t="s">
        <v>131</v>
      </c>
      <c r="BB36" t="s">
        <v>131</v>
      </c>
      <c r="BC36" t="s">
        <v>131</v>
      </c>
      <c r="BD36" t="s">
        <v>131</v>
      </c>
      <c r="BE36" t="s">
        <v>132</v>
      </c>
      <c r="BF36"/>
      <c r="BG36" s="1"/>
      <c r="BH36" t="s">
        <v>3309</v>
      </c>
      <c r="BI36" t="s">
        <v>131</v>
      </c>
      <c r="BJ36"/>
      <c r="BK36"/>
      <c r="BL36" t="s">
        <v>167</v>
      </c>
      <c r="BM36"/>
      <c r="BN36"/>
      <c r="BO36" t="s">
        <v>131</v>
      </c>
      <c r="BP36" t="s">
        <v>134</v>
      </c>
      <c r="BQ36" t="s">
        <v>131</v>
      </c>
      <c r="BR36"/>
      <c r="BS36" t="str">
        <f t="shared" si="4"/>
        <v>N/A</v>
      </c>
      <c r="BT36" t="s">
        <v>135</v>
      </c>
      <c r="BU36">
        <v>1</v>
      </c>
      <c r="BV36" t="str">
        <f>"Irrigation Worker"</f>
        <v>Irrigation Worker</v>
      </c>
      <c r="BW36" t="s">
        <v>131</v>
      </c>
      <c r="BX36" t="str">
        <f>""</f>
        <v/>
      </c>
      <c r="BY36" t="str">
        <f>""</f>
        <v/>
      </c>
      <c r="BZ36" t="str">
        <f>""</f>
        <v/>
      </c>
      <c r="CA36" t="str">
        <f>""</f>
        <v/>
      </c>
      <c r="CB36" t="s">
        <v>131</v>
      </c>
      <c r="CC36"/>
      <c r="CD36"/>
      <c r="CE36"/>
      <c r="CF36" t="s">
        <v>131</v>
      </c>
      <c r="CG36"/>
      <c r="CH36" t="str">
        <f>""</f>
        <v/>
      </c>
      <c r="CI36" t="s">
        <v>131</v>
      </c>
      <c r="CJ36"/>
      <c r="CK36" t="s">
        <v>131</v>
      </c>
      <c r="CL36" t="str">
        <f>""</f>
        <v/>
      </c>
      <c r="CM36" t="str">
        <f>""</f>
        <v/>
      </c>
      <c r="CN36" t="str">
        <f>""</f>
        <v/>
      </c>
      <c r="CO36" t="str">
        <f>""</f>
        <v/>
      </c>
      <c r="CP36" t="str">
        <f>"37-3019.00"</f>
        <v>37-3019.00</v>
      </c>
      <c r="CQ36" t="s">
        <v>2096</v>
      </c>
      <c r="CR36" t="s">
        <v>1205</v>
      </c>
      <c r="CS36" t="s">
        <v>131</v>
      </c>
      <c r="CT36"/>
      <c r="CU36" t="s">
        <v>1896</v>
      </c>
      <c r="CV36"/>
      <c r="CW36" t="s">
        <v>807</v>
      </c>
      <c r="CX36" t="s">
        <v>808</v>
      </c>
      <c r="CY36"/>
      <c r="CZ36" s="3" t="str">
        <f>"85085"</f>
        <v>85085</v>
      </c>
      <c r="DA36" t="s">
        <v>131</v>
      </c>
      <c r="DB36" t="str">
        <f>"37-3011"</f>
        <v>37-3011</v>
      </c>
      <c r="DC36" t="s">
        <v>920</v>
      </c>
      <c r="DD36" t="s">
        <v>134</v>
      </c>
      <c r="DE36" t="s">
        <v>134</v>
      </c>
      <c r="DF36" t="str">
        <f>""</f>
        <v/>
      </c>
      <c r="DG36"/>
      <c r="DH36" s="6">
        <v>14.47</v>
      </c>
      <c r="DI36" t="s">
        <v>344</v>
      </c>
      <c r="DJ36"/>
      <c r="DK36" t="s">
        <v>345</v>
      </c>
      <c r="DL36"/>
      <c r="DM36"/>
      <c r="DN36"/>
      <c r="DO36"/>
      <c r="DP36"/>
      <c r="DQ36"/>
      <c r="DR36" t="s">
        <v>2199</v>
      </c>
      <c r="DS36" s="6">
        <v>14.47</v>
      </c>
      <c r="DT36" t="s">
        <v>424</v>
      </c>
      <c r="DU36" s="1">
        <v>44350</v>
      </c>
      <c r="DV36" s="1">
        <v>44439</v>
      </c>
    </row>
    <row r="37" spans="1:126" s="7" customFormat="1" ht="15" customHeight="1" x14ac:dyDescent="0.35">
      <c r="A37" t="s">
        <v>18431</v>
      </c>
      <c r="B37" t="s">
        <v>318</v>
      </c>
      <c r="C37" s="1">
        <v>44320</v>
      </c>
      <c r="D37" s="1">
        <v>44350</v>
      </c>
      <c r="E37" s="1"/>
      <c r="F37" s="1"/>
      <c r="G37" s="1"/>
      <c r="H37" t="s">
        <v>319</v>
      </c>
      <c r="I37" t="s">
        <v>3305</v>
      </c>
      <c r="J37" t="s">
        <v>3306</v>
      </c>
      <c r="K37"/>
      <c r="L37" t="s">
        <v>1205</v>
      </c>
      <c r="M37" t="s">
        <v>1896</v>
      </c>
      <c r="N37"/>
      <c r="O37" t="s">
        <v>807</v>
      </c>
      <c r="P37" t="s">
        <v>857</v>
      </c>
      <c r="Q37" s="3">
        <v>85085</v>
      </c>
      <c r="R37" t="s">
        <v>128</v>
      </c>
      <c r="S37"/>
      <c r="T37" s="4">
        <v>16238696757</v>
      </c>
      <c r="U37"/>
      <c r="V37" t="s">
        <v>3307</v>
      </c>
      <c r="W37" t="s">
        <v>3308</v>
      </c>
      <c r="X37"/>
      <c r="Y37" t="s">
        <v>1896</v>
      </c>
      <c r="Z37"/>
      <c r="AA37" t="s">
        <v>807</v>
      </c>
      <c r="AB37" t="s">
        <v>808</v>
      </c>
      <c r="AC37" s="3" t="str">
        <f>"85085"</f>
        <v>85085</v>
      </c>
      <c r="AD37" t="s">
        <v>128</v>
      </c>
      <c r="AE37"/>
      <c r="AF37" s="4">
        <v>16238696757</v>
      </c>
      <c r="AG37"/>
      <c r="AH37" t="str">
        <f>"238220"</f>
        <v>238220</v>
      </c>
      <c r="AI37" t="s">
        <v>130</v>
      </c>
      <c r="AJ37" t="s">
        <v>1899</v>
      </c>
      <c r="AK37" t="s">
        <v>1900</v>
      </c>
      <c r="AL37"/>
      <c r="AM37" t="s">
        <v>1901</v>
      </c>
      <c r="AN37" t="s">
        <v>1902</v>
      </c>
      <c r="AO37" t="s">
        <v>494</v>
      </c>
      <c r="AP37" t="s">
        <v>129</v>
      </c>
      <c r="AQ37" s="5">
        <v>10165</v>
      </c>
      <c r="AR37" t="s">
        <v>128</v>
      </c>
      <c r="AS37"/>
      <c r="AT37" s="4">
        <v>12127604400</v>
      </c>
      <c r="AU37"/>
      <c r="AV37" t="s">
        <v>1897</v>
      </c>
      <c r="AW37" t="s">
        <v>1903</v>
      </c>
      <c r="AX37" t="s">
        <v>131</v>
      </c>
      <c r="AY37" t="s">
        <v>131</v>
      </c>
      <c r="AZ37" t="s">
        <v>131</v>
      </c>
      <c r="BA37" t="s">
        <v>131</v>
      </c>
      <c r="BB37" t="s">
        <v>131</v>
      </c>
      <c r="BC37" t="s">
        <v>131</v>
      </c>
      <c r="BD37" t="s">
        <v>131</v>
      </c>
      <c r="BE37" t="s">
        <v>132</v>
      </c>
      <c r="BF37"/>
      <c r="BG37" s="1"/>
      <c r="BH37" t="s">
        <v>18357</v>
      </c>
      <c r="BI37" t="s">
        <v>131</v>
      </c>
      <c r="BJ37"/>
      <c r="BK37"/>
      <c r="BL37" t="s">
        <v>167</v>
      </c>
      <c r="BM37"/>
      <c r="BN37"/>
      <c r="BO37" t="s">
        <v>131</v>
      </c>
      <c r="BP37" t="s">
        <v>134</v>
      </c>
      <c r="BQ37" t="s">
        <v>131</v>
      </c>
      <c r="BR37"/>
      <c r="BS37" t="str">
        <f t="shared" si="4"/>
        <v>N/A</v>
      </c>
      <c r="BT37" t="s">
        <v>135</v>
      </c>
      <c r="BU37">
        <v>1</v>
      </c>
      <c r="BV37" t="str">
        <f>"Pipelayer"</f>
        <v>Pipelayer</v>
      </c>
      <c r="BW37" t="s">
        <v>131</v>
      </c>
      <c r="BX37" t="str">
        <f>""</f>
        <v/>
      </c>
      <c r="BY37" t="str">
        <f>""</f>
        <v/>
      </c>
      <c r="BZ37" t="str">
        <f>""</f>
        <v/>
      </c>
      <c r="CA37" t="str">
        <f>""</f>
        <v/>
      </c>
      <c r="CB37" t="s">
        <v>131</v>
      </c>
      <c r="CC37"/>
      <c r="CD37"/>
      <c r="CE37"/>
      <c r="CF37" t="s">
        <v>131</v>
      </c>
      <c r="CG37"/>
      <c r="CH37" t="str">
        <f>""</f>
        <v/>
      </c>
      <c r="CI37" t="s">
        <v>131</v>
      </c>
      <c r="CJ37"/>
      <c r="CK37" t="s">
        <v>131</v>
      </c>
      <c r="CL37" t="str">
        <f>""</f>
        <v/>
      </c>
      <c r="CM37" t="str">
        <f>""</f>
        <v/>
      </c>
      <c r="CN37" t="str">
        <f>""</f>
        <v/>
      </c>
      <c r="CO37" t="str">
        <f>""</f>
        <v/>
      </c>
      <c r="CP37" t="str">
        <f>"47-2151.00"</f>
        <v>47-2151.00</v>
      </c>
      <c r="CQ37" t="s">
        <v>4095</v>
      </c>
      <c r="CR37" t="s">
        <v>1205</v>
      </c>
      <c r="CS37" t="s">
        <v>131</v>
      </c>
      <c r="CT37"/>
      <c r="CU37" t="s">
        <v>1896</v>
      </c>
      <c r="CV37"/>
      <c r="CW37" t="s">
        <v>807</v>
      </c>
      <c r="CX37" t="s">
        <v>808</v>
      </c>
      <c r="CY37"/>
      <c r="CZ37" s="3" t="str">
        <f>"85085"</f>
        <v>85085</v>
      </c>
      <c r="DA37" t="s">
        <v>131</v>
      </c>
      <c r="DB37" t="str">
        <f>"47-2151"</f>
        <v>47-2151</v>
      </c>
      <c r="DC37" t="s">
        <v>4095</v>
      </c>
      <c r="DD37" t="s">
        <v>134</v>
      </c>
      <c r="DE37" t="s">
        <v>134</v>
      </c>
      <c r="DF37" t="str">
        <f>""</f>
        <v/>
      </c>
      <c r="DG37"/>
      <c r="DH37" s="6">
        <v>22.36</v>
      </c>
      <c r="DI37" t="s">
        <v>344</v>
      </c>
      <c r="DJ37"/>
      <c r="DK37" t="s">
        <v>345</v>
      </c>
      <c r="DL37"/>
      <c r="DM37"/>
      <c r="DN37"/>
      <c r="DO37"/>
      <c r="DP37"/>
      <c r="DQ37"/>
      <c r="DR37" t="s">
        <v>2199</v>
      </c>
      <c r="DS37" s="6">
        <v>22.36</v>
      </c>
      <c r="DT37" t="s">
        <v>424</v>
      </c>
      <c r="DU37" s="1">
        <v>44350</v>
      </c>
      <c r="DV37" s="1">
        <v>44439</v>
      </c>
    </row>
    <row r="38" spans="1:126" s="7" customFormat="1" ht="15" customHeight="1" x14ac:dyDescent="0.35">
      <c r="A38" t="s">
        <v>19484</v>
      </c>
      <c r="B38" t="s">
        <v>318</v>
      </c>
      <c r="C38" s="1">
        <v>44320</v>
      </c>
      <c r="D38" s="1">
        <v>44350</v>
      </c>
      <c r="E38" s="1"/>
      <c r="F38" s="1"/>
      <c r="G38" s="1"/>
      <c r="H38" t="s">
        <v>319</v>
      </c>
      <c r="I38" t="s">
        <v>19485</v>
      </c>
      <c r="J38" t="s">
        <v>6686</v>
      </c>
      <c r="K38" t="s">
        <v>19486</v>
      </c>
      <c r="L38" t="s">
        <v>569</v>
      </c>
      <c r="M38" t="s">
        <v>19487</v>
      </c>
      <c r="N38"/>
      <c r="O38" t="s">
        <v>12912</v>
      </c>
      <c r="P38" t="s">
        <v>194</v>
      </c>
      <c r="Q38" s="3">
        <v>33418</v>
      </c>
      <c r="R38" t="s">
        <v>128</v>
      </c>
      <c r="S38"/>
      <c r="T38" s="4">
        <v>15616124769</v>
      </c>
      <c r="U38"/>
      <c r="V38" t="s">
        <v>19488</v>
      </c>
      <c r="W38" t="s">
        <v>19489</v>
      </c>
      <c r="X38"/>
      <c r="Y38" t="s">
        <v>19487</v>
      </c>
      <c r="Z38"/>
      <c r="AA38" t="s">
        <v>12912</v>
      </c>
      <c r="AB38" t="s">
        <v>195</v>
      </c>
      <c r="AC38" s="3" t="str">
        <f>"33418"</f>
        <v>33418</v>
      </c>
      <c r="AD38" t="s">
        <v>128</v>
      </c>
      <c r="AE38"/>
      <c r="AF38" s="4">
        <v>15616124769</v>
      </c>
      <c r="AG38"/>
      <c r="AH38" t="str">
        <f>"713910"</f>
        <v>713910</v>
      </c>
      <c r="AI38" t="s">
        <v>130</v>
      </c>
      <c r="AJ38" t="s">
        <v>19490</v>
      </c>
      <c r="AK38" t="s">
        <v>19491</v>
      </c>
      <c r="AL38" t="s">
        <v>19492</v>
      </c>
      <c r="AM38" t="s">
        <v>19493</v>
      </c>
      <c r="AN38"/>
      <c r="AO38" t="s">
        <v>12912</v>
      </c>
      <c r="AP38" t="s">
        <v>195</v>
      </c>
      <c r="AQ38" s="5">
        <v>33401</v>
      </c>
      <c r="AR38" t="s">
        <v>128</v>
      </c>
      <c r="AS38"/>
      <c r="AT38" s="4">
        <v>15618416346</v>
      </c>
      <c r="AU38"/>
      <c r="AV38" t="s">
        <v>19494</v>
      </c>
      <c r="AW38" t="s">
        <v>19495</v>
      </c>
      <c r="AX38" t="s">
        <v>131</v>
      </c>
      <c r="AY38" t="s">
        <v>131</v>
      </c>
      <c r="AZ38" t="s">
        <v>131</v>
      </c>
      <c r="BA38" t="s">
        <v>131</v>
      </c>
      <c r="BB38" t="s">
        <v>131</v>
      </c>
      <c r="BC38" t="s">
        <v>131</v>
      </c>
      <c r="BD38" t="s">
        <v>131</v>
      </c>
      <c r="BE38" t="s">
        <v>132</v>
      </c>
      <c r="BF38"/>
      <c r="BG38" s="1"/>
      <c r="BH38" t="s">
        <v>19496</v>
      </c>
      <c r="BI38" t="s">
        <v>131</v>
      </c>
      <c r="BJ38"/>
      <c r="BK38"/>
      <c r="BL38" t="s">
        <v>401</v>
      </c>
      <c r="BM38"/>
      <c r="BN38"/>
      <c r="BO38" t="s">
        <v>131</v>
      </c>
      <c r="BP38" t="s">
        <v>134</v>
      </c>
      <c r="BQ38" t="s">
        <v>131</v>
      </c>
      <c r="BR38"/>
      <c r="BS38" t="str">
        <f t="shared" si="4"/>
        <v>N/A</v>
      </c>
      <c r="BT38" t="s">
        <v>135</v>
      </c>
      <c r="BU38">
        <v>6</v>
      </c>
      <c r="BV38" t="str">
        <f>"Waiter/Waitress"</f>
        <v>Waiter/Waitress</v>
      </c>
      <c r="BW38" t="s">
        <v>135</v>
      </c>
      <c r="BX38" t="str">
        <f>""</f>
        <v/>
      </c>
      <c r="BY38" t="str">
        <f>""</f>
        <v/>
      </c>
      <c r="BZ38" t="str">
        <f>""</f>
        <v/>
      </c>
      <c r="CA38" t="str">
        <f>"The right candidate for the position will have a minimum of 6 months of high-end fine dining experience in a high-volume private country club, resort, or hotel.  "</f>
        <v xml:space="preserve">The right candidate for the position will have a minimum of 6 months of high-end fine dining experience in a high-volume private country club, resort, or hotel.  </v>
      </c>
      <c r="CB38" t="s">
        <v>131</v>
      </c>
      <c r="CC38"/>
      <c r="CD38"/>
      <c r="CE38"/>
      <c r="CF38" t="s">
        <v>131</v>
      </c>
      <c r="CG38"/>
      <c r="CH38" t="str">
        <f>""</f>
        <v/>
      </c>
      <c r="CI38" t="s">
        <v>131</v>
      </c>
      <c r="CJ38"/>
      <c r="CK38" t="s">
        <v>131</v>
      </c>
      <c r="CL38" t="str">
        <f>""</f>
        <v/>
      </c>
      <c r="CM38" t="str">
        <f>""</f>
        <v/>
      </c>
      <c r="CN38" t="str">
        <f>""</f>
        <v/>
      </c>
      <c r="CO38" t="str">
        <f>""</f>
        <v/>
      </c>
      <c r="CP38" t="str">
        <f>"35-3031.00"</f>
        <v>35-3031.00</v>
      </c>
      <c r="CQ38" t="s">
        <v>1214</v>
      </c>
      <c r="CR38" t="s">
        <v>15581</v>
      </c>
      <c r="CS38" t="s">
        <v>131</v>
      </c>
      <c r="CT38"/>
      <c r="CU38" t="s">
        <v>19497</v>
      </c>
      <c r="CV38"/>
      <c r="CW38" t="s">
        <v>12912</v>
      </c>
      <c r="CX38" t="s">
        <v>195</v>
      </c>
      <c r="CY38"/>
      <c r="CZ38" s="3" t="str">
        <f>"33418"</f>
        <v>33418</v>
      </c>
      <c r="DA38" t="s">
        <v>131</v>
      </c>
      <c r="DB38" t="str">
        <f>"35-3031"</f>
        <v>35-3031</v>
      </c>
      <c r="DC38" t="s">
        <v>1214</v>
      </c>
      <c r="DD38" t="s">
        <v>134</v>
      </c>
      <c r="DE38" t="s">
        <v>134</v>
      </c>
      <c r="DF38" t="str">
        <f>""</f>
        <v/>
      </c>
      <c r="DG38"/>
      <c r="DH38" s="6">
        <v>12.55</v>
      </c>
      <c r="DI38" t="s">
        <v>344</v>
      </c>
      <c r="DJ38"/>
      <c r="DK38" t="s">
        <v>345</v>
      </c>
      <c r="DL38"/>
      <c r="DM38"/>
      <c r="DN38"/>
      <c r="DO38"/>
      <c r="DP38"/>
      <c r="DQ38"/>
      <c r="DR38" t="s">
        <v>2160</v>
      </c>
      <c r="DS38" s="6">
        <v>12.55</v>
      </c>
      <c r="DT38" t="s">
        <v>424</v>
      </c>
      <c r="DU38" s="1">
        <v>44350</v>
      </c>
      <c r="DV38" s="1">
        <v>44439</v>
      </c>
    </row>
    <row r="39" spans="1:126" s="7" customFormat="1" ht="15" customHeight="1" x14ac:dyDescent="0.35">
      <c r="A39" t="s">
        <v>13732</v>
      </c>
      <c r="B39" t="s">
        <v>318</v>
      </c>
      <c r="C39" s="1">
        <v>44320</v>
      </c>
      <c r="D39" s="1">
        <v>44350</v>
      </c>
      <c r="E39" s="1"/>
      <c r="F39" s="1"/>
      <c r="G39" s="1"/>
      <c r="H39" t="s">
        <v>319</v>
      </c>
      <c r="I39" t="s">
        <v>11951</v>
      </c>
      <c r="J39" t="s">
        <v>645</v>
      </c>
      <c r="K39"/>
      <c r="L39" t="s">
        <v>361</v>
      </c>
      <c r="M39" t="s">
        <v>11952</v>
      </c>
      <c r="N39"/>
      <c r="O39" t="s">
        <v>5889</v>
      </c>
      <c r="P39" t="s">
        <v>2545</v>
      </c>
      <c r="Q39" s="3">
        <v>5672</v>
      </c>
      <c r="R39" t="s">
        <v>128</v>
      </c>
      <c r="S39"/>
      <c r="T39" s="4">
        <v>18027604701</v>
      </c>
      <c r="U39"/>
      <c r="V39" t="s">
        <v>11953</v>
      </c>
      <c r="W39" t="s">
        <v>11954</v>
      </c>
      <c r="X39" t="s">
        <v>11955</v>
      </c>
      <c r="Y39" t="s">
        <v>11952</v>
      </c>
      <c r="Z39"/>
      <c r="AA39" t="s">
        <v>5889</v>
      </c>
      <c r="AB39" t="s">
        <v>2549</v>
      </c>
      <c r="AC39" s="3" t="str">
        <f>"05672"</f>
        <v>05672</v>
      </c>
      <c r="AD39" t="s">
        <v>128</v>
      </c>
      <c r="AE39"/>
      <c r="AF39" s="4">
        <v>18027604701</v>
      </c>
      <c r="AG39">
        <v>0</v>
      </c>
      <c r="AH39" t="str">
        <f>"72111"</f>
        <v>72111</v>
      </c>
      <c r="AI39" t="s">
        <v>130</v>
      </c>
      <c r="AJ39" t="s">
        <v>5341</v>
      </c>
      <c r="AK39" t="s">
        <v>1274</v>
      </c>
      <c r="AL39" t="s">
        <v>5342</v>
      </c>
      <c r="AM39" t="s">
        <v>5343</v>
      </c>
      <c r="AN39" t="s">
        <v>788</v>
      </c>
      <c r="AO39" t="s">
        <v>1282</v>
      </c>
      <c r="AP39" t="s">
        <v>172</v>
      </c>
      <c r="AQ39" s="5">
        <v>91361</v>
      </c>
      <c r="AR39" t="s">
        <v>128</v>
      </c>
      <c r="AS39" t="s">
        <v>134</v>
      </c>
      <c r="AT39" s="4">
        <v>18052611393</v>
      </c>
      <c r="AU39"/>
      <c r="AV39" t="s">
        <v>5344</v>
      </c>
      <c r="AW39" t="s">
        <v>5345</v>
      </c>
      <c r="AX39" t="s">
        <v>131</v>
      </c>
      <c r="AY39" t="s">
        <v>131</v>
      </c>
      <c r="AZ39" t="s">
        <v>131</v>
      </c>
      <c r="BA39" t="s">
        <v>131</v>
      </c>
      <c r="BB39" t="s">
        <v>131</v>
      </c>
      <c r="BC39" t="s">
        <v>131</v>
      </c>
      <c r="BD39" t="s">
        <v>131</v>
      </c>
      <c r="BE39" t="s">
        <v>132</v>
      </c>
      <c r="BF39"/>
      <c r="BG39" s="1"/>
      <c r="BH39" t="s">
        <v>1639</v>
      </c>
      <c r="BI39" t="s">
        <v>131</v>
      </c>
      <c r="BJ39"/>
      <c r="BK39"/>
      <c r="BL39" t="s">
        <v>167</v>
      </c>
      <c r="BM39"/>
      <c r="BN39"/>
      <c r="BO39" t="s">
        <v>131</v>
      </c>
      <c r="BP39" t="s">
        <v>134</v>
      </c>
      <c r="BQ39" t="s">
        <v>131</v>
      </c>
      <c r="BR39"/>
      <c r="BS39" t="str">
        <f t="shared" si="4"/>
        <v>N/A</v>
      </c>
      <c r="BT39" t="s">
        <v>131</v>
      </c>
      <c r="BU39"/>
      <c r="BV39" t="str">
        <f>""</f>
        <v/>
      </c>
      <c r="BW39" t="s">
        <v>135</v>
      </c>
      <c r="BX39" t="str">
        <f>""</f>
        <v/>
      </c>
      <c r="BY39" t="str">
        <f>""</f>
        <v/>
      </c>
      <c r="BZ39" t="str">
        <f>""</f>
        <v/>
      </c>
      <c r="CA39" t="str">
        <f>"Able to lift, push, and pull a minimum of 25 lbs.  
Able to communicate and understand basic English.
"</f>
        <v xml:space="preserve">Able to lift, push, and pull a minimum of 25 lbs.  
Able to communicate and understand basic English.
</v>
      </c>
      <c r="CB39" t="s">
        <v>131</v>
      </c>
      <c r="CC39"/>
      <c r="CD39"/>
      <c r="CE39"/>
      <c r="CF39" t="s">
        <v>131</v>
      </c>
      <c r="CG39"/>
      <c r="CH39" t="str">
        <f>""</f>
        <v/>
      </c>
      <c r="CI39" t="s">
        <v>131</v>
      </c>
      <c r="CJ39"/>
      <c r="CK39" t="s">
        <v>131</v>
      </c>
      <c r="CL39" t="str">
        <f>""</f>
        <v/>
      </c>
      <c r="CM39" t="str">
        <f>""</f>
        <v/>
      </c>
      <c r="CN39" t="str">
        <f>""</f>
        <v/>
      </c>
      <c r="CO39" t="str">
        <f>""</f>
        <v/>
      </c>
      <c r="CP39" t="str">
        <f>"37-2012.00"</f>
        <v>37-2012.00</v>
      </c>
      <c r="CQ39" t="s">
        <v>479</v>
      </c>
      <c r="CR39" t="s">
        <v>4851</v>
      </c>
      <c r="CS39" t="s">
        <v>131</v>
      </c>
      <c r="CT39"/>
      <c r="CU39" t="s">
        <v>11952</v>
      </c>
      <c r="CV39"/>
      <c r="CW39" t="s">
        <v>5889</v>
      </c>
      <c r="CX39" t="s">
        <v>2549</v>
      </c>
      <c r="CY39"/>
      <c r="CZ39" s="3" t="str">
        <f>"05672"</f>
        <v>05672</v>
      </c>
      <c r="DA39" t="s">
        <v>131</v>
      </c>
      <c r="DB39" t="str">
        <f>"37-2012"</f>
        <v>37-2012</v>
      </c>
      <c r="DC39" t="s">
        <v>479</v>
      </c>
      <c r="DD39" t="s">
        <v>134</v>
      </c>
      <c r="DE39" t="s">
        <v>134</v>
      </c>
      <c r="DF39" t="str">
        <f>""</f>
        <v/>
      </c>
      <c r="DG39"/>
      <c r="DH39" s="6">
        <v>13.58</v>
      </c>
      <c r="DI39" t="s">
        <v>344</v>
      </c>
      <c r="DJ39"/>
      <c r="DK39" t="s">
        <v>345</v>
      </c>
      <c r="DL39"/>
      <c r="DM39"/>
      <c r="DN39"/>
      <c r="DO39"/>
      <c r="DP39"/>
      <c r="DQ39"/>
      <c r="DR39"/>
      <c r="DS39" s="6">
        <v>13.58</v>
      </c>
      <c r="DT39" t="s">
        <v>424</v>
      </c>
      <c r="DU39" s="1">
        <v>44350</v>
      </c>
      <c r="DV39" s="1">
        <v>44439</v>
      </c>
    </row>
    <row r="40" spans="1:126" s="7" customFormat="1" ht="15" customHeight="1" x14ac:dyDescent="0.35">
      <c r="A40" t="s">
        <v>17129</v>
      </c>
      <c r="B40" t="s">
        <v>318</v>
      </c>
      <c r="C40" s="1">
        <v>44320</v>
      </c>
      <c r="D40" s="1">
        <v>44350</v>
      </c>
      <c r="E40" s="1"/>
      <c r="F40" s="1"/>
      <c r="G40" s="1"/>
      <c r="H40" t="s">
        <v>319</v>
      </c>
      <c r="I40" t="s">
        <v>11951</v>
      </c>
      <c r="J40" t="s">
        <v>645</v>
      </c>
      <c r="K40"/>
      <c r="L40" t="s">
        <v>361</v>
      </c>
      <c r="M40" t="s">
        <v>11952</v>
      </c>
      <c r="N40"/>
      <c r="O40" t="s">
        <v>5889</v>
      </c>
      <c r="P40" t="s">
        <v>2545</v>
      </c>
      <c r="Q40" s="3">
        <v>5672</v>
      </c>
      <c r="R40" t="s">
        <v>128</v>
      </c>
      <c r="S40"/>
      <c r="T40" s="4">
        <v>18027604701</v>
      </c>
      <c r="U40"/>
      <c r="V40" t="s">
        <v>11953</v>
      </c>
      <c r="W40" t="s">
        <v>11954</v>
      </c>
      <c r="X40" t="s">
        <v>11955</v>
      </c>
      <c r="Y40" t="s">
        <v>11952</v>
      </c>
      <c r="Z40"/>
      <c r="AA40" t="s">
        <v>5889</v>
      </c>
      <c r="AB40" t="s">
        <v>2549</v>
      </c>
      <c r="AC40" s="3" t="str">
        <f>"05672"</f>
        <v>05672</v>
      </c>
      <c r="AD40" t="s">
        <v>128</v>
      </c>
      <c r="AE40"/>
      <c r="AF40" s="4">
        <v>18027604701</v>
      </c>
      <c r="AG40">
        <v>0</v>
      </c>
      <c r="AH40" t="str">
        <f>"72111"</f>
        <v>72111</v>
      </c>
      <c r="AI40" t="s">
        <v>130</v>
      </c>
      <c r="AJ40" t="s">
        <v>5341</v>
      </c>
      <c r="AK40" t="s">
        <v>1274</v>
      </c>
      <c r="AL40" t="s">
        <v>5342</v>
      </c>
      <c r="AM40" t="s">
        <v>5343</v>
      </c>
      <c r="AN40" t="s">
        <v>788</v>
      </c>
      <c r="AO40" t="s">
        <v>1282</v>
      </c>
      <c r="AP40" t="s">
        <v>172</v>
      </c>
      <c r="AQ40" s="5">
        <v>91361</v>
      </c>
      <c r="AR40" t="s">
        <v>128</v>
      </c>
      <c r="AS40" t="s">
        <v>134</v>
      </c>
      <c r="AT40" s="4">
        <v>18052611393</v>
      </c>
      <c r="AU40"/>
      <c r="AV40" t="s">
        <v>5344</v>
      </c>
      <c r="AW40" t="s">
        <v>5345</v>
      </c>
      <c r="AX40" t="s">
        <v>131</v>
      </c>
      <c r="AY40" t="s">
        <v>131</v>
      </c>
      <c r="AZ40" t="s">
        <v>131</v>
      </c>
      <c r="BA40" t="s">
        <v>131</v>
      </c>
      <c r="BB40" t="s">
        <v>131</v>
      </c>
      <c r="BC40" t="s">
        <v>131</v>
      </c>
      <c r="BD40" t="s">
        <v>131</v>
      </c>
      <c r="BE40" t="s">
        <v>132</v>
      </c>
      <c r="BF40"/>
      <c r="BG40" s="1"/>
      <c r="BH40" t="s">
        <v>1639</v>
      </c>
      <c r="BI40" t="s">
        <v>131</v>
      </c>
      <c r="BJ40"/>
      <c r="BK40"/>
      <c r="BL40" t="s">
        <v>167</v>
      </c>
      <c r="BM40"/>
      <c r="BN40"/>
      <c r="BO40" t="s">
        <v>131</v>
      </c>
      <c r="BP40" t="s">
        <v>134</v>
      </c>
      <c r="BQ40" t="s">
        <v>131</v>
      </c>
      <c r="BR40"/>
      <c r="BS40" t="str">
        <f t="shared" si="4"/>
        <v>N/A</v>
      </c>
      <c r="BT40" t="s">
        <v>131</v>
      </c>
      <c r="BU40"/>
      <c r="BV40" t="str">
        <f>""</f>
        <v/>
      </c>
      <c r="BW40" t="s">
        <v>135</v>
      </c>
      <c r="BX40" t="str">
        <f>""</f>
        <v/>
      </c>
      <c r="BY40" t="str">
        <f>""</f>
        <v/>
      </c>
      <c r="BZ40" t="str">
        <f>""</f>
        <v/>
      </c>
      <c r="CA40" t="str">
        <f>"Able to lift, push, and pull a minimum of 25 lbs.
Able to communicate and understand basic English.
"</f>
        <v xml:space="preserve">Able to lift, push, and pull a minimum of 25 lbs.
Able to communicate and understand basic English.
</v>
      </c>
      <c r="CB40" t="s">
        <v>131</v>
      </c>
      <c r="CC40"/>
      <c r="CD40"/>
      <c r="CE40"/>
      <c r="CF40" t="s">
        <v>131</v>
      </c>
      <c r="CG40"/>
      <c r="CH40" t="str">
        <f>""</f>
        <v/>
      </c>
      <c r="CI40" t="s">
        <v>131</v>
      </c>
      <c r="CJ40"/>
      <c r="CK40" t="s">
        <v>131</v>
      </c>
      <c r="CL40" t="str">
        <f>""</f>
        <v/>
      </c>
      <c r="CM40" t="str">
        <f>""</f>
        <v/>
      </c>
      <c r="CN40" t="str">
        <f>""</f>
        <v/>
      </c>
      <c r="CO40" t="str">
        <f>""</f>
        <v/>
      </c>
      <c r="CP40" t="str">
        <f>"37-2012.00"</f>
        <v>37-2012.00</v>
      </c>
      <c r="CQ40" t="s">
        <v>479</v>
      </c>
      <c r="CR40" t="s">
        <v>4851</v>
      </c>
      <c r="CS40" t="s">
        <v>131</v>
      </c>
      <c r="CT40"/>
      <c r="CU40" t="s">
        <v>11952</v>
      </c>
      <c r="CV40"/>
      <c r="CW40" t="s">
        <v>5889</v>
      </c>
      <c r="CX40" t="s">
        <v>2549</v>
      </c>
      <c r="CY40"/>
      <c r="CZ40" s="3" t="str">
        <f>"05672"</f>
        <v>05672</v>
      </c>
      <c r="DA40" t="s">
        <v>131</v>
      </c>
      <c r="DB40" t="str">
        <f>"37-2012"</f>
        <v>37-2012</v>
      </c>
      <c r="DC40" t="s">
        <v>479</v>
      </c>
      <c r="DD40" t="s">
        <v>134</v>
      </c>
      <c r="DE40" t="s">
        <v>134</v>
      </c>
      <c r="DF40" t="str">
        <f>""</f>
        <v/>
      </c>
      <c r="DG40"/>
      <c r="DH40" s="6">
        <v>13.58</v>
      </c>
      <c r="DI40" t="s">
        <v>344</v>
      </c>
      <c r="DJ40"/>
      <c r="DK40" t="s">
        <v>345</v>
      </c>
      <c r="DL40"/>
      <c r="DM40"/>
      <c r="DN40"/>
      <c r="DO40"/>
      <c r="DP40"/>
      <c r="DQ40"/>
      <c r="DR40" t="s">
        <v>17130</v>
      </c>
      <c r="DS40" s="6">
        <v>13.58</v>
      </c>
      <c r="DT40" t="s">
        <v>424</v>
      </c>
      <c r="DU40" s="1">
        <v>44350</v>
      </c>
      <c r="DV40" s="1">
        <v>44439</v>
      </c>
    </row>
    <row r="41" spans="1:126" s="7" customFormat="1" ht="15" customHeight="1" x14ac:dyDescent="0.35">
      <c r="A41" t="s">
        <v>14668</v>
      </c>
      <c r="B41" t="s">
        <v>318</v>
      </c>
      <c r="C41" s="1">
        <v>44320</v>
      </c>
      <c r="D41" s="1">
        <v>44355</v>
      </c>
      <c r="E41" s="1"/>
      <c r="F41" s="1"/>
      <c r="G41" s="1"/>
      <c r="H41" t="s">
        <v>319</v>
      </c>
      <c r="I41" t="s">
        <v>14669</v>
      </c>
      <c r="J41" t="s">
        <v>3932</v>
      </c>
      <c r="K41"/>
      <c r="L41" t="s">
        <v>7755</v>
      </c>
      <c r="M41" t="s">
        <v>14670</v>
      </c>
      <c r="N41" t="s">
        <v>14671</v>
      </c>
      <c r="O41" t="s">
        <v>14672</v>
      </c>
      <c r="P41" t="s">
        <v>1217</v>
      </c>
      <c r="Q41" s="3">
        <v>36551</v>
      </c>
      <c r="R41" t="s">
        <v>128</v>
      </c>
      <c r="S41"/>
      <c r="T41" s="4">
        <v>12518025130</v>
      </c>
      <c r="U41"/>
      <c r="V41" t="s">
        <v>14673</v>
      </c>
      <c r="W41" t="s">
        <v>14674</v>
      </c>
      <c r="X41"/>
      <c r="Y41" t="s">
        <v>14675</v>
      </c>
      <c r="Z41" t="s">
        <v>14676</v>
      </c>
      <c r="AA41" t="s">
        <v>14677</v>
      </c>
      <c r="AB41" t="s">
        <v>1218</v>
      </c>
      <c r="AC41" s="3" t="str">
        <f>"36523"</f>
        <v>36523</v>
      </c>
      <c r="AD41" t="s">
        <v>128</v>
      </c>
      <c r="AE41"/>
      <c r="AF41" s="4">
        <v>12518734406</v>
      </c>
      <c r="AG41"/>
      <c r="AH41" t="str">
        <f>"3117"</f>
        <v>3117</v>
      </c>
      <c r="AI41" t="s">
        <v>287</v>
      </c>
      <c r="AJ41" t="s">
        <v>2304</v>
      </c>
      <c r="AK41" t="s">
        <v>5773</v>
      </c>
      <c r="AL41" t="s">
        <v>589</v>
      </c>
      <c r="AM41" t="s">
        <v>5774</v>
      </c>
      <c r="AN41" t="s">
        <v>5775</v>
      </c>
      <c r="AO41" t="s">
        <v>5776</v>
      </c>
      <c r="AP41" t="s">
        <v>1763</v>
      </c>
      <c r="AQ41" s="5">
        <v>70754</v>
      </c>
      <c r="AR41" t="s">
        <v>128</v>
      </c>
      <c r="AS41" t="s">
        <v>1763</v>
      </c>
      <c r="AT41" s="4">
        <v>12256863033</v>
      </c>
      <c r="AU41"/>
      <c r="AV41" t="s">
        <v>5777</v>
      </c>
      <c r="AW41" t="s">
        <v>5778</v>
      </c>
      <c r="AX41" t="s">
        <v>131</v>
      </c>
      <c r="AY41" t="s">
        <v>131</v>
      </c>
      <c r="AZ41" t="s">
        <v>131</v>
      </c>
      <c r="BA41" t="s">
        <v>131</v>
      </c>
      <c r="BB41" t="s">
        <v>131</v>
      </c>
      <c r="BC41" t="s">
        <v>131</v>
      </c>
      <c r="BD41" t="s">
        <v>131</v>
      </c>
      <c r="BE41" t="s">
        <v>132</v>
      </c>
      <c r="BF41"/>
      <c r="BG41" s="1"/>
      <c r="BH41" t="s">
        <v>14678</v>
      </c>
      <c r="BI41" t="s">
        <v>131</v>
      </c>
      <c r="BJ41"/>
      <c r="BK41"/>
      <c r="BL41" t="s">
        <v>167</v>
      </c>
      <c r="BM41"/>
      <c r="BN41"/>
      <c r="BO41" t="s">
        <v>131</v>
      </c>
      <c r="BP41" t="s">
        <v>134</v>
      </c>
      <c r="BQ41" t="s">
        <v>131</v>
      </c>
      <c r="BR41"/>
      <c r="BS41" t="str">
        <f t="shared" si="4"/>
        <v>N/A</v>
      </c>
      <c r="BT41" t="s">
        <v>135</v>
      </c>
      <c r="BU41">
        <v>3</v>
      </c>
      <c r="BV41" t="str">
        <f>"Shucking and Packing Experience"</f>
        <v>Shucking and Packing Experience</v>
      </c>
      <c r="BW41" t="s">
        <v>135</v>
      </c>
      <c r="BX41" t="str">
        <f>""</f>
        <v/>
      </c>
      <c r="BY41" t="str">
        <f>""</f>
        <v/>
      </c>
      <c r="BZ41" t="str">
        <f>""</f>
        <v/>
      </c>
      <c r="CA41" s="2" t="s">
        <v>14679</v>
      </c>
      <c r="CB41" t="s">
        <v>131</v>
      </c>
      <c r="CC41"/>
      <c r="CD41"/>
      <c r="CE41"/>
      <c r="CF41" t="s">
        <v>131</v>
      </c>
      <c r="CG41"/>
      <c r="CH41" t="str">
        <f>""</f>
        <v/>
      </c>
      <c r="CI41" t="s">
        <v>131</v>
      </c>
      <c r="CJ41"/>
      <c r="CK41" t="s">
        <v>131</v>
      </c>
      <c r="CL41" t="str">
        <f>""</f>
        <v/>
      </c>
      <c r="CM41" t="str">
        <f>""</f>
        <v/>
      </c>
      <c r="CN41" t="str">
        <f>""</f>
        <v/>
      </c>
      <c r="CO41" t="str">
        <f>""</f>
        <v/>
      </c>
      <c r="CP41" t="str">
        <f>"51-3022.00"</f>
        <v>51-3022.00</v>
      </c>
      <c r="CQ41" t="s">
        <v>1114</v>
      </c>
      <c r="CR41"/>
      <c r="CS41" t="s">
        <v>131</v>
      </c>
      <c r="CT41"/>
      <c r="CU41" t="s">
        <v>14675</v>
      </c>
      <c r="CV41"/>
      <c r="CW41" t="s">
        <v>14677</v>
      </c>
      <c r="CX41" t="s">
        <v>1218</v>
      </c>
      <c r="CY41"/>
      <c r="CZ41" s="3" t="str">
        <f>"36523"</f>
        <v>36523</v>
      </c>
      <c r="DA41" t="s">
        <v>131</v>
      </c>
      <c r="DB41" t="str">
        <f>"51-3022"</f>
        <v>51-3022</v>
      </c>
      <c r="DC41" t="s">
        <v>1114</v>
      </c>
      <c r="DD41" t="s">
        <v>134</v>
      </c>
      <c r="DE41" t="s">
        <v>134</v>
      </c>
      <c r="DF41" t="str">
        <f>""</f>
        <v/>
      </c>
      <c r="DG41"/>
      <c r="DH41" s="6">
        <v>10.76</v>
      </c>
      <c r="DI41" t="s">
        <v>344</v>
      </c>
      <c r="DJ41"/>
      <c r="DK41" t="s">
        <v>345</v>
      </c>
      <c r="DL41"/>
      <c r="DM41"/>
      <c r="DN41"/>
      <c r="DO41"/>
      <c r="DP41"/>
      <c r="DQ41"/>
      <c r="DR41" t="s">
        <v>9406</v>
      </c>
      <c r="DS41" s="6">
        <v>10.76</v>
      </c>
      <c r="DT41" t="s">
        <v>424</v>
      </c>
      <c r="DU41" s="1">
        <v>44355</v>
      </c>
      <c r="DV41" s="1">
        <v>44444</v>
      </c>
    </row>
    <row r="42" spans="1:126" s="7" customFormat="1" ht="15" customHeight="1" x14ac:dyDescent="0.35">
      <c r="A42" t="s">
        <v>12437</v>
      </c>
      <c r="B42" t="s">
        <v>318</v>
      </c>
      <c r="C42" s="1">
        <v>44320</v>
      </c>
      <c r="D42" s="1">
        <v>44350</v>
      </c>
      <c r="E42" s="1"/>
      <c r="F42" s="1"/>
      <c r="G42" s="1"/>
      <c r="H42" t="s">
        <v>319</v>
      </c>
      <c r="I42" t="s">
        <v>12043</v>
      </c>
      <c r="J42" t="s">
        <v>4483</v>
      </c>
      <c r="K42"/>
      <c r="L42" t="s">
        <v>5000</v>
      </c>
      <c r="M42" t="s">
        <v>12044</v>
      </c>
      <c r="N42"/>
      <c r="O42" t="s">
        <v>12045</v>
      </c>
      <c r="P42" t="s">
        <v>1760</v>
      </c>
      <c r="Q42" s="3">
        <v>70516</v>
      </c>
      <c r="R42" t="s">
        <v>128</v>
      </c>
      <c r="S42"/>
      <c r="T42" s="4">
        <v>13374580615</v>
      </c>
      <c r="U42"/>
      <c r="V42" t="s">
        <v>12046</v>
      </c>
      <c r="W42" t="s">
        <v>12047</v>
      </c>
      <c r="X42" t="s">
        <v>12048</v>
      </c>
      <c r="Y42" t="s">
        <v>12049</v>
      </c>
      <c r="Z42" t="s">
        <v>12050</v>
      </c>
      <c r="AA42" t="s">
        <v>1638</v>
      </c>
      <c r="AB42" t="s">
        <v>1763</v>
      </c>
      <c r="AC42" s="3" t="str">
        <f>"71303"</f>
        <v>71303</v>
      </c>
      <c r="AD42" t="s">
        <v>128</v>
      </c>
      <c r="AE42"/>
      <c r="AF42" s="4">
        <v>13184456745</v>
      </c>
      <c r="AG42"/>
      <c r="AH42" t="str">
        <f>"72251"</f>
        <v>72251</v>
      </c>
      <c r="AI42" t="s">
        <v>287</v>
      </c>
      <c r="AJ42" t="s">
        <v>2304</v>
      </c>
      <c r="AK42" t="s">
        <v>5773</v>
      </c>
      <c r="AL42" t="s">
        <v>589</v>
      </c>
      <c r="AM42" t="s">
        <v>5774</v>
      </c>
      <c r="AN42" t="s">
        <v>5775</v>
      </c>
      <c r="AO42" t="s">
        <v>5776</v>
      </c>
      <c r="AP42" t="s">
        <v>1763</v>
      </c>
      <c r="AQ42" s="5">
        <v>70754</v>
      </c>
      <c r="AR42" t="s">
        <v>128</v>
      </c>
      <c r="AS42" t="s">
        <v>1763</v>
      </c>
      <c r="AT42" s="4">
        <v>12256863033</v>
      </c>
      <c r="AU42"/>
      <c r="AV42" t="s">
        <v>5777</v>
      </c>
      <c r="AW42" t="s">
        <v>5778</v>
      </c>
      <c r="AX42" t="s">
        <v>131</v>
      </c>
      <c r="AY42" t="s">
        <v>131</v>
      </c>
      <c r="AZ42" t="s">
        <v>131</v>
      </c>
      <c r="BA42" t="s">
        <v>131</v>
      </c>
      <c r="BB42" t="s">
        <v>131</v>
      </c>
      <c r="BC42" t="s">
        <v>131</v>
      </c>
      <c r="BD42" t="s">
        <v>131</v>
      </c>
      <c r="BE42" t="s">
        <v>132</v>
      </c>
      <c r="BF42"/>
      <c r="BG42" s="1"/>
      <c r="BH42" t="s">
        <v>11022</v>
      </c>
      <c r="BI42" t="s">
        <v>131</v>
      </c>
      <c r="BJ42"/>
      <c r="BK42"/>
      <c r="BL42" t="s">
        <v>167</v>
      </c>
      <c r="BM42"/>
      <c r="BN42"/>
      <c r="BO42" t="s">
        <v>131</v>
      </c>
      <c r="BP42" t="s">
        <v>134</v>
      </c>
      <c r="BQ42" t="s">
        <v>131</v>
      </c>
      <c r="BR42"/>
      <c r="BS42" t="str">
        <f t="shared" si="4"/>
        <v>N/A</v>
      </c>
      <c r="BT42" t="s">
        <v>131</v>
      </c>
      <c r="BU42"/>
      <c r="BV42" t="str">
        <f>""</f>
        <v/>
      </c>
      <c r="BW42" t="s">
        <v>135</v>
      </c>
      <c r="BX42" t="str">
        <f>""</f>
        <v/>
      </c>
      <c r="BY42" t="str">
        <f>""</f>
        <v/>
      </c>
      <c r="BZ42" t="str">
        <f>""</f>
        <v/>
      </c>
      <c r="CA42" s="2" t="s">
        <v>12438</v>
      </c>
      <c r="CB42" t="s">
        <v>131</v>
      </c>
      <c r="CC42"/>
      <c r="CD42"/>
      <c r="CE42"/>
      <c r="CF42" t="s">
        <v>131</v>
      </c>
      <c r="CG42"/>
      <c r="CH42" t="str">
        <f>""</f>
        <v/>
      </c>
      <c r="CI42" t="s">
        <v>131</v>
      </c>
      <c r="CJ42"/>
      <c r="CK42" t="s">
        <v>131</v>
      </c>
      <c r="CL42" t="str">
        <f>""</f>
        <v/>
      </c>
      <c r="CM42" t="str">
        <f>""</f>
        <v/>
      </c>
      <c r="CN42" t="str">
        <f>""</f>
        <v/>
      </c>
      <c r="CO42" t="str">
        <f>""</f>
        <v/>
      </c>
      <c r="CP42" t="str">
        <f>"35-2015.00"</f>
        <v>35-2015.00</v>
      </c>
      <c r="CQ42" t="s">
        <v>3425</v>
      </c>
      <c r="CR42"/>
      <c r="CS42" t="s">
        <v>135</v>
      </c>
      <c r="CT42" s="2" t="s">
        <v>12439</v>
      </c>
      <c r="CU42" t="s">
        <v>12049</v>
      </c>
      <c r="CV42"/>
      <c r="CW42" t="s">
        <v>1638</v>
      </c>
      <c r="CX42" t="s">
        <v>1763</v>
      </c>
      <c r="CY42"/>
      <c r="CZ42" s="3" t="str">
        <f>"71303"</f>
        <v>71303</v>
      </c>
      <c r="DA42" t="s">
        <v>135</v>
      </c>
      <c r="DB42" t="str">
        <f>"35-2015"</f>
        <v>35-2015</v>
      </c>
      <c r="DC42" t="s">
        <v>3425</v>
      </c>
      <c r="DD42" t="s">
        <v>134</v>
      </c>
      <c r="DE42" t="s">
        <v>134</v>
      </c>
      <c r="DF42" t="str">
        <f>""</f>
        <v/>
      </c>
      <c r="DG42"/>
      <c r="DH42" s="6">
        <v>9.74</v>
      </c>
      <c r="DI42" t="s">
        <v>344</v>
      </c>
      <c r="DJ42"/>
      <c r="DK42" t="s">
        <v>345</v>
      </c>
      <c r="DL42"/>
      <c r="DM42"/>
      <c r="DN42"/>
      <c r="DO42"/>
      <c r="DP42"/>
      <c r="DQ42"/>
      <c r="DR42" t="s">
        <v>12440</v>
      </c>
      <c r="DS42" s="6">
        <v>9.74</v>
      </c>
      <c r="DT42" t="s">
        <v>424</v>
      </c>
      <c r="DU42" s="1">
        <v>44350</v>
      </c>
      <c r="DV42" s="1">
        <v>44439</v>
      </c>
    </row>
    <row r="43" spans="1:126" s="7" customFormat="1" ht="15" customHeight="1" x14ac:dyDescent="0.35">
      <c r="A43" t="s">
        <v>19150</v>
      </c>
      <c r="B43" t="s">
        <v>318</v>
      </c>
      <c r="C43" s="1">
        <v>44320</v>
      </c>
      <c r="D43" s="1">
        <v>44351</v>
      </c>
      <c r="E43" s="1"/>
      <c r="F43" s="1"/>
      <c r="G43" s="1"/>
      <c r="H43" t="s">
        <v>319</v>
      </c>
      <c r="I43" t="s">
        <v>19151</v>
      </c>
      <c r="J43" t="s">
        <v>1071</v>
      </c>
      <c r="K43"/>
      <c r="L43" t="s">
        <v>1105</v>
      </c>
      <c r="M43" t="s">
        <v>19152</v>
      </c>
      <c r="N43"/>
      <c r="O43" t="s">
        <v>1597</v>
      </c>
      <c r="P43" t="s">
        <v>311</v>
      </c>
      <c r="Q43" s="3">
        <v>15239</v>
      </c>
      <c r="R43" t="s">
        <v>128</v>
      </c>
      <c r="S43"/>
      <c r="T43" s="4">
        <v>14127936147</v>
      </c>
      <c r="U43"/>
      <c r="V43" t="s">
        <v>134</v>
      </c>
      <c r="W43" t="s">
        <v>19153</v>
      </c>
      <c r="X43"/>
      <c r="Y43" t="s">
        <v>19152</v>
      </c>
      <c r="Z43"/>
      <c r="AA43" t="s">
        <v>1597</v>
      </c>
      <c r="AB43" t="s">
        <v>312</v>
      </c>
      <c r="AC43" s="3" t="str">
        <f>"15239"</f>
        <v>15239</v>
      </c>
      <c r="AD43" t="s">
        <v>128</v>
      </c>
      <c r="AE43"/>
      <c r="AF43" s="4">
        <v>14128483858</v>
      </c>
      <c r="AG43"/>
      <c r="AH43" t="str">
        <f>"56173"</f>
        <v>56173</v>
      </c>
      <c r="AI43" t="s">
        <v>287</v>
      </c>
      <c r="AJ43" t="s">
        <v>414</v>
      </c>
      <c r="AK43" t="s">
        <v>301</v>
      </c>
      <c r="AL43" t="s">
        <v>415</v>
      </c>
      <c r="AM43" t="s">
        <v>416</v>
      </c>
      <c r="AN43" t="s">
        <v>417</v>
      </c>
      <c r="AO43" t="s">
        <v>399</v>
      </c>
      <c r="AP43" t="s">
        <v>400</v>
      </c>
      <c r="AQ43" s="5">
        <v>75231</v>
      </c>
      <c r="AR43" t="s">
        <v>128</v>
      </c>
      <c r="AS43"/>
      <c r="AT43" s="4">
        <v>12145265665</v>
      </c>
      <c r="AU43"/>
      <c r="AV43" t="s">
        <v>418</v>
      </c>
      <c r="AW43" t="s">
        <v>419</v>
      </c>
      <c r="AX43" t="s">
        <v>131</v>
      </c>
      <c r="AY43" t="s">
        <v>131</v>
      </c>
      <c r="AZ43" t="s">
        <v>131</v>
      </c>
      <c r="BA43" t="s">
        <v>131</v>
      </c>
      <c r="BB43" t="s">
        <v>131</v>
      </c>
      <c r="BC43" t="s">
        <v>131</v>
      </c>
      <c r="BD43" t="s">
        <v>131</v>
      </c>
      <c r="BE43" t="s">
        <v>132</v>
      </c>
      <c r="BF43"/>
      <c r="BG43" s="1"/>
      <c r="BH43" t="s">
        <v>2215</v>
      </c>
      <c r="BI43" t="s">
        <v>131</v>
      </c>
      <c r="BJ43"/>
      <c r="BK43"/>
      <c r="BL43" t="s">
        <v>167</v>
      </c>
      <c r="BM43"/>
      <c r="BN43"/>
      <c r="BO43" t="s">
        <v>131</v>
      </c>
      <c r="BP43" t="s">
        <v>134</v>
      </c>
      <c r="BQ43" t="s">
        <v>131</v>
      </c>
      <c r="BR43"/>
      <c r="BS43" t="str">
        <f t="shared" si="4"/>
        <v>N/A</v>
      </c>
      <c r="BT43" t="s">
        <v>131</v>
      </c>
      <c r="BU43"/>
      <c r="BV43" t="str">
        <f>""</f>
        <v/>
      </c>
      <c r="BW43" t="s">
        <v>135</v>
      </c>
      <c r="BX43" t="str">
        <f>""</f>
        <v/>
      </c>
      <c r="BY43" t="str">
        <f>""</f>
        <v/>
      </c>
      <c r="BZ43" t="str">
        <f>""</f>
        <v/>
      </c>
      <c r="CA43" t="str">
        <f>"Must be able to lift 50 lbs, work in adverse weather conditions.
Must pass a post-employment drug test paid by employer.  "</f>
        <v xml:space="preserve">Must be able to lift 50 lbs, work in adverse weather conditions.
Must pass a post-employment drug test paid by employer.  </v>
      </c>
      <c r="CB43" t="s">
        <v>131</v>
      </c>
      <c r="CC43"/>
      <c r="CD43"/>
      <c r="CE43"/>
      <c r="CF43" t="s">
        <v>131</v>
      </c>
      <c r="CG43"/>
      <c r="CH43" t="str">
        <f>""</f>
        <v/>
      </c>
      <c r="CI43" t="s">
        <v>131</v>
      </c>
      <c r="CJ43"/>
      <c r="CK43" t="s">
        <v>131</v>
      </c>
      <c r="CL43" t="str">
        <f>""</f>
        <v/>
      </c>
      <c r="CM43" t="str">
        <f>""</f>
        <v/>
      </c>
      <c r="CN43" t="str">
        <f>""</f>
        <v/>
      </c>
      <c r="CO43" t="str">
        <f>""</f>
        <v/>
      </c>
      <c r="CP43" t="str">
        <f>"37-3011.00"</f>
        <v>37-3011.00</v>
      </c>
      <c r="CQ43" t="s">
        <v>920</v>
      </c>
      <c r="CR43"/>
      <c r="CS43" t="s">
        <v>131</v>
      </c>
      <c r="CT43"/>
      <c r="CU43" t="s">
        <v>19152</v>
      </c>
      <c r="CV43"/>
      <c r="CW43" t="s">
        <v>1597</v>
      </c>
      <c r="CX43" t="s">
        <v>312</v>
      </c>
      <c r="CY43"/>
      <c r="CZ43" s="3" t="str">
        <f>"15239"</f>
        <v>15239</v>
      </c>
      <c r="DA43" t="s">
        <v>135</v>
      </c>
      <c r="DB43" t="str">
        <f>"37-3011"</f>
        <v>37-3011</v>
      </c>
      <c r="DC43" t="s">
        <v>920</v>
      </c>
      <c r="DD43" t="s">
        <v>134</v>
      </c>
      <c r="DE43" t="s">
        <v>134</v>
      </c>
      <c r="DF43" t="str">
        <f>""</f>
        <v/>
      </c>
      <c r="DG43"/>
      <c r="DH43" s="6">
        <v>14.66</v>
      </c>
      <c r="DI43" t="s">
        <v>344</v>
      </c>
      <c r="DJ43"/>
      <c r="DK43" t="s">
        <v>345</v>
      </c>
      <c r="DL43"/>
      <c r="DM43"/>
      <c r="DN43"/>
      <c r="DO43"/>
      <c r="DP43"/>
      <c r="DQ43"/>
      <c r="DR43"/>
      <c r="DS43" s="6">
        <v>14.66</v>
      </c>
      <c r="DT43" t="s">
        <v>424</v>
      </c>
      <c r="DU43" s="1">
        <v>44351</v>
      </c>
      <c r="DV43" s="1">
        <v>44440</v>
      </c>
    </row>
    <row r="44" spans="1:126" s="7" customFormat="1" ht="15" customHeight="1" x14ac:dyDescent="0.35">
      <c r="A44" t="s">
        <v>11942</v>
      </c>
      <c r="B44" t="s">
        <v>318</v>
      </c>
      <c r="C44" s="1">
        <v>44320</v>
      </c>
      <c r="D44" s="1">
        <v>44351</v>
      </c>
      <c r="E44" s="1"/>
      <c r="F44" s="1"/>
      <c r="G44" s="1"/>
      <c r="H44" t="s">
        <v>319</v>
      </c>
      <c r="I44" t="s">
        <v>11943</v>
      </c>
      <c r="J44" t="s">
        <v>1578</v>
      </c>
      <c r="K44"/>
      <c r="L44" t="s">
        <v>3922</v>
      </c>
      <c r="M44" t="s">
        <v>11944</v>
      </c>
      <c r="N44"/>
      <c r="O44" t="s">
        <v>11945</v>
      </c>
      <c r="P44" t="s">
        <v>256</v>
      </c>
      <c r="Q44" s="3">
        <v>63385</v>
      </c>
      <c r="R44" t="s">
        <v>128</v>
      </c>
      <c r="S44"/>
      <c r="T44" s="4">
        <v>16363988800</v>
      </c>
      <c r="U44"/>
      <c r="V44" t="s">
        <v>134</v>
      </c>
      <c r="W44" t="s">
        <v>11946</v>
      </c>
      <c r="X44"/>
      <c r="Y44" t="s">
        <v>11944</v>
      </c>
      <c r="Z44"/>
      <c r="AA44" t="s">
        <v>11945</v>
      </c>
      <c r="AB44" t="s">
        <v>258</v>
      </c>
      <c r="AC44" s="3" t="str">
        <f>"63385"</f>
        <v>63385</v>
      </c>
      <c r="AD44" t="s">
        <v>128</v>
      </c>
      <c r="AE44"/>
      <c r="AF44" s="4">
        <v>16363988800</v>
      </c>
      <c r="AG44"/>
      <c r="AH44" t="str">
        <f>"56173"</f>
        <v>56173</v>
      </c>
      <c r="AI44" t="s">
        <v>287</v>
      </c>
      <c r="AJ44" t="s">
        <v>414</v>
      </c>
      <c r="AK44" t="s">
        <v>301</v>
      </c>
      <c r="AL44" t="s">
        <v>415</v>
      </c>
      <c r="AM44" t="s">
        <v>416</v>
      </c>
      <c r="AN44" t="s">
        <v>417</v>
      </c>
      <c r="AO44" t="s">
        <v>399</v>
      </c>
      <c r="AP44" t="s">
        <v>400</v>
      </c>
      <c r="AQ44" s="5">
        <v>75231</v>
      </c>
      <c r="AR44" t="s">
        <v>128</v>
      </c>
      <c r="AS44"/>
      <c r="AT44" s="4">
        <v>12145265665</v>
      </c>
      <c r="AU44"/>
      <c r="AV44" t="s">
        <v>418</v>
      </c>
      <c r="AW44" t="s">
        <v>419</v>
      </c>
      <c r="AX44" t="s">
        <v>131</v>
      </c>
      <c r="AY44" t="s">
        <v>131</v>
      </c>
      <c r="AZ44" t="s">
        <v>131</v>
      </c>
      <c r="BA44" t="s">
        <v>131</v>
      </c>
      <c r="BB44" t="s">
        <v>131</v>
      </c>
      <c r="BC44" t="s">
        <v>131</v>
      </c>
      <c r="BD44" t="s">
        <v>131</v>
      </c>
      <c r="BE44" t="s">
        <v>132</v>
      </c>
      <c r="BF44"/>
      <c r="BG44" s="1"/>
      <c r="BH44" t="s">
        <v>2215</v>
      </c>
      <c r="BI44" t="s">
        <v>131</v>
      </c>
      <c r="BJ44"/>
      <c r="BK44"/>
      <c r="BL44" t="s">
        <v>167</v>
      </c>
      <c r="BM44"/>
      <c r="BN44"/>
      <c r="BO44" t="s">
        <v>131</v>
      </c>
      <c r="BP44" t="s">
        <v>134</v>
      </c>
      <c r="BQ44" t="s">
        <v>131</v>
      </c>
      <c r="BR44"/>
      <c r="BS44" t="str">
        <f t="shared" si="4"/>
        <v>N/A</v>
      </c>
      <c r="BT44" t="s">
        <v>131</v>
      </c>
      <c r="BU44"/>
      <c r="BV44" t="str">
        <f>""</f>
        <v/>
      </c>
      <c r="BW44" t="s">
        <v>135</v>
      </c>
      <c r="BX44" t="str">
        <f>""</f>
        <v/>
      </c>
      <c r="BY44" t="str">
        <f>""</f>
        <v/>
      </c>
      <c r="BZ44" t="str">
        <f>""</f>
        <v/>
      </c>
      <c r="CA44" t="str">
        <f>"Must be able to lift 50 lbs, work in adverse weather conditions.
Must pass a post-employment drug test paid by employer."</f>
        <v>Must be able to lift 50 lbs, work in adverse weather conditions.
Must pass a post-employment drug test paid by employer.</v>
      </c>
      <c r="CB44" t="s">
        <v>131</v>
      </c>
      <c r="CC44"/>
      <c r="CD44"/>
      <c r="CE44"/>
      <c r="CF44" t="s">
        <v>131</v>
      </c>
      <c r="CG44"/>
      <c r="CH44" t="str">
        <f>""</f>
        <v/>
      </c>
      <c r="CI44" t="s">
        <v>131</v>
      </c>
      <c r="CJ44"/>
      <c r="CK44" t="s">
        <v>131</v>
      </c>
      <c r="CL44" t="str">
        <f>""</f>
        <v/>
      </c>
      <c r="CM44" t="str">
        <f>""</f>
        <v/>
      </c>
      <c r="CN44" t="str">
        <f>""</f>
        <v/>
      </c>
      <c r="CO44" t="str">
        <f>""</f>
        <v/>
      </c>
      <c r="CP44" t="str">
        <f>"37-3011.00"</f>
        <v>37-3011.00</v>
      </c>
      <c r="CQ44" t="s">
        <v>920</v>
      </c>
      <c r="CR44"/>
      <c r="CS44" t="s">
        <v>131</v>
      </c>
      <c r="CT44"/>
      <c r="CU44" t="s">
        <v>11944</v>
      </c>
      <c r="CV44"/>
      <c r="CW44" t="s">
        <v>11945</v>
      </c>
      <c r="CX44" t="s">
        <v>258</v>
      </c>
      <c r="CY44"/>
      <c r="CZ44" s="3" t="str">
        <f>"63385"</f>
        <v>63385</v>
      </c>
      <c r="DA44" t="s">
        <v>135</v>
      </c>
      <c r="DB44" t="str">
        <f>"37-3011"</f>
        <v>37-3011</v>
      </c>
      <c r="DC44" t="s">
        <v>920</v>
      </c>
      <c r="DD44" t="s">
        <v>134</v>
      </c>
      <c r="DE44" t="s">
        <v>134</v>
      </c>
      <c r="DF44" t="str">
        <f>""</f>
        <v/>
      </c>
      <c r="DG44"/>
      <c r="DH44" s="6">
        <v>15.37</v>
      </c>
      <c r="DI44" t="s">
        <v>344</v>
      </c>
      <c r="DJ44"/>
      <c r="DK44" t="s">
        <v>345</v>
      </c>
      <c r="DL44"/>
      <c r="DM44"/>
      <c r="DN44"/>
      <c r="DO44"/>
      <c r="DP44"/>
      <c r="DQ44"/>
      <c r="DR44"/>
      <c r="DS44" s="6">
        <v>15.37</v>
      </c>
      <c r="DT44" t="s">
        <v>424</v>
      </c>
      <c r="DU44" s="1">
        <v>44351</v>
      </c>
      <c r="DV44" s="1">
        <v>44440</v>
      </c>
    </row>
    <row r="45" spans="1:126" s="7" customFormat="1" ht="15" customHeight="1" x14ac:dyDescent="0.35">
      <c r="A45" t="s">
        <v>20150</v>
      </c>
      <c r="B45" t="s">
        <v>318</v>
      </c>
      <c r="C45" s="1">
        <v>44320</v>
      </c>
      <c r="D45" s="1">
        <v>44351</v>
      </c>
      <c r="E45" s="1"/>
      <c r="F45" s="1"/>
      <c r="G45" s="1"/>
      <c r="H45" t="s">
        <v>319</v>
      </c>
      <c r="I45" t="s">
        <v>20151</v>
      </c>
      <c r="J45" t="s">
        <v>9834</v>
      </c>
      <c r="K45"/>
      <c r="L45" t="s">
        <v>395</v>
      </c>
      <c r="M45" t="s">
        <v>20152</v>
      </c>
      <c r="N45"/>
      <c r="O45" t="s">
        <v>7036</v>
      </c>
      <c r="P45" t="s">
        <v>818</v>
      </c>
      <c r="Q45" s="3">
        <v>31408</v>
      </c>
      <c r="R45" t="s">
        <v>128</v>
      </c>
      <c r="S45"/>
      <c r="T45" s="4">
        <v>19129667391</v>
      </c>
      <c r="U45"/>
      <c r="V45" t="s">
        <v>134</v>
      </c>
      <c r="W45" t="s">
        <v>20153</v>
      </c>
      <c r="X45"/>
      <c r="Y45" t="s">
        <v>20152</v>
      </c>
      <c r="Z45"/>
      <c r="AA45" t="s">
        <v>7036</v>
      </c>
      <c r="AB45" t="s">
        <v>643</v>
      </c>
      <c r="AC45" s="3" t="str">
        <f>"31408"</f>
        <v>31408</v>
      </c>
      <c r="AD45" t="s">
        <v>128</v>
      </c>
      <c r="AE45"/>
      <c r="AF45" s="4">
        <v>19129667391</v>
      </c>
      <c r="AG45"/>
      <c r="AH45" t="str">
        <f>"56173"</f>
        <v>56173</v>
      </c>
      <c r="AI45" t="s">
        <v>287</v>
      </c>
      <c r="AJ45" t="s">
        <v>414</v>
      </c>
      <c r="AK45" t="s">
        <v>301</v>
      </c>
      <c r="AL45" t="s">
        <v>415</v>
      </c>
      <c r="AM45" t="s">
        <v>416</v>
      </c>
      <c r="AN45" t="s">
        <v>417</v>
      </c>
      <c r="AO45" t="s">
        <v>399</v>
      </c>
      <c r="AP45" t="s">
        <v>400</v>
      </c>
      <c r="AQ45" s="5">
        <v>75231</v>
      </c>
      <c r="AR45" t="s">
        <v>128</v>
      </c>
      <c r="AS45"/>
      <c r="AT45" s="4">
        <v>12145265665</v>
      </c>
      <c r="AU45"/>
      <c r="AV45" t="s">
        <v>418</v>
      </c>
      <c r="AW45" t="s">
        <v>419</v>
      </c>
      <c r="AX45" t="s">
        <v>131</v>
      </c>
      <c r="AY45" t="s">
        <v>131</v>
      </c>
      <c r="AZ45" t="s">
        <v>131</v>
      </c>
      <c r="BA45" t="s">
        <v>131</v>
      </c>
      <c r="BB45" t="s">
        <v>131</v>
      </c>
      <c r="BC45" t="s">
        <v>131</v>
      </c>
      <c r="BD45" t="s">
        <v>131</v>
      </c>
      <c r="BE45" t="s">
        <v>132</v>
      </c>
      <c r="BF45"/>
      <c r="BG45" s="1"/>
      <c r="BH45" t="s">
        <v>2215</v>
      </c>
      <c r="BI45" t="s">
        <v>131</v>
      </c>
      <c r="BJ45"/>
      <c r="BK45"/>
      <c r="BL45" t="s">
        <v>167</v>
      </c>
      <c r="BM45"/>
      <c r="BN45"/>
      <c r="BO45" t="s">
        <v>131</v>
      </c>
      <c r="BP45" t="s">
        <v>134</v>
      </c>
      <c r="BQ45" t="s">
        <v>131</v>
      </c>
      <c r="BR45"/>
      <c r="BS45" t="str">
        <f t="shared" si="4"/>
        <v>N/A</v>
      </c>
      <c r="BT45" t="s">
        <v>131</v>
      </c>
      <c r="BU45"/>
      <c r="BV45" t="str">
        <f>""</f>
        <v/>
      </c>
      <c r="BW45" t="s">
        <v>135</v>
      </c>
      <c r="BX45" t="str">
        <f>""</f>
        <v/>
      </c>
      <c r="BY45" t="str">
        <f>""</f>
        <v/>
      </c>
      <c r="BZ45" t="str">
        <f>""</f>
        <v/>
      </c>
      <c r="CA45" t="str">
        <f>"Must be able to lift 50 lbs, work in adverse weather conditions.
Must pass a pre-employment background check and a pre-employment  drug test paid by employer. "</f>
        <v xml:space="preserve">Must be able to lift 50 lbs, work in adverse weather conditions.
Must pass a pre-employment background check and a pre-employment  drug test paid by employer. </v>
      </c>
      <c r="CB45" t="s">
        <v>131</v>
      </c>
      <c r="CC45"/>
      <c r="CD45"/>
      <c r="CE45"/>
      <c r="CF45" t="s">
        <v>131</v>
      </c>
      <c r="CG45"/>
      <c r="CH45" t="str">
        <f>""</f>
        <v/>
      </c>
      <c r="CI45" t="s">
        <v>131</v>
      </c>
      <c r="CJ45"/>
      <c r="CK45" t="s">
        <v>131</v>
      </c>
      <c r="CL45" t="str">
        <f>""</f>
        <v/>
      </c>
      <c r="CM45" t="str">
        <f>""</f>
        <v/>
      </c>
      <c r="CN45" t="str">
        <f>""</f>
        <v/>
      </c>
      <c r="CO45" t="str">
        <f>""</f>
        <v/>
      </c>
      <c r="CP45" t="str">
        <f>"37-3011.00"</f>
        <v>37-3011.00</v>
      </c>
      <c r="CQ45" t="s">
        <v>920</v>
      </c>
      <c r="CR45"/>
      <c r="CS45" t="s">
        <v>131</v>
      </c>
      <c r="CT45"/>
      <c r="CU45" t="s">
        <v>20152</v>
      </c>
      <c r="CV45"/>
      <c r="CW45" t="s">
        <v>7036</v>
      </c>
      <c r="CX45" t="s">
        <v>643</v>
      </c>
      <c r="CY45"/>
      <c r="CZ45" s="3" t="str">
        <f>"31408"</f>
        <v>31408</v>
      </c>
      <c r="DA45" t="s">
        <v>135</v>
      </c>
      <c r="DB45" t="str">
        <f>"37-3011"</f>
        <v>37-3011</v>
      </c>
      <c r="DC45" t="s">
        <v>920</v>
      </c>
      <c r="DD45" t="s">
        <v>134</v>
      </c>
      <c r="DE45" t="s">
        <v>134</v>
      </c>
      <c r="DF45" t="str">
        <f>""</f>
        <v/>
      </c>
      <c r="DG45"/>
      <c r="DH45" s="6">
        <v>13.16</v>
      </c>
      <c r="DI45" t="s">
        <v>344</v>
      </c>
      <c r="DJ45"/>
      <c r="DK45" t="s">
        <v>345</v>
      </c>
      <c r="DL45"/>
      <c r="DM45"/>
      <c r="DN45"/>
      <c r="DO45"/>
      <c r="DP45"/>
      <c r="DQ45"/>
      <c r="DR45"/>
      <c r="DS45" s="6">
        <v>13.16</v>
      </c>
      <c r="DT45" t="s">
        <v>424</v>
      </c>
      <c r="DU45" s="1">
        <v>44351</v>
      </c>
      <c r="DV45" s="1">
        <v>44440</v>
      </c>
    </row>
    <row r="46" spans="1:126" s="7" customFormat="1" ht="15" customHeight="1" x14ac:dyDescent="0.35">
      <c r="A46" t="s">
        <v>10041</v>
      </c>
      <c r="B46" t="s">
        <v>318</v>
      </c>
      <c r="C46" s="1">
        <v>44320</v>
      </c>
      <c r="D46" s="1">
        <v>44351</v>
      </c>
      <c r="E46" s="1"/>
      <c r="F46" s="1"/>
      <c r="G46" s="1"/>
      <c r="H46" t="s">
        <v>319</v>
      </c>
      <c r="I46" t="s">
        <v>10042</v>
      </c>
      <c r="J46" t="s">
        <v>2689</v>
      </c>
      <c r="K46"/>
      <c r="L46" t="s">
        <v>395</v>
      </c>
      <c r="M46" t="s">
        <v>10043</v>
      </c>
      <c r="N46"/>
      <c r="O46" t="s">
        <v>10044</v>
      </c>
      <c r="P46" t="s">
        <v>826</v>
      </c>
      <c r="Q46" s="3">
        <v>21032</v>
      </c>
      <c r="R46" t="s">
        <v>128</v>
      </c>
      <c r="S46"/>
      <c r="T46" s="4">
        <v>14108975357</v>
      </c>
      <c r="U46"/>
      <c r="V46" t="s">
        <v>134</v>
      </c>
      <c r="W46" t="s">
        <v>10045</v>
      </c>
      <c r="X46"/>
      <c r="Y46" t="s">
        <v>10043</v>
      </c>
      <c r="Z46"/>
      <c r="AA46" t="s">
        <v>10044</v>
      </c>
      <c r="AB46" t="s">
        <v>382</v>
      </c>
      <c r="AC46" s="3" t="str">
        <f>"21032"</f>
        <v>21032</v>
      </c>
      <c r="AD46" t="s">
        <v>128</v>
      </c>
      <c r="AE46"/>
      <c r="AF46" s="4">
        <v>14109875357</v>
      </c>
      <c r="AG46"/>
      <c r="AH46" t="str">
        <f>"56173"</f>
        <v>56173</v>
      </c>
      <c r="AI46" t="s">
        <v>287</v>
      </c>
      <c r="AJ46" t="s">
        <v>414</v>
      </c>
      <c r="AK46" t="s">
        <v>301</v>
      </c>
      <c r="AL46" t="s">
        <v>415</v>
      </c>
      <c r="AM46" t="s">
        <v>416</v>
      </c>
      <c r="AN46" t="s">
        <v>417</v>
      </c>
      <c r="AO46" t="s">
        <v>399</v>
      </c>
      <c r="AP46" t="s">
        <v>400</v>
      </c>
      <c r="AQ46" s="5">
        <v>75231</v>
      </c>
      <c r="AR46" t="s">
        <v>128</v>
      </c>
      <c r="AS46"/>
      <c r="AT46" s="4">
        <v>12145265665</v>
      </c>
      <c r="AU46"/>
      <c r="AV46" t="s">
        <v>418</v>
      </c>
      <c r="AW46" t="s">
        <v>419</v>
      </c>
      <c r="AX46" t="s">
        <v>131</v>
      </c>
      <c r="AY46" t="s">
        <v>131</v>
      </c>
      <c r="AZ46" t="s">
        <v>131</v>
      </c>
      <c r="BA46" t="s">
        <v>131</v>
      </c>
      <c r="BB46" t="s">
        <v>131</v>
      </c>
      <c r="BC46" t="s">
        <v>131</v>
      </c>
      <c r="BD46" t="s">
        <v>131</v>
      </c>
      <c r="BE46" t="s">
        <v>132</v>
      </c>
      <c r="BF46"/>
      <c r="BG46" s="1"/>
      <c r="BH46" t="s">
        <v>2215</v>
      </c>
      <c r="BI46" t="s">
        <v>131</v>
      </c>
      <c r="BJ46"/>
      <c r="BK46"/>
      <c r="BL46" t="s">
        <v>167</v>
      </c>
      <c r="BM46"/>
      <c r="BN46"/>
      <c r="BO46" t="s">
        <v>131</v>
      </c>
      <c r="BP46" t="s">
        <v>134</v>
      </c>
      <c r="BQ46" t="s">
        <v>131</v>
      </c>
      <c r="BR46"/>
      <c r="BS46" t="str">
        <f t="shared" si="4"/>
        <v>N/A</v>
      </c>
      <c r="BT46" t="s">
        <v>131</v>
      </c>
      <c r="BU46"/>
      <c r="BV46" t="str">
        <f>""</f>
        <v/>
      </c>
      <c r="BW46" t="s">
        <v>135</v>
      </c>
      <c r="BX46" t="str">
        <f>""</f>
        <v/>
      </c>
      <c r="BY46" t="str">
        <f>""</f>
        <v/>
      </c>
      <c r="BZ46" t="str">
        <f>""</f>
        <v/>
      </c>
      <c r="CA46" t="str">
        <f>"Must be able to lift 50 lbs, work in adverse weather conditions.
Must pass a pre-employment drug test paid by employer.  "</f>
        <v xml:space="preserve">Must be able to lift 50 lbs, work in adverse weather conditions.
Must pass a pre-employment drug test paid by employer.  </v>
      </c>
      <c r="CB46" t="s">
        <v>131</v>
      </c>
      <c r="CC46"/>
      <c r="CD46"/>
      <c r="CE46"/>
      <c r="CF46" t="s">
        <v>131</v>
      </c>
      <c r="CG46"/>
      <c r="CH46" t="str">
        <f>""</f>
        <v/>
      </c>
      <c r="CI46" t="s">
        <v>131</v>
      </c>
      <c r="CJ46"/>
      <c r="CK46" t="s">
        <v>131</v>
      </c>
      <c r="CL46" t="str">
        <f>""</f>
        <v/>
      </c>
      <c r="CM46" t="str">
        <f>""</f>
        <v/>
      </c>
      <c r="CN46" t="str">
        <f>""</f>
        <v/>
      </c>
      <c r="CO46" t="str">
        <f>""</f>
        <v/>
      </c>
      <c r="CP46" t="str">
        <f>"37-3011.00"</f>
        <v>37-3011.00</v>
      </c>
      <c r="CQ46" t="s">
        <v>920</v>
      </c>
      <c r="CR46"/>
      <c r="CS46" t="s">
        <v>131</v>
      </c>
      <c r="CT46"/>
      <c r="CU46" t="s">
        <v>10043</v>
      </c>
      <c r="CV46"/>
      <c r="CW46" t="s">
        <v>10044</v>
      </c>
      <c r="CX46" t="s">
        <v>382</v>
      </c>
      <c r="CY46"/>
      <c r="CZ46" s="3" t="str">
        <f>"21032"</f>
        <v>21032</v>
      </c>
      <c r="DA46" t="s">
        <v>135</v>
      </c>
      <c r="DB46" t="str">
        <f>"37-3011"</f>
        <v>37-3011</v>
      </c>
      <c r="DC46" t="s">
        <v>920</v>
      </c>
      <c r="DD46" t="s">
        <v>134</v>
      </c>
      <c r="DE46" t="s">
        <v>134</v>
      </c>
      <c r="DF46" t="str">
        <f>""</f>
        <v/>
      </c>
      <c r="DG46"/>
      <c r="DH46" s="6">
        <v>16.89</v>
      </c>
      <c r="DI46" t="s">
        <v>344</v>
      </c>
      <c r="DJ46"/>
      <c r="DK46" t="s">
        <v>345</v>
      </c>
      <c r="DL46"/>
      <c r="DM46"/>
      <c r="DN46"/>
      <c r="DO46"/>
      <c r="DP46"/>
      <c r="DQ46"/>
      <c r="DR46"/>
      <c r="DS46" s="6">
        <v>16.89</v>
      </c>
      <c r="DT46" t="s">
        <v>424</v>
      </c>
      <c r="DU46" s="1">
        <v>44351</v>
      </c>
      <c r="DV46" s="1">
        <v>44440</v>
      </c>
    </row>
    <row r="47" spans="1:126" s="7" customFormat="1" ht="15" customHeight="1" x14ac:dyDescent="0.35">
      <c r="A47" t="s">
        <v>18926</v>
      </c>
      <c r="B47" t="s">
        <v>318</v>
      </c>
      <c r="C47" s="1">
        <v>44320</v>
      </c>
      <c r="D47" s="1">
        <v>44351</v>
      </c>
      <c r="E47" s="1"/>
      <c r="F47" s="1"/>
      <c r="G47" s="1"/>
      <c r="H47" t="s">
        <v>319</v>
      </c>
      <c r="I47" t="s">
        <v>14443</v>
      </c>
      <c r="J47" t="s">
        <v>3923</v>
      </c>
      <c r="K47"/>
      <c r="L47" t="s">
        <v>395</v>
      </c>
      <c r="M47" t="s">
        <v>18927</v>
      </c>
      <c r="N47"/>
      <c r="O47" t="s">
        <v>885</v>
      </c>
      <c r="P47" t="s">
        <v>412</v>
      </c>
      <c r="Q47" s="3">
        <v>77032</v>
      </c>
      <c r="R47" t="s">
        <v>128</v>
      </c>
      <c r="S47"/>
      <c r="T47" s="4">
        <v>18326456222</v>
      </c>
      <c r="U47"/>
      <c r="V47" t="s">
        <v>134</v>
      </c>
      <c r="W47" t="s">
        <v>18928</v>
      </c>
      <c r="X47"/>
      <c r="Y47" t="s">
        <v>18927</v>
      </c>
      <c r="Z47"/>
      <c r="AA47" t="s">
        <v>885</v>
      </c>
      <c r="AB47" t="s">
        <v>400</v>
      </c>
      <c r="AC47" s="3" t="str">
        <f>"77032"</f>
        <v>77032</v>
      </c>
      <c r="AD47" t="s">
        <v>128</v>
      </c>
      <c r="AE47"/>
      <c r="AF47" s="4">
        <v>18326456222</v>
      </c>
      <c r="AG47"/>
      <c r="AH47" t="str">
        <f>"56173"</f>
        <v>56173</v>
      </c>
      <c r="AI47" t="s">
        <v>287</v>
      </c>
      <c r="AJ47" t="s">
        <v>414</v>
      </c>
      <c r="AK47" t="s">
        <v>301</v>
      </c>
      <c r="AL47" t="s">
        <v>415</v>
      </c>
      <c r="AM47" t="s">
        <v>416</v>
      </c>
      <c r="AN47" t="s">
        <v>417</v>
      </c>
      <c r="AO47" t="s">
        <v>399</v>
      </c>
      <c r="AP47" t="s">
        <v>400</v>
      </c>
      <c r="AQ47" s="5">
        <v>75231</v>
      </c>
      <c r="AR47" t="s">
        <v>128</v>
      </c>
      <c r="AS47"/>
      <c r="AT47" s="4">
        <v>12145265665</v>
      </c>
      <c r="AU47"/>
      <c r="AV47" t="s">
        <v>418</v>
      </c>
      <c r="AW47" t="s">
        <v>419</v>
      </c>
      <c r="AX47" t="s">
        <v>131</v>
      </c>
      <c r="AY47" t="s">
        <v>131</v>
      </c>
      <c r="AZ47" t="s">
        <v>131</v>
      </c>
      <c r="BA47" t="s">
        <v>131</v>
      </c>
      <c r="BB47" t="s">
        <v>131</v>
      </c>
      <c r="BC47" t="s">
        <v>131</v>
      </c>
      <c r="BD47" t="s">
        <v>131</v>
      </c>
      <c r="BE47" t="s">
        <v>132</v>
      </c>
      <c r="BF47"/>
      <c r="BG47" s="1"/>
      <c r="BH47" t="s">
        <v>2215</v>
      </c>
      <c r="BI47" t="s">
        <v>131</v>
      </c>
      <c r="BJ47"/>
      <c r="BK47"/>
      <c r="BL47" t="s">
        <v>167</v>
      </c>
      <c r="BM47"/>
      <c r="BN47"/>
      <c r="BO47" t="s">
        <v>131</v>
      </c>
      <c r="BP47" t="s">
        <v>134</v>
      </c>
      <c r="BQ47" t="s">
        <v>131</v>
      </c>
      <c r="BR47"/>
      <c r="BS47" t="str">
        <f t="shared" si="4"/>
        <v>N/A</v>
      </c>
      <c r="BT47" t="s">
        <v>131</v>
      </c>
      <c r="BU47"/>
      <c r="BV47" t="str">
        <f>""</f>
        <v/>
      </c>
      <c r="BW47" t="s">
        <v>135</v>
      </c>
      <c r="BX47" t="str">
        <f>""</f>
        <v/>
      </c>
      <c r="BY47" t="str">
        <f>""</f>
        <v/>
      </c>
      <c r="BZ47" t="str">
        <f>""</f>
        <v/>
      </c>
      <c r="CA47" t="str">
        <f>"Must be able to lift 50 lbs, work in adverse weather conditions.
Must pass a post-employment  drug test paid by employer.  "</f>
        <v xml:space="preserve">Must be able to lift 50 lbs, work in adverse weather conditions.
Must pass a post-employment  drug test paid by employer.  </v>
      </c>
      <c r="CB47" t="s">
        <v>131</v>
      </c>
      <c r="CC47"/>
      <c r="CD47"/>
      <c r="CE47"/>
      <c r="CF47" t="s">
        <v>131</v>
      </c>
      <c r="CG47"/>
      <c r="CH47" t="str">
        <f>""</f>
        <v/>
      </c>
      <c r="CI47" t="s">
        <v>131</v>
      </c>
      <c r="CJ47"/>
      <c r="CK47" t="s">
        <v>131</v>
      </c>
      <c r="CL47" t="str">
        <f>""</f>
        <v/>
      </c>
      <c r="CM47" t="str">
        <f>""</f>
        <v/>
      </c>
      <c r="CN47" t="str">
        <f>""</f>
        <v/>
      </c>
      <c r="CO47" t="str">
        <f>""</f>
        <v/>
      </c>
      <c r="CP47" t="str">
        <f>"37-3011.00"</f>
        <v>37-3011.00</v>
      </c>
      <c r="CQ47" t="s">
        <v>920</v>
      </c>
      <c r="CR47"/>
      <c r="CS47" t="s">
        <v>131</v>
      </c>
      <c r="CT47"/>
      <c r="CU47" t="s">
        <v>18927</v>
      </c>
      <c r="CV47"/>
      <c r="CW47" t="s">
        <v>885</v>
      </c>
      <c r="CX47" t="s">
        <v>400</v>
      </c>
      <c r="CY47"/>
      <c r="CZ47" s="3" t="str">
        <f>"77032"</f>
        <v>77032</v>
      </c>
      <c r="DA47" t="s">
        <v>135</v>
      </c>
      <c r="DB47" t="str">
        <f>"37-3011"</f>
        <v>37-3011</v>
      </c>
      <c r="DC47" t="s">
        <v>920</v>
      </c>
      <c r="DD47" t="s">
        <v>134</v>
      </c>
      <c r="DE47" t="s">
        <v>134</v>
      </c>
      <c r="DF47" t="str">
        <f>""</f>
        <v/>
      </c>
      <c r="DG47"/>
      <c r="DH47" s="6">
        <v>13.93</v>
      </c>
      <c r="DI47" t="s">
        <v>344</v>
      </c>
      <c r="DJ47"/>
      <c r="DK47" t="s">
        <v>345</v>
      </c>
      <c r="DL47"/>
      <c r="DM47"/>
      <c r="DN47"/>
      <c r="DO47"/>
      <c r="DP47"/>
      <c r="DQ47"/>
      <c r="DR47"/>
      <c r="DS47" s="6">
        <v>13.93</v>
      </c>
      <c r="DT47" t="s">
        <v>424</v>
      </c>
      <c r="DU47" s="1">
        <v>44351</v>
      </c>
      <c r="DV47" s="1">
        <v>44440</v>
      </c>
    </row>
    <row r="48" spans="1:126" s="7" customFormat="1" ht="15" customHeight="1" x14ac:dyDescent="0.35">
      <c r="A48" t="s">
        <v>11170</v>
      </c>
      <c r="B48" t="s">
        <v>318</v>
      </c>
      <c r="C48" s="1">
        <v>44320</v>
      </c>
      <c r="D48" s="1">
        <v>44351</v>
      </c>
      <c r="E48" s="1"/>
      <c r="F48" s="1"/>
      <c r="G48" s="1"/>
      <c r="H48" t="s">
        <v>319</v>
      </c>
      <c r="I48" t="s">
        <v>11171</v>
      </c>
      <c r="J48" t="s">
        <v>462</v>
      </c>
      <c r="K48" t="s">
        <v>11172</v>
      </c>
      <c r="L48" t="s">
        <v>1105</v>
      </c>
      <c r="M48" t="s">
        <v>11173</v>
      </c>
      <c r="N48"/>
      <c r="O48" t="s">
        <v>11174</v>
      </c>
      <c r="P48" t="s">
        <v>1334</v>
      </c>
      <c r="Q48" s="3">
        <v>74432</v>
      </c>
      <c r="R48" t="s">
        <v>128</v>
      </c>
      <c r="S48"/>
      <c r="T48" s="4">
        <v>19186170674</v>
      </c>
      <c r="U48"/>
      <c r="V48" t="s">
        <v>11175</v>
      </c>
      <c r="W48" t="s">
        <v>11176</v>
      </c>
      <c r="X48"/>
      <c r="Y48" t="s">
        <v>11173</v>
      </c>
      <c r="Z48"/>
      <c r="AA48" t="s">
        <v>11174</v>
      </c>
      <c r="AB48" t="s">
        <v>1336</v>
      </c>
      <c r="AC48" s="3" t="str">
        <f>"74432"</f>
        <v>74432</v>
      </c>
      <c r="AD48" t="s">
        <v>128</v>
      </c>
      <c r="AE48"/>
      <c r="AF48" s="4">
        <v>19186170674</v>
      </c>
      <c r="AG48"/>
      <c r="AH48" t="str">
        <f>"21231"</f>
        <v>21231</v>
      </c>
      <c r="AI48" t="s">
        <v>287</v>
      </c>
      <c r="AJ48" t="s">
        <v>414</v>
      </c>
      <c r="AK48" t="s">
        <v>301</v>
      </c>
      <c r="AL48" t="s">
        <v>415</v>
      </c>
      <c r="AM48" t="s">
        <v>416</v>
      </c>
      <c r="AN48" t="s">
        <v>417</v>
      </c>
      <c r="AO48" t="s">
        <v>399</v>
      </c>
      <c r="AP48" t="s">
        <v>400</v>
      </c>
      <c r="AQ48" s="5">
        <v>75231</v>
      </c>
      <c r="AR48" t="s">
        <v>128</v>
      </c>
      <c r="AS48"/>
      <c r="AT48" s="4">
        <v>12145265665</v>
      </c>
      <c r="AU48"/>
      <c r="AV48" t="s">
        <v>418</v>
      </c>
      <c r="AW48" t="s">
        <v>419</v>
      </c>
      <c r="AX48" t="s">
        <v>131</v>
      </c>
      <c r="AY48" t="s">
        <v>131</v>
      </c>
      <c r="AZ48" t="s">
        <v>131</v>
      </c>
      <c r="BA48" t="s">
        <v>131</v>
      </c>
      <c r="BB48" t="s">
        <v>131</v>
      </c>
      <c r="BC48" t="s">
        <v>131</v>
      </c>
      <c r="BD48" t="s">
        <v>131</v>
      </c>
      <c r="BE48" t="s">
        <v>132</v>
      </c>
      <c r="BF48"/>
      <c r="BG48" s="1"/>
      <c r="BH48" t="s">
        <v>11177</v>
      </c>
      <c r="BI48" t="s">
        <v>131</v>
      </c>
      <c r="BJ48"/>
      <c r="BK48"/>
      <c r="BL48" t="s">
        <v>167</v>
      </c>
      <c r="BM48"/>
      <c r="BN48"/>
      <c r="BO48" t="s">
        <v>131</v>
      </c>
      <c r="BP48" t="s">
        <v>134</v>
      </c>
      <c r="BQ48" t="s">
        <v>131</v>
      </c>
      <c r="BR48"/>
      <c r="BS48" t="str">
        <f t="shared" si="4"/>
        <v>N/A</v>
      </c>
      <c r="BT48" t="s">
        <v>131</v>
      </c>
      <c r="BU48"/>
      <c r="BV48" t="str">
        <f>""</f>
        <v/>
      </c>
      <c r="BW48" t="s">
        <v>135</v>
      </c>
      <c r="BX48" t="str">
        <f>""</f>
        <v/>
      </c>
      <c r="BY48" t="str">
        <f>""</f>
        <v/>
      </c>
      <c r="BZ48" t="str">
        <f>""</f>
        <v/>
      </c>
      <c r="CA48" t="str">
        <f>"Must be able to lift 75 lbs, work in adverse weather conditions.
Must pass a post-employment drug test paid by the employer."</f>
        <v>Must be able to lift 75 lbs, work in adverse weather conditions.
Must pass a post-employment drug test paid by the employer.</v>
      </c>
      <c r="CB48" t="s">
        <v>131</v>
      </c>
      <c r="CC48"/>
      <c r="CD48"/>
      <c r="CE48"/>
      <c r="CF48" t="s">
        <v>131</v>
      </c>
      <c r="CG48"/>
      <c r="CH48" t="str">
        <f>""</f>
        <v/>
      </c>
      <c r="CI48" t="s">
        <v>131</v>
      </c>
      <c r="CJ48"/>
      <c r="CK48" t="s">
        <v>131</v>
      </c>
      <c r="CL48" t="str">
        <f>""</f>
        <v/>
      </c>
      <c r="CM48" t="str">
        <f>""</f>
        <v/>
      </c>
      <c r="CN48" t="str">
        <f>""</f>
        <v/>
      </c>
      <c r="CO48" t="str">
        <f>""</f>
        <v/>
      </c>
      <c r="CP48" t="str">
        <f>"51-9198.00"</f>
        <v>51-9198.00</v>
      </c>
      <c r="CQ48" t="s">
        <v>2685</v>
      </c>
      <c r="CR48"/>
      <c r="CS48" t="s">
        <v>131</v>
      </c>
      <c r="CT48"/>
      <c r="CU48" t="s">
        <v>11173</v>
      </c>
      <c r="CV48"/>
      <c r="CW48" t="s">
        <v>11174</v>
      </c>
      <c r="CX48" t="s">
        <v>1336</v>
      </c>
      <c r="CY48"/>
      <c r="CZ48" s="3" t="str">
        <f>"74432"</f>
        <v>74432</v>
      </c>
      <c r="DA48" t="s">
        <v>131</v>
      </c>
      <c r="DB48" t="str">
        <f>"51-9198"</f>
        <v>51-9198</v>
      </c>
      <c r="DC48" t="s">
        <v>2685</v>
      </c>
      <c r="DD48" t="s">
        <v>134</v>
      </c>
      <c r="DE48" t="s">
        <v>134</v>
      </c>
      <c r="DF48" t="str">
        <f>""</f>
        <v/>
      </c>
      <c r="DG48"/>
      <c r="DH48" s="6">
        <v>14.33</v>
      </c>
      <c r="DI48" t="s">
        <v>344</v>
      </c>
      <c r="DJ48"/>
      <c r="DK48" t="s">
        <v>345</v>
      </c>
      <c r="DL48"/>
      <c r="DM48"/>
      <c r="DN48"/>
      <c r="DO48"/>
      <c r="DP48"/>
      <c r="DQ48"/>
      <c r="DR48"/>
      <c r="DS48" s="6">
        <v>14.33</v>
      </c>
      <c r="DT48" t="s">
        <v>424</v>
      </c>
      <c r="DU48" s="1">
        <v>44351</v>
      </c>
      <c r="DV48" s="1">
        <v>44440</v>
      </c>
    </row>
    <row r="49" spans="1:126" s="7" customFormat="1" ht="15" customHeight="1" x14ac:dyDescent="0.35">
      <c r="A49" t="s">
        <v>10426</v>
      </c>
      <c r="B49" t="s">
        <v>318</v>
      </c>
      <c r="C49" s="1">
        <v>44320</v>
      </c>
      <c r="D49" s="1">
        <v>44351</v>
      </c>
      <c r="E49" s="1"/>
      <c r="F49" s="1"/>
      <c r="G49" s="1"/>
      <c r="H49" t="s">
        <v>319</v>
      </c>
      <c r="I49" t="s">
        <v>534</v>
      </c>
      <c r="J49" t="s">
        <v>9169</v>
      </c>
      <c r="K49"/>
      <c r="L49" t="s">
        <v>1105</v>
      </c>
      <c r="M49" t="s">
        <v>10427</v>
      </c>
      <c r="N49"/>
      <c r="O49" t="s">
        <v>1597</v>
      </c>
      <c r="P49" t="s">
        <v>311</v>
      </c>
      <c r="Q49" s="3">
        <v>15234</v>
      </c>
      <c r="R49" t="s">
        <v>128</v>
      </c>
      <c r="S49"/>
      <c r="T49" s="4">
        <v>12145265665</v>
      </c>
      <c r="U49"/>
      <c r="V49" t="s">
        <v>134</v>
      </c>
      <c r="W49" t="s">
        <v>10428</v>
      </c>
      <c r="X49"/>
      <c r="Y49" t="s">
        <v>10427</v>
      </c>
      <c r="Z49"/>
      <c r="AA49" t="s">
        <v>1597</v>
      </c>
      <c r="AB49" t="s">
        <v>312</v>
      </c>
      <c r="AC49" s="3" t="str">
        <f>"15234"</f>
        <v>15234</v>
      </c>
      <c r="AD49" t="s">
        <v>128</v>
      </c>
      <c r="AE49"/>
      <c r="AF49" s="4">
        <v>14123418804</v>
      </c>
      <c r="AG49"/>
      <c r="AH49" t="str">
        <f>"56173"</f>
        <v>56173</v>
      </c>
      <c r="AI49" t="s">
        <v>287</v>
      </c>
      <c r="AJ49" t="s">
        <v>414</v>
      </c>
      <c r="AK49" t="s">
        <v>301</v>
      </c>
      <c r="AL49" t="s">
        <v>415</v>
      </c>
      <c r="AM49" t="s">
        <v>416</v>
      </c>
      <c r="AN49" t="s">
        <v>417</v>
      </c>
      <c r="AO49" t="s">
        <v>399</v>
      </c>
      <c r="AP49" t="s">
        <v>400</v>
      </c>
      <c r="AQ49" s="5">
        <v>75231</v>
      </c>
      <c r="AR49" t="s">
        <v>128</v>
      </c>
      <c r="AS49"/>
      <c r="AT49" s="4">
        <v>12145265665</v>
      </c>
      <c r="AU49"/>
      <c r="AV49" t="s">
        <v>418</v>
      </c>
      <c r="AW49" t="s">
        <v>419</v>
      </c>
      <c r="AX49" t="s">
        <v>131</v>
      </c>
      <c r="AY49" t="s">
        <v>131</v>
      </c>
      <c r="AZ49" t="s">
        <v>131</v>
      </c>
      <c r="BA49" t="s">
        <v>131</v>
      </c>
      <c r="BB49" t="s">
        <v>131</v>
      </c>
      <c r="BC49" t="s">
        <v>131</v>
      </c>
      <c r="BD49" t="s">
        <v>131</v>
      </c>
      <c r="BE49" t="s">
        <v>132</v>
      </c>
      <c r="BF49"/>
      <c r="BG49" s="1"/>
      <c r="BH49" t="s">
        <v>2215</v>
      </c>
      <c r="BI49" t="s">
        <v>131</v>
      </c>
      <c r="BJ49"/>
      <c r="BK49"/>
      <c r="BL49" t="s">
        <v>167</v>
      </c>
      <c r="BM49"/>
      <c r="BN49"/>
      <c r="BO49" t="s">
        <v>131</v>
      </c>
      <c r="BP49" t="s">
        <v>134</v>
      </c>
      <c r="BQ49" t="s">
        <v>131</v>
      </c>
      <c r="BR49"/>
      <c r="BS49" t="str">
        <f t="shared" si="4"/>
        <v>N/A</v>
      </c>
      <c r="BT49" t="s">
        <v>131</v>
      </c>
      <c r="BU49"/>
      <c r="BV49" t="str">
        <f>""</f>
        <v/>
      </c>
      <c r="BW49" t="s">
        <v>135</v>
      </c>
      <c r="BX49" t="str">
        <f>""</f>
        <v/>
      </c>
      <c r="BY49" t="str">
        <f>""</f>
        <v/>
      </c>
      <c r="BZ49" t="str">
        <f>""</f>
        <v/>
      </c>
      <c r="CA49" t="str">
        <f>"Must be able to lift 50 lbs, work in adverse weather conditions.
Must pass a post-employment drug test paid by employer. "</f>
        <v xml:space="preserve">Must be able to lift 50 lbs, work in adverse weather conditions.
Must pass a post-employment drug test paid by employer. </v>
      </c>
      <c r="CB49" t="s">
        <v>131</v>
      </c>
      <c r="CC49"/>
      <c r="CD49"/>
      <c r="CE49"/>
      <c r="CF49" t="s">
        <v>131</v>
      </c>
      <c r="CG49"/>
      <c r="CH49" t="str">
        <f>""</f>
        <v/>
      </c>
      <c r="CI49" t="s">
        <v>131</v>
      </c>
      <c r="CJ49"/>
      <c r="CK49" t="s">
        <v>131</v>
      </c>
      <c r="CL49" t="str">
        <f>""</f>
        <v/>
      </c>
      <c r="CM49" t="str">
        <f>""</f>
        <v/>
      </c>
      <c r="CN49" t="str">
        <f>""</f>
        <v/>
      </c>
      <c r="CO49" t="str">
        <f>""</f>
        <v/>
      </c>
      <c r="CP49" t="str">
        <f t="shared" ref="CP49:CP54" si="5">"37-3011.00"</f>
        <v>37-3011.00</v>
      </c>
      <c r="CQ49" t="s">
        <v>920</v>
      </c>
      <c r="CR49"/>
      <c r="CS49" t="s">
        <v>131</v>
      </c>
      <c r="CT49"/>
      <c r="CU49" t="s">
        <v>10427</v>
      </c>
      <c r="CV49"/>
      <c r="CW49" t="s">
        <v>1597</v>
      </c>
      <c r="CX49" t="s">
        <v>312</v>
      </c>
      <c r="CY49"/>
      <c r="CZ49" s="3" t="str">
        <f>"15234"</f>
        <v>15234</v>
      </c>
      <c r="DA49" t="s">
        <v>135</v>
      </c>
      <c r="DB49" t="str">
        <f t="shared" ref="DB49:DB54" si="6">"37-3011"</f>
        <v>37-3011</v>
      </c>
      <c r="DC49" t="s">
        <v>920</v>
      </c>
      <c r="DD49" t="s">
        <v>134</v>
      </c>
      <c r="DE49" t="s">
        <v>134</v>
      </c>
      <c r="DF49" t="str">
        <f>""</f>
        <v/>
      </c>
      <c r="DG49"/>
      <c r="DH49" s="6">
        <v>14.66</v>
      </c>
      <c r="DI49" t="s">
        <v>344</v>
      </c>
      <c r="DJ49"/>
      <c r="DK49" t="s">
        <v>345</v>
      </c>
      <c r="DL49"/>
      <c r="DM49"/>
      <c r="DN49"/>
      <c r="DO49"/>
      <c r="DP49"/>
      <c r="DQ49"/>
      <c r="DR49"/>
      <c r="DS49" s="6">
        <v>14.66</v>
      </c>
      <c r="DT49" t="s">
        <v>424</v>
      </c>
      <c r="DU49" s="1">
        <v>44351</v>
      </c>
      <c r="DV49" s="1">
        <v>44440</v>
      </c>
    </row>
    <row r="50" spans="1:126" s="7" customFormat="1" ht="15" customHeight="1" x14ac:dyDescent="0.35">
      <c r="A50" t="s">
        <v>17007</v>
      </c>
      <c r="B50" t="s">
        <v>318</v>
      </c>
      <c r="C50" s="1">
        <v>44320</v>
      </c>
      <c r="D50" s="1">
        <v>44351</v>
      </c>
      <c r="E50" s="1"/>
      <c r="F50" s="1"/>
      <c r="G50" s="1"/>
      <c r="H50" t="s">
        <v>319</v>
      </c>
      <c r="I50" t="s">
        <v>17008</v>
      </c>
      <c r="J50" t="s">
        <v>980</v>
      </c>
      <c r="K50"/>
      <c r="L50" t="s">
        <v>3767</v>
      </c>
      <c r="M50" t="s">
        <v>17009</v>
      </c>
      <c r="N50"/>
      <c r="O50" t="s">
        <v>17010</v>
      </c>
      <c r="P50" t="s">
        <v>396</v>
      </c>
      <c r="Q50" s="3">
        <v>71901</v>
      </c>
      <c r="R50" t="s">
        <v>128</v>
      </c>
      <c r="S50"/>
      <c r="T50" s="4">
        <v>15016237850</v>
      </c>
      <c r="U50"/>
      <c r="V50" t="s">
        <v>134</v>
      </c>
      <c r="W50" t="s">
        <v>17011</v>
      </c>
      <c r="X50"/>
      <c r="Y50" t="s">
        <v>17009</v>
      </c>
      <c r="Z50"/>
      <c r="AA50" t="s">
        <v>17010</v>
      </c>
      <c r="AB50" t="s">
        <v>397</v>
      </c>
      <c r="AC50" s="3" t="str">
        <f>"71901"</f>
        <v>71901</v>
      </c>
      <c r="AD50" t="s">
        <v>128</v>
      </c>
      <c r="AE50"/>
      <c r="AF50" s="4">
        <v>15016237850</v>
      </c>
      <c r="AG50"/>
      <c r="AH50" t="str">
        <f>"71391"</f>
        <v>71391</v>
      </c>
      <c r="AI50" t="s">
        <v>287</v>
      </c>
      <c r="AJ50" t="s">
        <v>414</v>
      </c>
      <c r="AK50" t="s">
        <v>301</v>
      </c>
      <c r="AL50" t="s">
        <v>415</v>
      </c>
      <c r="AM50" t="s">
        <v>416</v>
      </c>
      <c r="AN50" t="s">
        <v>417</v>
      </c>
      <c r="AO50" t="s">
        <v>399</v>
      </c>
      <c r="AP50" t="s">
        <v>400</v>
      </c>
      <c r="AQ50" s="5">
        <v>75231</v>
      </c>
      <c r="AR50" t="s">
        <v>128</v>
      </c>
      <c r="AS50"/>
      <c r="AT50" s="4">
        <v>12145265665</v>
      </c>
      <c r="AU50"/>
      <c r="AV50" t="s">
        <v>418</v>
      </c>
      <c r="AW50" t="s">
        <v>419</v>
      </c>
      <c r="AX50" t="s">
        <v>131</v>
      </c>
      <c r="AY50" t="s">
        <v>131</v>
      </c>
      <c r="AZ50" t="s">
        <v>131</v>
      </c>
      <c r="BA50" t="s">
        <v>131</v>
      </c>
      <c r="BB50" t="s">
        <v>131</v>
      </c>
      <c r="BC50" t="s">
        <v>131</v>
      </c>
      <c r="BD50" t="s">
        <v>131</v>
      </c>
      <c r="BE50" t="s">
        <v>132</v>
      </c>
      <c r="BF50"/>
      <c r="BG50" s="1"/>
      <c r="BH50" t="s">
        <v>2215</v>
      </c>
      <c r="BI50" t="s">
        <v>131</v>
      </c>
      <c r="BJ50"/>
      <c r="BK50"/>
      <c r="BL50" t="s">
        <v>167</v>
      </c>
      <c r="BM50"/>
      <c r="BN50"/>
      <c r="BO50" t="s">
        <v>131</v>
      </c>
      <c r="BP50" t="s">
        <v>134</v>
      </c>
      <c r="BQ50" t="s">
        <v>131</v>
      </c>
      <c r="BR50"/>
      <c r="BS50" t="str">
        <f t="shared" si="4"/>
        <v>N/A</v>
      </c>
      <c r="BT50" t="s">
        <v>131</v>
      </c>
      <c r="BU50"/>
      <c r="BV50" t="str">
        <f>""</f>
        <v/>
      </c>
      <c r="BW50" t="s">
        <v>135</v>
      </c>
      <c r="BX50" t="str">
        <f>""</f>
        <v/>
      </c>
      <c r="BY50" t="str">
        <f>""</f>
        <v/>
      </c>
      <c r="BZ50" t="str">
        <f>""</f>
        <v/>
      </c>
      <c r="CA50" t="str">
        <f>"Must be able to lift 50 lbs, work in adverse weather conditions.
Must pass a pre-employment drug test paid by employer."</f>
        <v>Must be able to lift 50 lbs, work in adverse weather conditions.
Must pass a pre-employment drug test paid by employer.</v>
      </c>
      <c r="CB50" t="s">
        <v>131</v>
      </c>
      <c r="CC50"/>
      <c r="CD50"/>
      <c r="CE50"/>
      <c r="CF50" t="s">
        <v>131</v>
      </c>
      <c r="CG50"/>
      <c r="CH50" t="str">
        <f>""</f>
        <v/>
      </c>
      <c r="CI50" t="s">
        <v>131</v>
      </c>
      <c r="CJ50"/>
      <c r="CK50" t="s">
        <v>131</v>
      </c>
      <c r="CL50" t="str">
        <f>""</f>
        <v/>
      </c>
      <c r="CM50" t="str">
        <f>""</f>
        <v/>
      </c>
      <c r="CN50" t="str">
        <f>""</f>
        <v/>
      </c>
      <c r="CO50" t="str">
        <f>""</f>
        <v/>
      </c>
      <c r="CP50" t="str">
        <f t="shared" si="5"/>
        <v>37-3011.00</v>
      </c>
      <c r="CQ50" t="s">
        <v>920</v>
      </c>
      <c r="CR50"/>
      <c r="CS50" t="s">
        <v>131</v>
      </c>
      <c r="CT50"/>
      <c r="CU50" t="s">
        <v>17009</v>
      </c>
      <c r="CV50"/>
      <c r="CW50" t="s">
        <v>17010</v>
      </c>
      <c r="CX50" t="s">
        <v>397</v>
      </c>
      <c r="CY50"/>
      <c r="CZ50" s="3" t="str">
        <f>"71901"</f>
        <v>71901</v>
      </c>
      <c r="DA50" t="s">
        <v>131</v>
      </c>
      <c r="DB50" t="str">
        <f t="shared" si="6"/>
        <v>37-3011</v>
      </c>
      <c r="DC50" t="s">
        <v>920</v>
      </c>
      <c r="DD50" t="s">
        <v>134</v>
      </c>
      <c r="DE50" t="s">
        <v>134</v>
      </c>
      <c r="DF50" t="str">
        <f>""</f>
        <v/>
      </c>
      <c r="DG50"/>
      <c r="DH50" s="6">
        <v>11.92</v>
      </c>
      <c r="DI50" t="s">
        <v>344</v>
      </c>
      <c r="DJ50"/>
      <c r="DK50" t="s">
        <v>345</v>
      </c>
      <c r="DL50"/>
      <c r="DM50"/>
      <c r="DN50"/>
      <c r="DO50"/>
      <c r="DP50"/>
      <c r="DQ50"/>
      <c r="DR50"/>
      <c r="DS50" s="6">
        <v>11.92</v>
      </c>
      <c r="DT50" t="s">
        <v>424</v>
      </c>
      <c r="DU50" s="1">
        <v>44351</v>
      </c>
      <c r="DV50" s="1">
        <v>44440</v>
      </c>
    </row>
    <row r="51" spans="1:126" s="7" customFormat="1" ht="15" customHeight="1" x14ac:dyDescent="0.35">
      <c r="A51" t="s">
        <v>16298</v>
      </c>
      <c r="B51" t="s">
        <v>318</v>
      </c>
      <c r="C51" s="1">
        <v>44320</v>
      </c>
      <c r="D51" s="1">
        <v>44351</v>
      </c>
      <c r="E51" s="1"/>
      <c r="F51" s="1"/>
      <c r="G51" s="1"/>
      <c r="H51" t="s">
        <v>319</v>
      </c>
      <c r="I51" t="s">
        <v>16299</v>
      </c>
      <c r="J51" t="s">
        <v>4830</v>
      </c>
      <c r="K51"/>
      <c r="L51" t="s">
        <v>9003</v>
      </c>
      <c r="M51" t="s">
        <v>16300</v>
      </c>
      <c r="N51"/>
      <c r="O51" t="s">
        <v>645</v>
      </c>
      <c r="P51" t="s">
        <v>1760</v>
      </c>
      <c r="Q51" s="3">
        <v>70583</v>
      </c>
      <c r="R51" t="s">
        <v>128</v>
      </c>
      <c r="S51"/>
      <c r="T51" s="4">
        <v>13372328733</v>
      </c>
      <c r="U51"/>
      <c r="V51" t="s">
        <v>134</v>
      </c>
      <c r="W51" t="s">
        <v>16301</v>
      </c>
      <c r="X51"/>
      <c r="Y51" t="s">
        <v>16300</v>
      </c>
      <c r="Z51"/>
      <c r="AA51" t="s">
        <v>645</v>
      </c>
      <c r="AB51" t="s">
        <v>1763</v>
      </c>
      <c r="AC51" s="3" t="str">
        <f>"70583"</f>
        <v>70583</v>
      </c>
      <c r="AD51" t="s">
        <v>128</v>
      </c>
      <c r="AE51"/>
      <c r="AF51" s="4">
        <v>13372328733</v>
      </c>
      <c r="AG51"/>
      <c r="AH51" t="str">
        <f>"56173"</f>
        <v>56173</v>
      </c>
      <c r="AI51" t="s">
        <v>287</v>
      </c>
      <c r="AJ51" t="s">
        <v>414</v>
      </c>
      <c r="AK51" t="s">
        <v>301</v>
      </c>
      <c r="AL51" t="s">
        <v>415</v>
      </c>
      <c r="AM51" t="s">
        <v>416</v>
      </c>
      <c r="AN51" t="s">
        <v>417</v>
      </c>
      <c r="AO51" t="s">
        <v>399</v>
      </c>
      <c r="AP51" t="s">
        <v>400</v>
      </c>
      <c r="AQ51" s="5">
        <v>75231</v>
      </c>
      <c r="AR51" t="s">
        <v>128</v>
      </c>
      <c r="AS51"/>
      <c r="AT51" s="4">
        <v>12145265665</v>
      </c>
      <c r="AU51"/>
      <c r="AV51" t="s">
        <v>418</v>
      </c>
      <c r="AW51" t="s">
        <v>419</v>
      </c>
      <c r="AX51" t="s">
        <v>131</v>
      </c>
      <c r="AY51" t="s">
        <v>131</v>
      </c>
      <c r="AZ51" t="s">
        <v>131</v>
      </c>
      <c r="BA51" t="s">
        <v>131</v>
      </c>
      <c r="BB51" t="s">
        <v>131</v>
      </c>
      <c r="BC51" t="s">
        <v>131</v>
      </c>
      <c r="BD51" t="s">
        <v>131</v>
      </c>
      <c r="BE51" t="s">
        <v>132</v>
      </c>
      <c r="BF51"/>
      <c r="BG51" s="1"/>
      <c r="BH51" t="s">
        <v>2215</v>
      </c>
      <c r="BI51" t="s">
        <v>131</v>
      </c>
      <c r="BJ51"/>
      <c r="BK51"/>
      <c r="BL51" t="s">
        <v>167</v>
      </c>
      <c r="BM51"/>
      <c r="BN51"/>
      <c r="BO51" t="s">
        <v>131</v>
      </c>
      <c r="BP51" t="s">
        <v>134</v>
      </c>
      <c r="BQ51" t="s">
        <v>131</v>
      </c>
      <c r="BR51"/>
      <c r="BS51" t="str">
        <f t="shared" si="4"/>
        <v>N/A</v>
      </c>
      <c r="BT51" t="s">
        <v>131</v>
      </c>
      <c r="BU51"/>
      <c r="BV51" t="str">
        <f>""</f>
        <v/>
      </c>
      <c r="BW51" t="s">
        <v>135</v>
      </c>
      <c r="BX51" t="str">
        <f>""</f>
        <v/>
      </c>
      <c r="BY51" t="str">
        <f>""</f>
        <v/>
      </c>
      <c r="BZ51" t="str">
        <f>""</f>
        <v/>
      </c>
      <c r="CA51" t="str">
        <f>"Must be able to lift 50 lbs, work in adverse weather conditions.
Must pass a post-employment drug test paid by employer."</f>
        <v>Must be able to lift 50 lbs, work in adverse weather conditions.
Must pass a post-employment drug test paid by employer.</v>
      </c>
      <c r="CB51" t="s">
        <v>131</v>
      </c>
      <c r="CC51"/>
      <c r="CD51"/>
      <c r="CE51"/>
      <c r="CF51" t="s">
        <v>131</v>
      </c>
      <c r="CG51"/>
      <c r="CH51" t="str">
        <f>""</f>
        <v/>
      </c>
      <c r="CI51" t="s">
        <v>131</v>
      </c>
      <c r="CJ51"/>
      <c r="CK51" t="s">
        <v>131</v>
      </c>
      <c r="CL51" t="str">
        <f>""</f>
        <v/>
      </c>
      <c r="CM51" t="str">
        <f>""</f>
        <v/>
      </c>
      <c r="CN51" t="str">
        <f>""</f>
        <v/>
      </c>
      <c r="CO51" t="str">
        <f>""</f>
        <v/>
      </c>
      <c r="CP51" t="str">
        <f t="shared" si="5"/>
        <v>37-3011.00</v>
      </c>
      <c r="CQ51" t="s">
        <v>920</v>
      </c>
      <c r="CR51"/>
      <c r="CS51" t="s">
        <v>131</v>
      </c>
      <c r="CT51"/>
      <c r="CU51" t="s">
        <v>16300</v>
      </c>
      <c r="CV51"/>
      <c r="CW51" t="s">
        <v>645</v>
      </c>
      <c r="CX51" t="s">
        <v>1763</v>
      </c>
      <c r="CY51"/>
      <c r="CZ51" s="3" t="str">
        <f>"70583"</f>
        <v>70583</v>
      </c>
      <c r="DA51" t="s">
        <v>135</v>
      </c>
      <c r="DB51" t="str">
        <f t="shared" si="6"/>
        <v>37-3011</v>
      </c>
      <c r="DC51" t="s">
        <v>920</v>
      </c>
      <c r="DD51" t="s">
        <v>134</v>
      </c>
      <c r="DE51" t="s">
        <v>134</v>
      </c>
      <c r="DF51" t="str">
        <f>""</f>
        <v/>
      </c>
      <c r="DG51"/>
      <c r="DH51" s="6">
        <v>13.71</v>
      </c>
      <c r="DI51" t="s">
        <v>344</v>
      </c>
      <c r="DJ51"/>
      <c r="DK51" t="s">
        <v>345</v>
      </c>
      <c r="DL51"/>
      <c r="DM51"/>
      <c r="DN51"/>
      <c r="DO51"/>
      <c r="DP51"/>
      <c r="DQ51"/>
      <c r="DR51"/>
      <c r="DS51" s="6">
        <v>13.71</v>
      </c>
      <c r="DT51" t="s">
        <v>424</v>
      </c>
      <c r="DU51" s="1">
        <v>44351</v>
      </c>
      <c r="DV51" s="1">
        <v>44440</v>
      </c>
    </row>
    <row r="52" spans="1:126" s="7" customFormat="1" ht="15" customHeight="1" x14ac:dyDescent="0.35">
      <c r="A52" t="s">
        <v>19765</v>
      </c>
      <c r="B52" t="s">
        <v>318</v>
      </c>
      <c r="C52" s="1">
        <v>44320</v>
      </c>
      <c r="D52" s="1">
        <v>44351</v>
      </c>
      <c r="E52" s="1"/>
      <c r="F52" s="1"/>
      <c r="G52" s="1"/>
      <c r="H52" t="s">
        <v>319</v>
      </c>
      <c r="I52" t="s">
        <v>8861</v>
      </c>
      <c r="J52" t="s">
        <v>4565</v>
      </c>
      <c r="K52"/>
      <c r="L52" t="s">
        <v>19766</v>
      </c>
      <c r="M52" t="s">
        <v>19767</v>
      </c>
      <c r="N52"/>
      <c r="O52" t="s">
        <v>546</v>
      </c>
      <c r="P52" t="s">
        <v>412</v>
      </c>
      <c r="Q52" s="3">
        <v>77373</v>
      </c>
      <c r="R52" t="s">
        <v>128</v>
      </c>
      <c r="S52"/>
      <c r="T52" s="4">
        <v>17576478824</v>
      </c>
      <c r="U52"/>
      <c r="V52" t="s">
        <v>134</v>
      </c>
      <c r="W52" t="s">
        <v>8863</v>
      </c>
      <c r="X52"/>
      <c r="Y52" t="s">
        <v>19767</v>
      </c>
      <c r="Z52"/>
      <c r="AA52" t="s">
        <v>546</v>
      </c>
      <c r="AB52" t="s">
        <v>400</v>
      </c>
      <c r="AC52" s="3" t="str">
        <f>"77373"</f>
        <v>77373</v>
      </c>
      <c r="AD52" t="s">
        <v>128</v>
      </c>
      <c r="AE52"/>
      <c r="AF52" s="4">
        <v>17576478824</v>
      </c>
      <c r="AG52"/>
      <c r="AH52" t="str">
        <f>"56173"</f>
        <v>56173</v>
      </c>
      <c r="AI52" t="s">
        <v>287</v>
      </c>
      <c r="AJ52" t="s">
        <v>414</v>
      </c>
      <c r="AK52" t="s">
        <v>301</v>
      </c>
      <c r="AL52" t="s">
        <v>415</v>
      </c>
      <c r="AM52" t="s">
        <v>416</v>
      </c>
      <c r="AN52" t="s">
        <v>417</v>
      </c>
      <c r="AO52" t="s">
        <v>399</v>
      </c>
      <c r="AP52" t="s">
        <v>400</v>
      </c>
      <c r="AQ52" s="5">
        <v>75231</v>
      </c>
      <c r="AR52" t="s">
        <v>128</v>
      </c>
      <c r="AS52"/>
      <c r="AT52" s="4">
        <v>12145265665</v>
      </c>
      <c r="AU52"/>
      <c r="AV52" t="s">
        <v>418</v>
      </c>
      <c r="AW52" t="s">
        <v>419</v>
      </c>
      <c r="AX52" t="s">
        <v>131</v>
      </c>
      <c r="AY52" t="s">
        <v>131</v>
      </c>
      <c r="AZ52" t="s">
        <v>131</v>
      </c>
      <c r="BA52" t="s">
        <v>131</v>
      </c>
      <c r="BB52" t="s">
        <v>131</v>
      </c>
      <c r="BC52" t="s">
        <v>131</v>
      </c>
      <c r="BD52" t="s">
        <v>131</v>
      </c>
      <c r="BE52" t="s">
        <v>132</v>
      </c>
      <c r="BF52"/>
      <c r="BG52" s="1"/>
      <c r="BH52" t="s">
        <v>2215</v>
      </c>
      <c r="BI52" t="s">
        <v>131</v>
      </c>
      <c r="BJ52"/>
      <c r="BK52"/>
      <c r="BL52" t="s">
        <v>167</v>
      </c>
      <c r="BM52"/>
      <c r="BN52"/>
      <c r="BO52" t="s">
        <v>131</v>
      </c>
      <c r="BP52" t="s">
        <v>134</v>
      </c>
      <c r="BQ52" t="s">
        <v>131</v>
      </c>
      <c r="BR52"/>
      <c r="BS52" t="str">
        <f t="shared" si="4"/>
        <v>N/A</v>
      </c>
      <c r="BT52" t="s">
        <v>131</v>
      </c>
      <c r="BU52"/>
      <c r="BV52" t="str">
        <f>""</f>
        <v/>
      </c>
      <c r="BW52" t="s">
        <v>135</v>
      </c>
      <c r="BX52" t="str">
        <f>""</f>
        <v/>
      </c>
      <c r="BY52" t="str">
        <f>""</f>
        <v/>
      </c>
      <c r="BZ52" t="str">
        <f>""</f>
        <v/>
      </c>
      <c r="CA52" t="str">
        <f>"MUST BE ABLE TO LIFT 50 LBS, WORK IN ADVERSE WEATHER CONDITIONS.
MUST BE ABLE TO PASS A POST-EMPLOYMENT DRUG TEST PAID BY THE EMPLOYER."</f>
        <v>MUST BE ABLE TO LIFT 50 LBS, WORK IN ADVERSE WEATHER CONDITIONS.
MUST BE ABLE TO PASS A POST-EMPLOYMENT DRUG TEST PAID BY THE EMPLOYER.</v>
      </c>
      <c r="CB52" t="s">
        <v>131</v>
      </c>
      <c r="CC52"/>
      <c r="CD52"/>
      <c r="CE52"/>
      <c r="CF52" t="s">
        <v>131</v>
      </c>
      <c r="CG52"/>
      <c r="CH52" t="str">
        <f>""</f>
        <v/>
      </c>
      <c r="CI52" t="s">
        <v>131</v>
      </c>
      <c r="CJ52"/>
      <c r="CK52" t="s">
        <v>131</v>
      </c>
      <c r="CL52" t="str">
        <f>""</f>
        <v/>
      </c>
      <c r="CM52" t="str">
        <f>""</f>
        <v/>
      </c>
      <c r="CN52" t="str">
        <f>""</f>
        <v/>
      </c>
      <c r="CO52" t="str">
        <f>""</f>
        <v/>
      </c>
      <c r="CP52" t="str">
        <f t="shared" si="5"/>
        <v>37-3011.00</v>
      </c>
      <c r="CQ52" t="s">
        <v>920</v>
      </c>
      <c r="CR52"/>
      <c r="CS52" t="s">
        <v>131</v>
      </c>
      <c r="CT52"/>
      <c r="CU52" t="s">
        <v>19767</v>
      </c>
      <c r="CV52"/>
      <c r="CW52" t="s">
        <v>546</v>
      </c>
      <c r="CX52" t="s">
        <v>400</v>
      </c>
      <c r="CY52"/>
      <c r="CZ52" s="3" t="str">
        <f>"77373"</f>
        <v>77373</v>
      </c>
      <c r="DA52" t="s">
        <v>135</v>
      </c>
      <c r="DB52" t="str">
        <f t="shared" si="6"/>
        <v>37-3011</v>
      </c>
      <c r="DC52" t="s">
        <v>920</v>
      </c>
      <c r="DD52" t="s">
        <v>134</v>
      </c>
      <c r="DE52" t="s">
        <v>134</v>
      </c>
      <c r="DF52" t="str">
        <f>""</f>
        <v/>
      </c>
      <c r="DG52"/>
      <c r="DH52" s="6">
        <v>13.93</v>
      </c>
      <c r="DI52" t="s">
        <v>344</v>
      </c>
      <c r="DJ52"/>
      <c r="DK52" t="s">
        <v>345</v>
      </c>
      <c r="DL52"/>
      <c r="DM52"/>
      <c r="DN52"/>
      <c r="DO52"/>
      <c r="DP52"/>
      <c r="DQ52"/>
      <c r="DR52"/>
      <c r="DS52" s="6">
        <v>13.93</v>
      </c>
      <c r="DT52" s="2" t="s">
        <v>8351</v>
      </c>
      <c r="DU52" s="1">
        <v>44351</v>
      </c>
      <c r="DV52" s="1">
        <v>44440</v>
      </c>
    </row>
    <row r="53" spans="1:126" s="7" customFormat="1" ht="15" customHeight="1" x14ac:dyDescent="0.35">
      <c r="A53" t="s">
        <v>19457</v>
      </c>
      <c r="B53" t="s">
        <v>318</v>
      </c>
      <c r="C53" s="1">
        <v>44320</v>
      </c>
      <c r="D53" s="1">
        <v>44351</v>
      </c>
      <c r="E53" s="1"/>
      <c r="F53" s="1"/>
      <c r="G53" s="1"/>
      <c r="H53" t="s">
        <v>319</v>
      </c>
      <c r="I53" t="s">
        <v>19458</v>
      </c>
      <c r="J53" t="s">
        <v>592</v>
      </c>
      <c r="K53"/>
      <c r="L53" t="s">
        <v>1105</v>
      </c>
      <c r="M53" t="s">
        <v>19459</v>
      </c>
      <c r="N53"/>
      <c r="O53" t="s">
        <v>2412</v>
      </c>
      <c r="P53" t="s">
        <v>826</v>
      </c>
      <c r="Q53" s="3">
        <v>21044</v>
      </c>
      <c r="R53" t="s">
        <v>128</v>
      </c>
      <c r="S53"/>
      <c r="T53" s="4">
        <v>12404171046</v>
      </c>
      <c r="U53"/>
      <c r="V53" t="s">
        <v>134</v>
      </c>
      <c r="W53" t="s">
        <v>19460</v>
      </c>
      <c r="X53"/>
      <c r="Y53" t="s">
        <v>19459</v>
      </c>
      <c r="Z53"/>
      <c r="AA53" t="s">
        <v>2412</v>
      </c>
      <c r="AB53" t="s">
        <v>382</v>
      </c>
      <c r="AC53" s="3" t="str">
        <f>"21044"</f>
        <v>21044</v>
      </c>
      <c r="AD53" t="s">
        <v>128</v>
      </c>
      <c r="AE53"/>
      <c r="AF53" s="4">
        <v>12404171046</v>
      </c>
      <c r="AG53"/>
      <c r="AH53" t="str">
        <f>"56173"</f>
        <v>56173</v>
      </c>
      <c r="AI53" t="s">
        <v>287</v>
      </c>
      <c r="AJ53" t="s">
        <v>414</v>
      </c>
      <c r="AK53" t="s">
        <v>301</v>
      </c>
      <c r="AL53" t="s">
        <v>415</v>
      </c>
      <c r="AM53" t="s">
        <v>416</v>
      </c>
      <c r="AN53" t="s">
        <v>417</v>
      </c>
      <c r="AO53" t="s">
        <v>399</v>
      </c>
      <c r="AP53" t="s">
        <v>400</v>
      </c>
      <c r="AQ53" s="5">
        <v>75231</v>
      </c>
      <c r="AR53" t="s">
        <v>128</v>
      </c>
      <c r="AS53"/>
      <c r="AT53" s="4">
        <v>12145265665</v>
      </c>
      <c r="AU53"/>
      <c r="AV53" t="s">
        <v>418</v>
      </c>
      <c r="AW53" t="s">
        <v>419</v>
      </c>
      <c r="AX53" t="s">
        <v>131</v>
      </c>
      <c r="AY53" t="s">
        <v>131</v>
      </c>
      <c r="AZ53" t="s">
        <v>131</v>
      </c>
      <c r="BA53" t="s">
        <v>131</v>
      </c>
      <c r="BB53" t="s">
        <v>131</v>
      </c>
      <c r="BC53" t="s">
        <v>131</v>
      </c>
      <c r="BD53" t="s">
        <v>131</v>
      </c>
      <c r="BE53" t="s">
        <v>132</v>
      </c>
      <c r="BF53"/>
      <c r="BG53" s="1"/>
      <c r="BH53" t="s">
        <v>2215</v>
      </c>
      <c r="BI53" t="s">
        <v>131</v>
      </c>
      <c r="BJ53"/>
      <c r="BK53"/>
      <c r="BL53" t="s">
        <v>167</v>
      </c>
      <c r="BM53"/>
      <c r="BN53"/>
      <c r="BO53" t="s">
        <v>131</v>
      </c>
      <c r="BP53" t="s">
        <v>134</v>
      </c>
      <c r="BQ53" t="s">
        <v>131</v>
      </c>
      <c r="BR53"/>
      <c r="BS53" t="str">
        <f t="shared" si="4"/>
        <v>N/A</v>
      </c>
      <c r="BT53" t="s">
        <v>131</v>
      </c>
      <c r="BU53"/>
      <c r="BV53" t="str">
        <f>""</f>
        <v/>
      </c>
      <c r="BW53" t="s">
        <v>135</v>
      </c>
      <c r="BX53" t="str">
        <f>""</f>
        <v/>
      </c>
      <c r="BY53" t="str">
        <f>""</f>
        <v/>
      </c>
      <c r="BZ53" t="str">
        <f>""</f>
        <v/>
      </c>
      <c r="CA53" t="str">
        <f>"Must be able to lift 50 lbs, and work in adverse weather conditions."</f>
        <v>Must be able to lift 50 lbs, and work in adverse weather conditions.</v>
      </c>
      <c r="CB53" t="s">
        <v>131</v>
      </c>
      <c r="CC53"/>
      <c r="CD53"/>
      <c r="CE53"/>
      <c r="CF53" t="s">
        <v>131</v>
      </c>
      <c r="CG53"/>
      <c r="CH53" t="str">
        <f>""</f>
        <v/>
      </c>
      <c r="CI53" t="s">
        <v>131</v>
      </c>
      <c r="CJ53"/>
      <c r="CK53" t="s">
        <v>131</v>
      </c>
      <c r="CL53" t="str">
        <f>""</f>
        <v/>
      </c>
      <c r="CM53" t="str">
        <f>""</f>
        <v/>
      </c>
      <c r="CN53" t="str">
        <f>""</f>
        <v/>
      </c>
      <c r="CO53" t="str">
        <f>""</f>
        <v/>
      </c>
      <c r="CP53" t="str">
        <f t="shared" si="5"/>
        <v>37-3011.00</v>
      </c>
      <c r="CQ53" t="s">
        <v>920</v>
      </c>
      <c r="CR53"/>
      <c r="CS53" t="s">
        <v>131</v>
      </c>
      <c r="CT53"/>
      <c r="CU53" t="s">
        <v>19459</v>
      </c>
      <c r="CV53"/>
      <c r="CW53" t="s">
        <v>2412</v>
      </c>
      <c r="CX53" t="s">
        <v>382</v>
      </c>
      <c r="CY53"/>
      <c r="CZ53" s="3" t="str">
        <f>"21044"</f>
        <v>21044</v>
      </c>
      <c r="DA53" t="s">
        <v>135</v>
      </c>
      <c r="DB53" t="str">
        <f t="shared" si="6"/>
        <v>37-3011</v>
      </c>
      <c r="DC53" t="s">
        <v>920</v>
      </c>
      <c r="DD53" t="s">
        <v>134</v>
      </c>
      <c r="DE53" t="s">
        <v>134</v>
      </c>
      <c r="DF53" t="str">
        <f>""</f>
        <v/>
      </c>
      <c r="DG53"/>
      <c r="DH53" s="6">
        <v>16.89</v>
      </c>
      <c r="DI53" t="s">
        <v>344</v>
      </c>
      <c r="DJ53"/>
      <c r="DK53" t="s">
        <v>345</v>
      </c>
      <c r="DL53"/>
      <c r="DM53"/>
      <c r="DN53"/>
      <c r="DO53"/>
      <c r="DP53"/>
      <c r="DQ53"/>
      <c r="DR53"/>
      <c r="DS53" s="6">
        <v>16.89</v>
      </c>
      <c r="DT53" s="2" t="s">
        <v>8351</v>
      </c>
      <c r="DU53" s="1">
        <v>44351</v>
      </c>
      <c r="DV53" s="1">
        <v>44440</v>
      </c>
    </row>
    <row r="54" spans="1:126" s="7" customFormat="1" ht="15" customHeight="1" x14ac:dyDescent="0.35">
      <c r="A54" t="s">
        <v>12674</v>
      </c>
      <c r="B54" t="s">
        <v>318</v>
      </c>
      <c r="C54" s="1">
        <v>44320</v>
      </c>
      <c r="D54" s="1">
        <v>44351</v>
      </c>
      <c r="E54" s="1"/>
      <c r="F54" s="1"/>
      <c r="G54" s="1"/>
      <c r="H54" t="s">
        <v>319</v>
      </c>
      <c r="I54" t="s">
        <v>12675</v>
      </c>
      <c r="J54" t="s">
        <v>618</v>
      </c>
      <c r="K54"/>
      <c r="L54" t="s">
        <v>395</v>
      </c>
      <c r="M54" t="s">
        <v>12676</v>
      </c>
      <c r="N54"/>
      <c r="O54" t="s">
        <v>11945</v>
      </c>
      <c r="P54" t="s">
        <v>256</v>
      </c>
      <c r="Q54" s="3">
        <v>63385</v>
      </c>
      <c r="R54" t="s">
        <v>128</v>
      </c>
      <c r="S54"/>
      <c r="T54" s="4">
        <v>13145178706</v>
      </c>
      <c r="U54"/>
      <c r="V54" t="s">
        <v>134</v>
      </c>
      <c r="W54" t="s">
        <v>12677</v>
      </c>
      <c r="X54"/>
      <c r="Y54" t="s">
        <v>12676</v>
      </c>
      <c r="Z54"/>
      <c r="AA54" t="s">
        <v>11945</v>
      </c>
      <c r="AB54" t="s">
        <v>258</v>
      </c>
      <c r="AC54" s="3" t="str">
        <f>"63385"</f>
        <v>63385</v>
      </c>
      <c r="AD54" t="s">
        <v>128</v>
      </c>
      <c r="AE54"/>
      <c r="AF54" s="4">
        <v>13145178706</v>
      </c>
      <c r="AG54"/>
      <c r="AH54" t="str">
        <f>"56173"</f>
        <v>56173</v>
      </c>
      <c r="AI54" t="s">
        <v>287</v>
      </c>
      <c r="AJ54" t="s">
        <v>414</v>
      </c>
      <c r="AK54" t="s">
        <v>301</v>
      </c>
      <c r="AL54" t="s">
        <v>415</v>
      </c>
      <c r="AM54" t="s">
        <v>416</v>
      </c>
      <c r="AN54" t="s">
        <v>417</v>
      </c>
      <c r="AO54" t="s">
        <v>399</v>
      </c>
      <c r="AP54" t="s">
        <v>400</v>
      </c>
      <c r="AQ54" s="5">
        <v>75231</v>
      </c>
      <c r="AR54" t="s">
        <v>128</v>
      </c>
      <c r="AS54"/>
      <c r="AT54" s="4">
        <v>12145265665</v>
      </c>
      <c r="AU54"/>
      <c r="AV54" t="s">
        <v>418</v>
      </c>
      <c r="AW54" t="s">
        <v>419</v>
      </c>
      <c r="AX54" t="s">
        <v>131</v>
      </c>
      <c r="AY54" t="s">
        <v>131</v>
      </c>
      <c r="AZ54" t="s">
        <v>131</v>
      </c>
      <c r="BA54" t="s">
        <v>131</v>
      </c>
      <c r="BB54" t="s">
        <v>131</v>
      </c>
      <c r="BC54" t="s">
        <v>131</v>
      </c>
      <c r="BD54" t="s">
        <v>131</v>
      </c>
      <c r="BE54" t="s">
        <v>132</v>
      </c>
      <c r="BF54"/>
      <c r="BG54" s="1"/>
      <c r="BH54" t="s">
        <v>2215</v>
      </c>
      <c r="BI54" t="s">
        <v>131</v>
      </c>
      <c r="BJ54"/>
      <c r="BK54"/>
      <c r="BL54" t="s">
        <v>167</v>
      </c>
      <c r="BM54"/>
      <c r="BN54"/>
      <c r="BO54" t="s">
        <v>131</v>
      </c>
      <c r="BP54" t="s">
        <v>134</v>
      </c>
      <c r="BQ54" t="s">
        <v>131</v>
      </c>
      <c r="BR54"/>
      <c r="BS54" t="str">
        <f t="shared" si="4"/>
        <v>N/A</v>
      </c>
      <c r="BT54" t="s">
        <v>131</v>
      </c>
      <c r="BU54"/>
      <c r="BV54" t="str">
        <f>""</f>
        <v/>
      </c>
      <c r="BW54" t="s">
        <v>135</v>
      </c>
      <c r="BX54" t="str">
        <f>""</f>
        <v/>
      </c>
      <c r="BY54" t="str">
        <f>""</f>
        <v/>
      </c>
      <c r="BZ54" t="str">
        <f>""</f>
        <v/>
      </c>
      <c r="CA54" t="str">
        <f>"Must be able to lift 50 lbs, work in adverse weather conditions .
Must pass a post-employment drug test paid by employer."</f>
        <v>Must be able to lift 50 lbs, work in adverse weather conditions .
Must pass a post-employment drug test paid by employer.</v>
      </c>
      <c r="CB54" t="s">
        <v>131</v>
      </c>
      <c r="CC54"/>
      <c r="CD54"/>
      <c r="CE54"/>
      <c r="CF54" t="s">
        <v>131</v>
      </c>
      <c r="CG54"/>
      <c r="CH54" t="str">
        <f>""</f>
        <v/>
      </c>
      <c r="CI54" t="s">
        <v>131</v>
      </c>
      <c r="CJ54"/>
      <c r="CK54" t="s">
        <v>131</v>
      </c>
      <c r="CL54" t="str">
        <f>""</f>
        <v/>
      </c>
      <c r="CM54" t="str">
        <f>""</f>
        <v/>
      </c>
      <c r="CN54" t="str">
        <f>""</f>
        <v/>
      </c>
      <c r="CO54" t="str">
        <f>""</f>
        <v/>
      </c>
      <c r="CP54" t="str">
        <f t="shared" si="5"/>
        <v>37-3011.00</v>
      </c>
      <c r="CQ54" t="s">
        <v>920</v>
      </c>
      <c r="CR54"/>
      <c r="CS54" t="s">
        <v>131</v>
      </c>
      <c r="CT54"/>
      <c r="CU54" t="s">
        <v>12678</v>
      </c>
      <c r="CV54"/>
      <c r="CW54" t="s">
        <v>11945</v>
      </c>
      <c r="CX54" t="s">
        <v>258</v>
      </c>
      <c r="CY54"/>
      <c r="CZ54" s="3" t="str">
        <f>"63385"</f>
        <v>63385</v>
      </c>
      <c r="DA54" t="s">
        <v>135</v>
      </c>
      <c r="DB54" t="str">
        <f t="shared" si="6"/>
        <v>37-3011</v>
      </c>
      <c r="DC54" t="s">
        <v>920</v>
      </c>
      <c r="DD54" t="s">
        <v>134</v>
      </c>
      <c r="DE54" t="s">
        <v>134</v>
      </c>
      <c r="DF54" t="str">
        <f>""</f>
        <v/>
      </c>
      <c r="DG54"/>
      <c r="DH54" s="6">
        <v>15.37</v>
      </c>
      <c r="DI54" t="s">
        <v>344</v>
      </c>
      <c r="DJ54"/>
      <c r="DK54" t="s">
        <v>345</v>
      </c>
      <c r="DL54"/>
      <c r="DM54"/>
      <c r="DN54"/>
      <c r="DO54"/>
      <c r="DP54"/>
      <c r="DQ54"/>
      <c r="DR54"/>
      <c r="DS54" s="6">
        <v>15.37</v>
      </c>
      <c r="DT54" s="2" t="s">
        <v>8351</v>
      </c>
      <c r="DU54" s="1">
        <v>44351</v>
      </c>
      <c r="DV54" s="1">
        <v>44440</v>
      </c>
    </row>
    <row r="55" spans="1:126" s="7" customFormat="1" ht="15" customHeight="1" x14ac:dyDescent="0.35">
      <c r="A55" t="s">
        <v>19379</v>
      </c>
      <c r="B55" t="s">
        <v>318</v>
      </c>
      <c r="C55" s="1">
        <v>44320</v>
      </c>
      <c r="D55" s="1">
        <v>44350</v>
      </c>
      <c r="E55" s="1"/>
      <c r="F55" s="1"/>
      <c r="G55" s="1"/>
      <c r="H55" t="s">
        <v>319</v>
      </c>
      <c r="I55" t="s">
        <v>9295</v>
      </c>
      <c r="J55" t="s">
        <v>777</v>
      </c>
      <c r="K55"/>
      <c r="L55" t="s">
        <v>1105</v>
      </c>
      <c r="M55" t="s">
        <v>19380</v>
      </c>
      <c r="N55"/>
      <c r="O55" t="s">
        <v>19381</v>
      </c>
      <c r="P55" t="s">
        <v>273</v>
      </c>
      <c r="Q55" s="3" t="s">
        <v>19382</v>
      </c>
      <c r="R55" t="s">
        <v>128</v>
      </c>
      <c r="S55"/>
      <c r="T55" s="4">
        <v>16093685556</v>
      </c>
      <c r="U55"/>
      <c r="V55" t="s">
        <v>19383</v>
      </c>
      <c r="W55" t="s">
        <v>19384</v>
      </c>
      <c r="X55"/>
      <c r="Y55" t="s">
        <v>19380</v>
      </c>
      <c r="Z55"/>
      <c r="AA55" t="s">
        <v>19381</v>
      </c>
      <c r="AB55" t="s">
        <v>276</v>
      </c>
      <c r="AC55" s="3" t="str">
        <f>"08247-1912"</f>
        <v>08247-1912</v>
      </c>
      <c r="AD55" t="s">
        <v>128</v>
      </c>
      <c r="AE55"/>
      <c r="AF55" s="4">
        <v>16093695556</v>
      </c>
      <c r="AG55"/>
      <c r="AH55" t="str">
        <f>"448140"</f>
        <v>448140</v>
      </c>
      <c r="AI55" t="s">
        <v>167</v>
      </c>
      <c r="AJ55"/>
      <c r="AK55"/>
      <c r="AL55"/>
      <c r="AM55"/>
      <c r="AN55"/>
      <c r="AO55"/>
      <c r="AP55"/>
      <c r="AQ55" s="5"/>
      <c r="AR55"/>
      <c r="AS55"/>
      <c r="AT55" s="4"/>
      <c r="AU55"/>
      <c r="AV55"/>
      <c r="AW55"/>
      <c r="AX55" t="s">
        <v>131</v>
      </c>
      <c r="AY55" t="s">
        <v>131</v>
      </c>
      <c r="AZ55" t="s">
        <v>131</v>
      </c>
      <c r="BA55" t="s">
        <v>131</v>
      </c>
      <c r="BB55" t="s">
        <v>131</v>
      </c>
      <c r="BC55" t="s">
        <v>131</v>
      </c>
      <c r="BD55" t="s">
        <v>131</v>
      </c>
      <c r="BE55" t="s">
        <v>132</v>
      </c>
      <c r="BF55"/>
      <c r="BG55" s="1"/>
      <c r="BH55" t="s">
        <v>19385</v>
      </c>
      <c r="BI55" t="s">
        <v>131</v>
      </c>
      <c r="BJ55"/>
      <c r="BK55"/>
      <c r="BL55" t="s">
        <v>401</v>
      </c>
      <c r="BM55"/>
      <c r="BN55"/>
      <c r="BO55" t="s">
        <v>131</v>
      </c>
      <c r="BP55" t="s">
        <v>134</v>
      </c>
      <c r="BQ55" t="s">
        <v>131</v>
      </c>
      <c r="BR55"/>
      <c r="BS55" t="str">
        <f t="shared" si="4"/>
        <v>N/A</v>
      </c>
      <c r="BT55" t="s">
        <v>135</v>
      </c>
      <c r="BU55">
        <v>6</v>
      </c>
      <c r="BV55" t="str">
        <f>"Work involving customer-interaction and handling of a cash register."</f>
        <v>Work involving customer-interaction and handling of a cash register.</v>
      </c>
      <c r="BW55" t="s">
        <v>131</v>
      </c>
      <c r="BX55" t="str">
        <f>""</f>
        <v/>
      </c>
      <c r="BY55" t="str">
        <f>""</f>
        <v/>
      </c>
      <c r="BZ55" t="str">
        <f>""</f>
        <v/>
      </c>
      <c r="CA55" t="str">
        <f>""</f>
        <v/>
      </c>
      <c r="CB55" t="s">
        <v>131</v>
      </c>
      <c r="CC55"/>
      <c r="CD55"/>
      <c r="CE55"/>
      <c r="CF55" t="s">
        <v>131</v>
      </c>
      <c r="CG55"/>
      <c r="CH55" t="str">
        <f>""</f>
        <v/>
      </c>
      <c r="CI55" t="s">
        <v>131</v>
      </c>
      <c r="CJ55"/>
      <c r="CK55" t="s">
        <v>131</v>
      </c>
      <c r="CL55" t="str">
        <f>""</f>
        <v/>
      </c>
      <c r="CM55" t="str">
        <f>""</f>
        <v/>
      </c>
      <c r="CN55" t="str">
        <f>""</f>
        <v/>
      </c>
      <c r="CO55" t="str">
        <f>""</f>
        <v/>
      </c>
      <c r="CP55" t="str">
        <f>"41-2031.00"</f>
        <v>41-2031.00</v>
      </c>
      <c r="CQ55" t="s">
        <v>3704</v>
      </c>
      <c r="CR55" t="s">
        <v>460</v>
      </c>
      <c r="CS55" t="s">
        <v>131</v>
      </c>
      <c r="CT55"/>
      <c r="CU55" t="s">
        <v>19380</v>
      </c>
      <c r="CV55"/>
      <c r="CW55" t="s">
        <v>19381</v>
      </c>
      <c r="CX55" t="s">
        <v>276</v>
      </c>
      <c r="CY55"/>
      <c r="CZ55" s="3" t="str">
        <f>"08247-1912"</f>
        <v>08247-1912</v>
      </c>
      <c r="DA55" t="s">
        <v>131</v>
      </c>
      <c r="DB55" t="str">
        <f>"41-2031"</f>
        <v>41-2031</v>
      </c>
      <c r="DC55" t="s">
        <v>3704</v>
      </c>
      <c r="DD55" t="s">
        <v>134</v>
      </c>
      <c r="DE55" t="s">
        <v>134</v>
      </c>
      <c r="DF55" t="str">
        <f>""</f>
        <v/>
      </c>
      <c r="DG55"/>
      <c r="DH55" s="6">
        <v>14.86</v>
      </c>
      <c r="DI55" t="s">
        <v>344</v>
      </c>
      <c r="DJ55"/>
      <c r="DK55" t="s">
        <v>345</v>
      </c>
      <c r="DL55"/>
      <c r="DM55"/>
      <c r="DN55"/>
      <c r="DO55"/>
      <c r="DP55"/>
      <c r="DQ55"/>
      <c r="DR55" t="s">
        <v>6637</v>
      </c>
      <c r="DS55" s="6">
        <v>14.86</v>
      </c>
      <c r="DT55" t="s">
        <v>3921</v>
      </c>
      <c r="DU55" s="1">
        <v>44350</v>
      </c>
      <c r="DV55" s="1">
        <v>44439</v>
      </c>
    </row>
    <row r="56" spans="1:126" s="7" customFormat="1" ht="15" customHeight="1" x14ac:dyDescent="0.35">
      <c r="A56" t="s">
        <v>19255</v>
      </c>
      <c r="B56" t="s">
        <v>318</v>
      </c>
      <c r="C56" s="1">
        <v>44320</v>
      </c>
      <c r="D56" s="1">
        <v>44350</v>
      </c>
      <c r="E56" s="1"/>
      <c r="F56" s="1"/>
      <c r="G56" s="1"/>
      <c r="H56" t="s">
        <v>319</v>
      </c>
      <c r="I56" t="s">
        <v>618</v>
      </c>
      <c r="J56" t="s">
        <v>11227</v>
      </c>
      <c r="K56" t="s">
        <v>491</v>
      </c>
      <c r="L56" t="s">
        <v>5496</v>
      </c>
      <c r="M56" t="s">
        <v>19256</v>
      </c>
      <c r="N56"/>
      <c r="O56" t="s">
        <v>9213</v>
      </c>
      <c r="P56" t="s">
        <v>412</v>
      </c>
      <c r="Q56" s="3">
        <v>77845</v>
      </c>
      <c r="R56" t="s">
        <v>128</v>
      </c>
      <c r="S56"/>
      <c r="T56" s="4">
        <v>19797768873</v>
      </c>
      <c r="U56"/>
      <c r="V56" t="s">
        <v>19257</v>
      </c>
      <c r="W56" t="s">
        <v>19258</v>
      </c>
      <c r="X56" t="s">
        <v>19259</v>
      </c>
      <c r="Y56" t="s">
        <v>19260</v>
      </c>
      <c r="Z56"/>
      <c r="AA56" t="s">
        <v>9213</v>
      </c>
      <c r="AB56" t="s">
        <v>400</v>
      </c>
      <c r="AC56" s="3" t="str">
        <f>"77845"</f>
        <v>77845</v>
      </c>
      <c r="AD56" t="s">
        <v>128</v>
      </c>
      <c r="AE56"/>
      <c r="AF56" s="4">
        <v>19797768873</v>
      </c>
      <c r="AG56"/>
      <c r="AH56" t="str">
        <f>"56173"</f>
        <v>56173</v>
      </c>
      <c r="AI56" t="s">
        <v>167</v>
      </c>
      <c r="AJ56"/>
      <c r="AK56"/>
      <c r="AL56"/>
      <c r="AM56"/>
      <c r="AN56"/>
      <c r="AO56"/>
      <c r="AP56"/>
      <c r="AQ56" s="5"/>
      <c r="AR56"/>
      <c r="AS56"/>
      <c r="AT56" s="4"/>
      <c r="AU56"/>
      <c r="AV56"/>
      <c r="AW56"/>
      <c r="AX56" t="s">
        <v>131</v>
      </c>
      <c r="AY56" t="s">
        <v>131</v>
      </c>
      <c r="AZ56" t="s">
        <v>131</v>
      </c>
      <c r="BA56" t="s">
        <v>131</v>
      </c>
      <c r="BB56" t="s">
        <v>131</v>
      </c>
      <c r="BC56" t="s">
        <v>131</v>
      </c>
      <c r="BD56" t="s">
        <v>131</v>
      </c>
      <c r="BE56" t="s">
        <v>132</v>
      </c>
      <c r="BF56"/>
      <c r="BG56" s="1"/>
      <c r="BH56" t="s">
        <v>19261</v>
      </c>
      <c r="BI56" t="s">
        <v>131</v>
      </c>
      <c r="BJ56"/>
      <c r="BK56"/>
      <c r="BL56" t="s">
        <v>167</v>
      </c>
      <c r="BM56"/>
      <c r="BN56"/>
      <c r="BO56" t="s">
        <v>131</v>
      </c>
      <c r="BP56" t="s">
        <v>134</v>
      </c>
      <c r="BQ56" t="s">
        <v>131</v>
      </c>
      <c r="BR56"/>
      <c r="BS56" t="str">
        <f t="shared" si="4"/>
        <v>N/A</v>
      </c>
      <c r="BT56" t="s">
        <v>131</v>
      </c>
      <c r="BU56"/>
      <c r="BV56" t="str">
        <f>""</f>
        <v/>
      </c>
      <c r="BW56" t="s">
        <v>131</v>
      </c>
      <c r="BX56" t="str">
        <f>""</f>
        <v/>
      </c>
      <c r="BY56" t="str">
        <f>""</f>
        <v/>
      </c>
      <c r="BZ56" t="str">
        <f>""</f>
        <v/>
      </c>
      <c r="CA56" t="str">
        <f>""</f>
        <v/>
      </c>
      <c r="CB56" t="s">
        <v>131</v>
      </c>
      <c r="CC56"/>
      <c r="CD56"/>
      <c r="CE56"/>
      <c r="CF56" t="s">
        <v>131</v>
      </c>
      <c r="CG56"/>
      <c r="CH56" t="str">
        <f>""</f>
        <v/>
      </c>
      <c r="CI56" t="s">
        <v>131</v>
      </c>
      <c r="CJ56"/>
      <c r="CK56" t="s">
        <v>131</v>
      </c>
      <c r="CL56" t="str">
        <f>""</f>
        <v/>
      </c>
      <c r="CM56" t="str">
        <f>""</f>
        <v/>
      </c>
      <c r="CN56" t="str">
        <f>""</f>
        <v/>
      </c>
      <c r="CO56" t="str">
        <f>""</f>
        <v/>
      </c>
      <c r="CP56" t="str">
        <f>"37-3011.00"</f>
        <v>37-3011.00</v>
      </c>
      <c r="CQ56" t="s">
        <v>920</v>
      </c>
      <c r="CR56"/>
      <c r="CS56" t="s">
        <v>131</v>
      </c>
      <c r="CT56"/>
      <c r="CU56" t="s">
        <v>19256</v>
      </c>
      <c r="CV56"/>
      <c r="CW56" t="s">
        <v>9213</v>
      </c>
      <c r="CX56" t="s">
        <v>400</v>
      </c>
      <c r="CY56"/>
      <c r="CZ56" s="3" t="str">
        <f>"77845"</f>
        <v>77845</v>
      </c>
      <c r="DA56" t="s">
        <v>131</v>
      </c>
      <c r="DB56" t="str">
        <f>"37-3011"</f>
        <v>37-3011</v>
      </c>
      <c r="DC56" t="s">
        <v>920</v>
      </c>
      <c r="DD56" t="s">
        <v>134</v>
      </c>
      <c r="DE56" t="s">
        <v>134</v>
      </c>
      <c r="DF56" t="str">
        <f>""</f>
        <v/>
      </c>
      <c r="DG56"/>
      <c r="DH56" s="6">
        <v>14.04</v>
      </c>
      <c r="DI56" t="s">
        <v>344</v>
      </c>
      <c r="DJ56"/>
      <c r="DK56" t="s">
        <v>345</v>
      </c>
      <c r="DL56"/>
      <c r="DM56"/>
      <c r="DN56"/>
      <c r="DO56"/>
      <c r="DP56"/>
      <c r="DQ56"/>
      <c r="DR56"/>
      <c r="DS56" s="6">
        <v>14.04</v>
      </c>
      <c r="DT56" t="s">
        <v>424</v>
      </c>
      <c r="DU56" s="1">
        <v>44350</v>
      </c>
      <c r="DV56" s="1">
        <v>44439</v>
      </c>
    </row>
    <row r="57" spans="1:126" s="7" customFormat="1" ht="15" customHeight="1" x14ac:dyDescent="0.35">
      <c r="A57" t="s">
        <v>17034</v>
      </c>
      <c r="B57" t="s">
        <v>318</v>
      </c>
      <c r="C57" s="1">
        <v>44320</v>
      </c>
      <c r="D57" s="1">
        <v>44350</v>
      </c>
      <c r="E57" s="1"/>
      <c r="F57" s="1"/>
      <c r="G57" s="1"/>
      <c r="H57" t="s">
        <v>319</v>
      </c>
      <c r="I57" t="s">
        <v>7968</v>
      </c>
      <c r="J57" t="s">
        <v>745</v>
      </c>
      <c r="K57"/>
      <c r="L57" t="s">
        <v>1105</v>
      </c>
      <c r="M57" t="s">
        <v>17035</v>
      </c>
      <c r="N57"/>
      <c r="O57" t="s">
        <v>9005</v>
      </c>
      <c r="P57" t="s">
        <v>256</v>
      </c>
      <c r="Q57" s="3">
        <v>63362</v>
      </c>
      <c r="R57" t="s">
        <v>128</v>
      </c>
      <c r="S57"/>
      <c r="T57" s="4">
        <v>16362953240</v>
      </c>
      <c r="U57"/>
      <c r="V57" t="s">
        <v>17036</v>
      </c>
      <c r="W57" t="s">
        <v>17037</v>
      </c>
      <c r="X57"/>
      <c r="Y57" t="s">
        <v>17035</v>
      </c>
      <c r="Z57"/>
      <c r="AA57" t="s">
        <v>9005</v>
      </c>
      <c r="AB57" t="s">
        <v>258</v>
      </c>
      <c r="AC57" s="3" t="str">
        <f>"63362"</f>
        <v>63362</v>
      </c>
      <c r="AD57" t="s">
        <v>128</v>
      </c>
      <c r="AE57"/>
      <c r="AF57" s="4">
        <v>16362953240</v>
      </c>
      <c r="AG57"/>
      <c r="AH57" t="str">
        <f>"56173"</f>
        <v>56173</v>
      </c>
      <c r="AI57" t="s">
        <v>287</v>
      </c>
      <c r="AJ57" t="s">
        <v>2209</v>
      </c>
      <c r="AK57" t="s">
        <v>1459</v>
      </c>
      <c r="AL57" t="s">
        <v>2210</v>
      </c>
      <c r="AM57" t="s">
        <v>2211</v>
      </c>
      <c r="AN57" t="s">
        <v>788</v>
      </c>
      <c r="AO57" t="s">
        <v>2212</v>
      </c>
      <c r="AP57" t="s">
        <v>400</v>
      </c>
      <c r="AQ57" s="5">
        <v>75033</v>
      </c>
      <c r="AR57" t="s">
        <v>128</v>
      </c>
      <c r="AS57"/>
      <c r="AT57" s="4">
        <v>19727789690</v>
      </c>
      <c r="AU57"/>
      <c r="AV57" t="s">
        <v>17038</v>
      </c>
      <c r="AW57" t="s">
        <v>2214</v>
      </c>
      <c r="AX57" t="s">
        <v>131</v>
      </c>
      <c r="AY57" t="s">
        <v>131</v>
      </c>
      <c r="AZ57" t="s">
        <v>131</v>
      </c>
      <c r="BA57" t="s">
        <v>131</v>
      </c>
      <c r="BB57" t="s">
        <v>131</v>
      </c>
      <c r="BC57" t="s">
        <v>131</v>
      </c>
      <c r="BD57" t="s">
        <v>131</v>
      </c>
      <c r="BE57" t="s">
        <v>132</v>
      </c>
      <c r="BF57"/>
      <c r="BG57" s="1"/>
      <c r="BH57" t="s">
        <v>2215</v>
      </c>
      <c r="BI57" t="s">
        <v>131</v>
      </c>
      <c r="BJ57"/>
      <c r="BK57"/>
      <c r="BL57" t="s">
        <v>167</v>
      </c>
      <c r="BM57"/>
      <c r="BN57"/>
      <c r="BO57" t="s">
        <v>131</v>
      </c>
      <c r="BP57" t="s">
        <v>134</v>
      </c>
      <c r="BQ57" t="s">
        <v>131</v>
      </c>
      <c r="BR57"/>
      <c r="BS57" t="str">
        <f t="shared" si="4"/>
        <v>N/A</v>
      </c>
      <c r="BT57" t="s">
        <v>131</v>
      </c>
      <c r="BU57"/>
      <c r="BV57" t="str">
        <f>""</f>
        <v/>
      </c>
      <c r="BW57" t="s">
        <v>135</v>
      </c>
      <c r="BX57" t="str">
        <f>""</f>
        <v/>
      </c>
      <c r="BY57" t="str">
        <f>""</f>
        <v/>
      </c>
      <c r="BZ57" t="str">
        <f>""</f>
        <v/>
      </c>
      <c r="CA57" t="str">
        <f>"Post-employment, post-injury or incident drug test required, cost paid by employer. Must be able to work a 6 day schedule, including weekends and holidays as required. Applicants must complete an employment application. "</f>
        <v xml:space="preserve">Post-employment, post-injury or incident drug test required, cost paid by employer. Must be able to work a 6 day schedule, including weekends and holidays as required. Applicants must complete an employment application. </v>
      </c>
      <c r="CB57" t="s">
        <v>131</v>
      </c>
      <c r="CC57"/>
      <c r="CD57"/>
      <c r="CE57"/>
      <c r="CF57" t="s">
        <v>131</v>
      </c>
      <c r="CG57"/>
      <c r="CH57" t="str">
        <f>""</f>
        <v/>
      </c>
      <c r="CI57" t="s">
        <v>131</v>
      </c>
      <c r="CJ57"/>
      <c r="CK57" t="s">
        <v>131</v>
      </c>
      <c r="CL57" t="str">
        <f>""</f>
        <v/>
      </c>
      <c r="CM57" t="str">
        <f>""</f>
        <v/>
      </c>
      <c r="CN57" t="str">
        <f>""</f>
        <v/>
      </c>
      <c r="CO57" t="str">
        <f>""</f>
        <v/>
      </c>
      <c r="CP57" t="str">
        <f>"37-3011.00"</f>
        <v>37-3011.00</v>
      </c>
      <c r="CQ57" t="s">
        <v>920</v>
      </c>
      <c r="CR57"/>
      <c r="CS57" t="s">
        <v>135</v>
      </c>
      <c r="CT57" t="s">
        <v>4773</v>
      </c>
      <c r="CU57" t="s">
        <v>17039</v>
      </c>
      <c r="CV57"/>
      <c r="CW57" t="s">
        <v>11945</v>
      </c>
      <c r="CX57" t="s">
        <v>258</v>
      </c>
      <c r="CY57"/>
      <c r="CZ57" s="3" t="str">
        <f>"63385"</f>
        <v>63385</v>
      </c>
      <c r="DA57" t="s">
        <v>135</v>
      </c>
      <c r="DB57" t="str">
        <f>"37-3011"</f>
        <v>37-3011</v>
      </c>
      <c r="DC57" t="s">
        <v>920</v>
      </c>
      <c r="DD57" t="s">
        <v>134</v>
      </c>
      <c r="DE57" t="s">
        <v>134</v>
      </c>
      <c r="DF57" t="str">
        <f>""</f>
        <v/>
      </c>
      <c r="DG57"/>
      <c r="DH57" s="6">
        <v>15.37</v>
      </c>
      <c r="DI57" t="s">
        <v>344</v>
      </c>
      <c r="DJ57"/>
      <c r="DK57" t="s">
        <v>345</v>
      </c>
      <c r="DL57"/>
      <c r="DM57"/>
      <c r="DN57"/>
      <c r="DO57"/>
      <c r="DP57"/>
      <c r="DQ57"/>
      <c r="DR57"/>
      <c r="DS57" s="6">
        <v>15.37</v>
      </c>
      <c r="DT57" s="2" t="s">
        <v>347</v>
      </c>
      <c r="DU57" s="1">
        <v>44350</v>
      </c>
      <c r="DV57" s="1">
        <v>44439</v>
      </c>
    </row>
    <row r="58" spans="1:126" s="7" customFormat="1" ht="15" customHeight="1" x14ac:dyDescent="0.35">
      <c r="A58" t="s">
        <v>11328</v>
      </c>
      <c r="B58" t="s">
        <v>318</v>
      </c>
      <c r="C58" s="1">
        <v>44320</v>
      </c>
      <c r="D58" s="1">
        <v>44350</v>
      </c>
      <c r="E58" s="1"/>
      <c r="F58" s="1"/>
      <c r="G58" s="1"/>
      <c r="H58" t="s">
        <v>319</v>
      </c>
      <c r="I58" t="s">
        <v>2672</v>
      </c>
      <c r="J58" t="s">
        <v>1493</v>
      </c>
      <c r="K58" t="s">
        <v>2673</v>
      </c>
      <c r="L58" t="s">
        <v>460</v>
      </c>
      <c r="M58" t="s">
        <v>2674</v>
      </c>
      <c r="N58"/>
      <c r="O58" t="s">
        <v>1418</v>
      </c>
      <c r="P58" t="s">
        <v>2675</v>
      </c>
      <c r="Q58" s="3">
        <v>89511</v>
      </c>
      <c r="R58" t="s">
        <v>128</v>
      </c>
      <c r="S58"/>
      <c r="T58" s="4">
        <v>15305465950</v>
      </c>
      <c r="U58"/>
      <c r="V58" t="s">
        <v>2676</v>
      </c>
      <c r="W58" t="s">
        <v>2677</v>
      </c>
      <c r="X58" t="s">
        <v>2677</v>
      </c>
      <c r="Y58" t="s">
        <v>2674</v>
      </c>
      <c r="Z58"/>
      <c r="AA58" t="s">
        <v>1418</v>
      </c>
      <c r="AB58" t="s">
        <v>1073</v>
      </c>
      <c r="AC58" s="3" t="str">
        <f>"89511"</f>
        <v>89511</v>
      </c>
      <c r="AD58" t="s">
        <v>128</v>
      </c>
      <c r="AE58"/>
      <c r="AF58" s="4">
        <v>15305465950</v>
      </c>
      <c r="AG58"/>
      <c r="AH58" t="str">
        <f>"56121"</f>
        <v>56121</v>
      </c>
      <c r="AI58" t="s">
        <v>167</v>
      </c>
      <c r="AJ58"/>
      <c r="AK58"/>
      <c r="AL58"/>
      <c r="AM58"/>
      <c r="AN58"/>
      <c r="AO58"/>
      <c r="AP58"/>
      <c r="AQ58" s="5"/>
      <c r="AR58"/>
      <c r="AS58"/>
      <c r="AT58" s="4"/>
      <c r="AU58"/>
      <c r="AV58"/>
      <c r="AW58"/>
      <c r="AX58" t="s">
        <v>131</v>
      </c>
      <c r="AY58" t="s">
        <v>131</v>
      </c>
      <c r="AZ58" t="s">
        <v>131</v>
      </c>
      <c r="BA58" t="s">
        <v>131</v>
      </c>
      <c r="BB58" t="s">
        <v>131</v>
      </c>
      <c r="BC58" t="s">
        <v>131</v>
      </c>
      <c r="BD58" t="s">
        <v>131</v>
      </c>
      <c r="BE58" t="s">
        <v>132</v>
      </c>
      <c r="BF58"/>
      <c r="BG58" s="1"/>
      <c r="BH58" t="s">
        <v>2678</v>
      </c>
      <c r="BI58" t="s">
        <v>131</v>
      </c>
      <c r="BJ58"/>
      <c r="BK58"/>
      <c r="BL58" t="s">
        <v>167</v>
      </c>
      <c r="BM58"/>
      <c r="BN58"/>
      <c r="BO58" t="s">
        <v>131</v>
      </c>
      <c r="BP58" t="s">
        <v>134</v>
      </c>
      <c r="BQ58" t="s">
        <v>131</v>
      </c>
      <c r="BR58"/>
      <c r="BS58" t="str">
        <f t="shared" si="4"/>
        <v>N/A</v>
      </c>
      <c r="BT58" t="s">
        <v>135</v>
      </c>
      <c r="BU58">
        <v>1</v>
      </c>
      <c r="BV58" t="str">
        <f>"Snowmaker"</f>
        <v>Snowmaker</v>
      </c>
      <c r="BW58" t="s">
        <v>131</v>
      </c>
      <c r="BX58" t="str">
        <f>""</f>
        <v/>
      </c>
      <c r="BY58" t="str">
        <f>""</f>
        <v/>
      </c>
      <c r="BZ58" t="str">
        <f>""</f>
        <v/>
      </c>
      <c r="CA58" t="str">
        <f>""</f>
        <v/>
      </c>
      <c r="CB58" t="s">
        <v>131</v>
      </c>
      <c r="CC58"/>
      <c r="CD58"/>
      <c r="CE58"/>
      <c r="CF58" t="s">
        <v>131</v>
      </c>
      <c r="CG58"/>
      <c r="CH58" t="str">
        <f>""</f>
        <v/>
      </c>
      <c r="CI58" t="s">
        <v>131</v>
      </c>
      <c r="CJ58"/>
      <c r="CK58" t="s">
        <v>131</v>
      </c>
      <c r="CL58" t="str">
        <f>""</f>
        <v/>
      </c>
      <c r="CM58" t="str">
        <f>""</f>
        <v/>
      </c>
      <c r="CN58" t="str">
        <f>""</f>
        <v/>
      </c>
      <c r="CO58" t="str">
        <f>""</f>
        <v/>
      </c>
      <c r="CP58" t="str">
        <f>"51-9199.00"</f>
        <v>51-9199.00</v>
      </c>
      <c r="CQ58" t="s">
        <v>1893</v>
      </c>
      <c r="CR58" t="s">
        <v>11329</v>
      </c>
      <c r="CS58" t="s">
        <v>131</v>
      </c>
      <c r="CT58"/>
      <c r="CU58" t="s">
        <v>11330</v>
      </c>
      <c r="CV58"/>
      <c r="CW58" t="s">
        <v>11331</v>
      </c>
      <c r="CX58" t="s">
        <v>1243</v>
      </c>
      <c r="CY58"/>
      <c r="CZ58" s="3" t="str">
        <f>"83629"</f>
        <v>83629</v>
      </c>
      <c r="DA58" t="s">
        <v>131</v>
      </c>
      <c r="DB58" t="str">
        <f>"51-9199"</f>
        <v>51-9199</v>
      </c>
      <c r="DC58" t="s">
        <v>1893</v>
      </c>
      <c r="DD58" t="s">
        <v>134</v>
      </c>
      <c r="DE58" t="s">
        <v>134</v>
      </c>
      <c r="DF58" t="str">
        <f>""</f>
        <v/>
      </c>
      <c r="DG58"/>
      <c r="DH58" s="6">
        <v>14.7</v>
      </c>
      <c r="DI58" t="s">
        <v>344</v>
      </c>
      <c r="DJ58"/>
      <c r="DK58" t="s">
        <v>345</v>
      </c>
      <c r="DL58"/>
      <c r="DM58"/>
      <c r="DN58"/>
      <c r="DO58"/>
      <c r="DP58"/>
      <c r="DQ58"/>
      <c r="DR58" t="s">
        <v>11332</v>
      </c>
      <c r="DS58" s="6">
        <v>14.7</v>
      </c>
      <c r="DT58" s="2" t="s">
        <v>7961</v>
      </c>
      <c r="DU58" s="1">
        <v>44350</v>
      </c>
      <c r="DV58" s="1">
        <v>44439</v>
      </c>
    </row>
    <row r="59" spans="1:126" s="7" customFormat="1" ht="15" customHeight="1" x14ac:dyDescent="0.35">
      <c r="A59" t="s">
        <v>18626</v>
      </c>
      <c r="B59" t="s">
        <v>318</v>
      </c>
      <c r="C59" s="1">
        <v>44320</v>
      </c>
      <c r="D59" s="1">
        <v>44351</v>
      </c>
      <c r="E59" s="1"/>
      <c r="F59" s="1"/>
      <c r="G59" s="1"/>
      <c r="H59" t="s">
        <v>319</v>
      </c>
      <c r="I59" t="s">
        <v>17772</v>
      </c>
      <c r="J59" t="s">
        <v>2295</v>
      </c>
      <c r="K59"/>
      <c r="L59" t="s">
        <v>1205</v>
      </c>
      <c r="M59" t="s">
        <v>17773</v>
      </c>
      <c r="N59"/>
      <c r="O59" t="s">
        <v>17774</v>
      </c>
      <c r="P59" t="s">
        <v>1217</v>
      </c>
      <c r="Q59" s="3">
        <v>36551</v>
      </c>
      <c r="R59" t="s">
        <v>128</v>
      </c>
      <c r="S59"/>
      <c r="T59" s="4">
        <v>12519647440</v>
      </c>
      <c r="U59"/>
      <c r="V59" t="s">
        <v>134</v>
      </c>
      <c r="W59" t="s">
        <v>17775</v>
      </c>
      <c r="X59"/>
      <c r="Y59" t="s">
        <v>17773</v>
      </c>
      <c r="Z59"/>
      <c r="AA59" t="s">
        <v>17774</v>
      </c>
      <c r="AB59" t="s">
        <v>1218</v>
      </c>
      <c r="AC59" s="3" t="str">
        <f>"36551"</f>
        <v>36551</v>
      </c>
      <c r="AD59" t="s">
        <v>128</v>
      </c>
      <c r="AE59"/>
      <c r="AF59" s="4">
        <v>12519647440</v>
      </c>
      <c r="AG59"/>
      <c r="AH59" t="str">
        <f>"23814"</f>
        <v>23814</v>
      </c>
      <c r="AI59" t="s">
        <v>287</v>
      </c>
      <c r="AJ59" t="s">
        <v>414</v>
      </c>
      <c r="AK59" t="s">
        <v>301</v>
      </c>
      <c r="AL59" t="s">
        <v>415</v>
      </c>
      <c r="AM59" t="s">
        <v>416</v>
      </c>
      <c r="AN59" t="s">
        <v>417</v>
      </c>
      <c r="AO59" t="s">
        <v>399</v>
      </c>
      <c r="AP59" t="s">
        <v>400</v>
      </c>
      <c r="AQ59" s="5">
        <v>75231</v>
      </c>
      <c r="AR59" t="s">
        <v>128</v>
      </c>
      <c r="AS59"/>
      <c r="AT59" s="4">
        <v>12145265665</v>
      </c>
      <c r="AU59"/>
      <c r="AV59" t="s">
        <v>418</v>
      </c>
      <c r="AW59" t="s">
        <v>419</v>
      </c>
      <c r="AX59" t="s">
        <v>131</v>
      </c>
      <c r="AY59" t="s">
        <v>131</v>
      </c>
      <c r="AZ59" t="s">
        <v>131</v>
      </c>
      <c r="BA59" t="s">
        <v>131</v>
      </c>
      <c r="BB59" t="s">
        <v>131</v>
      </c>
      <c r="BC59" t="s">
        <v>131</v>
      </c>
      <c r="BD59" t="s">
        <v>131</v>
      </c>
      <c r="BE59" t="s">
        <v>132</v>
      </c>
      <c r="BF59"/>
      <c r="BG59" s="1"/>
      <c r="BH59" t="s">
        <v>11658</v>
      </c>
      <c r="BI59" t="s">
        <v>131</v>
      </c>
      <c r="BJ59"/>
      <c r="BK59"/>
      <c r="BL59" t="s">
        <v>167</v>
      </c>
      <c r="BM59"/>
      <c r="BN59"/>
      <c r="BO59" t="s">
        <v>131</v>
      </c>
      <c r="BP59" t="s">
        <v>134</v>
      </c>
      <c r="BQ59" t="s">
        <v>131</v>
      </c>
      <c r="BR59"/>
      <c r="BS59" t="str">
        <f t="shared" si="4"/>
        <v>N/A</v>
      </c>
      <c r="BT59" t="s">
        <v>135</v>
      </c>
      <c r="BU59">
        <v>3</v>
      </c>
      <c r="BV59" t="str">
        <f>"Refractory Materials Repairer"</f>
        <v>Refractory Materials Repairer</v>
      </c>
      <c r="BW59" t="s">
        <v>135</v>
      </c>
      <c r="BX59" t="str">
        <f>""</f>
        <v/>
      </c>
      <c r="BY59" t="str">
        <f>""</f>
        <v/>
      </c>
      <c r="BZ59" t="str">
        <f>""</f>
        <v/>
      </c>
      <c r="CA59" s="2" t="s">
        <v>18627</v>
      </c>
      <c r="CB59" t="s">
        <v>131</v>
      </c>
      <c r="CC59"/>
      <c r="CD59"/>
      <c r="CE59"/>
      <c r="CF59" t="s">
        <v>131</v>
      </c>
      <c r="CG59"/>
      <c r="CH59" t="str">
        <f>""</f>
        <v/>
      </c>
      <c r="CI59" t="s">
        <v>131</v>
      </c>
      <c r="CJ59"/>
      <c r="CK59" t="s">
        <v>131</v>
      </c>
      <c r="CL59" t="str">
        <f>""</f>
        <v/>
      </c>
      <c r="CM59" t="str">
        <f>""</f>
        <v/>
      </c>
      <c r="CN59" t="str">
        <f>""</f>
        <v/>
      </c>
      <c r="CO59" t="str">
        <f>""</f>
        <v/>
      </c>
      <c r="CP59" t="str">
        <f>"49-9045.00"</f>
        <v>49-9045.00</v>
      </c>
      <c r="CQ59" t="s">
        <v>11660</v>
      </c>
      <c r="CR59"/>
      <c r="CS59" t="s">
        <v>131</v>
      </c>
      <c r="CT59"/>
      <c r="CU59" t="s">
        <v>17777</v>
      </c>
      <c r="CV59"/>
      <c r="CW59" t="s">
        <v>17778</v>
      </c>
      <c r="CX59" t="s">
        <v>1218</v>
      </c>
      <c r="CY59"/>
      <c r="CZ59" s="3" t="str">
        <f>"35131"</f>
        <v>35131</v>
      </c>
      <c r="DA59" t="s">
        <v>131</v>
      </c>
      <c r="DB59" t="str">
        <f>"49-9045"</f>
        <v>49-9045</v>
      </c>
      <c r="DC59" t="s">
        <v>11660</v>
      </c>
      <c r="DD59" t="s">
        <v>134</v>
      </c>
      <c r="DE59" t="s">
        <v>134</v>
      </c>
      <c r="DF59" t="str">
        <f>""</f>
        <v/>
      </c>
      <c r="DG59"/>
      <c r="DH59" s="6">
        <v>22.17</v>
      </c>
      <c r="DI59" t="s">
        <v>344</v>
      </c>
      <c r="DJ59"/>
      <c r="DK59" t="s">
        <v>345</v>
      </c>
      <c r="DL59"/>
      <c r="DM59"/>
      <c r="DN59"/>
      <c r="DO59"/>
      <c r="DP59"/>
      <c r="DQ59"/>
      <c r="DR59" t="s">
        <v>4161</v>
      </c>
      <c r="DS59" s="6">
        <v>22.17</v>
      </c>
      <c r="DT59" t="s">
        <v>424</v>
      </c>
      <c r="DU59" s="1">
        <v>44351</v>
      </c>
      <c r="DV59" s="1">
        <v>44440</v>
      </c>
    </row>
    <row r="60" spans="1:126" s="7" customFormat="1" ht="15" customHeight="1" x14ac:dyDescent="0.35">
      <c r="A60" t="s">
        <v>19712</v>
      </c>
      <c r="B60" t="s">
        <v>318</v>
      </c>
      <c r="C60" s="1">
        <v>44320</v>
      </c>
      <c r="D60" s="1">
        <v>44350</v>
      </c>
      <c r="E60" s="1"/>
      <c r="F60" s="1"/>
      <c r="G60" s="1"/>
      <c r="H60" t="s">
        <v>319</v>
      </c>
      <c r="I60" t="s">
        <v>1036</v>
      </c>
      <c r="J60" t="s">
        <v>5949</v>
      </c>
      <c r="K60"/>
      <c r="L60" t="s">
        <v>14031</v>
      </c>
      <c r="M60" t="s">
        <v>18242</v>
      </c>
      <c r="N60"/>
      <c r="O60" t="s">
        <v>1145</v>
      </c>
      <c r="P60" t="s">
        <v>818</v>
      </c>
      <c r="Q60" s="3">
        <v>30504</v>
      </c>
      <c r="R60" t="s">
        <v>128</v>
      </c>
      <c r="S60" t="s">
        <v>134</v>
      </c>
      <c r="T60" s="4">
        <v>12562060170</v>
      </c>
      <c r="U60"/>
      <c r="V60" t="s">
        <v>18243</v>
      </c>
      <c r="W60" t="s">
        <v>18244</v>
      </c>
      <c r="X60"/>
      <c r="Y60" t="s">
        <v>18242</v>
      </c>
      <c r="Z60"/>
      <c r="AA60" t="s">
        <v>1145</v>
      </c>
      <c r="AB60" t="s">
        <v>643</v>
      </c>
      <c r="AC60" s="3" t="str">
        <f>"30504"</f>
        <v>30504</v>
      </c>
      <c r="AD60" t="s">
        <v>128</v>
      </c>
      <c r="AE60" t="s">
        <v>134</v>
      </c>
      <c r="AF60" s="4">
        <v>12562060170</v>
      </c>
      <c r="AG60"/>
      <c r="AH60" t="str">
        <f>"311615"</f>
        <v>311615</v>
      </c>
      <c r="AI60" t="s">
        <v>167</v>
      </c>
      <c r="AJ60"/>
      <c r="AK60"/>
      <c r="AL60"/>
      <c r="AM60"/>
      <c r="AN60"/>
      <c r="AO60"/>
      <c r="AP60"/>
      <c r="AQ60" s="5"/>
      <c r="AR60"/>
      <c r="AS60"/>
      <c r="AT60" s="4"/>
      <c r="AU60"/>
      <c r="AV60"/>
      <c r="AW60"/>
      <c r="AX60" t="s">
        <v>131</v>
      </c>
      <c r="AY60" t="s">
        <v>131</v>
      </c>
      <c r="AZ60" t="s">
        <v>131</v>
      </c>
      <c r="BA60" t="s">
        <v>131</v>
      </c>
      <c r="BB60" t="s">
        <v>131</v>
      </c>
      <c r="BC60" t="s">
        <v>131</v>
      </c>
      <c r="BD60" t="s">
        <v>131</v>
      </c>
      <c r="BE60" t="s">
        <v>132</v>
      </c>
      <c r="BF60"/>
      <c r="BG60" s="1"/>
      <c r="BH60" t="s">
        <v>19713</v>
      </c>
      <c r="BI60" t="s">
        <v>131</v>
      </c>
      <c r="BJ60"/>
      <c r="BK60"/>
      <c r="BL60" t="s">
        <v>167</v>
      </c>
      <c r="BM60"/>
      <c r="BN60"/>
      <c r="BO60" t="s">
        <v>131</v>
      </c>
      <c r="BP60" t="s">
        <v>134</v>
      </c>
      <c r="BQ60" t="s">
        <v>131</v>
      </c>
      <c r="BR60"/>
      <c r="BS60" t="str">
        <f t="shared" si="4"/>
        <v>N/A</v>
      </c>
      <c r="BT60" t="s">
        <v>131</v>
      </c>
      <c r="BU60"/>
      <c r="BV60" t="str">
        <f>""</f>
        <v/>
      </c>
      <c r="BW60" t="s">
        <v>135</v>
      </c>
      <c r="BX60" t="str">
        <f>""</f>
        <v/>
      </c>
      <c r="BY60" t="str">
        <f>""</f>
        <v/>
      </c>
      <c r="BZ60" t="str">
        <f>""</f>
        <v/>
      </c>
      <c r="CA60" t="str">
        <f>"Must be able to work different  schedules including weekends/nights shifts."</f>
        <v>Must be able to work different  schedules including weekends/nights shifts.</v>
      </c>
      <c r="CB60" t="s">
        <v>131</v>
      </c>
      <c r="CC60"/>
      <c r="CD60"/>
      <c r="CE60"/>
      <c r="CF60" t="s">
        <v>131</v>
      </c>
      <c r="CG60"/>
      <c r="CH60" t="str">
        <f>""</f>
        <v/>
      </c>
      <c r="CI60" t="s">
        <v>131</v>
      </c>
      <c r="CJ60"/>
      <c r="CK60" t="s">
        <v>131</v>
      </c>
      <c r="CL60" t="str">
        <f>""</f>
        <v/>
      </c>
      <c r="CM60" t="str">
        <f>""</f>
        <v/>
      </c>
      <c r="CN60" t="str">
        <f>""</f>
        <v/>
      </c>
      <c r="CO60" t="str">
        <f>""</f>
        <v/>
      </c>
      <c r="CP60" t="str">
        <f>"51-3022.00"</f>
        <v>51-3022.00</v>
      </c>
      <c r="CQ60" t="s">
        <v>1114</v>
      </c>
      <c r="CR60" t="s">
        <v>19713</v>
      </c>
      <c r="CS60" t="s">
        <v>131</v>
      </c>
      <c r="CT60"/>
      <c r="CU60" t="s">
        <v>19714</v>
      </c>
      <c r="CV60"/>
      <c r="CW60" t="s">
        <v>1145</v>
      </c>
      <c r="CX60" t="s">
        <v>643</v>
      </c>
      <c r="CY60"/>
      <c r="CZ60" s="3" t="str">
        <f>"30504"</f>
        <v>30504</v>
      </c>
      <c r="DA60" t="s">
        <v>131</v>
      </c>
      <c r="DB60" t="str">
        <f>"51-3022"</f>
        <v>51-3022</v>
      </c>
      <c r="DC60" t="s">
        <v>1114</v>
      </c>
      <c r="DD60" t="s">
        <v>134</v>
      </c>
      <c r="DE60" t="s">
        <v>134</v>
      </c>
      <c r="DF60" t="str">
        <f>""</f>
        <v/>
      </c>
      <c r="DG60"/>
      <c r="DH60" s="6">
        <v>11.48</v>
      </c>
      <c r="DI60" t="s">
        <v>344</v>
      </c>
      <c r="DJ60"/>
      <c r="DK60" t="s">
        <v>345</v>
      </c>
      <c r="DL60"/>
      <c r="DM60"/>
      <c r="DN60"/>
      <c r="DO60"/>
      <c r="DP60"/>
      <c r="DQ60"/>
      <c r="DR60"/>
      <c r="DS60" s="6">
        <v>11.48</v>
      </c>
      <c r="DT60" t="s">
        <v>424</v>
      </c>
      <c r="DU60" s="1">
        <v>44350</v>
      </c>
      <c r="DV60" s="1">
        <v>44439</v>
      </c>
    </row>
    <row r="61" spans="1:126" s="7" customFormat="1" ht="15" customHeight="1" x14ac:dyDescent="0.35">
      <c r="A61" t="s">
        <v>7957</v>
      </c>
      <c r="B61" t="s">
        <v>318</v>
      </c>
      <c r="C61" s="1">
        <v>44320</v>
      </c>
      <c r="D61" s="1">
        <v>44350</v>
      </c>
      <c r="E61" s="1"/>
      <c r="F61" s="1"/>
      <c r="G61" s="1"/>
      <c r="H61" t="s">
        <v>319</v>
      </c>
      <c r="I61" t="s">
        <v>2672</v>
      </c>
      <c r="J61" t="s">
        <v>1493</v>
      </c>
      <c r="K61" t="s">
        <v>2673</v>
      </c>
      <c r="L61" t="s">
        <v>460</v>
      </c>
      <c r="M61" t="s">
        <v>2674</v>
      </c>
      <c r="N61"/>
      <c r="O61" t="s">
        <v>1418</v>
      </c>
      <c r="P61" t="s">
        <v>2675</v>
      </c>
      <c r="Q61" s="3">
        <v>89511</v>
      </c>
      <c r="R61" t="s">
        <v>128</v>
      </c>
      <c r="S61"/>
      <c r="T61" s="4">
        <v>15305465950</v>
      </c>
      <c r="U61"/>
      <c r="V61" t="s">
        <v>2676</v>
      </c>
      <c r="W61" t="s">
        <v>2677</v>
      </c>
      <c r="X61" t="s">
        <v>2677</v>
      </c>
      <c r="Y61" t="s">
        <v>2674</v>
      </c>
      <c r="Z61"/>
      <c r="AA61" t="s">
        <v>1418</v>
      </c>
      <c r="AB61" t="s">
        <v>1073</v>
      </c>
      <c r="AC61" s="3" t="str">
        <f>"89511"</f>
        <v>89511</v>
      </c>
      <c r="AD61" t="s">
        <v>128</v>
      </c>
      <c r="AE61"/>
      <c r="AF61" s="4">
        <v>15305465950</v>
      </c>
      <c r="AG61"/>
      <c r="AH61" t="str">
        <f>"56121"</f>
        <v>56121</v>
      </c>
      <c r="AI61" t="s">
        <v>167</v>
      </c>
      <c r="AJ61"/>
      <c r="AK61"/>
      <c r="AL61"/>
      <c r="AM61"/>
      <c r="AN61"/>
      <c r="AO61"/>
      <c r="AP61"/>
      <c r="AQ61" s="5"/>
      <c r="AR61"/>
      <c r="AS61"/>
      <c r="AT61" s="4"/>
      <c r="AU61"/>
      <c r="AV61"/>
      <c r="AW61"/>
      <c r="AX61" t="s">
        <v>131</v>
      </c>
      <c r="AY61" t="s">
        <v>131</v>
      </c>
      <c r="AZ61" t="s">
        <v>131</v>
      </c>
      <c r="BA61" t="s">
        <v>131</v>
      </c>
      <c r="BB61" t="s">
        <v>131</v>
      </c>
      <c r="BC61" t="s">
        <v>131</v>
      </c>
      <c r="BD61" t="s">
        <v>131</v>
      </c>
      <c r="BE61" t="s">
        <v>132</v>
      </c>
      <c r="BF61"/>
      <c r="BG61" s="1"/>
      <c r="BH61" t="s">
        <v>2678</v>
      </c>
      <c r="BI61" t="s">
        <v>131</v>
      </c>
      <c r="BJ61"/>
      <c r="BK61"/>
      <c r="BL61" t="s">
        <v>167</v>
      </c>
      <c r="BM61"/>
      <c r="BN61"/>
      <c r="BO61" t="s">
        <v>131</v>
      </c>
      <c r="BP61" t="s">
        <v>134</v>
      </c>
      <c r="BQ61" t="s">
        <v>131</v>
      </c>
      <c r="BR61"/>
      <c r="BS61" t="str">
        <f t="shared" si="4"/>
        <v>N/A</v>
      </c>
      <c r="BT61" t="s">
        <v>135</v>
      </c>
      <c r="BU61">
        <v>1</v>
      </c>
      <c r="BV61" t="str">
        <f>"Snowmaker"</f>
        <v>Snowmaker</v>
      </c>
      <c r="BW61" t="s">
        <v>131</v>
      </c>
      <c r="BX61" t="str">
        <f>""</f>
        <v/>
      </c>
      <c r="BY61" t="str">
        <f>""</f>
        <v/>
      </c>
      <c r="BZ61" t="str">
        <f>""</f>
        <v/>
      </c>
      <c r="CA61" t="str">
        <f>""</f>
        <v/>
      </c>
      <c r="CB61" t="s">
        <v>131</v>
      </c>
      <c r="CC61"/>
      <c r="CD61"/>
      <c r="CE61"/>
      <c r="CF61" t="s">
        <v>131</v>
      </c>
      <c r="CG61"/>
      <c r="CH61" t="str">
        <f>""</f>
        <v/>
      </c>
      <c r="CI61" t="s">
        <v>131</v>
      </c>
      <c r="CJ61"/>
      <c r="CK61" t="s">
        <v>131</v>
      </c>
      <c r="CL61" t="str">
        <f>""</f>
        <v/>
      </c>
      <c r="CM61" t="str">
        <f>""</f>
        <v/>
      </c>
      <c r="CN61" t="str">
        <f>""</f>
        <v/>
      </c>
      <c r="CO61" t="str">
        <f>""</f>
        <v/>
      </c>
      <c r="CP61" t="str">
        <f>"51-9199.00"</f>
        <v>51-9199.00</v>
      </c>
      <c r="CQ61" t="s">
        <v>1893</v>
      </c>
      <c r="CR61" t="s">
        <v>2679</v>
      </c>
      <c r="CS61" t="s">
        <v>131</v>
      </c>
      <c r="CT61"/>
      <c r="CU61" t="s">
        <v>7958</v>
      </c>
      <c r="CV61"/>
      <c r="CW61" t="s">
        <v>7959</v>
      </c>
      <c r="CX61" t="s">
        <v>377</v>
      </c>
      <c r="CY61"/>
      <c r="CZ61" s="3" t="str">
        <f>"01201"</f>
        <v>01201</v>
      </c>
      <c r="DA61" t="s">
        <v>131</v>
      </c>
      <c r="DB61" t="str">
        <f>"51-9199"</f>
        <v>51-9199</v>
      </c>
      <c r="DC61" t="s">
        <v>1893</v>
      </c>
      <c r="DD61" t="s">
        <v>134</v>
      </c>
      <c r="DE61" t="s">
        <v>134</v>
      </c>
      <c r="DF61" t="str">
        <f>""</f>
        <v/>
      </c>
      <c r="DG61"/>
      <c r="DH61" s="6">
        <v>18.47</v>
      </c>
      <c r="DI61" t="s">
        <v>344</v>
      </c>
      <c r="DJ61"/>
      <c r="DK61" t="s">
        <v>345</v>
      </c>
      <c r="DL61"/>
      <c r="DM61"/>
      <c r="DN61"/>
      <c r="DO61"/>
      <c r="DP61"/>
      <c r="DQ61"/>
      <c r="DR61" t="s">
        <v>7960</v>
      </c>
      <c r="DS61" s="6">
        <v>18.47</v>
      </c>
      <c r="DT61" s="2" t="s">
        <v>7961</v>
      </c>
      <c r="DU61" s="1">
        <v>44350</v>
      </c>
      <c r="DV61" s="1">
        <v>44439</v>
      </c>
    </row>
    <row r="62" spans="1:126" s="7" customFormat="1" ht="15" customHeight="1" x14ac:dyDescent="0.35">
      <c r="A62" t="s">
        <v>10605</v>
      </c>
      <c r="B62" t="s">
        <v>318</v>
      </c>
      <c r="C62" s="1">
        <v>44320</v>
      </c>
      <c r="D62" s="1">
        <v>44350</v>
      </c>
      <c r="E62" s="1"/>
      <c r="F62" s="1"/>
      <c r="G62" s="1"/>
      <c r="H62" t="s">
        <v>319</v>
      </c>
      <c r="I62" t="s">
        <v>1115</v>
      </c>
      <c r="J62" t="s">
        <v>4324</v>
      </c>
      <c r="K62"/>
      <c r="L62" t="s">
        <v>1205</v>
      </c>
      <c r="M62" t="s">
        <v>8857</v>
      </c>
      <c r="N62"/>
      <c r="O62" t="s">
        <v>8858</v>
      </c>
      <c r="P62" t="s">
        <v>412</v>
      </c>
      <c r="Q62" s="3">
        <v>78573</v>
      </c>
      <c r="R62" t="s">
        <v>128</v>
      </c>
      <c r="S62"/>
      <c r="T62" s="4">
        <v>19565842189</v>
      </c>
      <c r="U62"/>
      <c r="V62" t="s">
        <v>10606</v>
      </c>
      <c r="W62" t="s">
        <v>10607</v>
      </c>
      <c r="X62"/>
      <c r="Y62" t="s">
        <v>8857</v>
      </c>
      <c r="Z62"/>
      <c r="AA62" t="s">
        <v>8858</v>
      </c>
      <c r="AB62" t="s">
        <v>400</v>
      </c>
      <c r="AC62" s="3" t="str">
        <f>"78573"</f>
        <v>78573</v>
      </c>
      <c r="AD62" t="s">
        <v>128</v>
      </c>
      <c r="AE62"/>
      <c r="AF62" s="4">
        <v>19567838911</v>
      </c>
      <c r="AG62"/>
      <c r="AH62" t="str">
        <f>"23816"</f>
        <v>23816</v>
      </c>
      <c r="AI62" t="s">
        <v>130</v>
      </c>
      <c r="AJ62" t="s">
        <v>8853</v>
      </c>
      <c r="AK62" t="s">
        <v>1116</v>
      </c>
      <c r="AL62" t="s">
        <v>8303</v>
      </c>
      <c r="AM62" t="s">
        <v>8854</v>
      </c>
      <c r="AN62" t="s">
        <v>698</v>
      </c>
      <c r="AO62" t="s">
        <v>8855</v>
      </c>
      <c r="AP62" t="s">
        <v>400</v>
      </c>
      <c r="AQ62" s="5">
        <v>78501</v>
      </c>
      <c r="AR62" t="s">
        <v>128</v>
      </c>
      <c r="AS62"/>
      <c r="AT62" s="4">
        <v>19566306020</v>
      </c>
      <c r="AU62"/>
      <c r="AV62" t="s">
        <v>8856</v>
      </c>
      <c r="AW62" t="s">
        <v>10608</v>
      </c>
      <c r="AX62" t="s">
        <v>131</v>
      </c>
      <c r="AY62" t="s">
        <v>131</v>
      </c>
      <c r="AZ62" t="s">
        <v>131</v>
      </c>
      <c r="BA62" t="s">
        <v>131</v>
      </c>
      <c r="BB62" t="s">
        <v>131</v>
      </c>
      <c r="BC62" t="s">
        <v>131</v>
      </c>
      <c r="BD62" t="s">
        <v>131</v>
      </c>
      <c r="BE62" t="s">
        <v>132</v>
      </c>
      <c r="BF62"/>
      <c r="BG62" s="1"/>
      <c r="BH62" t="s">
        <v>5601</v>
      </c>
      <c r="BI62" t="s">
        <v>131</v>
      </c>
      <c r="BJ62"/>
      <c r="BK62"/>
      <c r="BL62" t="s">
        <v>167</v>
      </c>
      <c r="BM62"/>
      <c r="BN62"/>
      <c r="BO62" t="s">
        <v>131</v>
      </c>
      <c r="BP62" t="s">
        <v>134</v>
      </c>
      <c r="BQ62" t="s">
        <v>135</v>
      </c>
      <c r="BR62">
        <v>24</v>
      </c>
      <c r="BS62" t="str">
        <f>"CCM Training and Education, Hands - on Training program, Technical Field Support, BPU Education Program and some other trainings please see attachment."</f>
        <v>CCM Training and Education, Hands - on Training program, Technical Field Support, BPU Education Program and some other trainings please see attachment.</v>
      </c>
      <c r="BT62" t="s">
        <v>135</v>
      </c>
      <c r="BU62">
        <v>24</v>
      </c>
      <c r="BV62" t="str">
        <f>"Employee needs to have expertise and experience on all types of different roof system. With certificate training they can provide a 15, 20 and 30 years of warranty to any roof."</f>
        <v>Employee needs to have expertise and experience on all types of different roof system. With certificate training they can provide a 15, 20 and 30 years of warranty to any roof.</v>
      </c>
      <c r="BW62" t="s">
        <v>135</v>
      </c>
      <c r="BX62" t="str">
        <f>""</f>
        <v/>
      </c>
      <c r="BY62" t="str">
        <f>""</f>
        <v/>
      </c>
      <c r="BZ62" t="str">
        <f>""</f>
        <v/>
      </c>
      <c r="CA62" t="str">
        <f>"The position needs to have different trainings and over one year of experience on membrane roof systems installation."</f>
        <v>The position needs to have different trainings and over one year of experience on membrane roof systems installation.</v>
      </c>
      <c r="CB62" t="s">
        <v>131</v>
      </c>
      <c r="CC62"/>
      <c r="CD62"/>
      <c r="CE62"/>
      <c r="CF62" t="s">
        <v>131</v>
      </c>
      <c r="CG62"/>
      <c r="CH62" t="str">
        <f>""</f>
        <v/>
      </c>
      <c r="CI62" t="s">
        <v>131</v>
      </c>
      <c r="CJ62"/>
      <c r="CK62" t="s">
        <v>131</v>
      </c>
      <c r="CL62" t="str">
        <f>""</f>
        <v/>
      </c>
      <c r="CM62" t="str">
        <f>""</f>
        <v/>
      </c>
      <c r="CN62" t="str">
        <f>""</f>
        <v/>
      </c>
      <c r="CO62" t="str">
        <f>""</f>
        <v/>
      </c>
      <c r="CP62" t="str">
        <f>"47-2181.00"</f>
        <v>47-2181.00</v>
      </c>
      <c r="CQ62" t="s">
        <v>5601</v>
      </c>
      <c r="CR62" t="s">
        <v>5117</v>
      </c>
      <c r="CS62" t="s">
        <v>135</v>
      </c>
      <c r="CT62" t="s">
        <v>10609</v>
      </c>
      <c r="CU62" t="s">
        <v>8857</v>
      </c>
      <c r="CV62"/>
      <c r="CW62" t="s">
        <v>8858</v>
      </c>
      <c r="CX62" t="s">
        <v>400</v>
      </c>
      <c r="CY62"/>
      <c r="CZ62" s="3" t="str">
        <f>"78573"</f>
        <v>78573</v>
      </c>
      <c r="DA62" t="s">
        <v>135</v>
      </c>
      <c r="DB62" t="str">
        <f>"47-2181"</f>
        <v>47-2181</v>
      </c>
      <c r="DC62" t="s">
        <v>5601</v>
      </c>
      <c r="DD62" t="s">
        <v>134</v>
      </c>
      <c r="DE62" t="s">
        <v>134</v>
      </c>
      <c r="DF62" t="str">
        <f>""</f>
        <v/>
      </c>
      <c r="DG62"/>
      <c r="DH62" s="6">
        <v>14.37</v>
      </c>
      <c r="DI62" t="s">
        <v>344</v>
      </c>
      <c r="DJ62"/>
      <c r="DK62" t="s">
        <v>345</v>
      </c>
      <c r="DL62"/>
      <c r="DM62"/>
      <c r="DN62"/>
      <c r="DO62"/>
      <c r="DP62"/>
      <c r="DQ62"/>
      <c r="DR62"/>
      <c r="DS62" s="6">
        <v>14.37</v>
      </c>
      <c r="DT62" t="s">
        <v>424</v>
      </c>
      <c r="DU62" s="1">
        <v>44350</v>
      </c>
      <c r="DV62" s="1">
        <v>44439</v>
      </c>
    </row>
    <row r="63" spans="1:126" s="7" customFormat="1" ht="15" customHeight="1" x14ac:dyDescent="0.35">
      <c r="A63" t="s">
        <v>15742</v>
      </c>
      <c r="B63" t="s">
        <v>318</v>
      </c>
      <c r="C63" s="1">
        <v>44320</v>
      </c>
      <c r="D63" s="1">
        <v>44356</v>
      </c>
      <c r="E63" s="1"/>
      <c r="F63" s="1"/>
      <c r="G63" s="1"/>
      <c r="H63" t="s">
        <v>319</v>
      </c>
      <c r="I63" t="s">
        <v>4718</v>
      </c>
      <c r="J63" t="s">
        <v>3607</v>
      </c>
      <c r="K63"/>
      <c r="L63" t="s">
        <v>1105</v>
      </c>
      <c r="M63" t="s">
        <v>15743</v>
      </c>
      <c r="N63"/>
      <c r="O63" t="s">
        <v>7684</v>
      </c>
      <c r="P63" t="s">
        <v>857</v>
      </c>
      <c r="Q63" s="3">
        <v>85381</v>
      </c>
      <c r="R63" t="s">
        <v>128</v>
      </c>
      <c r="S63"/>
      <c r="T63" s="4">
        <v>16233269622</v>
      </c>
      <c r="U63"/>
      <c r="V63" t="s">
        <v>15744</v>
      </c>
      <c r="W63" t="s">
        <v>15745</v>
      </c>
      <c r="X63" t="s">
        <v>15746</v>
      </c>
      <c r="Y63" t="s">
        <v>15743</v>
      </c>
      <c r="Z63"/>
      <c r="AA63" t="s">
        <v>2617</v>
      </c>
      <c r="AB63" t="s">
        <v>808</v>
      </c>
      <c r="AC63" s="3" t="str">
        <f>"85831"</f>
        <v>85831</v>
      </c>
      <c r="AD63" t="s">
        <v>128</v>
      </c>
      <c r="AE63"/>
      <c r="AF63" s="4">
        <v>16233269622</v>
      </c>
      <c r="AG63"/>
      <c r="AH63" t="str">
        <f>"71399"</f>
        <v>71399</v>
      </c>
      <c r="AI63" t="s">
        <v>287</v>
      </c>
      <c r="AJ63" t="s">
        <v>2209</v>
      </c>
      <c r="AK63" t="s">
        <v>1459</v>
      </c>
      <c r="AL63" t="s">
        <v>2210</v>
      </c>
      <c r="AM63" t="s">
        <v>2211</v>
      </c>
      <c r="AN63" t="s">
        <v>788</v>
      </c>
      <c r="AO63" t="s">
        <v>2212</v>
      </c>
      <c r="AP63" t="s">
        <v>400</v>
      </c>
      <c r="AQ63" s="5">
        <v>75033</v>
      </c>
      <c r="AR63" t="s">
        <v>128</v>
      </c>
      <c r="AS63"/>
      <c r="AT63" s="4">
        <v>19727789690</v>
      </c>
      <c r="AU63"/>
      <c r="AV63" t="s">
        <v>7179</v>
      </c>
      <c r="AW63" t="s">
        <v>2214</v>
      </c>
      <c r="AX63" t="s">
        <v>131</v>
      </c>
      <c r="AY63" t="s">
        <v>131</v>
      </c>
      <c r="AZ63" t="s">
        <v>131</v>
      </c>
      <c r="BA63" t="s">
        <v>131</v>
      </c>
      <c r="BB63" t="s">
        <v>131</v>
      </c>
      <c r="BC63" t="s">
        <v>131</v>
      </c>
      <c r="BD63" t="s">
        <v>131</v>
      </c>
      <c r="BE63" t="s">
        <v>132</v>
      </c>
      <c r="BF63"/>
      <c r="BG63" s="1"/>
      <c r="BH63" t="s">
        <v>6835</v>
      </c>
      <c r="BI63" t="s">
        <v>131</v>
      </c>
      <c r="BJ63"/>
      <c r="BK63"/>
      <c r="BL63" t="s">
        <v>167</v>
      </c>
      <c r="BM63"/>
      <c r="BN63"/>
      <c r="BO63" t="s">
        <v>131</v>
      </c>
      <c r="BP63" t="s">
        <v>134</v>
      </c>
      <c r="BQ63" t="s">
        <v>131</v>
      </c>
      <c r="BR63"/>
      <c r="BS63" t="str">
        <f t="shared" ref="BS63:BS75" si="7">"N/A"</f>
        <v>N/A</v>
      </c>
      <c r="BT63" t="s">
        <v>131</v>
      </c>
      <c r="BU63"/>
      <c r="BV63" t="str">
        <f>""</f>
        <v/>
      </c>
      <c r="BW63" t="s">
        <v>135</v>
      </c>
      <c r="BX63" t="str">
        <f>""</f>
        <v/>
      </c>
      <c r="BY63" t="str">
        <f>""</f>
        <v/>
      </c>
      <c r="BZ63" t="str">
        <f>""</f>
        <v/>
      </c>
      <c r="CA63" t="s">
        <v>15747</v>
      </c>
      <c r="CB63" t="s">
        <v>131</v>
      </c>
      <c r="CC63"/>
      <c r="CD63"/>
      <c r="CE63"/>
      <c r="CF63" t="s">
        <v>131</v>
      </c>
      <c r="CG63"/>
      <c r="CH63" t="str">
        <f>""</f>
        <v/>
      </c>
      <c r="CI63" t="s">
        <v>131</v>
      </c>
      <c r="CJ63"/>
      <c r="CK63" t="s">
        <v>131</v>
      </c>
      <c r="CL63" t="str">
        <f>""</f>
        <v/>
      </c>
      <c r="CM63" t="str">
        <f>""</f>
        <v/>
      </c>
      <c r="CN63" t="str">
        <f>""</f>
        <v/>
      </c>
      <c r="CO63" t="str">
        <f>""</f>
        <v/>
      </c>
      <c r="CP63" t="str">
        <f>"39-3091.00"</f>
        <v>39-3091.00</v>
      </c>
      <c r="CQ63" t="s">
        <v>1374</v>
      </c>
      <c r="CR63"/>
      <c r="CS63" t="s">
        <v>135</v>
      </c>
      <c r="CT63" s="2" t="s">
        <v>15748</v>
      </c>
      <c r="CU63" t="s">
        <v>15743</v>
      </c>
      <c r="CV63"/>
      <c r="CW63" t="s">
        <v>7684</v>
      </c>
      <c r="CX63" t="s">
        <v>808</v>
      </c>
      <c r="CY63"/>
      <c r="CZ63" s="3" t="str">
        <f>"85381"</f>
        <v>85381</v>
      </c>
      <c r="DA63" t="s">
        <v>135</v>
      </c>
      <c r="DB63" t="str">
        <f>"39-3091"</f>
        <v>39-3091</v>
      </c>
      <c r="DC63" t="s">
        <v>1374</v>
      </c>
      <c r="DD63" t="s">
        <v>134</v>
      </c>
      <c r="DE63" t="s">
        <v>134</v>
      </c>
      <c r="DF63" t="str">
        <f>"35-3022.00"</f>
        <v>35-3022.00</v>
      </c>
      <c r="DG63" t="s">
        <v>5154</v>
      </c>
      <c r="DH63" s="6">
        <v>12.54</v>
      </c>
      <c r="DI63" t="s">
        <v>344</v>
      </c>
      <c r="DJ63"/>
      <c r="DK63" t="s">
        <v>345</v>
      </c>
      <c r="DL63"/>
      <c r="DM63"/>
      <c r="DN63"/>
      <c r="DO63"/>
      <c r="DP63"/>
      <c r="DQ63"/>
      <c r="DR63"/>
      <c r="DS63" s="6">
        <v>12.54</v>
      </c>
      <c r="DT63" t="s">
        <v>424</v>
      </c>
      <c r="DU63" s="1">
        <v>44356</v>
      </c>
      <c r="DV63" s="1">
        <v>44445</v>
      </c>
    </row>
    <row r="64" spans="1:126" s="7" customFormat="1" ht="15" customHeight="1" x14ac:dyDescent="0.35">
      <c r="A64" t="s">
        <v>15200</v>
      </c>
      <c r="B64" t="s">
        <v>318</v>
      </c>
      <c r="C64" s="1">
        <v>44320</v>
      </c>
      <c r="D64" s="1">
        <v>44350</v>
      </c>
      <c r="E64" s="1"/>
      <c r="F64" s="1"/>
      <c r="G64" s="1"/>
      <c r="H64" t="s">
        <v>319</v>
      </c>
      <c r="I64" t="s">
        <v>12991</v>
      </c>
      <c r="J64" t="s">
        <v>1540</v>
      </c>
      <c r="K64" t="s">
        <v>192</v>
      </c>
      <c r="L64" t="s">
        <v>12992</v>
      </c>
      <c r="M64" t="s">
        <v>12993</v>
      </c>
      <c r="N64"/>
      <c r="O64" t="s">
        <v>12994</v>
      </c>
      <c r="P64" t="s">
        <v>1760</v>
      </c>
      <c r="Q64" s="3">
        <v>70739</v>
      </c>
      <c r="R64" t="s">
        <v>128</v>
      </c>
      <c r="S64"/>
      <c r="T64" s="4">
        <v>12255722333</v>
      </c>
      <c r="U64"/>
      <c r="V64" t="s">
        <v>12995</v>
      </c>
      <c r="W64" t="s">
        <v>12996</v>
      </c>
      <c r="X64" t="s">
        <v>12997</v>
      </c>
      <c r="Y64" t="s">
        <v>12993</v>
      </c>
      <c r="Z64"/>
      <c r="AA64" t="s">
        <v>12994</v>
      </c>
      <c r="AB64" t="s">
        <v>1763</v>
      </c>
      <c r="AC64" s="3" t="str">
        <f>"70739"</f>
        <v>70739</v>
      </c>
      <c r="AD64" t="s">
        <v>128</v>
      </c>
      <c r="AE64"/>
      <c r="AF64" s="4">
        <v>12257522333</v>
      </c>
      <c r="AG64"/>
      <c r="AH64" t="str">
        <f>"56173"</f>
        <v>56173</v>
      </c>
      <c r="AI64" t="s">
        <v>287</v>
      </c>
      <c r="AJ64" t="s">
        <v>2304</v>
      </c>
      <c r="AK64" t="s">
        <v>5773</v>
      </c>
      <c r="AL64" t="s">
        <v>589</v>
      </c>
      <c r="AM64" t="s">
        <v>5774</v>
      </c>
      <c r="AN64" t="s">
        <v>5775</v>
      </c>
      <c r="AO64" t="s">
        <v>5776</v>
      </c>
      <c r="AP64" t="s">
        <v>1763</v>
      </c>
      <c r="AQ64" s="5">
        <v>70754</v>
      </c>
      <c r="AR64" t="s">
        <v>128</v>
      </c>
      <c r="AS64" t="s">
        <v>1763</v>
      </c>
      <c r="AT64" s="4">
        <v>12256863033</v>
      </c>
      <c r="AU64"/>
      <c r="AV64" t="s">
        <v>5777</v>
      </c>
      <c r="AW64" t="s">
        <v>5778</v>
      </c>
      <c r="AX64" t="s">
        <v>131</v>
      </c>
      <c r="AY64" t="s">
        <v>131</v>
      </c>
      <c r="AZ64" t="s">
        <v>131</v>
      </c>
      <c r="BA64" t="s">
        <v>131</v>
      </c>
      <c r="BB64" t="s">
        <v>131</v>
      </c>
      <c r="BC64" t="s">
        <v>131</v>
      </c>
      <c r="BD64" t="s">
        <v>131</v>
      </c>
      <c r="BE64" t="s">
        <v>132</v>
      </c>
      <c r="BF64"/>
      <c r="BG64" s="1"/>
      <c r="BH64" t="s">
        <v>15201</v>
      </c>
      <c r="BI64" t="s">
        <v>131</v>
      </c>
      <c r="BJ64"/>
      <c r="BK64"/>
      <c r="BL64" t="s">
        <v>167</v>
      </c>
      <c r="BM64"/>
      <c r="BN64"/>
      <c r="BO64" t="s">
        <v>131</v>
      </c>
      <c r="BP64" t="s">
        <v>134</v>
      </c>
      <c r="BQ64" t="s">
        <v>131</v>
      </c>
      <c r="BR64"/>
      <c r="BS64" t="str">
        <f t="shared" si="7"/>
        <v>N/A</v>
      </c>
      <c r="BT64" t="s">
        <v>131</v>
      </c>
      <c r="BU64"/>
      <c r="BV64" t="str">
        <f>""</f>
        <v/>
      </c>
      <c r="BW64" t="s">
        <v>135</v>
      </c>
      <c r="BX64" t="str">
        <f>""</f>
        <v/>
      </c>
      <c r="BY64" t="str">
        <f>""</f>
        <v/>
      </c>
      <c r="BZ64" t="str">
        <f>""</f>
        <v/>
      </c>
      <c r="CA64" s="2" t="s">
        <v>15202</v>
      </c>
      <c r="CB64" t="s">
        <v>131</v>
      </c>
      <c r="CC64"/>
      <c r="CD64"/>
      <c r="CE64"/>
      <c r="CF64" t="s">
        <v>131</v>
      </c>
      <c r="CG64"/>
      <c r="CH64" t="str">
        <f>""</f>
        <v/>
      </c>
      <c r="CI64" t="s">
        <v>131</v>
      </c>
      <c r="CJ64"/>
      <c r="CK64" t="s">
        <v>131</v>
      </c>
      <c r="CL64" t="str">
        <f>""</f>
        <v/>
      </c>
      <c r="CM64" t="str">
        <f>""</f>
        <v/>
      </c>
      <c r="CN64" t="str">
        <f>""</f>
        <v/>
      </c>
      <c r="CO64" t="str">
        <f>""</f>
        <v/>
      </c>
      <c r="CP64" t="str">
        <f>"27-1026.00"</f>
        <v>27-1026.00</v>
      </c>
      <c r="CQ64" t="s">
        <v>5560</v>
      </c>
      <c r="CR64"/>
      <c r="CS64" t="s">
        <v>135</v>
      </c>
      <c r="CT64" s="2" t="s">
        <v>15203</v>
      </c>
      <c r="CU64" t="s">
        <v>12993</v>
      </c>
      <c r="CV64"/>
      <c r="CW64" t="s">
        <v>12994</v>
      </c>
      <c r="CX64" t="s">
        <v>1763</v>
      </c>
      <c r="CY64"/>
      <c r="CZ64" s="3" t="str">
        <f>"70739"</f>
        <v>70739</v>
      </c>
      <c r="DA64" t="s">
        <v>135</v>
      </c>
      <c r="DB64" t="str">
        <f>"27-1026"</f>
        <v>27-1026</v>
      </c>
      <c r="DC64" t="s">
        <v>5560</v>
      </c>
      <c r="DD64" t="s">
        <v>134</v>
      </c>
      <c r="DE64" t="s">
        <v>134</v>
      </c>
      <c r="DF64" t="str">
        <f>"37-3011.00"</f>
        <v>37-3011.00</v>
      </c>
      <c r="DG64" t="s">
        <v>920</v>
      </c>
      <c r="DH64" s="6">
        <v>16.23</v>
      </c>
      <c r="DI64" t="s">
        <v>344</v>
      </c>
      <c r="DJ64"/>
      <c r="DK64" t="s">
        <v>345</v>
      </c>
      <c r="DL64"/>
      <c r="DM64"/>
      <c r="DN64"/>
      <c r="DO64"/>
      <c r="DP64"/>
      <c r="DQ64"/>
      <c r="DR64" t="s">
        <v>3877</v>
      </c>
      <c r="DS64" s="6">
        <v>16.23</v>
      </c>
      <c r="DT64" s="2" t="s">
        <v>347</v>
      </c>
      <c r="DU64" s="1">
        <v>44350</v>
      </c>
      <c r="DV64" s="1">
        <v>44439</v>
      </c>
    </row>
    <row r="65" spans="1:126" s="7" customFormat="1" ht="15" customHeight="1" x14ac:dyDescent="0.35">
      <c r="A65" t="s">
        <v>13975</v>
      </c>
      <c r="B65" t="s">
        <v>318</v>
      </c>
      <c r="C65" s="1">
        <v>44320</v>
      </c>
      <c r="D65" s="1">
        <v>44351</v>
      </c>
      <c r="E65" s="1"/>
      <c r="F65" s="1"/>
      <c r="G65" s="1"/>
      <c r="H65" t="s">
        <v>319</v>
      </c>
      <c r="I65" t="s">
        <v>13976</v>
      </c>
      <c r="J65" t="s">
        <v>10475</v>
      </c>
      <c r="K65"/>
      <c r="L65" t="s">
        <v>6587</v>
      </c>
      <c r="M65" t="s">
        <v>13977</v>
      </c>
      <c r="N65"/>
      <c r="O65" t="s">
        <v>3577</v>
      </c>
      <c r="P65" t="s">
        <v>467</v>
      </c>
      <c r="Q65" s="3">
        <v>80216</v>
      </c>
      <c r="R65" t="s">
        <v>128</v>
      </c>
      <c r="S65"/>
      <c r="T65" s="4">
        <v>13032981100</v>
      </c>
      <c r="U65">
        <v>301</v>
      </c>
      <c r="V65" t="s">
        <v>13978</v>
      </c>
      <c r="W65" t="s">
        <v>13979</v>
      </c>
      <c r="X65" t="s">
        <v>13980</v>
      </c>
      <c r="Y65" t="s">
        <v>13981</v>
      </c>
      <c r="Z65"/>
      <c r="AA65" t="s">
        <v>3577</v>
      </c>
      <c r="AB65" t="s">
        <v>471</v>
      </c>
      <c r="AC65" s="3" t="str">
        <f>"80216"</f>
        <v>80216</v>
      </c>
      <c r="AD65" t="s">
        <v>128</v>
      </c>
      <c r="AE65"/>
      <c r="AF65" s="4">
        <v>13032981100</v>
      </c>
      <c r="AG65"/>
      <c r="AH65" t="str">
        <f>"3118"</f>
        <v>3118</v>
      </c>
      <c r="AI65" t="s">
        <v>130</v>
      </c>
      <c r="AJ65" t="s">
        <v>13982</v>
      </c>
      <c r="AK65" t="s">
        <v>1961</v>
      </c>
      <c r="AL65"/>
      <c r="AM65" t="s">
        <v>13983</v>
      </c>
      <c r="AN65" t="s">
        <v>13984</v>
      </c>
      <c r="AO65" t="s">
        <v>3577</v>
      </c>
      <c r="AP65" t="s">
        <v>471</v>
      </c>
      <c r="AQ65" s="5">
        <v>80222</v>
      </c>
      <c r="AR65" t="s">
        <v>128</v>
      </c>
      <c r="AS65"/>
      <c r="AT65" s="4">
        <v>13032452105</v>
      </c>
      <c r="AU65"/>
      <c r="AV65" t="s">
        <v>13985</v>
      </c>
      <c r="AW65" t="s">
        <v>13986</v>
      </c>
      <c r="AX65" t="s">
        <v>131</v>
      </c>
      <c r="AY65" t="s">
        <v>131</v>
      </c>
      <c r="AZ65" t="s">
        <v>131</v>
      </c>
      <c r="BA65" t="s">
        <v>131</v>
      </c>
      <c r="BB65" t="s">
        <v>131</v>
      </c>
      <c r="BC65" t="s">
        <v>131</v>
      </c>
      <c r="BD65" t="s">
        <v>131</v>
      </c>
      <c r="BE65" t="s">
        <v>132</v>
      </c>
      <c r="BF65"/>
      <c r="BG65" s="1"/>
      <c r="BH65" t="s">
        <v>1822</v>
      </c>
      <c r="BI65" t="s">
        <v>131</v>
      </c>
      <c r="BJ65"/>
      <c r="BK65"/>
      <c r="BL65" t="s">
        <v>167</v>
      </c>
      <c r="BM65"/>
      <c r="BN65"/>
      <c r="BO65" t="s">
        <v>131</v>
      </c>
      <c r="BP65" t="s">
        <v>134</v>
      </c>
      <c r="BQ65" t="s">
        <v>131</v>
      </c>
      <c r="BR65"/>
      <c r="BS65" t="str">
        <f t="shared" si="7"/>
        <v>N/A</v>
      </c>
      <c r="BT65" t="s">
        <v>135</v>
      </c>
      <c r="BU65">
        <v>3</v>
      </c>
      <c r="BV65" t="str">
        <f>"Experience in a wholesale or retail kitchen is preferred."</f>
        <v>Experience in a wholesale or retail kitchen is preferred.</v>
      </c>
      <c r="BW65" t="s">
        <v>131</v>
      </c>
      <c r="BX65" t="str">
        <f>""</f>
        <v/>
      </c>
      <c r="BY65" t="str">
        <f>""</f>
        <v/>
      </c>
      <c r="BZ65" t="str">
        <f>""</f>
        <v/>
      </c>
      <c r="CA65" t="str">
        <f>""</f>
        <v/>
      </c>
      <c r="CB65" t="s">
        <v>131</v>
      </c>
      <c r="CC65"/>
      <c r="CD65"/>
      <c r="CE65"/>
      <c r="CF65" t="s">
        <v>131</v>
      </c>
      <c r="CG65"/>
      <c r="CH65" t="str">
        <f>""</f>
        <v/>
      </c>
      <c r="CI65" t="s">
        <v>131</v>
      </c>
      <c r="CJ65"/>
      <c r="CK65" t="s">
        <v>131</v>
      </c>
      <c r="CL65" t="str">
        <f>""</f>
        <v/>
      </c>
      <c r="CM65" t="str">
        <f>""</f>
        <v/>
      </c>
      <c r="CN65" t="str">
        <f>""</f>
        <v/>
      </c>
      <c r="CO65" t="str">
        <f>""</f>
        <v/>
      </c>
      <c r="CP65" t="str">
        <f>"51-3011.00"</f>
        <v>51-3011.00</v>
      </c>
      <c r="CQ65" t="s">
        <v>1940</v>
      </c>
      <c r="CR65"/>
      <c r="CS65" t="s">
        <v>131</v>
      </c>
      <c r="CT65"/>
      <c r="CU65" t="s">
        <v>13977</v>
      </c>
      <c r="CV65"/>
      <c r="CW65" t="s">
        <v>3577</v>
      </c>
      <c r="CX65" t="s">
        <v>471</v>
      </c>
      <c r="CY65"/>
      <c r="CZ65" s="3" t="str">
        <f>"80216"</f>
        <v>80216</v>
      </c>
      <c r="DA65" t="s">
        <v>131</v>
      </c>
      <c r="DB65" t="str">
        <f>"51-3011"</f>
        <v>51-3011</v>
      </c>
      <c r="DC65" t="s">
        <v>1940</v>
      </c>
      <c r="DD65" t="s">
        <v>134</v>
      </c>
      <c r="DE65" t="s">
        <v>134</v>
      </c>
      <c r="DF65" t="str">
        <f>""</f>
        <v/>
      </c>
      <c r="DG65"/>
      <c r="DH65" s="6">
        <v>16.899999999999999</v>
      </c>
      <c r="DI65" t="s">
        <v>344</v>
      </c>
      <c r="DJ65"/>
      <c r="DK65" t="s">
        <v>345</v>
      </c>
      <c r="DL65"/>
      <c r="DM65"/>
      <c r="DN65"/>
      <c r="DO65"/>
      <c r="DP65"/>
      <c r="DQ65"/>
      <c r="DR65" t="s">
        <v>9925</v>
      </c>
      <c r="DS65" s="6">
        <v>16.899999999999999</v>
      </c>
      <c r="DT65" t="s">
        <v>424</v>
      </c>
      <c r="DU65" s="1">
        <v>44351</v>
      </c>
      <c r="DV65" s="1">
        <v>44440</v>
      </c>
    </row>
    <row r="66" spans="1:126" s="7" customFormat="1" ht="15" customHeight="1" x14ac:dyDescent="0.35">
      <c r="A66" t="s">
        <v>14682</v>
      </c>
      <c r="B66" t="s">
        <v>318</v>
      </c>
      <c r="C66" s="1">
        <v>44320</v>
      </c>
      <c r="D66" s="1">
        <v>44363</v>
      </c>
      <c r="E66" s="1"/>
      <c r="F66" s="1"/>
      <c r="G66" s="1"/>
      <c r="H66" t="s">
        <v>319</v>
      </c>
      <c r="I66" t="s">
        <v>14683</v>
      </c>
      <c r="J66" t="s">
        <v>713</v>
      </c>
      <c r="K66"/>
      <c r="L66" t="s">
        <v>1105</v>
      </c>
      <c r="M66" t="s">
        <v>14684</v>
      </c>
      <c r="N66"/>
      <c r="O66" t="s">
        <v>14685</v>
      </c>
      <c r="P66" t="s">
        <v>412</v>
      </c>
      <c r="Q66" s="3">
        <v>76008</v>
      </c>
      <c r="R66" t="s">
        <v>128</v>
      </c>
      <c r="S66"/>
      <c r="T66" s="4">
        <v>16057302030</v>
      </c>
      <c r="U66"/>
      <c r="V66" t="s">
        <v>14686</v>
      </c>
      <c r="W66" t="s">
        <v>14687</v>
      </c>
      <c r="X66"/>
      <c r="Y66" t="s">
        <v>14684</v>
      </c>
      <c r="Z66"/>
      <c r="AA66" t="s">
        <v>14685</v>
      </c>
      <c r="AB66" t="s">
        <v>400</v>
      </c>
      <c r="AC66" s="3" t="str">
        <f>"76008"</f>
        <v>76008</v>
      </c>
      <c r="AD66" t="s">
        <v>128</v>
      </c>
      <c r="AE66"/>
      <c r="AF66" s="4">
        <v>16057302030</v>
      </c>
      <c r="AG66"/>
      <c r="AH66" t="str">
        <f>"2389"</f>
        <v>2389</v>
      </c>
      <c r="AI66" t="s">
        <v>167</v>
      </c>
      <c r="AJ66"/>
      <c r="AK66"/>
      <c r="AL66"/>
      <c r="AM66"/>
      <c r="AN66"/>
      <c r="AO66"/>
      <c r="AP66"/>
      <c r="AQ66" s="5"/>
      <c r="AR66"/>
      <c r="AS66"/>
      <c r="AT66" s="4"/>
      <c r="AU66"/>
      <c r="AV66"/>
      <c r="AW66"/>
      <c r="AX66" t="s">
        <v>131</v>
      </c>
      <c r="AY66" t="s">
        <v>131</v>
      </c>
      <c r="AZ66" t="s">
        <v>131</v>
      </c>
      <c r="BA66" t="s">
        <v>131</v>
      </c>
      <c r="BB66" t="s">
        <v>131</v>
      </c>
      <c r="BC66" t="s">
        <v>131</v>
      </c>
      <c r="BD66" t="s">
        <v>131</v>
      </c>
      <c r="BE66" t="s">
        <v>132</v>
      </c>
      <c r="BF66"/>
      <c r="BG66" s="1"/>
      <c r="BH66" t="s">
        <v>5736</v>
      </c>
      <c r="BI66" t="s">
        <v>131</v>
      </c>
      <c r="BJ66"/>
      <c r="BK66"/>
      <c r="BL66" t="s">
        <v>401</v>
      </c>
      <c r="BM66"/>
      <c r="BN66"/>
      <c r="BO66" t="s">
        <v>131</v>
      </c>
      <c r="BP66" t="s">
        <v>134</v>
      </c>
      <c r="BQ66" t="s">
        <v>131</v>
      </c>
      <c r="BR66"/>
      <c r="BS66" t="str">
        <f t="shared" si="7"/>
        <v>N/A</v>
      </c>
      <c r="BT66" t="s">
        <v>131</v>
      </c>
      <c r="BU66"/>
      <c r="BV66" t="str">
        <f>""</f>
        <v/>
      </c>
      <c r="BW66" t="s">
        <v>131</v>
      </c>
      <c r="BX66" t="str">
        <f>""</f>
        <v/>
      </c>
      <c r="BY66" t="str">
        <f>""</f>
        <v/>
      </c>
      <c r="BZ66" t="str">
        <f>""</f>
        <v/>
      </c>
      <c r="CA66" t="str">
        <f>""</f>
        <v/>
      </c>
      <c r="CB66" t="s">
        <v>131</v>
      </c>
      <c r="CC66"/>
      <c r="CD66"/>
      <c r="CE66"/>
      <c r="CF66" t="s">
        <v>131</v>
      </c>
      <c r="CG66"/>
      <c r="CH66" t="str">
        <f>""</f>
        <v/>
      </c>
      <c r="CI66" t="s">
        <v>131</v>
      </c>
      <c r="CJ66"/>
      <c r="CK66" t="s">
        <v>131</v>
      </c>
      <c r="CL66" t="str">
        <f>""</f>
        <v/>
      </c>
      <c r="CM66" t="str">
        <f>""</f>
        <v/>
      </c>
      <c r="CN66" t="str">
        <f>""</f>
        <v/>
      </c>
      <c r="CO66" t="str">
        <f>""</f>
        <v/>
      </c>
      <c r="CP66" t="str">
        <f>"47-2061.00"</f>
        <v>47-2061.00</v>
      </c>
      <c r="CQ66" t="s">
        <v>393</v>
      </c>
      <c r="CR66" t="s">
        <v>5117</v>
      </c>
      <c r="CS66" t="s">
        <v>131</v>
      </c>
      <c r="CT66"/>
      <c r="CU66" t="s">
        <v>14688</v>
      </c>
      <c r="CV66"/>
      <c r="CW66" t="s">
        <v>14685</v>
      </c>
      <c r="CX66" t="s">
        <v>400</v>
      </c>
      <c r="CY66"/>
      <c r="CZ66" s="3" t="str">
        <f>"76008"</f>
        <v>76008</v>
      </c>
      <c r="DA66" t="s">
        <v>135</v>
      </c>
      <c r="DB66" t="str">
        <f>"49-9098"</f>
        <v>49-9098</v>
      </c>
      <c r="DC66" t="s">
        <v>1503</v>
      </c>
      <c r="DD66" t="s">
        <v>134</v>
      </c>
      <c r="DE66" t="s">
        <v>134</v>
      </c>
      <c r="DF66" t="str">
        <f>"49-9098.00"</f>
        <v>49-9098.00</v>
      </c>
      <c r="DG66" t="s">
        <v>1503</v>
      </c>
      <c r="DH66" s="6">
        <v>16.309999999999999</v>
      </c>
      <c r="DI66" t="s">
        <v>344</v>
      </c>
      <c r="DJ66"/>
      <c r="DK66" t="s">
        <v>345</v>
      </c>
      <c r="DL66"/>
      <c r="DM66"/>
      <c r="DN66"/>
      <c r="DO66"/>
      <c r="DP66"/>
      <c r="DQ66"/>
      <c r="DR66" t="s">
        <v>423</v>
      </c>
      <c r="DS66" s="6">
        <v>16.309999999999999</v>
      </c>
      <c r="DT66" s="2" t="s">
        <v>347</v>
      </c>
      <c r="DU66" s="1">
        <v>44363</v>
      </c>
      <c r="DV66" s="1">
        <v>44452</v>
      </c>
    </row>
    <row r="67" spans="1:126" s="7" customFormat="1" ht="15" customHeight="1" x14ac:dyDescent="0.35">
      <c r="A67" t="s">
        <v>17983</v>
      </c>
      <c r="B67" t="s">
        <v>318</v>
      </c>
      <c r="C67" s="1">
        <v>44320</v>
      </c>
      <c r="D67" s="1">
        <v>44350</v>
      </c>
      <c r="E67" s="1"/>
      <c r="F67" s="1"/>
      <c r="G67" s="1"/>
      <c r="H67" t="s">
        <v>319</v>
      </c>
      <c r="I67" t="s">
        <v>17134</v>
      </c>
      <c r="J67" t="s">
        <v>17135</v>
      </c>
      <c r="K67"/>
      <c r="L67" t="s">
        <v>1105</v>
      </c>
      <c r="M67" t="s">
        <v>17136</v>
      </c>
      <c r="N67"/>
      <c r="O67" t="s">
        <v>17137</v>
      </c>
      <c r="P67" t="s">
        <v>194</v>
      </c>
      <c r="Q67" s="3">
        <v>34428</v>
      </c>
      <c r="R67" t="s">
        <v>128</v>
      </c>
      <c r="S67"/>
      <c r="T67" s="4">
        <v>13523022725</v>
      </c>
      <c r="U67">
        <v>0</v>
      </c>
      <c r="V67" t="s">
        <v>17138</v>
      </c>
      <c r="W67" t="s">
        <v>17139</v>
      </c>
      <c r="X67"/>
      <c r="Y67" t="s">
        <v>17140</v>
      </c>
      <c r="Z67"/>
      <c r="AA67" t="s">
        <v>17137</v>
      </c>
      <c r="AB67" t="s">
        <v>195</v>
      </c>
      <c r="AC67" s="3" t="str">
        <f>"34428"</f>
        <v>34428</v>
      </c>
      <c r="AD67" t="s">
        <v>128</v>
      </c>
      <c r="AE67"/>
      <c r="AF67" s="4">
        <v>13523022725</v>
      </c>
      <c r="AG67"/>
      <c r="AH67" t="str">
        <f>"71399"</f>
        <v>71399</v>
      </c>
      <c r="AI67" t="s">
        <v>287</v>
      </c>
      <c r="AJ67" t="s">
        <v>1366</v>
      </c>
      <c r="AK67" t="s">
        <v>1071</v>
      </c>
      <c r="AL67" t="s">
        <v>1367</v>
      </c>
      <c r="AM67" t="s">
        <v>1368</v>
      </c>
      <c r="AN67" t="s">
        <v>1369</v>
      </c>
      <c r="AO67" t="s">
        <v>1370</v>
      </c>
      <c r="AP67" t="s">
        <v>400</v>
      </c>
      <c r="AQ67" s="5">
        <v>78550</v>
      </c>
      <c r="AR67" t="s">
        <v>128</v>
      </c>
      <c r="AS67" t="s">
        <v>134</v>
      </c>
      <c r="AT67" s="4">
        <v>19564408720</v>
      </c>
      <c r="AU67">
        <v>0</v>
      </c>
      <c r="AV67" t="s">
        <v>1371</v>
      </c>
      <c r="AW67" t="s">
        <v>1372</v>
      </c>
      <c r="AX67" t="s">
        <v>131</v>
      </c>
      <c r="AY67" t="s">
        <v>131</v>
      </c>
      <c r="AZ67" t="s">
        <v>131</v>
      </c>
      <c r="BA67" t="s">
        <v>131</v>
      </c>
      <c r="BB67" t="s">
        <v>131</v>
      </c>
      <c r="BC67" t="s">
        <v>131</v>
      </c>
      <c r="BD67" t="s">
        <v>131</v>
      </c>
      <c r="BE67" t="s">
        <v>132</v>
      </c>
      <c r="BF67"/>
      <c r="BG67" s="1"/>
      <c r="BH67" t="s">
        <v>17984</v>
      </c>
      <c r="BI67" t="s">
        <v>131</v>
      </c>
      <c r="BJ67"/>
      <c r="BK67"/>
      <c r="BL67" t="s">
        <v>167</v>
      </c>
      <c r="BM67"/>
      <c r="BN67"/>
      <c r="BO67" t="s">
        <v>131</v>
      </c>
      <c r="BP67" t="s">
        <v>134</v>
      </c>
      <c r="BQ67" t="s">
        <v>131</v>
      </c>
      <c r="BR67"/>
      <c r="BS67" t="str">
        <f t="shared" si="7"/>
        <v>N/A</v>
      </c>
      <c r="BT67" t="s">
        <v>131</v>
      </c>
      <c r="BU67"/>
      <c r="BV67" t="str">
        <f>""</f>
        <v/>
      </c>
      <c r="BW67" t="s">
        <v>131</v>
      </c>
      <c r="BX67" t="str">
        <f>""</f>
        <v/>
      </c>
      <c r="BY67" t="str">
        <f>""</f>
        <v/>
      </c>
      <c r="BZ67" t="str">
        <f>""</f>
        <v/>
      </c>
      <c r="CA67" t="str">
        <f>""</f>
        <v/>
      </c>
      <c r="CB67" t="s">
        <v>131</v>
      </c>
      <c r="CC67"/>
      <c r="CD67"/>
      <c r="CE67"/>
      <c r="CF67" t="s">
        <v>131</v>
      </c>
      <c r="CG67"/>
      <c r="CH67" t="str">
        <f>""</f>
        <v/>
      </c>
      <c r="CI67" t="s">
        <v>131</v>
      </c>
      <c r="CJ67"/>
      <c r="CK67" t="s">
        <v>131</v>
      </c>
      <c r="CL67" t="str">
        <f>""</f>
        <v/>
      </c>
      <c r="CM67" t="str">
        <f>""</f>
        <v/>
      </c>
      <c r="CN67" t="str">
        <f>""</f>
        <v/>
      </c>
      <c r="CO67" t="str">
        <f>""</f>
        <v/>
      </c>
      <c r="CP67" t="str">
        <f>"39-3091.00"</f>
        <v>39-3091.00</v>
      </c>
      <c r="CQ67" t="s">
        <v>1374</v>
      </c>
      <c r="CR67" t="s">
        <v>1375</v>
      </c>
      <c r="CS67" t="s">
        <v>135</v>
      </c>
      <c r="CT67" s="2" t="s">
        <v>17985</v>
      </c>
      <c r="CU67" t="s">
        <v>17986</v>
      </c>
      <c r="CV67"/>
      <c r="CW67" t="s">
        <v>17137</v>
      </c>
      <c r="CX67" t="s">
        <v>195</v>
      </c>
      <c r="CY67"/>
      <c r="CZ67" s="3" t="str">
        <f>"34428"</f>
        <v>34428</v>
      </c>
      <c r="DA67" t="s">
        <v>135</v>
      </c>
      <c r="DB67" t="str">
        <f>"35-3022"</f>
        <v>35-3022</v>
      </c>
      <c r="DC67" t="s">
        <v>5154</v>
      </c>
      <c r="DD67" t="s">
        <v>134</v>
      </c>
      <c r="DE67" t="s">
        <v>134</v>
      </c>
      <c r="DF67" t="str">
        <f>""</f>
        <v/>
      </c>
      <c r="DG67"/>
      <c r="DH67" s="6">
        <v>9.9600000000000009</v>
      </c>
      <c r="DI67" t="s">
        <v>344</v>
      </c>
      <c r="DJ67"/>
      <c r="DK67" t="s">
        <v>345</v>
      </c>
      <c r="DL67"/>
      <c r="DM67"/>
      <c r="DN67"/>
      <c r="DO67"/>
      <c r="DP67"/>
      <c r="DQ67"/>
      <c r="DR67"/>
      <c r="DS67" s="6">
        <v>11.52</v>
      </c>
      <c r="DT67" s="2" t="s">
        <v>347</v>
      </c>
      <c r="DU67" s="1">
        <v>44350</v>
      </c>
      <c r="DV67" s="1">
        <v>44439</v>
      </c>
    </row>
    <row r="68" spans="1:126" s="7" customFormat="1" ht="15" customHeight="1" x14ac:dyDescent="0.35">
      <c r="A68" t="s">
        <v>19424</v>
      </c>
      <c r="B68" t="s">
        <v>318</v>
      </c>
      <c r="C68" s="1">
        <v>44320</v>
      </c>
      <c r="D68" s="1">
        <v>44350</v>
      </c>
      <c r="E68" s="1"/>
      <c r="F68" s="1"/>
      <c r="G68" s="1"/>
      <c r="H68" t="s">
        <v>319</v>
      </c>
      <c r="I68" t="s">
        <v>19425</v>
      </c>
      <c r="J68" t="s">
        <v>1954</v>
      </c>
      <c r="K68" t="s">
        <v>355</v>
      </c>
      <c r="L68" t="s">
        <v>395</v>
      </c>
      <c r="M68" t="s">
        <v>19426</v>
      </c>
      <c r="N68"/>
      <c r="O68" t="s">
        <v>19427</v>
      </c>
      <c r="P68" t="s">
        <v>412</v>
      </c>
      <c r="Q68" s="3">
        <v>76048</v>
      </c>
      <c r="R68" t="s">
        <v>128</v>
      </c>
      <c r="S68"/>
      <c r="T68" s="4">
        <v>12144159906</v>
      </c>
      <c r="U68">
        <v>0</v>
      </c>
      <c r="V68" t="s">
        <v>19428</v>
      </c>
      <c r="W68" t="s">
        <v>19429</v>
      </c>
      <c r="X68"/>
      <c r="Y68" t="s">
        <v>19430</v>
      </c>
      <c r="Z68"/>
      <c r="AA68" t="s">
        <v>19427</v>
      </c>
      <c r="AB68" t="s">
        <v>400</v>
      </c>
      <c r="AC68" s="3" t="str">
        <f>"76048"</f>
        <v>76048</v>
      </c>
      <c r="AD68" t="s">
        <v>128</v>
      </c>
      <c r="AE68" t="s">
        <v>400</v>
      </c>
      <c r="AF68" s="4">
        <v>12144159906</v>
      </c>
      <c r="AG68">
        <v>0</v>
      </c>
      <c r="AH68" t="str">
        <f>"71399"</f>
        <v>71399</v>
      </c>
      <c r="AI68" t="s">
        <v>287</v>
      </c>
      <c r="AJ68" t="s">
        <v>1366</v>
      </c>
      <c r="AK68" t="s">
        <v>1071</v>
      </c>
      <c r="AL68" t="s">
        <v>1367</v>
      </c>
      <c r="AM68" t="s">
        <v>1368</v>
      </c>
      <c r="AN68" t="s">
        <v>1369</v>
      </c>
      <c r="AO68" t="s">
        <v>1370</v>
      </c>
      <c r="AP68" t="s">
        <v>400</v>
      </c>
      <c r="AQ68" s="5">
        <v>78550</v>
      </c>
      <c r="AR68" t="s">
        <v>128</v>
      </c>
      <c r="AS68" t="s">
        <v>134</v>
      </c>
      <c r="AT68" s="4">
        <v>19564408720</v>
      </c>
      <c r="AU68">
        <v>0</v>
      </c>
      <c r="AV68" t="s">
        <v>1371</v>
      </c>
      <c r="AW68" t="s">
        <v>1372</v>
      </c>
      <c r="AX68" t="s">
        <v>131</v>
      </c>
      <c r="AY68" t="s">
        <v>131</v>
      </c>
      <c r="AZ68" t="s">
        <v>131</v>
      </c>
      <c r="BA68" t="s">
        <v>131</v>
      </c>
      <c r="BB68" t="s">
        <v>131</v>
      </c>
      <c r="BC68" t="s">
        <v>131</v>
      </c>
      <c r="BD68" t="s">
        <v>131</v>
      </c>
      <c r="BE68" t="s">
        <v>132</v>
      </c>
      <c r="BF68"/>
      <c r="BG68" s="1"/>
      <c r="BH68" t="s">
        <v>19431</v>
      </c>
      <c r="BI68" t="s">
        <v>131</v>
      </c>
      <c r="BJ68"/>
      <c r="BK68"/>
      <c r="BL68" t="s">
        <v>167</v>
      </c>
      <c r="BM68"/>
      <c r="BN68"/>
      <c r="BO68" t="s">
        <v>131</v>
      </c>
      <c r="BP68" t="s">
        <v>134</v>
      </c>
      <c r="BQ68" t="s">
        <v>131</v>
      </c>
      <c r="BR68"/>
      <c r="BS68" t="str">
        <f t="shared" si="7"/>
        <v>N/A</v>
      </c>
      <c r="BT68" t="s">
        <v>131</v>
      </c>
      <c r="BU68"/>
      <c r="BV68" t="str">
        <f>""</f>
        <v/>
      </c>
      <c r="BW68" t="s">
        <v>131</v>
      </c>
      <c r="BX68" t="str">
        <f>""</f>
        <v/>
      </c>
      <c r="BY68" t="str">
        <f>""</f>
        <v/>
      </c>
      <c r="BZ68" t="str">
        <f>""</f>
        <v/>
      </c>
      <c r="CA68" t="str">
        <f>""</f>
        <v/>
      </c>
      <c r="CB68" t="s">
        <v>131</v>
      </c>
      <c r="CC68"/>
      <c r="CD68"/>
      <c r="CE68"/>
      <c r="CF68" t="s">
        <v>131</v>
      </c>
      <c r="CG68"/>
      <c r="CH68" t="str">
        <f>""</f>
        <v/>
      </c>
      <c r="CI68" t="s">
        <v>131</v>
      </c>
      <c r="CJ68"/>
      <c r="CK68" t="s">
        <v>131</v>
      </c>
      <c r="CL68" t="str">
        <f>""</f>
        <v/>
      </c>
      <c r="CM68" t="str">
        <f>""</f>
        <v/>
      </c>
      <c r="CN68" t="str">
        <f>""</f>
        <v/>
      </c>
      <c r="CO68" t="str">
        <f>""</f>
        <v/>
      </c>
      <c r="CP68" t="str">
        <f>"39-3091.00"</f>
        <v>39-3091.00</v>
      </c>
      <c r="CQ68" t="s">
        <v>1374</v>
      </c>
      <c r="CR68" t="s">
        <v>1375</v>
      </c>
      <c r="CS68" t="s">
        <v>135</v>
      </c>
      <c r="CT68" s="2" t="s">
        <v>19432</v>
      </c>
      <c r="CU68" t="s">
        <v>19433</v>
      </c>
      <c r="CV68"/>
      <c r="CW68" t="s">
        <v>16148</v>
      </c>
      <c r="CX68" t="s">
        <v>400</v>
      </c>
      <c r="CY68"/>
      <c r="CZ68" s="3" t="str">
        <f>"77418"</f>
        <v>77418</v>
      </c>
      <c r="DA68" t="s">
        <v>135</v>
      </c>
      <c r="DB68" t="str">
        <f>"39-3091"</f>
        <v>39-3091</v>
      </c>
      <c r="DC68" t="s">
        <v>1374</v>
      </c>
      <c r="DD68" t="s">
        <v>134</v>
      </c>
      <c r="DE68" t="s">
        <v>134</v>
      </c>
      <c r="DF68" t="str">
        <f>""</f>
        <v/>
      </c>
      <c r="DG68"/>
      <c r="DH68" s="6">
        <v>11.02</v>
      </c>
      <c r="DI68" t="s">
        <v>344</v>
      </c>
      <c r="DJ68"/>
      <c r="DK68" t="s">
        <v>345</v>
      </c>
      <c r="DL68"/>
      <c r="DM68"/>
      <c r="DN68"/>
      <c r="DO68"/>
      <c r="DP68"/>
      <c r="DQ68"/>
      <c r="DR68"/>
      <c r="DS68" s="6">
        <v>11.13</v>
      </c>
      <c r="DT68" t="s">
        <v>424</v>
      </c>
      <c r="DU68" s="1">
        <v>44350</v>
      </c>
      <c r="DV68" s="1">
        <v>44439</v>
      </c>
    </row>
    <row r="69" spans="1:126" s="7" customFormat="1" ht="15" customHeight="1" x14ac:dyDescent="0.35">
      <c r="A69" t="s">
        <v>16285</v>
      </c>
      <c r="B69" t="s">
        <v>318</v>
      </c>
      <c r="C69" s="1">
        <v>44320</v>
      </c>
      <c r="D69" s="1">
        <v>44350</v>
      </c>
      <c r="E69" s="1"/>
      <c r="F69" s="1"/>
      <c r="G69" s="1"/>
      <c r="H69" t="s">
        <v>319</v>
      </c>
      <c r="I69" t="s">
        <v>16286</v>
      </c>
      <c r="J69" t="s">
        <v>1387</v>
      </c>
      <c r="K69" t="s">
        <v>610</v>
      </c>
      <c r="L69" t="s">
        <v>16287</v>
      </c>
      <c r="M69" t="s">
        <v>16288</v>
      </c>
      <c r="N69"/>
      <c r="O69" t="s">
        <v>16289</v>
      </c>
      <c r="P69" t="s">
        <v>194</v>
      </c>
      <c r="Q69" s="3">
        <v>32456</v>
      </c>
      <c r="R69" t="s">
        <v>128</v>
      </c>
      <c r="S69"/>
      <c r="T69" s="4">
        <v>19048061627</v>
      </c>
      <c r="U69"/>
      <c r="V69" t="s">
        <v>16290</v>
      </c>
      <c r="W69" t="s">
        <v>16291</v>
      </c>
      <c r="X69"/>
      <c r="Y69" t="s">
        <v>16288</v>
      </c>
      <c r="Z69"/>
      <c r="AA69" t="s">
        <v>16289</v>
      </c>
      <c r="AB69" t="s">
        <v>195</v>
      </c>
      <c r="AC69" s="3" t="str">
        <f>"32456"</f>
        <v>32456</v>
      </c>
      <c r="AD69" t="s">
        <v>128</v>
      </c>
      <c r="AE69"/>
      <c r="AF69" s="4">
        <v>18502298229</v>
      </c>
      <c r="AG69"/>
      <c r="AH69" t="str">
        <f>"114111"</f>
        <v>114111</v>
      </c>
      <c r="AI69" t="s">
        <v>167</v>
      </c>
      <c r="AJ69"/>
      <c r="AK69"/>
      <c r="AL69"/>
      <c r="AM69"/>
      <c r="AN69"/>
      <c r="AO69"/>
      <c r="AP69"/>
      <c r="AQ69" s="5"/>
      <c r="AR69"/>
      <c r="AS69"/>
      <c r="AT69" s="4"/>
      <c r="AU69"/>
      <c r="AV69"/>
      <c r="AW69"/>
      <c r="AX69" t="s">
        <v>131</v>
      </c>
      <c r="AY69" t="s">
        <v>131</v>
      </c>
      <c r="AZ69" t="s">
        <v>131</v>
      </c>
      <c r="BA69" t="s">
        <v>131</v>
      </c>
      <c r="BB69" t="s">
        <v>131</v>
      </c>
      <c r="BC69" t="s">
        <v>131</v>
      </c>
      <c r="BD69" t="s">
        <v>131</v>
      </c>
      <c r="BE69" t="s">
        <v>132</v>
      </c>
      <c r="BF69"/>
      <c r="BG69" s="1"/>
      <c r="BH69" t="s">
        <v>16292</v>
      </c>
      <c r="BI69" t="s">
        <v>131</v>
      </c>
      <c r="BJ69"/>
      <c r="BK69"/>
      <c r="BL69" t="s">
        <v>167</v>
      </c>
      <c r="BM69"/>
      <c r="BN69"/>
      <c r="BO69" t="s">
        <v>131</v>
      </c>
      <c r="BP69" t="s">
        <v>134</v>
      </c>
      <c r="BQ69" t="s">
        <v>131</v>
      </c>
      <c r="BR69"/>
      <c r="BS69" t="str">
        <f t="shared" si="7"/>
        <v>N/A</v>
      </c>
      <c r="BT69" t="s">
        <v>135</v>
      </c>
      <c r="BU69">
        <v>1</v>
      </c>
      <c r="BV69" t="str">
        <f>"Fisherman"</f>
        <v>Fisherman</v>
      </c>
      <c r="BW69" t="s">
        <v>131</v>
      </c>
      <c r="BX69" t="str">
        <f>""</f>
        <v/>
      </c>
      <c r="BY69" t="str">
        <f>""</f>
        <v/>
      </c>
      <c r="BZ69" t="str">
        <f>""</f>
        <v/>
      </c>
      <c r="CA69" t="str">
        <f>""</f>
        <v/>
      </c>
      <c r="CB69" t="s">
        <v>131</v>
      </c>
      <c r="CC69"/>
      <c r="CD69"/>
      <c r="CE69"/>
      <c r="CF69" t="s">
        <v>131</v>
      </c>
      <c r="CG69"/>
      <c r="CH69" t="str">
        <f>""</f>
        <v/>
      </c>
      <c r="CI69" t="s">
        <v>131</v>
      </c>
      <c r="CJ69"/>
      <c r="CK69" t="s">
        <v>131</v>
      </c>
      <c r="CL69" t="str">
        <f>""</f>
        <v/>
      </c>
      <c r="CM69" t="str">
        <f>""</f>
        <v/>
      </c>
      <c r="CN69" t="str">
        <f>""</f>
        <v/>
      </c>
      <c r="CO69" t="str">
        <f>""</f>
        <v/>
      </c>
      <c r="CP69" t="str">
        <f>"45-3011.00"</f>
        <v>45-3011.00</v>
      </c>
      <c r="CQ69" t="s">
        <v>1770</v>
      </c>
      <c r="CR69" t="s">
        <v>16293</v>
      </c>
      <c r="CS69" t="s">
        <v>131</v>
      </c>
      <c r="CT69"/>
      <c r="CU69" t="s">
        <v>16288</v>
      </c>
      <c r="CV69"/>
      <c r="CW69" t="s">
        <v>16289</v>
      </c>
      <c r="CX69" t="s">
        <v>195</v>
      </c>
      <c r="CY69"/>
      <c r="CZ69" s="3" t="str">
        <f>"32456"</f>
        <v>32456</v>
      </c>
      <c r="DA69" t="s">
        <v>131</v>
      </c>
      <c r="DB69" t="str">
        <f>"45-3011"</f>
        <v>45-3011</v>
      </c>
      <c r="DC69" t="s">
        <v>1770</v>
      </c>
      <c r="DD69" t="s">
        <v>134</v>
      </c>
      <c r="DE69" t="s">
        <v>134</v>
      </c>
      <c r="DF69" t="str">
        <f>""</f>
        <v/>
      </c>
      <c r="DG69"/>
      <c r="DH69" s="6">
        <v>21.71</v>
      </c>
      <c r="DI69" t="s">
        <v>344</v>
      </c>
      <c r="DJ69"/>
      <c r="DK69" t="s">
        <v>345</v>
      </c>
      <c r="DL69"/>
      <c r="DM69"/>
      <c r="DN69"/>
      <c r="DO69"/>
      <c r="DP69"/>
      <c r="DQ69"/>
      <c r="DR69" t="s">
        <v>9850</v>
      </c>
      <c r="DS69" s="6">
        <v>21.71</v>
      </c>
      <c r="DT69" t="s">
        <v>424</v>
      </c>
      <c r="DU69" s="1">
        <v>44350</v>
      </c>
      <c r="DV69" s="1">
        <v>44439</v>
      </c>
    </row>
    <row r="70" spans="1:126" s="7" customFormat="1" ht="15" customHeight="1" x14ac:dyDescent="0.35">
      <c r="A70" t="s">
        <v>7709</v>
      </c>
      <c r="B70" t="s">
        <v>318</v>
      </c>
      <c r="C70" s="1">
        <v>44320</v>
      </c>
      <c r="D70" s="1">
        <v>44350</v>
      </c>
      <c r="E70" s="1"/>
      <c r="F70" s="1"/>
      <c r="G70" s="1"/>
      <c r="H70" t="s">
        <v>319</v>
      </c>
      <c r="I70" t="s">
        <v>7710</v>
      </c>
      <c r="J70" t="s">
        <v>645</v>
      </c>
      <c r="K70" t="s">
        <v>1253</v>
      </c>
      <c r="L70" t="s">
        <v>7711</v>
      </c>
      <c r="M70" t="s">
        <v>7712</v>
      </c>
      <c r="N70"/>
      <c r="O70" t="s">
        <v>7713</v>
      </c>
      <c r="P70" t="s">
        <v>144</v>
      </c>
      <c r="Q70" s="3">
        <v>98528</v>
      </c>
      <c r="R70" t="s">
        <v>128</v>
      </c>
      <c r="S70"/>
      <c r="T70" s="4">
        <v>13604558064</v>
      </c>
      <c r="U70"/>
      <c r="V70" t="s">
        <v>5587</v>
      </c>
      <c r="W70" t="s">
        <v>7714</v>
      </c>
      <c r="X70" t="s">
        <v>7715</v>
      </c>
      <c r="Y70" t="s">
        <v>7712</v>
      </c>
      <c r="Z70"/>
      <c r="AA70" t="s">
        <v>7713</v>
      </c>
      <c r="AB70" t="s">
        <v>149</v>
      </c>
      <c r="AC70" s="3" t="str">
        <f>"98528"</f>
        <v>98528</v>
      </c>
      <c r="AD70" t="s">
        <v>128</v>
      </c>
      <c r="AE70"/>
      <c r="AF70" s="4">
        <v>13602755345</v>
      </c>
      <c r="AG70"/>
      <c r="AH70" t="str">
        <f>"11321"</f>
        <v>11321</v>
      </c>
      <c r="AI70" t="s">
        <v>287</v>
      </c>
      <c r="AJ70" t="s">
        <v>5584</v>
      </c>
      <c r="AK70" t="s">
        <v>409</v>
      </c>
      <c r="AL70"/>
      <c r="AM70" t="s">
        <v>5585</v>
      </c>
      <c r="AN70" t="s">
        <v>7716</v>
      </c>
      <c r="AO70" t="s">
        <v>5586</v>
      </c>
      <c r="AP70" t="s">
        <v>149</v>
      </c>
      <c r="AQ70" s="5">
        <v>98516</v>
      </c>
      <c r="AR70" t="s">
        <v>128</v>
      </c>
      <c r="AS70"/>
      <c r="AT70" s="4">
        <v>13604558064</v>
      </c>
      <c r="AU70">
        <v>110</v>
      </c>
      <c r="AV70" t="s">
        <v>5587</v>
      </c>
      <c r="AW70" t="s">
        <v>5588</v>
      </c>
      <c r="AX70" t="s">
        <v>131</v>
      </c>
      <c r="AY70" t="s">
        <v>131</v>
      </c>
      <c r="AZ70" t="s">
        <v>131</v>
      </c>
      <c r="BA70" t="s">
        <v>131</v>
      </c>
      <c r="BB70" t="s">
        <v>131</v>
      </c>
      <c r="BC70" t="s">
        <v>131</v>
      </c>
      <c r="BD70" t="s">
        <v>131</v>
      </c>
      <c r="BE70" t="s">
        <v>132</v>
      </c>
      <c r="BF70"/>
      <c r="BG70" s="1"/>
      <c r="BH70" t="s">
        <v>7717</v>
      </c>
      <c r="BI70" t="s">
        <v>131</v>
      </c>
      <c r="BJ70"/>
      <c r="BK70"/>
      <c r="BL70" t="s">
        <v>167</v>
      </c>
      <c r="BM70"/>
      <c r="BN70"/>
      <c r="BO70" t="s">
        <v>131</v>
      </c>
      <c r="BP70" t="s">
        <v>134</v>
      </c>
      <c r="BQ70" t="s">
        <v>131</v>
      </c>
      <c r="BR70"/>
      <c r="BS70" t="str">
        <f t="shared" si="7"/>
        <v>N/A</v>
      </c>
      <c r="BT70" t="s">
        <v>135</v>
      </c>
      <c r="BU70">
        <v>1</v>
      </c>
      <c r="BV70" t="str">
        <f>"wreathmaking"</f>
        <v>wreathmaking</v>
      </c>
      <c r="BW70" t="s">
        <v>135</v>
      </c>
      <c r="BX70" t="str">
        <f>""</f>
        <v/>
      </c>
      <c r="BY70" t="str">
        <f>""</f>
        <v/>
      </c>
      <c r="BZ70" t="str">
        <f>""</f>
        <v/>
      </c>
      <c r="CA70" s="2" t="s">
        <v>7718</v>
      </c>
      <c r="CB70" t="s">
        <v>131</v>
      </c>
      <c r="CC70"/>
      <c r="CD70"/>
      <c r="CE70"/>
      <c r="CF70" t="s">
        <v>131</v>
      </c>
      <c r="CG70"/>
      <c r="CH70" t="str">
        <f>""</f>
        <v/>
      </c>
      <c r="CI70" t="s">
        <v>131</v>
      </c>
      <c r="CJ70"/>
      <c r="CK70" t="s">
        <v>131</v>
      </c>
      <c r="CL70" t="str">
        <f>""</f>
        <v/>
      </c>
      <c r="CM70" t="str">
        <f>""</f>
        <v/>
      </c>
      <c r="CN70" t="str">
        <f>""</f>
        <v/>
      </c>
      <c r="CO70" t="str">
        <f>""</f>
        <v/>
      </c>
      <c r="CP70" t="str">
        <f>"27-1023.00"</f>
        <v>27-1023.00</v>
      </c>
      <c r="CQ70" t="s">
        <v>5591</v>
      </c>
      <c r="CR70"/>
      <c r="CS70" t="s">
        <v>131</v>
      </c>
      <c r="CT70"/>
      <c r="CU70" t="s">
        <v>7712</v>
      </c>
      <c r="CV70"/>
      <c r="CW70" t="s">
        <v>7713</v>
      </c>
      <c r="CX70" t="s">
        <v>149</v>
      </c>
      <c r="CY70"/>
      <c r="CZ70" s="3" t="str">
        <f>"98528"</f>
        <v>98528</v>
      </c>
      <c r="DA70" t="s">
        <v>131</v>
      </c>
      <c r="DB70" t="str">
        <f>"27-1023"</f>
        <v>27-1023</v>
      </c>
      <c r="DC70" t="s">
        <v>5591</v>
      </c>
      <c r="DD70" t="s">
        <v>134</v>
      </c>
      <c r="DE70" t="s">
        <v>134</v>
      </c>
      <c r="DF70" t="str">
        <f>""</f>
        <v/>
      </c>
      <c r="DG70"/>
      <c r="DH70" s="6">
        <v>15.32</v>
      </c>
      <c r="DI70" t="s">
        <v>344</v>
      </c>
      <c r="DJ70"/>
      <c r="DK70" t="s">
        <v>345</v>
      </c>
      <c r="DL70"/>
      <c r="DM70"/>
      <c r="DN70"/>
      <c r="DO70"/>
      <c r="DP70"/>
      <c r="DQ70"/>
      <c r="DR70" t="s">
        <v>5593</v>
      </c>
      <c r="DS70" s="6">
        <v>15.32</v>
      </c>
      <c r="DT70" t="s">
        <v>424</v>
      </c>
      <c r="DU70" s="1">
        <v>44350</v>
      </c>
      <c r="DV70" s="1">
        <v>44439</v>
      </c>
    </row>
    <row r="71" spans="1:126" s="7" customFormat="1" ht="15" customHeight="1" x14ac:dyDescent="0.35">
      <c r="A71" t="s">
        <v>10677</v>
      </c>
      <c r="B71" t="s">
        <v>318</v>
      </c>
      <c r="C71" s="1">
        <v>44320</v>
      </c>
      <c r="D71" s="1">
        <v>44350</v>
      </c>
      <c r="E71" s="1"/>
      <c r="F71" s="1"/>
      <c r="G71" s="1"/>
      <c r="H71" t="s">
        <v>319</v>
      </c>
      <c r="I71" t="s">
        <v>7710</v>
      </c>
      <c r="J71" t="s">
        <v>645</v>
      </c>
      <c r="K71" t="s">
        <v>1253</v>
      </c>
      <c r="L71" t="s">
        <v>199</v>
      </c>
      <c r="M71" t="s">
        <v>7712</v>
      </c>
      <c r="N71"/>
      <c r="O71" t="s">
        <v>7713</v>
      </c>
      <c r="P71" t="s">
        <v>144</v>
      </c>
      <c r="Q71" s="3">
        <v>98528</v>
      </c>
      <c r="R71" t="s">
        <v>128</v>
      </c>
      <c r="S71"/>
      <c r="T71" s="4">
        <v>13602755345</v>
      </c>
      <c r="U71"/>
      <c r="V71" t="s">
        <v>5587</v>
      </c>
      <c r="W71" t="s">
        <v>7714</v>
      </c>
      <c r="X71" t="s">
        <v>7715</v>
      </c>
      <c r="Y71" t="s">
        <v>7712</v>
      </c>
      <c r="Z71"/>
      <c r="AA71" t="s">
        <v>7713</v>
      </c>
      <c r="AB71" t="s">
        <v>149</v>
      </c>
      <c r="AC71" s="3" t="str">
        <f>"98528"</f>
        <v>98528</v>
      </c>
      <c r="AD71" t="s">
        <v>128</v>
      </c>
      <c r="AE71"/>
      <c r="AF71" s="4">
        <v>13602755345</v>
      </c>
      <c r="AG71"/>
      <c r="AH71" t="str">
        <f>"11321"</f>
        <v>11321</v>
      </c>
      <c r="AI71" t="s">
        <v>287</v>
      </c>
      <c r="AJ71" t="s">
        <v>5584</v>
      </c>
      <c r="AK71" t="s">
        <v>409</v>
      </c>
      <c r="AL71"/>
      <c r="AM71" t="s">
        <v>5585</v>
      </c>
      <c r="AN71" t="s">
        <v>2136</v>
      </c>
      <c r="AO71" t="s">
        <v>5586</v>
      </c>
      <c r="AP71" t="s">
        <v>149</v>
      </c>
      <c r="AQ71" s="5">
        <v>98516</v>
      </c>
      <c r="AR71" t="s">
        <v>128</v>
      </c>
      <c r="AS71"/>
      <c r="AT71" s="4">
        <v>13604558064</v>
      </c>
      <c r="AU71">
        <v>110</v>
      </c>
      <c r="AV71" t="s">
        <v>5587</v>
      </c>
      <c r="AW71" t="s">
        <v>5588</v>
      </c>
      <c r="AX71" t="s">
        <v>131</v>
      </c>
      <c r="AY71" t="s">
        <v>131</v>
      </c>
      <c r="AZ71" t="s">
        <v>131</v>
      </c>
      <c r="BA71" t="s">
        <v>131</v>
      </c>
      <c r="BB71" t="s">
        <v>131</v>
      </c>
      <c r="BC71" t="s">
        <v>131</v>
      </c>
      <c r="BD71" t="s">
        <v>131</v>
      </c>
      <c r="BE71" t="s">
        <v>132</v>
      </c>
      <c r="BF71"/>
      <c r="BG71" s="1"/>
      <c r="BH71" t="s">
        <v>10678</v>
      </c>
      <c r="BI71" t="s">
        <v>131</v>
      </c>
      <c r="BJ71"/>
      <c r="BK71"/>
      <c r="BL71" t="s">
        <v>167</v>
      </c>
      <c r="BM71"/>
      <c r="BN71"/>
      <c r="BO71" t="s">
        <v>131</v>
      </c>
      <c r="BP71" t="s">
        <v>134</v>
      </c>
      <c r="BQ71" t="s">
        <v>131</v>
      </c>
      <c r="BR71"/>
      <c r="BS71" t="str">
        <f t="shared" si="7"/>
        <v>N/A</v>
      </c>
      <c r="BT71" t="s">
        <v>131</v>
      </c>
      <c r="BU71"/>
      <c r="BV71" t="str">
        <f>""</f>
        <v/>
      </c>
      <c r="BW71" t="s">
        <v>135</v>
      </c>
      <c r="BX71" t="str">
        <f>""</f>
        <v/>
      </c>
      <c r="BY71" t="str">
        <f>""</f>
        <v/>
      </c>
      <c r="BZ71" t="str">
        <f>""</f>
        <v/>
      </c>
      <c r="CA71" s="2" t="s">
        <v>5590</v>
      </c>
      <c r="CB71" t="s">
        <v>131</v>
      </c>
      <c r="CC71"/>
      <c r="CD71"/>
      <c r="CE71"/>
      <c r="CF71" t="s">
        <v>131</v>
      </c>
      <c r="CG71"/>
      <c r="CH71" t="str">
        <f>""</f>
        <v/>
      </c>
      <c r="CI71" t="s">
        <v>131</v>
      </c>
      <c r="CJ71"/>
      <c r="CK71" t="s">
        <v>131</v>
      </c>
      <c r="CL71" t="str">
        <f>""</f>
        <v/>
      </c>
      <c r="CM71" t="str">
        <f>""</f>
        <v/>
      </c>
      <c r="CN71" t="str">
        <f>""</f>
        <v/>
      </c>
      <c r="CO71" t="str">
        <f>""</f>
        <v/>
      </c>
      <c r="CP71" t="str">
        <f>"45-4011.00"</f>
        <v>45-4011.00</v>
      </c>
      <c r="CQ71" t="s">
        <v>4310</v>
      </c>
      <c r="CR71"/>
      <c r="CS71" t="s">
        <v>135</v>
      </c>
      <c r="CT71" t="s">
        <v>10679</v>
      </c>
      <c r="CU71" t="s">
        <v>10680</v>
      </c>
      <c r="CV71"/>
      <c r="CW71" t="s">
        <v>10681</v>
      </c>
      <c r="CX71" t="s">
        <v>149</v>
      </c>
      <c r="CY71"/>
      <c r="CZ71" s="3" t="str">
        <f>"98649"</f>
        <v>98649</v>
      </c>
      <c r="DA71" t="s">
        <v>135</v>
      </c>
      <c r="DB71" t="str">
        <f>"45-4011"</f>
        <v>45-4011</v>
      </c>
      <c r="DC71" t="s">
        <v>4310</v>
      </c>
      <c r="DD71" t="s">
        <v>134</v>
      </c>
      <c r="DE71" t="s">
        <v>134</v>
      </c>
      <c r="DF71" t="str">
        <f>""</f>
        <v/>
      </c>
      <c r="DG71"/>
      <c r="DH71" s="6">
        <v>15.25</v>
      </c>
      <c r="DI71" t="s">
        <v>344</v>
      </c>
      <c r="DJ71"/>
      <c r="DK71" t="s">
        <v>345</v>
      </c>
      <c r="DL71"/>
      <c r="DM71"/>
      <c r="DN71"/>
      <c r="DO71"/>
      <c r="DP71"/>
      <c r="DQ71"/>
      <c r="DR71" t="s">
        <v>10682</v>
      </c>
      <c r="DS71" s="6">
        <v>15.25</v>
      </c>
      <c r="DT71" s="2" t="s">
        <v>347</v>
      </c>
      <c r="DU71" s="1">
        <v>44350</v>
      </c>
      <c r="DV71" s="1">
        <v>44439</v>
      </c>
    </row>
    <row r="72" spans="1:126" s="7" customFormat="1" ht="15" customHeight="1" x14ac:dyDescent="0.35">
      <c r="A72" t="s">
        <v>17828</v>
      </c>
      <c r="B72" t="s">
        <v>318</v>
      </c>
      <c r="C72" s="1">
        <v>44320</v>
      </c>
      <c r="D72" s="1">
        <v>44357</v>
      </c>
      <c r="E72" s="1"/>
      <c r="F72" s="1"/>
      <c r="G72" s="1"/>
      <c r="H72" t="s">
        <v>319</v>
      </c>
      <c r="I72" t="s">
        <v>6398</v>
      </c>
      <c r="J72" t="s">
        <v>6399</v>
      </c>
      <c r="K72"/>
      <c r="L72" t="s">
        <v>628</v>
      </c>
      <c r="M72" t="s">
        <v>6400</v>
      </c>
      <c r="N72"/>
      <c r="O72" t="s">
        <v>6401</v>
      </c>
      <c r="P72" t="s">
        <v>194</v>
      </c>
      <c r="Q72" s="3">
        <v>33160</v>
      </c>
      <c r="R72" t="s">
        <v>128</v>
      </c>
      <c r="S72"/>
      <c r="T72" s="4">
        <v>13056925702</v>
      </c>
      <c r="U72"/>
      <c r="V72" t="s">
        <v>17829</v>
      </c>
      <c r="W72" t="s">
        <v>17830</v>
      </c>
      <c r="X72" t="s">
        <v>6402</v>
      </c>
      <c r="Y72" t="s">
        <v>6400</v>
      </c>
      <c r="Z72"/>
      <c r="AA72" t="s">
        <v>6401</v>
      </c>
      <c r="AB72" t="s">
        <v>195</v>
      </c>
      <c r="AC72" s="3" t="str">
        <f>"33160"</f>
        <v>33160</v>
      </c>
      <c r="AD72" t="s">
        <v>128</v>
      </c>
      <c r="AE72"/>
      <c r="AF72" s="4">
        <v>13056925702</v>
      </c>
      <c r="AG72"/>
      <c r="AH72" t="str">
        <f>"72111"</f>
        <v>72111</v>
      </c>
      <c r="AI72" t="s">
        <v>287</v>
      </c>
      <c r="AJ72" t="s">
        <v>2209</v>
      </c>
      <c r="AK72" t="s">
        <v>1459</v>
      </c>
      <c r="AL72" t="s">
        <v>2210</v>
      </c>
      <c r="AM72" t="s">
        <v>2211</v>
      </c>
      <c r="AN72" t="s">
        <v>788</v>
      </c>
      <c r="AO72" t="s">
        <v>2212</v>
      </c>
      <c r="AP72" t="s">
        <v>400</v>
      </c>
      <c r="AQ72" s="5">
        <v>75033</v>
      </c>
      <c r="AR72" t="s">
        <v>128</v>
      </c>
      <c r="AS72"/>
      <c r="AT72" s="4">
        <v>19727789690</v>
      </c>
      <c r="AU72"/>
      <c r="AV72" t="s">
        <v>6403</v>
      </c>
      <c r="AW72" t="s">
        <v>2214</v>
      </c>
      <c r="AX72" t="s">
        <v>131</v>
      </c>
      <c r="AY72" t="s">
        <v>131</v>
      </c>
      <c r="AZ72" t="s">
        <v>131</v>
      </c>
      <c r="BA72" t="s">
        <v>131</v>
      </c>
      <c r="BB72" t="s">
        <v>131</v>
      </c>
      <c r="BC72" t="s">
        <v>131</v>
      </c>
      <c r="BD72" t="s">
        <v>131</v>
      </c>
      <c r="BE72" t="s">
        <v>132</v>
      </c>
      <c r="BF72"/>
      <c r="BG72" s="1"/>
      <c r="BH72" t="s">
        <v>8063</v>
      </c>
      <c r="BI72" t="s">
        <v>131</v>
      </c>
      <c r="BJ72"/>
      <c r="BK72"/>
      <c r="BL72" t="s">
        <v>167</v>
      </c>
      <c r="BM72"/>
      <c r="BN72"/>
      <c r="BO72" t="s">
        <v>131</v>
      </c>
      <c r="BP72" t="s">
        <v>134</v>
      </c>
      <c r="BQ72" t="s">
        <v>131</v>
      </c>
      <c r="BR72"/>
      <c r="BS72" t="str">
        <f t="shared" si="7"/>
        <v>N/A</v>
      </c>
      <c r="BT72" t="s">
        <v>135</v>
      </c>
      <c r="BU72">
        <v>1</v>
      </c>
      <c r="BV72" t="str">
        <f>"1 month previous Pool Attendant experience required"</f>
        <v>1 month previous Pool Attendant experience required</v>
      </c>
      <c r="BW72" t="s">
        <v>135</v>
      </c>
      <c r="BX72" t="str">
        <f>""</f>
        <v/>
      </c>
      <c r="BY72" t="str">
        <f>""</f>
        <v/>
      </c>
      <c r="BZ72" t="str">
        <f>""</f>
        <v/>
      </c>
      <c r="CA72" t="str">
        <f>"Pre-employment background check and post-employment/post injury or incident drug test required, cost paid by employer. Must be able to work a 5 day schedule, including weekends and holidays as required. Applicant must complete an employment application.  "</f>
        <v xml:space="preserve">Pre-employment background check and post-employment/post injury or incident drug test required, cost paid by employer. Must be able to work a 5 day schedule, including weekends and holidays as required. Applicant must complete an employment application.  </v>
      </c>
      <c r="CB72" t="s">
        <v>131</v>
      </c>
      <c r="CC72"/>
      <c r="CD72"/>
      <c r="CE72"/>
      <c r="CF72" t="s">
        <v>131</v>
      </c>
      <c r="CG72"/>
      <c r="CH72" t="str">
        <f>""</f>
        <v/>
      </c>
      <c r="CI72" t="s">
        <v>131</v>
      </c>
      <c r="CJ72"/>
      <c r="CK72" t="s">
        <v>131</v>
      </c>
      <c r="CL72" t="str">
        <f>""</f>
        <v/>
      </c>
      <c r="CM72" t="str">
        <f>""</f>
        <v/>
      </c>
      <c r="CN72" t="str">
        <f>""</f>
        <v/>
      </c>
      <c r="CO72" t="str">
        <f>""</f>
        <v/>
      </c>
      <c r="CP72" t="str">
        <f>"39-3091.00"</f>
        <v>39-3091.00</v>
      </c>
      <c r="CQ72" t="s">
        <v>1374</v>
      </c>
      <c r="CR72"/>
      <c r="CS72" t="s">
        <v>131</v>
      </c>
      <c r="CT72"/>
      <c r="CU72" t="s">
        <v>17831</v>
      </c>
      <c r="CV72"/>
      <c r="CW72" t="s">
        <v>12955</v>
      </c>
      <c r="CX72" t="s">
        <v>195</v>
      </c>
      <c r="CY72"/>
      <c r="CZ72" s="3" t="str">
        <f>"33160"</f>
        <v>33160</v>
      </c>
      <c r="DA72" t="s">
        <v>131</v>
      </c>
      <c r="DB72" t="str">
        <f>"39-3091"</f>
        <v>39-3091</v>
      </c>
      <c r="DC72" t="s">
        <v>1374</v>
      </c>
      <c r="DD72" t="s">
        <v>134</v>
      </c>
      <c r="DE72" t="s">
        <v>134</v>
      </c>
      <c r="DF72" t="str">
        <f>""</f>
        <v/>
      </c>
      <c r="DG72"/>
      <c r="DH72" s="6">
        <v>11.37</v>
      </c>
      <c r="DI72" t="s">
        <v>344</v>
      </c>
      <c r="DJ72"/>
      <c r="DK72" t="s">
        <v>345</v>
      </c>
      <c r="DL72"/>
      <c r="DM72"/>
      <c r="DN72"/>
      <c r="DO72"/>
      <c r="DP72"/>
      <c r="DQ72"/>
      <c r="DR72" t="s">
        <v>2160</v>
      </c>
      <c r="DS72" s="6">
        <v>11.37</v>
      </c>
      <c r="DT72" t="s">
        <v>424</v>
      </c>
      <c r="DU72" s="1">
        <v>44357</v>
      </c>
      <c r="DV72" s="1">
        <v>44446</v>
      </c>
    </row>
    <row r="73" spans="1:126" s="7" customFormat="1" ht="15" customHeight="1" x14ac:dyDescent="0.35">
      <c r="A73" t="s">
        <v>19570</v>
      </c>
      <c r="B73" t="s">
        <v>318</v>
      </c>
      <c r="C73" s="1">
        <v>44320</v>
      </c>
      <c r="D73" s="1">
        <v>44350</v>
      </c>
      <c r="E73" s="1"/>
      <c r="F73" s="1"/>
      <c r="G73" s="1"/>
      <c r="H73" t="s">
        <v>319</v>
      </c>
      <c r="I73" t="s">
        <v>8950</v>
      </c>
      <c r="J73" t="s">
        <v>8951</v>
      </c>
      <c r="K73"/>
      <c r="L73" t="s">
        <v>583</v>
      </c>
      <c r="M73" t="s">
        <v>8956</v>
      </c>
      <c r="N73"/>
      <c r="O73" t="s">
        <v>6271</v>
      </c>
      <c r="P73" t="s">
        <v>857</v>
      </c>
      <c r="Q73" s="3">
        <v>85203</v>
      </c>
      <c r="R73" t="s">
        <v>128</v>
      </c>
      <c r="S73"/>
      <c r="T73" s="4">
        <v>14806963079</v>
      </c>
      <c r="U73"/>
      <c r="V73" t="s">
        <v>8953</v>
      </c>
      <c r="W73" t="s">
        <v>8954</v>
      </c>
      <c r="X73" t="s">
        <v>8955</v>
      </c>
      <c r="Y73" t="s">
        <v>8956</v>
      </c>
      <c r="Z73"/>
      <c r="AA73" t="s">
        <v>6271</v>
      </c>
      <c r="AB73" t="s">
        <v>808</v>
      </c>
      <c r="AC73" s="3" t="str">
        <f>"85203"</f>
        <v>85203</v>
      </c>
      <c r="AD73" t="s">
        <v>128</v>
      </c>
      <c r="AE73"/>
      <c r="AF73" s="4">
        <v>14806963079</v>
      </c>
      <c r="AG73"/>
      <c r="AH73" t="str">
        <f>"722511"</f>
        <v>722511</v>
      </c>
      <c r="AI73" t="s">
        <v>130</v>
      </c>
      <c r="AJ73" t="s">
        <v>8957</v>
      </c>
      <c r="AK73" t="s">
        <v>6186</v>
      </c>
      <c r="AL73"/>
      <c r="AM73" t="s">
        <v>8958</v>
      </c>
      <c r="AN73"/>
      <c r="AO73" t="s">
        <v>5979</v>
      </c>
      <c r="AP73" t="s">
        <v>400</v>
      </c>
      <c r="AQ73" s="5">
        <v>79911</v>
      </c>
      <c r="AR73" t="s">
        <v>128</v>
      </c>
      <c r="AS73"/>
      <c r="AT73" s="4">
        <v>12403815229</v>
      </c>
      <c r="AU73"/>
      <c r="AV73" t="s">
        <v>8959</v>
      </c>
      <c r="AW73" t="s">
        <v>6150</v>
      </c>
      <c r="AX73" t="s">
        <v>131</v>
      </c>
      <c r="AY73" t="s">
        <v>131</v>
      </c>
      <c r="AZ73" t="s">
        <v>131</v>
      </c>
      <c r="BA73" t="s">
        <v>131</v>
      </c>
      <c r="BB73" t="s">
        <v>131</v>
      </c>
      <c r="BC73" t="s">
        <v>131</v>
      </c>
      <c r="BD73" t="s">
        <v>131</v>
      </c>
      <c r="BE73" t="s">
        <v>132</v>
      </c>
      <c r="BF73"/>
      <c r="BG73" s="1"/>
      <c r="BH73" t="s">
        <v>1080</v>
      </c>
      <c r="BI73" t="s">
        <v>131</v>
      </c>
      <c r="BJ73"/>
      <c r="BK73"/>
      <c r="BL73" t="s">
        <v>167</v>
      </c>
      <c r="BM73"/>
      <c r="BN73"/>
      <c r="BO73" t="s">
        <v>131</v>
      </c>
      <c r="BP73" t="s">
        <v>134</v>
      </c>
      <c r="BQ73" t="s">
        <v>131</v>
      </c>
      <c r="BR73"/>
      <c r="BS73" t="str">
        <f t="shared" si="7"/>
        <v>N/A</v>
      </c>
      <c r="BT73" t="s">
        <v>135</v>
      </c>
      <c r="BU73">
        <v>3</v>
      </c>
      <c r="BV73" t="str">
        <f>"Cook or prep cook"</f>
        <v>Cook or prep cook</v>
      </c>
      <c r="BW73" t="s">
        <v>135</v>
      </c>
      <c r="BX73" t="str">
        <f>""</f>
        <v/>
      </c>
      <c r="BY73" t="str">
        <f>""</f>
        <v/>
      </c>
      <c r="BZ73" t="str">
        <f>""</f>
        <v/>
      </c>
      <c r="CA73" t="str">
        <f>"Excellent knife skills, familiarity with Mexican cuisine"</f>
        <v>Excellent knife skills, familiarity with Mexican cuisine</v>
      </c>
      <c r="CB73" t="s">
        <v>131</v>
      </c>
      <c r="CC73"/>
      <c r="CD73"/>
      <c r="CE73"/>
      <c r="CF73" t="s">
        <v>131</v>
      </c>
      <c r="CG73"/>
      <c r="CH73" t="str">
        <f>""</f>
        <v/>
      </c>
      <c r="CI73" t="s">
        <v>131</v>
      </c>
      <c r="CJ73"/>
      <c r="CK73" t="s">
        <v>131</v>
      </c>
      <c r="CL73" t="str">
        <f>""</f>
        <v/>
      </c>
      <c r="CM73" t="str">
        <f>""</f>
        <v/>
      </c>
      <c r="CN73" t="str">
        <f>""</f>
        <v/>
      </c>
      <c r="CO73" t="str">
        <f>""</f>
        <v/>
      </c>
      <c r="CP73" t="str">
        <f>"35-2014.00"</f>
        <v>35-2014.00</v>
      </c>
      <c r="CQ73" t="s">
        <v>581</v>
      </c>
      <c r="CR73" t="s">
        <v>2159</v>
      </c>
      <c r="CS73" t="s">
        <v>135</v>
      </c>
      <c r="CT73" t="s">
        <v>8961</v>
      </c>
      <c r="CU73" t="s">
        <v>8956</v>
      </c>
      <c r="CV73"/>
      <c r="CW73" t="s">
        <v>6271</v>
      </c>
      <c r="CX73" t="s">
        <v>808</v>
      </c>
      <c r="CY73"/>
      <c r="CZ73" s="3" t="str">
        <f>"85203"</f>
        <v>85203</v>
      </c>
      <c r="DA73" t="s">
        <v>135</v>
      </c>
      <c r="DB73" t="str">
        <f>"35-2014"</f>
        <v>35-2014</v>
      </c>
      <c r="DC73" t="s">
        <v>581</v>
      </c>
      <c r="DD73" t="s">
        <v>134</v>
      </c>
      <c r="DE73" t="s">
        <v>134</v>
      </c>
      <c r="DF73" t="str">
        <f>""</f>
        <v/>
      </c>
      <c r="DG73"/>
      <c r="DH73" s="6">
        <v>14.17</v>
      </c>
      <c r="DI73" t="s">
        <v>344</v>
      </c>
      <c r="DJ73"/>
      <c r="DK73" t="s">
        <v>345</v>
      </c>
      <c r="DL73"/>
      <c r="DM73"/>
      <c r="DN73"/>
      <c r="DO73"/>
      <c r="DP73"/>
      <c r="DQ73"/>
      <c r="DR73" t="s">
        <v>2199</v>
      </c>
      <c r="DS73" s="6">
        <v>14.17</v>
      </c>
      <c r="DT73" s="2" t="s">
        <v>8351</v>
      </c>
      <c r="DU73" s="1">
        <v>44350</v>
      </c>
      <c r="DV73" s="1">
        <v>44439</v>
      </c>
    </row>
    <row r="74" spans="1:126" s="7" customFormat="1" ht="15" customHeight="1" x14ac:dyDescent="0.35">
      <c r="A74" t="s">
        <v>8949</v>
      </c>
      <c r="B74" t="s">
        <v>318</v>
      </c>
      <c r="C74" s="1">
        <v>44320</v>
      </c>
      <c r="D74" s="1">
        <v>44350</v>
      </c>
      <c r="E74" s="1"/>
      <c r="F74" s="1"/>
      <c r="G74" s="1"/>
      <c r="H74" t="s">
        <v>319</v>
      </c>
      <c r="I74" t="s">
        <v>8950</v>
      </c>
      <c r="J74" t="s">
        <v>8951</v>
      </c>
      <c r="K74"/>
      <c r="L74" t="s">
        <v>583</v>
      </c>
      <c r="M74" t="s">
        <v>8952</v>
      </c>
      <c r="N74"/>
      <c r="O74" t="s">
        <v>6271</v>
      </c>
      <c r="P74" t="s">
        <v>857</v>
      </c>
      <c r="Q74" s="3">
        <v>85203</v>
      </c>
      <c r="R74" t="s">
        <v>128</v>
      </c>
      <c r="S74"/>
      <c r="T74" s="4">
        <v>14806963079</v>
      </c>
      <c r="U74"/>
      <c r="V74" t="s">
        <v>8953</v>
      </c>
      <c r="W74" t="s">
        <v>8954</v>
      </c>
      <c r="X74" t="s">
        <v>8955</v>
      </c>
      <c r="Y74" t="s">
        <v>8956</v>
      </c>
      <c r="Z74"/>
      <c r="AA74" t="s">
        <v>6271</v>
      </c>
      <c r="AB74" t="s">
        <v>808</v>
      </c>
      <c r="AC74" s="3" t="str">
        <f>"85203"</f>
        <v>85203</v>
      </c>
      <c r="AD74" t="s">
        <v>128</v>
      </c>
      <c r="AE74"/>
      <c r="AF74" s="4">
        <v>14806963079</v>
      </c>
      <c r="AG74"/>
      <c r="AH74" t="str">
        <f>"722511"</f>
        <v>722511</v>
      </c>
      <c r="AI74" t="s">
        <v>130</v>
      </c>
      <c r="AJ74" t="s">
        <v>8957</v>
      </c>
      <c r="AK74" t="s">
        <v>6186</v>
      </c>
      <c r="AL74"/>
      <c r="AM74" t="s">
        <v>8958</v>
      </c>
      <c r="AN74"/>
      <c r="AO74" t="s">
        <v>5979</v>
      </c>
      <c r="AP74" t="s">
        <v>400</v>
      </c>
      <c r="AQ74" s="5">
        <v>79911</v>
      </c>
      <c r="AR74" t="s">
        <v>128</v>
      </c>
      <c r="AS74"/>
      <c r="AT74" s="4">
        <v>12403815229</v>
      </c>
      <c r="AU74"/>
      <c r="AV74" t="s">
        <v>8959</v>
      </c>
      <c r="AW74" t="s">
        <v>6150</v>
      </c>
      <c r="AX74" t="s">
        <v>131</v>
      </c>
      <c r="AY74" t="s">
        <v>131</v>
      </c>
      <c r="AZ74" t="s">
        <v>131</v>
      </c>
      <c r="BA74" t="s">
        <v>131</v>
      </c>
      <c r="BB74" t="s">
        <v>131</v>
      </c>
      <c r="BC74" t="s">
        <v>131</v>
      </c>
      <c r="BD74" t="s">
        <v>131</v>
      </c>
      <c r="BE74" t="s">
        <v>132</v>
      </c>
      <c r="BF74"/>
      <c r="BG74" s="1"/>
      <c r="BH74" t="s">
        <v>8960</v>
      </c>
      <c r="BI74" t="s">
        <v>131</v>
      </c>
      <c r="BJ74"/>
      <c r="BK74"/>
      <c r="BL74" t="s">
        <v>167</v>
      </c>
      <c r="BM74"/>
      <c r="BN74"/>
      <c r="BO74" t="s">
        <v>131</v>
      </c>
      <c r="BP74" t="s">
        <v>134</v>
      </c>
      <c r="BQ74" t="s">
        <v>131</v>
      </c>
      <c r="BR74"/>
      <c r="BS74" t="str">
        <f t="shared" si="7"/>
        <v>N/A</v>
      </c>
      <c r="BT74" t="s">
        <v>135</v>
      </c>
      <c r="BU74">
        <v>3</v>
      </c>
      <c r="BV74" t="str">
        <f>"Prep Cook"</f>
        <v>Prep Cook</v>
      </c>
      <c r="BW74" t="s">
        <v>135</v>
      </c>
      <c r="BX74" t="str">
        <f>""</f>
        <v/>
      </c>
      <c r="BY74" t="str">
        <f>""</f>
        <v/>
      </c>
      <c r="BZ74" t="str">
        <f>""</f>
        <v/>
      </c>
      <c r="CA74" t="str">
        <f>"Excellent knife skills, familiarity with Mexican cuisine"</f>
        <v>Excellent knife skills, familiarity with Mexican cuisine</v>
      </c>
      <c r="CB74" t="s">
        <v>131</v>
      </c>
      <c r="CC74"/>
      <c r="CD74"/>
      <c r="CE74"/>
      <c r="CF74" t="s">
        <v>131</v>
      </c>
      <c r="CG74"/>
      <c r="CH74" t="str">
        <f>""</f>
        <v/>
      </c>
      <c r="CI74" t="s">
        <v>131</v>
      </c>
      <c r="CJ74"/>
      <c r="CK74" t="s">
        <v>131</v>
      </c>
      <c r="CL74" t="str">
        <f>""</f>
        <v/>
      </c>
      <c r="CM74" t="str">
        <f>""</f>
        <v/>
      </c>
      <c r="CN74" t="str">
        <f>""</f>
        <v/>
      </c>
      <c r="CO74" t="str">
        <f>""</f>
        <v/>
      </c>
      <c r="CP74" t="str">
        <f>"35-2021.00"</f>
        <v>35-2021.00</v>
      </c>
      <c r="CQ74" t="s">
        <v>1749</v>
      </c>
      <c r="CR74" t="s">
        <v>2159</v>
      </c>
      <c r="CS74" t="s">
        <v>135</v>
      </c>
      <c r="CT74" t="s">
        <v>8961</v>
      </c>
      <c r="CU74" t="s">
        <v>8956</v>
      </c>
      <c r="CV74"/>
      <c r="CW74" t="s">
        <v>6271</v>
      </c>
      <c r="CX74" t="s">
        <v>808</v>
      </c>
      <c r="CY74"/>
      <c r="CZ74" s="3" t="str">
        <f>"85203"</f>
        <v>85203</v>
      </c>
      <c r="DA74" t="s">
        <v>135</v>
      </c>
      <c r="DB74" t="str">
        <f>"35-2021"</f>
        <v>35-2021</v>
      </c>
      <c r="DC74" t="s">
        <v>1749</v>
      </c>
      <c r="DD74" t="s">
        <v>134</v>
      </c>
      <c r="DE74" t="s">
        <v>134</v>
      </c>
      <c r="DF74" t="str">
        <f>""</f>
        <v/>
      </c>
      <c r="DG74"/>
      <c r="DH74" s="6">
        <v>12.69</v>
      </c>
      <c r="DI74" t="s">
        <v>344</v>
      </c>
      <c r="DJ74"/>
      <c r="DK74" t="s">
        <v>345</v>
      </c>
      <c r="DL74"/>
      <c r="DM74"/>
      <c r="DN74"/>
      <c r="DO74"/>
      <c r="DP74"/>
      <c r="DQ74"/>
      <c r="DR74" t="s">
        <v>2199</v>
      </c>
      <c r="DS74" s="6">
        <v>12.69</v>
      </c>
      <c r="DT74" s="2" t="s">
        <v>8351</v>
      </c>
      <c r="DU74" s="1">
        <v>44350</v>
      </c>
      <c r="DV74" s="1">
        <v>44439</v>
      </c>
    </row>
    <row r="75" spans="1:126" s="7" customFormat="1" ht="15" customHeight="1" x14ac:dyDescent="0.35">
      <c r="A75" t="s">
        <v>19033</v>
      </c>
      <c r="B75" t="s">
        <v>318</v>
      </c>
      <c r="C75" s="1">
        <v>44320</v>
      </c>
      <c r="D75" s="1">
        <v>44350</v>
      </c>
      <c r="E75" s="1"/>
      <c r="F75" s="1"/>
      <c r="G75" s="1"/>
      <c r="H75" t="s">
        <v>319</v>
      </c>
      <c r="I75" t="s">
        <v>8950</v>
      </c>
      <c r="J75" t="s">
        <v>8951</v>
      </c>
      <c r="K75"/>
      <c r="L75" t="s">
        <v>583</v>
      </c>
      <c r="M75" t="s">
        <v>8956</v>
      </c>
      <c r="N75"/>
      <c r="O75" t="s">
        <v>6271</v>
      </c>
      <c r="P75" t="s">
        <v>857</v>
      </c>
      <c r="Q75" s="3">
        <v>85203</v>
      </c>
      <c r="R75" t="s">
        <v>128</v>
      </c>
      <c r="S75"/>
      <c r="T75" s="4">
        <v>14806963079</v>
      </c>
      <c r="U75"/>
      <c r="V75" t="s">
        <v>8953</v>
      </c>
      <c r="W75" t="s">
        <v>8954</v>
      </c>
      <c r="X75" t="s">
        <v>8955</v>
      </c>
      <c r="Y75" t="s">
        <v>8952</v>
      </c>
      <c r="Z75"/>
      <c r="AA75" t="s">
        <v>6271</v>
      </c>
      <c r="AB75" t="s">
        <v>808</v>
      </c>
      <c r="AC75" s="3" t="str">
        <f>"85203"</f>
        <v>85203</v>
      </c>
      <c r="AD75" t="s">
        <v>128</v>
      </c>
      <c r="AE75"/>
      <c r="AF75" s="4">
        <v>14806963079</v>
      </c>
      <c r="AG75"/>
      <c r="AH75" t="str">
        <f>"722511"</f>
        <v>722511</v>
      </c>
      <c r="AI75" t="s">
        <v>130</v>
      </c>
      <c r="AJ75" t="s">
        <v>8957</v>
      </c>
      <c r="AK75" t="s">
        <v>6186</v>
      </c>
      <c r="AL75"/>
      <c r="AM75" t="s">
        <v>8958</v>
      </c>
      <c r="AN75"/>
      <c r="AO75" t="s">
        <v>5979</v>
      </c>
      <c r="AP75" t="s">
        <v>400</v>
      </c>
      <c r="AQ75" s="5">
        <v>79911</v>
      </c>
      <c r="AR75" t="s">
        <v>128</v>
      </c>
      <c r="AS75"/>
      <c r="AT75" s="4">
        <v>12403815229</v>
      </c>
      <c r="AU75"/>
      <c r="AV75" t="s">
        <v>8959</v>
      </c>
      <c r="AW75" t="s">
        <v>6150</v>
      </c>
      <c r="AX75" t="s">
        <v>131</v>
      </c>
      <c r="AY75" t="s">
        <v>131</v>
      </c>
      <c r="AZ75" t="s">
        <v>131</v>
      </c>
      <c r="BA75" t="s">
        <v>131</v>
      </c>
      <c r="BB75" t="s">
        <v>131</v>
      </c>
      <c r="BC75" t="s">
        <v>131</v>
      </c>
      <c r="BD75" t="s">
        <v>131</v>
      </c>
      <c r="BE75" t="s">
        <v>132</v>
      </c>
      <c r="BF75"/>
      <c r="BG75" s="1"/>
      <c r="BH75" t="s">
        <v>460</v>
      </c>
      <c r="BI75" t="s">
        <v>135</v>
      </c>
      <c r="BJ75" t="s">
        <v>2026</v>
      </c>
      <c r="BK75" t="s">
        <v>2027</v>
      </c>
      <c r="BL75" t="s">
        <v>167</v>
      </c>
      <c r="BM75"/>
      <c r="BN75"/>
      <c r="BO75" t="s">
        <v>131</v>
      </c>
      <c r="BP75" t="s">
        <v>134</v>
      </c>
      <c r="BQ75" t="s">
        <v>131</v>
      </c>
      <c r="BR75"/>
      <c r="BS75" t="str">
        <f t="shared" si="7"/>
        <v>N/A</v>
      </c>
      <c r="BT75" t="s">
        <v>135</v>
      </c>
      <c r="BU75">
        <v>12</v>
      </c>
      <c r="BV75" t="str">
        <f>"Restaurant management in casual dining setting"</f>
        <v>Restaurant management in casual dining setting</v>
      </c>
      <c r="BW75" t="s">
        <v>135</v>
      </c>
      <c r="BX75" t="str">
        <f>""</f>
        <v/>
      </c>
      <c r="BY75" t="str">
        <f>""</f>
        <v/>
      </c>
      <c r="BZ75" t="str">
        <f>""</f>
        <v/>
      </c>
      <c r="CA75" t="str">
        <f>"Ability to communicate clearly and effectively; Spanish language desirable but not mandatory; knowledge of food safety regulations. "</f>
        <v xml:space="preserve">Ability to communicate clearly and effectively; Spanish language desirable but not mandatory; knowledge of food safety regulations. </v>
      </c>
      <c r="CB75" t="s">
        <v>131</v>
      </c>
      <c r="CC75"/>
      <c r="CD75"/>
      <c r="CE75"/>
      <c r="CF75" t="s">
        <v>131</v>
      </c>
      <c r="CG75"/>
      <c r="CH75" t="str">
        <f>""</f>
        <v/>
      </c>
      <c r="CI75" t="s">
        <v>131</v>
      </c>
      <c r="CJ75"/>
      <c r="CK75" t="s">
        <v>131</v>
      </c>
      <c r="CL75" t="str">
        <f>""</f>
        <v/>
      </c>
      <c r="CM75" t="str">
        <f>""</f>
        <v/>
      </c>
      <c r="CN75" t="str">
        <f>""</f>
        <v/>
      </c>
      <c r="CO75" t="str">
        <f>""</f>
        <v/>
      </c>
      <c r="CP75" t="str">
        <f>"11-9051.00"</f>
        <v>11-9051.00</v>
      </c>
      <c r="CQ75" t="s">
        <v>4761</v>
      </c>
      <c r="CR75"/>
      <c r="CS75" t="s">
        <v>135</v>
      </c>
      <c r="CT75" t="s">
        <v>8961</v>
      </c>
      <c r="CU75" t="s">
        <v>8956</v>
      </c>
      <c r="CV75"/>
      <c r="CW75" t="s">
        <v>6271</v>
      </c>
      <c r="CX75" t="s">
        <v>808</v>
      </c>
      <c r="CY75"/>
      <c r="CZ75" s="3" t="str">
        <f>"85203"</f>
        <v>85203</v>
      </c>
      <c r="DA75" t="s">
        <v>135</v>
      </c>
      <c r="DB75" t="str">
        <f>"11-9051"</f>
        <v>11-9051</v>
      </c>
      <c r="DC75" t="s">
        <v>4761</v>
      </c>
      <c r="DD75" t="s">
        <v>134</v>
      </c>
      <c r="DE75" t="s">
        <v>134</v>
      </c>
      <c r="DF75" t="str">
        <f>""</f>
        <v/>
      </c>
      <c r="DG75"/>
      <c r="DH75" s="6">
        <v>28.11</v>
      </c>
      <c r="DI75" t="s">
        <v>344</v>
      </c>
      <c r="DJ75"/>
      <c r="DK75" t="s">
        <v>345</v>
      </c>
      <c r="DL75"/>
      <c r="DM75"/>
      <c r="DN75"/>
      <c r="DO75"/>
      <c r="DP75"/>
      <c r="DQ75"/>
      <c r="DR75" t="s">
        <v>2199</v>
      </c>
      <c r="DS75" s="6">
        <v>28.11</v>
      </c>
      <c r="DT75" s="2" t="s">
        <v>8351</v>
      </c>
      <c r="DU75" s="1">
        <v>44350</v>
      </c>
      <c r="DV75" s="1">
        <v>44439</v>
      </c>
    </row>
    <row r="76" spans="1:126" s="7" customFormat="1" ht="15" customHeight="1" x14ac:dyDescent="0.35">
      <c r="A76" t="s">
        <v>15909</v>
      </c>
      <c r="B76" t="s">
        <v>318</v>
      </c>
      <c r="C76" s="1">
        <v>44320</v>
      </c>
      <c r="D76" s="1">
        <v>44351</v>
      </c>
      <c r="E76" s="1"/>
      <c r="F76" s="1"/>
      <c r="G76" s="1"/>
      <c r="H76" t="s">
        <v>319</v>
      </c>
      <c r="I76" t="s">
        <v>15910</v>
      </c>
      <c r="J76" t="s">
        <v>15911</v>
      </c>
      <c r="K76"/>
      <c r="L76" t="s">
        <v>1031</v>
      </c>
      <c r="M76" t="s">
        <v>15912</v>
      </c>
      <c r="N76"/>
      <c r="O76" t="s">
        <v>15913</v>
      </c>
      <c r="P76" t="s">
        <v>818</v>
      </c>
      <c r="Q76" s="3">
        <v>30069</v>
      </c>
      <c r="R76" t="s">
        <v>128</v>
      </c>
      <c r="S76"/>
      <c r="T76" s="4">
        <v>14046447821</v>
      </c>
      <c r="U76"/>
      <c r="V76" t="s">
        <v>15914</v>
      </c>
      <c r="W76" t="s">
        <v>15915</v>
      </c>
      <c r="X76" t="s">
        <v>15916</v>
      </c>
      <c r="Y76" t="s">
        <v>15917</v>
      </c>
      <c r="Z76"/>
      <c r="AA76" t="s">
        <v>15918</v>
      </c>
      <c r="AB76" t="s">
        <v>643</v>
      </c>
      <c r="AC76" s="3" t="str">
        <f>"30068"</f>
        <v>30068</v>
      </c>
      <c r="AD76" t="s">
        <v>128</v>
      </c>
      <c r="AE76"/>
      <c r="AF76" s="4">
        <v>14046447821</v>
      </c>
      <c r="AG76"/>
      <c r="AH76" t="str">
        <f>"484121"</f>
        <v>484121</v>
      </c>
      <c r="AI76" t="s">
        <v>167</v>
      </c>
      <c r="AJ76"/>
      <c r="AK76"/>
      <c r="AL76"/>
      <c r="AM76"/>
      <c r="AN76"/>
      <c r="AO76"/>
      <c r="AP76"/>
      <c r="AQ76" s="5"/>
      <c r="AR76"/>
      <c r="AS76"/>
      <c r="AT76" s="4"/>
      <c r="AU76"/>
      <c r="AV76"/>
      <c r="AW76"/>
      <c r="AX76" t="s">
        <v>131</v>
      </c>
      <c r="AY76" t="s">
        <v>131</v>
      </c>
      <c r="AZ76" t="s">
        <v>131</v>
      </c>
      <c r="BA76" t="s">
        <v>131</v>
      </c>
      <c r="BB76" t="s">
        <v>131</v>
      </c>
      <c r="BC76" t="s">
        <v>131</v>
      </c>
      <c r="BD76" t="s">
        <v>131</v>
      </c>
      <c r="BE76" t="s">
        <v>132</v>
      </c>
      <c r="BF76"/>
      <c r="BG76" s="1"/>
      <c r="BH76" t="s">
        <v>5453</v>
      </c>
      <c r="BI76" t="s">
        <v>131</v>
      </c>
      <c r="BJ76"/>
      <c r="BK76"/>
      <c r="BL76" t="s">
        <v>167</v>
      </c>
      <c r="BM76"/>
      <c r="BN76"/>
      <c r="BO76" t="s">
        <v>131</v>
      </c>
      <c r="BP76" t="s">
        <v>134</v>
      </c>
      <c r="BQ76" t="s">
        <v>135</v>
      </c>
      <c r="BR76">
        <v>1</v>
      </c>
      <c r="BS76" t="str">
        <f>"CDL"</f>
        <v>CDL</v>
      </c>
      <c r="BT76" t="s">
        <v>135</v>
      </c>
      <c r="BU76">
        <v>24</v>
      </c>
      <c r="BV76" t="str">
        <f>"DRIVER"</f>
        <v>DRIVER</v>
      </c>
      <c r="BW76" t="s">
        <v>131</v>
      </c>
      <c r="BX76" t="str">
        <f>""</f>
        <v/>
      </c>
      <c r="BY76" t="str">
        <f>""</f>
        <v/>
      </c>
      <c r="BZ76" t="str">
        <f>""</f>
        <v/>
      </c>
      <c r="CA76" t="str">
        <f>""</f>
        <v/>
      </c>
      <c r="CB76" t="s">
        <v>131</v>
      </c>
      <c r="CC76"/>
      <c r="CD76"/>
      <c r="CE76"/>
      <c r="CF76" t="s">
        <v>131</v>
      </c>
      <c r="CG76"/>
      <c r="CH76" t="str">
        <f>""</f>
        <v/>
      </c>
      <c r="CI76" t="s">
        <v>131</v>
      </c>
      <c r="CJ76"/>
      <c r="CK76" t="s">
        <v>131</v>
      </c>
      <c r="CL76" t="str">
        <f>""</f>
        <v/>
      </c>
      <c r="CM76" t="str">
        <f>""</f>
        <v/>
      </c>
      <c r="CN76" t="str">
        <f>""</f>
        <v/>
      </c>
      <c r="CO76" t="str">
        <f>""</f>
        <v/>
      </c>
      <c r="CP76" t="str">
        <f>"53-3032.00"</f>
        <v>53-3032.00</v>
      </c>
      <c r="CQ76" t="s">
        <v>1238</v>
      </c>
      <c r="CR76" t="s">
        <v>15919</v>
      </c>
      <c r="CS76" t="s">
        <v>135</v>
      </c>
      <c r="CT76" t="s">
        <v>15920</v>
      </c>
      <c r="CU76" t="s">
        <v>15921</v>
      </c>
      <c r="CV76"/>
      <c r="CW76" t="s">
        <v>15922</v>
      </c>
      <c r="CX76" t="s">
        <v>643</v>
      </c>
      <c r="CY76"/>
      <c r="CZ76" s="3" t="str">
        <f>"30134"</f>
        <v>30134</v>
      </c>
      <c r="DA76" t="s">
        <v>135</v>
      </c>
      <c r="DB76" t="str">
        <f>"53-3032"</f>
        <v>53-3032</v>
      </c>
      <c r="DC76" t="s">
        <v>1238</v>
      </c>
      <c r="DD76" t="s">
        <v>134</v>
      </c>
      <c r="DE76" t="s">
        <v>134</v>
      </c>
      <c r="DF76" t="str">
        <f>""</f>
        <v/>
      </c>
      <c r="DG76"/>
      <c r="DH76" s="6">
        <v>22.63</v>
      </c>
      <c r="DI76" t="s">
        <v>344</v>
      </c>
      <c r="DJ76"/>
      <c r="DK76" t="s">
        <v>345</v>
      </c>
      <c r="DL76"/>
      <c r="DM76"/>
      <c r="DN76"/>
      <c r="DO76"/>
      <c r="DP76"/>
      <c r="DQ76"/>
      <c r="DR76" t="s">
        <v>2218</v>
      </c>
      <c r="DS76" s="6">
        <v>22.63</v>
      </c>
      <c r="DT76" s="2" t="s">
        <v>8351</v>
      </c>
      <c r="DU76" s="1">
        <v>44351</v>
      </c>
      <c r="DV76" s="1">
        <v>44440</v>
      </c>
    </row>
    <row r="77" spans="1:126" s="7" customFormat="1" ht="15" customHeight="1" x14ac:dyDescent="0.35">
      <c r="A77" t="s">
        <v>20142</v>
      </c>
      <c r="B77" t="s">
        <v>318</v>
      </c>
      <c r="C77" s="1">
        <v>44321</v>
      </c>
      <c r="D77" s="1">
        <v>44351</v>
      </c>
      <c r="E77" s="1"/>
      <c r="F77" s="1"/>
      <c r="G77" s="1"/>
      <c r="H77" t="s">
        <v>319</v>
      </c>
      <c r="I77" t="s">
        <v>3912</v>
      </c>
      <c r="J77" t="s">
        <v>3913</v>
      </c>
      <c r="K77"/>
      <c r="L77" t="s">
        <v>1482</v>
      </c>
      <c r="M77" t="s">
        <v>6625</v>
      </c>
      <c r="N77"/>
      <c r="O77" t="s">
        <v>1685</v>
      </c>
      <c r="P77" t="s">
        <v>412</v>
      </c>
      <c r="Q77" s="3">
        <v>76092</v>
      </c>
      <c r="R77" t="s">
        <v>128</v>
      </c>
      <c r="S77"/>
      <c r="T77" s="4">
        <v>18176080660</v>
      </c>
      <c r="U77"/>
      <c r="V77" t="s">
        <v>134</v>
      </c>
      <c r="W77" t="s">
        <v>6626</v>
      </c>
      <c r="X77"/>
      <c r="Y77" t="s">
        <v>6625</v>
      </c>
      <c r="Z77"/>
      <c r="AA77" t="s">
        <v>1685</v>
      </c>
      <c r="AB77" t="s">
        <v>400</v>
      </c>
      <c r="AC77" s="3" t="str">
        <f>"76092"</f>
        <v>76092</v>
      </c>
      <c r="AD77" t="s">
        <v>128</v>
      </c>
      <c r="AE77"/>
      <c r="AF77" s="4">
        <v>18176080660</v>
      </c>
      <c r="AG77"/>
      <c r="AH77" t="str">
        <f>"5617"</f>
        <v>5617</v>
      </c>
      <c r="AI77" t="s">
        <v>287</v>
      </c>
      <c r="AJ77" t="s">
        <v>3916</v>
      </c>
      <c r="AK77" t="s">
        <v>1225</v>
      </c>
      <c r="AL77" t="s">
        <v>589</v>
      </c>
      <c r="AM77" t="s">
        <v>3917</v>
      </c>
      <c r="AN77"/>
      <c r="AO77" t="s">
        <v>1513</v>
      </c>
      <c r="AP77" t="s">
        <v>400</v>
      </c>
      <c r="AQ77" s="5">
        <v>75231</v>
      </c>
      <c r="AR77" t="s">
        <v>128</v>
      </c>
      <c r="AS77"/>
      <c r="AT77" s="4">
        <v>12145265665</v>
      </c>
      <c r="AU77"/>
      <c r="AV77" t="s">
        <v>3918</v>
      </c>
      <c r="AW77" t="s">
        <v>3919</v>
      </c>
      <c r="AX77" t="s">
        <v>131</v>
      </c>
      <c r="AY77" t="s">
        <v>131</v>
      </c>
      <c r="AZ77" t="s">
        <v>131</v>
      </c>
      <c r="BA77" t="s">
        <v>131</v>
      </c>
      <c r="BB77" t="s">
        <v>131</v>
      </c>
      <c r="BC77" t="s">
        <v>131</v>
      </c>
      <c r="BD77" t="s">
        <v>131</v>
      </c>
      <c r="BE77" t="s">
        <v>132</v>
      </c>
      <c r="BF77"/>
      <c r="BG77" s="1"/>
      <c r="BH77" t="s">
        <v>2215</v>
      </c>
      <c r="BI77" t="s">
        <v>131</v>
      </c>
      <c r="BJ77"/>
      <c r="BK77"/>
      <c r="BL77" t="s">
        <v>167</v>
      </c>
      <c r="BM77"/>
      <c r="BN77"/>
      <c r="BO77" t="s">
        <v>131</v>
      </c>
      <c r="BP77" t="s">
        <v>134</v>
      </c>
      <c r="BQ77" t="s">
        <v>131</v>
      </c>
      <c r="BR77"/>
      <c r="BS77" t="str">
        <f t="shared" ref="BS77:BS108" si="8">"N/A"</f>
        <v>N/A</v>
      </c>
      <c r="BT77" t="s">
        <v>131</v>
      </c>
      <c r="BU77"/>
      <c r="BV77" t="str">
        <f>""</f>
        <v/>
      </c>
      <c r="BW77" t="s">
        <v>135</v>
      </c>
      <c r="BX77" t="str">
        <f>""</f>
        <v/>
      </c>
      <c r="BY77" t="str">
        <f>""</f>
        <v/>
      </c>
      <c r="BZ77" t="str">
        <f>""</f>
        <v/>
      </c>
      <c r="CA77" t="str">
        <f>"Must be able to lift 50 lbs &amp; work in adverse weather conditions."</f>
        <v>Must be able to lift 50 lbs &amp; work in adverse weather conditions.</v>
      </c>
      <c r="CB77" t="s">
        <v>131</v>
      </c>
      <c r="CC77"/>
      <c r="CD77"/>
      <c r="CE77"/>
      <c r="CF77" t="s">
        <v>131</v>
      </c>
      <c r="CG77"/>
      <c r="CH77" t="str">
        <f>""</f>
        <v/>
      </c>
      <c r="CI77" t="s">
        <v>131</v>
      </c>
      <c r="CJ77"/>
      <c r="CK77" t="s">
        <v>131</v>
      </c>
      <c r="CL77" t="str">
        <f>""</f>
        <v/>
      </c>
      <c r="CM77" t="str">
        <f>""</f>
        <v/>
      </c>
      <c r="CN77" t="str">
        <f>""</f>
        <v/>
      </c>
      <c r="CO77" t="str">
        <f>""</f>
        <v/>
      </c>
      <c r="CP77" t="str">
        <f>"37-3011.00"</f>
        <v>37-3011.00</v>
      </c>
      <c r="CQ77" t="s">
        <v>920</v>
      </c>
      <c r="CR77" t="s">
        <v>2215</v>
      </c>
      <c r="CS77" t="s">
        <v>131</v>
      </c>
      <c r="CT77"/>
      <c r="CU77" t="s">
        <v>6625</v>
      </c>
      <c r="CV77"/>
      <c r="CW77" t="s">
        <v>1685</v>
      </c>
      <c r="CX77" t="s">
        <v>400</v>
      </c>
      <c r="CY77"/>
      <c r="CZ77" s="3" t="str">
        <f>"76092"</f>
        <v>76092</v>
      </c>
      <c r="DA77" t="s">
        <v>135</v>
      </c>
      <c r="DB77" t="str">
        <f>"37-3011"</f>
        <v>37-3011</v>
      </c>
      <c r="DC77" t="s">
        <v>920</v>
      </c>
      <c r="DD77" t="s">
        <v>134</v>
      </c>
      <c r="DE77" t="s">
        <v>134</v>
      </c>
      <c r="DF77" t="str">
        <f>""</f>
        <v/>
      </c>
      <c r="DG77"/>
      <c r="DH77" s="6">
        <v>15.23</v>
      </c>
      <c r="DI77" t="s">
        <v>344</v>
      </c>
      <c r="DJ77"/>
      <c r="DK77" t="s">
        <v>345</v>
      </c>
      <c r="DL77"/>
      <c r="DM77"/>
      <c r="DN77"/>
      <c r="DO77"/>
      <c r="DP77"/>
      <c r="DQ77"/>
      <c r="DR77" t="s">
        <v>423</v>
      </c>
      <c r="DS77" s="6">
        <v>15.23</v>
      </c>
      <c r="DT77" s="2" t="s">
        <v>8351</v>
      </c>
      <c r="DU77" s="1">
        <v>44351</v>
      </c>
      <c r="DV77" s="1">
        <v>44440</v>
      </c>
    </row>
    <row r="78" spans="1:126" s="7" customFormat="1" ht="15" customHeight="1" x14ac:dyDescent="0.35">
      <c r="A78" t="s">
        <v>15197</v>
      </c>
      <c r="B78" t="s">
        <v>318</v>
      </c>
      <c r="C78" s="1">
        <v>44321</v>
      </c>
      <c r="D78" s="1">
        <v>44350</v>
      </c>
      <c r="E78" s="1"/>
      <c r="F78" s="1"/>
      <c r="G78" s="1"/>
      <c r="H78" t="s">
        <v>319</v>
      </c>
      <c r="I78" t="s">
        <v>3305</v>
      </c>
      <c r="J78" t="s">
        <v>3306</v>
      </c>
      <c r="K78"/>
      <c r="L78" t="s">
        <v>15198</v>
      </c>
      <c r="M78" t="s">
        <v>1896</v>
      </c>
      <c r="N78"/>
      <c r="O78" t="s">
        <v>807</v>
      </c>
      <c r="P78" t="s">
        <v>857</v>
      </c>
      <c r="Q78" s="3">
        <v>85085</v>
      </c>
      <c r="R78" t="s">
        <v>128</v>
      </c>
      <c r="S78"/>
      <c r="T78" s="4">
        <v>16238696757</v>
      </c>
      <c r="U78"/>
      <c r="V78" t="s">
        <v>3307</v>
      </c>
      <c r="W78" t="s">
        <v>3308</v>
      </c>
      <c r="X78"/>
      <c r="Y78" t="s">
        <v>1896</v>
      </c>
      <c r="Z78"/>
      <c r="AA78" t="s">
        <v>807</v>
      </c>
      <c r="AB78" t="s">
        <v>808</v>
      </c>
      <c r="AC78" s="3" t="str">
        <f>"85085"</f>
        <v>85085</v>
      </c>
      <c r="AD78" t="s">
        <v>128</v>
      </c>
      <c r="AE78"/>
      <c r="AF78" s="4">
        <v>16238696757</v>
      </c>
      <c r="AG78"/>
      <c r="AH78" t="str">
        <f>"238210"</f>
        <v>238210</v>
      </c>
      <c r="AI78" t="s">
        <v>130</v>
      </c>
      <c r="AJ78" t="s">
        <v>1899</v>
      </c>
      <c r="AK78" t="s">
        <v>1900</v>
      </c>
      <c r="AL78"/>
      <c r="AM78" t="s">
        <v>1901</v>
      </c>
      <c r="AN78" t="s">
        <v>1902</v>
      </c>
      <c r="AO78" t="s">
        <v>494</v>
      </c>
      <c r="AP78" t="s">
        <v>129</v>
      </c>
      <c r="AQ78" s="5">
        <v>10165</v>
      </c>
      <c r="AR78" t="s">
        <v>128</v>
      </c>
      <c r="AS78"/>
      <c r="AT78" s="4">
        <v>12127604400</v>
      </c>
      <c r="AU78"/>
      <c r="AV78" t="s">
        <v>1897</v>
      </c>
      <c r="AW78" t="s">
        <v>1903</v>
      </c>
      <c r="AX78" t="s">
        <v>131</v>
      </c>
      <c r="AY78" t="s">
        <v>131</v>
      </c>
      <c r="AZ78" t="s">
        <v>131</v>
      </c>
      <c r="BA78" t="s">
        <v>131</v>
      </c>
      <c r="BB78" t="s">
        <v>131</v>
      </c>
      <c r="BC78" t="s">
        <v>131</v>
      </c>
      <c r="BD78" t="s">
        <v>131</v>
      </c>
      <c r="BE78" t="s">
        <v>132</v>
      </c>
      <c r="BF78"/>
      <c r="BG78" s="1"/>
      <c r="BH78" t="s">
        <v>15199</v>
      </c>
      <c r="BI78" t="s">
        <v>131</v>
      </c>
      <c r="BJ78"/>
      <c r="BK78"/>
      <c r="BL78" t="s">
        <v>167</v>
      </c>
      <c r="BM78"/>
      <c r="BN78"/>
      <c r="BO78" t="s">
        <v>131</v>
      </c>
      <c r="BP78" t="s">
        <v>134</v>
      </c>
      <c r="BQ78" t="s">
        <v>131</v>
      </c>
      <c r="BR78"/>
      <c r="BS78" t="str">
        <f t="shared" si="8"/>
        <v>N/A</v>
      </c>
      <c r="BT78" t="s">
        <v>135</v>
      </c>
      <c r="BU78">
        <v>1</v>
      </c>
      <c r="BV78" t="str">
        <f>"Low Voltage Specialist"</f>
        <v>Low Voltage Specialist</v>
      </c>
      <c r="BW78" t="s">
        <v>131</v>
      </c>
      <c r="BX78" t="str">
        <f>""</f>
        <v/>
      </c>
      <c r="BY78" t="str">
        <f>""</f>
        <v/>
      </c>
      <c r="BZ78" t="str">
        <f>""</f>
        <v/>
      </c>
      <c r="CA78" t="str">
        <f>""</f>
        <v/>
      </c>
      <c r="CB78" t="s">
        <v>131</v>
      </c>
      <c r="CC78"/>
      <c r="CD78"/>
      <c r="CE78"/>
      <c r="CF78" t="s">
        <v>131</v>
      </c>
      <c r="CG78"/>
      <c r="CH78" t="str">
        <f>""</f>
        <v/>
      </c>
      <c r="CI78" t="s">
        <v>131</v>
      </c>
      <c r="CJ78"/>
      <c r="CK78" t="s">
        <v>131</v>
      </c>
      <c r="CL78" t="str">
        <f>""</f>
        <v/>
      </c>
      <c r="CM78" t="str">
        <f>""</f>
        <v/>
      </c>
      <c r="CN78" t="str">
        <f>""</f>
        <v/>
      </c>
      <c r="CO78" t="str">
        <f>""</f>
        <v/>
      </c>
      <c r="CP78" t="str">
        <f>"49-2094.00"</f>
        <v>49-2094.00</v>
      </c>
      <c r="CQ78" t="s">
        <v>8324</v>
      </c>
      <c r="CR78" t="s">
        <v>1205</v>
      </c>
      <c r="CS78" t="s">
        <v>131</v>
      </c>
      <c r="CT78"/>
      <c r="CU78" t="s">
        <v>1896</v>
      </c>
      <c r="CV78"/>
      <c r="CW78" t="s">
        <v>807</v>
      </c>
      <c r="CX78" t="s">
        <v>808</v>
      </c>
      <c r="CY78"/>
      <c r="CZ78" s="3" t="str">
        <f>"85085"</f>
        <v>85085</v>
      </c>
      <c r="DA78" t="s">
        <v>131</v>
      </c>
      <c r="DB78" t="str">
        <f>"49-2094"</f>
        <v>49-2094</v>
      </c>
      <c r="DC78" t="s">
        <v>8324</v>
      </c>
      <c r="DD78" t="s">
        <v>134</v>
      </c>
      <c r="DE78" t="s">
        <v>134</v>
      </c>
      <c r="DF78" t="str">
        <f>""</f>
        <v/>
      </c>
      <c r="DG78"/>
      <c r="DH78" s="6">
        <v>26</v>
      </c>
      <c r="DI78" t="s">
        <v>344</v>
      </c>
      <c r="DJ78"/>
      <c r="DK78" t="s">
        <v>345</v>
      </c>
      <c r="DL78"/>
      <c r="DM78"/>
      <c r="DN78"/>
      <c r="DO78"/>
      <c r="DP78"/>
      <c r="DQ78"/>
      <c r="DR78" t="s">
        <v>2199</v>
      </c>
      <c r="DS78" s="6">
        <v>26</v>
      </c>
      <c r="DT78" t="s">
        <v>424</v>
      </c>
      <c r="DU78" s="1">
        <v>44350</v>
      </c>
      <c r="DV78" s="1">
        <v>44439</v>
      </c>
    </row>
    <row r="79" spans="1:126" s="7" customFormat="1" ht="15" customHeight="1" x14ac:dyDescent="0.35">
      <c r="A79" t="s">
        <v>13996</v>
      </c>
      <c r="B79" t="s">
        <v>318</v>
      </c>
      <c r="C79" s="1">
        <v>44321</v>
      </c>
      <c r="D79" s="1">
        <v>44350</v>
      </c>
      <c r="E79" s="1"/>
      <c r="F79" s="1"/>
      <c r="G79" s="1"/>
      <c r="H79" t="s">
        <v>319</v>
      </c>
      <c r="I79" t="s">
        <v>2113</v>
      </c>
      <c r="J79" t="s">
        <v>6682</v>
      </c>
      <c r="K79"/>
      <c r="L79" t="s">
        <v>9268</v>
      </c>
      <c r="M79" t="s">
        <v>9100</v>
      </c>
      <c r="N79"/>
      <c r="O79" t="s">
        <v>3508</v>
      </c>
      <c r="P79" t="s">
        <v>811</v>
      </c>
      <c r="Q79" s="3">
        <v>29588</v>
      </c>
      <c r="R79" t="s">
        <v>128</v>
      </c>
      <c r="S79"/>
      <c r="T79" s="4">
        <v>17025265616</v>
      </c>
      <c r="U79"/>
      <c r="V79" t="s">
        <v>9101</v>
      </c>
      <c r="W79" t="s">
        <v>13997</v>
      </c>
      <c r="X79"/>
      <c r="Y79" t="s">
        <v>13998</v>
      </c>
      <c r="Z79"/>
      <c r="AA79" t="s">
        <v>3508</v>
      </c>
      <c r="AB79" t="s">
        <v>812</v>
      </c>
      <c r="AC79" s="3" t="str">
        <f>"29577"</f>
        <v>29577</v>
      </c>
      <c r="AD79" t="s">
        <v>128</v>
      </c>
      <c r="AE79"/>
      <c r="AF79" s="4">
        <v>18438391699</v>
      </c>
      <c r="AG79"/>
      <c r="AH79" t="str">
        <f>"561320"</f>
        <v>561320</v>
      </c>
      <c r="AI79" t="s">
        <v>167</v>
      </c>
      <c r="AJ79"/>
      <c r="AK79"/>
      <c r="AL79"/>
      <c r="AM79"/>
      <c r="AN79"/>
      <c r="AO79"/>
      <c r="AP79"/>
      <c r="AQ79" s="5"/>
      <c r="AR79"/>
      <c r="AS79"/>
      <c r="AT79" s="4"/>
      <c r="AU79"/>
      <c r="AV79"/>
      <c r="AW79"/>
      <c r="AX79" t="s">
        <v>131</v>
      </c>
      <c r="AY79" t="s">
        <v>131</v>
      </c>
      <c r="AZ79" t="s">
        <v>131</v>
      </c>
      <c r="BA79" t="s">
        <v>131</v>
      </c>
      <c r="BB79" t="s">
        <v>131</v>
      </c>
      <c r="BC79" t="s">
        <v>131</v>
      </c>
      <c r="BD79" t="s">
        <v>131</v>
      </c>
      <c r="BE79" t="s">
        <v>132</v>
      </c>
      <c r="BF79"/>
      <c r="BG79" s="1"/>
      <c r="BH79" t="s">
        <v>13999</v>
      </c>
      <c r="BI79" t="s">
        <v>131</v>
      </c>
      <c r="BJ79"/>
      <c r="BK79"/>
      <c r="BL79" t="s">
        <v>167</v>
      </c>
      <c r="BM79"/>
      <c r="BN79"/>
      <c r="BO79" t="s">
        <v>131</v>
      </c>
      <c r="BP79" t="s">
        <v>134</v>
      </c>
      <c r="BQ79" t="s">
        <v>131</v>
      </c>
      <c r="BR79"/>
      <c r="BS79" t="str">
        <f t="shared" si="8"/>
        <v>N/A</v>
      </c>
      <c r="BT79" t="s">
        <v>135</v>
      </c>
      <c r="BU79">
        <v>12</v>
      </c>
      <c r="BV79" t="str">
        <f>"Housekeeper or Maid"</f>
        <v>Housekeeper or Maid</v>
      </c>
      <c r="BW79" t="s">
        <v>131</v>
      </c>
      <c r="BX79" t="str">
        <f>""</f>
        <v/>
      </c>
      <c r="BY79" t="str">
        <f>""</f>
        <v/>
      </c>
      <c r="BZ79" t="str">
        <f>""</f>
        <v/>
      </c>
      <c r="CA79" t="str">
        <f>""</f>
        <v/>
      </c>
      <c r="CB79" t="s">
        <v>131</v>
      </c>
      <c r="CC79"/>
      <c r="CD79"/>
      <c r="CE79"/>
      <c r="CF79" t="s">
        <v>131</v>
      </c>
      <c r="CG79"/>
      <c r="CH79" t="str">
        <f>""</f>
        <v/>
      </c>
      <c r="CI79" t="s">
        <v>131</v>
      </c>
      <c r="CJ79"/>
      <c r="CK79" t="s">
        <v>131</v>
      </c>
      <c r="CL79" t="str">
        <f>""</f>
        <v/>
      </c>
      <c r="CM79" t="str">
        <f>""</f>
        <v/>
      </c>
      <c r="CN79" t="str">
        <f>""</f>
        <v/>
      </c>
      <c r="CO79" t="str">
        <f>""</f>
        <v/>
      </c>
      <c r="CP79" t="str">
        <f>"37-2012.00"</f>
        <v>37-2012.00</v>
      </c>
      <c r="CQ79" t="s">
        <v>479</v>
      </c>
      <c r="CR79"/>
      <c r="CS79" t="s">
        <v>131</v>
      </c>
      <c r="CT79"/>
      <c r="CU79" t="s">
        <v>14000</v>
      </c>
      <c r="CV79"/>
      <c r="CW79" t="s">
        <v>3508</v>
      </c>
      <c r="CX79" t="s">
        <v>812</v>
      </c>
      <c r="CY79"/>
      <c r="CZ79" s="3" t="str">
        <f>"29577"</f>
        <v>29577</v>
      </c>
      <c r="DA79" t="s">
        <v>131</v>
      </c>
      <c r="DB79" t="str">
        <f>"37-2012"</f>
        <v>37-2012</v>
      </c>
      <c r="DC79" t="s">
        <v>479</v>
      </c>
      <c r="DD79" t="s">
        <v>134</v>
      </c>
      <c r="DE79" t="s">
        <v>134</v>
      </c>
      <c r="DF79" t="str">
        <f>""</f>
        <v/>
      </c>
      <c r="DG79"/>
      <c r="DH79" s="6">
        <v>10.029999999999999</v>
      </c>
      <c r="DI79" t="s">
        <v>344</v>
      </c>
      <c r="DJ79"/>
      <c r="DK79" t="s">
        <v>345</v>
      </c>
      <c r="DL79"/>
      <c r="DM79"/>
      <c r="DN79"/>
      <c r="DO79"/>
      <c r="DP79"/>
      <c r="DQ79"/>
      <c r="DR79" t="s">
        <v>9104</v>
      </c>
      <c r="DS79" s="6">
        <v>10.029999999999999</v>
      </c>
      <c r="DT79" t="s">
        <v>424</v>
      </c>
      <c r="DU79" s="1">
        <v>44350</v>
      </c>
      <c r="DV79" s="1">
        <v>44439</v>
      </c>
    </row>
    <row r="80" spans="1:126" s="7" customFormat="1" ht="15" customHeight="1" x14ac:dyDescent="0.35">
      <c r="A80" t="s">
        <v>11185</v>
      </c>
      <c r="B80" t="s">
        <v>318</v>
      </c>
      <c r="C80" s="1">
        <v>44321</v>
      </c>
      <c r="D80" s="1">
        <v>44350</v>
      </c>
      <c r="E80" s="1"/>
      <c r="F80" s="1"/>
      <c r="G80" s="1"/>
      <c r="H80" t="s">
        <v>319</v>
      </c>
      <c r="I80" t="s">
        <v>11186</v>
      </c>
      <c r="J80" t="s">
        <v>260</v>
      </c>
      <c r="K80" t="s">
        <v>268</v>
      </c>
      <c r="L80" t="s">
        <v>2107</v>
      </c>
      <c r="M80" t="s">
        <v>11187</v>
      </c>
      <c r="N80"/>
      <c r="O80" t="s">
        <v>11188</v>
      </c>
      <c r="P80" t="s">
        <v>702</v>
      </c>
      <c r="Q80" s="3">
        <v>6840</v>
      </c>
      <c r="R80" t="s">
        <v>128</v>
      </c>
      <c r="S80"/>
      <c r="T80" s="4">
        <v>12039122414</v>
      </c>
      <c r="U80"/>
      <c r="V80" t="s">
        <v>11189</v>
      </c>
      <c r="W80" t="s">
        <v>11190</v>
      </c>
      <c r="X80"/>
      <c r="Y80" t="s">
        <v>11187</v>
      </c>
      <c r="Z80"/>
      <c r="AA80" t="s">
        <v>11188</v>
      </c>
      <c r="AB80" t="s">
        <v>703</v>
      </c>
      <c r="AC80" s="3" t="str">
        <f>"06840"</f>
        <v>06840</v>
      </c>
      <c r="AD80" t="s">
        <v>128</v>
      </c>
      <c r="AE80"/>
      <c r="AF80" s="4">
        <v>12039122414</v>
      </c>
      <c r="AG80"/>
      <c r="AH80" t="str">
        <f>"814110"</f>
        <v>814110</v>
      </c>
      <c r="AI80" t="s">
        <v>130</v>
      </c>
      <c r="AJ80" t="s">
        <v>2970</v>
      </c>
      <c r="AK80" t="s">
        <v>654</v>
      </c>
      <c r="AL80" t="s">
        <v>1198</v>
      </c>
      <c r="AM80" t="s">
        <v>2971</v>
      </c>
      <c r="AN80" t="s">
        <v>2972</v>
      </c>
      <c r="AO80" t="s">
        <v>2737</v>
      </c>
      <c r="AP80" t="s">
        <v>195</v>
      </c>
      <c r="AQ80" s="5">
        <v>33410</v>
      </c>
      <c r="AR80" t="s">
        <v>128</v>
      </c>
      <c r="AS80"/>
      <c r="AT80" s="4">
        <v>15614785353</v>
      </c>
      <c r="AU80">
        <v>0</v>
      </c>
      <c r="AV80" t="s">
        <v>11191</v>
      </c>
      <c r="AW80" t="s">
        <v>2974</v>
      </c>
      <c r="AX80" t="s">
        <v>131</v>
      </c>
      <c r="AY80" t="s">
        <v>131</v>
      </c>
      <c r="AZ80" t="s">
        <v>131</v>
      </c>
      <c r="BA80" t="s">
        <v>131</v>
      </c>
      <c r="BB80" t="s">
        <v>131</v>
      </c>
      <c r="BC80" t="s">
        <v>131</v>
      </c>
      <c r="BD80" t="s">
        <v>131</v>
      </c>
      <c r="BE80" t="s">
        <v>132</v>
      </c>
      <c r="BF80"/>
      <c r="BG80" s="1"/>
      <c r="BH80" t="s">
        <v>11192</v>
      </c>
      <c r="BI80" t="s">
        <v>131</v>
      </c>
      <c r="BJ80"/>
      <c r="BK80"/>
      <c r="BL80" t="s">
        <v>167</v>
      </c>
      <c r="BM80"/>
      <c r="BN80"/>
      <c r="BO80" t="s">
        <v>131</v>
      </c>
      <c r="BP80" t="s">
        <v>134</v>
      </c>
      <c r="BQ80" t="s">
        <v>131</v>
      </c>
      <c r="BR80"/>
      <c r="BS80" t="str">
        <f t="shared" si="8"/>
        <v>N/A</v>
      </c>
      <c r="BT80" t="s">
        <v>131</v>
      </c>
      <c r="BU80"/>
      <c r="BV80" t="str">
        <f>""</f>
        <v/>
      </c>
      <c r="BW80" t="s">
        <v>131</v>
      </c>
      <c r="BX80" t="str">
        <f>""</f>
        <v/>
      </c>
      <c r="BY80" t="str">
        <f>""</f>
        <v/>
      </c>
      <c r="BZ80" t="str">
        <f>""</f>
        <v/>
      </c>
      <c r="CA80" t="str">
        <f>""</f>
        <v/>
      </c>
      <c r="CB80" t="s">
        <v>131</v>
      </c>
      <c r="CC80"/>
      <c r="CD80"/>
      <c r="CE80"/>
      <c r="CF80" t="s">
        <v>131</v>
      </c>
      <c r="CG80"/>
      <c r="CH80" t="str">
        <f>""</f>
        <v/>
      </c>
      <c r="CI80" t="s">
        <v>131</v>
      </c>
      <c r="CJ80"/>
      <c r="CK80" t="s">
        <v>131</v>
      </c>
      <c r="CL80" t="str">
        <f>""</f>
        <v/>
      </c>
      <c r="CM80" t="str">
        <f>""</f>
        <v/>
      </c>
      <c r="CN80" t="str">
        <f>""</f>
        <v/>
      </c>
      <c r="CO80" t="str">
        <f>""</f>
        <v/>
      </c>
      <c r="CP80" t="str">
        <f>"39-9011.01"</f>
        <v>39-9011.01</v>
      </c>
      <c r="CQ80" t="s">
        <v>339</v>
      </c>
      <c r="CR80" t="s">
        <v>2107</v>
      </c>
      <c r="CS80" t="s">
        <v>131</v>
      </c>
      <c r="CT80"/>
      <c r="CU80" t="s">
        <v>11187</v>
      </c>
      <c r="CV80"/>
      <c r="CW80" t="s">
        <v>11188</v>
      </c>
      <c r="CX80" t="s">
        <v>703</v>
      </c>
      <c r="CY80"/>
      <c r="CZ80" s="3" t="str">
        <f>"06840"</f>
        <v>06840</v>
      </c>
      <c r="DA80" t="s">
        <v>131</v>
      </c>
      <c r="DB80" t="str">
        <f>"39-9011"</f>
        <v>39-9011</v>
      </c>
      <c r="DC80" t="s">
        <v>342</v>
      </c>
      <c r="DD80" t="s">
        <v>343</v>
      </c>
      <c r="DE80" t="s">
        <v>339</v>
      </c>
      <c r="DF80" t="str">
        <f>""</f>
        <v/>
      </c>
      <c r="DG80"/>
      <c r="DH80" s="6">
        <v>14.12</v>
      </c>
      <c r="DI80" t="s">
        <v>344</v>
      </c>
      <c r="DJ80"/>
      <c r="DK80" t="s">
        <v>345</v>
      </c>
      <c r="DL80"/>
      <c r="DM80"/>
      <c r="DN80"/>
      <c r="DO80"/>
      <c r="DP80"/>
      <c r="DQ80"/>
      <c r="DR80" t="s">
        <v>11193</v>
      </c>
      <c r="DS80" s="6">
        <v>14.12</v>
      </c>
      <c r="DT80" s="2" t="s">
        <v>11194</v>
      </c>
      <c r="DU80" s="1">
        <v>44350</v>
      </c>
      <c r="DV80" s="1">
        <v>44439</v>
      </c>
    </row>
    <row r="81" spans="1:126" s="7" customFormat="1" ht="15" customHeight="1" x14ac:dyDescent="0.35">
      <c r="A81" t="s">
        <v>15281</v>
      </c>
      <c r="B81" t="s">
        <v>318</v>
      </c>
      <c r="C81" s="1">
        <v>44321</v>
      </c>
      <c r="D81" s="1">
        <v>44351</v>
      </c>
      <c r="E81" s="1"/>
      <c r="F81" s="1"/>
      <c r="G81" s="1"/>
      <c r="H81" t="s">
        <v>319</v>
      </c>
      <c r="I81" t="s">
        <v>1312</v>
      </c>
      <c r="J81" t="s">
        <v>15282</v>
      </c>
      <c r="K81" t="s">
        <v>1624</v>
      </c>
      <c r="L81" t="s">
        <v>15283</v>
      </c>
      <c r="M81" t="s">
        <v>15284</v>
      </c>
      <c r="N81"/>
      <c r="O81" t="s">
        <v>4506</v>
      </c>
      <c r="P81"/>
      <c r="Q81" s="3">
        <v>39842</v>
      </c>
      <c r="R81" t="s">
        <v>643</v>
      </c>
      <c r="S81"/>
      <c r="T81" s="4">
        <v>12299953018</v>
      </c>
      <c r="U81"/>
      <c r="V81" t="s">
        <v>15285</v>
      </c>
      <c r="W81" t="s">
        <v>15286</v>
      </c>
      <c r="X81" t="s">
        <v>15286</v>
      </c>
      <c r="Y81" t="s">
        <v>15284</v>
      </c>
      <c r="Z81"/>
      <c r="AA81" t="s">
        <v>4506</v>
      </c>
      <c r="AB81"/>
      <c r="AC81" s="3" t="str">
        <f>"39842"</f>
        <v>39842</v>
      </c>
      <c r="AD81" t="s">
        <v>643</v>
      </c>
      <c r="AE81"/>
      <c r="AF81" s="4">
        <v>12299953018</v>
      </c>
      <c r="AG81"/>
      <c r="AH81" t="str">
        <f>"314910"</f>
        <v>314910</v>
      </c>
      <c r="AI81" t="s">
        <v>167</v>
      </c>
      <c r="AJ81"/>
      <c r="AK81"/>
      <c r="AL81"/>
      <c r="AM81"/>
      <c r="AN81"/>
      <c r="AO81"/>
      <c r="AP81"/>
      <c r="AQ81" s="5"/>
      <c r="AR81"/>
      <c r="AS81"/>
      <c r="AT81" s="4"/>
      <c r="AU81"/>
      <c r="AV81"/>
      <c r="AW81"/>
      <c r="AX81" t="s">
        <v>131</v>
      </c>
      <c r="AY81" t="s">
        <v>131</v>
      </c>
      <c r="AZ81" t="s">
        <v>131</v>
      </c>
      <c r="BA81" t="s">
        <v>131</v>
      </c>
      <c r="BB81" t="s">
        <v>131</v>
      </c>
      <c r="BC81" t="s">
        <v>131</v>
      </c>
      <c r="BD81" t="s">
        <v>131</v>
      </c>
      <c r="BE81" t="s">
        <v>132</v>
      </c>
      <c r="BF81"/>
      <c r="BG81" s="1"/>
      <c r="BH81" t="s">
        <v>7502</v>
      </c>
      <c r="BI81" t="s">
        <v>131</v>
      </c>
      <c r="BJ81"/>
      <c r="BK81"/>
      <c r="BL81" t="s">
        <v>167</v>
      </c>
      <c r="BM81"/>
      <c r="BN81"/>
      <c r="BO81" t="s">
        <v>131</v>
      </c>
      <c r="BP81" t="s">
        <v>134</v>
      </c>
      <c r="BQ81" t="s">
        <v>131</v>
      </c>
      <c r="BR81"/>
      <c r="BS81" t="str">
        <f t="shared" si="8"/>
        <v>N/A</v>
      </c>
      <c r="BT81" t="s">
        <v>131</v>
      </c>
      <c r="BU81"/>
      <c r="BV81" t="str">
        <f>""</f>
        <v/>
      </c>
      <c r="BW81" t="s">
        <v>131</v>
      </c>
      <c r="BX81" t="str">
        <f>""</f>
        <v/>
      </c>
      <c r="BY81" t="str">
        <f>""</f>
        <v/>
      </c>
      <c r="BZ81" t="str">
        <f>""</f>
        <v/>
      </c>
      <c r="CA81" t="str">
        <f>""</f>
        <v/>
      </c>
      <c r="CB81" t="s">
        <v>131</v>
      </c>
      <c r="CC81"/>
      <c r="CD81"/>
      <c r="CE81"/>
      <c r="CF81" t="s">
        <v>131</v>
      </c>
      <c r="CG81"/>
      <c r="CH81" t="str">
        <f>""</f>
        <v/>
      </c>
      <c r="CI81" t="s">
        <v>131</v>
      </c>
      <c r="CJ81"/>
      <c r="CK81" t="s">
        <v>131</v>
      </c>
      <c r="CL81" t="str">
        <f>""</f>
        <v/>
      </c>
      <c r="CM81" t="str">
        <f>""</f>
        <v/>
      </c>
      <c r="CN81" t="str">
        <f>""</f>
        <v/>
      </c>
      <c r="CO81" t="str">
        <f>""</f>
        <v/>
      </c>
      <c r="CP81" t="str">
        <f>"53-7062.00"</f>
        <v>53-7062.00</v>
      </c>
      <c r="CQ81" t="s">
        <v>1030</v>
      </c>
      <c r="CR81"/>
      <c r="CS81" t="s">
        <v>131</v>
      </c>
      <c r="CT81"/>
      <c r="CU81" t="s">
        <v>15284</v>
      </c>
      <c r="CV81"/>
      <c r="CW81" t="s">
        <v>4506</v>
      </c>
      <c r="CX81" t="s">
        <v>643</v>
      </c>
      <c r="CY81"/>
      <c r="CZ81" s="3" t="str">
        <f>"39842"</f>
        <v>39842</v>
      </c>
      <c r="DA81" t="s">
        <v>131</v>
      </c>
      <c r="DB81" t="str">
        <f>"51-4121"</f>
        <v>51-4121</v>
      </c>
      <c r="DC81" t="s">
        <v>6508</v>
      </c>
      <c r="DD81" t="s">
        <v>134</v>
      </c>
      <c r="DE81" t="s">
        <v>134</v>
      </c>
      <c r="DF81" t="str">
        <f>"53-7062.00"</f>
        <v>53-7062.00</v>
      </c>
      <c r="DG81" t="s">
        <v>1030</v>
      </c>
      <c r="DH81" s="6">
        <v>20.62</v>
      </c>
      <c r="DI81" t="s">
        <v>344</v>
      </c>
      <c r="DJ81"/>
      <c r="DK81" t="s">
        <v>345</v>
      </c>
      <c r="DL81"/>
      <c r="DM81"/>
      <c r="DN81"/>
      <c r="DO81"/>
      <c r="DP81"/>
      <c r="DQ81"/>
      <c r="DR81" t="s">
        <v>15287</v>
      </c>
      <c r="DS81" s="6">
        <v>20.62</v>
      </c>
      <c r="DT81" t="s">
        <v>424</v>
      </c>
      <c r="DU81" s="1">
        <v>44351</v>
      </c>
      <c r="DV81" s="1">
        <v>44440</v>
      </c>
    </row>
    <row r="82" spans="1:126" s="7" customFormat="1" ht="15" customHeight="1" x14ac:dyDescent="0.35">
      <c r="A82" t="s">
        <v>5579</v>
      </c>
      <c r="B82" t="s">
        <v>318</v>
      </c>
      <c r="C82" s="1">
        <v>44321</v>
      </c>
      <c r="D82" s="1">
        <v>44351</v>
      </c>
      <c r="E82" s="1"/>
      <c r="F82" s="1"/>
      <c r="G82" s="1"/>
      <c r="H82" t="s">
        <v>319</v>
      </c>
      <c r="I82" t="s">
        <v>1477</v>
      </c>
      <c r="J82" t="s">
        <v>4422</v>
      </c>
      <c r="K82"/>
      <c r="L82" t="s">
        <v>199</v>
      </c>
      <c r="M82" t="s">
        <v>5580</v>
      </c>
      <c r="N82"/>
      <c r="O82" t="s">
        <v>5581</v>
      </c>
      <c r="P82" t="s">
        <v>144</v>
      </c>
      <c r="Q82" s="3">
        <v>98584</v>
      </c>
      <c r="R82" t="s">
        <v>128</v>
      </c>
      <c r="S82"/>
      <c r="T82" s="4">
        <v>13604275544</v>
      </c>
      <c r="U82"/>
      <c r="V82" t="s">
        <v>1253</v>
      </c>
      <c r="W82" t="s">
        <v>5582</v>
      </c>
      <c r="X82"/>
      <c r="Y82" t="s">
        <v>5583</v>
      </c>
      <c r="Z82"/>
      <c r="AA82" t="s">
        <v>5581</v>
      </c>
      <c r="AB82" t="s">
        <v>149</v>
      </c>
      <c r="AC82" s="3" t="str">
        <f>"98584"</f>
        <v>98584</v>
      </c>
      <c r="AD82" t="s">
        <v>128</v>
      </c>
      <c r="AE82"/>
      <c r="AF82" s="4">
        <v>13604275544</v>
      </c>
      <c r="AG82"/>
      <c r="AH82" t="str">
        <f>"1132"</f>
        <v>1132</v>
      </c>
      <c r="AI82" t="s">
        <v>287</v>
      </c>
      <c r="AJ82" t="s">
        <v>5584</v>
      </c>
      <c r="AK82" t="s">
        <v>409</v>
      </c>
      <c r="AL82"/>
      <c r="AM82" t="s">
        <v>5585</v>
      </c>
      <c r="AN82" t="s">
        <v>2136</v>
      </c>
      <c r="AO82" t="s">
        <v>5586</v>
      </c>
      <c r="AP82" t="s">
        <v>149</v>
      </c>
      <c r="AQ82" s="5">
        <v>98516</v>
      </c>
      <c r="AR82" t="s">
        <v>128</v>
      </c>
      <c r="AS82"/>
      <c r="AT82" s="4">
        <v>13604558064</v>
      </c>
      <c r="AU82"/>
      <c r="AV82" t="s">
        <v>5587</v>
      </c>
      <c r="AW82" t="s">
        <v>5588</v>
      </c>
      <c r="AX82" t="s">
        <v>131</v>
      </c>
      <c r="AY82" t="s">
        <v>131</v>
      </c>
      <c r="AZ82" t="s">
        <v>131</v>
      </c>
      <c r="BA82" t="s">
        <v>131</v>
      </c>
      <c r="BB82" t="s">
        <v>131</v>
      </c>
      <c r="BC82" t="s">
        <v>131</v>
      </c>
      <c r="BD82" t="s">
        <v>131</v>
      </c>
      <c r="BE82" t="s">
        <v>132</v>
      </c>
      <c r="BF82"/>
      <c r="BG82" s="1"/>
      <c r="BH82" t="s">
        <v>5589</v>
      </c>
      <c r="BI82" t="s">
        <v>131</v>
      </c>
      <c r="BJ82"/>
      <c r="BK82"/>
      <c r="BL82" t="s">
        <v>167</v>
      </c>
      <c r="BM82"/>
      <c r="BN82"/>
      <c r="BO82" t="s">
        <v>131</v>
      </c>
      <c r="BP82" t="s">
        <v>134</v>
      </c>
      <c r="BQ82" t="s">
        <v>131</v>
      </c>
      <c r="BR82"/>
      <c r="BS82" t="str">
        <f t="shared" si="8"/>
        <v>N/A</v>
      </c>
      <c r="BT82" t="s">
        <v>131</v>
      </c>
      <c r="BU82"/>
      <c r="BV82" t="str">
        <f>""</f>
        <v/>
      </c>
      <c r="BW82" t="s">
        <v>135</v>
      </c>
      <c r="BX82" t="str">
        <f>""</f>
        <v/>
      </c>
      <c r="BY82" t="str">
        <f>""</f>
        <v/>
      </c>
      <c r="BZ82" t="str">
        <f>""</f>
        <v/>
      </c>
      <c r="CA82" s="2" t="s">
        <v>5590</v>
      </c>
      <c r="CB82" t="s">
        <v>131</v>
      </c>
      <c r="CC82"/>
      <c r="CD82"/>
      <c r="CE82"/>
      <c r="CF82" t="s">
        <v>131</v>
      </c>
      <c r="CG82"/>
      <c r="CH82" t="str">
        <f>""</f>
        <v/>
      </c>
      <c r="CI82" t="s">
        <v>131</v>
      </c>
      <c r="CJ82"/>
      <c r="CK82" t="s">
        <v>131</v>
      </c>
      <c r="CL82" t="str">
        <f>""</f>
        <v/>
      </c>
      <c r="CM82" t="str">
        <f>""</f>
        <v/>
      </c>
      <c r="CN82" t="str">
        <f>""</f>
        <v/>
      </c>
      <c r="CO82" t="str">
        <f>""</f>
        <v/>
      </c>
      <c r="CP82" t="str">
        <f>"27-1023.00"</f>
        <v>27-1023.00</v>
      </c>
      <c r="CQ82" t="s">
        <v>5591</v>
      </c>
      <c r="CR82"/>
      <c r="CS82" t="s">
        <v>131</v>
      </c>
      <c r="CT82"/>
      <c r="CU82" t="s">
        <v>5592</v>
      </c>
      <c r="CV82"/>
      <c r="CW82" t="s">
        <v>5581</v>
      </c>
      <c r="CX82" t="s">
        <v>149</v>
      </c>
      <c r="CY82"/>
      <c r="CZ82" s="3" t="str">
        <f>"98584"</f>
        <v>98584</v>
      </c>
      <c r="DA82" t="s">
        <v>135</v>
      </c>
      <c r="DB82" t="str">
        <f>"27-1023"</f>
        <v>27-1023</v>
      </c>
      <c r="DC82" t="s">
        <v>5591</v>
      </c>
      <c r="DD82" t="s">
        <v>134</v>
      </c>
      <c r="DE82" t="s">
        <v>134</v>
      </c>
      <c r="DF82" t="str">
        <f>""</f>
        <v/>
      </c>
      <c r="DG82"/>
      <c r="DH82" s="6">
        <v>15.32</v>
      </c>
      <c r="DI82" t="s">
        <v>344</v>
      </c>
      <c r="DJ82"/>
      <c r="DK82" t="s">
        <v>345</v>
      </c>
      <c r="DL82"/>
      <c r="DM82"/>
      <c r="DN82"/>
      <c r="DO82"/>
      <c r="DP82"/>
      <c r="DQ82"/>
      <c r="DR82" t="s">
        <v>5593</v>
      </c>
      <c r="DS82" s="6">
        <v>15.32</v>
      </c>
      <c r="DT82" t="s">
        <v>424</v>
      </c>
      <c r="DU82" s="1">
        <v>44351</v>
      </c>
      <c r="DV82" s="1">
        <v>44440</v>
      </c>
    </row>
    <row r="83" spans="1:126" s="7" customFormat="1" ht="15" customHeight="1" x14ac:dyDescent="0.35">
      <c r="A83" t="s">
        <v>15323</v>
      </c>
      <c r="B83" t="s">
        <v>318</v>
      </c>
      <c r="C83" s="1">
        <v>44321</v>
      </c>
      <c r="D83" s="1">
        <v>44350</v>
      </c>
      <c r="E83" s="1"/>
      <c r="F83" s="1"/>
      <c r="G83" s="1"/>
      <c r="H83" t="s">
        <v>319</v>
      </c>
      <c r="I83" t="s">
        <v>2871</v>
      </c>
      <c r="J83" t="s">
        <v>2516</v>
      </c>
      <c r="K83"/>
      <c r="L83" t="s">
        <v>633</v>
      </c>
      <c r="M83" t="s">
        <v>15324</v>
      </c>
      <c r="N83"/>
      <c r="O83" t="s">
        <v>2071</v>
      </c>
      <c r="P83" t="s">
        <v>593</v>
      </c>
      <c r="Q83" s="3">
        <v>27834</v>
      </c>
      <c r="R83" t="s">
        <v>128</v>
      </c>
      <c r="S83"/>
      <c r="T83" s="4">
        <v>12526896847</v>
      </c>
      <c r="U83"/>
      <c r="V83" t="s">
        <v>15325</v>
      </c>
      <c r="W83" t="s">
        <v>15326</v>
      </c>
      <c r="X83" t="s">
        <v>15327</v>
      </c>
      <c r="Y83" t="s">
        <v>15324</v>
      </c>
      <c r="Z83"/>
      <c r="AA83" t="s">
        <v>2071</v>
      </c>
      <c r="AB83" t="s">
        <v>594</v>
      </c>
      <c r="AC83" s="3" t="str">
        <f>"27834"</f>
        <v>27834</v>
      </c>
      <c r="AD83" t="s">
        <v>128</v>
      </c>
      <c r="AE83"/>
      <c r="AF83" s="4">
        <v>12526896847</v>
      </c>
      <c r="AG83"/>
      <c r="AH83" t="str">
        <f>"337121"</f>
        <v>337121</v>
      </c>
      <c r="AI83" t="s">
        <v>130</v>
      </c>
      <c r="AJ83" t="s">
        <v>15269</v>
      </c>
      <c r="AK83" t="s">
        <v>15328</v>
      </c>
      <c r="AL83"/>
      <c r="AM83" t="s">
        <v>15329</v>
      </c>
      <c r="AN83" t="s">
        <v>1524</v>
      </c>
      <c r="AO83" t="s">
        <v>2071</v>
      </c>
      <c r="AP83" t="s">
        <v>594</v>
      </c>
      <c r="AQ83" s="5">
        <v>27858</v>
      </c>
      <c r="AR83" t="s">
        <v>128</v>
      </c>
      <c r="AS83"/>
      <c r="AT83" s="4">
        <v>19105260056</v>
      </c>
      <c r="AU83"/>
      <c r="AV83" t="s">
        <v>15330</v>
      </c>
      <c r="AW83" t="s">
        <v>15331</v>
      </c>
      <c r="AX83" t="s">
        <v>131</v>
      </c>
      <c r="AY83" t="s">
        <v>131</v>
      </c>
      <c r="AZ83" t="s">
        <v>131</v>
      </c>
      <c r="BA83" t="s">
        <v>131</v>
      </c>
      <c r="BB83" t="s">
        <v>131</v>
      </c>
      <c r="BC83" t="s">
        <v>131</v>
      </c>
      <c r="BD83" t="s">
        <v>131</v>
      </c>
      <c r="BE83" t="s">
        <v>132</v>
      </c>
      <c r="BF83"/>
      <c r="BG83" s="1"/>
      <c r="BH83" t="s">
        <v>15332</v>
      </c>
      <c r="BI83" t="s">
        <v>131</v>
      </c>
      <c r="BJ83"/>
      <c r="BK83"/>
      <c r="BL83" t="s">
        <v>167</v>
      </c>
      <c r="BM83"/>
      <c r="BN83"/>
      <c r="BO83" t="s">
        <v>131</v>
      </c>
      <c r="BP83" t="s">
        <v>134</v>
      </c>
      <c r="BQ83" t="s">
        <v>131</v>
      </c>
      <c r="BR83"/>
      <c r="BS83" t="str">
        <f t="shared" si="8"/>
        <v>N/A</v>
      </c>
      <c r="BT83" t="s">
        <v>135</v>
      </c>
      <c r="BU83">
        <v>6</v>
      </c>
      <c r="BV83" t="str">
        <f>"Upholsterer, stapler, upholstery trimmer/crafter or other related experience using hand tools, such as hammer and staple guns. "</f>
        <v xml:space="preserve">Upholsterer, stapler, upholstery trimmer/crafter or other related experience using hand tools, such as hammer and staple guns. </v>
      </c>
      <c r="BW83" t="s">
        <v>131</v>
      </c>
      <c r="BX83" t="str">
        <f>""</f>
        <v/>
      </c>
      <c r="BY83" t="str">
        <f>""</f>
        <v/>
      </c>
      <c r="BZ83" t="str">
        <f>""</f>
        <v/>
      </c>
      <c r="CA83" t="str">
        <f>""</f>
        <v/>
      </c>
      <c r="CB83" t="s">
        <v>131</v>
      </c>
      <c r="CC83"/>
      <c r="CD83"/>
      <c r="CE83"/>
      <c r="CF83" t="s">
        <v>131</v>
      </c>
      <c r="CG83"/>
      <c r="CH83" t="str">
        <f>""</f>
        <v/>
      </c>
      <c r="CI83" t="s">
        <v>131</v>
      </c>
      <c r="CJ83"/>
      <c r="CK83" t="s">
        <v>131</v>
      </c>
      <c r="CL83" t="str">
        <f>""</f>
        <v/>
      </c>
      <c r="CM83" t="str">
        <f>""</f>
        <v/>
      </c>
      <c r="CN83" t="str">
        <f>""</f>
        <v/>
      </c>
      <c r="CO83" t="str">
        <f>""</f>
        <v/>
      </c>
      <c r="CP83" t="str">
        <f>"51-6093.00"</f>
        <v>51-6093.00</v>
      </c>
      <c r="CQ83" t="s">
        <v>4745</v>
      </c>
      <c r="CR83" t="s">
        <v>15333</v>
      </c>
      <c r="CS83" t="s">
        <v>131</v>
      </c>
      <c r="CT83"/>
      <c r="CU83" t="s">
        <v>15334</v>
      </c>
      <c r="CV83"/>
      <c r="CW83" t="s">
        <v>2071</v>
      </c>
      <c r="CX83" t="s">
        <v>594</v>
      </c>
      <c r="CY83"/>
      <c r="CZ83" s="3" t="str">
        <f>"27834"</f>
        <v>27834</v>
      </c>
      <c r="DA83" t="s">
        <v>131</v>
      </c>
      <c r="DB83" t="str">
        <f>"51-6093"</f>
        <v>51-6093</v>
      </c>
      <c r="DC83" t="s">
        <v>4745</v>
      </c>
      <c r="DD83" t="s">
        <v>134</v>
      </c>
      <c r="DE83" t="s">
        <v>134</v>
      </c>
      <c r="DF83" t="str">
        <f>""</f>
        <v/>
      </c>
      <c r="DG83"/>
      <c r="DH83" s="6">
        <v>15.59</v>
      </c>
      <c r="DI83" t="s">
        <v>344</v>
      </c>
      <c r="DJ83"/>
      <c r="DK83" t="s">
        <v>345</v>
      </c>
      <c r="DL83"/>
      <c r="DM83"/>
      <c r="DN83"/>
      <c r="DO83"/>
      <c r="DP83"/>
      <c r="DQ83"/>
      <c r="DR83" t="s">
        <v>15335</v>
      </c>
      <c r="DS83" s="6">
        <v>15.59</v>
      </c>
      <c r="DT83" t="s">
        <v>424</v>
      </c>
      <c r="DU83" s="1">
        <v>44350</v>
      </c>
      <c r="DV83" s="1">
        <v>44439</v>
      </c>
    </row>
    <row r="84" spans="1:126" s="7" customFormat="1" ht="15" customHeight="1" x14ac:dyDescent="0.35">
      <c r="A84" t="s">
        <v>11504</v>
      </c>
      <c r="B84" t="s">
        <v>318</v>
      </c>
      <c r="C84" s="1">
        <v>44321</v>
      </c>
      <c r="D84" s="1">
        <v>44351</v>
      </c>
      <c r="E84" s="1"/>
      <c r="F84" s="1"/>
      <c r="G84" s="1"/>
      <c r="H84" t="s">
        <v>319</v>
      </c>
      <c r="I84" t="s">
        <v>6744</v>
      </c>
      <c r="J84" t="s">
        <v>6745</v>
      </c>
      <c r="K84" t="s">
        <v>734</v>
      </c>
      <c r="L84" t="s">
        <v>3359</v>
      </c>
      <c r="M84" t="s">
        <v>6746</v>
      </c>
      <c r="N84" t="s">
        <v>734</v>
      </c>
      <c r="O84" t="s">
        <v>742</v>
      </c>
      <c r="P84" t="s">
        <v>588</v>
      </c>
      <c r="Q84" s="3">
        <v>23235</v>
      </c>
      <c r="R84" t="s">
        <v>128</v>
      </c>
      <c r="S84"/>
      <c r="T84" s="4">
        <v>18049122586</v>
      </c>
      <c r="U84"/>
      <c r="V84" t="s">
        <v>6747</v>
      </c>
      <c r="W84" t="s">
        <v>11505</v>
      </c>
      <c r="X84"/>
      <c r="Y84" t="s">
        <v>6746</v>
      </c>
      <c r="Z84"/>
      <c r="AA84" t="s">
        <v>742</v>
      </c>
      <c r="AB84" t="s">
        <v>306</v>
      </c>
      <c r="AC84" s="3" t="str">
        <f>"23235"</f>
        <v>23235</v>
      </c>
      <c r="AD84" t="s">
        <v>128</v>
      </c>
      <c r="AE84"/>
      <c r="AF84" s="4">
        <v>18049122586</v>
      </c>
      <c r="AG84"/>
      <c r="AH84" t="str">
        <f>"722513"</f>
        <v>722513</v>
      </c>
      <c r="AI84" t="s">
        <v>287</v>
      </c>
      <c r="AJ84" t="s">
        <v>1106</v>
      </c>
      <c r="AK84" t="s">
        <v>1107</v>
      </c>
      <c r="AL84" t="s">
        <v>1108</v>
      </c>
      <c r="AM84" t="s">
        <v>1109</v>
      </c>
      <c r="AN84" t="s">
        <v>1110</v>
      </c>
      <c r="AO84" t="s">
        <v>1111</v>
      </c>
      <c r="AP84" t="s">
        <v>306</v>
      </c>
      <c r="AQ84" s="5">
        <v>24501</v>
      </c>
      <c r="AR84" t="s">
        <v>128</v>
      </c>
      <c r="AS84"/>
      <c r="AT84" s="4">
        <v>14349460035</v>
      </c>
      <c r="AU84">
        <v>11</v>
      </c>
      <c r="AV84" t="s">
        <v>10291</v>
      </c>
      <c r="AW84" t="s">
        <v>1113</v>
      </c>
      <c r="AX84" t="s">
        <v>131</v>
      </c>
      <c r="AY84" t="s">
        <v>131</v>
      </c>
      <c r="AZ84" t="s">
        <v>131</v>
      </c>
      <c r="BA84" t="s">
        <v>131</v>
      </c>
      <c r="BB84" t="s">
        <v>131</v>
      </c>
      <c r="BC84" t="s">
        <v>131</v>
      </c>
      <c r="BD84" t="s">
        <v>131</v>
      </c>
      <c r="BE84" t="s">
        <v>132</v>
      </c>
      <c r="BF84"/>
      <c r="BG84" s="1"/>
      <c r="BH84" t="s">
        <v>6750</v>
      </c>
      <c r="BI84" t="s">
        <v>131</v>
      </c>
      <c r="BJ84"/>
      <c r="BK84"/>
      <c r="BL84" t="s">
        <v>167</v>
      </c>
      <c r="BM84"/>
      <c r="BN84"/>
      <c r="BO84" t="s">
        <v>131</v>
      </c>
      <c r="BP84" t="s">
        <v>134</v>
      </c>
      <c r="BQ84" t="s">
        <v>131</v>
      </c>
      <c r="BR84"/>
      <c r="BS84" t="str">
        <f t="shared" si="8"/>
        <v>N/A</v>
      </c>
      <c r="BT84" t="s">
        <v>131</v>
      </c>
      <c r="BU84"/>
      <c r="BV84" t="str">
        <f>""</f>
        <v/>
      </c>
      <c r="BW84" t="s">
        <v>135</v>
      </c>
      <c r="BX84" t="str">
        <f>""</f>
        <v/>
      </c>
      <c r="BY84" t="str">
        <f>""</f>
        <v/>
      </c>
      <c r="BZ84" t="str">
        <f>""</f>
        <v/>
      </c>
      <c r="CA84" s="2" t="s">
        <v>11506</v>
      </c>
      <c r="CB84" t="s">
        <v>131</v>
      </c>
      <c r="CC84"/>
      <c r="CD84"/>
      <c r="CE84"/>
      <c r="CF84" t="s">
        <v>131</v>
      </c>
      <c r="CG84"/>
      <c r="CH84" t="str">
        <f>""</f>
        <v/>
      </c>
      <c r="CI84" t="s">
        <v>131</v>
      </c>
      <c r="CJ84"/>
      <c r="CK84" t="s">
        <v>131</v>
      </c>
      <c r="CL84" t="str">
        <f>""</f>
        <v/>
      </c>
      <c r="CM84" t="str">
        <f>""</f>
        <v/>
      </c>
      <c r="CN84" t="str">
        <f>""</f>
        <v/>
      </c>
      <c r="CO84" t="str">
        <f>""</f>
        <v/>
      </c>
      <c r="CP84" t="str">
        <f>"35-3021.00"</f>
        <v>35-3021.00</v>
      </c>
      <c r="CQ84" t="s">
        <v>2581</v>
      </c>
      <c r="CR84" t="s">
        <v>6752</v>
      </c>
      <c r="CS84" t="s">
        <v>131</v>
      </c>
      <c r="CT84"/>
      <c r="CU84" t="s">
        <v>6746</v>
      </c>
      <c r="CV84"/>
      <c r="CW84" t="s">
        <v>742</v>
      </c>
      <c r="CX84" t="s">
        <v>306</v>
      </c>
      <c r="CY84"/>
      <c r="CZ84" s="3" t="str">
        <f>"23235"</f>
        <v>23235</v>
      </c>
      <c r="DA84" t="s">
        <v>131</v>
      </c>
      <c r="DB84" t="str">
        <f>"35-2014"</f>
        <v>35-2014</v>
      </c>
      <c r="DC84" t="s">
        <v>581</v>
      </c>
      <c r="DD84" t="s">
        <v>134</v>
      </c>
      <c r="DE84" t="s">
        <v>134</v>
      </c>
      <c r="DF84" t="str">
        <f>"35-9021.00"</f>
        <v>35-9021.00</v>
      </c>
      <c r="DG84" t="s">
        <v>2552</v>
      </c>
      <c r="DH84" s="6">
        <v>12.09</v>
      </c>
      <c r="DI84" t="s">
        <v>344</v>
      </c>
      <c r="DJ84"/>
      <c r="DK84" t="s">
        <v>345</v>
      </c>
      <c r="DL84"/>
      <c r="DM84"/>
      <c r="DN84"/>
      <c r="DO84"/>
      <c r="DP84"/>
      <c r="DQ84"/>
      <c r="DR84"/>
      <c r="DS84" s="6">
        <v>12.09</v>
      </c>
      <c r="DT84" t="s">
        <v>424</v>
      </c>
      <c r="DU84" s="1">
        <v>44351</v>
      </c>
      <c r="DV84" s="1">
        <v>44440</v>
      </c>
    </row>
    <row r="85" spans="1:126" s="7" customFormat="1" ht="15" customHeight="1" x14ac:dyDescent="0.35">
      <c r="A85" t="s">
        <v>18616</v>
      </c>
      <c r="B85" t="s">
        <v>318</v>
      </c>
      <c r="C85" s="1">
        <v>44321</v>
      </c>
      <c r="D85" s="1">
        <v>44350</v>
      </c>
      <c r="E85" s="1"/>
      <c r="F85" s="1"/>
      <c r="G85" s="1"/>
      <c r="H85" t="s">
        <v>319</v>
      </c>
      <c r="I85" t="s">
        <v>5628</v>
      </c>
      <c r="J85" t="s">
        <v>2787</v>
      </c>
      <c r="K85" t="s">
        <v>2872</v>
      </c>
      <c r="L85" t="s">
        <v>1105</v>
      </c>
      <c r="M85" t="s">
        <v>18617</v>
      </c>
      <c r="N85"/>
      <c r="O85" t="s">
        <v>17658</v>
      </c>
      <c r="P85" t="s">
        <v>6837</v>
      </c>
      <c r="Q85" s="3">
        <v>83128</v>
      </c>
      <c r="R85" t="s">
        <v>128</v>
      </c>
      <c r="S85"/>
      <c r="T85" s="4">
        <v>13128631144</v>
      </c>
      <c r="U85"/>
      <c r="V85" t="s">
        <v>18618</v>
      </c>
      <c r="W85" t="s">
        <v>18619</v>
      </c>
      <c r="X85"/>
      <c r="Y85" t="s">
        <v>18617</v>
      </c>
      <c r="Z85"/>
      <c r="AA85" t="s">
        <v>17658</v>
      </c>
      <c r="AB85" t="s">
        <v>6838</v>
      </c>
      <c r="AC85" s="3" t="str">
        <f>"83128"</f>
        <v>83128</v>
      </c>
      <c r="AD85" t="s">
        <v>128</v>
      </c>
      <c r="AE85"/>
      <c r="AF85" s="4">
        <v>13128631144</v>
      </c>
      <c r="AG85"/>
      <c r="AH85" t="str">
        <f>"8141"</f>
        <v>8141</v>
      </c>
      <c r="AI85" t="s">
        <v>130</v>
      </c>
      <c r="AJ85" t="s">
        <v>18620</v>
      </c>
      <c r="AK85" t="s">
        <v>6567</v>
      </c>
      <c r="AL85"/>
      <c r="AM85" t="s">
        <v>16224</v>
      </c>
      <c r="AN85" t="s">
        <v>8200</v>
      </c>
      <c r="AO85" t="s">
        <v>1175</v>
      </c>
      <c r="AP85" t="s">
        <v>1176</v>
      </c>
      <c r="AQ85" s="5">
        <v>68102</v>
      </c>
      <c r="AR85" t="s">
        <v>128</v>
      </c>
      <c r="AS85"/>
      <c r="AT85" s="4">
        <v>14023413070</v>
      </c>
      <c r="AU85">
        <v>563</v>
      </c>
      <c r="AV85" t="s">
        <v>18621</v>
      </c>
      <c r="AW85" t="s">
        <v>18622</v>
      </c>
      <c r="AX85" t="s">
        <v>131</v>
      </c>
      <c r="AY85" t="s">
        <v>131</v>
      </c>
      <c r="AZ85" t="s">
        <v>131</v>
      </c>
      <c r="BA85" t="s">
        <v>131</v>
      </c>
      <c r="BB85" t="s">
        <v>131</v>
      </c>
      <c r="BC85" t="s">
        <v>131</v>
      </c>
      <c r="BD85" t="s">
        <v>131</v>
      </c>
      <c r="BE85" t="s">
        <v>132</v>
      </c>
      <c r="BF85"/>
      <c r="BG85" s="1"/>
      <c r="BH85" t="s">
        <v>2109</v>
      </c>
      <c r="BI85" t="s">
        <v>131</v>
      </c>
      <c r="BJ85"/>
      <c r="BK85"/>
      <c r="BL85" t="s">
        <v>133</v>
      </c>
      <c r="BM85"/>
      <c r="BN85" t="s">
        <v>18623</v>
      </c>
      <c r="BO85" t="s">
        <v>131</v>
      </c>
      <c r="BP85" t="s">
        <v>134</v>
      </c>
      <c r="BQ85" t="s">
        <v>131</v>
      </c>
      <c r="BR85"/>
      <c r="BS85" t="str">
        <f t="shared" si="8"/>
        <v>N/A</v>
      </c>
      <c r="BT85" t="s">
        <v>135</v>
      </c>
      <c r="BU85">
        <v>60</v>
      </c>
      <c r="BV85" t="str">
        <f>"Nanny/Professional Childcare"</f>
        <v>Nanny/Professional Childcare</v>
      </c>
      <c r="BW85" t="s">
        <v>135</v>
      </c>
      <c r="BX85" t="str">
        <f>"CPR and First Aid"</f>
        <v>CPR and First Aid</v>
      </c>
      <c r="BY85" t="str">
        <f>"English (Required)/Bilingual (Preferred)"</f>
        <v>English (Required)/Bilingual (Preferred)</v>
      </c>
      <c r="BZ85" t="str">
        <f>""</f>
        <v/>
      </c>
      <c r="CA85" t="str">
        <f>"Clean background check. 
Driver's License. 
Ability to drive in all weather.
Clean driving record.
Infant/Toddler swimming.
Exceptional references.
Current vaccines.
Willingness to travel by vehicle and airplane.
Dog friendly.
"</f>
        <v xml:space="preserve">Clean background check. 
Driver's License. 
Ability to drive in all weather.
Clean driving record.
Infant/Toddler swimming.
Exceptional references.
Current vaccines.
Willingness to travel by vehicle and airplane.
Dog friendly.
</v>
      </c>
      <c r="CB85" t="s">
        <v>131</v>
      </c>
      <c r="CC85"/>
      <c r="CD85"/>
      <c r="CE85"/>
      <c r="CF85" t="s">
        <v>131</v>
      </c>
      <c r="CG85"/>
      <c r="CH85" t="str">
        <f>""</f>
        <v/>
      </c>
      <c r="CI85" t="s">
        <v>131</v>
      </c>
      <c r="CJ85"/>
      <c r="CK85" t="s">
        <v>131</v>
      </c>
      <c r="CL85" t="str">
        <f>""</f>
        <v/>
      </c>
      <c r="CM85" t="str">
        <f>""</f>
        <v/>
      </c>
      <c r="CN85" t="str">
        <f>""</f>
        <v/>
      </c>
      <c r="CO85" t="str">
        <f>""</f>
        <v/>
      </c>
      <c r="CP85" t="str">
        <f>"39-9011.01"</f>
        <v>39-9011.01</v>
      </c>
      <c r="CQ85" t="s">
        <v>339</v>
      </c>
      <c r="CR85" t="s">
        <v>2109</v>
      </c>
      <c r="CS85" t="s">
        <v>135</v>
      </c>
      <c r="CT85" s="2" t="s">
        <v>18624</v>
      </c>
      <c r="CU85" t="s">
        <v>18617</v>
      </c>
      <c r="CV85"/>
      <c r="CW85" t="s">
        <v>17658</v>
      </c>
      <c r="CX85" t="s">
        <v>6838</v>
      </c>
      <c r="CY85"/>
      <c r="CZ85" s="3" t="str">
        <f>"83128"</f>
        <v>83128</v>
      </c>
      <c r="DA85" t="s">
        <v>135</v>
      </c>
      <c r="DB85" t="str">
        <f>"39-9011"</f>
        <v>39-9011</v>
      </c>
      <c r="DC85" t="s">
        <v>342</v>
      </c>
      <c r="DD85" t="s">
        <v>343</v>
      </c>
      <c r="DE85" t="s">
        <v>339</v>
      </c>
      <c r="DF85" t="str">
        <f>""</f>
        <v/>
      </c>
      <c r="DG85"/>
      <c r="DH85" s="6">
        <v>13.08</v>
      </c>
      <c r="DI85" t="s">
        <v>344</v>
      </c>
      <c r="DJ85"/>
      <c r="DK85" t="s">
        <v>345</v>
      </c>
      <c r="DL85"/>
      <c r="DM85"/>
      <c r="DN85"/>
      <c r="DO85"/>
      <c r="DP85"/>
      <c r="DQ85"/>
      <c r="DR85"/>
      <c r="DS85" s="6">
        <v>13.79</v>
      </c>
      <c r="DT85" s="2" t="s">
        <v>18625</v>
      </c>
      <c r="DU85" s="1">
        <v>44350</v>
      </c>
      <c r="DV85" s="1">
        <v>44439</v>
      </c>
    </row>
    <row r="86" spans="1:126" s="7" customFormat="1" ht="15" customHeight="1" x14ac:dyDescent="0.35">
      <c r="A86" t="s">
        <v>10759</v>
      </c>
      <c r="B86" t="s">
        <v>318</v>
      </c>
      <c r="C86" s="1">
        <v>44321</v>
      </c>
      <c r="D86" s="1">
        <v>44357</v>
      </c>
      <c r="E86" s="1"/>
      <c r="F86" s="1"/>
      <c r="G86" s="1"/>
      <c r="H86" t="s">
        <v>319</v>
      </c>
      <c r="I86" t="s">
        <v>10760</v>
      </c>
      <c r="J86" t="s">
        <v>10761</v>
      </c>
      <c r="K86" t="s">
        <v>978</v>
      </c>
      <c r="L86" t="s">
        <v>9816</v>
      </c>
      <c r="M86" t="s">
        <v>10762</v>
      </c>
      <c r="N86" t="s">
        <v>10763</v>
      </c>
      <c r="O86" t="s">
        <v>3347</v>
      </c>
      <c r="P86" t="s">
        <v>144</v>
      </c>
      <c r="Q86" s="3">
        <v>98579</v>
      </c>
      <c r="R86" t="s">
        <v>128</v>
      </c>
      <c r="S86" t="s">
        <v>978</v>
      </c>
      <c r="T86" s="4">
        <v>13602691769</v>
      </c>
      <c r="U86"/>
      <c r="V86" t="s">
        <v>10764</v>
      </c>
      <c r="W86" t="s">
        <v>10765</v>
      </c>
      <c r="X86" t="s">
        <v>978</v>
      </c>
      <c r="Y86" t="s">
        <v>10762</v>
      </c>
      <c r="Z86" t="s">
        <v>10766</v>
      </c>
      <c r="AA86" t="s">
        <v>3347</v>
      </c>
      <c r="AB86" t="s">
        <v>149</v>
      </c>
      <c r="AC86" s="3" t="str">
        <f>"98579"</f>
        <v>98579</v>
      </c>
      <c r="AD86" t="s">
        <v>128</v>
      </c>
      <c r="AE86"/>
      <c r="AF86" s="4">
        <v>13602691769</v>
      </c>
      <c r="AG86"/>
      <c r="AH86" t="str">
        <f>"115310"</f>
        <v>115310</v>
      </c>
      <c r="AI86" t="s">
        <v>167</v>
      </c>
      <c r="AJ86"/>
      <c r="AK86"/>
      <c r="AL86"/>
      <c r="AM86"/>
      <c r="AN86"/>
      <c r="AO86"/>
      <c r="AP86"/>
      <c r="AQ86" s="5"/>
      <c r="AR86"/>
      <c r="AS86"/>
      <c r="AT86" s="4"/>
      <c r="AU86"/>
      <c r="AV86"/>
      <c r="AW86"/>
      <c r="AX86" t="s">
        <v>131</v>
      </c>
      <c r="AY86" t="s">
        <v>131</v>
      </c>
      <c r="AZ86" t="s">
        <v>131</v>
      </c>
      <c r="BA86" t="s">
        <v>131</v>
      </c>
      <c r="BB86" t="s">
        <v>131</v>
      </c>
      <c r="BC86" t="s">
        <v>131</v>
      </c>
      <c r="BD86" t="s">
        <v>131</v>
      </c>
      <c r="BE86" t="s">
        <v>132</v>
      </c>
      <c r="BF86"/>
      <c r="BG86" s="1"/>
      <c r="BH86" t="s">
        <v>5068</v>
      </c>
      <c r="BI86" t="s">
        <v>135</v>
      </c>
      <c r="BJ86" t="s">
        <v>10110</v>
      </c>
      <c r="BK86" t="s">
        <v>4310</v>
      </c>
      <c r="BL86" t="s">
        <v>167</v>
      </c>
      <c r="BM86"/>
      <c r="BN86"/>
      <c r="BO86" t="s">
        <v>131</v>
      </c>
      <c r="BP86" t="s">
        <v>134</v>
      </c>
      <c r="BQ86" t="s">
        <v>131</v>
      </c>
      <c r="BR86"/>
      <c r="BS86" t="str">
        <f t="shared" si="8"/>
        <v>N/A</v>
      </c>
      <c r="BT86" t="s">
        <v>135</v>
      </c>
      <c r="BU86">
        <v>24</v>
      </c>
      <c r="BV86" t="str">
        <f>"COMMERCIAL TREE PLANTING (SEEDLINGS), PRE-COMMERCIAL THINNING AND PILING"</f>
        <v>COMMERCIAL TREE PLANTING (SEEDLINGS), PRE-COMMERCIAL THINNING AND PILING</v>
      </c>
      <c r="BW86" t="s">
        <v>131</v>
      </c>
      <c r="BX86" t="str">
        <f>""</f>
        <v/>
      </c>
      <c r="BY86" t="str">
        <f>""</f>
        <v/>
      </c>
      <c r="BZ86" t="str">
        <f>""</f>
        <v/>
      </c>
      <c r="CA86" t="str">
        <f>""</f>
        <v/>
      </c>
      <c r="CB86" t="s">
        <v>131</v>
      </c>
      <c r="CC86"/>
      <c r="CD86"/>
      <c r="CE86"/>
      <c r="CF86" t="s">
        <v>131</v>
      </c>
      <c r="CG86"/>
      <c r="CH86" t="str">
        <f>""</f>
        <v/>
      </c>
      <c r="CI86" t="s">
        <v>131</v>
      </c>
      <c r="CJ86"/>
      <c r="CK86" t="s">
        <v>131</v>
      </c>
      <c r="CL86" t="str">
        <f>""</f>
        <v/>
      </c>
      <c r="CM86" t="str">
        <f>""</f>
        <v/>
      </c>
      <c r="CN86" t="str">
        <f>""</f>
        <v/>
      </c>
      <c r="CO86" t="str">
        <f>""</f>
        <v/>
      </c>
      <c r="CP86" t="str">
        <f>"45-4011.00"</f>
        <v>45-4011.00</v>
      </c>
      <c r="CQ86" t="s">
        <v>4310</v>
      </c>
      <c r="CR86" t="s">
        <v>392</v>
      </c>
      <c r="CS86" t="s">
        <v>135</v>
      </c>
      <c r="CT86" t="s">
        <v>10767</v>
      </c>
      <c r="CU86" t="s">
        <v>10768</v>
      </c>
      <c r="CV86"/>
      <c r="CW86" t="s">
        <v>3347</v>
      </c>
      <c r="CX86" t="s">
        <v>149</v>
      </c>
      <c r="CY86"/>
      <c r="CZ86" s="3" t="str">
        <f>"98579"</f>
        <v>98579</v>
      </c>
      <c r="DA86" t="s">
        <v>135</v>
      </c>
      <c r="DB86" t="str">
        <f>"45-1011"</f>
        <v>45-1011</v>
      </c>
      <c r="DC86" t="s">
        <v>5128</v>
      </c>
      <c r="DD86" t="s">
        <v>134</v>
      </c>
      <c r="DE86" t="s">
        <v>134</v>
      </c>
      <c r="DF86" t="str">
        <f>""</f>
        <v/>
      </c>
      <c r="DG86"/>
      <c r="DH86" s="6">
        <v>31.71</v>
      </c>
      <c r="DI86" t="s">
        <v>344</v>
      </c>
      <c r="DJ86"/>
      <c r="DK86" t="s">
        <v>345</v>
      </c>
      <c r="DL86"/>
      <c r="DM86"/>
      <c r="DN86"/>
      <c r="DO86"/>
      <c r="DP86"/>
      <c r="DQ86"/>
      <c r="DR86"/>
      <c r="DS86" s="6">
        <v>31.71</v>
      </c>
      <c r="DT86" s="2" t="s">
        <v>2219</v>
      </c>
      <c r="DU86" s="1">
        <v>44357</v>
      </c>
      <c r="DV86" s="1">
        <v>44446</v>
      </c>
    </row>
    <row r="87" spans="1:126" s="7" customFormat="1" ht="15" customHeight="1" x14ac:dyDescent="0.35">
      <c r="A87" t="s">
        <v>14259</v>
      </c>
      <c r="B87" t="s">
        <v>318</v>
      </c>
      <c r="C87" s="1">
        <v>44321</v>
      </c>
      <c r="D87" s="1">
        <v>44355</v>
      </c>
      <c r="E87" s="1"/>
      <c r="F87" s="1"/>
      <c r="G87" s="1"/>
      <c r="H87" t="s">
        <v>319</v>
      </c>
      <c r="I87" t="s">
        <v>14260</v>
      </c>
      <c r="J87" t="s">
        <v>4832</v>
      </c>
      <c r="K87" t="s">
        <v>12671</v>
      </c>
      <c r="L87" t="s">
        <v>1105</v>
      </c>
      <c r="M87" t="s">
        <v>14261</v>
      </c>
      <c r="N87"/>
      <c r="O87" t="s">
        <v>14262</v>
      </c>
      <c r="P87" t="s">
        <v>588</v>
      </c>
      <c r="Q87" s="3">
        <v>24343</v>
      </c>
      <c r="R87" t="s">
        <v>128</v>
      </c>
      <c r="S87"/>
      <c r="T87" s="4">
        <v>12762663420</v>
      </c>
      <c r="U87"/>
      <c r="V87" t="s">
        <v>134</v>
      </c>
      <c r="W87" t="s">
        <v>14263</v>
      </c>
      <c r="X87"/>
      <c r="Y87" t="s">
        <v>14264</v>
      </c>
      <c r="Z87"/>
      <c r="AA87" t="s">
        <v>14265</v>
      </c>
      <c r="AB87" t="s">
        <v>306</v>
      </c>
      <c r="AC87" s="3" t="str">
        <f>"24343"</f>
        <v>24343</v>
      </c>
      <c r="AD87" t="s">
        <v>128</v>
      </c>
      <c r="AE87"/>
      <c r="AF87" s="4">
        <v>12762663420</v>
      </c>
      <c r="AG87"/>
      <c r="AH87" t="str">
        <f>"32311"</f>
        <v>32311</v>
      </c>
      <c r="AI87" t="s">
        <v>287</v>
      </c>
      <c r="AJ87" t="s">
        <v>2917</v>
      </c>
      <c r="AK87" t="s">
        <v>2918</v>
      </c>
      <c r="AL87" t="s">
        <v>610</v>
      </c>
      <c r="AM87" t="s">
        <v>14266</v>
      </c>
      <c r="AN87"/>
      <c r="AO87" t="s">
        <v>3773</v>
      </c>
      <c r="AP87" t="s">
        <v>306</v>
      </c>
      <c r="AQ87" s="5">
        <v>22903</v>
      </c>
      <c r="AR87" t="s">
        <v>128</v>
      </c>
      <c r="AS87"/>
      <c r="AT87" s="4">
        <v>14342634300</v>
      </c>
      <c r="AU87"/>
      <c r="AV87" t="s">
        <v>9074</v>
      </c>
      <c r="AW87" t="s">
        <v>2923</v>
      </c>
      <c r="AX87" t="s">
        <v>131</v>
      </c>
      <c r="AY87" t="s">
        <v>131</v>
      </c>
      <c r="AZ87" t="s">
        <v>131</v>
      </c>
      <c r="BA87" t="s">
        <v>131</v>
      </c>
      <c r="BB87" t="s">
        <v>131</v>
      </c>
      <c r="BC87" t="s">
        <v>131</v>
      </c>
      <c r="BD87" t="s">
        <v>131</v>
      </c>
      <c r="BE87" t="s">
        <v>132</v>
      </c>
      <c r="BF87"/>
      <c r="BG87" s="1"/>
      <c r="BH87" t="s">
        <v>14267</v>
      </c>
      <c r="BI87" t="s">
        <v>131</v>
      </c>
      <c r="BJ87"/>
      <c r="BK87"/>
      <c r="BL87" t="s">
        <v>167</v>
      </c>
      <c r="BM87"/>
      <c r="BN87"/>
      <c r="BO87" t="s">
        <v>131</v>
      </c>
      <c r="BP87" t="s">
        <v>134</v>
      </c>
      <c r="BQ87" t="s">
        <v>131</v>
      </c>
      <c r="BR87"/>
      <c r="BS87" t="str">
        <f t="shared" si="8"/>
        <v>N/A</v>
      </c>
      <c r="BT87" t="s">
        <v>131</v>
      </c>
      <c r="BU87"/>
      <c r="BV87" t="str">
        <f>""</f>
        <v/>
      </c>
      <c r="BW87" t="s">
        <v>135</v>
      </c>
      <c r="BX87" t="str">
        <f>""</f>
        <v/>
      </c>
      <c r="BY87" t="str">
        <f>""</f>
        <v/>
      </c>
      <c r="BZ87" t="str">
        <f>""</f>
        <v/>
      </c>
      <c r="CA87" t="str">
        <f>"Must lift/carry 25 lbs., when necessary.  Saturday work required, when necessary.  Post-hire random, post-accident and upon suspicion of use drug testing required of foreign and domestic workers."</f>
        <v>Must lift/carry 25 lbs., when necessary.  Saturday work required, when necessary.  Post-hire random, post-accident and upon suspicion of use drug testing required of foreign and domestic workers.</v>
      </c>
      <c r="CB87" t="s">
        <v>131</v>
      </c>
      <c r="CC87"/>
      <c r="CD87"/>
      <c r="CE87"/>
      <c r="CF87" t="s">
        <v>131</v>
      </c>
      <c r="CG87"/>
      <c r="CH87" t="str">
        <f>""</f>
        <v/>
      </c>
      <c r="CI87" t="s">
        <v>131</v>
      </c>
      <c r="CJ87"/>
      <c r="CK87" t="s">
        <v>131</v>
      </c>
      <c r="CL87" t="str">
        <f>""</f>
        <v/>
      </c>
      <c r="CM87" t="str">
        <f>""</f>
        <v/>
      </c>
      <c r="CN87" t="str">
        <f>""</f>
        <v/>
      </c>
      <c r="CO87" t="str">
        <f>""</f>
        <v/>
      </c>
      <c r="CP87" t="str">
        <f>"51-9199.00"</f>
        <v>51-9199.00</v>
      </c>
      <c r="CQ87" t="s">
        <v>1893</v>
      </c>
      <c r="CR87" t="s">
        <v>12233</v>
      </c>
      <c r="CS87" t="s">
        <v>131</v>
      </c>
      <c r="CT87"/>
      <c r="CU87" t="s">
        <v>14268</v>
      </c>
      <c r="CV87"/>
      <c r="CW87" t="s">
        <v>14262</v>
      </c>
      <c r="CX87" t="s">
        <v>306</v>
      </c>
      <c r="CY87"/>
      <c r="CZ87" s="3" t="str">
        <f>"24343"</f>
        <v>24343</v>
      </c>
      <c r="DA87" t="s">
        <v>131</v>
      </c>
      <c r="DB87" t="str">
        <f>"53-7062"</f>
        <v>53-7062</v>
      </c>
      <c r="DC87" t="s">
        <v>1030</v>
      </c>
      <c r="DD87" t="s">
        <v>134</v>
      </c>
      <c r="DE87" t="s">
        <v>134</v>
      </c>
      <c r="DF87" t="str">
        <f>""</f>
        <v/>
      </c>
      <c r="DG87"/>
      <c r="DH87" s="6">
        <v>13.8</v>
      </c>
      <c r="DI87" t="s">
        <v>344</v>
      </c>
      <c r="DJ87"/>
      <c r="DK87" t="s">
        <v>345</v>
      </c>
      <c r="DL87"/>
      <c r="DM87"/>
      <c r="DN87"/>
      <c r="DO87"/>
      <c r="DP87"/>
      <c r="DQ87"/>
      <c r="DR87"/>
      <c r="DS87" s="6">
        <v>13.8</v>
      </c>
      <c r="DT87" t="s">
        <v>424</v>
      </c>
      <c r="DU87" s="1">
        <v>44355</v>
      </c>
      <c r="DV87" s="1">
        <v>44444</v>
      </c>
    </row>
    <row r="88" spans="1:126" s="7" customFormat="1" ht="15" customHeight="1" x14ac:dyDescent="0.35">
      <c r="A88" t="s">
        <v>16625</v>
      </c>
      <c r="B88" t="s">
        <v>318</v>
      </c>
      <c r="C88" s="1">
        <v>44321</v>
      </c>
      <c r="D88" s="1">
        <v>44350</v>
      </c>
      <c r="E88" s="1"/>
      <c r="F88" s="1"/>
      <c r="G88" s="1"/>
      <c r="H88" t="s">
        <v>319</v>
      </c>
      <c r="I88" t="s">
        <v>7710</v>
      </c>
      <c r="J88" t="s">
        <v>645</v>
      </c>
      <c r="K88" t="s">
        <v>1253</v>
      </c>
      <c r="L88" t="s">
        <v>199</v>
      </c>
      <c r="M88" t="s">
        <v>7712</v>
      </c>
      <c r="N88"/>
      <c r="O88" t="s">
        <v>7713</v>
      </c>
      <c r="P88" t="s">
        <v>144</v>
      </c>
      <c r="Q88" s="3">
        <v>98528</v>
      </c>
      <c r="R88" t="s">
        <v>128</v>
      </c>
      <c r="S88"/>
      <c r="T88" s="4">
        <v>13602755345</v>
      </c>
      <c r="U88"/>
      <c r="V88" t="s">
        <v>1253</v>
      </c>
      <c r="W88" t="s">
        <v>7714</v>
      </c>
      <c r="X88" t="s">
        <v>7715</v>
      </c>
      <c r="Y88" t="s">
        <v>7712</v>
      </c>
      <c r="Z88"/>
      <c r="AA88" t="s">
        <v>7713</v>
      </c>
      <c r="AB88" t="s">
        <v>149</v>
      </c>
      <c r="AC88" s="3" t="str">
        <f>"98528"</f>
        <v>98528</v>
      </c>
      <c r="AD88" t="s">
        <v>128</v>
      </c>
      <c r="AE88"/>
      <c r="AF88" s="4">
        <v>13602755345</v>
      </c>
      <c r="AG88"/>
      <c r="AH88" t="str">
        <f>"11321"</f>
        <v>11321</v>
      </c>
      <c r="AI88" t="s">
        <v>287</v>
      </c>
      <c r="AJ88" t="s">
        <v>5584</v>
      </c>
      <c r="AK88" t="s">
        <v>409</v>
      </c>
      <c r="AL88"/>
      <c r="AM88" t="s">
        <v>12864</v>
      </c>
      <c r="AN88" t="s">
        <v>2136</v>
      </c>
      <c r="AO88" t="s">
        <v>5586</v>
      </c>
      <c r="AP88" t="s">
        <v>149</v>
      </c>
      <c r="AQ88" s="5">
        <v>98516</v>
      </c>
      <c r="AR88" t="s">
        <v>128</v>
      </c>
      <c r="AS88"/>
      <c r="AT88" s="4">
        <v>13604558064</v>
      </c>
      <c r="AU88"/>
      <c r="AV88" t="s">
        <v>5587</v>
      </c>
      <c r="AW88" t="s">
        <v>5588</v>
      </c>
      <c r="AX88" t="s">
        <v>131</v>
      </c>
      <c r="AY88" t="s">
        <v>131</v>
      </c>
      <c r="AZ88" t="s">
        <v>131</v>
      </c>
      <c r="BA88" t="s">
        <v>131</v>
      </c>
      <c r="BB88" t="s">
        <v>131</v>
      </c>
      <c r="BC88" t="s">
        <v>131</v>
      </c>
      <c r="BD88" t="s">
        <v>131</v>
      </c>
      <c r="BE88" t="s">
        <v>132</v>
      </c>
      <c r="BF88"/>
      <c r="BG88" s="1"/>
      <c r="BH88" t="s">
        <v>16626</v>
      </c>
      <c r="BI88" t="s">
        <v>131</v>
      </c>
      <c r="BJ88"/>
      <c r="BK88"/>
      <c r="BL88" t="s">
        <v>167</v>
      </c>
      <c r="BM88"/>
      <c r="BN88"/>
      <c r="BO88" t="s">
        <v>131</v>
      </c>
      <c r="BP88" t="s">
        <v>134</v>
      </c>
      <c r="BQ88" t="s">
        <v>131</v>
      </c>
      <c r="BR88"/>
      <c r="BS88" t="str">
        <f t="shared" si="8"/>
        <v>N/A</v>
      </c>
      <c r="BT88" t="s">
        <v>135</v>
      </c>
      <c r="BU88">
        <v>1</v>
      </c>
      <c r="BV88" t="str">
        <f>"wreathmaking"</f>
        <v>wreathmaking</v>
      </c>
      <c r="BW88" t="s">
        <v>135</v>
      </c>
      <c r="BX88" t="str">
        <f>""</f>
        <v/>
      </c>
      <c r="BY88" t="str">
        <f>""</f>
        <v/>
      </c>
      <c r="BZ88" t="str">
        <f>""</f>
        <v/>
      </c>
      <c r="CA88" s="2" t="s">
        <v>5590</v>
      </c>
      <c r="CB88" t="s">
        <v>131</v>
      </c>
      <c r="CC88"/>
      <c r="CD88"/>
      <c r="CE88"/>
      <c r="CF88" t="s">
        <v>131</v>
      </c>
      <c r="CG88"/>
      <c r="CH88" t="str">
        <f>""</f>
        <v/>
      </c>
      <c r="CI88" t="s">
        <v>131</v>
      </c>
      <c r="CJ88"/>
      <c r="CK88" t="s">
        <v>131</v>
      </c>
      <c r="CL88" t="str">
        <f>""</f>
        <v/>
      </c>
      <c r="CM88" t="str">
        <f>""</f>
        <v/>
      </c>
      <c r="CN88" t="str">
        <f>""</f>
        <v/>
      </c>
      <c r="CO88" t="str">
        <f>""</f>
        <v/>
      </c>
      <c r="CP88" t="str">
        <f>"27-1023.00"</f>
        <v>27-1023.00</v>
      </c>
      <c r="CQ88" t="s">
        <v>5591</v>
      </c>
      <c r="CR88"/>
      <c r="CS88" t="s">
        <v>131</v>
      </c>
      <c r="CT88"/>
      <c r="CU88" t="s">
        <v>16627</v>
      </c>
      <c r="CV88"/>
      <c r="CW88" t="s">
        <v>16628</v>
      </c>
      <c r="CX88" t="s">
        <v>1512</v>
      </c>
      <c r="CY88"/>
      <c r="CZ88" s="3" t="str">
        <f>"97116"</f>
        <v>97116</v>
      </c>
      <c r="DA88" t="s">
        <v>131</v>
      </c>
      <c r="DB88" t="str">
        <f>"27-1023"</f>
        <v>27-1023</v>
      </c>
      <c r="DC88" t="s">
        <v>5591</v>
      </c>
      <c r="DD88" t="s">
        <v>134</v>
      </c>
      <c r="DE88" t="s">
        <v>134</v>
      </c>
      <c r="DF88" t="str">
        <f>""</f>
        <v/>
      </c>
      <c r="DG88"/>
      <c r="DH88" s="6">
        <v>13.9</v>
      </c>
      <c r="DI88" t="s">
        <v>344</v>
      </c>
      <c r="DJ88"/>
      <c r="DK88" t="s">
        <v>345</v>
      </c>
      <c r="DL88"/>
      <c r="DM88"/>
      <c r="DN88"/>
      <c r="DO88"/>
      <c r="DP88"/>
      <c r="DQ88"/>
      <c r="DR88" t="s">
        <v>10682</v>
      </c>
      <c r="DS88" s="6">
        <v>13.9</v>
      </c>
      <c r="DT88" t="s">
        <v>3921</v>
      </c>
      <c r="DU88" s="1">
        <v>44350</v>
      </c>
      <c r="DV88" s="1">
        <v>44439</v>
      </c>
    </row>
    <row r="89" spans="1:126" s="7" customFormat="1" ht="15" customHeight="1" x14ac:dyDescent="0.35">
      <c r="A89" t="s">
        <v>16668</v>
      </c>
      <c r="B89" t="s">
        <v>318</v>
      </c>
      <c r="C89" s="1">
        <v>44321</v>
      </c>
      <c r="D89" s="1">
        <v>44350</v>
      </c>
      <c r="E89" s="1"/>
      <c r="F89" s="1"/>
      <c r="G89" s="1"/>
      <c r="H89" t="s">
        <v>319</v>
      </c>
      <c r="I89" t="s">
        <v>16669</v>
      </c>
      <c r="J89" t="s">
        <v>1668</v>
      </c>
      <c r="K89"/>
      <c r="L89" t="s">
        <v>9296</v>
      </c>
      <c r="M89" t="s">
        <v>16670</v>
      </c>
      <c r="N89"/>
      <c r="O89" t="s">
        <v>12994</v>
      </c>
      <c r="P89" t="s">
        <v>1760</v>
      </c>
      <c r="Q89" s="3">
        <v>70739</v>
      </c>
      <c r="R89" t="s">
        <v>128</v>
      </c>
      <c r="S89"/>
      <c r="T89" s="4">
        <v>12257522333</v>
      </c>
      <c r="U89"/>
      <c r="V89" t="s">
        <v>16671</v>
      </c>
      <c r="W89" t="s">
        <v>16672</v>
      </c>
      <c r="X89" t="s">
        <v>16673</v>
      </c>
      <c r="Y89" t="s">
        <v>16674</v>
      </c>
      <c r="Z89"/>
      <c r="AA89" t="s">
        <v>16675</v>
      </c>
      <c r="AB89" t="s">
        <v>1763</v>
      </c>
      <c r="AC89" s="3" t="str">
        <f>"70461"</f>
        <v>70461</v>
      </c>
      <c r="AD89" t="s">
        <v>128</v>
      </c>
      <c r="AE89"/>
      <c r="AF89" s="4">
        <v>19856900015</v>
      </c>
      <c r="AG89"/>
      <c r="AH89" t="str">
        <f>"5617"</f>
        <v>5617</v>
      </c>
      <c r="AI89" t="s">
        <v>287</v>
      </c>
      <c r="AJ89" t="s">
        <v>2304</v>
      </c>
      <c r="AK89" t="s">
        <v>5773</v>
      </c>
      <c r="AL89" t="s">
        <v>589</v>
      </c>
      <c r="AM89" t="s">
        <v>5774</v>
      </c>
      <c r="AN89" t="s">
        <v>5775</v>
      </c>
      <c r="AO89" t="s">
        <v>5776</v>
      </c>
      <c r="AP89" t="s">
        <v>1763</v>
      </c>
      <c r="AQ89" s="5">
        <v>70754</v>
      </c>
      <c r="AR89" t="s">
        <v>128</v>
      </c>
      <c r="AS89" t="s">
        <v>1763</v>
      </c>
      <c r="AT89" s="4">
        <v>12256863033</v>
      </c>
      <c r="AU89"/>
      <c r="AV89" t="s">
        <v>5777</v>
      </c>
      <c r="AW89" t="s">
        <v>5778</v>
      </c>
      <c r="AX89" t="s">
        <v>131</v>
      </c>
      <c r="AY89" t="s">
        <v>131</v>
      </c>
      <c r="AZ89" t="s">
        <v>131</v>
      </c>
      <c r="BA89" t="s">
        <v>131</v>
      </c>
      <c r="BB89" t="s">
        <v>131</v>
      </c>
      <c r="BC89" t="s">
        <v>131</v>
      </c>
      <c r="BD89" t="s">
        <v>131</v>
      </c>
      <c r="BE89" t="s">
        <v>132</v>
      </c>
      <c r="BF89"/>
      <c r="BG89" s="1"/>
      <c r="BH89" t="s">
        <v>2215</v>
      </c>
      <c r="BI89" t="s">
        <v>131</v>
      </c>
      <c r="BJ89"/>
      <c r="BK89"/>
      <c r="BL89" t="s">
        <v>167</v>
      </c>
      <c r="BM89"/>
      <c r="BN89"/>
      <c r="BO89" t="s">
        <v>131</v>
      </c>
      <c r="BP89" t="s">
        <v>134</v>
      </c>
      <c r="BQ89" t="s">
        <v>131</v>
      </c>
      <c r="BR89"/>
      <c r="BS89" t="str">
        <f t="shared" si="8"/>
        <v>N/A</v>
      </c>
      <c r="BT89" t="s">
        <v>131</v>
      </c>
      <c r="BU89"/>
      <c r="BV89" t="str">
        <f>""</f>
        <v/>
      </c>
      <c r="BW89" t="s">
        <v>135</v>
      </c>
      <c r="BX89" t="str">
        <f>""</f>
        <v/>
      </c>
      <c r="BY89" t="str">
        <f>""</f>
        <v/>
      </c>
      <c r="BZ89" t="str">
        <f>""</f>
        <v/>
      </c>
      <c r="CA89" s="2" t="s">
        <v>12998</v>
      </c>
      <c r="CB89" t="s">
        <v>131</v>
      </c>
      <c r="CC89"/>
      <c r="CD89"/>
      <c r="CE89"/>
      <c r="CF89" t="s">
        <v>131</v>
      </c>
      <c r="CG89"/>
      <c r="CH89" t="str">
        <f>""</f>
        <v/>
      </c>
      <c r="CI89" t="s">
        <v>131</v>
      </c>
      <c r="CJ89"/>
      <c r="CK89" t="s">
        <v>131</v>
      </c>
      <c r="CL89" t="str">
        <f>""</f>
        <v/>
      </c>
      <c r="CM89" t="str">
        <f>""</f>
        <v/>
      </c>
      <c r="CN89" t="str">
        <f>""</f>
        <v/>
      </c>
      <c r="CO89" t="str">
        <f>""</f>
        <v/>
      </c>
      <c r="CP89" t="str">
        <f>"37-3011.00"</f>
        <v>37-3011.00</v>
      </c>
      <c r="CQ89" t="s">
        <v>920</v>
      </c>
      <c r="CR89"/>
      <c r="CS89" t="s">
        <v>135</v>
      </c>
      <c r="CT89" s="2" t="s">
        <v>16676</v>
      </c>
      <c r="CU89" t="s">
        <v>16677</v>
      </c>
      <c r="CV89"/>
      <c r="CW89" t="s">
        <v>2088</v>
      </c>
      <c r="CX89" t="s">
        <v>1763</v>
      </c>
      <c r="CY89"/>
      <c r="CZ89" s="3" t="str">
        <f>"70461"</f>
        <v>70461</v>
      </c>
      <c r="DA89" t="s">
        <v>135</v>
      </c>
      <c r="DB89" t="str">
        <f>"37-3011"</f>
        <v>37-3011</v>
      </c>
      <c r="DC89" t="s">
        <v>920</v>
      </c>
      <c r="DD89" t="s">
        <v>134</v>
      </c>
      <c r="DE89" t="s">
        <v>134</v>
      </c>
      <c r="DF89" t="str">
        <f>""</f>
        <v/>
      </c>
      <c r="DG89"/>
      <c r="DH89" s="6">
        <v>12.7</v>
      </c>
      <c r="DI89" t="s">
        <v>344</v>
      </c>
      <c r="DJ89"/>
      <c r="DK89" t="s">
        <v>345</v>
      </c>
      <c r="DL89"/>
      <c r="DM89"/>
      <c r="DN89"/>
      <c r="DO89"/>
      <c r="DP89"/>
      <c r="DQ89"/>
      <c r="DR89" t="s">
        <v>16678</v>
      </c>
      <c r="DS89" s="6">
        <v>14.34</v>
      </c>
      <c r="DT89" s="2" t="s">
        <v>8351</v>
      </c>
      <c r="DU89" s="1">
        <v>44350</v>
      </c>
      <c r="DV89" s="1">
        <v>44439</v>
      </c>
    </row>
    <row r="90" spans="1:126" s="7" customFormat="1" ht="15" customHeight="1" x14ac:dyDescent="0.35">
      <c r="A90" t="s">
        <v>17575</v>
      </c>
      <c r="B90" t="s">
        <v>318</v>
      </c>
      <c r="C90" s="1">
        <v>44321</v>
      </c>
      <c r="D90" s="1">
        <v>44372</v>
      </c>
      <c r="E90" s="1"/>
      <c r="F90" s="1"/>
      <c r="G90" s="1"/>
      <c r="H90" t="s">
        <v>319</v>
      </c>
      <c r="I90" t="s">
        <v>4291</v>
      </c>
      <c r="J90" t="s">
        <v>246</v>
      </c>
      <c r="K90"/>
      <c r="L90" t="s">
        <v>17576</v>
      </c>
      <c r="M90" t="s">
        <v>17577</v>
      </c>
      <c r="N90"/>
      <c r="O90" t="s">
        <v>17578</v>
      </c>
      <c r="P90" t="s">
        <v>1174</v>
      </c>
      <c r="Q90" s="3">
        <v>97856</v>
      </c>
      <c r="R90" t="s">
        <v>128</v>
      </c>
      <c r="S90"/>
      <c r="T90" s="4">
        <v>15415089247</v>
      </c>
      <c r="U90"/>
      <c r="V90" t="s">
        <v>17579</v>
      </c>
      <c r="W90" t="s">
        <v>17580</v>
      </c>
      <c r="X90" t="s">
        <v>17581</v>
      </c>
      <c r="Y90" t="s">
        <v>17582</v>
      </c>
      <c r="Z90" t="s">
        <v>17583</v>
      </c>
      <c r="AA90" t="s">
        <v>17578</v>
      </c>
      <c r="AB90" t="s">
        <v>1512</v>
      </c>
      <c r="AC90" s="3" t="str">
        <f>"97856"</f>
        <v>97856</v>
      </c>
      <c r="AD90" t="s">
        <v>128</v>
      </c>
      <c r="AE90"/>
      <c r="AF90" s="4">
        <v>15415089164</v>
      </c>
      <c r="AG90"/>
      <c r="AH90" t="str">
        <f>"611110"</f>
        <v>611110</v>
      </c>
      <c r="AI90" t="s">
        <v>167</v>
      </c>
      <c r="AJ90"/>
      <c r="AK90"/>
      <c r="AL90"/>
      <c r="AM90"/>
      <c r="AN90"/>
      <c r="AO90"/>
      <c r="AP90"/>
      <c r="AQ90" s="5"/>
      <c r="AR90"/>
      <c r="AS90"/>
      <c r="AT90" s="4"/>
      <c r="AU90"/>
      <c r="AV90"/>
      <c r="AW90"/>
      <c r="AX90" t="s">
        <v>131</v>
      </c>
      <c r="AY90" t="s">
        <v>131</v>
      </c>
      <c r="AZ90" t="s">
        <v>131</v>
      </c>
      <c r="BA90" t="s">
        <v>131</v>
      </c>
      <c r="BB90" t="s">
        <v>131</v>
      </c>
      <c r="BC90" t="s">
        <v>131</v>
      </c>
      <c r="BD90" t="s">
        <v>135</v>
      </c>
      <c r="BE90" t="s">
        <v>132</v>
      </c>
      <c r="BF90"/>
      <c r="BG90" s="1"/>
      <c r="BH90" t="s">
        <v>17584</v>
      </c>
      <c r="BI90" t="s">
        <v>131</v>
      </c>
      <c r="BJ90"/>
      <c r="BK90"/>
      <c r="BL90" t="s">
        <v>167</v>
      </c>
      <c r="BM90"/>
      <c r="BN90"/>
      <c r="BO90" t="s">
        <v>131</v>
      </c>
      <c r="BP90" t="s">
        <v>134</v>
      </c>
      <c r="BQ90" t="s">
        <v>131</v>
      </c>
      <c r="BR90"/>
      <c r="BS90" t="str">
        <f t="shared" si="8"/>
        <v>N/A</v>
      </c>
      <c r="BT90" t="s">
        <v>131</v>
      </c>
      <c r="BU90"/>
      <c r="BV90" t="str">
        <f>""</f>
        <v/>
      </c>
      <c r="BW90" t="s">
        <v>131</v>
      </c>
      <c r="BX90" t="str">
        <f>""</f>
        <v/>
      </c>
      <c r="BY90" t="str">
        <f>""</f>
        <v/>
      </c>
      <c r="BZ90" t="str">
        <f>""</f>
        <v/>
      </c>
      <c r="CA90" t="str">
        <f>""</f>
        <v/>
      </c>
      <c r="CB90" t="s">
        <v>131</v>
      </c>
      <c r="CC90"/>
      <c r="CD90"/>
      <c r="CE90"/>
      <c r="CF90" t="s">
        <v>131</v>
      </c>
      <c r="CG90"/>
      <c r="CH90" t="str">
        <f>""</f>
        <v/>
      </c>
      <c r="CI90" t="s">
        <v>131</v>
      </c>
      <c r="CJ90"/>
      <c r="CK90" t="s">
        <v>131</v>
      </c>
      <c r="CL90" t="str">
        <f>""</f>
        <v/>
      </c>
      <c r="CM90" t="str">
        <f>""</f>
        <v/>
      </c>
      <c r="CN90" t="str">
        <f>""</f>
        <v/>
      </c>
      <c r="CO90" t="str">
        <f>""</f>
        <v/>
      </c>
      <c r="CP90" t="str">
        <f>"37-2011.00"</f>
        <v>37-2011.00</v>
      </c>
      <c r="CQ90" t="s">
        <v>794</v>
      </c>
      <c r="CR90" t="s">
        <v>17585</v>
      </c>
      <c r="CS90" t="s">
        <v>131</v>
      </c>
      <c r="CT90"/>
      <c r="CU90" t="s">
        <v>17586</v>
      </c>
      <c r="CV90" t="s">
        <v>17582</v>
      </c>
      <c r="CW90" t="s">
        <v>17578</v>
      </c>
      <c r="CX90" t="s">
        <v>1512</v>
      </c>
      <c r="CY90"/>
      <c r="CZ90" s="3" t="str">
        <f>"97856"</f>
        <v>97856</v>
      </c>
      <c r="DA90" t="s">
        <v>131</v>
      </c>
      <c r="DB90" t="str">
        <f>"37-2011"</f>
        <v>37-2011</v>
      </c>
      <c r="DC90" t="s">
        <v>794</v>
      </c>
      <c r="DD90" t="s">
        <v>134</v>
      </c>
      <c r="DE90" t="s">
        <v>134</v>
      </c>
      <c r="DF90" t="str">
        <f>"35-2012.00; 25-9041.00"</f>
        <v>35-2012.00; 25-9041.00</v>
      </c>
      <c r="DG90" t="s">
        <v>17587</v>
      </c>
      <c r="DH90" s="6">
        <v>14.5</v>
      </c>
      <c r="DI90" t="s">
        <v>344</v>
      </c>
      <c r="DJ90"/>
      <c r="DK90" t="s">
        <v>55</v>
      </c>
      <c r="DL90"/>
      <c r="DM90"/>
      <c r="DN90"/>
      <c r="DO90"/>
      <c r="DP90"/>
      <c r="DQ90"/>
      <c r="DR90"/>
      <c r="DS90" s="6">
        <v>14.5</v>
      </c>
      <c r="DT90" s="2" t="s">
        <v>17588</v>
      </c>
      <c r="DU90" s="1">
        <v>44372</v>
      </c>
      <c r="DV90" s="1">
        <v>44461</v>
      </c>
    </row>
    <row r="91" spans="1:126" s="7" customFormat="1" ht="15" customHeight="1" x14ac:dyDescent="0.35">
      <c r="A91" t="s">
        <v>12587</v>
      </c>
      <c r="B91" t="s">
        <v>318</v>
      </c>
      <c r="C91" s="1">
        <v>44321</v>
      </c>
      <c r="D91" s="1">
        <v>44350</v>
      </c>
      <c r="E91" s="1"/>
      <c r="F91" s="1"/>
      <c r="G91" s="1"/>
      <c r="H91" t="s">
        <v>319</v>
      </c>
      <c r="I91" t="s">
        <v>5185</v>
      </c>
      <c r="J91" t="s">
        <v>5186</v>
      </c>
      <c r="K91"/>
      <c r="L91" t="s">
        <v>395</v>
      </c>
      <c r="M91" t="s">
        <v>5187</v>
      </c>
      <c r="N91"/>
      <c r="O91" t="s">
        <v>5188</v>
      </c>
      <c r="P91" t="s">
        <v>2869</v>
      </c>
      <c r="Q91" s="3">
        <v>58554</v>
      </c>
      <c r="R91" t="s">
        <v>128</v>
      </c>
      <c r="S91"/>
      <c r="T91" s="4">
        <v>17013017832</v>
      </c>
      <c r="U91"/>
      <c r="V91" t="s">
        <v>7422</v>
      </c>
      <c r="W91" t="s">
        <v>5189</v>
      </c>
      <c r="X91"/>
      <c r="Y91" t="s">
        <v>5187</v>
      </c>
      <c r="Z91"/>
      <c r="AA91" t="s">
        <v>5188</v>
      </c>
      <c r="AB91" t="s">
        <v>2870</v>
      </c>
      <c r="AC91" s="3" t="str">
        <f>"58554"</f>
        <v>58554</v>
      </c>
      <c r="AD91" t="s">
        <v>128</v>
      </c>
      <c r="AE91"/>
      <c r="AF91" s="4">
        <v>17013017832</v>
      </c>
      <c r="AG91"/>
      <c r="AH91" t="str">
        <f>"236116"</f>
        <v>236116</v>
      </c>
      <c r="AI91" t="s">
        <v>130</v>
      </c>
      <c r="AJ91" t="s">
        <v>1899</v>
      </c>
      <c r="AK91" t="s">
        <v>1900</v>
      </c>
      <c r="AL91"/>
      <c r="AM91" t="s">
        <v>1901</v>
      </c>
      <c r="AN91" t="s">
        <v>1902</v>
      </c>
      <c r="AO91" t="s">
        <v>494</v>
      </c>
      <c r="AP91" t="s">
        <v>129</v>
      </c>
      <c r="AQ91" s="5">
        <v>10165</v>
      </c>
      <c r="AR91" t="s">
        <v>128</v>
      </c>
      <c r="AS91"/>
      <c r="AT91" s="4">
        <v>12127604400</v>
      </c>
      <c r="AU91"/>
      <c r="AV91" t="s">
        <v>1897</v>
      </c>
      <c r="AW91" t="s">
        <v>1903</v>
      </c>
      <c r="AX91" t="s">
        <v>131</v>
      </c>
      <c r="AY91" t="s">
        <v>131</v>
      </c>
      <c r="AZ91" t="s">
        <v>131</v>
      </c>
      <c r="BA91" t="s">
        <v>131</v>
      </c>
      <c r="BB91" t="s">
        <v>131</v>
      </c>
      <c r="BC91" t="s">
        <v>131</v>
      </c>
      <c r="BD91" t="s">
        <v>131</v>
      </c>
      <c r="BE91" t="s">
        <v>132</v>
      </c>
      <c r="BF91"/>
      <c r="BG91" s="1"/>
      <c r="BH91" t="s">
        <v>3258</v>
      </c>
      <c r="BI91" t="s">
        <v>131</v>
      </c>
      <c r="BJ91"/>
      <c r="BK91"/>
      <c r="BL91" t="s">
        <v>167</v>
      </c>
      <c r="BM91"/>
      <c r="BN91"/>
      <c r="BO91" t="s">
        <v>131</v>
      </c>
      <c r="BP91" t="s">
        <v>134</v>
      </c>
      <c r="BQ91" t="s">
        <v>131</v>
      </c>
      <c r="BR91"/>
      <c r="BS91" t="str">
        <f t="shared" si="8"/>
        <v>N/A</v>
      </c>
      <c r="BT91" t="s">
        <v>135</v>
      </c>
      <c r="BU91">
        <v>1</v>
      </c>
      <c r="BV91" t="str">
        <f>"Construction Laborer"</f>
        <v>Construction Laborer</v>
      </c>
      <c r="BW91" t="s">
        <v>131</v>
      </c>
      <c r="BX91" t="str">
        <f>""</f>
        <v/>
      </c>
      <c r="BY91" t="str">
        <f>""</f>
        <v/>
      </c>
      <c r="BZ91" t="str">
        <f>""</f>
        <v/>
      </c>
      <c r="CA91" t="str">
        <f>""</f>
        <v/>
      </c>
      <c r="CB91" t="s">
        <v>131</v>
      </c>
      <c r="CC91"/>
      <c r="CD91"/>
      <c r="CE91"/>
      <c r="CF91" t="s">
        <v>131</v>
      </c>
      <c r="CG91"/>
      <c r="CH91" t="str">
        <f>""</f>
        <v/>
      </c>
      <c r="CI91" t="s">
        <v>131</v>
      </c>
      <c r="CJ91"/>
      <c r="CK91" t="s">
        <v>131</v>
      </c>
      <c r="CL91" t="str">
        <f>""</f>
        <v/>
      </c>
      <c r="CM91" t="str">
        <f>""</f>
        <v/>
      </c>
      <c r="CN91" t="str">
        <f>""</f>
        <v/>
      </c>
      <c r="CO91" t="str">
        <f>""</f>
        <v/>
      </c>
      <c r="CP91" t="str">
        <f>"47-2061.00"</f>
        <v>47-2061.00</v>
      </c>
      <c r="CQ91" t="s">
        <v>393</v>
      </c>
      <c r="CR91" t="s">
        <v>395</v>
      </c>
      <c r="CS91" t="s">
        <v>131</v>
      </c>
      <c r="CT91"/>
      <c r="CU91" t="s">
        <v>5192</v>
      </c>
      <c r="CV91"/>
      <c r="CW91" t="s">
        <v>5193</v>
      </c>
      <c r="CX91" t="s">
        <v>258</v>
      </c>
      <c r="CY91"/>
      <c r="CZ91" s="3" t="str">
        <f>"64014"</f>
        <v>64014</v>
      </c>
      <c r="DA91" t="s">
        <v>131</v>
      </c>
      <c r="DB91" t="str">
        <f>"47-2061"</f>
        <v>47-2061</v>
      </c>
      <c r="DC91" t="s">
        <v>393</v>
      </c>
      <c r="DD91" t="s">
        <v>134</v>
      </c>
      <c r="DE91" t="s">
        <v>134</v>
      </c>
      <c r="DF91" t="str">
        <f>""</f>
        <v/>
      </c>
      <c r="DG91"/>
      <c r="DH91" s="6">
        <v>21.21</v>
      </c>
      <c r="DI91" t="s">
        <v>344</v>
      </c>
      <c r="DJ91"/>
      <c r="DK91" t="s">
        <v>345</v>
      </c>
      <c r="DL91"/>
      <c r="DM91"/>
      <c r="DN91"/>
      <c r="DO91"/>
      <c r="DP91"/>
      <c r="DQ91"/>
      <c r="DR91"/>
      <c r="DS91" s="6">
        <v>21.21</v>
      </c>
      <c r="DT91" t="s">
        <v>3921</v>
      </c>
      <c r="DU91" s="1">
        <v>44350</v>
      </c>
      <c r="DV91" s="1">
        <v>44439</v>
      </c>
    </row>
    <row r="92" spans="1:126" s="7" customFormat="1" ht="15" customHeight="1" x14ac:dyDescent="0.35">
      <c r="A92" t="s">
        <v>19913</v>
      </c>
      <c r="B92" t="s">
        <v>318</v>
      </c>
      <c r="C92" s="1">
        <v>44321</v>
      </c>
      <c r="D92" s="1">
        <v>44350</v>
      </c>
      <c r="E92" s="1"/>
      <c r="F92" s="1"/>
      <c r="G92" s="1"/>
      <c r="H92" t="s">
        <v>319</v>
      </c>
      <c r="I92" t="s">
        <v>5185</v>
      </c>
      <c r="J92" t="s">
        <v>5186</v>
      </c>
      <c r="K92"/>
      <c r="L92" t="s">
        <v>395</v>
      </c>
      <c r="M92" t="s">
        <v>5187</v>
      </c>
      <c r="N92"/>
      <c r="O92" t="s">
        <v>5188</v>
      </c>
      <c r="P92" t="s">
        <v>2869</v>
      </c>
      <c r="Q92" s="3">
        <v>58554</v>
      </c>
      <c r="R92" t="s">
        <v>128</v>
      </c>
      <c r="S92"/>
      <c r="T92" s="4">
        <v>17013017832</v>
      </c>
      <c r="U92"/>
      <c r="V92" t="s">
        <v>7422</v>
      </c>
      <c r="W92" t="s">
        <v>5189</v>
      </c>
      <c r="X92"/>
      <c r="Y92" t="s">
        <v>5187</v>
      </c>
      <c r="Z92"/>
      <c r="AA92" t="s">
        <v>5188</v>
      </c>
      <c r="AB92" t="s">
        <v>2870</v>
      </c>
      <c r="AC92" s="3" t="str">
        <f>"58554"</f>
        <v>58554</v>
      </c>
      <c r="AD92" t="s">
        <v>128</v>
      </c>
      <c r="AE92"/>
      <c r="AF92" s="4">
        <v>17013017832</v>
      </c>
      <c r="AG92"/>
      <c r="AH92" t="str">
        <f>"56173"</f>
        <v>56173</v>
      </c>
      <c r="AI92" t="s">
        <v>130</v>
      </c>
      <c r="AJ92" t="s">
        <v>1899</v>
      </c>
      <c r="AK92" t="s">
        <v>1900</v>
      </c>
      <c r="AL92"/>
      <c r="AM92" t="s">
        <v>1901</v>
      </c>
      <c r="AN92" t="s">
        <v>1902</v>
      </c>
      <c r="AO92" t="s">
        <v>494</v>
      </c>
      <c r="AP92" t="s">
        <v>129</v>
      </c>
      <c r="AQ92" s="5">
        <v>10165</v>
      </c>
      <c r="AR92" t="s">
        <v>128</v>
      </c>
      <c r="AS92"/>
      <c r="AT92" s="4">
        <v>12127604400</v>
      </c>
      <c r="AU92"/>
      <c r="AV92" t="s">
        <v>1897</v>
      </c>
      <c r="AW92" t="s">
        <v>1903</v>
      </c>
      <c r="AX92" t="s">
        <v>131</v>
      </c>
      <c r="AY92" t="s">
        <v>131</v>
      </c>
      <c r="AZ92" t="s">
        <v>131</v>
      </c>
      <c r="BA92" t="s">
        <v>131</v>
      </c>
      <c r="BB92" t="s">
        <v>131</v>
      </c>
      <c r="BC92" t="s">
        <v>131</v>
      </c>
      <c r="BD92" t="s">
        <v>131</v>
      </c>
      <c r="BE92" t="s">
        <v>132</v>
      </c>
      <c r="BF92"/>
      <c r="BG92" s="1"/>
      <c r="BH92" t="s">
        <v>5067</v>
      </c>
      <c r="BI92" t="s">
        <v>131</v>
      </c>
      <c r="BJ92"/>
      <c r="BK92"/>
      <c r="BL92" t="s">
        <v>167</v>
      </c>
      <c r="BM92"/>
      <c r="BN92"/>
      <c r="BO92" t="s">
        <v>131</v>
      </c>
      <c r="BP92" t="s">
        <v>134</v>
      </c>
      <c r="BQ92" t="s">
        <v>131</v>
      </c>
      <c r="BR92"/>
      <c r="BS92" t="str">
        <f t="shared" si="8"/>
        <v>N/A</v>
      </c>
      <c r="BT92" t="s">
        <v>135</v>
      </c>
      <c r="BU92">
        <v>1</v>
      </c>
      <c r="BV92" t="str">
        <f>"Landscape Laborer"</f>
        <v>Landscape Laborer</v>
      </c>
      <c r="BW92" t="s">
        <v>131</v>
      </c>
      <c r="BX92" t="str">
        <f>""</f>
        <v/>
      </c>
      <c r="BY92" t="str">
        <f>""</f>
        <v/>
      </c>
      <c r="BZ92" t="str">
        <f>""</f>
        <v/>
      </c>
      <c r="CA92" t="str">
        <f>""</f>
        <v/>
      </c>
      <c r="CB92" t="s">
        <v>131</v>
      </c>
      <c r="CC92"/>
      <c r="CD92"/>
      <c r="CE92"/>
      <c r="CF92" t="s">
        <v>131</v>
      </c>
      <c r="CG92"/>
      <c r="CH92" t="str">
        <f>""</f>
        <v/>
      </c>
      <c r="CI92" t="s">
        <v>131</v>
      </c>
      <c r="CJ92"/>
      <c r="CK92" t="s">
        <v>131</v>
      </c>
      <c r="CL92" t="str">
        <f>""</f>
        <v/>
      </c>
      <c r="CM92" t="str">
        <f>""</f>
        <v/>
      </c>
      <c r="CN92" t="str">
        <f>""</f>
        <v/>
      </c>
      <c r="CO92" t="str">
        <f>""</f>
        <v/>
      </c>
      <c r="CP92" t="str">
        <f>"37-3011.00"</f>
        <v>37-3011.00</v>
      </c>
      <c r="CQ92" t="s">
        <v>920</v>
      </c>
      <c r="CR92" t="s">
        <v>395</v>
      </c>
      <c r="CS92" t="s">
        <v>131</v>
      </c>
      <c r="CT92"/>
      <c r="CU92" t="s">
        <v>5192</v>
      </c>
      <c r="CV92"/>
      <c r="CW92" t="s">
        <v>5193</v>
      </c>
      <c r="CX92" t="s">
        <v>258</v>
      </c>
      <c r="CY92"/>
      <c r="CZ92" s="3" t="str">
        <f>"64014"</f>
        <v>64014</v>
      </c>
      <c r="DA92" t="s">
        <v>131</v>
      </c>
      <c r="DB92" t="str">
        <f>"37-3011"</f>
        <v>37-3011</v>
      </c>
      <c r="DC92" t="s">
        <v>920</v>
      </c>
      <c r="DD92" t="s">
        <v>134</v>
      </c>
      <c r="DE92" t="s">
        <v>134</v>
      </c>
      <c r="DF92" t="str">
        <f>""</f>
        <v/>
      </c>
      <c r="DG92"/>
      <c r="DH92" s="6">
        <v>18.010000000000002</v>
      </c>
      <c r="DI92" t="s">
        <v>344</v>
      </c>
      <c r="DJ92"/>
      <c r="DK92" t="s">
        <v>345</v>
      </c>
      <c r="DL92"/>
      <c r="DM92"/>
      <c r="DN92"/>
      <c r="DO92"/>
      <c r="DP92"/>
      <c r="DQ92"/>
      <c r="DR92" t="s">
        <v>6443</v>
      </c>
      <c r="DS92" s="6">
        <v>18.010000000000002</v>
      </c>
      <c r="DT92" t="s">
        <v>3921</v>
      </c>
      <c r="DU92" s="1">
        <v>44350</v>
      </c>
      <c r="DV92" s="1">
        <v>44439</v>
      </c>
    </row>
    <row r="93" spans="1:126" s="7" customFormat="1" ht="15" customHeight="1" x14ac:dyDescent="0.35">
      <c r="A93" t="s">
        <v>14958</v>
      </c>
      <c r="B93" t="s">
        <v>318</v>
      </c>
      <c r="C93" s="1">
        <v>44321</v>
      </c>
      <c r="D93" s="1">
        <v>44351</v>
      </c>
      <c r="E93" s="1"/>
      <c r="F93" s="1"/>
      <c r="G93" s="1"/>
      <c r="H93" t="s">
        <v>319</v>
      </c>
      <c r="I93" t="s">
        <v>3912</v>
      </c>
      <c r="J93" t="s">
        <v>3913</v>
      </c>
      <c r="K93"/>
      <c r="L93" t="s">
        <v>14959</v>
      </c>
      <c r="M93" t="s">
        <v>14960</v>
      </c>
      <c r="N93"/>
      <c r="O93" t="s">
        <v>1040</v>
      </c>
      <c r="P93" t="s">
        <v>412</v>
      </c>
      <c r="Q93" s="3">
        <v>78753</v>
      </c>
      <c r="R93" t="s">
        <v>128</v>
      </c>
      <c r="S93"/>
      <c r="T93" s="4">
        <v>15128365100</v>
      </c>
      <c r="U93"/>
      <c r="V93" t="s">
        <v>134</v>
      </c>
      <c r="W93" t="s">
        <v>14961</v>
      </c>
      <c r="X93"/>
      <c r="Y93" t="s">
        <v>14960</v>
      </c>
      <c r="Z93"/>
      <c r="AA93" t="s">
        <v>1040</v>
      </c>
      <c r="AB93" t="s">
        <v>400</v>
      </c>
      <c r="AC93" s="3" t="str">
        <f>"78753"</f>
        <v>78753</v>
      </c>
      <c r="AD93" t="s">
        <v>128</v>
      </c>
      <c r="AE93"/>
      <c r="AF93" s="4">
        <v>15128365100</v>
      </c>
      <c r="AG93"/>
      <c r="AH93" t="str">
        <f>"5617"</f>
        <v>5617</v>
      </c>
      <c r="AI93" t="s">
        <v>287</v>
      </c>
      <c r="AJ93" t="s">
        <v>3916</v>
      </c>
      <c r="AK93" t="s">
        <v>1225</v>
      </c>
      <c r="AL93" t="s">
        <v>589</v>
      </c>
      <c r="AM93" t="s">
        <v>3917</v>
      </c>
      <c r="AN93"/>
      <c r="AO93" t="s">
        <v>1513</v>
      </c>
      <c r="AP93" t="s">
        <v>400</v>
      </c>
      <c r="AQ93" s="5">
        <v>75231</v>
      </c>
      <c r="AR93" t="s">
        <v>128</v>
      </c>
      <c r="AS93"/>
      <c r="AT93" s="4">
        <v>12145265665</v>
      </c>
      <c r="AU93"/>
      <c r="AV93" t="s">
        <v>3918</v>
      </c>
      <c r="AW93" t="s">
        <v>3919</v>
      </c>
      <c r="AX93" t="s">
        <v>131</v>
      </c>
      <c r="AY93" t="s">
        <v>131</v>
      </c>
      <c r="AZ93" t="s">
        <v>131</v>
      </c>
      <c r="BA93" t="s">
        <v>131</v>
      </c>
      <c r="BB93" t="s">
        <v>131</v>
      </c>
      <c r="BC93" t="s">
        <v>131</v>
      </c>
      <c r="BD93" t="s">
        <v>131</v>
      </c>
      <c r="BE93" t="s">
        <v>132</v>
      </c>
      <c r="BF93"/>
      <c r="BG93" s="1"/>
      <c r="BH93" t="s">
        <v>2215</v>
      </c>
      <c r="BI93" t="s">
        <v>131</v>
      </c>
      <c r="BJ93"/>
      <c r="BK93"/>
      <c r="BL93" t="s">
        <v>167</v>
      </c>
      <c r="BM93"/>
      <c r="BN93"/>
      <c r="BO93" t="s">
        <v>131</v>
      </c>
      <c r="BP93" t="s">
        <v>134</v>
      </c>
      <c r="BQ93" t="s">
        <v>131</v>
      </c>
      <c r="BR93"/>
      <c r="BS93" t="str">
        <f t="shared" si="8"/>
        <v>N/A</v>
      </c>
      <c r="BT93" t="s">
        <v>131</v>
      </c>
      <c r="BU93"/>
      <c r="BV93" t="str">
        <f>""</f>
        <v/>
      </c>
      <c r="BW93" t="s">
        <v>135</v>
      </c>
      <c r="BX93" t="str">
        <f>""</f>
        <v/>
      </c>
      <c r="BY93" t="str">
        <f>""</f>
        <v/>
      </c>
      <c r="BZ93" t="str">
        <f>""</f>
        <v/>
      </c>
      <c r="CA93" t="str">
        <f>"Must be able to lift 50 lbs &amp; work in adverse weather conditions."</f>
        <v>Must be able to lift 50 lbs &amp; work in adverse weather conditions.</v>
      </c>
      <c r="CB93" t="s">
        <v>131</v>
      </c>
      <c r="CC93"/>
      <c r="CD93"/>
      <c r="CE93"/>
      <c r="CF93" t="s">
        <v>131</v>
      </c>
      <c r="CG93"/>
      <c r="CH93" t="str">
        <f>""</f>
        <v/>
      </c>
      <c r="CI93" t="s">
        <v>131</v>
      </c>
      <c r="CJ93"/>
      <c r="CK93" t="s">
        <v>131</v>
      </c>
      <c r="CL93" t="str">
        <f>""</f>
        <v/>
      </c>
      <c r="CM93" t="str">
        <f>""</f>
        <v/>
      </c>
      <c r="CN93" t="str">
        <f>""</f>
        <v/>
      </c>
      <c r="CO93" t="str">
        <f>""</f>
        <v/>
      </c>
      <c r="CP93" t="str">
        <f>"37-3011.00"</f>
        <v>37-3011.00</v>
      </c>
      <c r="CQ93" t="s">
        <v>920</v>
      </c>
      <c r="CR93"/>
      <c r="CS93" t="s">
        <v>131</v>
      </c>
      <c r="CT93"/>
      <c r="CU93" t="s">
        <v>14960</v>
      </c>
      <c r="CV93"/>
      <c r="CW93" t="s">
        <v>1040</v>
      </c>
      <c r="CX93" t="s">
        <v>400</v>
      </c>
      <c r="CY93"/>
      <c r="CZ93" s="3" t="str">
        <f>"78753"</f>
        <v>78753</v>
      </c>
      <c r="DA93" t="s">
        <v>135</v>
      </c>
      <c r="DB93" t="str">
        <f>"37-3011"</f>
        <v>37-3011</v>
      </c>
      <c r="DC93" t="s">
        <v>920</v>
      </c>
      <c r="DD93" t="s">
        <v>134</v>
      </c>
      <c r="DE93" t="s">
        <v>134</v>
      </c>
      <c r="DF93" t="str">
        <f>""</f>
        <v/>
      </c>
      <c r="DG93"/>
      <c r="DH93" s="6">
        <v>14.63</v>
      </c>
      <c r="DI93" t="s">
        <v>344</v>
      </c>
      <c r="DJ93"/>
      <c r="DK93" t="s">
        <v>345</v>
      </c>
      <c r="DL93"/>
      <c r="DM93"/>
      <c r="DN93"/>
      <c r="DO93"/>
      <c r="DP93"/>
      <c r="DQ93"/>
      <c r="DR93" t="s">
        <v>10072</v>
      </c>
      <c r="DS93" s="6">
        <v>14.63</v>
      </c>
      <c r="DT93" t="s">
        <v>3921</v>
      </c>
      <c r="DU93" s="1">
        <v>44351</v>
      </c>
      <c r="DV93" s="1">
        <v>44440</v>
      </c>
    </row>
    <row r="94" spans="1:126" s="7" customFormat="1" ht="15" customHeight="1" x14ac:dyDescent="0.35">
      <c r="A94" t="s">
        <v>7421</v>
      </c>
      <c r="B94" t="s">
        <v>318</v>
      </c>
      <c r="C94" s="1">
        <v>44321</v>
      </c>
      <c r="D94" s="1">
        <v>44350</v>
      </c>
      <c r="E94" s="1"/>
      <c r="F94" s="1"/>
      <c r="G94" s="1"/>
      <c r="H94" t="s">
        <v>319</v>
      </c>
      <c r="I94" t="s">
        <v>5185</v>
      </c>
      <c r="J94" t="s">
        <v>5186</v>
      </c>
      <c r="K94"/>
      <c r="L94" t="s">
        <v>395</v>
      </c>
      <c r="M94" t="s">
        <v>5187</v>
      </c>
      <c r="N94"/>
      <c r="O94" t="s">
        <v>5188</v>
      </c>
      <c r="P94" t="s">
        <v>2869</v>
      </c>
      <c r="Q94" s="3">
        <v>58554</v>
      </c>
      <c r="R94" t="s">
        <v>128</v>
      </c>
      <c r="S94"/>
      <c r="T94" s="4">
        <v>17013017832</v>
      </c>
      <c r="U94"/>
      <c r="V94" t="s">
        <v>7422</v>
      </c>
      <c r="W94" t="s">
        <v>5189</v>
      </c>
      <c r="X94"/>
      <c r="Y94" t="s">
        <v>5187</v>
      </c>
      <c r="Z94"/>
      <c r="AA94" t="s">
        <v>5188</v>
      </c>
      <c r="AB94" t="s">
        <v>2870</v>
      </c>
      <c r="AC94" s="3" t="str">
        <f>"58554"</f>
        <v>58554</v>
      </c>
      <c r="AD94" t="s">
        <v>128</v>
      </c>
      <c r="AE94"/>
      <c r="AF94" s="4">
        <v>17013017832</v>
      </c>
      <c r="AG94"/>
      <c r="AH94" t="str">
        <f>"23831"</f>
        <v>23831</v>
      </c>
      <c r="AI94" t="s">
        <v>130</v>
      </c>
      <c r="AJ94" t="s">
        <v>1899</v>
      </c>
      <c r="AK94" t="s">
        <v>1900</v>
      </c>
      <c r="AL94"/>
      <c r="AM94" t="s">
        <v>1901</v>
      </c>
      <c r="AN94" t="s">
        <v>1902</v>
      </c>
      <c r="AO94" t="s">
        <v>494</v>
      </c>
      <c r="AP94" t="s">
        <v>129</v>
      </c>
      <c r="AQ94" s="5">
        <v>10165</v>
      </c>
      <c r="AR94" t="s">
        <v>128</v>
      </c>
      <c r="AS94"/>
      <c r="AT94" s="4">
        <v>12127604400</v>
      </c>
      <c r="AU94"/>
      <c r="AV94" t="s">
        <v>1897</v>
      </c>
      <c r="AW94" t="s">
        <v>1903</v>
      </c>
      <c r="AX94" t="s">
        <v>131</v>
      </c>
      <c r="AY94" t="s">
        <v>131</v>
      </c>
      <c r="AZ94" t="s">
        <v>131</v>
      </c>
      <c r="BA94" t="s">
        <v>131</v>
      </c>
      <c r="BB94" t="s">
        <v>131</v>
      </c>
      <c r="BC94" t="s">
        <v>131</v>
      </c>
      <c r="BD94" t="s">
        <v>131</v>
      </c>
      <c r="BE94" t="s">
        <v>132</v>
      </c>
      <c r="BF94"/>
      <c r="BG94" s="1"/>
      <c r="BH94" t="s">
        <v>5190</v>
      </c>
      <c r="BI94" t="s">
        <v>131</v>
      </c>
      <c r="BJ94"/>
      <c r="BK94"/>
      <c r="BL94" t="s">
        <v>167</v>
      </c>
      <c r="BM94"/>
      <c r="BN94"/>
      <c r="BO94" t="s">
        <v>131</v>
      </c>
      <c r="BP94" t="s">
        <v>134</v>
      </c>
      <c r="BQ94" t="s">
        <v>131</v>
      </c>
      <c r="BR94"/>
      <c r="BS94" t="str">
        <f t="shared" si="8"/>
        <v>N/A</v>
      </c>
      <c r="BT94" t="s">
        <v>135</v>
      </c>
      <c r="BU94">
        <v>1</v>
      </c>
      <c r="BV94" t="str">
        <f>"Drywall Installer"</f>
        <v>Drywall Installer</v>
      </c>
      <c r="BW94" t="s">
        <v>131</v>
      </c>
      <c r="BX94" t="str">
        <f>""</f>
        <v/>
      </c>
      <c r="BY94" t="str">
        <f>""</f>
        <v/>
      </c>
      <c r="BZ94" t="str">
        <f>""</f>
        <v/>
      </c>
      <c r="CA94" t="str">
        <f>""</f>
        <v/>
      </c>
      <c r="CB94" t="s">
        <v>131</v>
      </c>
      <c r="CC94"/>
      <c r="CD94"/>
      <c r="CE94"/>
      <c r="CF94" t="s">
        <v>131</v>
      </c>
      <c r="CG94"/>
      <c r="CH94" t="str">
        <f>""</f>
        <v/>
      </c>
      <c r="CI94" t="s">
        <v>131</v>
      </c>
      <c r="CJ94"/>
      <c r="CK94" t="s">
        <v>131</v>
      </c>
      <c r="CL94" t="str">
        <f>""</f>
        <v/>
      </c>
      <c r="CM94" t="str">
        <f>""</f>
        <v/>
      </c>
      <c r="CN94" t="str">
        <f>""</f>
        <v/>
      </c>
      <c r="CO94" t="str">
        <f>""</f>
        <v/>
      </c>
      <c r="CP94" t="str">
        <f>"47-2081.00"</f>
        <v>47-2081.00</v>
      </c>
      <c r="CQ94" t="s">
        <v>5191</v>
      </c>
      <c r="CR94" t="s">
        <v>395</v>
      </c>
      <c r="CS94" t="s">
        <v>131</v>
      </c>
      <c r="CT94"/>
      <c r="CU94" t="s">
        <v>5192</v>
      </c>
      <c r="CV94"/>
      <c r="CW94" t="s">
        <v>5193</v>
      </c>
      <c r="CX94" t="s">
        <v>258</v>
      </c>
      <c r="CY94"/>
      <c r="CZ94" s="3" t="str">
        <f>"64014"</f>
        <v>64014</v>
      </c>
      <c r="DA94" t="s">
        <v>131</v>
      </c>
      <c r="DB94" t="str">
        <f>"47-2081"</f>
        <v>47-2081</v>
      </c>
      <c r="DC94" t="s">
        <v>5191</v>
      </c>
      <c r="DD94" t="s">
        <v>134</v>
      </c>
      <c r="DE94" t="s">
        <v>134</v>
      </c>
      <c r="DF94" t="str">
        <f>""</f>
        <v/>
      </c>
      <c r="DG94"/>
      <c r="DH94" s="6">
        <v>28.14</v>
      </c>
      <c r="DI94" t="s">
        <v>344</v>
      </c>
      <c r="DJ94"/>
      <c r="DK94" t="s">
        <v>345</v>
      </c>
      <c r="DL94"/>
      <c r="DM94"/>
      <c r="DN94"/>
      <c r="DO94"/>
      <c r="DP94"/>
      <c r="DQ94"/>
      <c r="DR94" t="s">
        <v>6443</v>
      </c>
      <c r="DS94" s="6">
        <v>28.14</v>
      </c>
      <c r="DT94" t="s">
        <v>3921</v>
      </c>
      <c r="DU94" s="1">
        <v>44350</v>
      </c>
      <c r="DV94" s="1">
        <v>44439</v>
      </c>
    </row>
    <row r="95" spans="1:126" s="7" customFormat="1" ht="15" customHeight="1" x14ac:dyDescent="0.35">
      <c r="A95" t="s">
        <v>3911</v>
      </c>
      <c r="B95" t="s">
        <v>318</v>
      </c>
      <c r="C95" s="1">
        <v>44321</v>
      </c>
      <c r="D95" s="1">
        <v>44351</v>
      </c>
      <c r="E95" s="1"/>
      <c r="F95" s="1"/>
      <c r="G95" s="1"/>
      <c r="H95" t="s">
        <v>319</v>
      </c>
      <c r="I95" t="s">
        <v>3912</v>
      </c>
      <c r="J95" t="s">
        <v>3913</v>
      </c>
      <c r="K95"/>
      <c r="L95" t="s">
        <v>1482</v>
      </c>
      <c r="M95" t="s">
        <v>3914</v>
      </c>
      <c r="N95"/>
      <c r="O95" t="s">
        <v>699</v>
      </c>
      <c r="P95" t="s">
        <v>412</v>
      </c>
      <c r="Q95" s="3">
        <v>78212</v>
      </c>
      <c r="R95" t="s">
        <v>128</v>
      </c>
      <c r="S95"/>
      <c r="T95" s="4">
        <v>12104910700</v>
      </c>
      <c r="U95"/>
      <c r="V95" t="s">
        <v>134</v>
      </c>
      <c r="W95" t="s">
        <v>3915</v>
      </c>
      <c r="X95"/>
      <c r="Y95" t="s">
        <v>3914</v>
      </c>
      <c r="Z95"/>
      <c r="AA95" t="s">
        <v>699</v>
      </c>
      <c r="AB95" t="s">
        <v>400</v>
      </c>
      <c r="AC95" s="3" t="str">
        <f>"78212"</f>
        <v>78212</v>
      </c>
      <c r="AD95" t="s">
        <v>128</v>
      </c>
      <c r="AE95"/>
      <c r="AF95" s="4">
        <v>12104910700</v>
      </c>
      <c r="AG95"/>
      <c r="AH95" t="str">
        <f>"5617"</f>
        <v>5617</v>
      </c>
      <c r="AI95" t="s">
        <v>287</v>
      </c>
      <c r="AJ95" t="s">
        <v>3916</v>
      </c>
      <c r="AK95" t="s">
        <v>1225</v>
      </c>
      <c r="AL95" t="s">
        <v>589</v>
      </c>
      <c r="AM95" t="s">
        <v>3917</v>
      </c>
      <c r="AN95"/>
      <c r="AO95" t="s">
        <v>1513</v>
      </c>
      <c r="AP95" t="s">
        <v>400</v>
      </c>
      <c r="AQ95" s="5">
        <v>75231</v>
      </c>
      <c r="AR95" t="s">
        <v>128</v>
      </c>
      <c r="AS95"/>
      <c r="AT95" s="4">
        <v>12145265665</v>
      </c>
      <c r="AU95"/>
      <c r="AV95" t="s">
        <v>3918</v>
      </c>
      <c r="AW95" t="s">
        <v>3919</v>
      </c>
      <c r="AX95" t="s">
        <v>131</v>
      </c>
      <c r="AY95" t="s">
        <v>131</v>
      </c>
      <c r="AZ95" t="s">
        <v>131</v>
      </c>
      <c r="BA95" t="s">
        <v>131</v>
      </c>
      <c r="BB95" t="s">
        <v>131</v>
      </c>
      <c r="BC95" t="s">
        <v>131</v>
      </c>
      <c r="BD95" t="s">
        <v>131</v>
      </c>
      <c r="BE95" t="s">
        <v>132</v>
      </c>
      <c r="BF95"/>
      <c r="BG95" s="1"/>
      <c r="BH95" t="s">
        <v>2215</v>
      </c>
      <c r="BI95" t="s">
        <v>131</v>
      </c>
      <c r="BJ95"/>
      <c r="BK95"/>
      <c r="BL95" t="s">
        <v>167</v>
      </c>
      <c r="BM95"/>
      <c r="BN95"/>
      <c r="BO95" t="s">
        <v>131</v>
      </c>
      <c r="BP95" t="s">
        <v>134</v>
      </c>
      <c r="BQ95" t="s">
        <v>131</v>
      </c>
      <c r="BR95"/>
      <c r="BS95" t="str">
        <f t="shared" si="8"/>
        <v>N/A</v>
      </c>
      <c r="BT95" t="s">
        <v>131</v>
      </c>
      <c r="BU95"/>
      <c r="BV95" t="str">
        <f>""</f>
        <v/>
      </c>
      <c r="BW95" t="s">
        <v>135</v>
      </c>
      <c r="BX95" t="str">
        <f>""</f>
        <v/>
      </c>
      <c r="BY95" t="str">
        <f>""</f>
        <v/>
      </c>
      <c r="BZ95" t="str">
        <f>""</f>
        <v/>
      </c>
      <c r="CA95" t="str">
        <f>"Must be able to lift 50 lbs &amp; work in adverse weather conditions."</f>
        <v>Must be able to lift 50 lbs &amp; work in adverse weather conditions.</v>
      </c>
      <c r="CB95" t="s">
        <v>131</v>
      </c>
      <c r="CC95"/>
      <c r="CD95"/>
      <c r="CE95"/>
      <c r="CF95" t="s">
        <v>131</v>
      </c>
      <c r="CG95"/>
      <c r="CH95" t="str">
        <f>""</f>
        <v/>
      </c>
      <c r="CI95" t="s">
        <v>131</v>
      </c>
      <c r="CJ95"/>
      <c r="CK95" t="s">
        <v>131</v>
      </c>
      <c r="CL95" t="str">
        <f>""</f>
        <v/>
      </c>
      <c r="CM95" t="str">
        <f>""</f>
        <v/>
      </c>
      <c r="CN95" t="str">
        <f>""</f>
        <v/>
      </c>
      <c r="CO95" t="str">
        <f>""</f>
        <v/>
      </c>
      <c r="CP95" t="str">
        <f>"37-3011.00"</f>
        <v>37-3011.00</v>
      </c>
      <c r="CQ95" t="s">
        <v>920</v>
      </c>
      <c r="CR95"/>
      <c r="CS95" t="s">
        <v>131</v>
      </c>
      <c r="CT95"/>
      <c r="CU95" t="s">
        <v>3914</v>
      </c>
      <c r="CV95"/>
      <c r="CW95" t="s">
        <v>699</v>
      </c>
      <c r="CX95" t="s">
        <v>400</v>
      </c>
      <c r="CY95"/>
      <c r="CZ95" s="3" t="str">
        <f>"78212"</f>
        <v>78212</v>
      </c>
      <c r="DA95" t="s">
        <v>135</v>
      </c>
      <c r="DB95" t="str">
        <f>"37-3011"</f>
        <v>37-3011</v>
      </c>
      <c r="DC95" t="s">
        <v>920</v>
      </c>
      <c r="DD95" t="s">
        <v>134</v>
      </c>
      <c r="DE95" t="s">
        <v>134</v>
      </c>
      <c r="DF95" t="str">
        <f>""</f>
        <v/>
      </c>
      <c r="DG95"/>
      <c r="DH95" s="6">
        <v>14</v>
      </c>
      <c r="DI95" t="s">
        <v>344</v>
      </c>
      <c r="DJ95"/>
      <c r="DK95" t="s">
        <v>345</v>
      </c>
      <c r="DL95"/>
      <c r="DM95"/>
      <c r="DN95"/>
      <c r="DO95"/>
      <c r="DP95"/>
      <c r="DQ95"/>
      <c r="DR95" t="s">
        <v>3920</v>
      </c>
      <c r="DS95" s="6">
        <v>14.63</v>
      </c>
      <c r="DT95" t="s">
        <v>3921</v>
      </c>
      <c r="DU95" s="1">
        <v>44351</v>
      </c>
      <c r="DV95" s="1">
        <v>44440</v>
      </c>
    </row>
    <row r="96" spans="1:126" s="7" customFormat="1" ht="15" customHeight="1" x14ac:dyDescent="0.35">
      <c r="A96" t="s">
        <v>11586</v>
      </c>
      <c r="B96" t="s">
        <v>318</v>
      </c>
      <c r="C96" s="1">
        <v>44321</v>
      </c>
      <c r="D96" s="1">
        <v>44350</v>
      </c>
      <c r="E96" s="1"/>
      <c r="F96" s="1"/>
      <c r="G96" s="1"/>
      <c r="H96" t="s">
        <v>319</v>
      </c>
      <c r="I96" t="s">
        <v>5185</v>
      </c>
      <c r="J96" t="s">
        <v>5186</v>
      </c>
      <c r="K96"/>
      <c r="L96" t="s">
        <v>395</v>
      </c>
      <c r="M96" t="s">
        <v>5187</v>
      </c>
      <c r="N96"/>
      <c r="O96" t="s">
        <v>5188</v>
      </c>
      <c r="P96" t="s">
        <v>2869</v>
      </c>
      <c r="Q96" s="3">
        <v>58554</v>
      </c>
      <c r="R96" t="s">
        <v>128</v>
      </c>
      <c r="S96"/>
      <c r="T96" s="4">
        <v>17013017832</v>
      </c>
      <c r="U96"/>
      <c r="V96" t="s">
        <v>7422</v>
      </c>
      <c r="W96" t="s">
        <v>5189</v>
      </c>
      <c r="X96"/>
      <c r="Y96" t="s">
        <v>5187</v>
      </c>
      <c r="Z96"/>
      <c r="AA96" t="s">
        <v>5188</v>
      </c>
      <c r="AB96" t="s">
        <v>2870</v>
      </c>
      <c r="AC96" s="3" t="str">
        <f>"58554"</f>
        <v>58554</v>
      </c>
      <c r="AD96" t="s">
        <v>128</v>
      </c>
      <c r="AE96"/>
      <c r="AF96" s="4">
        <v>17013017832</v>
      </c>
      <c r="AG96"/>
      <c r="AH96" t="str">
        <f>"238140"</f>
        <v>238140</v>
      </c>
      <c r="AI96" t="s">
        <v>130</v>
      </c>
      <c r="AJ96" t="s">
        <v>1899</v>
      </c>
      <c r="AK96" t="s">
        <v>1900</v>
      </c>
      <c r="AL96"/>
      <c r="AM96" t="s">
        <v>1901</v>
      </c>
      <c r="AN96" t="s">
        <v>1902</v>
      </c>
      <c r="AO96" t="s">
        <v>494</v>
      </c>
      <c r="AP96" t="s">
        <v>129</v>
      </c>
      <c r="AQ96" s="5">
        <v>10165</v>
      </c>
      <c r="AR96" t="s">
        <v>128</v>
      </c>
      <c r="AS96"/>
      <c r="AT96" s="4">
        <v>12127604400</v>
      </c>
      <c r="AU96"/>
      <c r="AV96" t="s">
        <v>1897</v>
      </c>
      <c r="AW96" t="s">
        <v>1903</v>
      </c>
      <c r="AX96" t="s">
        <v>131</v>
      </c>
      <c r="AY96" t="s">
        <v>131</v>
      </c>
      <c r="AZ96" t="s">
        <v>131</v>
      </c>
      <c r="BA96" t="s">
        <v>131</v>
      </c>
      <c r="BB96" t="s">
        <v>131</v>
      </c>
      <c r="BC96" t="s">
        <v>131</v>
      </c>
      <c r="BD96" t="s">
        <v>131</v>
      </c>
      <c r="BE96" t="s">
        <v>132</v>
      </c>
      <c r="BF96"/>
      <c r="BG96" s="1"/>
      <c r="BH96" t="s">
        <v>5318</v>
      </c>
      <c r="BI96" t="s">
        <v>131</v>
      </c>
      <c r="BJ96"/>
      <c r="BK96"/>
      <c r="BL96" t="s">
        <v>167</v>
      </c>
      <c r="BM96"/>
      <c r="BN96"/>
      <c r="BO96" t="s">
        <v>131</v>
      </c>
      <c r="BP96" t="s">
        <v>134</v>
      </c>
      <c r="BQ96" t="s">
        <v>131</v>
      </c>
      <c r="BR96"/>
      <c r="BS96" t="str">
        <f t="shared" si="8"/>
        <v>N/A</v>
      </c>
      <c r="BT96" t="s">
        <v>135</v>
      </c>
      <c r="BU96">
        <v>1</v>
      </c>
      <c r="BV96" t="str">
        <f>"Stonemason"</f>
        <v>Stonemason</v>
      </c>
      <c r="BW96" t="s">
        <v>131</v>
      </c>
      <c r="BX96" t="str">
        <f>""</f>
        <v/>
      </c>
      <c r="BY96" t="str">
        <f>""</f>
        <v/>
      </c>
      <c r="BZ96" t="str">
        <f>""</f>
        <v/>
      </c>
      <c r="CA96" t="str">
        <f>""</f>
        <v/>
      </c>
      <c r="CB96" t="s">
        <v>131</v>
      </c>
      <c r="CC96"/>
      <c r="CD96"/>
      <c r="CE96"/>
      <c r="CF96" t="s">
        <v>131</v>
      </c>
      <c r="CG96"/>
      <c r="CH96" t="str">
        <f>""</f>
        <v/>
      </c>
      <c r="CI96" t="s">
        <v>131</v>
      </c>
      <c r="CJ96"/>
      <c r="CK96" t="s">
        <v>131</v>
      </c>
      <c r="CL96" t="str">
        <f>""</f>
        <v/>
      </c>
      <c r="CM96" t="str">
        <f>""</f>
        <v/>
      </c>
      <c r="CN96" t="str">
        <f>""</f>
        <v/>
      </c>
      <c r="CO96" t="str">
        <f>""</f>
        <v/>
      </c>
      <c r="CP96" t="str">
        <f>"47-2022.00"</f>
        <v>47-2022.00</v>
      </c>
      <c r="CQ96" t="s">
        <v>5319</v>
      </c>
      <c r="CR96" t="s">
        <v>395</v>
      </c>
      <c r="CS96" t="s">
        <v>131</v>
      </c>
      <c r="CT96"/>
      <c r="CU96" t="s">
        <v>5192</v>
      </c>
      <c r="CV96"/>
      <c r="CW96" t="s">
        <v>5193</v>
      </c>
      <c r="CX96" t="s">
        <v>258</v>
      </c>
      <c r="CY96"/>
      <c r="CZ96" s="3" t="str">
        <f>"64014"</f>
        <v>64014</v>
      </c>
      <c r="DA96" t="s">
        <v>131</v>
      </c>
      <c r="DB96" t="str">
        <f>"47-2022"</f>
        <v>47-2022</v>
      </c>
      <c r="DC96" t="s">
        <v>5319</v>
      </c>
      <c r="DD96" t="s">
        <v>134</v>
      </c>
      <c r="DE96" t="s">
        <v>134</v>
      </c>
      <c r="DF96" t="str">
        <f>""</f>
        <v/>
      </c>
      <c r="DG96"/>
      <c r="DH96" s="6">
        <v>17.149999999999999</v>
      </c>
      <c r="DI96" t="s">
        <v>344</v>
      </c>
      <c r="DJ96"/>
      <c r="DK96" t="s">
        <v>345</v>
      </c>
      <c r="DL96"/>
      <c r="DM96"/>
      <c r="DN96"/>
      <c r="DO96"/>
      <c r="DP96"/>
      <c r="DQ96"/>
      <c r="DR96" t="s">
        <v>6443</v>
      </c>
      <c r="DS96" s="6">
        <v>17.149999999999999</v>
      </c>
      <c r="DT96" t="s">
        <v>3921</v>
      </c>
      <c r="DU96" s="1">
        <v>44350</v>
      </c>
      <c r="DV96" s="1">
        <v>44439</v>
      </c>
    </row>
    <row r="97" spans="1:126" s="7" customFormat="1" ht="15" customHeight="1" x14ac:dyDescent="0.35">
      <c r="A97" t="s">
        <v>8048</v>
      </c>
      <c r="B97" t="s">
        <v>318</v>
      </c>
      <c r="C97" s="1">
        <v>44321</v>
      </c>
      <c r="D97" s="1">
        <v>44350</v>
      </c>
      <c r="E97" s="1"/>
      <c r="F97" s="1"/>
      <c r="G97" s="1"/>
      <c r="H97" t="s">
        <v>319</v>
      </c>
      <c r="I97" t="s">
        <v>8049</v>
      </c>
      <c r="J97" t="s">
        <v>4162</v>
      </c>
      <c r="K97" t="s">
        <v>610</v>
      </c>
      <c r="L97" t="s">
        <v>583</v>
      </c>
      <c r="M97" t="s">
        <v>8050</v>
      </c>
      <c r="N97"/>
      <c r="O97" t="s">
        <v>8051</v>
      </c>
      <c r="P97" t="s">
        <v>629</v>
      </c>
      <c r="Q97" s="3">
        <v>39532</v>
      </c>
      <c r="R97" t="s">
        <v>128</v>
      </c>
      <c r="S97"/>
      <c r="T97" s="4">
        <v>17082689314</v>
      </c>
      <c r="U97"/>
      <c r="V97" t="s">
        <v>8052</v>
      </c>
      <c r="W97" t="s">
        <v>8053</v>
      </c>
      <c r="X97"/>
      <c r="Y97" t="s">
        <v>8050</v>
      </c>
      <c r="Z97"/>
      <c r="AA97" t="s">
        <v>8051</v>
      </c>
      <c r="AB97" t="s">
        <v>630</v>
      </c>
      <c r="AC97" s="3" t="str">
        <f>"39532"</f>
        <v>39532</v>
      </c>
      <c r="AD97" t="s">
        <v>128</v>
      </c>
      <c r="AE97"/>
      <c r="AF97" s="4">
        <v>17082689314</v>
      </c>
      <c r="AG97"/>
      <c r="AH97" t="str">
        <f>"561320"</f>
        <v>561320</v>
      </c>
      <c r="AI97" t="s">
        <v>287</v>
      </c>
      <c r="AJ97" t="s">
        <v>8049</v>
      </c>
      <c r="AK97" t="s">
        <v>4162</v>
      </c>
      <c r="AL97" t="s">
        <v>3179</v>
      </c>
      <c r="AM97" t="s">
        <v>8050</v>
      </c>
      <c r="AN97"/>
      <c r="AO97" t="s">
        <v>8051</v>
      </c>
      <c r="AP97" t="s">
        <v>630</v>
      </c>
      <c r="AQ97" s="5">
        <v>39532</v>
      </c>
      <c r="AR97" t="s">
        <v>128</v>
      </c>
      <c r="AS97"/>
      <c r="AT97" s="4">
        <v>17082689314</v>
      </c>
      <c r="AU97"/>
      <c r="AV97" t="s">
        <v>8052</v>
      </c>
      <c r="AW97" t="s">
        <v>8053</v>
      </c>
      <c r="AX97" t="s">
        <v>131</v>
      </c>
      <c r="AY97" t="s">
        <v>131</v>
      </c>
      <c r="AZ97" t="s">
        <v>131</v>
      </c>
      <c r="BA97" t="s">
        <v>131</v>
      </c>
      <c r="BB97" t="s">
        <v>131</v>
      </c>
      <c r="BC97" t="s">
        <v>131</v>
      </c>
      <c r="BD97" t="s">
        <v>131</v>
      </c>
      <c r="BE97" t="s">
        <v>160</v>
      </c>
      <c r="BF97" t="s">
        <v>8054</v>
      </c>
      <c r="BG97" s="1">
        <v>44321</v>
      </c>
      <c r="BH97" t="s">
        <v>8054</v>
      </c>
      <c r="BI97" t="s">
        <v>131</v>
      </c>
      <c r="BJ97"/>
      <c r="BK97"/>
      <c r="BL97" t="s">
        <v>167</v>
      </c>
      <c r="BM97"/>
      <c r="BN97"/>
      <c r="BO97" t="s">
        <v>131</v>
      </c>
      <c r="BP97" t="s">
        <v>134</v>
      </c>
      <c r="BQ97" t="s">
        <v>131</v>
      </c>
      <c r="BR97"/>
      <c r="BS97" t="str">
        <f t="shared" si="8"/>
        <v>N/A</v>
      </c>
      <c r="BT97" t="s">
        <v>131</v>
      </c>
      <c r="BU97"/>
      <c r="BV97" t="str">
        <f>""</f>
        <v/>
      </c>
      <c r="BW97" t="s">
        <v>131</v>
      </c>
      <c r="BX97" t="str">
        <f>""</f>
        <v/>
      </c>
      <c r="BY97" t="str">
        <f>""</f>
        <v/>
      </c>
      <c r="BZ97" t="str">
        <f>""</f>
        <v/>
      </c>
      <c r="CA97" t="str">
        <f>""</f>
        <v/>
      </c>
      <c r="CB97" t="s">
        <v>131</v>
      </c>
      <c r="CC97"/>
      <c r="CD97"/>
      <c r="CE97"/>
      <c r="CF97" t="s">
        <v>131</v>
      </c>
      <c r="CG97"/>
      <c r="CH97" t="str">
        <f>""</f>
        <v/>
      </c>
      <c r="CI97" t="s">
        <v>131</v>
      </c>
      <c r="CJ97"/>
      <c r="CK97" t="s">
        <v>131</v>
      </c>
      <c r="CL97" t="str">
        <f>""</f>
        <v/>
      </c>
      <c r="CM97" t="str">
        <f>""</f>
        <v/>
      </c>
      <c r="CN97" t="str">
        <f>""</f>
        <v/>
      </c>
      <c r="CO97" t="str">
        <f>""</f>
        <v/>
      </c>
      <c r="CP97" t="str">
        <f>"53-7061.00"</f>
        <v>53-7061.00</v>
      </c>
      <c r="CQ97" t="s">
        <v>1719</v>
      </c>
      <c r="CR97" t="s">
        <v>2288</v>
      </c>
      <c r="CS97" t="s">
        <v>131</v>
      </c>
      <c r="CT97"/>
      <c r="CU97" t="s">
        <v>8055</v>
      </c>
      <c r="CV97"/>
      <c r="CW97" t="s">
        <v>8056</v>
      </c>
      <c r="CX97" t="s">
        <v>630</v>
      </c>
      <c r="CY97"/>
      <c r="CZ97" s="3" t="str">
        <f>"39503"</f>
        <v>39503</v>
      </c>
      <c r="DA97" t="s">
        <v>131</v>
      </c>
      <c r="DB97" t="str">
        <f>"53-7061"</f>
        <v>53-7061</v>
      </c>
      <c r="DC97" t="s">
        <v>1719</v>
      </c>
      <c r="DD97" t="s">
        <v>134</v>
      </c>
      <c r="DE97" t="s">
        <v>134</v>
      </c>
      <c r="DF97" t="str">
        <f>""</f>
        <v/>
      </c>
      <c r="DG97"/>
      <c r="DH97" s="6">
        <v>11.61</v>
      </c>
      <c r="DI97" t="s">
        <v>344</v>
      </c>
      <c r="DJ97"/>
      <c r="DK97" t="s">
        <v>345</v>
      </c>
      <c r="DL97"/>
      <c r="DM97"/>
      <c r="DN97"/>
      <c r="DO97"/>
      <c r="DP97"/>
      <c r="DQ97"/>
      <c r="DR97" t="s">
        <v>8057</v>
      </c>
      <c r="DS97" s="6">
        <v>11.61</v>
      </c>
      <c r="DT97" s="2" t="s">
        <v>8058</v>
      </c>
      <c r="DU97" s="1">
        <v>44350</v>
      </c>
      <c r="DV97" s="1">
        <v>44439</v>
      </c>
    </row>
    <row r="98" spans="1:126" s="7" customFormat="1" ht="15" customHeight="1" x14ac:dyDescent="0.35">
      <c r="A98" t="s">
        <v>12389</v>
      </c>
      <c r="B98" t="s">
        <v>318</v>
      </c>
      <c r="C98" s="1">
        <v>44321</v>
      </c>
      <c r="D98" s="1">
        <v>44351</v>
      </c>
      <c r="E98" s="1"/>
      <c r="F98" s="1"/>
      <c r="G98" s="1"/>
      <c r="H98" t="s">
        <v>319</v>
      </c>
      <c r="I98" t="s">
        <v>3912</v>
      </c>
      <c r="J98" t="s">
        <v>3913</v>
      </c>
      <c r="K98"/>
      <c r="L98" t="s">
        <v>1482</v>
      </c>
      <c r="M98" t="s">
        <v>12390</v>
      </c>
      <c r="N98"/>
      <c r="O98" t="s">
        <v>2665</v>
      </c>
      <c r="P98" t="s">
        <v>412</v>
      </c>
      <c r="Q98" s="3">
        <v>75006</v>
      </c>
      <c r="R98" t="s">
        <v>128</v>
      </c>
      <c r="S98"/>
      <c r="T98" s="4">
        <v>19724186998</v>
      </c>
      <c r="U98"/>
      <c r="V98" t="s">
        <v>134</v>
      </c>
      <c r="W98" t="s">
        <v>12391</v>
      </c>
      <c r="X98"/>
      <c r="Y98" t="s">
        <v>12390</v>
      </c>
      <c r="Z98"/>
      <c r="AA98" t="s">
        <v>2665</v>
      </c>
      <c r="AB98" t="s">
        <v>400</v>
      </c>
      <c r="AC98" s="3" t="str">
        <f>"75006"</f>
        <v>75006</v>
      </c>
      <c r="AD98" t="s">
        <v>128</v>
      </c>
      <c r="AE98"/>
      <c r="AF98" s="4">
        <v>19724186998</v>
      </c>
      <c r="AG98"/>
      <c r="AH98" t="str">
        <f>"5617"</f>
        <v>5617</v>
      </c>
      <c r="AI98" t="s">
        <v>287</v>
      </c>
      <c r="AJ98" t="s">
        <v>3916</v>
      </c>
      <c r="AK98" t="s">
        <v>1225</v>
      </c>
      <c r="AL98" t="s">
        <v>589</v>
      </c>
      <c r="AM98" t="s">
        <v>3917</v>
      </c>
      <c r="AN98"/>
      <c r="AO98" t="s">
        <v>1513</v>
      </c>
      <c r="AP98" t="s">
        <v>400</v>
      </c>
      <c r="AQ98" s="5">
        <v>75231</v>
      </c>
      <c r="AR98" t="s">
        <v>128</v>
      </c>
      <c r="AS98"/>
      <c r="AT98" s="4">
        <v>12145265665</v>
      </c>
      <c r="AU98"/>
      <c r="AV98" t="s">
        <v>3918</v>
      </c>
      <c r="AW98" t="s">
        <v>3919</v>
      </c>
      <c r="AX98" t="s">
        <v>131</v>
      </c>
      <c r="AY98" t="s">
        <v>131</v>
      </c>
      <c r="AZ98" t="s">
        <v>131</v>
      </c>
      <c r="BA98" t="s">
        <v>131</v>
      </c>
      <c r="BB98" t="s">
        <v>131</v>
      </c>
      <c r="BC98" t="s">
        <v>131</v>
      </c>
      <c r="BD98" t="s">
        <v>131</v>
      </c>
      <c r="BE98" t="s">
        <v>132</v>
      </c>
      <c r="BF98"/>
      <c r="BG98" s="1"/>
      <c r="BH98" t="s">
        <v>2215</v>
      </c>
      <c r="BI98" t="s">
        <v>131</v>
      </c>
      <c r="BJ98"/>
      <c r="BK98"/>
      <c r="BL98" t="s">
        <v>167</v>
      </c>
      <c r="BM98"/>
      <c r="BN98"/>
      <c r="BO98" t="s">
        <v>131</v>
      </c>
      <c r="BP98" t="s">
        <v>134</v>
      </c>
      <c r="BQ98" t="s">
        <v>131</v>
      </c>
      <c r="BR98"/>
      <c r="BS98" t="str">
        <f t="shared" si="8"/>
        <v>N/A</v>
      </c>
      <c r="BT98" t="s">
        <v>131</v>
      </c>
      <c r="BU98"/>
      <c r="BV98" t="str">
        <f>""</f>
        <v/>
      </c>
      <c r="BW98" t="s">
        <v>135</v>
      </c>
      <c r="BX98" t="str">
        <f>""</f>
        <v/>
      </c>
      <c r="BY98" t="str">
        <f>""</f>
        <v/>
      </c>
      <c r="BZ98" t="str">
        <f>""</f>
        <v/>
      </c>
      <c r="CA98" t="str">
        <f>"Must be able to lift 50 lbs &amp; work in adverse weather conditions."</f>
        <v>Must be able to lift 50 lbs &amp; work in adverse weather conditions.</v>
      </c>
      <c r="CB98" t="s">
        <v>131</v>
      </c>
      <c r="CC98"/>
      <c r="CD98"/>
      <c r="CE98"/>
      <c r="CF98" t="s">
        <v>131</v>
      </c>
      <c r="CG98"/>
      <c r="CH98" t="str">
        <f>""</f>
        <v/>
      </c>
      <c r="CI98" t="s">
        <v>131</v>
      </c>
      <c r="CJ98"/>
      <c r="CK98" t="s">
        <v>131</v>
      </c>
      <c r="CL98" t="str">
        <f>""</f>
        <v/>
      </c>
      <c r="CM98" t="str">
        <f>""</f>
        <v/>
      </c>
      <c r="CN98" t="str">
        <f>""</f>
        <v/>
      </c>
      <c r="CO98" t="str">
        <f>""</f>
        <v/>
      </c>
      <c r="CP98" t="str">
        <f>"37-3011.00"</f>
        <v>37-3011.00</v>
      </c>
      <c r="CQ98" t="s">
        <v>920</v>
      </c>
      <c r="CR98"/>
      <c r="CS98" t="s">
        <v>131</v>
      </c>
      <c r="CT98"/>
      <c r="CU98" t="s">
        <v>12390</v>
      </c>
      <c r="CV98"/>
      <c r="CW98" t="s">
        <v>2665</v>
      </c>
      <c r="CX98" t="s">
        <v>400</v>
      </c>
      <c r="CY98"/>
      <c r="CZ98" s="3" t="str">
        <f>"75006"</f>
        <v>75006</v>
      </c>
      <c r="DA98" t="s">
        <v>135</v>
      </c>
      <c r="DB98" t="str">
        <f>"37-3011"</f>
        <v>37-3011</v>
      </c>
      <c r="DC98" t="s">
        <v>920</v>
      </c>
      <c r="DD98" t="s">
        <v>134</v>
      </c>
      <c r="DE98" t="s">
        <v>134</v>
      </c>
      <c r="DF98" t="str">
        <f>""</f>
        <v/>
      </c>
      <c r="DG98"/>
      <c r="DH98" s="6">
        <v>15.23</v>
      </c>
      <c r="DI98" t="s">
        <v>344</v>
      </c>
      <c r="DJ98"/>
      <c r="DK98" t="s">
        <v>345</v>
      </c>
      <c r="DL98"/>
      <c r="DM98"/>
      <c r="DN98"/>
      <c r="DO98"/>
      <c r="DP98"/>
      <c r="DQ98"/>
      <c r="DR98" t="s">
        <v>423</v>
      </c>
      <c r="DS98" s="6">
        <v>15.23</v>
      </c>
      <c r="DT98" t="s">
        <v>3921</v>
      </c>
      <c r="DU98" s="1">
        <v>44351</v>
      </c>
      <c r="DV98" s="1">
        <v>44440</v>
      </c>
    </row>
    <row r="99" spans="1:126" s="7" customFormat="1" ht="15" customHeight="1" x14ac:dyDescent="0.35">
      <c r="A99" t="s">
        <v>17282</v>
      </c>
      <c r="B99" t="s">
        <v>318</v>
      </c>
      <c r="C99" s="1">
        <v>44321</v>
      </c>
      <c r="D99" s="1">
        <v>44350</v>
      </c>
      <c r="E99" s="1"/>
      <c r="F99" s="1"/>
      <c r="G99" s="1"/>
      <c r="H99" t="s">
        <v>319</v>
      </c>
      <c r="I99" t="s">
        <v>12991</v>
      </c>
      <c r="J99" t="s">
        <v>1540</v>
      </c>
      <c r="K99" t="s">
        <v>192</v>
      </c>
      <c r="L99" t="s">
        <v>12992</v>
      </c>
      <c r="M99" t="s">
        <v>12993</v>
      </c>
      <c r="N99"/>
      <c r="O99" t="s">
        <v>12994</v>
      </c>
      <c r="P99" t="s">
        <v>1760</v>
      </c>
      <c r="Q99" s="3">
        <v>70739</v>
      </c>
      <c r="R99" t="s">
        <v>128</v>
      </c>
      <c r="S99"/>
      <c r="T99" s="4">
        <v>12255722333</v>
      </c>
      <c r="U99"/>
      <c r="V99" t="s">
        <v>12995</v>
      </c>
      <c r="W99" t="s">
        <v>12996</v>
      </c>
      <c r="X99" t="s">
        <v>12997</v>
      </c>
      <c r="Y99" t="s">
        <v>12993</v>
      </c>
      <c r="Z99"/>
      <c r="AA99" t="s">
        <v>12994</v>
      </c>
      <c r="AB99" t="s">
        <v>1763</v>
      </c>
      <c r="AC99" s="3" t="str">
        <f>"70739"</f>
        <v>70739</v>
      </c>
      <c r="AD99" t="s">
        <v>128</v>
      </c>
      <c r="AE99"/>
      <c r="AF99" s="4">
        <v>12257522333</v>
      </c>
      <c r="AG99"/>
      <c r="AH99" t="str">
        <f>"56173"</f>
        <v>56173</v>
      </c>
      <c r="AI99" t="s">
        <v>287</v>
      </c>
      <c r="AJ99" t="s">
        <v>2304</v>
      </c>
      <c r="AK99" t="s">
        <v>5773</v>
      </c>
      <c r="AL99" t="s">
        <v>589</v>
      </c>
      <c r="AM99" t="s">
        <v>5774</v>
      </c>
      <c r="AN99" t="s">
        <v>5775</v>
      </c>
      <c r="AO99" t="s">
        <v>5776</v>
      </c>
      <c r="AP99" t="s">
        <v>1763</v>
      </c>
      <c r="AQ99" s="5">
        <v>70754</v>
      </c>
      <c r="AR99" t="s">
        <v>128</v>
      </c>
      <c r="AS99" t="s">
        <v>1763</v>
      </c>
      <c r="AT99" s="4">
        <v>12256863033</v>
      </c>
      <c r="AU99"/>
      <c r="AV99" t="s">
        <v>5777</v>
      </c>
      <c r="AW99" t="s">
        <v>5778</v>
      </c>
      <c r="AX99" t="s">
        <v>131</v>
      </c>
      <c r="AY99" t="s">
        <v>131</v>
      </c>
      <c r="AZ99" t="s">
        <v>131</v>
      </c>
      <c r="BA99" t="s">
        <v>131</v>
      </c>
      <c r="BB99" t="s">
        <v>131</v>
      </c>
      <c r="BC99" t="s">
        <v>131</v>
      </c>
      <c r="BD99" t="s">
        <v>131</v>
      </c>
      <c r="BE99" t="s">
        <v>132</v>
      </c>
      <c r="BF99"/>
      <c r="BG99" s="1"/>
      <c r="BH99" t="s">
        <v>5067</v>
      </c>
      <c r="BI99" t="s">
        <v>131</v>
      </c>
      <c r="BJ99"/>
      <c r="BK99"/>
      <c r="BL99" t="s">
        <v>167</v>
      </c>
      <c r="BM99"/>
      <c r="BN99"/>
      <c r="BO99" t="s">
        <v>131</v>
      </c>
      <c r="BP99" t="s">
        <v>134</v>
      </c>
      <c r="BQ99" t="s">
        <v>131</v>
      </c>
      <c r="BR99"/>
      <c r="BS99" t="str">
        <f t="shared" si="8"/>
        <v>N/A</v>
      </c>
      <c r="BT99" t="s">
        <v>131</v>
      </c>
      <c r="BU99"/>
      <c r="BV99" t="str">
        <f>""</f>
        <v/>
      </c>
      <c r="BW99" t="s">
        <v>135</v>
      </c>
      <c r="BX99" t="str">
        <f>""</f>
        <v/>
      </c>
      <c r="BY99" t="str">
        <f>""</f>
        <v/>
      </c>
      <c r="BZ99" t="str">
        <f>""</f>
        <v/>
      </c>
      <c r="CA99" s="2" t="s">
        <v>17283</v>
      </c>
      <c r="CB99" t="s">
        <v>131</v>
      </c>
      <c r="CC99"/>
      <c r="CD99"/>
      <c r="CE99"/>
      <c r="CF99" t="s">
        <v>131</v>
      </c>
      <c r="CG99"/>
      <c r="CH99" t="str">
        <f>""</f>
        <v/>
      </c>
      <c r="CI99" t="s">
        <v>131</v>
      </c>
      <c r="CJ99"/>
      <c r="CK99" t="s">
        <v>131</v>
      </c>
      <c r="CL99" t="str">
        <f>""</f>
        <v/>
      </c>
      <c r="CM99" t="str">
        <f>""</f>
        <v/>
      </c>
      <c r="CN99" t="str">
        <f>""</f>
        <v/>
      </c>
      <c r="CO99" t="str">
        <f>""</f>
        <v/>
      </c>
      <c r="CP99" t="str">
        <f>"37-3011.00"</f>
        <v>37-3011.00</v>
      </c>
      <c r="CQ99" t="s">
        <v>920</v>
      </c>
      <c r="CR99"/>
      <c r="CS99" t="s">
        <v>135</v>
      </c>
      <c r="CT99" t="s">
        <v>12999</v>
      </c>
      <c r="CU99" t="s">
        <v>12993</v>
      </c>
      <c r="CV99"/>
      <c r="CW99" t="s">
        <v>12994</v>
      </c>
      <c r="CX99" t="s">
        <v>1763</v>
      </c>
      <c r="CY99"/>
      <c r="CZ99" s="3" t="str">
        <f>"70739"</f>
        <v>70739</v>
      </c>
      <c r="DA99" t="s">
        <v>135</v>
      </c>
      <c r="DB99" t="str">
        <f>"37-3011"</f>
        <v>37-3011</v>
      </c>
      <c r="DC99" t="s">
        <v>920</v>
      </c>
      <c r="DD99" t="s">
        <v>134</v>
      </c>
      <c r="DE99" t="s">
        <v>134</v>
      </c>
      <c r="DF99" t="str">
        <f>""</f>
        <v/>
      </c>
      <c r="DG99"/>
      <c r="DH99" s="6">
        <v>14.59</v>
      </c>
      <c r="DI99" t="s">
        <v>344</v>
      </c>
      <c r="DJ99"/>
      <c r="DK99" t="s">
        <v>345</v>
      </c>
      <c r="DL99"/>
      <c r="DM99"/>
      <c r="DN99"/>
      <c r="DO99"/>
      <c r="DP99"/>
      <c r="DQ99"/>
      <c r="DR99" t="s">
        <v>3877</v>
      </c>
      <c r="DS99" s="6">
        <v>14.59</v>
      </c>
      <c r="DT99" s="2" t="s">
        <v>8351</v>
      </c>
      <c r="DU99" s="1">
        <v>44350</v>
      </c>
      <c r="DV99" s="1">
        <v>44439</v>
      </c>
    </row>
    <row r="100" spans="1:126" s="7" customFormat="1" ht="15" customHeight="1" x14ac:dyDescent="0.35">
      <c r="A100" t="s">
        <v>17094</v>
      </c>
      <c r="B100" t="s">
        <v>318</v>
      </c>
      <c r="C100" s="1">
        <v>44321</v>
      </c>
      <c r="D100" s="1">
        <v>44351</v>
      </c>
      <c r="E100" s="1"/>
      <c r="F100" s="1"/>
      <c r="G100" s="1"/>
      <c r="H100" t="s">
        <v>319</v>
      </c>
      <c r="I100" t="s">
        <v>5173</v>
      </c>
      <c r="J100" t="s">
        <v>2689</v>
      </c>
      <c r="K100"/>
      <c r="L100" t="s">
        <v>2754</v>
      </c>
      <c r="M100" t="s">
        <v>15053</v>
      </c>
      <c r="N100" t="s">
        <v>683</v>
      </c>
      <c r="O100" t="s">
        <v>9527</v>
      </c>
      <c r="P100" t="s">
        <v>1760</v>
      </c>
      <c r="Q100" s="3">
        <v>70508</v>
      </c>
      <c r="R100" t="s">
        <v>128</v>
      </c>
      <c r="S100"/>
      <c r="T100" s="4">
        <v>13377891141</v>
      </c>
      <c r="U100"/>
      <c r="V100" t="s">
        <v>134</v>
      </c>
      <c r="W100" t="s">
        <v>15054</v>
      </c>
      <c r="X100"/>
      <c r="Y100" t="s">
        <v>15053</v>
      </c>
      <c r="Z100" t="s">
        <v>683</v>
      </c>
      <c r="AA100" t="s">
        <v>9527</v>
      </c>
      <c r="AB100" t="s">
        <v>1763</v>
      </c>
      <c r="AC100" s="3" t="str">
        <f>"70508"</f>
        <v>70508</v>
      </c>
      <c r="AD100" t="s">
        <v>128</v>
      </c>
      <c r="AE100"/>
      <c r="AF100" s="4">
        <v>13377891141</v>
      </c>
      <c r="AG100"/>
      <c r="AH100" t="str">
        <f>"56173"</f>
        <v>56173</v>
      </c>
      <c r="AI100" t="s">
        <v>287</v>
      </c>
      <c r="AJ100" t="s">
        <v>414</v>
      </c>
      <c r="AK100" t="s">
        <v>301</v>
      </c>
      <c r="AL100" t="s">
        <v>415</v>
      </c>
      <c r="AM100" t="s">
        <v>416</v>
      </c>
      <c r="AN100" t="s">
        <v>417</v>
      </c>
      <c r="AO100" t="s">
        <v>399</v>
      </c>
      <c r="AP100" t="s">
        <v>400</v>
      </c>
      <c r="AQ100" s="5">
        <v>75231</v>
      </c>
      <c r="AR100" t="s">
        <v>128</v>
      </c>
      <c r="AS100"/>
      <c r="AT100" s="4">
        <v>12145265665</v>
      </c>
      <c r="AU100"/>
      <c r="AV100" t="s">
        <v>418</v>
      </c>
      <c r="AW100" t="s">
        <v>419</v>
      </c>
      <c r="AX100" t="s">
        <v>131</v>
      </c>
      <c r="AY100" t="s">
        <v>131</v>
      </c>
      <c r="AZ100" t="s">
        <v>131</v>
      </c>
      <c r="BA100" t="s">
        <v>131</v>
      </c>
      <c r="BB100" t="s">
        <v>131</v>
      </c>
      <c r="BC100" t="s">
        <v>131</v>
      </c>
      <c r="BD100" t="s">
        <v>131</v>
      </c>
      <c r="BE100" t="s">
        <v>132</v>
      </c>
      <c r="BF100"/>
      <c r="BG100" s="1"/>
      <c r="BH100" t="s">
        <v>2215</v>
      </c>
      <c r="BI100" t="s">
        <v>131</v>
      </c>
      <c r="BJ100"/>
      <c r="BK100"/>
      <c r="BL100" t="s">
        <v>167</v>
      </c>
      <c r="BM100"/>
      <c r="BN100"/>
      <c r="BO100" t="s">
        <v>131</v>
      </c>
      <c r="BP100" t="s">
        <v>134</v>
      </c>
      <c r="BQ100" t="s">
        <v>131</v>
      </c>
      <c r="BR100"/>
      <c r="BS100" t="str">
        <f t="shared" si="8"/>
        <v>N/A</v>
      </c>
      <c r="BT100" t="s">
        <v>131</v>
      </c>
      <c r="BU100"/>
      <c r="BV100" t="str">
        <f>""</f>
        <v/>
      </c>
      <c r="BW100" t="s">
        <v>135</v>
      </c>
      <c r="BX100" t="str">
        <f>""</f>
        <v/>
      </c>
      <c r="BY100" t="str">
        <f>""</f>
        <v/>
      </c>
      <c r="BZ100" t="str">
        <f>""</f>
        <v/>
      </c>
      <c r="CA100" t="str">
        <f>"Must be able to lift 50 lbs, work in adverse weather conditions.
Must pass a post-employment drug test paid by employer.  "</f>
        <v xml:space="preserve">Must be able to lift 50 lbs, work in adverse weather conditions.
Must pass a post-employment drug test paid by employer.  </v>
      </c>
      <c r="CB100" t="s">
        <v>131</v>
      </c>
      <c r="CC100"/>
      <c r="CD100"/>
      <c r="CE100"/>
      <c r="CF100" t="s">
        <v>131</v>
      </c>
      <c r="CG100"/>
      <c r="CH100" t="str">
        <f>""</f>
        <v/>
      </c>
      <c r="CI100" t="s">
        <v>131</v>
      </c>
      <c r="CJ100"/>
      <c r="CK100" t="s">
        <v>131</v>
      </c>
      <c r="CL100" t="str">
        <f>""</f>
        <v/>
      </c>
      <c r="CM100" t="str">
        <f>""</f>
        <v/>
      </c>
      <c r="CN100" t="str">
        <f>""</f>
        <v/>
      </c>
      <c r="CO100" t="str">
        <f>""</f>
        <v/>
      </c>
      <c r="CP100" t="str">
        <f>"37-3011.00"</f>
        <v>37-3011.00</v>
      </c>
      <c r="CQ100" t="s">
        <v>920</v>
      </c>
      <c r="CR100"/>
      <c r="CS100" t="s">
        <v>131</v>
      </c>
      <c r="CT100"/>
      <c r="CU100" t="s">
        <v>15053</v>
      </c>
      <c r="CV100" t="s">
        <v>683</v>
      </c>
      <c r="CW100" t="s">
        <v>9527</v>
      </c>
      <c r="CX100" t="s">
        <v>1763</v>
      </c>
      <c r="CY100"/>
      <c r="CZ100" s="3" t="str">
        <f>"70508"</f>
        <v>70508</v>
      </c>
      <c r="DA100" t="s">
        <v>135</v>
      </c>
      <c r="DB100" t="str">
        <f>"37-3011"</f>
        <v>37-3011</v>
      </c>
      <c r="DC100" t="s">
        <v>920</v>
      </c>
      <c r="DD100" t="s">
        <v>134</v>
      </c>
      <c r="DE100" t="s">
        <v>134</v>
      </c>
      <c r="DF100" t="str">
        <f>""</f>
        <v/>
      </c>
      <c r="DG100"/>
      <c r="DH100" s="6">
        <v>13.71</v>
      </c>
      <c r="DI100" t="s">
        <v>344</v>
      </c>
      <c r="DJ100"/>
      <c r="DK100" t="s">
        <v>345</v>
      </c>
      <c r="DL100"/>
      <c r="DM100"/>
      <c r="DN100"/>
      <c r="DO100"/>
      <c r="DP100"/>
      <c r="DQ100"/>
      <c r="DR100"/>
      <c r="DS100" s="6">
        <v>14.34</v>
      </c>
      <c r="DT100" t="s">
        <v>3921</v>
      </c>
      <c r="DU100" s="1">
        <v>44351</v>
      </c>
      <c r="DV100" s="1">
        <v>44440</v>
      </c>
    </row>
    <row r="101" spans="1:126" s="7" customFormat="1" ht="15" customHeight="1" x14ac:dyDescent="0.35">
      <c r="A101" t="s">
        <v>13160</v>
      </c>
      <c r="B101" t="s">
        <v>318</v>
      </c>
      <c r="C101" s="1">
        <v>44321</v>
      </c>
      <c r="D101" s="1">
        <v>44350</v>
      </c>
      <c r="E101" s="1"/>
      <c r="F101" s="1"/>
      <c r="G101" s="1"/>
      <c r="H101" t="s">
        <v>319</v>
      </c>
      <c r="I101" t="s">
        <v>8861</v>
      </c>
      <c r="J101" t="s">
        <v>4565</v>
      </c>
      <c r="K101"/>
      <c r="L101" t="s">
        <v>8862</v>
      </c>
      <c r="M101" t="s">
        <v>13161</v>
      </c>
      <c r="N101"/>
      <c r="O101" t="s">
        <v>13162</v>
      </c>
      <c r="P101" t="s">
        <v>826</v>
      </c>
      <c r="Q101" s="3">
        <v>20747</v>
      </c>
      <c r="R101" t="s">
        <v>128</v>
      </c>
      <c r="S101"/>
      <c r="T101" s="4">
        <v>13014202091</v>
      </c>
      <c r="U101"/>
      <c r="V101" t="s">
        <v>134</v>
      </c>
      <c r="W101" t="s">
        <v>8863</v>
      </c>
      <c r="X101"/>
      <c r="Y101" t="s">
        <v>13161</v>
      </c>
      <c r="Z101"/>
      <c r="AA101" t="s">
        <v>13162</v>
      </c>
      <c r="AB101" t="s">
        <v>382</v>
      </c>
      <c r="AC101" s="3" t="str">
        <f>"20747"</f>
        <v>20747</v>
      </c>
      <c r="AD101" t="s">
        <v>128</v>
      </c>
      <c r="AE101"/>
      <c r="AF101" s="4">
        <v>13014202091</v>
      </c>
      <c r="AG101"/>
      <c r="AH101" t="str">
        <f>"56173"</f>
        <v>56173</v>
      </c>
      <c r="AI101" t="s">
        <v>287</v>
      </c>
      <c r="AJ101" t="s">
        <v>414</v>
      </c>
      <c r="AK101" t="s">
        <v>301</v>
      </c>
      <c r="AL101" t="s">
        <v>415</v>
      </c>
      <c r="AM101" t="s">
        <v>416</v>
      </c>
      <c r="AN101" t="s">
        <v>417</v>
      </c>
      <c r="AO101" t="s">
        <v>399</v>
      </c>
      <c r="AP101" t="s">
        <v>400</v>
      </c>
      <c r="AQ101" s="5">
        <v>75231</v>
      </c>
      <c r="AR101" t="s">
        <v>128</v>
      </c>
      <c r="AS101"/>
      <c r="AT101" s="4">
        <v>12145265665</v>
      </c>
      <c r="AU101"/>
      <c r="AV101" t="s">
        <v>7758</v>
      </c>
      <c r="AW101" t="s">
        <v>7363</v>
      </c>
      <c r="AX101" t="s">
        <v>131</v>
      </c>
      <c r="AY101" t="s">
        <v>131</v>
      </c>
      <c r="AZ101" t="s">
        <v>131</v>
      </c>
      <c r="BA101" t="s">
        <v>131</v>
      </c>
      <c r="BB101" t="s">
        <v>131</v>
      </c>
      <c r="BC101" t="s">
        <v>131</v>
      </c>
      <c r="BD101" t="s">
        <v>131</v>
      </c>
      <c r="BE101" t="s">
        <v>132</v>
      </c>
      <c r="BF101"/>
      <c r="BG101" s="1"/>
      <c r="BH101" t="s">
        <v>2215</v>
      </c>
      <c r="BI101" t="s">
        <v>131</v>
      </c>
      <c r="BJ101"/>
      <c r="BK101"/>
      <c r="BL101" t="s">
        <v>167</v>
      </c>
      <c r="BM101"/>
      <c r="BN101"/>
      <c r="BO101" t="s">
        <v>131</v>
      </c>
      <c r="BP101" t="s">
        <v>134</v>
      </c>
      <c r="BQ101" t="s">
        <v>131</v>
      </c>
      <c r="BR101"/>
      <c r="BS101" t="str">
        <f t="shared" si="8"/>
        <v>N/A</v>
      </c>
      <c r="BT101" t="s">
        <v>131</v>
      </c>
      <c r="BU101"/>
      <c r="BV101" t="str">
        <f>""</f>
        <v/>
      </c>
      <c r="BW101" t="s">
        <v>135</v>
      </c>
      <c r="BX101" t="str">
        <f>""</f>
        <v/>
      </c>
      <c r="BY101" t="str">
        <f>""</f>
        <v/>
      </c>
      <c r="BZ101" t="str">
        <f>""</f>
        <v/>
      </c>
      <c r="CA101" t="str">
        <f>"MUST BE ABLE TO LIFT 50 POUNDS &amp; WORK IN ADVERSE WEATHER CONDITIONS. WILL BE SUBJECT TO PASSING POST-EMPLOYMENT DRUG TEST PAID BY EMPLOYER."</f>
        <v>MUST BE ABLE TO LIFT 50 POUNDS &amp; WORK IN ADVERSE WEATHER CONDITIONS. WILL BE SUBJECT TO PASSING POST-EMPLOYMENT DRUG TEST PAID BY EMPLOYER.</v>
      </c>
      <c r="CB101" t="s">
        <v>131</v>
      </c>
      <c r="CC101"/>
      <c r="CD101"/>
      <c r="CE101"/>
      <c r="CF101" t="s">
        <v>131</v>
      </c>
      <c r="CG101"/>
      <c r="CH101" t="str">
        <f>""</f>
        <v/>
      </c>
      <c r="CI101" t="s">
        <v>131</v>
      </c>
      <c r="CJ101"/>
      <c r="CK101" t="s">
        <v>131</v>
      </c>
      <c r="CL101" t="str">
        <f>""</f>
        <v/>
      </c>
      <c r="CM101" t="str">
        <f>""</f>
        <v/>
      </c>
      <c r="CN101" t="str">
        <f>""</f>
        <v/>
      </c>
      <c r="CO101" t="str">
        <f>""</f>
        <v/>
      </c>
      <c r="CP101" t="str">
        <f>"37-3011.00"</f>
        <v>37-3011.00</v>
      </c>
      <c r="CQ101" t="s">
        <v>920</v>
      </c>
      <c r="CR101"/>
      <c r="CS101" t="s">
        <v>131</v>
      </c>
      <c r="CT101"/>
      <c r="CU101" t="s">
        <v>13161</v>
      </c>
      <c r="CV101"/>
      <c r="CW101" t="s">
        <v>13162</v>
      </c>
      <c r="CX101" t="s">
        <v>382</v>
      </c>
      <c r="CY101"/>
      <c r="CZ101" s="3" t="str">
        <f>"20747"</f>
        <v>20747</v>
      </c>
      <c r="DA101" t="s">
        <v>135</v>
      </c>
      <c r="DB101" t="str">
        <f>"37-3011"</f>
        <v>37-3011</v>
      </c>
      <c r="DC101" t="s">
        <v>920</v>
      </c>
      <c r="DD101" t="s">
        <v>134</v>
      </c>
      <c r="DE101" t="s">
        <v>134</v>
      </c>
      <c r="DF101" t="str">
        <f>""</f>
        <v/>
      </c>
      <c r="DG101"/>
      <c r="DH101" s="6">
        <v>16.25</v>
      </c>
      <c r="DI101" t="s">
        <v>344</v>
      </c>
      <c r="DJ101"/>
      <c r="DK101" t="s">
        <v>345</v>
      </c>
      <c r="DL101"/>
      <c r="DM101"/>
      <c r="DN101"/>
      <c r="DO101"/>
      <c r="DP101"/>
      <c r="DQ101"/>
      <c r="DR101"/>
      <c r="DS101" s="6">
        <v>16.89</v>
      </c>
      <c r="DT101" t="s">
        <v>3921</v>
      </c>
      <c r="DU101" s="1">
        <v>44350</v>
      </c>
      <c r="DV101" s="1">
        <v>44439</v>
      </c>
    </row>
    <row r="102" spans="1:126" s="7" customFormat="1" ht="15" customHeight="1" x14ac:dyDescent="0.35">
      <c r="A102" t="s">
        <v>10648</v>
      </c>
      <c r="B102" t="s">
        <v>318</v>
      </c>
      <c r="C102" s="1">
        <v>44321</v>
      </c>
      <c r="D102" s="1">
        <v>44350</v>
      </c>
      <c r="E102" s="1"/>
      <c r="F102" s="1"/>
      <c r="G102" s="1"/>
      <c r="H102" t="s">
        <v>319</v>
      </c>
      <c r="I102" t="s">
        <v>10649</v>
      </c>
      <c r="J102" t="s">
        <v>435</v>
      </c>
      <c r="K102" t="s">
        <v>2872</v>
      </c>
      <c r="L102" t="s">
        <v>303</v>
      </c>
      <c r="M102" t="s">
        <v>10650</v>
      </c>
      <c r="N102"/>
      <c r="O102" t="s">
        <v>2092</v>
      </c>
      <c r="P102" t="s">
        <v>1760</v>
      </c>
      <c r="Q102" s="3">
        <v>70605</v>
      </c>
      <c r="R102" t="s">
        <v>128</v>
      </c>
      <c r="S102"/>
      <c r="T102" s="4">
        <v>13374783836</v>
      </c>
      <c r="U102"/>
      <c r="V102" t="s">
        <v>1253</v>
      </c>
      <c r="W102" t="s">
        <v>10651</v>
      </c>
      <c r="X102"/>
      <c r="Y102" t="s">
        <v>10650</v>
      </c>
      <c r="Z102"/>
      <c r="AA102" t="s">
        <v>2092</v>
      </c>
      <c r="AB102" t="s">
        <v>1763</v>
      </c>
      <c r="AC102" s="3" t="str">
        <f>"70605"</f>
        <v>70605</v>
      </c>
      <c r="AD102" t="s">
        <v>128</v>
      </c>
      <c r="AE102"/>
      <c r="AF102" s="4">
        <v>13374783836</v>
      </c>
      <c r="AG102"/>
      <c r="AH102" t="str">
        <f>"56173"</f>
        <v>56173</v>
      </c>
      <c r="AI102" t="s">
        <v>287</v>
      </c>
      <c r="AJ102" t="s">
        <v>414</v>
      </c>
      <c r="AK102" t="s">
        <v>301</v>
      </c>
      <c r="AL102" t="s">
        <v>415</v>
      </c>
      <c r="AM102" t="s">
        <v>416</v>
      </c>
      <c r="AN102" t="s">
        <v>417</v>
      </c>
      <c r="AO102" t="s">
        <v>399</v>
      </c>
      <c r="AP102" t="s">
        <v>400</v>
      </c>
      <c r="AQ102" s="5">
        <v>75231</v>
      </c>
      <c r="AR102" t="s">
        <v>128</v>
      </c>
      <c r="AS102"/>
      <c r="AT102" s="4">
        <v>12145265665</v>
      </c>
      <c r="AU102"/>
      <c r="AV102" t="s">
        <v>7758</v>
      </c>
      <c r="AW102" t="s">
        <v>7363</v>
      </c>
      <c r="AX102" t="s">
        <v>131</v>
      </c>
      <c r="AY102" t="s">
        <v>131</v>
      </c>
      <c r="AZ102" t="s">
        <v>131</v>
      </c>
      <c r="BA102" t="s">
        <v>131</v>
      </c>
      <c r="BB102" t="s">
        <v>131</v>
      </c>
      <c r="BC102" t="s">
        <v>131</v>
      </c>
      <c r="BD102" t="s">
        <v>131</v>
      </c>
      <c r="BE102" t="s">
        <v>132</v>
      </c>
      <c r="BF102"/>
      <c r="BG102" s="1"/>
      <c r="BH102" t="s">
        <v>2215</v>
      </c>
      <c r="BI102" t="s">
        <v>131</v>
      </c>
      <c r="BJ102"/>
      <c r="BK102"/>
      <c r="BL102" t="s">
        <v>167</v>
      </c>
      <c r="BM102"/>
      <c r="BN102"/>
      <c r="BO102" t="s">
        <v>131</v>
      </c>
      <c r="BP102" t="s">
        <v>134</v>
      </c>
      <c r="BQ102" t="s">
        <v>131</v>
      </c>
      <c r="BR102"/>
      <c r="BS102" t="str">
        <f t="shared" si="8"/>
        <v>N/A</v>
      </c>
      <c r="BT102" t="s">
        <v>131</v>
      </c>
      <c r="BU102"/>
      <c r="BV102" t="str">
        <f>""</f>
        <v/>
      </c>
      <c r="BW102" t="s">
        <v>135</v>
      </c>
      <c r="BX102" t="str">
        <f>""</f>
        <v/>
      </c>
      <c r="BY102" t="str">
        <f>""</f>
        <v/>
      </c>
      <c r="BZ102" t="str">
        <f>""</f>
        <v/>
      </c>
      <c r="CA102" t="str">
        <f>"Must be able to lift 50 lbs, work in adverse weather conditions &amp; pass post-employment drug test paid by employer."</f>
        <v>Must be able to lift 50 lbs, work in adverse weather conditions &amp; pass post-employment drug test paid by employer.</v>
      </c>
      <c r="CB102" t="s">
        <v>131</v>
      </c>
      <c r="CC102"/>
      <c r="CD102"/>
      <c r="CE102"/>
      <c r="CF102" t="s">
        <v>131</v>
      </c>
      <c r="CG102"/>
      <c r="CH102" t="str">
        <f>""</f>
        <v/>
      </c>
      <c r="CI102" t="s">
        <v>131</v>
      </c>
      <c r="CJ102"/>
      <c r="CK102" t="s">
        <v>131</v>
      </c>
      <c r="CL102" t="str">
        <f>""</f>
        <v/>
      </c>
      <c r="CM102" t="str">
        <f>""</f>
        <v/>
      </c>
      <c r="CN102" t="str">
        <f>""</f>
        <v/>
      </c>
      <c r="CO102" t="str">
        <f>""</f>
        <v/>
      </c>
      <c r="CP102" t="str">
        <f>"37-3011.00"</f>
        <v>37-3011.00</v>
      </c>
      <c r="CQ102" t="s">
        <v>920</v>
      </c>
      <c r="CR102"/>
      <c r="CS102" t="s">
        <v>131</v>
      </c>
      <c r="CT102"/>
      <c r="CU102" t="s">
        <v>10650</v>
      </c>
      <c r="CV102"/>
      <c r="CW102" t="s">
        <v>2092</v>
      </c>
      <c r="CX102" t="s">
        <v>1763</v>
      </c>
      <c r="CY102"/>
      <c r="CZ102" s="3" t="str">
        <f>"70605"</f>
        <v>70605</v>
      </c>
      <c r="DA102" t="s">
        <v>135</v>
      </c>
      <c r="DB102" t="str">
        <f>"37-3011"</f>
        <v>37-3011</v>
      </c>
      <c r="DC102" t="s">
        <v>920</v>
      </c>
      <c r="DD102" t="s">
        <v>134</v>
      </c>
      <c r="DE102" t="s">
        <v>134</v>
      </c>
      <c r="DF102" t="str">
        <f>""</f>
        <v/>
      </c>
      <c r="DG102"/>
      <c r="DH102" s="6">
        <v>12.22</v>
      </c>
      <c r="DI102" t="s">
        <v>344</v>
      </c>
      <c r="DJ102"/>
      <c r="DK102" t="s">
        <v>345</v>
      </c>
      <c r="DL102"/>
      <c r="DM102"/>
      <c r="DN102"/>
      <c r="DO102"/>
      <c r="DP102"/>
      <c r="DQ102"/>
      <c r="DR102"/>
      <c r="DS102" s="6">
        <v>12.22</v>
      </c>
      <c r="DT102" t="s">
        <v>3921</v>
      </c>
      <c r="DU102" s="1">
        <v>44350</v>
      </c>
      <c r="DV102" s="1">
        <v>44439</v>
      </c>
    </row>
    <row r="103" spans="1:126" s="7" customFormat="1" ht="15" customHeight="1" x14ac:dyDescent="0.35">
      <c r="A103" t="s">
        <v>17514</v>
      </c>
      <c r="B103" t="s">
        <v>318</v>
      </c>
      <c r="C103" s="1">
        <v>44321</v>
      </c>
      <c r="D103" s="1">
        <v>44351</v>
      </c>
      <c r="E103" s="1"/>
      <c r="F103" s="1"/>
      <c r="G103" s="1"/>
      <c r="H103" t="s">
        <v>319</v>
      </c>
      <c r="I103" t="s">
        <v>7575</v>
      </c>
      <c r="J103" t="s">
        <v>1066</v>
      </c>
      <c r="K103"/>
      <c r="L103" t="s">
        <v>395</v>
      </c>
      <c r="M103" t="s">
        <v>17515</v>
      </c>
      <c r="N103"/>
      <c r="O103" t="s">
        <v>4504</v>
      </c>
      <c r="P103" t="s">
        <v>4505</v>
      </c>
      <c r="Q103" s="3">
        <v>59718</v>
      </c>
      <c r="R103" t="s">
        <v>128</v>
      </c>
      <c r="S103"/>
      <c r="T103" s="4">
        <v>14067634765</v>
      </c>
      <c r="U103"/>
      <c r="V103" t="s">
        <v>17516</v>
      </c>
      <c r="W103" t="s">
        <v>17517</v>
      </c>
      <c r="X103" t="s">
        <v>17518</v>
      </c>
      <c r="Y103" t="s">
        <v>17519</v>
      </c>
      <c r="Z103"/>
      <c r="AA103" t="s">
        <v>4504</v>
      </c>
      <c r="AB103" t="s">
        <v>1234</v>
      </c>
      <c r="AC103" s="3" t="str">
        <f>"59718"</f>
        <v>59718</v>
      </c>
      <c r="AD103" t="s">
        <v>128</v>
      </c>
      <c r="AE103"/>
      <c r="AF103" s="4">
        <v>14067634765</v>
      </c>
      <c r="AG103"/>
      <c r="AH103" t="str">
        <f>"238140"</f>
        <v>238140</v>
      </c>
      <c r="AI103" t="s">
        <v>130</v>
      </c>
      <c r="AJ103" t="s">
        <v>3079</v>
      </c>
      <c r="AK103" t="s">
        <v>1616</v>
      </c>
      <c r="AL103" t="s">
        <v>1198</v>
      </c>
      <c r="AM103" t="s">
        <v>3080</v>
      </c>
      <c r="AN103" t="s">
        <v>3081</v>
      </c>
      <c r="AO103" t="s">
        <v>3082</v>
      </c>
      <c r="AP103" t="s">
        <v>1243</v>
      </c>
      <c r="AQ103" s="5">
        <v>83670</v>
      </c>
      <c r="AR103" t="s">
        <v>128</v>
      </c>
      <c r="AS103"/>
      <c r="AT103" s="4">
        <v>12083984969</v>
      </c>
      <c r="AU103"/>
      <c r="AV103" t="s">
        <v>3083</v>
      </c>
      <c r="AW103" t="s">
        <v>3084</v>
      </c>
      <c r="AX103" t="s">
        <v>131</v>
      </c>
      <c r="AY103" t="s">
        <v>131</v>
      </c>
      <c r="AZ103" t="s">
        <v>131</v>
      </c>
      <c r="BA103" t="s">
        <v>131</v>
      </c>
      <c r="BB103" t="s">
        <v>131</v>
      </c>
      <c r="BC103" t="s">
        <v>131</v>
      </c>
      <c r="BD103" t="s">
        <v>131</v>
      </c>
      <c r="BE103" t="s">
        <v>132</v>
      </c>
      <c r="BF103"/>
      <c r="BG103" s="1"/>
      <c r="BH103" t="s">
        <v>9066</v>
      </c>
      <c r="BI103" t="s">
        <v>131</v>
      </c>
      <c r="BJ103"/>
      <c r="BK103"/>
      <c r="BL103" t="s">
        <v>167</v>
      </c>
      <c r="BM103"/>
      <c r="BN103"/>
      <c r="BO103" t="s">
        <v>131</v>
      </c>
      <c r="BP103" t="s">
        <v>134</v>
      </c>
      <c r="BQ103" t="s">
        <v>131</v>
      </c>
      <c r="BR103"/>
      <c r="BS103" t="str">
        <f t="shared" si="8"/>
        <v>N/A</v>
      </c>
      <c r="BT103" t="s">
        <v>131</v>
      </c>
      <c r="BU103"/>
      <c r="BV103" t="str">
        <f>""</f>
        <v/>
      </c>
      <c r="BW103" t="s">
        <v>131</v>
      </c>
      <c r="BX103" t="str">
        <f>""</f>
        <v/>
      </c>
      <c r="BY103" t="str">
        <f>""</f>
        <v/>
      </c>
      <c r="BZ103" t="str">
        <f>""</f>
        <v/>
      </c>
      <c r="CA103" t="str">
        <f>""</f>
        <v/>
      </c>
      <c r="CB103" t="s">
        <v>131</v>
      </c>
      <c r="CC103"/>
      <c r="CD103"/>
      <c r="CE103"/>
      <c r="CF103" t="s">
        <v>131</v>
      </c>
      <c r="CG103"/>
      <c r="CH103" t="str">
        <f>""</f>
        <v/>
      </c>
      <c r="CI103" t="s">
        <v>131</v>
      </c>
      <c r="CJ103"/>
      <c r="CK103" t="s">
        <v>131</v>
      </c>
      <c r="CL103" t="str">
        <f>""</f>
        <v/>
      </c>
      <c r="CM103" t="str">
        <f>""</f>
        <v/>
      </c>
      <c r="CN103" t="str">
        <f>""</f>
        <v/>
      </c>
      <c r="CO103" t="str">
        <f>""</f>
        <v/>
      </c>
      <c r="CP103" t="str">
        <f>"47-3011.00"</f>
        <v>47-3011.00</v>
      </c>
      <c r="CQ103" t="s">
        <v>4519</v>
      </c>
      <c r="CR103" t="s">
        <v>3086</v>
      </c>
      <c r="CS103" t="s">
        <v>135</v>
      </c>
      <c r="CT103" t="s">
        <v>17520</v>
      </c>
      <c r="CU103" t="s">
        <v>17515</v>
      </c>
      <c r="CV103"/>
      <c r="CW103" t="s">
        <v>4504</v>
      </c>
      <c r="CX103" t="s">
        <v>1234</v>
      </c>
      <c r="CY103"/>
      <c r="CZ103" s="3" t="str">
        <f>"59718"</f>
        <v>59718</v>
      </c>
      <c r="DA103" t="s">
        <v>135</v>
      </c>
      <c r="DB103" t="str">
        <f>"47-3011"</f>
        <v>47-3011</v>
      </c>
      <c r="DC103" t="s">
        <v>4519</v>
      </c>
      <c r="DD103" t="s">
        <v>134</v>
      </c>
      <c r="DE103" t="s">
        <v>134</v>
      </c>
      <c r="DF103" t="str">
        <f>""</f>
        <v/>
      </c>
      <c r="DG103"/>
      <c r="DH103" s="6">
        <v>18.09</v>
      </c>
      <c r="DI103" t="s">
        <v>344</v>
      </c>
      <c r="DJ103"/>
      <c r="DK103" t="s">
        <v>345</v>
      </c>
      <c r="DL103"/>
      <c r="DM103"/>
      <c r="DN103"/>
      <c r="DO103"/>
      <c r="DP103"/>
      <c r="DQ103"/>
      <c r="DR103"/>
      <c r="DS103" s="6">
        <v>18.09</v>
      </c>
      <c r="DT103" s="2" t="s">
        <v>3088</v>
      </c>
      <c r="DU103" s="1">
        <v>44351</v>
      </c>
      <c r="DV103" s="1">
        <v>44440</v>
      </c>
    </row>
    <row r="104" spans="1:126" s="7" customFormat="1" ht="15" customHeight="1" x14ac:dyDescent="0.35">
      <c r="A104" t="s">
        <v>17088</v>
      </c>
      <c r="B104" t="s">
        <v>318</v>
      </c>
      <c r="C104" s="1">
        <v>44321</v>
      </c>
      <c r="D104" s="1">
        <v>44351</v>
      </c>
      <c r="E104" s="1"/>
      <c r="F104" s="1"/>
      <c r="G104" s="1"/>
      <c r="H104" t="s">
        <v>319</v>
      </c>
      <c r="I104" t="s">
        <v>10703</v>
      </c>
      <c r="J104" t="s">
        <v>948</v>
      </c>
      <c r="K104"/>
      <c r="L104" t="s">
        <v>395</v>
      </c>
      <c r="M104" t="s">
        <v>3073</v>
      </c>
      <c r="N104"/>
      <c r="O104" t="s">
        <v>3074</v>
      </c>
      <c r="P104" t="s">
        <v>3075</v>
      </c>
      <c r="Q104" s="3">
        <v>83669</v>
      </c>
      <c r="R104" t="s">
        <v>128</v>
      </c>
      <c r="S104"/>
      <c r="T104" s="4">
        <v>12084074944</v>
      </c>
      <c r="U104"/>
      <c r="V104" t="s">
        <v>17089</v>
      </c>
      <c r="W104" t="s">
        <v>17090</v>
      </c>
      <c r="X104" t="s">
        <v>17091</v>
      </c>
      <c r="Y104" t="s">
        <v>17092</v>
      </c>
      <c r="Z104"/>
      <c r="AA104" t="s">
        <v>3074</v>
      </c>
      <c r="AB104" t="s">
        <v>1243</v>
      </c>
      <c r="AC104" s="3" t="str">
        <f>"83669"</f>
        <v>83669</v>
      </c>
      <c r="AD104" t="s">
        <v>128</v>
      </c>
      <c r="AE104"/>
      <c r="AF104" s="4">
        <v>12084074944</v>
      </c>
      <c r="AG104"/>
      <c r="AH104" t="str">
        <f>"56173"</f>
        <v>56173</v>
      </c>
      <c r="AI104" t="s">
        <v>130</v>
      </c>
      <c r="AJ104" t="s">
        <v>3079</v>
      </c>
      <c r="AK104" t="s">
        <v>1616</v>
      </c>
      <c r="AL104" t="s">
        <v>1198</v>
      </c>
      <c r="AM104" t="s">
        <v>3080</v>
      </c>
      <c r="AN104" t="s">
        <v>3081</v>
      </c>
      <c r="AO104" t="s">
        <v>3082</v>
      </c>
      <c r="AP104" t="s">
        <v>1243</v>
      </c>
      <c r="AQ104" s="5">
        <v>83670</v>
      </c>
      <c r="AR104" t="s">
        <v>128</v>
      </c>
      <c r="AS104"/>
      <c r="AT104" s="4">
        <v>12083984969</v>
      </c>
      <c r="AU104"/>
      <c r="AV104" t="s">
        <v>3083</v>
      </c>
      <c r="AW104" t="s">
        <v>3084</v>
      </c>
      <c r="AX104" t="s">
        <v>131</v>
      </c>
      <c r="AY104" t="s">
        <v>131</v>
      </c>
      <c r="AZ104" t="s">
        <v>131</v>
      </c>
      <c r="BA104" t="s">
        <v>131</v>
      </c>
      <c r="BB104" t="s">
        <v>131</v>
      </c>
      <c r="BC104" t="s">
        <v>131</v>
      </c>
      <c r="BD104" t="s">
        <v>131</v>
      </c>
      <c r="BE104" t="s">
        <v>132</v>
      </c>
      <c r="BF104"/>
      <c r="BG104" s="1"/>
      <c r="BH104" t="s">
        <v>14874</v>
      </c>
      <c r="BI104" t="s">
        <v>131</v>
      </c>
      <c r="BJ104"/>
      <c r="BK104"/>
      <c r="BL104" t="s">
        <v>167</v>
      </c>
      <c r="BM104"/>
      <c r="BN104"/>
      <c r="BO104" t="s">
        <v>131</v>
      </c>
      <c r="BP104" t="s">
        <v>134</v>
      </c>
      <c r="BQ104" t="s">
        <v>131</v>
      </c>
      <c r="BR104"/>
      <c r="BS104" t="str">
        <f t="shared" si="8"/>
        <v>N/A</v>
      </c>
      <c r="BT104" t="s">
        <v>131</v>
      </c>
      <c r="BU104"/>
      <c r="BV104" t="str">
        <f>""</f>
        <v/>
      </c>
      <c r="BW104" t="s">
        <v>135</v>
      </c>
      <c r="BX104" t="str">
        <f>""</f>
        <v/>
      </c>
      <c r="BY104" t="str">
        <f>""</f>
        <v/>
      </c>
      <c r="BZ104" t="str">
        <f>""</f>
        <v/>
      </c>
      <c r="CA104" t="str">
        <f>"Lift 50 pounds, stand for most of work shift."</f>
        <v>Lift 50 pounds, stand for most of work shift.</v>
      </c>
      <c r="CB104" t="s">
        <v>131</v>
      </c>
      <c r="CC104"/>
      <c r="CD104"/>
      <c r="CE104"/>
      <c r="CF104" t="s">
        <v>131</v>
      </c>
      <c r="CG104"/>
      <c r="CH104" t="str">
        <f>""</f>
        <v/>
      </c>
      <c r="CI104" t="s">
        <v>131</v>
      </c>
      <c r="CJ104"/>
      <c r="CK104" t="s">
        <v>131</v>
      </c>
      <c r="CL104" t="str">
        <f>""</f>
        <v/>
      </c>
      <c r="CM104" t="str">
        <f>""</f>
        <v/>
      </c>
      <c r="CN104" t="str">
        <f>""</f>
        <v/>
      </c>
      <c r="CO104" t="str">
        <f>""</f>
        <v/>
      </c>
      <c r="CP104" t="str">
        <f>"37-3019.00"</f>
        <v>37-3019.00</v>
      </c>
      <c r="CQ104" t="s">
        <v>2096</v>
      </c>
      <c r="CR104" t="s">
        <v>3086</v>
      </c>
      <c r="CS104" t="s">
        <v>135</v>
      </c>
      <c r="CT104" t="s">
        <v>17093</v>
      </c>
      <c r="CU104" t="s">
        <v>17092</v>
      </c>
      <c r="CV104"/>
      <c r="CW104" t="s">
        <v>3074</v>
      </c>
      <c r="CX104" t="s">
        <v>1243</v>
      </c>
      <c r="CY104"/>
      <c r="CZ104" s="3" t="str">
        <f>"83669"</f>
        <v>83669</v>
      </c>
      <c r="DA104" t="s">
        <v>131</v>
      </c>
      <c r="DB104" t="str">
        <f>"37-3011"</f>
        <v>37-3011</v>
      </c>
      <c r="DC104" t="s">
        <v>920</v>
      </c>
      <c r="DD104" t="s">
        <v>134</v>
      </c>
      <c r="DE104" t="s">
        <v>134</v>
      </c>
      <c r="DF104" t="str">
        <f>""</f>
        <v/>
      </c>
      <c r="DG104"/>
      <c r="DH104" s="6">
        <v>15.53</v>
      </c>
      <c r="DI104" t="s">
        <v>344</v>
      </c>
      <c r="DJ104"/>
      <c r="DK104" t="s">
        <v>345</v>
      </c>
      <c r="DL104"/>
      <c r="DM104"/>
      <c r="DN104"/>
      <c r="DO104"/>
      <c r="DP104"/>
      <c r="DQ104"/>
      <c r="DR104"/>
      <c r="DS104" s="6">
        <v>15.53</v>
      </c>
      <c r="DT104" s="2" t="s">
        <v>3088</v>
      </c>
      <c r="DU104" s="1">
        <v>44351</v>
      </c>
      <c r="DV104" s="1">
        <v>44440</v>
      </c>
    </row>
    <row r="105" spans="1:126" s="7" customFormat="1" ht="15" customHeight="1" x14ac:dyDescent="0.35">
      <c r="A105" t="s">
        <v>3070</v>
      </c>
      <c r="B105" t="s">
        <v>318</v>
      </c>
      <c r="C105" s="1">
        <v>44321</v>
      </c>
      <c r="D105" s="1">
        <v>44351</v>
      </c>
      <c r="E105" s="1"/>
      <c r="F105" s="1"/>
      <c r="G105" s="1"/>
      <c r="H105" t="s">
        <v>319</v>
      </c>
      <c r="I105" t="s">
        <v>3071</v>
      </c>
      <c r="J105" t="s">
        <v>3072</v>
      </c>
      <c r="K105"/>
      <c r="L105" t="s">
        <v>395</v>
      </c>
      <c r="M105" t="s">
        <v>3073</v>
      </c>
      <c r="N105"/>
      <c r="O105" t="s">
        <v>3074</v>
      </c>
      <c r="P105" t="s">
        <v>3075</v>
      </c>
      <c r="Q105" s="3">
        <v>83669</v>
      </c>
      <c r="R105" t="s">
        <v>128</v>
      </c>
      <c r="S105"/>
      <c r="T105" s="4">
        <v>12089216237</v>
      </c>
      <c r="U105"/>
      <c r="V105" t="s">
        <v>3076</v>
      </c>
      <c r="W105" t="s">
        <v>3077</v>
      </c>
      <c r="X105" t="s">
        <v>3078</v>
      </c>
      <c r="Y105" t="s">
        <v>3073</v>
      </c>
      <c r="Z105"/>
      <c r="AA105" t="s">
        <v>3074</v>
      </c>
      <c r="AB105" t="s">
        <v>1243</v>
      </c>
      <c r="AC105" s="3" t="str">
        <f>"83669"</f>
        <v>83669</v>
      </c>
      <c r="AD105" t="s">
        <v>128</v>
      </c>
      <c r="AE105"/>
      <c r="AF105" s="4">
        <v>12089216237</v>
      </c>
      <c r="AG105"/>
      <c r="AH105" t="str">
        <f>"56173"</f>
        <v>56173</v>
      </c>
      <c r="AI105" t="s">
        <v>130</v>
      </c>
      <c r="AJ105" t="s">
        <v>3079</v>
      </c>
      <c r="AK105" t="s">
        <v>1616</v>
      </c>
      <c r="AL105" t="s">
        <v>1198</v>
      </c>
      <c r="AM105" t="s">
        <v>3080</v>
      </c>
      <c r="AN105" t="s">
        <v>3081</v>
      </c>
      <c r="AO105" t="s">
        <v>3082</v>
      </c>
      <c r="AP105" t="s">
        <v>1243</v>
      </c>
      <c r="AQ105" s="5">
        <v>83670</v>
      </c>
      <c r="AR105" t="s">
        <v>128</v>
      </c>
      <c r="AS105"/>
      <c r="AT105" s="4">
        <v>12083984969</v>
      </c>
      <c r="AU105"/>
      <c r="AV105" t="s">
        <v>3083</v>
      </c>
      <c r="AW105" t="s">
        <v>3084</v>
      </c>
      <c r="AX105" t="s">
        <v>131</v>
      </c>
      <c r="AY105" t="s">
        <v>131</v>
      </c>
      <c r="AZ105" t="s">
        <v>131</v>
      </c>
      <c r="BA105" t="s">
        <v>131</v>
      </c>
      <c r="BB105" t="s">
        <v>131</v>
      </c>
      <c r="BC105" t="s">
        <v>131</v>
      </c>
      <c r="BD105" t="s">
        <v>131</v>
      </c>
      <c r="BE105" t="s">
        <v>132</v>
      </c>
      <c r="BF105"/>
      <c r="BG105" s="1"/>
      <c r="BH105" t="s">
        <v>3085</v>
      </c>
      <c r="BI105" t="s">
        <v>131</v>
      </c>
      <c r="BJ105"/>
      <c r="BK105"/>
      <c r="BL105" t="s">
        <v>167</v>
      </c>
      <c r="BM105"/>
      <c r="BN105"/>
      <c r="BO105" t="s">
        <v>131</v>
      </c>
      <c r="BP105" t="s">
        <v>134</v>
      </c>
      <c r="BQ105" t="s">
        <v>131</v>
      </c>
      <c r="BR105"/>
      <c r="BS105" t="str">
        <f t="shared" si="8"/>
        <v>N/A</v>
      </c>
      <c r="BT105" t="s">
        <v>131</v>
      </c>
      <c r="BU105"/>
      <c r="BV105" t="str">
        <f>""</f>
        <v/>
      </c>
      <c r="BW105" t="s">
        <v>135</v>
      </c>
      <c r="BX105" t="str">
        <f>""</f>
        <v/>
      </c>
      <c r="BY105" t="str">
        <f>""</f>
        <v/>
      </c>
      <c r="BZ105" t="str">
        <f>""</f>
        <v/>
      </c>
      <c r="CA105" t="str">
        <f>"Must be able to lift 50 pounds, and stand for most of work shift."</f>
        <v>Must be able to lift 50 pounds, and stand for most of work shift.</v>
      </c>
      <c r="CB105" t="s">
        <v>131</v>
      </c>
      <c r="CC105"/>
      <c r="CD105"/>
      <c r="CE105"/>
      <c r="CF105" t="s">
        <v>131</v>
      </c>
      <c r="CG105"/>
      <c r="CH105" t="str">
        <f>""</f>
        <v/>
      </c>
      <c r="CI105" t="s">
        <v>131</v>
      </c>
      <c r="CJ105"/>
      <c r="CK105" t="s">
        <v>131</v>
      </c>
      <c r="CL105" t="str">
        <f>""</f>
        <v/>
      </c>
      <c r="CM105" t="str">
        <f>""</f>
        <v/>
      </c>
      <c r="CN105" t="str">
        <f>""</f>
        <v/>
      </c>
      <c r="CO105" t="str">
        <f>""</f>
        <v/>
      </c>
      <c r="CP105" t="str">
        <f>"47-2061.00"</f>
        <v>47-2061.00</v>
      </c>
      <c r="CQ105" t="s">
        <v>393</v>
      </c>
      <c r="CR105" t="s">
        <v>3086</v>
      </c>
      <c r="CS105" t="s">
        <v>135</v>
      </c>
      <c r="CT105" t="s">
        <v>3087</v>
      </c>
      <c r="CU105" t="s">
        <v>3073</v>
      </c>
      <c r="CV105"/>
      <c r="CW105" t="s">
        <v>3074</v>
      </c>
      <c r="CX105" t="s">
        <v>1243</v>
      </c>
      <c r="CY105"/>
      <c r="CZ105" s="3" t="str">
        <f>"83669"</f>
        <v>83669</v>
      </c>
      <c r="DA105" t="s">
        <v>131</v>
      </c>
      <c r="DB105" t="str">
        <f>"37-3011"</f>
        <v>37-3011</v>
      </c>
      <c r="DC105" t="s">
        <v>920</v>
      </c>
      <c r="DD105" t="s">
        <v>134</v>
      </c>
      <c r="DE105" t="s">
        <v>134</v>
      </c>
      <c r="DF105" t="str">
        <f>""</f>
        <v/>
      </c>
      <c r="DG105"/>
      <c r="DH105" s="6">
        <v>15.53</v>
      </c>
      <c r="DI105" t="s">
        <v>344</v>
      </c>
      <c r="DJ105"/>
      <c r="DK105" t="s">
        <v>345</v>
      </c>
      <c r="DL105"/>
      <c r="DM105"/>
      <c r="DN105"/>
      <c r="DO105"/>
      <c r="DP105"/>
      <c r="DQ105"/>
      <c r="DR105"/>
      <c r="DS105" s="6">
        <v>15.53</v>
      </c>
      <c r="DT105" s="2" t="s">
        <v>3088</v>
      </c>
      <c r="DU105" s="1">
        <v>44351</v>
      </c>
      <c r="DV105" s="1">
        <v>44440</v>
      </c>
    </row>
    <row r="106" spans="1:126" s="7" customFormat="1" ht="15" customHeight="1" x14ac:dyDescent="0.35">
      <c r="A106" t="s">
        <v>19571</v>
      </c>
      <c r="B106" t="s">
        <v>318</v>
      </c>
      <c r="C106" s="1">
        <v>44321</v>
      </c>
      <c r="D106" s="1">
        <v>44351</v>
      </c>
      <c r="E106" s="1"/>
      <c r="F106" s="1"/>
      <c r="G106" s="1"/>
      <c r="H106" t="s">
        <v>319</v>
      </c>
      <c r="I106" t="s">
        <v>5173</v>
      </c>
      <c r="J106" t="s">
        <v>2689</v>
      </c>
      <c r="K106"/>
      <c r="L106" t="s">
        <v>2754</v>
      </c>
      <c r="M106" t="s">
        <v>19572</v>
      </c>
      <c r="N106" t="s">
        <v>683</v>
      </c>
      <c r="O106" t="s">
        <v>9527</v>
      </c>
      <c r="P106" t="s">
        <v>1760</v>
      </c>
      <c r="Q106" s="3">
        <v>70508</v>
      </c>
      <c r="R106" t="s">
        <v>128</v>
      </c>
      <c r="S106"/>
      <c r="T106" s="4">
        <v>13377891141</v>
      </c>
      <c r="U106"/>
      <c r="V106" t="s">
        <v>134</v>
      </c>
      <c r="W106" t="s">
        <v>15054</v>
      </c>
      <c r="X106"/>
      <c r="Y106" t="s">
        <v>15053</v>
      </c>
      <c r="Z106" t="s">
        <v>683</v>
      </c>
      <c r="AA106" t="s">
        <v>9527</v>
      </c>
      <c r="AB106" t="s">
        <v>1763</v>
      </c>
      <c r="AC106" s="3" t="str">
        <f>"70508"</f>
        <v>70508</v>
      </c>
      <c r="AD106" t="s">
        <v>128</v>
      </c>
      <c r="AE106"/>
      <c r="AF106" s="4">
        <v>13377891141</v>
      </c>
      <c r="AG106"/>
      <c r="AH106" t="str">
        <f>"56173"</f>
        <v>56173</v>
      </c>
      <c r="AI106" t="s">
        <v>287</v>
      </c>
      <c r="AJ106" t="s">
        <v>414</v>
      </c>
      <c r="AK106" t="s">
        <v>301</v>
      </c>
      <c r="AL106" t="s">
        <v>415</v>
      </c>
      <c r="AM106" t="s">
        <v>416</v>
      </c>
      <c r="AN106" t="s">
        <v>417</v>
      </c>
      <c r="AO106" t="s">
        <v>399</v>
      </c>
      <c r="AP106" t="s">
        <v>400</v>
      </c>
      <c r="AQ106" s="5">
        <v>75231</v>
      </c>
      <c r="AR106" t="s">
        <v>128</v>
      </c>
      <c r="AS106"/>
      <c r="AT106" s="4">
        <v>12145265665</v>
      </c>
      <c r="AU106"/>
      <c r="AV106" t="s">
        <v>418</v>
      </c>
      <c r="AW106" t="s">
        <v>419</v>
      </c>
      <c r="AX106" t="s">
        <v>131</v>
      </c>
      <c r="AY106" t="s">
        <v>131</v>
      </c>
      <c r="AZ106" t="s">
        <v>131</v>
      </c>
      <c r="BA106" t="s">
        <v>131</v>
      </c>
      <c r="BB106" t="s">
        <v>131</v>
      </c>
      <c r="BC106" t="s">
        <v>131</v>
      </c>
      <c r="BD106" t="s">
        <v>131</v>
      </c>
      <c r="BE106" t="s">
        <v>132</v>
      </c>
      <c r="BF106"/>
      <c r="BG106" s="1"/>
      <c r="BH106" t="s">
        <v>2215</v>
      </c>
      <c r="BI106" t="s">
        <v>131</v>
      </c>
      <c r="BJ106"/>
      <c r="BK106"/>
      <c r="BL106" t="s">
        <v>167</v>
      </c>
      <c r="BM106"/>
      <c r="BN106"/>
      <c r="BO106" t="s">
        <v>131</v>
      </c>
      <c r="BP106" t="s">
        <v>134</v>
      </c>
      <c r="BQ106" t="s">
        <v>131</v>
      </c>
      <c r="BR106"/>
      <c r="BS106" t="str">
        <f t="shared" si="8"/>
        <v>N/A</v>
      </c>
      <c r="BT106" t="s">
        <v>131</v>
      </c>
      <c r="BU106"/>
      <c r="BV106" t="str">
        <f>""</f>
        <v/>
      </c>
      <c r="BW106" t="s">
        <v>135</v>
      </c>
      <c r="BX106" t="str">
        <f>""</f>
        <v/>
      </c>
      <c r="BY106" t="str">
        <f>""</f>
        <v/>
      </c>
      <c r="BZ106" t="str">
        <f>""</f>
        <v/>
      </c>
      <c r="CA106" t="str">
        <f>"Must be able to lift 50 lbs. and work in adverse weather conditions.
Must pass a post-employment drug test paid by the employer."</f>
        <v>Must be able to lift 50 lbs. and work in adverse weather conditions.
Must pass a post-employment drug test paid by the employer.</v>
      </c>
      <c r="CB106" t="s">
        <v>131</v>
      </c>
      <c r="CC106"/>
      <c r="CD106"/>
      <c r="CE106"/>
      <c r="CF106" t="s">
        <v>131</v>
      </c>
      <c r="CG106"/>
      <c r="CH106" t="str">
        <f>""</f>
        <v/>
      </c>
      <c r="CI106" t="s">
        <v>131</v>
      </c>
      <c r="CJ106"/>
      <c r="CK106" t="s">
        <v>131</v>
      </c>
      <c r="CL106" t="str">
        <f>""</f>
        <v/>
      </c>
      <c r="CM106" t="str">
        <f>""</f>
        <v/>
      </c>
      <c r="CN106" t="str">
        <f>""</f>
        <v/>
      </c>
      <c r="CO106" t="str">
        <f>""</f>
        <v/>
      </c>
      <c r="CP106" t="str">
        <f>"37-3011.00"</f>
        <v>37-3011.00</v>
      </c>
      <c r="CQ106" t="s">
        <v>920</v>
      </c>
      <c r="CR106"/>
      <c r="CS106" t="s">
        <v>131</v>
      </c>
      <c r="CT106"/>
      <c r="CU106" t="s">
        <v>15053</v>
      </c>
      <c r="CV106" t="s">
        <v>683</v>
      </c>
      <c r="CW106" t="s">
        <v>9527</v>
      </c>
      <c r="CX106" t="s">
        <v>1763</v>
      </c>
      <c r="CY106"/>
      <c r="CZ106" s="3" t="str">
        <f>"70508"</f>
        <v>70508</v>
      </c>
      <c r="DA106" t="s">
        <v>135</v>
      </c>
      <c r="DB106" t="str">
        <f>"37-3011"</f>
        <v>37-3011</v>
      </c>
      <c r="DC106" t="s">
        <v>920</v>
      </c>
      <c r="DD106" t="s">
        <v>134</v>
      </c>
      <c r="DE106" t="s">
        <v>134</v>
      </c>
      <c r="DF106" t="str">
        <f>""</f>
        <v/>
      </c>
      <c r="DG106"/>
      <c r="DH106" s="6">
        <v>13.71</v>
      </c>
      <c r="DI106" t="s">
        <v>344</v>
      </c>
      <c r="DJ106"/>
      <c r="DK106" t="s">
        <v>345</v>
      </c>
      <c r="DL106"/>
      <c r="DM106"/>
      <c r="DN106"/>
      <c r="DO106"/>
      <c r="DP106"/>
      <c r="DQ106"/>
      <c r="DR106" t="s">
        <v>12452</v>
      </c>
      <c r="DS106" s="6">
        <v>13.71</v>
      </c>
      <c r="DT106" t="s">
        <v>3921</v>
      </c>
      <c r="DU106" s="1">
        <v>44351</v>
      </c>
      <c r="DV106" s="1">
        <v>44440</v>
      </c>
    </row>
    <row r="107" spans="1:126" s="7" customFormat="1" ht="15" customHeight="1" x14ac:dyDescent="0.35">
      <c r="A107" t="s">
        <v>16900</v>
      </c>
      <c r="B107" t="s">
        <v>318</v>
      </c>
      <c r="C107" s="1">
        <v>44321</v>
      </c>
      <c r="D107" s="1">
        <v>44350</v>
      </c>
      <c r="E107" s="1"/>
      <c r="F107" s="1"/>
      <c r="G107" s="1"/>
      <c r="H107" t="s">
        <v>319</v>
      </c>
      <c r="I107" t="s">
        <v>16901</v>
      </c>
      <c r="J107" t="s">
        <v>5106</v>
      </c>
      <c r="K107" t="s">
        <v>314</v>
      </c>
      <c r="L107" t="s">
        <v>16902</v>
      </c>
      <c r="M107" t="s">
        <v>16903</v>
      </c>
      <c r="N107"/>
      <c r="O107" t="s">
        <v>16904</v>
      </c>
      <c r="P107" t="s">
        <v>311</v>
      </c>
      <c r="Q107" s="3">
        <v>15142</v>
      </c>
      <c r="R107" t="s">
        <v>128</v>
      </c>
      <c r="S107"/>
      <c r="T107" s="4">
        <v>14122763289</v>
      </c>
      <c r="U107"/>
      <c r="V107" t="s">
        <v>1253</v>
      </c>
      <c r="W107" t="s">
        <v>16905</v>
      </c>
      <c r="X107"/>
      <c r="Y107" t="s">
        <v>16903</v>
      </c>
      <c r="Z107"/>
      <c r="AA107" t="s">
        <v>16904</v>
      </c>
      <c r="AB107" t="s">
        <v>312</v>
      </c>
      <c r="AC107" s="3" t="str">
        <f>"15142"</f>
        <v>15142</v>
      </c>
      <c r="AD107" t="s">
        <v>128</v>
      </c>
      <c r="AE107"/>
      <c r="AF107" s="4">
        <v>14122763289</v>
      </c>
      <c r="AG107"/>
      <c r="AH107" t="str">
        <f>"71391"</f>
        <v>71391</v>
      </c>
      <c r="AI107" t="s">
        <v>287</v>
      </c>
      <c r="AJ107" t="s">
        <v>414</v>
      </c>
      <c r="AK107" t="s">
        <v>301</v>
      </c>
      <c r="AL107" t="s">
        <v>415</v>
      </c>
      <c r="AM107" t="s">
        <v>416</v>
      </c>
      <c r="AN107" t="s">
        <v>417</v>
      </c>
      <c r="AO107" t="s">
        <v>399</v>
      </c>
      <c r="AP107" t="s">
        <v>400</v>
      </c>
      <c r="AQ107" s="5">
        <v>75231</v>
      </c>
      <c r="AR107" t="s">
        <v>128</v>
      </c>
      <c r="AS107"/>
      <c r="AT107" s="4">
        <v>12145265665</v>
      </c>
      <c r="AU107"/>
      <c r="AV107" t="s">
        <v>7758</v>
      </c>
      <c r="AW107" t="s">
        <v>7363</v>
      </c>
      <c r="AX107" t="s">
        <v>131</v>
      </c>
      <c r="AY107" t="s">
        <v>131</v>
      </c>
      <c r="AZ107" t="s">
        <v>131</v>
      </c>
      <c r="BA107" t="s">
        <v>131</v>
      </c>
      <c r="BB107" t="s">
        <v>131</v>
      </c>
      <c r="BC107" t="s">
        <v>131</v>
      </c>
      <c r="BD107" t="s">
        <v>131</v>
      </c>
      <c r="BE107" t="s">
        <v>132</v>
      </c>
      <c r="BF107"/>
      <c r="BG107" s="1"/>
      <c r="BH107" t="s">
        <v>2215</v>
      </c>
      <c r="BI107" t="s">
        <v>131</v>
      </c>
      <c r="BJ107"/>
      <c r="BK107"/>
      <c r="BL107" t="s">
        <v>167</v>
      </c>
      <c r="BM107"/>
      <c r="BN107"/>
      <c r="BO107" t="s">
        <v>131</v>
      </c>
      <c r="BP107" t="s">
        <v>134</v>
      </c>
      <c r="BQ107" t="s">
        <v>131</v>
      </c>
      <c r="BR107"/>
      <c r="BS107" t="str">
        <f t="shared" si="8"/>
        <v>N/A</v>
      </c>
      <c r="BT107" t="s">
        <v>131</v>
      </c>
      <c r="BU107"/>
      <c r="BV107" t="str">
        <f>""</f>
        <v/>
      </c>
      <c r="BW107" t="s">
        <v>135</v>
      </c>
      <c r="BX107" t="str">
        <f>""</f>
        <v/>
      </c>
      <c r="BY107" t="str">
        <f>""</f>
        <v/>
      </c>
      <c r="BZ107" t="str">
        <f>""</f>
        <v/>
      </c>
      <c r="CA107" t="str">
        <f>"MUST BE ABLE TO LIFT 50 LBS, WORK WEEKENDS, WALK SEVERAL MILES A DAY, WORK IN ADVERSE WEATHER CONDITIONS &amp; PASS PRE &amp; POST-EMPLOYMENT DRUG TEST PAID BY EMPLOYER."</f>
        <v>MUST BE ABLE TO LIFT 50 LBS, WORK WEEKENDS, WALK SEVERAL MILES A DAY, WORK IN ADVERSE WEATHER CONDITIONS &amp; PASS PRE &amp; POST-EMPLOYMENT DRUG TEST PAID BY EMPLOYER.</v>
      </c>
      <c r="CB107" t="s">
        <v>131</v>
      </c>
      <c r="CC107"/>
      <c r="CD107"/>
      <c r="CE107"/>
      <c r="CF107" t="s">
        <v>131</v>
      </c>
      <c r="CG107"/>
      <c r="CH107" t="str">
        <f>""</f>
        <v/>
      </c>
      <c r="CI107" t="s">
        <v>131</v>
      </c>
      <c r="CJ107"/>
      <c r="CK107" t="s">
        <v>131</v>
      </c>
      <c r="CL107" t="str">
        <f>""</f>
        <v/>
      </c>
      <c r="CM107" t="str">
        <f>""</f>
        <v/>
      </c>
      <c r="CN107" t="str">
        <f>""</f>
        <v/>
      </c>
      <c r="CO107" t="str">
        <f>""</f>
        <v/>
      </c>
      <c r="CP107" t="str">
        <f>"37-3011.00"</f>
        <v>37-3011.00</v>
      </c>
      <c r="CQ107" t="s">
        <v>920</v>
      </c>
      <c r="CR107"/>
      <c r="CS107" t="s">
        <v>131</v>
      </c>
      <c r="CT107"/>
      <c r="CU107" t="s">
        <v>16903</v>
      </c>
      <c r="CV107"/>
      <c r="CW107" t="s">
        <v>16904</v>
      </c>
      <c r="CX107" t="s">
        <v>312</v>
      </c>
      <c r="CY107"/>
      <c r="CZ107" s="3" t="str">
        <f>"15142"</f>
        <v>15142</v>
      </c>
      <c r="DA107" t="s">
        <v>131</v>
      </c>
      <c r="DB107" t="str">
        <f>"37-3011"</f>
        <v>37-3011</v>
      </c>
      <c r="DC107" t="s">
        <v>920</v>
      </c>
      <c r="DD107" t="s">
        <v>134</v>
      </c>
      <c r="DE107" t="s">
        <v>134</v>
      </c>
      <c r="DF107" t="str">
        <f>""</f>
        <v/>
      </c>
      <c r="DG107"/>
      <c r="DH107" s="6">
        <v>14.66</v>
      </c>
      <c r="DI107" t="s">
        <v>344</v>
      </c>
      <c r="DJ107"/>
      <c r="DK107" t="s">
        <v>345</v>
      </c>
      <c r="DL107"/>
      <c r="DM107"/>
      <c r="DN107"/>
      <c r="DO107"/>
      <c r="DP107"/>
      <c r="DQ107"/>
      <c r="DR107" t="s">
        <v>15852</v>
      </c>
      <c r="DS107" s="6">
        <v>14.66</v>
      </c>
      <c r="DT107" t="s">
        <v>3921</v>
      </c>
      <c r="DU107" s="1">
        <v>44350</v>
      </c>
      <c r="DV107" s="1">
        <v>44439</v>
      </c>
    </row>
    <row r="108" spans="1:126" s="7" customFormat="1" ht="15" customHeight="1" x14ac:dyDescent="0.35">
      <c r="A108" t="s">
        <v>18373</v>
      </c>
      <c r="B108" t="s">
        <v>318</v>
      </c>
      <c r="C108" s="1">
        <v>44321</v>
      </c>
      <c r="D108" s="1">
        <v>44351</v>
      </c>
      <c r="E108" s="1"/>
      <c r="F108" s="1"/>
      <c r="G108" s="1"/>
      <c r="H108" t="s">
        <v>319</v>
      </c>
      <c r="I108" t="s">
        <v>18374</v>
      </c>
      <c r="J108" t="s">
        <v>18375</v>
      </c>
      <c r="K108"/>
      <c r="L108" t="s">
        <v>7279</v>
      </c>
      <c r="M108" t="s">
        <v>6746</v>
      </c>
      <c r="N108" t="s">
        <v>734</v>
      </c>
      <c r="O108" t="s">
        <v>742</v>
      </c>
      <c r="P108" t="s">
        <v>588</v>
      </c>
      <c r="Q108" s="3">
        <v>23235</v>
      </c>
      <c r="R108" t="s">
        <v>128</v>
      </c>
      <c r="S108"/>
      <c r="T108" s="4">
        <v>18049122586</v>
      </c>
      <c r="U108"/>
      <c r="V108" t="s">
        <v>6747</v>
      </c>
      <c r="W108" t="s">
        <v>18376</v>
      </c>
      <c r="X108"/>
      <c r="Y108" t="s">
        <v>18377</v>
      </c>
      <c r="Z108"/>
      <c r="AA108" t="s">
        <v>10564</v>
      </c>
      <c r="AB108" t="s">
        <v>306</v>
      </c>
      <c r="AC108" s="3" t="str">
        <f>"23113"</f>
        <v>23113</v>
      </c>
      <c r="AD108" t="s">
        <v>128</v>
      </c>
      <c r="AE108"/>
      <c r="AF108" s="4">
        <v>18049122586</v>
      </c>
      <c r="AG108"/>
      <c r="AH108" t="str">
        <f>"722513"</f>
        <v>722513</v>
      </c>
      <c r="AI108" t="s">
        <v>287</v>
      </c>
      <c r="AJ108" t="s">
        <v>1106</v>
      </c>
      <c r="AK108" t="s">
        <v>1107</v>
      </c>
      <c r="AL108" t="s">
        <v>1108</v>
      </c>
      <c r="AM108" t="s">
        <v>1109</v>
      </c>
      <c r="AN108" t="s">
        <v>1110</v>
      </c>
      <c r="AO108" t="s">
        <v>1111</v>
      </c>
      <c r="AP108" t="s">
        <v>306</v>
      </c>
      <c r="AQ108" s="5">
        <v>24521</v>
      </c>
      <c r="AR108" t="s">
        <v>128</v>
      </c>
      <c r="AS108"/>
      <c r="AT108" s="4">
        <v>14349460035</v>
      </c>
      <c r="AU108">
        <v>11</v>
      </c>
      <c r="AV108" t="s">
        <v>1112</v>
      </c>
      <c r="AW108" t="s">
        <v>1113</v>
      </c>
      <c r="AX108" t="s">
        <v>131</v>
      </c>
      <c r="AY108" t="s">
        <v>131</v>
      </c>
      <c r="AZ108" t="s">
        <v>131</v>
      </c>
      <c r="BA108" t="s">
        <v>131</v>
      </c>
      <c r="BB108" t="s">
        <v>131</v>
      </c>
      <c r="BC108" t="s">
        <v>131</v>
      </c>
      <c r="BD108" t="s">
        <v>131</v>
      </c>
      <c r="BE108" t="s">
        <v>132</v>
      </c>
      <c r="BF108"/>
      <c r="BG108" s="1"/>
      <c r="BH108" t="s">
        <v>18378</v>
      </c>
      <c r="BI108" t="s">
        <v>131</v>
      </c>
      <c r="BJ108"/>
      <c r="BK108"/>
      <c r="BL108" t="s">
        <v>167</v>
      </c>
      <c r="BM108"/>
      <c r="BN108"/>
      <c r="BO108" t="s">
        <v>131</v>
      </c>
      <c r="BP108" t="s">
        <v>134</v>
      </c>
      <c r="BQ108" t="s">
        <v>131</v>
      </c>
      <c r="BR108"/>
      <c r="BS108" t="str">
        <f t="shared" si="8"/>
        <v>N/A</v>
      </c>
      <c r="BT108" t="s">
        <v>131</v>
      </c>
      <c r="BU108"/>
      <c r="BV108" t="str">
        <f>""</f>
        <v/>
      </c>
      <c r="BW108" t="s">
        <v>135</v>
      </c>
      <c r="BX108" t="str">
        <f>""</f>
        <v/>
      </c>
      <c r="BY108" t="str">
        <f>""</f>
        <v/>
      </c>
      <c r="BZ108" t="str">
        <f>""</f>
        <v/>
      </c>
      <c r="CA108" s="2" t="s">
        <v>6751</v>
      </c>
      <c r="CB108" t="s">
        <v>131</v>
      </c>
      <c r="CC108"/>
      <c r="CD108"/>
      <c r="CE108"/>
      <c r="CF108" t="s">
        <v>131</v>
      </c>
      <c r="CG108"/>
      <c r="CH108" t="str">
        <f>""</f>
        <v/>
      </c>
      <c r="CI108" t="s">
        <v>131</v>
      </c>
      <c r="CJ108"/>
      <c r="CK108" t="s">
        <v>131</v>
      </c>
      <c r="CL108" t="str">
        <f>""</f>
        <v/>
      </c>
      <c r="CM108" t="str">
        <f>""</f>
        <v/>
      </c>
      <c r="CN108" t="str">
        <f>""</f>
        <v/>
      </c>
      <c r="CO108" t="str">
        <f>""</f>
        <v/>
      </c>
      <c r="CP108" t="str">
        <f>"35-3021.00"</f>
        <v>35-3021.00</v>
      </c>
      <c r="CQ108" t="s">
        <v>2581</v>
      </c>
      <c r="CR108" t="s">
        <v>395</v>
      </c>
      <c r="CS108" t="s">
        <v>131</v>
      </c>
      <c r="CT108"/>
      <c r="CU108" t="s">
        <v>18379</v>
      </c>
      <c r="CV108"/>
      <c r="CW108" t="s">
        <v>18380</v>
      </c>
      <c r="CX108" t="s">
        <v>306</v>
      </c>
      <c r="CY108"/>
      <c r="CZ108" s="3" t="str">
        <f>"23113"</f>
        <v>23113</v>
      </c>
      <c r="DA108" t="s">
        <v>131</v>
      </c>
      <c r="DB108" t="str">
        <f>"35-2014"</f>
        <v>35-2014</v>
      </c>
      <c r="DC108" t="s">
        <v>581</v>
      </c>
      <c r="DD108" t="s">
        <v>134</v>
      </c>
      <c r="DE108" t="s">
        <v>134</v>
      </c>
      <c r="DF108" t="str">
        <f>""</f>
        <v/>
      </c>
      <c r="DG108"/>
      <c r="DH108" s="6">
        <v>12.09</v>
      </c>
      <c r="DI108" t="s">
        <v>344</v>
      </c>
      <c r="DJ108"/>
      <c r="DK108" t="s">
        <v>345</v>
      </c>
      <c r="DL108"/>
      <c r="DM108"/>
      <c r="DN108"/>
      <c r="DO108"/>
      <c r="DP108"/>
      <c r="DQ108"/>
      <c r="DR108"/>
      <c r="DS108" s="6">
        <v>12.09</v>
      </c>
      <c r="DT108" t="s">
        <v>3921</v>
      </c>
      <c r="DU108" s="1">
        <v>44351</v>
      </c>
      <c r="DV108" s="1">
        <v>44440</v>
      </c>
    </row>
    <row r="109" spans="1:126" s="7" customFormat="1" ht="15" customHeight="1" x14ac:dyDescent="0.35">
      <c r="A109" t="s">
        <v>11399</v>
      </c>
      <c r="B109" t="s">
        <v>318</v>
      </c>
      <c r="C109" s="1">
        <v>44321</v>
      </c>
      <c r="D109" s="1">
        <v>44350</v>
      </c>
      <c r="E109" s="1"/>
      <c r="F109" s="1"/>
      <c r="G109" s="1"/>
      <c r="H109" t="s">
        <v>319</v>
      </c>
      <c r="I109" t="s">
        <v>2353</v>
      </c>
      <c r="J109" t="s">
        <v>6929</v>
      </c>
      <c r="K109"/>
      <c r="L109" t="s">
        <v>583</v>
      </c>
      <c r="M109" t="s">
        <v>11400</v>
      </c>
      <c r="N109"/>
      <c r="O109" t="s">
        <v>399</v>
      </c>
      <c r="P109" t="s">
        <v>412</v>
      </c>
      <c r="Q109" s="3">
        <v>75220</v>
      </c>
      <c r="R109" t="s">
        <v>128</v>
      </c>
      <c r="S109"/>
      <c r="T109" s="4">
        <v>12143617992</v>
      </c>
      <c r="U109"/>
      <c r="V109" t="s">
        <v>1253</v>
      </c>
      <c r="W109" t="s">
        <v>11401</v>
      </c>
      <c r="X109"/>
      <c r="Y109" t="s">
        <v>11400</v>
      </c>
      <c r="Z109"/>
      <c r="AA109" t="s">
        <v>399</v>
      </c>
      <c r="AB109" t="s">
        <v>400</v>
      </c>
      <c r="AC109" s="3" t="str">
        <f>"75220"</f>
        <v>75220</v>
      </c>
      <c r="AD109" t="s">
        <v>128</v>
      </c>
      <c r="AE109"/>
      <c r="AF109" s="4">
        <v>12143617992</v>
      </c>
      <c r="AG109"/>
      <c r="AH109" t="str">
        <f>"56173"</f>
        <v>56173</v>
      </c>
      <c r="AI109" t="s">
        <v>287</v>
      </c>
      <c r="AJ109" t="s">
        <v>414</v>
      </c>
      <c r="AK109" t="s">
        <v>301</v>
      </c>
      <c r="AL109" t="s">
        <v>415</v>
      </c>
      <c r="AM109" t="s">
        <v>416</v>
      </c>
      <c r="AN109" t="s">
        <v>417</v>
      </c>
      <c r="AO109" t="s">
        <v>399</v>
      </c>
      <c r="AP109" t="s">
        <v>400</v>
      </c>
      <c r="AQ109" s="5">
        <v>75231</v>
      </c>
      <c r="AR109" t="s">
        <v>128</v>
      </c>
      <c r="AS109"/>
      <c r="AT109" s="4">
        <v>12145265665</v>
      </c>
      <c r="AU109"/>
      <c r="AV109" t="s">
        <v>7758</v>
      </c>
      <c r="AW109" t="s">
        <v>7363</v>
      </c>
      <c r="AX109" t="s">
        <v>131</v>
      </c>
      <c r="AY109" t="s">
        <v>131</v>
      </c>
      <c r="AZ109" t="s">
        <v>131</v>
      </c>
      <c r="BA109" t="s">
        <v>131</v>
      </c>
      <c r="BB109" t="s">
        <v>131</v>
      </c>
      <c r="BC109" t="s">
        <v>131</v>
      </c>
      <c r="BD109" t="s">
        <v>131</v>
      </c>
      <c r="BE109" t="s">
        <v>132</v>
      </c>
      <c r="BF109"/>
      <c r="BG109" s="1"/>
      <c r="BH109" t="s">
        <v>2215</v>
      </c>
      <c r="BI109" t="s">
        <v>131</v>
      </c>
      <c r="BJ109"/>
      <c r="BK109"/>
      <c r="BL109" t="s">
        <v>167</v>
      </c>
      <c r="BM109"/>
      <c r="BN109"/>
      <c r="BO109" t="s">
        <v>131</v>
      </c>
      <c r="BP109" t="s">
        <v>134</v>
      </c>
      <c r="BQ109" t="s">
        <v>131</v>
      </c>
      <c r="BR109"/>
      <c r="BS109" t="str">
        <f t="shared" ref="BS109:BS140" si="9">"N/A"</f>
        <v>N/A</v>
      </c>
      <c r="BT109" t="s">
        <v>131</v>
      </c>
      <c r="BU109"/>
      <c r="BV109" t="str">
        <f>""</f>
        <v/>
      </c>
      <c r="BW109" t="s">
        <v>135</v>
      </c>
      <c r="BX109" t="str">
        <f>""</f>
        <v/>
      </c>
      <c r="BY109" t="str">
        <f>""</f>
        <v/>
      </c>
      <c r="BZ109" t="str">
        <f>""</f>
        <v/>
      </c>
      <c r="CA109" t="str">
        <f>"MUST BE ABLE TO LIFT 50 LBS, WORK IN ADVERSE WEATHER CONDITIONS, PASS PRE-EMPLOYMENT BACKGROUND CHECK AND POST-EMPLOYMENT DRUG TEST BOTH PAID BY EMPLOYER."</f>
        <v>MUST BE ABLE TO LIFT 50 LBS, WORK IN ADVERSE WEATHER CONDITIONS, PASS PRE-EMPLOYMENT BACKGROUND CHECK AND POST-EMPLOYMENT DRUG TEST BOTH PAID BY EMPLOYER.</v>
      </c>
      <c r="CB109" t="s">
        <v>131</v>
      </c>
      <c r="CC109"/>
      <c r="CD109"/>
      <c r="CE109"/>
      <c r="CF109" t="s">
        <v>131</v>
      </c>
      <c r="CG109"/>
      <c r="CH109" t="str">
        <f>""</f>
        <v/>
      </c>
      <c r="CI109" t="s">
        <v>131</v>
      </c>
      <c r="CJ109"/>
      <c r="CK109" t="s">
        <v>131</v>
      </c>
      <c r="CL109" t="str">
        <f>""</f>
        <v/>
      </c>
      <c r="CM109" t="str">
        <f>""</f>
        <v/>
      </c>
      <c r="CN109" t="str">
        <f>""</f>
        <v/>
      </c>
      <c r="CO109" t="str">
        <f>""</f>
        <v/>
      </c>
      <c r="CP109" t="str">
        <f>"37-3011.00"</f>
        <v>37-3011.00</v>
      </c>
      <c r="CQ109" t="s">
        <v>920</v>
      </c>
      <c r="CR109"/>
      <c r="CS109" t="s">
        <v>131</v>
      </c>
      <c r="CT109"/>
      <c r="CU109" t="s">
        <v>11400</v>
      </c>
      <c r="CV109"/>
      <c r="CW109" t="s">
        <v>399</v>
      </c>
      <c r="CX109" t="s">
        <v>400</v>
      </c>
      <c r="CY109"/>
      <c r="CZ109" s="3" t="str">
        <f>"75220"</f>
        <v>75220</v>
      </c>
      <c r="DA109" t="s">
        <v>135</v>
      </c>
      <c r="DB109" t="str">
        <f>"37-3011"</f>
        <v>37-3011</v>
      </c>
      <c r="DC109" t="s">
        <v>920</v>
      </c>
      <c r="DD109" t="s">
        <v>134</v>
      </c>
      <c r="DE109" t="s">
        <v>134</v>
      </c>
      <c r="DF109" t="str">
        <f>""</f>
        <v/>
      </c>
      <c r="DG109"/>
      <c r="DH109" s="6">
        <v>15.23</v>
      </c>
      <c r="DI109" t="s">
        <v>344</v>
      </c>
      <c r="DJ109"/>
      <c r="DK109" t="s">
        <v>345</v>
      </c>
      <c r="DL109"/>
      <c r="DM109"/>
      <c r="DN109"/>
      <c r="DO109"/>
      <c r="DP109"/>
      <c r="DQ109"/>
      <c r="DR109" t="s">
        <v>423</v>
      </c>
      <c r="DS109" s="6">
        <v>15.23</v>
      </c>
      <c r="DT109" t="s">
        <v>3921</v>
      </c>
      <c r="DU109" s="1">
        <v>44350</v>
      </c>
      <c r="DV109" s="1">
        <v>44439</v>
      </c>
    </row>
    <row r="110" spans="1:126" s="7" customFormat="1" ht="15" customHeight="1" x14ac:dyDescent="0.35">
      <c r="A110" t="s">
        <v>6743</v>
      </c>
      <c r="B110" t="s">
        <v>318</v>
      </c>
      <c r="C110" s="1">
        <v>44321</v>
      </c>
      <c r="D110" s="1">
        <v>44351</v>
      </c>
      <c r="E110" s="1"/>
      <c r="F110" s="1"/>
      <c r="G110" s="1"/>
      <c r="H110" t="s">
        <v>319</v>
      </c>
      <c r="I110" t="s">
        <v>6744</v>
      </c>
      <c r="J110" t="s">
        <v>6745</v>
      </c>
      <c r="K110" t="s">
        <v>734</v>
      </c>
      <c r="L110" t="s">
        <v>3359</v>
      </c>
      <c r="M110" t="s">
        <v>6746</v>
      </c>
      <c r="N110"/>
      <c r="O110" t="s">
        <v>742</v>
      </c>
      <c r="P110" t="s">
        <v>588</v>
      </c>
      <c r="Q110" s="3">
        <v>23235</v>
      </c>
      <c r="R110" t="s">
        <v>128</v>
      </c>
      <c r="S110"/>
      <c r="T110" s="4">
        <v>18049122586</v>
      </c>
      <c r="U110"/>
      <c r="V110" t="s">
        <v>6747</v>
      </c>
      <c r="W110" t="s">
        <v>6748</v>
      </c>
      <c r="X110"/>
      <c r="Y110" t="s">
        <v>6749</v>
      </c>
      <c r="Z110"/>
      <c r="AA110" t="s">
        <v>742</v>
      </c>
      <c r="AB110" t="s">
        <v>306</v>
      </c>
      <c r="AC110" s="3" t="str">
        <f>"23294"</f>
        <v>23294</v>
      </c>
      <c r="AD110" t="s">
        <v>128</v>
      </c>
      <c r="AE110"/>
      <c r="AF110" s="4">
        <v>18049122586</v>
      </c>
      <c r="AG110"/>
      <c r="AH110" t="str">
        <f>"722513"</f>
        <v>722513</v>
      </c>
      <c r="AI110" t="s">
        <v>287</v>
      </c>
      <c r="AJ110" t="s">
        <v>1106</v>
      </c>
      <c r="AK110" t="s">
        <v>1107</v>
      </c>
      <c r="AL110" t="s">
        <v>1108</v>
      </c>
      <c r="AM110" t="s">
        <v>1109</v>
      </c>
      <c r="AN110" t="s">
        <v>1110</v>
      </c>
      <c r="AO110" t="s">
        <v>1111</v>
      </c>
      <c r="AP110" t="s">
        <v>306</v>
      </c>
      <c r="AQ110" s="5">
        <v>24521</v>
      </c>
      <c r="AR110" t="s">
        <v>128</v>
      </c>
      <c r="AS110"/>
      <c r="AT110" s="4">
        <v>14349460035</v>
      </c>
      <c r="AU110"/>
      <c r="AV110" t="s">
        <v>1112</v>
      </c>
      <c r="AW110" t="s">
        <v>1113</v>
      </c>
      <c r="AX110" t="s">
        <v>131</v>
      </c>
      <c r="AY110" t="s">
        <v>131</v>
      </c>
      <c r="AZ110" t="s">
        <v>131</v>
      </c>
      <c r="BA110" t="s">
        <v>131</v>
      </c>
      <c r="BB110" t="s">
        <v>131</v>
      </c>
      <c r="BC110" t="s">
        <v>131</v>
      </c>
      <c r="BD110" t="s">
        <v>131</v>
      </c>
      <c r="BE110" t="s">
        <v>132</v>
      </c>
      <c r="BF110"/>
      <c r="BG110" s="1"/>
      <c r="BH110" t="s">
        <v>6750</v>
      </c>
      <c r="BI110" t="s">
        <v>131</v>
      </c>
      <c r="BJ110"/>
      <c r="BK110"/>
      <c r="BL110" t="s">
        <v>167</v>
      </c>
      <c r="BM110"/>
      <c r="BN110"/>
      <c r="BO110" t="s">
        <v>131</v>
      </c>
      <c r="BP110" t="s">
        <v>134</v>
      </c>
      <c r="BQ110" t="s">
        <v>131</v>
      </c>
      <c r="BR110"/>
      <c r="BS110" t="str">
        <f t="shared" si="9"/>
        <v>N/A</v>
      </c>
      <c r="BT110" t="s">
        <v>131</v>
      </c>
      <c r="BU110"/>
      <c r="BV110" t="str">
        <f>""</f>
        <v/>
      </c>
      <c r="BW110" t="s">
        <v>135</v>
      </c>
      <c r="BX110" t="str">
        <f>""</f>
        <v/>
      </c>
      <c r="BY110" t="str">
        <f>""</f>
        <v/>
      </c>
      <c r="BZ110" t="str">
        <f>""</f>
        <v/>
      </c>
      <c r="CA110" s="2" t="s">
        <v>6751</v>
      </c>
      <c r="CB110" t="s">
        <v>131</v>
      </c>
      <c r="CC110"/>
      <c r="CD110"/>
      <c r="CE110"/>
      <c r="CF110" t="s">
        <v>131</v>
      </c>
      <c r="CG110"/>
      <c r="CH110" t="str">
        <f>""</f>
        <v/>
      </c>
      <c r="CI110" t="s">
        <v>131</v>
      </c>
      <c r="CJ110"/>
      <c r="CK110" t="s">
        <v>131</v>
      </c>
      <c r="CL110" t="str">
        <f>""</f>
        <v/>
      </c>
      <c r="CM110" t="str">
        <f>""</f>
        <v/>
      </c>
      <c r="CN110" t="str">
        <f>""</f>
        <v/>
      </c>
      <c r="CO110" t="str">
        <f>""</f>
        <v/>
      </c>
      <c r="CP110" t="str">
        <f>"35-3021.00"</f>
        <v>35-3021.00</v>
      </c>
      <c r="CQ110" t="s">
        <v>2581</v>
      </c>
      <c r="CR110" t="s">
        <v>6752</v>
      </c>
      <c r="CS110" t="s">
        <v>131</v>
      </c>
      <c r="CT110"/>
      <c r="CU110" t="s">
        <v>6753</v>
      </c>
      <c r="CV110"/>
      <c r="CW110" t="s">
        <v>742</v>
      </c>
      <c r="CX110" t="s">
        <v>306</v>
      </c>
      <c r="CY110"/>
      <c r="CZ110" s="3" t="str">
        <f>"23294"</f>
        <v>23294</v>
      </c>
      <c r="DA110" t="s">
        <v>131</v>
      </c>
      <c r="DB110" t="str">
        <f>"35-2014"</f>
        <v>35-2014</v>
      </c>
      <c r="DC110" t="s">
        <v>581</v>
      </c>
      <c r="DD110" t="s">
        <v>134</v>
      </c>
      <c r="DE110" t="s">
        <v>134</v>
      </c>
      <c r="DF110" t="str">
        <f>""</f>
        <v/>
      </c>
      <c r="DG110"/>
      <c r="DH110" s="6">
        <v>12.09</v>
      </c>
      <c r="DI110" t="s">
        <v>344</v>
      </c>
      <c r="DJ110"/>
      <c r="DK110" t="s">
        <v>345</v>
      </c>
      <c r="DL110"/>
      <c r="DM110"/>
      <c r="DN110"/>
      <c r="DO110"/>
      <c r="DP110"/>
      <c r="DQ110"/>
      <c r="DR110"/>
      <c r="DS110" s="6">
        <v>12.09</v>
      </c>
      <c r="DT110" t="s">
        <v>3921</v>
      </c>
      <c r="DU110" s="1">
        <v>44351</v>
      </c>
      <c r="DV110" s="1">
        <v>44440</v>
      </c>
    </row>
    <row r="111" spans="1:126" s="7" customFormat="1" ht="15" customHeight="1" x14ac:dyDescent="0.35">
      <c r="A111" t="s">
        <v>5459</v>
      </c>
      <c r="B111" t="s">
        <v>318</v>
      </c>
      <c r="C111" s="1">
        <v>44321</v>
      </c>
      <c r="D111" s="1">
        <v>44355</v>
      </c>
      <c r="E111" s="1"/>
      <c r="F111" s="1"/>
      <c r="G111" s="1"/>
      <c r="H111" t="s">
        <v>319</v>
      </c>
      <c r="I111" t="s">
        <v>3912</v>
      </c>
      <c r="J111" t="s">
        <v>3913</v>
      </c>
      <c r="K111"/>
      <c r="L111" t="s">
        <v>1482</v>
      </c>
      <c r="M111" t="s">
        <v>5460</v>
      </c>
      <c r="N111"/>
      <c r="O111" t="s">
        <v>5461</v>
      </c>
      <c r="P111" t="s">
        <v>811</v>
      </c>
      <c r="Q111" s="3">
        <v>29418</v>
      </c>
      <c r="R111" t="s">
        <v>128</v>
      </c>
      <c r="S111"/>
      <c r="T111" s="4">
        <v>18438554116</v>
      </c>
      <c r="U111"/>
      <c r="V111" t="s">
        <v>134</v>
      </c>
      <c r="W111" t="s">
        <v>5462</v>
      </c>
      <c r="X111"/>
      <c r="Y111" t="s">
        <v>5460</v>
      </c>
      <c r="Z111"/>
      <c r="AA111" t="s">
        <v>5461</v>
      </c>
      <c r="AB111" t="s">
        <v>812</v>
      </c>
      <c r="AC111" s="3" t="str">
        <f>"29418"</f>
        <v>29418</v>
      </c>
      <c r="AD111" t="s">
        <v>128</v>
      </c>
      <c r="AE111"/>
      <c r="AF111" s="4">
        <v>18438554116</v>
      </c>
      <c r="AG111"/>
      <c r="AH111" t="str">
        <f>"5617"</f>
        <v>5617</v>
      </c>
      <c r="AI111" t="s">
        <v>287</v>
      </c>
      <c r="AJ111" t="s">
        <v>3916</v>
      </c>
      <c r="AK111" t="s">
        <v>1225</v>
      </c>
      <c r="AL111" t="s">
        <v>589</v>
      </c>
      <c r="AM111" t="s">
        <v>3917</v>
      </c>
      <c r="AN111"/>
      <c r="AO111" t="s">
        <v>1513</v>
      </c>
      <c r="AP111" t="s">
        <v>400</v>
      </c>
      <c r="AQ111" s="5">
        <v>75231</v>
      </c>
      <c r="AR111" t="s">
        <v>128</v>
      </c>
      <c r="AS111"/>
      <c r="AT111" s="4">
        <v>12145265665</v>
      </c>
      <c r="AU111"/>
      <c r="AV111" t="s">
        <v>3918</v>
      </c>
      <c r="AW111" t="s">
        <v>3919</v>
      </c>
      <c r="AX111" t="s">
        <v>131</v>
      </c>
      <c r="AY111" t="s">
        <v>131</v>
      </c>
      <c r="AZ111" t="s">
        <v>131</v>
      </c>
      <c r="BA111" t="s">
        <v>131</v>
      </c>
      <c r="BB111" t="s">
        <v>131</v>
      </c>
      <c r="BC111" t="s">
        <v>131</v>
      </c>
      <c r="BD111" t="s">
        <v>131</v>
      </c>
      <c r="BE111" t="s">
        <v>132</v>
      </c>
      <c r="BF111"/>
      <c r="BG111" s="1"/>
      <c r="BH111" t="s">
        <v>2215</v>
      </c>
      <c r="BI111" t="s">
        <v>131</v>
      </c>
      <c r="BJ111"/>
      <c r="BK111"/>
      <c r="BL111" t="s">
        <v>167</v>
      </c>
      <c r="BM111"/>
      <c r="BN111"/>
      <c r="BO111" t="s">
        <v>131</v>
      </c>
      <c r="BP111" t="s">
        <v>134</v>
      </c>
      <c r="BQ111" t="s">
        <v>131</v>
      </c>
      <c r="BR111"/>
      <c r="BS111" t="str">
        <f t="shared" si="9"/>
        <v>N/A</v>
      </c>
      <c r="BT111" t="s">
        <v>131</v>
      </c>
      <c r="BU111"/>
      <c r="BV111" t="str">
        <f>""</f>
        <v/>
      </c>
      <c r="BW111" t="s">
        <v>135</v>
      </c>
      <c r="BX111" t="str">
        <f>""</f>
        <v/>
      </c>
      <c r="BY111" t="str">
        <f>""</f>
        <v/>
      </c>
      <c r="BZ111" t="str">
        <f>""</f>
        <v/>
      </c>
      <c r="CA111" t="str">
        <f>"Must be able to lift 50 lbs &amp; work in adverse weather conditions."</f>
        <v>Must be able to lift 50 lbs &amp; work in adverse weather conditions.</v>
      </c>
      <c r="CB111" t="s">
        <v>131</v>
      </c>
      <c r="CC111"/>
      <c r="CD111"/>
      <c r="CE111"/>
      <c r="CF111" t="s">
        <v>131</v>
      </c>
      <c r="CG111"/>
      <c r="CH111" t="str">
        <f>""</f>
        <v/>
      </c>
      <c r="CI111" t="s">
        <v>131</v>
      </c>
      <c r="CJ111"/>
      <c r="CK111" t="s">
        <v>131</v>
      </c>
      <c r="CL111" t="str">
        <f>""</f>
        <v/>
      </c>
      <c r="CM111" t="str">
        <f>""</f>
        <v/>
      </c>
      <c r="CN111" t="str">
        <f>""</f>
        <v/>
      </c>
      <c r="CO111" t="str">
        <f>""</f>
        <v/>
      </c>
      <c r="CP111" t="str">
        <f>"37-3011.00"</f>
        <v>37-3011.00</v>
      </c>
      <c r="CQ111" t="s">
        <v>920</v>
      </c>
      <c r="CR111"/>
      <c r="CS111" t="s">
        <v>131</v>
      </c>
      <c r="CT111"/>
      <c r="CU111" t="s">
        <v>5460</v>
      </c>
      <c r="CV111"/>
      <c r="CW111" t="s">
        <v>5461</v>
      </c>
      <c r="CX111" t="s">
        <v>812</v>
      </c>
      <c r="CY111"/>
      <c r="CZ111" s="3" t="str">
        <f>"29418"</f>
        <v>29418</v>
      </c>
      <c r="DA111" t="s">
        <v>135</v>
      </c>
      <c r="DB111" t="str">
        <f>"37-3011"</f>
        <v>37-3011</v>
      </c>
      <c r="DC111" t="s">
        <v>920</v>
      </c>
      <c r="DD111" t="s">
        <v>134</v>
      </c>
      <c r="DE111" t="s">
        <v>134</v>
      </c>
      <c r="DF111" t="str">
        <f>""</f>
        <v/>
      </c>
      <c r="DG111"/>
      <c r="DH111" s="6">
        <v>14.39</v>
      </c>
      <c r="DI111" t="s">
        <v>344</v>
      </c>
      <c r="DJ111"/>
      <c r="DK111" t="s">
        <v>345</v>
      </c>
      <c r="DL111"/>
      <c r="DM111"/>
      <c r="DN111"/>
      <c r="DO111"/>
      <c r="DP111"/>
      <c r="DQ111"/>
      <c r="DR111" t="s">
        <v>5463</v>
      </c>
      <c r="DS111" s="6">
        <v>14.39</v>
      </c>
      <c r="DT111" t="s">
        <v>3921</v>
      </c>
      <c r="DU111" s="1">
        <v>44355</v>
      </c>
      <c r="DV111" s="1">
        <v>44444</v>
      </c>
    </row>
    <row r="112" spans="1:126" s="7" customFormat="1" ht="15" customHeight="1" x14ac:dyDescent="0.35">
      <c r="A112" t="s">
        <v>19863</v>
      </c>
      <c r="B112" t="s">
        <v>318</v>
      </c>
      <c r="C112" s="1">
        <v>44321</v>
      </c>
      <c r="D112" s="1">
        <v>44350</v>
      </c>
      <c r="E112" s="1"/>
      <c r="F112" s="1"/>
      <c r="G112" s="1"/>
      <c r="H112" t="s">
        <v>319</v>
      </c>
      <c r="I112" t="s">
        <v>4046</v>
      </c>
      <c r="J112" t="s">
        <v>4591</v>
      </c>
      <c r="K112"/>
      <c r="L112" t="s">
        <v>1482</v>
      </c>
      <c r="M112" t="s">
        <v>19864</v>
      </c>
      <c r="N112" t="s">
        <v>611</v>
      </c>
      <c r="O112" t="s">
        <v>1677</v>
      </c>
      <c r="P112" t="s">
        <v>857</v>
      </c>
      <c r="Q112" s="3">
        <v>85254</v>
      </c>
      <c r="R112" t="s">
        <v>128</v>
      </c>
      <c r="S112"/>
      <c r="T112" s="4">
        <v>14806061000</v>
      </c>
      <c r="U112"/>
      <c r="V112" t="s">
        <v>1253</v>
      </c>
      <c r="W112" t="s">
        <v>19865</v>
      </c>
      <c r="X112"/>
      <c r="Y112" t="s">
        <v>19864</v>
      </c>
      <c r="Z112" t="s">
        <v>611</v>
      </c>
      <c r="AA112" t="s">
        <v>1677</v>
      </c>
      <c r="AB112" t="s">
        <v>808</v>
      </c>
      <c r="AC112" s="3" t="str">
        <f>"85254"</f>
        <v>85254</v>
      </c>
      <c r="AD112" t="s">
        <v>128</v>
      </c>
      <c r="AE112"/>
      <c r="AF112" s="4">
        <v>14806061000</v>
      </c>
      <c r="AG112"/>
      <c r="AH112" t="str">
        <f>"71391"</f>
        <v>71391</v>
      </c>
      <c r="AI112" t="s">
        <v>287</v>
      </c>
      <c r="AJ112" t="s">
        <v>414</v>
      </c>
      <c r="AK112" t="s">
        <v>301</v>
      </c>
      <c r="AL112" t="s">
        <v>415</v>
      </c>
      <c r="AM112" t="s">
        <v>416</v>
      </c>
      <c r="AN112" t="s">
        <v>417</v>
      </c>
      <c r="AO112" t="s">
        <v>399</v>
      </c>
      <c r="AP112" t="s">
        <v>400</v>
      </c>
      <c r="AQ112" s="5">
        <v>75231</v>
      </c>
      <c r="AR112" t="s">
        <v>128</v>
      </c>
      <c r="AS112"/>
      <c r="AT112" s="4">
        <v>12145265665</v>
      </c>
      <c r="AU112"/>
      <c r="AV112" t="s">
        <v>7758</v>
      </c>
      <c r="AW112" t="s">
        <v>7363</v>
      </c>
      <c r="AX112" t="s">
        <v>131</v>
      </c>
      <c r="AY112" t="s">
        <v>131</v>
      </c>
      <c r="AZ112" t="s">
        <v>131</v>
      </c>
      <c r="BA112" t="s">
        <v>131</v>
      </c>
      <c r="BB112" t="s">
        <v>131</v>
      </c>
      <c r="BC112" t="s">
        <v>131</v>
      </c>
      <c r="BD112" t="s">
        <v>131</v>
      </c>
      <c r="BE112" t="s">
        <v>132</v>
      </c>
      <c r="BF112"/>
      <c r="BG112" s="1"/>
      <c r="BH112" t="s">
        <v>2215</v>
      </c>
      <c r="BI112" t="s">
        <v>131</v>
      </c>
      <c r="BJ112"/>
      <c r="BK112"/>
      <c r="BL112" t="s">
        <v>167</v>
      </c>
      <c r="BM112"/>
      <c r="BN112"/>
      <c r="BO112" t="s">
        <v>131</v>
      </c>
      <c r="BP112" t="s">
        <v>134</v>
      </c>
      <c r="BQ112" t="s">
        <v>131</v>
      </c>
      <c r="BR112"/>
      <c r="BS112" t="str">
        <f t="shared" si="9"/>
        <v>N/A</v>
      </c>
      <c r="BT112" t="s">
        <v>131</v>
      </c>
      <c r="BU112"/>
      <c r="BV112" t="str">
        <f>""</f>
        <v/>
      </c>
      <c r="BW112" t="s">
        <v>135</v>
      </c>
      <c r="BX112" t="str">
        <f>""</f>
        <v/>
      </c>
      <c r="BY112" t="str">
        <f>""</f>
        <v/>
      </c>
      <c r="BZ112" t="str">
        <f>""</f>
        <v/>
      </c>
      <c r="CA112" t="str">
        <f>"MUST BE ABLE TO LIFT 50 LBS, WORK IN ADVERSE WEATHER CONDITIONS, PASS PRE-EMPLOYMENT BACKGROUND CHECK &amp; POST-EMPLOYMENT DRUG TEST BOTH PAID BY EMPLOYER."</f>
        <v>MUST BE ABLE TO LIFT 50 LBS, WORK IN ADVERSE WEATHER CONDITIONS, PASS PRE-EMPLOYMENT BACKGROUND CHECK &amp; POST-EMPLOYMENT DRUG TEST BOTH PAID BY EMPLOYER.</v>
      </c>
      <c r="CB112" t="s">
        <v>131</v>
      </c>
      <c r="CC112"/>
      <c r="CD112"/>
      <c r="CE112"/>
      <c r="CF112" t="s">
        <v>131</v>
      </c>
      <c r="CG112"/>
      <c r="CH112" t="str">
        <f>""</f>
        <v/>
      </c>
      <c r="CI112" t="s">
        <v>131</v>
      </c>
      <c r="CJ112"/>
      <c r="CK112" t="s">
        <v>131</v>
      </c>
      <c r="CL112" t="str">
        <f>""</f>
        <v/>
      </c>
      <c r="CM112" t="str">
        <f>""</f>
        <v/>
      </c>
      <c r="CN112" t="str">
        <f>""</f>
        <v/>
      </c>
      <c r="CO112" t="str">
        <f>""</f>
        <v/>
      </c>
      <c r="CP112" t="str">
        <f>"37-3011.00"</f>
        <v>37-3011.00</v>
      </c>
      <c r="CQ112" t="s">
        <v>920</v>
      </c>
      <c r="CR112"/>
      <c r="CS112" t="s">
        <v>131</v>
      </c>
      <c r="CT112"/>
      <c r="CU112" t="s">
        <v>19866</v>
      </c>
      <c r="CV112"/>
      <c r="CW112" t="s">
        <v>2071</v>
      </c>
      <c r="CX112" t="s">
        <v>490</v>
      </c>
      <c r="CY112"/>
      <c r="CZ112" s="3" t="str">
        <f>"19807"</f>
        <v>19807</v>
      </c>
      <c r="DA112" t="s">
        <v>131</v>
      </c>
      <c r="DB112" t="str">
        <f>"37-3011"</f>
        <v>37-3011</v>
      </c>
      <c r="DC112" t="s">
        <v>920</v>
      </c>
      <c r="DD112" t="s">
        <v>134</v>
      </c>
      <c r="DE112" t="s">
        <v>134</v>
      </c>
      <c r="DF112" t="str">
        <f>""</f>
        <v/>
      </c>
      <c r="DG112"/>
      <c r="DH112" s="6">
        <v>16.600000000000001</v>
      </c>
      <c r="DI112" t="s">
        <v>344</v>
      </c>
      <c r="DJ112"/>
      <c r="DK112" t="s">
        <v>345</v>
      </c>
      <c r="DL112"/>
      <c r="DM112"/>
      <c r="DN112"/>
      <c r="DO112"/>
      <c r="DP112"/>
      <c r="DQ112"/>
      <c r="DR112" t="s">
        <v>12670</v>
      </c>
      <c r="DS112" s="6">
        <v>16.600000000000001</v>
      </c>
      <c r="DT112" t="s">
        <v>3921</v>
      </c>
      <c r="DU112" s="1">
        <v>44350</v>
      </c>
      <c r="DV112" s="1">
        <v>44439</v>
      </c>
    </row>
    <row r="113" spans="1:126" s="7" customFormat="1" ht="15" customHeight="1" x14ac:dyDescent="0.35">
      <c r="A113" t="s">
        <v>5953</v>
      </c>
      <c r="B113" t="s">
        <v>318</v>
      </c>
      <c r="C113" s="1">
        <v>44321</v>
      </c>
      <c r="D113" s="1">
        <v>44350</v>
      </c>
      <c r="E113" s="1"/>
      <c r="F113" s="1"/>
      <c r="G113" s="1"/>
      <c r="H113" t="s">
        <v>319</v>
      </c>
      <c r="I113" t="s">
        <v>5954</v>
      </c>
      <c r="J113" t="s">
        <v>5955</v>
      </c>
      <c r="K113" t="s">
        <v>5956</v>
      </c>
      <c r="L113" t="s">
        <v>771</v>
      </c>
      <c r="M113" t="s">
        <v>5957</v>
      </c>
      <c r="N113"/>
      <c r="O113" t="s">
        <v>1221</v>
      </c>
      <c r="P113" t="s">
        <v>412</v>
      </c>
      <c r="Q113" s="3">
        <v>78640</v>
      </c>
      <c r="R113" t="s">
        <v>128</v>
      </c>
      <c r="S113"/>
      <c r="T113" s="4">
        <v>15127405256</v>
      </c>
      <c r="U113"/>
      <c r="V113" t="s">
        <v>5958</v>
      </c>
      <c r="W113" t="s">
        <v>5959</v>
      </c>
      <c r="X113"/>
      <c r="Y113" t="s">
        <v>5960</v>
      </c>
      <c r="Z113"/>
      <c r="AA113" t="s">
        <v>5961</v>
      </c>
      <c r="AB113" t="s">
        <v>594</v>
      </c>
      <c r="AC113" s="3" t="str">
        <f>"27520"</f>
        <v>27520</v>
      </c>
      <c r="AD113" t="s">
        <v>128</v>
      </c>
      <c r="AE113"/>
      <c r="AF113" s="4">
        <v>19199348911</v>
      </c>
      <c r="AG113"/>
      <c r="AH113" t="str">
        <f>"2371"</f>
        <v>2371</v>
      </c>
      <c r="AI113" t="s">
        <v>287</v>
      </c>
      <c r="AJ113" t="s">
        <v>5954</v>
      </c>
      <c r="AK113" t="s">
        <v>5955</v>
      </c>
      <c r="AL113" t="s">
        <v>5956</v>
      </c>
      <c r="AM113" t="s">
        <v>5957</v>
      </c>
      <c r="AN113"/>
      <c r="AO113" t="s">
        <v>1221</v>
      </c>
      <c r="AP113" t="s">
        <v>400</v>
      </c>
      <c r="AQ113" s="5">
        <v>78640</v>
      </c>
      <c r="AR113" t="s">
        <v>128</v>
      </c>
      <c r="AS113"/>
      <c r="AT113" s="4">
        <v>15127405256</v>
      </c>
      <c r="AU113"/>
      <c r="AV113" t="s">
        <v>5958</v>
      </c>
      <c r="AW113" t="s">
        <v>5962</v>
      </c>
      <c r="AX113" t="s">
        <v>131</v>
      </c>
      <c r="AY113" t="s">
        <v>131</v>
      </c>
      <c r="AZ113" t="s">
        <v>131</v>
      </c>
      <c r="BA113" t="s">
        <v>131</v>
      </c>
      <c r="BB113" t="s">
        <v>131</v>
      </c>
      <c r="BC113" t="s">
        <v>131</v>
      </c>
      <c r="BD113" t="s">
        <v>131</v>
      </c>
      <c r="BE113" t="s">
        <v>132</v>
      </c>
      <c r="BF113"/>
      <c r="BG113" s="1"/>
      <c r="BH113" t="s">
        <v>5963</v>
      </c>
      <c r="BI113" t="s">
        <v>131</v>
      </c>
      <c r="BJ113"/>
      <c r="BK113"/>
      <c r="BL113" t="s">
        <v>167</v>
      </c>
      <c r="BM113"/>
      <c r="BN113"/>
      <c r="BO113" t="s">
        <v>131</v>
      </c>
      <c r="BP113" t="s">
        <v>134</v>
      </c>
      <c r="BQ113" t="s">
        <v>131</v>
      </c>
      <c r="BR113"/>
      <c r="BS113" t="str">
        <f t="shared" si="9"/>
        <v>N/A</v>
      </c>
      <c r="BT113" t="s">
        <v>131</v>
      </c>
      <c r="BU113"/>
      <c r="BV113" t="str">
        <f>""</f>
        <v/>
      </c>
      <c r="BW113" t="s">
        <v>131</v>
      </c>
      <c r="BX113" t="str">
        <f>""</f>
        <v/>
      </c>
      <c r="BY113" t="str">
        <f>""</f>
        <v/>
      </c>
      <c r="BZ113" t="str">
        <f>""</f>
        <v/>
      </c>
      <c r="CA113" t="str">
        <f>""</f>
        <v/>
      </c>
      <c r="CB113" t="s">
        <v>131</v>
      </c>
      <c r="CC113"/>
      <c r="CD113"/>
      <c r="CE113"/>
      <c r="CF113" t="s">
        <v>131</v>
      </c>
      <c r="CG113"/>
      <c r="CH113" t="str">
        <f>""</f>
        <v/>
      </c>
      <c r="CI113" t="s">
        <v>131</v>
      </c>
      <c r="CJ113"/>
      <c r="CK113" t="s">
        <v>131</v>
      </c>
      <c r="CL113" t="str">
        <f>""</f>
        <v/>
      </c>
      <c r="CM113" t="str">
        <f>""</f>
        <v/>
      </c>
      <c r="CN113" t="str">
        <f>""</f>
        <v/>
      </c>
      <c r="CO113" t="str">
        <f>""</f>
        <v/>
      </c>
      <c r="CP113" t="str">
        <f>"47-2061.00"</f>
        <v>47-2061.00</v>
      </c>
      <c r="CQ113" t="s">
        <v>393</v>
      </c>
      <c r="CR113" t="s">
        <v>134</v>
      </c>
      <c r="CS113" t="s">
        <v>131</v>
      </c>
      <c r="CT113"/>
      <c r="CU113" t="s">
        <v>5964</v>
      </c>
      <c r="CV113"/>
      <c r="CW113" t="s">
        <v>1034</v>
      </c>
      <c r="CX113" t="s">
        <v>594</v>
      </c>
      <c r="CY113"/>
      <c r="CZ113" s="3" t="str">
        <f>"27513"</f>
        <v>27513</v>
      </c>
      <c r="DA113" t="s">
        <v>135</v>
      </c>
      <c r="DB113" t="str">
        <f>"47-2061"</f>
        <v>47-2061</v>
      </c>
      <c r="DC113" t="s">
        <v>393</v>
      </c>
      <c r="DD113" t="s">
        <v>134</v>
      </c>
      <c r="DE113" t="s">
        <v>134</v>
      </c>
      <c r="DF113" t="str">
        <f>""</f>
        <v/>
      </c>
      <c r="DG113"/>
      <c r="DH113" s="6">
        <v>16.399999999999999</v>
      </c>
      <c r="DI113" t="s">
        <v>344</v>
      </c>
      <c r="DJ113"/>
      <c r="DK113" t="s">
        <v>345</v>
      </c>
      <c r="DL113"/>
      <c r="DM113"/>
      <c r="DN113"/>
      <c r="DO113"/>
      <c r="DP113"/>
      <c r="DQ113"/>
      <c r="DR113" t="s">
        <v>5737</v>
      </c>
      <c r="DS113" s="6">
        <v>16.399999999999999</v>
      </c>
      <c r="DT113" t="s">
        <v>3921</v>
      </c>
      <c r="DU113" s="1">
        <v>44350</v>
      </c>
      <c r="DV113" s="1">
        <v>44439</v>
      </c>
    </row>
    <row r="114" spans="1:126" s="7" customFormat="1" ht="15" customHeight="1" x14ac:dyDescent="0.35">
      <c r="A114" t="s">
        <v>19778</v>
      </c>
      <c r="B114" t="s">
        <v>318</v>
      </c>
      <c r="C114" s="1">
        <v>44321</v>
      </c>
      <c r="D114" s="1">
        <v>44354</v>
      </c>
      <c r="E114" s="1"/>
      <c r="F114" s="1"/>
      <c r="G114" s="1"/>
      <c r="H114" t="s">
        <v>319</v>
      </c>
      <c r="I114" t="s">
        <v>5954</v>
      </c>
      <c r="J114" t="s">
        <v>5955</v>
      </c>
      <c r="K114" t="s">
        <v>5956</v>
      </c>
      <c r="L114" t="s">
        <v>771</v>
      </c>
      <c r="M114" t="s">
        <v>5957</v>
      </c>
      <c r="N114"/>
      <c r="O114" t="s">
        <v>1221</v>
      </c>
      <c r="P114" t="s">
        <v>412</v>
      </c>
      <c r="Q114" s="3">
        <v>78640</v>
      </c>
      <c r="R114" t="s">
        <v>128</v>
      </c>
      <c r="S114"/>
      <c r="T114" s="4">
        <v>15127405256</v>
      </c>
      <c r="U114"/>
      <c r="V114" t="s">
        <v>5958</v>
      </c>
      <c r="W114" t="s">
        <v>5959</v>
      </c>
      <c r="X114"/>
      <c r="Y114" t="s">
        <v>5960</v>
      </c>
      <c r="Z114"/>
      <c r="AA114" t="s">
        <v>5961</v>
      </c>
      <c r="AB114" t="s">
        <v>594</v>
      </c>
      <c r="AC114" s="3" t="str">
        <f>"27520"</f>
        <v>27520</v>
      </c>
      <c r="AD114" t="s">
        <v>128</v>
      </c>
      <c r="AE114"/>
      <c r="AF114" s="4">
        <v>19199348911</v>
      </c>
      <c r="AG114"/>
      <c r="AH114" t="str">
        <f>"2371"</f>
        <v>2371</v>
      </c>
      <c r="AI114" t="s">
        <v>287</v>
      </c>
      <c r="AJ114" t="s">
        <v>5954</v>
      </c>
      <c r="AK114" t="s">
        <v>5955</v>
      </c>
      <c r="AL114" t="s">
        <v>5956</v>
      </c>
      <c r="AM114" t="s">
        <v>5957</v>
      </c>
      <c r="AN114"/>
      <c r="AO114" t="s">
        <v>1221</v>
      </c>
      <c r="AP114" t="s">
        <v>400</v>
      </c>
      <c r="AQ114" s="5">
        <v>78640</v>
      </c>
      <c r="AR114" t="s">
        <v>128</v>
      </c>
      <c r="AS114"/>
      <c r="AT114" s="4">
        <v>15127405256</v>
      </c>
      <c r="AU114"/>
      <c r="AV114" t="s">
        <v>5958</v>
      </c>
      <c r="AW114" t="s">
        <v>5962</v>
      </c>
      <c r="AX114" t="s">
        <v>131</v>
      </c>
      <c r="AY114" t="s">
        <v>131</v>
      </c>
      <c r="AZ114" t="s">
        <v>131</v>
      </c>
      <c r="BA114" t="s">
        <v>131</v>
      </c>
      <c r="BB114" t="s">
        <v>131</v>
      </c>
      <c r="BC114" t="s">
        <v>131</v>
      </c>
      <c r="BD114" t="s">
        <v>131</v>
      </c>
      <c r="BE114" t="s">
        <v>132</v>
      </c>
      <c r="BF114"/>
      <c r="BG114" s="1"/>
      <c r="BH114" t="s">
        <v>5963</v>
      </c>
      <c r="BI114" t="s">
        <v>131</v>
      </c>
      <c r="BJ114"/>
      <c r="BK114"/>
      <c r="BL114" t="s">
        <v>167</v>
      </c>
      <c r="BM114"/>
      <c r="BN114"/>
      <c r="BO114" t="s">
        <v>131</v>
      </c>
      <c r="BP114" t="s">
        <v>134</v>
      </c>
      <c r="BQ114" t="s">
        <v>131</v>
      </c>
      <c r="BR114"/>
      <c r="BS114" t="str">
        <f t="shared" si="9"/>
        <v>N/A</v>
      </c>
      <c r="BT114" t="s">
        <v>131</v>
      </c>
      <c r="BU114"/>
      <c r="BV114" t="str">
        <f>""</f>
        <v/>
      </c>
      <c r="BW114" t="s">
        <v>131</v>
      </c>
      <c r="BX114" t="str">
        <f>""</f>
        <v/>
      </c>
      <c r="BY114" t="str">
        <f>""</f>
        <v/>
      </c>
      <c r="BZ114" t="str">
        <f>""</f>
        <v/>
      </c>
      <c r="CA114" t="str">
        <f>""</f>
        <v/>
      </c>
      <c r="CB114" t="s">
        <v>131</v>
      </c>
      <c r="CC114"/>
      <c r="CD114"/>
      <c r="CE114"/>
      <c r="CF114" t="s">
        <v>131</v>
      </c>
      <c r="CG114"/>
      <c r="CH114" t="str">
        <f>""</f>
        <v/>
      </c>
      <c r="CI114" t="s">
        <v>131</v>
      </c>
      <c r="CJ114"/>
      <c r="CK114" t="s">
        <v>131</v>
      </c>
      <c r="CL114" t="str">
        <f>""</f>
        <v/>
      </c>
      <c r="CM114" t="str">
        <f>""</f>
        <v/>
      </c>
      <c r="CN114" t="str">
        <f>""</f>
        <v/>
      </c>
      <c r="CO114" t="str">
        <f>""</f>
        <v/>
      </c>
      <c r="CP114" t="str">
        <f>"47-2061.00"</f>
        <v>47-2061.00</v>
      </c>
      <c r="CQ114" t="s">
        <v>393</v>
      </c>
      <c r="CR114" t="s">
        <v>134</v>
      </c>
      <c r="CS114" t="s">
        <v>131</v>
      </c>
      <c r="CT114"/>
      <c r="CU114" t="s">
        <v>5964</v>
      </c>
      <c r="CV114"/>
      <c r="CW114" t="s">
        <v>5522</v>
      </c>
      <c r="CX114" t="s">
        <v>594</v>
      </c>
      <c r="CY114"/>
      <c r="CZ114" s="3" t="str">
        <f>"28202"</f>
        <v>28202</v>
      </c>
      <c r="DA114" t="s">
        <v>135</v>
      </c>
      <c r="DB114" t="str">
        <f>"47-2061"</f>
        <v>47-2061</v>
      </c>
      <c r="DC114" t="s">
        <v>393</v>
      </c>
      <c r="DD114" t="s">
        <v>134</v>
      </c>
      <c r="DE114" t="s">
        <v>134</v>
      </c>
      <c r="DF114" t="str">
        <f>""</f>
        <v/>
      </c>
      <c r="DG114"/>
      <c r="DH114" s="6">
        <v>15.28</v>
      </c>
      <c r="DI114" t="s">
        <v>344</v>
      </c>
      <c r="DJ114"/>
      <c r="DK114" t="s">
        <v>345</v>
      </c>
      <c r="DL114"/>
      <c r="DM114"/>
      <c r="DN114"/>
      <c r="DO114"/>
      <c r="DP114"/>
      <c r="DQ114"/>
      <c r="DR114" t="s">
        <v>15578</v>
      </c>
      <c r="DS114" s="6">
        <v>15.28</v>
      </c>
      <c r="DT114" t="s">
        <v>3921</v>
      </c>
      <c r="DU114" s="1">
        <v>44354</v>
      </c>
      <c r="DV114" s="1">
        <v>44443</v>
      </c>
    </row>
    <row r="115" spans="1:126" s="7" customFormat="1" ht="15" customHeight="1" x14ac:dyDescent="0.35">
      <c r="A115" t="s">
        <v>19022</v>
      </c>
      <c r="B115" t="s">
        <v>318</v>
      </c>
      <c r="C115" s="1">
        <v>44321</v>
      </c>
      <c r="D115" s="1">
        <v>44350</v>
      </c>
      <c r="E115" s="1"/>
      <c r="F115" s="1"/>
      <c r="G115" s="1"/>
      <c r="H115" t="s">
        <v>319</v>
      </c>
      <c r="I115" t="s">
        <v>5954</v>
      </c>
      <c r="J115" t="s">
        <v>5955</v>
      </c>
      <c r="K115" t="s">
        <v>5956</v>
      </c>
      <c r="L115" t="s">
        <v>771</v>
      </c>
      <c r="M115" t="s">
        <v>5957</v>
      </c>
      <c r="N115"/>
      <c r="O115" t="s">
        <v>1221</v>
      </c>
      <c r="P115" t="s">
        <v>412</v>
      </c>
      <c r="Q115" s="3">
        <v>78640</v>
      </c>
      <c r="R115" t="s">
        <v>128</v>
      </c>
      <c r="S115"/>
      <c r="T115" s="4">
        <v>15127405256</v>
      </c>
      <c r="U115"/>
      <c r="V115" t="s">
        <v>5958</v>
      </c>
      <c r="W115" t="s">
        <v>19023</v>
      </c>
      <c r="X115"/>
      <c r="Y115" t="s">
        <v>19024</v>
      </c>
      <c r="Z115"/>
      <c r="AA115" t="s">
        <v>19025</v>
      </c>
      <c r="AB115" t="s">
        <v>594</v>
      </c>
      <c r="AC115" s="3" t="str">
        <f>"28578"</f>
        <v>28578</v>
      </c>
      <c r="AD115" t="s">
        <v>128</v>
      </c>
      <c r="AE115"/>
      <c r="AF115" s="4">
        <v>19192994144</v>
      </c>
      <c r="AG115"/>
      <c r="AH115" t="str">
        <f>"2371"</f>
        <v>2371</v>
      </c>
      <c r="AI115" t="s">
        <v>287</v>
      </c>
      <c r="AJ115" t="s">
        <v>5954</v>
      </c>
      <c r="AK115" t="s">
        <v>5955</v>
      </c>
      <c r="AL115" t="s">
        <v>5956</v>
      </c>
      <c r="AM115" t="s">
        <v>5957</v>
      </c>
      <c r="AN115"/>
      <c r="AO115" t="s">
        <v>1221</v>
      </c>
      <c r="AP115" t="s">
        <v>400</v>
      </c>
      <c r="AQ115" s="5">
        <v>78640</v>
      </c>
      <c r="AR115" t="s">
        <v>128</v>
      </c>
      <c r="AS115"/>
      <c r="AT115" s="4">
        <v>15127405256</v>
      </c>
      <c r="AU115"/>
      <c r="AV115" t="s">
        <v>5958</v>
      </c>
      <c r="AW115" t="s">
        <v>5962</v>
      </c>
      <c r="AX115" t="s">
        <v>131</v>
      </c>
      <c r="AY115" t="s">
        <v>131</v>
      </c>
      <c r="AZ115" t="s">
        <v>131</v>
      </c>
      <c r="BA115" t="s">
        <v>131</v>
      </c>
      <c r="BB115" t="s">
        <v>131</v>
      </c>
      <c r="BC115" t="s">
        <v>131</v>
      </c>
      <c r="BD115" t="s">
        <v>131</v>
      </c>
      <c r="BE115" t="s">
        <v>132</v>
      </c>
      <c r="BF115"/>
      <c r="BG115" s="1"/>
      <c r="BH115" t="s">
        <v>5963</v>
      </c>
      <c r="BI115" t="s">
        <v>131</v>
      </c>
      <c r="BJ115"/>
      <c r="BK115"/>
      <c r="BL115" t="s">
        <v>167</v>
      </c>
      <c r="BM115"/>
      <c r="BN115"/>
      <c r="BO115" t="s">
        <v>131</v>
      </c>
      <c r="BP115" t="s">
        <v>134</v>
      </c>
      <c r="BQ115" t="s">
        <v>131</v>
      </c>
      <c r="BR115"/>
      <c r="BS115" t="str">
        <f t="shared" si="9"/>
        <v>N/A</v>
      </c>
      <c r="BT115" t="s">
        <v>131</v>
      </c>
      <c r="BU115"/>
      <c r="BV115" t="str">
        <f>""</f>
        <v/>
      </c>
      <c r="BW115" t="s">
        <v>131</v>
      </c>
      <c r="BX115" t="str">
        <f>""</f>
        <v/>
      </c>
      <c r="BY115" t="str">
        <f>""</f>
        <v/>
      </c>
      <c r="BZ115" t="str">
        <f>""</f>
        <v/>
      </c>
      <c r="CA115" t="str">
        <f>""</f>
        <v/>
      </c>
      <c r="CB115" t="s">
        <v>131</v>
      </c>
      <c r="CC115"/>
      <c r="CD115"/>
      <c r="CE115"/>
      <c r="CF115" t="s">
        <v>131</v>
      </c>
      <c r="CG115"/>
      <c r="CH115" t="str">
        <f>""</f>
        <v/>
      </c>
      <c r="CI115" t="s">
        <v>131</v>
      </c>
      <c r="CJ115"/>
      <c r="CK115" t="s">
        <v>131</v>
      </c>
      <c r="CL115" t="str">
        <f>""</f>
        <v/>
      </c>
      <c r="CM115" t="str">
        <f>""</f>
        <v/>
      </c>
      <c r="CN115" t="str">
        <f>""</f>
        <v/>
      </c>
      <c r="CO115" t="str">
        <f>""</f>
        <v/>
      </c>
      <c r="CP115" t="str">
        <f>"47-2061.00"</f>
        <v>47-2061.00</v>
      </c>
      <c r="CQ115" t="s">
        <v>393</v>
      </c>
      <c r="CR115" t="s">
        <v>134</v>
      </c>
      <c r="CS115" t="s">
        <v>131</v>
      </c>
      <c r="CT115"/>
      <c r="CU115" t="s">
        <v>5964</v>
      </c>
      <c r="CV115"/>
      <c r="CW115" t="s">
        <v>5522</v>
      </c>
      <c r="CX115" t="s">
        <v>594</v>
      </c>
      <c r="CY115"/>
      <c r="CZ115" s="3" t="str">
        <f>"28105"</f>
        <v>28105</v>
      </c>
      <c r="DA115" t="s">
        <v>135</v>
      </c>
      <c r="DB115" t="str">
        <f>"47-2061"</f>
        <v>47-2061</v>
      </c>
      <c r="DC115" t="s">
        <v>393</v>
      </c>
      <c r="DD115" t="s">
        <v>134</v>
      </c>
      <c r="DE115" t="s">
        <v>134</v>
      </c>
      <c r="DF115" t="str">
        <f>""</f>
        <v/>
      </c>
      <c r="DG115"/>
      <c r="DH115" s="6">
        <v>15.28</v>
      </c>
      <c r="DI115" t="s">
        <v>344</v>
      </c>
      <c r="DJ115"/>
      <c r="DK115" t="s">
        <v>345</v>
      </c>
      <c r="DL115"/>
      <c r="DM115"/>
      <c r="DN115"/>
      <c r="DO115"/>
      <c r="DP115"/>
      <c r="DQ115"/>
      <c r="DR115" t="s">
        <v>15578</v>
      </c>
      <c r="DS115" s="6">
        <v>15.28</v>
      </c>
      <c r="DT115" t="s">
        <v>3921</v>
      </c>
      <c r="DU115" s="1">
        <v>44350</v>
      </c>
      <c r="DV115" s="1">
        <v>44439</v>
      </c>
    </row>
    <row r="116" spans="1:126" s="7" customFormat="1" ht="15" customHeight="1" x14ac:dyDescent="0.35">
      <c r="A116" t="s">
        <v>6086</v>
      </c>
      <c r="B116" t="s">
        <v>318</v>
      </c>
      <c r="C116" s="1">
        <v>44321</v>
      </c>
      <c r="D116" s="1">
        <v>44350</v>
      </c>
      <c r="E116" s="1"/>
      <c r="F116" s="1"/>
      <c r="G116" s="1"/>
      <c r="H116" t="s">
        <v>319</v>
      </c>
      <c r="I116" t="s">
        <v>5954</v>
      </c>
      <c r="J116" t="s">
        <v>5955</v>
      </c>
      <c r="K116" t="s">
        <v>5956</v>
      </c>
      <c r="L116" t="s">
        <v>771</v>
      </c>
      <c r="M116" t="s">
        <v>5957</v>
      </c>
      <c r="N116"/>
      <c r="O116" t="s">
        <v>1221</v>
      </c>
      <c r="P116" t="s">
        <v>412</v>
      </c>
      <c r="Q116" s="3">
        <v>78640</v>
      </c>
      <c r="R116" t="s">
        <v>128</v>
      </c>
      <c r="S116"/>
      <c r="T116" s="4">
        <v>15127405256</v>
      </c>
      <c r="U116"/>
      <c r="V116" t="s">
        <v>5958</v>
      </c>
      <c r="W116" t="s">
        <v>6087</v>
      </c>
      <c r="X116"/>
      <c r="Y116" t="s">
        <v>6088</v>
      </c>
      <c r="Z116"/>
      <c r="AA116" t="s">
        <v>6089</v>
      </c>
      <c r="AB116" t="s">
        <v>630</v>
      </c>
      <c r="AC116" s="3" t="str">
        <f>"39701"</f>
        <v>39701</v>
      </c>
      <c r="AD116" t="s">
        <v>128</v>
      </c>
      <c r="AE116"/>
      <c r="AF116" s="4">
        <v>16625743998</v>
      </c>
      <c r="AG116"/>
      <c r="AH116" t="str">
        <f>"11142"</f>
        <v>11142</v>
      </c>
      <c r="AI116" t="s">
        <v>287</v>
      </c>
      <c r="AJ116" t="s">
        <v>5954</v>
      </c>
      <c r="AK116" t="s">
        <v>5955</v>
      </c>
      <c r="AL116" t="s">
        <v>5956</v>
      </c>
      <c r="AM116" t="s">
        <v>5957</v>
      </c>
      <c r="AN116"/>
      <c r="AO116" t="s">
        <v>1221</v>
      </c>
      <c r="AP116" t="s">
        <v>400</v>
      </c>
      <c r="AQ116" s="5">
        <v>78640</v>
      </c>
      <c r="AR116" t="s">
        <v>128</v>
      </c>
      <c r="AS116"/>
      <c r="AT116" s="4">
        <v>15127405256</v>
      </c>
      <c r="AU116"/>
      <c r="AV116" t="s">
        <v>5958</v>
      </c>
      <c r="AW116" t="s">
        <v>5962</v>
      </c>
      <c r="AX116" t="s">
        <v>131</v>
      </c>
      <c r="AY116" t="s">
        <v>131</v>
      </c>
      <c r="AZ116" t="s">
        <v>131</v>
      </c>
      <c r="BA116" t="s">
        <v>131</v>
      </c>
      <c r="BB116" t="s">
        <v>131</v>
      </c>
      <c r="BC116" t="s">
        <v>131</v>
      </c>
      <c r="BD116" t="s">
        <v>131</v>
      </c>
      <c r="BE116" t="s">
        <v>132</v>
      </c>
      <c r="BF116"/>
      <c r="BG116" s="1"/>
      <c r="BH116" t="s">
        <v>6090</v>
      </c>
      <c r="BI116" t="s">
        <v>131</v>
      </c>
      <c r="BJ116"/>
      <c r="BK116"/>
      <c r="BL116" t="s">
        <v>167</v>
      </c>
      <c r="BM116"/>
      <c r="BN116"/>
      <c r="BO116" t="s">
        <v>131</v>
      </c>
      <c r="BP116" t="s">
        <v>134</v>
      </c>
      <c r="BQ116" t="s">
        <v>131</v>
      </c>
      <c r="BR116"/>
      <c r="BS116" t="str">
        <f t="shared" si="9"/>
        <v>N/A</v>
      </c>
      <c r="BT116" t="s">
        <v>135</v>
      </c>
      <c r="BU116">
        <v>12</v>
      </c>
      <c r="BV116" t="str">
        <f>"TREE PRUNER"</f>
        <v>TREE PRUNER</v>
      </c>
      <c r="BW116" t="s">
        <v>131</v>
      </c>
      <c r="BX116" t="str">
        <f>""</f>
        <v/>
      </c>
      <c r="BY116" t="str">
        <f>""</f>
        <v/>
      </c>
      <c r="BZ116" t="str">
        <f>""</f>
        <v/>
      </c>
      <c r="CA116" t="str">
        <f>""</f>
        <v/>
      </c>
      <c r="CB116" t="s">
        <v>131</v>
      </c>
      <c r="CC116"/>
      <c r="CD116"/>
      <c r="CE116"/>
      <c r="CF116" t="s">
        <v>131</v>
      </c>
      <c r="CG116"/>
      <c r="CH116" t="str">
        <f>""</f>
        <v/>
      </c>
      <c r="CI116" t="s">
        <v>131</v>
      </c>
      <c r="CJ116"/>
      <c r="CK116" t="s">
        <v>131</v>
      </c>
      <c r="CL116" t="str">
        <f>""</f>
        <v/>
      </c>
      <c r="CM116" t="str">
        <f>""</f>
        <v/>
      </c>
      <c r="CN116" t="str">
        <f>""</f>
        <v/>
      </c>
      <c r="CO116" t="str">
        <f>""</f>
        <v/>
      </c>
      <c r="CP116" t="str">
        <f>"37-3013.00"</f>
        <v>37-3013.00</v>
      </c>
      <c r="CQ116" t="s">
        <v>4299</v>
      </c>
      <c r="CR116" t="s">
        <v>134</v>
      </c>
      <c r="CS116" t="s">
        <v>131</v>
      </c>
      <c r="CT116"/>
      <c r="CU116" t="s">
        <v>6088</v>
      </c>
      <c r="CV116"/>
      <c r="CW116" t="s">
        <v>6089</v>
      </c>
      <c r="CX116" t="s">
        <v>630</v>
      </c>
      <c r="CY116"/>
      <c r="CZ116" s="3" t="str">
        <f>"39701"</f>
        <v>39701</v>
      </c>
      <c r="DA116" t="s">
        <v>135</v>
      </c>
      <c r="DB116" t="str">
        <f>"37-3013"</f>
        <v>37-3013</v>
      </c>
      <c r="DC116" t="s">
        <v>4299</v>
      </c>
      <c r="DD116" t="s">
        <v>134</v>
      </c>
      <c r="DE116" t="s">
        <v>134</v>
      </c>
      <c r="DF116" t="str">
        <f>""</f>
        <v/>
      </c>
      <c r="DG116"/>
      <c r="DH116" s="6">
        <v>23.99</v>
      </c>
      <c r="DI116" t="s">
        <v>344</v>
      </c>
      <c r="DJ116"/>
      <c r="DK116" t="s">
        <v>345</v>
      </c>
      <c r="DL116"/>
      <c r="DM116"/>
      <c r="DN116"/>
      <c r="DO116"/>
      <c r="DP116"/>
      <c r="DQ116"/>
      <c r="DR116" t="s">
        <v>6091</v>
      </c>
      <c r="DS116" s="6">
        <v>23.99</v>
      </c>
      <c r="DT116" s="2" t="s">
        <v>2219</v>
      </c>
      <c r="DU116" s="1">
        <v>44350</v>
      </c>
      <c r="DV116" s="1">
        <v>44439</v>
      </c>
    </row>
    <row r="117" spans="1:126" s="7" customFormat="1" ht="15" customHeight="1" x14ac:dyDescent="0.35">
      <c r="A117" t="s">
        <v>19331</v>
      </c>
      <c r="B117" t="s">
        <v>318</v>
      </c>
      <c r="C117" s="1">
        <v>44321</v>
      </c>
      <c r="D117" s="1">
        <v>44350</v>
      </c>
      <c r="E117" s="1"/>
      <c r="F117" s="1"/>
      <c r="G117" s="1"/>
      <c r="H117" t="s">
        <v>319</v>
      </c>
      <c r="I117" t="s">
        <v>10760</v>
      </c>
      <c r="J117" t="s">
        <v>19332</v>
      </c>
      <c r="K117"/>
      <c r="L117" t="s">
        <v>1105</v>
      </c>
      <c r="M117" t="s">
        <v>19333</v>
      </c>
      <c r="N117"/>
      <c r="O117" t="s">
        <v>14048</v>
      </c>
      <c r="P117" t="s">
        <v>811</v>
      </c>
      <c r="Q117" s="3">
        <v>29918</v>
      </c>
      <c r="R117" t="s">
        <v>128</v>
      </c>
      <c r="S117"/>
      <c r="T117" s="4">
        <v>18038427386</v>
      </c>
      <c r="U117"/>
      <c r="V117" t="s">
        <v>134</v>
      </c>
      <c r="W117" t="s">
        <v>19334</v>
      </c>
      <c r="X117"/>
      <c r="Y117" t="s">
        <v>19333</v>
      </c>
      <c r="Z117"/>
      <c r="AA117" t="s">
        <v>14048</v>
      </c>
      <c r="AB117" t="s">
        <v>812</v>
      </c>
      <c r="AC117" s="3" t="str">
        <f>"29918"</f>
        <v>29918</v>
      </c>
      <c r="AD117" t="s">
        <v>128</v>
      </c>
      <c r="AE117"/>
      <c r="AF117" s="4">
        <v>18038427386</v>
      </c>
      <c r="AG117"/>
      <c r="AH117" t="str">
        <f>"56173"</f>
        <v>56173</v>
      </c>
      <c r="AI117" t="s">
        <v>287</v>
      </c>
      <c r="AJ117" t="s">
        <v>9944</v>
      </c>
      <c r="AK117" t="s">
        <v>9945</v>
      </c>
      <c r="AL117" t="s">
        <v>355</v>
      </c>
      <c r="AM117" t="s">
        <v>2048</v>
      </c>
      <c r="AN117" t="s">
        <v>9946</v>
      </c>
      <c r="AO117" t="s">
        <v>9947</v>
      </c>
      <c r="AP117" t="s">
        <v>1243</v>
      </c>
      <c r="AQ117" s="5">
        <v>83814</v>
      </c>
      <c r="AR117" t="s">
        <v>128</v>
      </c>
      <c r="AS117"/>
      <c r="AT117" s="4">
        <v>12087772654</v>
      </c>
      <c r="AU117"/>
      <c r="AV117" t="s">
        <v>9942</v>
      </c>
      <c r="AW117" t="s">
        <v>4715</v>
      </c>
      <c r="AX117" t="s">
        <v>131</v>
      </c>
      <c r="AY117" t="s">
        <v>131</v>
      </c>
      <c r="AZ117" t="s">
        <v>131</v>
      </c>
      <c r="BA117" t="s">
        <v>131</v>
      </c>
      <c r="BB117" t="s">
        <v>131</v>
      </c>
      <c r="BC117" t="s">
        <v>131</v>
      </c>
      <c r="BD117" t="s">
        <v>131</v>
      </c>
      <c r="BE117" t="s">
        <v>132</v>
      </c>
      <c r="BF117"/>
      <c r="BG117" s="1"/>
      <c r="BH117" t="s">
        <v>2095</v>
      </c>
      <c r="BI117" t="s">
        <v>131</v>
      </c>
      <c r="BJ117"/>
      <c r="BK117"/>
      <c r="BL117" t="s">
        <v>167</v>
      </c>
      <c r="BM117"/>
      <c r="BN117"/>
      <c r="BO117" t="s">
        <v>131</v>
      </c>
      <c r="BP117" t="s">
        <v>134</v>
      </c>
      <c r="BQ117" t="s">
        <v>131</v>
      </c>
      <c r="BR117"/>
      <c r="BS117" t="str">
        <f t="shared" si="9"/>
        <v>N/A</v>
      </c>
      <c r="BT117" t="s">
        <v>131</v>
      </c>
      <c r="BU117"/>
      <c r="BV117" t="str">
        <f>""</f>
        <v/>
      </c>
      <c r="BW117" t="s">
        <v>135</v>
      </c>
      <c r="BX117" t="str">
        <f>""</f>
        <v/>
      </c>
      <c r="BY117" t="str">
        <f>""</f>
        <v/>
      </c>
      <c r="BZ117" t="str">
        <f>""</f>
        <v/>
      </c>
      <c r="CA117" t="s">
        <v>19335</v>
      </c>
      <c r="CB117" t="s">
        <v>131</v>
      </c>
      <c r="CC117"/>
      <c r="CD117"/>
      <c r="CE117"/>
      <c r="CF117" t="s">
        <v>131</v>
      </c>
      <c r="CG117"/>
      <c r="CH117" t="str">
        <f>""</f>
        <v/>
      </c>
      <c r="CI117" t="s">
        <v>131</v>
      </c>
      <c r="CJ117"/>
      <c r="CK117" t="s">
        <v>131</v>
      </c>
      <c r="CL117" t="str">
        <f>""</f>
        <v/>
      </c>
      <c r="CM117" t="str">
        <f>""</f>
        <v/>
      </c>
      <c r="CN117" t="str">
        <f>""</f>
        <v/>
      </c>
      <c r="CO117" t="str">
        <f>""</f>
        <v/>
      </c>
      <c r="CP117" t="str">
        <f>"37-3011.00"</f>
        <v>37-3011.00</v>
      </c>
      <c r="CQ117" t="s">
        <v>920</v>
      </c>
      <c r="CR117" t="s">
        <v>2095</v>
      </c>
      <c r="CS117" t="s">
        <v>135</v>
      </c>
      <c r="CT117" s="2" t="s">
        <v>19336</v>
      </c>
      <c r="CU117" t="s">
        <v>19337</v>
      </c>
      <c r="CV117"/>
      <c r="CW117" t="s">
        <v>14048</v>
      </c>
      <c r="CX117" t="s">
        <v>812</v>
      </c>
      <c r="CY117"/>
      <c r="CZ117" s="3" t="str">
        <f>"22918"</f>
        <v>22918</v>
      </c>
      <c r="DA117" t="s">
        <v>135</v>
      </c>
      <c r="DB117" t="str">
        <f>"37-3011"</f>
        <v>37-3011</v>
      </c>
      <c r="DC117" t="s">
        <v>920</v>
      </c>
      <c r="DD117" t="s">
        <v>134</v>
      </c>
      <c r="DE117" t="s">
        <v>134</v>
      </c>
      <c r="DF117" t="str">
        <f>""</f>
        <v/>
      </c>
      <c r="DG117"/>
      <c r="DH117" s="6">
        <v>12.6</v>
      </c>
      <c r="DI117" t="s">
        <v>344</v>
      </c>
      <c r="DJ117"/>
      <c r="DK117" t="s">
        <v>345</v>
      </c>
      <c r="DL117"/>
      <c r="DM117"/>
      <c r="DN117"/>
      <c r="DO117"/>
      <c r="DP117"/>
      <c r="DQ117"/>
      <c r="DR117" t="s">
        <v>19338</v>
      </c>
      <c r="DS117" s="6">
        <v>17.48</v>
      </c>
      <c r="DT117" s="2" t="s">
        <v>19339</v>
      </c>
      <c r="DU117" s="1">
        <v>44350</v>
      </c>
      <c r="DV117" s="1">
        <v>44439</v>
      </c>
    </row>
    <row r="118" spans="1:126" s="7" customFormat="1" ht="15" customHeight="1" x14ac:dyDescent="0.35">
      <c r="A118" t="s">
        <v>11013</v>
      </c>
      <c r="B118" t="s">
        <v>318</v>
      </c>
      <c r="C118" s="1">
        <v>44321</v>
      </c>
      <c r="D118" s="1">
        <v>44350</v>
      </c>
      <c r="E118" s="1"/>
      <c r="F118" s="1"/>
      <c r="G118" s="1"/>
      <c r="H118" t="s">
        <v>319</v>
      </c>
      <c r="I118" t="s">
        <v>11014</v>
      </c>
      <c r="J118" t="s">
        <v>11015</v>
      </c>
      <c r="K118"/>
      <c r="L118" t="s">
        <v>9003</v>
      </c>
      <c r="M118" t="s">
        <v>11016</v>
      </c>
      <c r="N118"/>
      <c r="O118" t="s">
        <v>11017</v>
      </c>
      <c r="P118" t="s">
        <v>1760</v>
      </c>
      <c r="Q118" s="3">
        <v>71457</v>
      </c>
      <c r="R118" t="s">
        <v>128</v>
      </c>
      <c r="S118"/>
      <c r="T118" s="4">
        <v>13187301607</v>
      </c>
      <c r="U118"/>
      <c r="V118" t="s">
        <v>11018</v>
      </c>
      <c r="W118" t="s">
        <v>11019</v>
      </c>
      <c r="X118"/>
      <c r="Y118" t="s">
        <v>11020</v>
      </c>
      <c r="Z118" t="s">
        <v>11021</v>
      </c>
      <c r="AA118" t="s">
        <v>11017</v>
      </c>
      <c r="AB118" t="s">
        <v>1763</v>
      </c>
      <c r="AC118" s="3" t="str">
        <f>"71457"</f>
        <v>71457</v>
      </c>
      <c r="AD118" t="s">
        <v>128</v>
      </c>
      <c r="AE118"/>
      <c r="AF118" s="4">
        <v>13187301607</v>
      </c>
      <c r="AG118"/>
      <c r="AH118" t="str">
        <f>"72251"</f>
        <v>72251</v>
      </c>
      <c r="AI118" t="s">
        <v>287</v>
      </c>
      <c r="AJ118" t="s">
        <v>2304</v>
      </c>
      <c r="AK118" t="s">
        <v>5773</v>
      </c>
      <c r="AL118" t="s">
        <v>589</v>
      </c>
      <c r="AM118" t="s">
        <v>5774</v>
      </c>
      <c r="AN118" t="s">
        <v>5775</v>
      </c>
      <c r="AO118" t="s">
        <v>5776</v>
      </c>
      <c r="AP118" t="s">
        <v>1763</v>
      </c>
      <c r="AQ118" s="5">
        <v>70754</v>
      </c>
      <c r="AR118" t="s">
        <v>128</v>
      </c>
      <c r="AS118" t="s">
        <v>1763</v>
      </c>
      <c r="AT118" s="4">
        <v>12256863033</v>
      </c>
      <c r="AU118"/>
      <c r="AV118" t="s">
        <v>5777</v>
      </c>
      <c r="AW118" t="s">
        <v>5778</v>
      </c>
      <c r="AX118" t="s">
        <v>131</v>
      </c>
      <c r="AY118" t="s">
        <v>131</v>
      </c>
      <c r="AZ118" t="s">
        <v>131</v>
      </c>
      <c r="BA118" t="s">
        <v>131</v>
      </c>
      <c r="BB118" t="s">
        <v>131</v>
      </c>
      <c r="BC118" t="s">
        <v>131</v>
      </c>
      <c r="BD118" t="s">
        <v>131</v>
      </c>
      <c r="BE118" t="s">
        <v>132</v>
      </c>
      <c r="BF118"/>
      <c r="BG118" s="1"/>
      <c r="BH118" t="s">
        <v>11022</v>
      </c>
      <c r="BI118" t="s">
        <v>131</v>
      </c>
      <c r="BJ118"/>
      <c r="BK118"/>
      <c r="BL118" t="s">
        <v>167</v>
      </c>
      <c r="BM118"/>
      <c r="BN118"/>
      <c r="BO118" t="s">
        <v>131</v>
      </c>
      <c r="BP118" t="s">
        <v>134</v>
      </c>
      <c r="BQ118" t="s">
        <v>131</v>
      </c>
      <c r="BR118"/>
      <c r="BS118" t="str">
        <f t="shared" si="9"/>
        <v>N/A</v>
      </c>
      <c r="BT118" t="s">
        <v>135</v>
      </c>
      <c r="BU118">
        <v>3</v>
      </c>
      <c r="BV118" t="str">
        <f>"RESTAURANT COOKING EXPERIENCE"</f>
        <v>RESTAURANT COOKING EXPERIENCE</v>
      </c>
      <c r="BW118" t="s">
        <v>135</v>
      </c>
      <c r="BX118" t="str">
        <f>""</f>
        <v/>
      </c>
      <c r="BY118" t="str">
        <f>""</f>
        <v/>
      </c>
      <c r="BZ118" t="str">
        <f>""</f>
        <v/>
      </c>
      <c r="CA118" s="2" t="s">
        <v>11023</v>
      </c>
      <c r="CB118" t="s">
        <v>131</v>
      </c>
      <c r="CC118"/>
      <c r="CD118"/>
      <c r="CE118"/>
      <c r="CF118" t="s">
        <v>131</v>
      </c>
      <c r="CG118"/>
      <c r="CH118" t="str">
        <f>""</f>
        <v/>
      </c>
      <c r="CI118" t="s">
        <v>131</v>
      </c>
      <c r="CJ118"/>
      <c r="CK118" t="s">
        <v>131</v>
      </c>
      <c r="CL118" t="str">
        <f>""</f>
        <v/>
      </c>
      <c r="CM118" t="str">
        <f>""</f>
        <v/>
      </c>
      <c r="CN118" t="str">
        <f>""</f>
        <v/>
      </c>
      <c r="CO118" t="str">
        <f>""</f>
        <v/>
      </c>
      <c r="CP118" t="str">
        <f>"35-2014.00"</f>
        <v>35-2014.00</v>
      </c>
      <c r="CQ118" t="s">
        <v>581</v>
      </c>
      <c r="CR118"/>
      <c r="CS118" t="s">
        <v>131</v>
      </c>
      <c r="CT118"/>
      <c r="CU118" t="s">
        <v>11024</v>
      </c>
      <c r="CV118"/>
      <c r="CW118" t="s">
        <v>11025</v>
      </c>
      <c r="CX118" t="s">
        <v>1763</v>
      </c>
      <c r="CY118"/>
      <c r="CZ118" s="3" t="str">
        <f>"71457"</f>
        <v>71457</v>
      </c>
      <c r="DA118" t="s">
        <v>131</v>
      </c>
      <c r="DB118" t="str">
        <f>"35-2014"</f>
        <v>35-2014</v>
      </c>
      <c r="DC118" t="s">
        <v>581</v>
      </c>
      <c r="DD118" t="s">
        <v>134</v>
      </c>
      <c r="DE118" t="s">
        <v>134</v>
      </c>
      <c r="DF118" t="str">
        <f>""</f>
        <v/>
      </c>
      <c r="DG118"/>
      <c r="DH118" s="6">
        <v>10.15</v>
      </c>
      <c r="DI118" t="s">
        <v>344</v>
      </c>
      <c r="DJ118"/>
      <c r="DK118" t="s">
        <v>345</v>
      </c>
      <c r="DL118"/>
      <c r="DM118"/>
      <c r="DN118"/>
      <c r="DO118"/>
      <c r="DP118"/>
      <c r="DQ118"/>
      <c r="DR118" t="s">
        <v>11026</v>
      </c>
      <c r="DS118" s="6">
        <v>10.15</v>
      </c>
      <c r="DT118" t="s">
        <v>3921</v>
      </c>
      <c r="DU118" s="1">
        <v>44350</v>
      </c>
      <c r="DV118" s="1">
        <v>44439</v>
      </c>
    </row>
    <row r="119" spans="1:126" s="7" customFormat="1" ht="15" customHeight="1" x14ac:dyDescent="0.35">
      <c r="A119" t="s">
        <v>15575</v>
      </c>
      <c r="B119" t="s">
        <v>318</v>
      </c>
      <c r="C119" s="1">
        <v>44321</v>
      </c>
      <c r="D119" s="1">
        <v>44354</v>
      </c>
      <c r="E119" s="1"/>
      <c r="F119" s="1"/>
      <c r="G119" s="1"/>
      <c r="H119" t="s">
        <v>319</v>
      </c>
      <c r="I119" t="s">
        <v>5954</v>
      </c>
      <c r="J119" t="s">
        <v>5955</v>
      </c>
      <c r="K119" t="s">
        <v>5956</v>
      </c>
      <c r="L119" t="s">
        <v>771</v>
      </c>
      <c r="M119" t="s">
        <v>5957</v>
      </c>
      <c r="N119"/>
      <c r="O119" t="s">
        <v>1221</v>
      </c>
      <c r="P119" t="s">
        <v>412</v>
      </c>
      <c r="Q119" s="3">
        <v>78640</v>
      </c>
      <c r="R119" t="s">
        <v>128</v>
      </c>
      <c r="S119"/>
      <c r="T119" s="4">
        <v>15127405256</v>
      </c>
      <c r="U119"/>
      <c r="V119" t="s">
        <v>5958</v>
      </c>
      <c r="W119" t="s">
        <v>15576</v>
      </c>
      <c r="X119"/>
      <c r="Y119" t="s">
        <v>15577</v>
      </c>
      <c r="Z119"/>
      <c r="AA119" t="s">
        <v>5961</v>
      </c>
      <c r="AB119" t="s">
        <v>594</v>
      </c>
      <c r="AC119" s="3" t="str">
        <f>"27520"</f>
        <v>27520</v>
      </c>
      <c r="AD119" t="s">
        <v>128</v>
      </c>
      <c r="AE119"/>
      <c r="AF119" s="4">
        <v>19199019549</v>
      </c>
      <c r="AG119"/>
      <c r="AH119" t="str">
        <f>"2371"</f>
        <v>2371</v>
      </c>
      <c r="AI119" t="s">
        <v>287</v>
      </c>
      <c r="AJ119" t="s">
        <v>5954</v>
      </c>
      <c r="AK119" t="s">
        <v>5955</v>
      </c>
      <c r="AL119" t="s">
        <v>5956</v>
      </c>
      <c r="AM119" t="s">
        <v>5957</v>
      </c>
      <c r="AN119"/>
      <c r="AO119" t="s">
        <v>1221</v>
      </c>
      <c r="AP119" t="s">
        <v>400</v>
      </c>
      <c r="AQ119" s="5">
        <v>78640</v>
      </c>
      <c r="AR119" t="s">
        <v>128</v>
      </c>
      <c r="AS119"/>
      <c r="AT119" s="4">
        <v>15127405256</v>
      </c>
      <c r="AU119"/>
      <c r="AV119" t="s">
        <v>5958</v>
      </c>
      <c r="AW119" t="s">
        <v>5962</v>
      </c>
      <c r="AX119" t="s">
        <v>131</v>
      </c>
      <c r="AY119" t="s">
        <v>131</v>
      </c>
      <c r="AZ119" t="s">
        <v>131</v>
      </c>
      <c r="BA119" t="s">
        <v>131</v>
      </c>
      <c r="BB119" t="s">
        <v>131</v>
      </c>
      <c r="BC119" t="s">
        <v>131</v>
      </c>
      <c r="BD119" t="s">
        <v>131</v>
      </c>
      <c r="BE119" t="s">
        <v>132</v>
      </c>
      <c r="BF119"/>
      <c r="BG119" s="1"/>
      <c r="BH119" t="s">
        <v>5963</v>
      </c>
      <c r="BI119" t="s">
        <v>131</v>
      </c>
      <c r="BJ119"/>
      <c r="BK119"/>
      <c r="BL119" t="s">
        <v>167</v>
      </c>
      <c r="BM119"/>
      <c r="BN119"/>
      <c r="BO119" t="s">
        <v>131</v>
      </c>
      <c r="BP119" t="s">
        <v>134</v>
      </c>
      <c r="BQ119" t="s">
        <v>131</v>
      </c>
      <c r="BR119"/>
      <c r="BS119" t="str">
        <f t="shared" si="9"/>
        <v>N/A</v>
      </c>
      <c r="BT119" t="s">
        <v>131</v>
      </c>
      <c r="BU119"/>
      <c r="BV119" t="str">
        <f>""</f>
        <v/>
      </c>
      <c r="BW119" t="s">
        <v>131</v>
      </c>
      <c r="BX119" t="str">
        <f>""</f>
        <v/>
      </c>
      <c r="BY119" t="str">
        <f>""</f>
        <v/>
      </c>
      <c r="BZ119" t="str">
        <f>""</f>
        <v/>
      </c>
      <c r="CA119" t="str">
        <f>""</f>
        <v/>
      </c>
      <c r="CB119" t="s">
        <v>131</v>
      </c>
      <c r="CC119"/>
      <c r="CD119"/>
      <c r="CE119"/>
      <c r="CF119" t="s">
        <v>131</v>
      </c>
      <c r="CG119"/>
      <c r="CH119" t="str">
        <f>""</f>
        <v/>
      </c>
      <c r="CI119" t="s">
        <v>131</v>
      </c>
      <c r="CJ119"/>
      <c r="CK119" t="s">
        <v>131</v>
      </c>
      <c r="CL119" t="str">
        <f>""</f>
        <v/>
      </c>
      <c r="CM119" t="str">
        <f>""</f>
        <v/>
      </c>
      <c r="CN119" t="str">
        <f>""</f>
        <v/>
      </c>
      <c r="CO119" t="str">
        <f>""</f>
        <v/>
      </c>
      <c r="CP119" t="str">
        <f>"47-2061.00"</f>
        <v>47-2061.00</v>
      </c>
      <c r="CQ119" t="s">
        <v>393</v>
      </c>
      <c r="CR119" t="s">
        <v>134</v>
      </c>
      <c r="CS119" t="s">
        <v>131</v>
      </c>
      <c r="CT119"/>
      <c r="CU119" t="s">
        <v>5964</v>
      </c>
      <c r="CV119"/>
      <c r="CW119" t="s">
        <v>5522</v>
      </c>
      <c r="CX119" t="s">
        <v>594</v>
      </c>
      <c r="CY119"/>
      <c r="CZ119" s="3" t="str">
        <f>"28105"</f>
        <v>28105</v>
      </c>
      <c r="DA119" t="s">
        <v>135</v>
      </c>
      <c r="DB119" t="str">
        <f>"47-2061"</f>
        <v>47-2061</v>
      </c>
      <c r="DC119" t="s">
        <v>393</v>
      </c>
      <c r="DD119" t="s">
        <v>134</v>
      </c>
      <c r="DE119" t="s">
        <v>134</v>
      </c>
      <c r="DF119" t="str">
        <f>""</f>
        <v/>
      </c>
      <c r="DG119"/>
      <c r="DH119" s="6">
        <v>15.28</v>
      </c>
      <c r="DI119" t="s">
        <v>344</v>
      </c>
      <c r="DJ119"/>
      <c r="DK119" t="s">
        <v>345</v>
      </c>
      <c r="DL119"/>
      <c r="DM119"/>
      <c r="DN119"/>
      <c r="DO119"/>
      <c r="DP119"/>
      <c r="DQ119"/>
      <c r="DR119" t="s">
        <v>15578</v>
      </c>
      <c r="DS119" s="6">
        <v>15.28</v>
      </c>
      <c r="DT119" s="2" t="s">
        <v>2219</v>
      </c>
      <c r="DU119" s="1">
        <v>44354</v>
      </c>
      <c r="DV119" s="1">
        <v>44443</v>
      </c>
    </row>
    <row r="120" spans="1:126" s="7" customFormat="1" ht="15" customHeight="1" x14ac:dyDescent="0.35">
      <c r="A120" t="s">
        <v>11746</v>
      </c>
      <c r="B120" t="s">
        <v>318</v>
      </c>
      <c r="C120" s="1">
        <v>44321</v>
      </c>
      <c r="D120" s="1">
        <v>44354</v>
      </c>
      <c r="E120" s="1"/>
      <c r="F120" s="1"/>
      <c r="G120" s="1"/>
      <c r="H120" t="s">
        <v>319</v>
      </c>
      <c r="I120" t="s">
        <v>5954</v>
      </c>
      <c r="J120" t="s">
        <v>5955</v>
      </c>
      <c r="K120" t="s">
        <v>5956</v>
      </c>
      <c r="L120" t="s">
        <v>771</v>
      </c>
      <c r="M120" t="s">
        <v>5957</v>
      </c>
      <c r="N120"/>
      <c r="O120" t="s">
        <v>1221</v>
      </c>
      <c r="P120" t="s">
        <v>412</v>
      </c>
      <c r="Q120" s="3">
        <v>78640</v>
      </c>
      <c r="R120" t="s">
        <v>128</v>
      </c>
      <c r="S120"/>
      <c r="T120" s="4">
        <v>15127405256</v>
      </c>
      <c r="U120"/>
      <c r="V120" t="s">
        <v>5958</v>
      </c>
      <c r="W120" t="s">
        <v>11747</v>
      </c>
      <c r="X120"/>
      <c r="Y120" t="s">
        <v>11748</v>
      </c>
      <c r="Z120"/>
      <c r="AA120" t="s">
        <v>10040</v>
      </c>
      <c r="AB120" t="s">
        <v>1218</v>
      </c>
      <c r="AC120" s="3" t="str">
        <f>"36117"</f>
        <v>36117</v>
      </c>
      <c r="AD120" t="s">
        <v>128</v>
      </c>
      <c r="AE120"/>
      <c r="AF120" s="4">
        <v>13342773770</v>
      </c>
      <c r="AG120"/>
      <c r="AH120" t="str">
        <f>"23831"</f>
        <v>23831</v>
      </c>
      <c r="AI120" t="s">
        <v>287</v>
      </c>
      <c r="AJ120" t="s">
        <v>5954</v>
      </c>
      <c r="AK120" t="s">
        <v>5955</v>
      </c>
      <c r="AL120" t="s">
        <v>5956</v>
      </c>
      <c r="AM120" t="s">
        <v>5957</v>
      </c>
      <c r="AN120"/>
      <c r="AO120" t="s">
        <v>1221</v>
      </c>
      <c r="AP120" t="s">
        <v>400</v>
      </c>
      <c r="AQ120" s="5">
        <v>78640</v>
      </c>
      <c r="AR120" t="s">
        <v>128</v>
      </c>
      <c r="AS120"/>
      <c r="AT120" s="4">
        <v>15127405256</v>
      </c>
      <c r="AU120"/>
      <c r="AV120" t="s">
        <v>5958</v>
      </c>
      <c r="AW120" t="s">
        <v>5962</v>
      </c>
      <c r="AX120" t="s">
        <v>131</v>
      </c>
      <c r="AY120" t="s">
        <v>131</v>
      </c>
      <c r="AZ120" t="s">
        <v>131</v>
      </c>
      <c r="BA120" t="s">
        <v>131</v>
      </c>
      <c r="BB120" t="s">
        <v>131</v>
      </c>
      <c r="BC120" t="s">
        <v>131</v>
      </c>
      <c r="BD120" t="s">
        <v>131</v>
      </c>
      <c r="BE120" t="s">
        <v>132</v>
      </c>
      <c r="BF120"/>
      <c r="BG120" s="1"/>
      <c r="BH120" t="s">
        <v>11749</v>
      </c>
      <c r="BI120" t="s">
        <v>131</v>
      </c>
      <c r="BJ120"/>
      <c r="BK120"/>
      <c r="BL120" t="s">
        <v>167</v>
      </c>
      <c r="BM120"/>
      <c r="BN120"/>
      <c r="BO120" t="s">
        <v>131</v>
      </c>
      <c r="BP120" t="s">
        <v>134</v>
      </c>
      <c r="BQ120" t="s">
        <v>131</v>
      </c>
      <c r="BR120"/>
      <c r="BS120" t="str">
        <f t="shared" si="9"/>
        <v>N/A</v>
      </c>
      <c r="BT120" t="s">
        <v>131</v>
      </c>
      <c r="BU120"/>
      <c r="BV120" t="str">
        <f>""</f>
        <v/>
      </c>
      <c r="BW120" t="s">
        <v>131</v>
      </c>
      <c r="BX120" t="str">
        <f>""</f>
        <v/>
      </c>
      <c r="BY120" t="str">
        <f>""</f>
        <v/>
      </c>
      <c r="BZ120" t="str">
        <f>""</f>
        <v/>
      </c>
      <c r="CA120" t="str">
        <f>""</f>
        <v/>
      </c>
      <c r="CB120" t="s">
        <v>131</v>
      </c>
      <c r="CC120"/>
      <c r="CD120"/>
      <c r="CE120"/>
      <c r="CF120" t="s">
        <v>131</v>
      </c>
      <c r="CG120"/>
      <c r="CH120" t="str">
        <f>""</f>
        <v/>
      </c>
      <c r="CI120" t="s">
        <v>131</v>
      </c>
      <c r="CJ120"/>
      <c r="CK120" t="s">
        <v>131</v>
      </c>
      <c r="CL120" t="str">
        <f>""</f>
        <v/>
      </c>
      <c r="CM120" t="str">
        <f>""</f>
        <v/>
      </c>
      <c r="CN120" t="str">
        <f>""</f>
        <v/>
      </c>
      <c r="CO120" t="str">
        <f>""</f>
        <v/>
      </c>
      <c r="CP120" t="str">
        <f>"47-2081.00"</f>
        <v>47-2081.00</v>
      </c>
      <c r="CQ120" t="s">
        <v>5191</v>
      </c>
      <c r="CR120" t="s">
        <v>134</v>
      </c>
      <c r="CS120" t="s">
        <v>131</v>
      </c>
      <c r="CT120"/>
      <c r="CU120" t="s">
        <v>11748</v>
      </c>
      <c r="CV120"/>
      <c r="CW120" t="s">
        <v>10040</v>
      </c>
      <c r="CX120" t="s">
        <v>1218</v>
      </c>
      <c r="CY120"/>
      <c r="CZ120" s="3" t="str">
        <f>"36117"</f>
        <v>36117</v>
      </c>
      <c r="DA120" t="s">
        <v>135</v>
      </c>
      <c r="DB120" t="str">
        <f>"47-2081"</f>
        <v>47-2081</v>
      </c>
      <c r="DC120" t="s">
        <v>5191</v>
      </c>
      <c r="DD120" t="s">
        <v>134</v>
      </c>
      <c r="DE120" t="s">
        <v>134</v>
      </c>
      <c r="DF120" t="str">
        <f>""</f>
        <v/>
      </c>
      <c r="DG120"/>
      <c r="DH120" s="6">
        <v>16.86</v>
      </c>
      <c r="DI120" t="s">
        <v>344</v>
      </c>
      <c r="DJ120"/>
      <c r="DK120" t="s">
        <v>345</v>
      </c>
      <c r="DL120"/>
      <c r="DM120"/>
      <c r="DN120"/>
      <c r="DO120"/>
      <c r="DP120"/>
      <c r="DQ120"/>
      <c r="DR120" t="s">
        <v>11750</v>
      </c>
      <c r="DS120" s="6">
        <v>17.03</v>
      </c>
      <c r="DT120" s="2" t="s">
        <v>2219</v>
      </c>
      <c r="DU120" s="1">
        <v>44354</v>
      </c>
      <c r="DV120" s="1">
        <v>44443</v>
      </c>
    </row>
    <row r="121" spans="1:126" s="7" customFormat="1" ht="15" customHeight="1" x14ac:dyDescent="0.35">
      <c r="A121" t="s">
        <v>9217</v>
      </c>
      <c r="B121" t="s">
        <v>318</v>
      </c>
      <c r="C121" s="1">
        <v>44321</v>
      </c>
      <c r="D121" s="1">
        <v>44350</v>
      </c>
      <c r="E121" s="1"/>
      <c r="F121" s="1"/>
      <c r="G121" s="1"/>
      <c r="H121" t="s">
        <v>319</v>
      </c>
      <c r="I121" t="s">
        <v>9218</v>
      </c>
      <c r="J121" t="s">
        <v>1071</v>
      </c>
      <c r="K121"/>
      <c r="L121" t="s">
        <v>395</v>
      </c>
      <c r="M121" t="s">
        <v>9219</v>
      </c>
      <c r="N121"/>
      <c r="O121" t="s">
        <v>9220</v>
      </c>
      <c r="P121" t="s">
        <v>256</v>
      </c>
      <c r="Q121" s="3">
        <v>65109</v>
      </c>
      <c r="R121" t="s">
        <v>128</v>
      </c>
      <c r="S121"/>
      <c r="T121" s="4">
        <v>15738932896</v>
      </c>
      <c r="U121"/>
      <c r="V121" t="s">
        <v>1253</v>
      </c>
      <c r="W121" t="s">
        <v>9221</v>
      </c>
      <c r="X121"/>
      <c r="Y121" t="s">
        <v>9219</v>
      </c>
      <c r="Z121"/>
      <c r="AA121" t="s">
        <v>9220</v>
      </c>
      <c r="AB121" t="s">
        <v>258</v>
      </c>
      <c r="AC121" s="3" t="str">
        <f>"65109"</f>
        <v>65109</v>
      </c>
      <c r="AD121" t="s">
        <v>128</v>
      </c>
      <c r="AE121"/>
      <c r="AF121" s="4">
        <v>15738932896</v>
      </c>
      <c r="AG121"/>
      <c r="AH121" t="str">
        <f>"56173"</f>
        <v>56173</v>
      </c>
      <c r="AI121" t="s">
        <v>287</v>
      </c>
      <c r="AJ121" t="s">
        <v>414</v>
      </c>
      <c r="AK121" t="s">
        <v>301</v>
      </c>
      <c r="AL121" t="s">
        <v>415</v>
      </c>
      <c r="AM121" t="s">
        <v>416</v>
      </c>
      <c r="AN121" t="s">
        <v>417</v>
      </c>
      <c r="AO121" t="s">
        <v>399</v>
      </c>
      <c r="AP121" t="s">
        <v>400</v>
      </c>
      <c r="AQ121" s="5">
        <v>75231</v>
      </c>
      <c r="AR121" t="s">
        <v>128</v>
      </c>
      <c r="AS121"/>
      <c r="AT121" s="4">
        <v>12145265665</v>
      </c>
      <c r="AU121"/>
      <c r="AV121" t="s">
        <v>7758</v>
      </c>
      <c r="AW121" t="s">
        <v>7363</v>
      </c>
      <c r="AX121" t="s">
        <v>131</v>
      </c>
      <c r="AY121" t="s">
        <v>131</v>
      </c>
      <c r="AZ121" t="s">
        <v>131</v>
      </c>
      <c r="BA121" t="s">
        <v>131</v>
      </c>
      <c r="BB121" t="s">
        <v>131</v>
      </c>
      <c r="BC121" t="s">
        <v>131</v>
      </c>
      <c r="BD121" t="s">
        <v>131</v>
      </c>
      <c r="BE121" t="s">
        <v>132</v>
      </c>
      <c r="BF121"/>
      <c r="BG121" s="1"/>
      <c r="BH121" t="s">
        <v>9222</v>
      </c>
      <c r="BI121" t="s">
        <v>131</v>
      </c>
      <c r="BJ121"/>
      <c r="BK121"/>
      <c r="BL121" t="s">
        <v>167</v>
      </c>
      <c r="BM121"/>
      <c r="BN121"/>
      <c r="BO121" t="s">
        <v>131</v>
      </c>
      <c r="BP121" t="s">
        <v>134</v>
      </c>
      <c r="BQ121" t="s">
        <v>131</v>
      </c>
      <c r="BR121"/>
      <c r="BS121" t="str">
        <f t="shared" si="9"/>
        <v>N/A</v>
      </c>
      <c r="BT121" t="s">
        <v>131</v>
      </c>
      <c r="BU121"/>
      <c r="BV121" t="str">
        <f>""</f>
        <v/>
      </c>
      <c r="BW121" t="s">
        <v>135</v>
      </c>
      <c r="BX121" t="str">
        <f>""</f>
        <v/>
      </c>
      <c r="BY121" t="str">
        <f>""</f>
        <v/>
      </c>
      <c r="BZ121" t="str">
        <f>""</f>
        <v/>
      </c>
      <c r="CA121" t="s">
        <v>9223</v>
      </c>
      <c r="CB121" t="s">
        <v>131</v>
      </c>
      <c r="CC121"/>
      <c r="CD121"/>
      <c r="CE121"/>
      <c r="CF121" t="s">
        <v>131</v>
      </c>
      <c r="CG121"/>
      <c r="CH121" t="str">
        <f>""</f>
        <v/>
      </c>
      <c r="CI121" t="s">
        <v>131</v>
      </c>
      <c r="CJ121"/>
      <c r="CK121" t="s">
        <v>131</v>
      </c>
      <c r="CL121" t="str">
        <f>""</f>
        <v/>
      </c>
      <c r="CM121" t="str">
        <f>""</f>
        <v/>
      </c>
      <c r="CN121" t="str">
        <f>""</f>
        <v/>
      </c>
      <c r="CO121" t="str">
        <f>""</f>
        <v/>
      </c>
      <c r="CP121" t="str">
        <f>"37-3011.00"</f>
        <v>37-3011.00</v>
      </c>
      <c r="CQ121" t="s">
        <v>920</v>
      </c>
      <c r="CR121"/>
      <c r="CS121" t="s">
        <v>135</v>
      </c>
      <c r="CT121" t="s">
        <v>9224</v>
      </c>
      <c r="CU121" t="s">
        <v>9219</v>
      </c>
      <c r="CV121"/>
      <c r="CW121" t="s">
        <v>9220</v>
      </c>
      <c r="CX121" t="s">
        <v>258</v>
      </c>
      <c r="CY121"/>
      <c r="CZ121" s="3" t="str">
        <f>"65109"</f>
        <v>65109</v>
      </c>
      <c r="DA121" t="s">
        <v>135</v>
      </c>
      <c r="DB121" t="str">
        <f>"37-3011"</f>
        <v>37-3011</v>
      </c>
      <c r="DC121" t="s">
        <v>920</v>
      </c>
      <c r="DD121" t="s">
        <v>134</v>
      </c>
      <c r="DE121" t="s">
        <v>134</v>
      </c>
      <c r="DF121" t="str">
        <f>""</f>
        <v/>
      </c>
      <c r="DG121"/>
      <c r="DH121" s="6">
        <v>15.24</v>
      </c>
      <c r="DI121" t="s">
        <v>344</v>
      </c>
      <c r="DJ121"/>
      <c r="DK121" t="s">
        <v>345</v>
      </c>
      <c r="DL121"/>
      <c r="DM121"/>
      <c r="DN121"/>
      <c r="DO121"/>
      <c r="DP121"/>
      <c r="DQ121"/>
      <c r="DR121"/>
      <c r="DS121" s="6">
        <v>15.37</v>
      </c>
      <c r="DT121" s="2" t="s">
        <v>8351</v>
      </c>
      <c r="DU121" s="1">
        <v>44350</v>
      </c>
      <c r="DV121" s="1">
        <v>44439</v>
      </c>
    </row>
    <row r="122" spans="1:126" s="7" customFormat="1" ht="15" customHeight="1" x14ac:dyDescent="0.35">
      <c r="A122" t="s">
        <v>16170</v>
      </c>
      <c r="B122" t="s">
        <v>318</v>
      </c>
      <c r="C122" s="1">
        <v>44321</v>
      </c>
      <c r="D122" s="1">
        <v>44350</v>
      </c>
      <c r="E122" s="1"/>
      <c r="F122" s="1"/>
      <c r="G122" s="1"/>
      <c r="H122" t="s">
        <v>319</v>
      </c>
      <c r="I122" t="s">
        <v>16171</v>
      </c>
      <c r="J122" t="s">
        <v>2117</v>
      </c>
      <c r="K122"/>
      <c r="L122" t="s">
        <v>1205</v>
      </c>
      <c r="M122" t="s">
        <v>16172</v>
      </c>
      <c r="N122"/>
      <c r="O122" t="s">
        <v>3508</v>
      </c>
      <c r="P122" t="s">
        <v>811</v>
      </c>
      <c r="Q122" s="3">
        <v>29588</v>
      </c>
      <c r="R122" t="s">
        <v>128</v>
      </c>
      <c r="S122"/>
      <c r="T122" s="4">
        <v>18436508875</v>
      </c>
      <c r="U122"/>
      <c r="V122" t="s">
        <v>134</v>
      </c>
      <c r="W122" t="s">
        <v>16173</v>
      </c>
      <c r="X122" t="s">
        <v>16174</v>
      </c>
      <c r="Y122" t="s">
        <v>16172</v>
      </c>
      <c r="Z122"/>
      <c r="AA122" t="s">
        <v>3508</v>
      </c>
      <c r="AB122" t="s">
        <v>812</v>
      </c>
      <c r="AC122" s="3" t="str">
        <f>"29588"</f>
        <v>29588</v>
      </c>
      <c r="AD122" t="s">
        <v>128</v>
      </c>
      <c r="AE122"/>
      <c r="AF122" s="4">
        <v>18436508875</v>
      </c>
      <c r="AG122"/>
      <c r="AH122" t="str">
        <f>"56173"</f>
        <v>56173</v>
      </c>
      <c r="AI122" t="s">
        <v>287</v>
      </c>
      <c r="AJ122" t="s">
        <v>9944</v>
      </c>
      <c r="AK122" t="s">
        <v>9945</v>
      </c>
      <c r="AL122" t="s">
        <v>355</v>
      </c>
      <c r="AM122" t="s">
        <v>2048</v>
      </c>
      <c r="AN122" t="s">
        <v>9946</v>
      </c>
      <c r="AO122" t="s">
        <v>9947</v>
      </c>
      <c r="AP122" t="s">
        <v>1243</v>
      </c>
      <c r="AQ122" s="5">
        <v>83814</v>
      </c>
      <c r="AR122" t="s">
        <v>128</v>
      </c>
      <c r="AS122"/>
      <c r="AT122" s="4">
        <v>12087772654</v>
      </c>
      <c r="AU122"/>
      <c r="AV122" t="s">
        <v>9942</v>
      </c>
      <c r="AW122" t="s">
        <v>4715</v>
      </c>
      <c r="AX122" t="s">
        <v>131</v>
      </c>
      <c r="AY122" t="s">
        <v>131</v>
      </c>
      <c r="AZ122" t="s">
        <v>131</v>
      </c>
      <c r="BA122" t="s">
        <v>131</v>
      </c>
      <c r="BB122" t="s">
        <v>131</v>
      </c>
      <c r="BC122" t="s">
        <v>131</v>
      </c>
      <c r="BD122" t="s">
        <v>131</v>
      </c>
      <c r="BE122" t="s">
        <v>132</v>
      </c>
      <c r="BF122"/>
      <c r="BG122" s="1"/>
      <c r="BH122" t="s">
        <v>7864</v>
      </c>
      <c r="BI122" t="s">
        <v>131</v>
      </c>
      <c r="BJ122"/>
      <c r="BK122"/>
      <c r="BL122" t="s">
        <v>167</v>
      </c>
      <c r="BM122"/>
      <c r="BN122"/>
      <c r="BO122" t="s">
        <v>131</v>
      </c>
      <c r="BP122" t="s">
        <v>134</v>
      </c>
      <c r="BQ122" t="s">
        <v>131</v>
      </c>
      <c r="BR122"/>
      <c r="BS122" t="str">
        <f t="shared" si="9"/>
        <v>N/A</v>
      </c>
      <c r="BT122" t="s">
        <v>131</v>
      </c>
      <c r="BU122"/>
      <c r="BV122" t="str">
        <f>""</f>
        <v/>
      </c>
      <c r="BW122" t="s">
        <v>135</v>
      </c>
      <c r="BX122" t="str">
        <f>""</f>
        <v/>
      </c>
      <c r="BY122" t="str">
        <f>""</f>
        <v/>
      </c>
      <c r="BZ122" t="str">
        <f>""</f>
        <v/>
      </c>
      <c r="CA122" t="s">
        <v>16175</v>
      </c>
      <c r="CB122" t="s">
        <v>131</v>
      </c>
      <c r="CC122"/>
      <c r="CD122"/>
      <c r="CE122"/>
      <c r="CF122" t="s">
        <v>131</v>
      </c>
      <c r="CG122"/>
      <c r="CH122" t="str">
        <f>""</f>
        <v/>
      </c>
      <c r="CI122" t="s">
        <v>131</v>
      </c>
      <c r="CJ122"/>
      <c r="CK122" t="s">
        <v>131</v>
      </c>
      <c r="CL122" t="str">
        <f>""</f>
        <v/>
      </c>
      <c r="CM122" t="str">
        <f>""</f>
        <v/>
      </c>
      <c r="CN122" t="str">
        <f>""</f>
        <v/>
      </c>
      <c r="CO122" t="str">
        <f>""</f>
        <v/>
      </c>
      <c r="CP122" t="str">
        <f>"37-3011.00"</f>
        <v>37-3011.00</v>
      </c>
      <c r="CQ122" t="s">
        <v>920</v>
      </c>
      <c r="CR122" t="s">
        <v>7864</v>
      </c>
      <c r="CS122" t="s">
        <v>135</v>
      </c>
      <c r="CT122" t="s">
        <v>16176</v>
      </c>
      <c r="CU122" t="s">
        <v>16177</v>
      </c>
      <c r="CV122"/>
      <c r="CW122" t="s">
        <v>3508</v>
      </c>
      <c r="CX122" t="s">
        <v>812</v>
      </c>
      <c r="CY122"/>
      <c r="CZ122" s="3" t="str">
        <f>"29588"</f>
        <v>29588</v>
      </c>
      <c r="DA122" t="s">
        <v>135</v>
      </c>
      <c r="DB122" t="str">
        <f>"37-3011"</f>
        <v>37-3011</v>
      </c>
      <c r="DC122" t="s">
        <v>920</v>
      </c>
      <c r="DD122" t="s">
        <v>134</v>
      </c>
      <c r="DE122" t="s">
        <v>134</v>
      </c>
      <c r="DF122" t="str">
        <f>""</f>
        <v/>
      </c>
      <c r="DG122"/>
      <c r="DH122" s="6">
        <v>12.7</v>
      </c>
      <c r="DI122" t="s">
        <v>344</v>
      </c>
      <c r="DJ122"/>
      <c r="DK122" t="s">
        <v>345</v>
      </c>
      <c r="DL122"/>
      <c r="DM122"/>
      <c r="DN122"/>
      <c r="DO122"/>
      <c r="DP122"/>
      <c r="DQ122"/>
      <c r="DR122" t="s">
        <v>9104</v>
      </c>
      <c r="DS122" s="6">
        <v>12.7</v>
      </c>
      <c r="DT122" s="2" t="s">
        <v>8351</v>
      </c>
      <c r="DU122" s="1">
        <v>44350</v>
      </c>
      <c r="DV122" s="1">
        <v>44439</v>
      </c>
    </row>
    <row r="123" spans="1:126" s="7" customFormat="1" ht="15" customHeight="1" x14ac:dyDescent="0.35">
      <c r="A123" t="s">
        <v>20009</v>
      </c>
      <c r="B123" t="s">
        <v>318</v>
      </c>
      <c r="C123" s="1">
        <v>44321</v>
      </c>
      <c r="D123" s="1">
        <v>44350</v>
      </c>
      <c r="E123" s="1"/>
      <c r="F123" s="1"/>
      <c r="G123" s="1"/>
      <c r="H123" t="s">
        <v>319</v>
      </c>
      <c r="I123" t="s">
        <v>10333</v>
      </c>
      <c r="J123" t="s">
        <v>2194</v>
      </c>
      <c r="K123"/>
      <c r="L123" t="s">
        <v>1105</v>
      </c>
      <c r="M123" t="s">
        <v>10334</v>
      </c>
      <c r="N123"/>
      <c r="O123" t="s">
        <v>3874</v>
      </c>
      <c r="P123" t="s">
        <v>1760</v>
      </c>
      <c r="Q123" s="3">
        <v>70819</v>
      </c>
      <c r="R123" t="s">
        <v>128</v>
      </c>
      <c r="S123"/>
      <c r="T123" s="4">
        <v>12256103131</v>
      </c>
      <c r="U123"/>
      <c r="V123" t="s">
        <v>10335</v>
      </c>
      <c r="W123" t="s">
        <v>10336</v>
      </c>
      <c r="X123"/>
      <c r="Y123" t="s">
        <v>10337</v>
      </c>
      <c r="Z123" t="s">
        <v>10338</v>
      </c>
      <c r="AA123" t="s">
        <v>3874</v>
      </c>
      <c r="AB123" t="s">
        <v>1763</v>
      </c>
      <c r="AC123" s="3" t="str">
        <f>"70819"</f>
        <v>70819</v>
      </c>
      <c r="AD123" t="s">
        <v>128</v>
      </c>
      <c r="AE123"/>
      <c r="AF123" s="4">
        <v>12256103131</v>
      </c>
      <c r="AG123"/>
      <c r="AH123" t="str">
        <f>"56173"</f>
        <v>56173</v>
      </c>
      <c r="AI123" t="s">
        <v>287</v>
      </c>
      <c r="AJ123" t="s">
        <v>2304</v>
      </c>
      <c r="AK123" t="s">
        <v>5773</v>
      </c>
      <c r="AL123" t="s">
        <v>589</v>
      </c>
      <c r="AM123" t="s">
        <v>5774</v>
      </c>
      <c r="AN123" t="s">
        <v>5775</v>
      </c>
      <c r="AO123" t="s">
        <v>5776</v>
      </c>
      <c r="AP123" t="s">
        <v>1763</v>
      </c>
      <c r="AQ123" s="5">
        <v>70754</v>
      </c>
      <c r="AR123" t="s">
        <v>128</v>
      </c>
      <c r="AS123" t="s">
        <v>1763</v>
      </c>
      <c r="AT123" s="4">
        <v>12256863033</v>
      </c>
      <c r="AU123"/>
      <c r="AV123" t="s">
        <v>5777</v>
      </c>
      <c r="AW123" t="s">
        <v>5778</v>
      </c>
      <c r="AX123" t="s">
        <v>131</v>
      </c>
      <c r="AY123" t="s">
        <v>131</v>
      </c>
      <c r="AZ123" t="s">
        <v>131</v>
      </c>
      <c r="BA123" t="s">
        <v>131</v>
      </c>
      <c r="BB123" t="s">
        <v>131</v>
      </c>
      <c r="BC123" t="s">
        <v>131</v>
      </c>
      <c r="BD123" t="s">
        <v>131</v>
      </c>
      <c r="BE123" t="s">
        <v>132</v>
      </c>
      <c r="BF123"/>
      <c r="BG123" s="1"/>
      <c r="BH123" t="s">
        <v>20010</v>
      </c>
      <c r="BI123" t="s">
        <v>131</v>
      </c>
      <c r="BJ123"/>
      <c r="BK123"/>
      <c r="BL123" t="s">
        <v>167</v>
      </c>
      <c r="BM123"/>
      <c r="BN123"/>
      <c r="BO123" t="s">
        <v>131</v>
      </c>
      <c r="BP123" t="s">
        <v>134</v>
      </c>
      <c r="BQ123" t="s">
        <v>131</v>
      </c>
      <c r="BR123"/>
      <c r="BS123" t="str">
        <f t="shared" si="9"/>
        <v>N/A</v>
      </c>
      <c r="BT123" t="s">
        <v>131</v>
      </c>
      <c r="BU123"/>
      <c r="BV123" t="str">
        <f>""</f>
        <v/>
      </c>
      <c r="BW123" t="s">
        <v>135</v>
      </c>
      <c r="BX123" t="str">
        <f>""</f>
        <v/>
      </c>
      <c r="BY123" t="str">
        <f>""</f>
        <v/>
      </c>
      <c r="BZ123" t="str">
        <f>""</f>
        <v/>
      </c>
      <c r="CA123" s="2" t="s">
        <v>12870</v>
      </c>
      <c r="CB123" t="s">
        <v>131</v>
      </c>
      <c r="CC123"/>
      <c r="CD123"/>
      <c r="CE123"/>
      <c r="CF123" t="s">
        <v>131</v>
      </c>
      <c r="CG123"/>
      <c r="CH123" t="str">
        <f>""</f>
        <v/>
      </c>
      <c r="CI123" t="s">
        <v>131</v>
      </c>
      <c r="CJ123"/>
      <c r="CK123" t="s">
        <v>131</v>
      </c>
      <c r="CL123" t="str">
        <f>""</f>
        <v/>
      </c>
      <c r="CM123" t="str">
        <f>""</f>
        <v/>
      </c>
      <c r="CN123" t="str">
        <f>""</f>
        <v/>
      </c>
      <c r="CO123" t="str">
        <f>""</f>
        <v/>
      </c>
      <c r="CP123" t="str">
        <f>"37-3011.00"</f>
        <v>37-3011.00</v>
      </c>
      <c r="CQ123" t="s">
        <v>920</v>
      </c>
      <c r="CR123"/>
      <c r="CS123" t="s">
        <v>135</v>
      </c>
      <c r="CT123" t="s">
        <v>10339</v>
      </c>
      <c r="CU123" t="s">
        <v>12871</v>
      </c>
      <c r="CV123"/>
      <c r="CW123" t="s">
        <v>12035</v>
      </c>
      <c r="CX123" t="s">
        <v>1763</v>
      </c>
      <c r="CY123"/>
      <c r="CZ123" s="3" t="str">
        <f>"70819"</f>
        <v>70819</v>
      </c>
      <c r="DA123" t="s">
        <v>135</v>
      </c>
      <c r="DB123" t="str">
        <f>"37-3011"</f>
        <v>37-3011</v>
      </c>
      <c r="DC123" t="s">
        <v>920</v>
      </c>
      <c r="DD123" t="s">
        <v>134</v>
      </c>
      <c r="DE123" t="s">
        <v>134</v>
      </c>
      <c r="DF123" t="str">
        <f>""</f>
        <v/>
      </c>
      <c r="DG123"/>
      <c r="DH123" s="6">
        <v>14.59</v>
      </c>
      <c r="DI123" t="s">
        <v>344</v>
      </c>
      <c r="DJ123"/>
      <c r="DK123" t="s">
        <v>345</v>
      </c>
      <c r="DL123"/>
      <c r="DM123"/>
      <c r="DN123"/>
      <c r="DO123"/>
      <c r="DP123"/>
      <c r="DQ123"/>
      <c r="DR123" t="s">
        <v>3877</v>
      </c>
      <c r="DS123" s="6">
        <v>14.59</v>
      </c>
      <c r="DT123" s="2" t="s">
        <v>8351</v>
      </c>
      <c r="DU123" s="1">
        <v>44350</v>
      </c>
      <c r="DV123" s="1">
        <v>44439</v>
      </c>
    </row>
    <row r="124" spans="1:126" s="7" customFormat="1" ht="15" customHeight="1" x14ac:dyDescent="0.35">
      <c r="A124" t="s">
        <v>18841</v>
      </c>
      <c r="B124" t="s">
        <v>318</v>
      </c>
      <c r="C124" s="1">
        <v>44321</v>
      </c>
      <c r="D124" s="1">
        <v>44350</v>
      </c>
      <c r="E124" s="1"/>
      <c r="F124" s="1"/>
      <c r="G124" s="1"/>
      <c r="H124" t="s">
        <v>319</v>
      </c>
      <c r="I124" t="s">
        <v>12148</v>
      </c>
      <c r="J124" t="s">
        <v>4392</v>
      </c>
      <c r="K124" t="s">
        <v>1916</v>
      </c>
      <c r="L124" t="s">
        <v>199</v>
      </c>
      <c r="M124" t="s">
        <v>12149</v>
      </c>
      <c r="N124"/>
      <c r="O124" t="s">
        <v>12150</v>
      </c>
      <c r="P124" t="s">
        <v>629</v>
      </c>
      <c r="Q124" s="3">
        <v>39044</v>
      </c>
      <c r="R124" t="s">
        <v>128</v>
      </c>
      <c r="S124"/>
      <c r="T124" s="4">
        <v>16018243592</v>
      </c>
      <c r="U124"/>
      <c r="V124" t="s">
        <v>12151</v>
      </c>
      <c r="W124" t="s">
        <v>12152</v>
      </c>
      <c r="X124"/>
      <c r="Y124" t="s">
        <v>12149</v>
      </c>
      <c r="Z124"/>
      <c r="AA124" t="s">
        <v>12150</v>
      </c>
      <c r="AB124" t="s">
        <v>630</v>
      </c>
      <c r="AC124" s="3" t="str">
        <f>"39044"</f>
        <v>39044</v>
      </c>
      <c r="AD124" t="s">
        <v>128</v>
      </c>
      <c r="AE124"/>
      <c r="AF124" s="4">
        <v>16018243592</v>
      </c>
      <c r="AG124"/>
      <c r="AH124" t="str">
        <f>"11531"</f>
        <v>11531</v>
      </c>
      <c r="AI124" t="s">
        <v>287</v>
      </c>
      <c r="AJ124" t="s">
        <v>4134</v>
      </c>
      <c r="AK124" t="s">
        <v>3493</v>
      </c>
      <c r="AL124"/>
      <c r="AM124" t="s">
        <v>4135</v>
      </c>
      <c r="AN124"/>
      <c r="AO124" t="s">
        <v>4136</v>
      </c>
      <c r="AP124" t="s">
        <v>643</v>
      </c>
      <c r="AQ124" s="5">
        <v>31636</v>
      </c>
      <c r="AR124" t="s">
        <v>128</v>
      </c>
      <c r="AS124"/>
      <c r="AT124" s="4">
        <v>12295596879</v>
      </c>
      <c r="AU124"/>
      <c r="AV124" t="s">
        <v>4137</v>
      </c>
      <c r="AW124" t="s">
        <v>4138</v>
      </c>
      <c r="AX124" t="s">
        <v>131</v>
      </c>
      <c r="AY124" t="s">
        <v>131</v>
      </c>
      <c r="AZ124" t="s">
        <v>131</v>
      </c>
      <c r="BA124" t="s">
        <v>131</v>
      </c>
      <c r="BB124" t="s">
        <v>131</v>
      </c>
      <c r="BC124" t="s">
        <v>131</v>
      </c>
      <c r="BD124" t="s">
        <v>131</v>
      </c>
      <c r="BE124" t="s">
        <v>132</v>
      </c>
      <c r="BF124"/>
      <c r="BG124" s="1"/>
      <c r="BH124" t="s">
        <v>13202</v>
      </c>
      <c r="BI124" t="s">
        <v>131</v>
      </c>
      <c r="BJ124"/>
      <c r="BK124"/>
      <c r="BL124" t="s">
        <v>167</v>
      </c>
      <c r="BM124"/>
      <c r="BN124"/>
      <c r="BO124" t="s">
        <v>131</v>
      </c>
      <c r="BP124" t="s">
        <v>134</v>
      </c>
      <c r="BQ124" t="s">
        <v>131</v>
      </c>
      <c r="BR124"/>
      <c r="BS124" t="str">
        <f t="shared" si="9"/>
        <v>N/A</v>
      </c>
      <c r="BT124" t="s">
        <v>131</v>
      </c>
      <c r="BU124"/>
      <c r="BV124" t="str">
        <f>""</f>
        <v/>
      </c>
      <c r="BW124" t="s">
        <v>135</v>
      </c>
      <c r="BX124" t="str">
        <f>""</f>
        <v/>
      </c>
      <c r="BY124" t="str">
        <f>""</f>
        <v/>
      </c>
      <c r="BZ124" t="str">
        <f>""</f>
        <v/>
      </c>
      <c r="CA124" t="s">
        <v>18842</v>
      </c>
      <c r="CB124" t="s">
        <v>131</v>
      </c>
      <c r="CC124"/>
      <c r="CD124"/>
      <c r="CE124"/>
      <c r="CF124" t="s">
        <v>131</v>
      </c>
      <c r="CG124"/>
      <c r="CH124" t="str">
        <f>""</f>
        <v/>
      </c>
      <c r="CI124" t="s">
        <v>131</v>
      </c>
      <c r="CJ124"/>
      <c r="CK124" t="s">
        <v>131</v>
      </c>
      <c r="CL124" t="str">
        <f>""</f>
        <v/>
      </c>
      <c r="CM124" t="str">
        <f>""</f>
        <v/>
      </c>
      <c r="CN124" t="str">
        <f>""</f>
        <v/>
      </c>
      <c r="CO124" t="str">
        <f>""</f>
        <v/>
      </c>
      <c r="CP124" t="str">
        <f>"45-4011.00"</f>
        <v>45-4011.00</v>
      </c>
      <c r="CQ124" t="s">
        <v>4310</v>
      </c>
      <c r="CR124"/>
      <c r="CS124" t="s">
        <v>135</v>
      </c>
      <c r="CT124" t="s">
        <v>2925</v>
      </c>
      <c r="CU124" t="s">
        <v>12149</v>
      </c>
      <c r="CV124"/>
      <c r="CW124" t="s">
        <v>12150</v>
      </c>
      <c r="CX124" t="s">
        <v>630</v>
      </c>
      <c r="CY124"/>
      <c r="CZ124" s="3" t="str">
        <f>"39044"</f>
        <v>39044</v>
      </c>
      <c r="DA124" t="s">
        <v>135</v>
      </c>
      <c r="DB124" t="str">
        <f>"45-4011"</f>
        <v>45-4011</v>
      </c>
      <c r="DC124" t="s">
        <v>4310</v>
      </c>
      <c r="DD124" t="s">
        <v>134</v>
      </c>
      <c r="DE124" t="s">
        <v>134</v>
      </c>
      <c r="DF124" t="str">
        <f>""</f>
        <v/>
      </c>
      <c r="DG124"/>
      <c r="DH124" s="6">
        <v>15.76</v>
      </c>
      <c r="DI124" t="s">
        <v>344</v>
      </c>
      <c r="DJ124"/>
      <c r="DK124" t="s">
        <v>345</v>
      </c>
      <c r="DL124"/>
      <c r="DM124"/>
      <c r="DN124"/>
      <c r="DO124"/>
      <c r="DP124"/>
      <c r="DQ124"/>
      <c r="DR124"/>
      <c r="DS124" s="6">
        <v>20.53</v>
      </c>
      <c r="DT124" s="2" t="s">
        <v>16861</v>
      </c>
      <c r="DU124" s="1">
        <v>44350</v>
      </c>
      <c r="DV124" s="1">
        <v>44439</v>
      </c>
    </row>
    <row r="125" spans="1:126" s="7" customFormat="1" ht="15" customHeight="1" x14ac:dyDescent="0.35">
      <c r="A125" t="s">
        <v>20198</v>
      </c>
      <c r="B125" t="s">
        <v>318</v>
      </c>
      <c r="C125" s="1">
        <v>44321</v>
      </c>
      <c r="D125" s="1">
        <v>44350</v>
      </c>
      <c r="E125" s="1"/>
      <c r="F125" s="1"/>
      <c r="G125" s="1"/>
      <c r="H125" t="s">
        <v>319</v>
      </c>
      <c r="I125" t="s">
        <v>20199</v>
      </c>
      <c r="J125" t="s">
        <v>3532</v>
      </c>
      <c r="K125" t="s">
        <v>1601</v>
      </c>
      <c r="L125" t="s">
        <v>1205</v>
      </c>
      <c r="M125" t="s">
        <v>20200</v>
      </c>
      <c r="N125"/>
      <c r="O125" t="s">
        <v>20201</v>
      </c>
      <c r="P125" t="s">
        <v>826</v>
      </c>
      <c r="Q125" s="3">
        <v>21111</v>
      </c>
      <c r="R125" t="s">
        <v>128</v>
      </c>
      <c r="S125"/>
      <c r="T125" s="4">
        <v>14103431150</v>
      </c>
      <c r="U125"/>
      <c r="V125" t="s">
        <v>1253</v>
      </c>
      <c r="W125" t="s">
        <v>20202</v>
      </c>
      <c r="X125" t="s">
        <v>20203</v>
      </c>
      <c r="Y125" t="s">
        <v>20200</v>
      </c>
      <c r="Z125"/>
      <c r="AA125" t="s">
        <v>20201</v>
      </c>
      <c r="AB125" t="s">
        <v>382</v>
      </c>
      <c r="AC125" s="3" t="str">
        <f>"21111"</f>
        <v>21111</v>
      </c>
      <c r="AD125" t="s">
        <v>128</v>
      </c>
      <c r="AE125"/>
      <c r="AF125" s="4">
        <v>14103431150</v>
      </c>
      <c r="AG125"/>
      <c r="AH125" t="str">
        <f>"56173"</f>
        <v>56173</v>
      </c>
      <c r="AI125" t="s">
        <v>287</v>
      </c>
      <c r="AJ125" t="s">
        <v>414</v>
      </c>
      <c r="AK125" t="s">
        <v>301</v>
      </c>
      <c r="AL125" t="s">
        <v>415</v>
      </c>
      <c r="AM125" t="s">
        <v>416</v>
      </c>
      <c r="AN125" t="s">
        <v>417</v>
      </c>
      <c r="AO125" t="s">
        <v>399</v>
      </c>
      <c r="AP125" t="s">
        <v>400</v>
      </c>
      <c r="AQ125" s="5">
        <v>75231</v>
      </c>
      <c r="AR125" t="s">
        <v>128</v>
      </c>
      <c r="AS125"/>
      <c r="AT125" s="4">
        <v>12145265665</v>
      </c>
      <c r="AU125"/>
      <c r="AV125" t="s">
        <v>7758</v>
      </c>
      <c r="AW125" t="s">
        <v>7363</v>
      </c>
      <c r="AX125" t="s">
        <v>131</v>
      </c>
      <c r="AY125" t="s">
        <v>131</v>
      </c>
      <c r="AZ125" t="s">
        <v>131</v>
      </c>
      <c r="BA125" t="s">
        <v>131</v>
      </c>
      <c r="BB125" t="s">
        <v>131</v>
      </c>
      <c r="BC125" t="s">
        <v>131</v>
      </c>
      <c r="BD125" t="s">
        <v>131</v>
      </c>
      <c r="BE125" t="s">
        <v>132</v>
      </c>
      <c r="BF125"/>
      <c r="BG125" s="1"/>
      <c r="BH125" t="s">
        <v>2215</v>
      </c>
      <c r="BI125" t="s">
        <v>131</v>
      </c>
      <c r="BJ125"/>
      <c r="BK125"/>
      <c r="BL125" t="s">
        <v>167</v>
      </c>
      <c r="BM125"/>
      <c r="BN125"/>
      <c r="BO125" t="s">
        <v>131</v>
      </c>
      <c r="BP125" t="s">
        <v>134</v>
      </c>
      <c r="BQ125" t="s">
        <v>131</v>
      </c>
      <c r="BR125"/>
      <c r="BS125" t="str">
        <f t="shared" si="9"/>
        <v>N/A</v>
      </c>
      <c r="BT125" t="s">
        <v>135</v>
      </c>
      <c r="BU125">
        <v>3</v>
      </c>
      <c r="BV125" t="str">
        <f>"Landscaping"</f>
        <v>Landscaping</v>
      </c>
      <c r="BW125" t="s">
        <v>135</v>
      </c>
      <c r="BX125" t="str">
        <f>""</f>
        <v/>
      </c>
      <c r="BY125" t="str">
        <f>""</f>
        <v/>
      </c>
      <c r="BZ125" t="str">
        <f>""</f>
        <v/>
      </c>
      <c r="CA125" t="str">
        <f>"MUST BE ABLE TO LIFT 50 LBS, WORK IN ADVERSE WEATHER CONDITIONS, PASS PRE-EMPLOYMENT DRUG TEST AND BACKGROUND CHECK, BOTH PAID BY EMPLOYER."</f>
        <v>MUST BE ABLE TO LIFT 50 LBS, WORK IN ADVERSE WEATHER CONDITIONS, PASS PRE-EMPLOYMENT DRUG TEST AND BACKGROUND CHECK, BOTH PAID BY EMPLOYER.</v>
      </c>
      <c r="CB125" t="s">
        <v>131</v>
      </c>
      <c r="CC125"/>
      <c r="CD125"/>
      <c r="CE125"/>
      <c r="CF125" t="s">
        <v>131</v>
      </c>
      <c r="CG125"/>
      <c r="CH125" t="str">
        <f>""</f>
        <v/>
      </c>
      <c r="CI125" t="s">
        <v>131</v>
      </c>
      <c r="CJ125"/>
      <c r="CK125" t="s">
        <v>131</v>
      </c>
      <c r="CL125" t="str">
        <f>""</f>
        <v/>
      </c>
      <c r="CM125" t="str">
        <f>""</f>
        <v/>
      </c>
      <c r="CN125" t="str">
        <f>""</f>
        <v/>
      </c>
      <c r="CO125" t="str">
        <f>""</f>
        <v/>
      </c>
      <c r="CP125" t="str">
        <f>"37-3011.00"</f>
        <v>37-3011.00</v>
      </c>
      <c r="CQ125" t="s">
        <v>920</v>
      </c>
      <c r="CR125"/>
      <c r="CS125" t="s">
        <v>131</v>
      </c>
      <c r="CT125"/>
      <c r="CU125" t="s">
        <v>20200</v>
      </c>
      <c r="CV125"/>
      <c r="CW125" t="s">
        <v>20201</v>
      </c>
      <c r="CX125" t="s">
        <v>382</v>
      </c>
      <c r="CY125"/>
      <c r="CZ125" s="3" t="str">
        <f>"21111"</f>
        <v>21111</v>
      </c>
      <c r="DA125" t="s">
        <v>135</v>
      </c>
      <c r="DB125" t="str">
        <f>"37-3011"</f>
        <v>37-3011</v>
      </c>
      <c r="DC125" t="s">
        <v>920</v>
      </c>
      <c r="DD125" t="s">
        <v>134</v>
      </c>
      <c r="DE125" t="s">
        <v>134</v>
      </c>
      <c r="DF125" t="str">
        <f>""</f>
        <v/>
      </c>
      <c r="DG125"/>
      <c r="DH125" s="6">
        <v>16.89</v>
      </c>
      <c r="DI125" t="s">
        <v>344</v>
      </c>
      <c r="DJ125"/>
      <c r="DK125" t="s">
        <v>345</v>
      </c>
      <c r="DL125"/>
      <c r="DM125"/>
      <c r="DN125"/>
      <c r="DO125"/>
      <c r="DP125"/>
      <c r="DQ125"/>
      <c r="DR125" t="s">
        <v>9474</v>
      </c>
      <c r="DS125" s="6">
        <v>16.89</v>
      </c>
      <c r="DT125" s="2" t="s">
        <v>8351</v>
      </c>
      <c r="DU125" s="1">
        <v>44350</v>
      </c>
      <c r="DV125" s="1">
        <v>44439</v>
      </c>
    </row>
    <row r="126" spans="1:126" s="7" customFormat="1" ht="15" customHeight="1" x14ac:dyDescent="0.35">
      <c r="A126" t="s">
        <v>12868</v>
      </c>
      <c r="B126" t="s">
        <v>318</v>
      </c>
      <c r="C126" s="1">
        <v>44321</v>
      </c>
      <c r="D126" s="1">
        <v>44350</v>
      </c>
      <c r="E126" s="1"/>
      <c r="F126" s="1"/>
      <c r="G126" s="1"/>
      <c r="H126" t="s">
        <v>319</v>
      </c>
      <c r="I126" t="s">
        <v>10333</v>
      </c>
      <c r="J126" t="s">
        <v>2194</v>
      </c>
      <c r="K126"/>
      <c r="L126" t="s">
        <v>1105</v>
      </c>
      <c r="M126" t="s">
        <v>10334</v>
      </c>
      <c r="N126"/>
      <c r="O126" t="s">
        <v>3874</v>
      </c>
      <c r="P126" t="s">
        <v>1760</v>
      </c>
      <c r="Q126" s="3">
        <v>70819</v>
      </c>
      <c r="R126" t="s">
        <v>128</v>
      </c>
      <c r="S126"/>
      <c r="T126" s="4">
        <v>12256103131</v>
      </c>
      <c r="U126"/>
      <c r="V126" t="s">
        <v>10335</v>
      </c>
      <c r="W126" t="s">
        <v>10336</v>
      </c>
      <c r="X126"/>
      <c r="Y126" t="s">
        <v>10337</v>
      </c>
      <c r="Z126" t="s">
        <v>10338</v>
      </c>
      <c r="AA126" t="s">
        <v>3874</v>
      </c>
      <c r="AB126" t="s">
        <v>1763</v>
      </c>
      <c r="AC126" s="3" t="str">
        <f>"70819"</f>
        <v>70819</v>
      </c>
      <c r="AD126" t="s">
        <v>128</v>
      </c>
      <c r="AE126"/>
      <c r="AF126" s="4">
        <v>12256103131</v>
      </c>
      <c r="AG126"/>
      <c r="AH126" t="str">
        <f>"56173"</f>
        <v>56173</v>
      </c>
      <c r="AI126" t="s">
        <v>287</v>
      </c>
      <c r="AJ126" t="s">
        <v>2304</v>
      </c>
      <c r="AK126" t="s">
        <v>5773</v>
      </c>
      <c r="AL126" t="s">
        <v>589</v>
      </c>
      <c r="AM126" t="s">
        <v>5774</v>
      </c>
      <c r="AN126" t="s">
        <v>5775</v>
      </c>
      <c r="AO126" t="s">
        <v>5776</v>
      </c>
      <c r="AP126" t="s">
        <v>1763</v>
      </c>
      <c r="AQ126" s="5">
        <v>70754</v>
      </c>
      <c r="AR126" t="s">
        <v>128</v>
      </c>
      <c r="AS126" t="s">
        <v>1763</v>
      </c>
      <c r="AT126" s="4">
        <v>12256863033</v>
      </c>
      <c r="AU126"/>
      <c r="AV126" t="s">
        <v>5777</v>
      </c>
      <c r="AW126" t="s">
        <v>5778</v>
      </c>
      <c r="AX126" t="s">
        <v>131</v>
      </c>
      <c r="AY126" t="s">
        <v>131</v>
      </c>
      <c r="AZ126" t="s">
        <v>131</v>
      </c>
      <c r="BA126" t="s">
        <v>131</v>
      </c>
      <c r="BB126" t="s">
        <v>131</v>
      </c>
      <c r="BC126" t="s">
        <v>131</v>
      </c>
      <c r="BD126" t="s">
        <v>131</v>
      </c>
      <c r="BE126" t="s">
        <v>132</v>
      </c>
      <c r="BF126"/>
      <c r="BG126" s="1"/>
      <c r="BH126" t="s">
        <v>12869</v>
      </c>
      <c r="BI126" t="s">
        <v>131</v>
      </c>
      <c r="BJ126"/>
      <c r="BK126"/>
      <c r="BL126" t="s">
        <v>167</v>
      </c>
      <c r="BM126"/>
      <c r="BN126"/>
      <c r="BO126" t="s">
        <v>131</v>
      </c>
      <c r="BP126" t="s">
        <v>134</v>
      </c>
      <c r="BQ126" t="s">
        <v>131</v>
      </c>
      <c r="BR126"/>
      <c r="BS126" t="str">
        <f t="shared" si="9"/>
        <v>N/A</v>
      </c>
      <c r="BT126" t="s">
        <v>131</v>
      </c>
      <c r="BU126"/>
      <c r="BV126" t="str">
        <f>""</f>
        <v/>
      </c>
      <c r="BW126" t="s">
        <v>135</v>
      </c>
      <c r="BX126" t="str">
        <f>""</f>
        <v/>
      </c>
      <c r="BY126" t="str">
        <f>""</f>
        <v/>
      </c>
      <c r="BZ126" t="str">
        <f>""</f>
        <v/>
      </c>
      <c r="CA126" s="2" t="s">
        <v>12870</v>
      </c>
      <c r="CB126" t="s">
        <v>131</v>
      </c>
      <c r="CC126"/>
      <c r="CD126"/>
      <c r="CE126"/>
      <c r="CF126" t="s">
        <v>131</v>
      </c>
      <c r="CG126"/>
      <c r="CH126" t="str">
        <f>""</f>
        <v/>
      </c>
      <c r="CI126" t="s">
        <v>131</v>
      </c>
      <c r="CJ126"/>
      <c r="CK126" t="s">
        <v>131</v>
      </c>
      <c r="CL126" t="str">
        <f>""</f>
        <v/>
      </c>
      <c r="CM126" t="str">
        <f>""</f>
        <v/>
      </c>
      <c r="CN126" t="str">
        <f>""</f>
        <v/>
      </c>
      <c r="CO126" t="str">
        <f>""</f>
        <v/>
      </c>
      <c r="CP126" t="str">
        <f>"37-3011.00"</f>
        <v>37-3011.00</v>
      </c>
      <c r="CQ126" t="s">
        <v>920</v>
      </c>
      <c r="CR126"/>
      <c r="CS126" t="s">
        <v>135</v>
      </c>
      <c r="CT126" t="s">
        <v>10339</v>
      </c>
      <c r="CU126" t="s">
        <v>12871</v>
      </c>
      <c r="CV126"/>
      <c r="CW126" t="s">
        <v>12035</v>
      </c>
      <c r="CX126" t="s">
        <v>1763</v>
      </c>
      <c r="CY126"/>
      <c r="CZ126" s="3" t="str">
        <f>"70819"</f>
        <v>70819</v>
      </c>
      <c r="DA126" t="s">
        <v>135</v>
      </c>
      <c r="DB126" t="str">
        <f>"37-3011"</f>
        <v>37-3011</v>
      </c>
      <c r="DC126" t="s">
        <v>920</v>
      </c>
      <c r="DD126" t="s">
        <v>134</v>
      </c>
      <c r="DE126" t="s">
        <v>134</v>
      </c>
      <c r="DF126" t="str">
        <f>""</f>
        <v/>
      </c>
      <c r="DG126"/>
      <c r="DH126" s="6">
        <v>14.59</v>
      </c>
      <c r="DI126" t="s">
        <v>344</v>
      </c>
      <c r="DJ126"/>
      <c r="DK126" t="s">
        <v>345</v>
      </c>
      <c r="DL126"/>
      <c r="DM126"/>
      <c r="DN126"/>
      <c r="DO126"/>
      <c r="DP126"/>
      <c r="DQ126"/>
      <c r="DR126" t="s">
        <v>3877</v>
      </c>
      <c r="DS126" s="6">
        <v>14.59</v>
      </c>
      <c r="DT126" s="2" t="s">
        <v>8351</v>
      </c>
      <c r="DU126" s="1">
        <v>44350</v>
      </c>
      <c r="DV126" s="1">
        <v>44439</v>
      </c>
    </row>
    <row r="127" spans="1:126" s="7" customFormat="1" ht="15" customHeight="1" x14ac:dyDescent="0.35">
      <c r="A127" t="s">
        <v>12147</v>
      </c>
      <c r="B127" t="s">
        <v>318</v>
      </c>
      <c r="C127" s="1">
        <v>44321</v>
      </c>
      <c r="D127" s="1">
        <v>44350</v>
      </c>
      <c r="E127" s="1"/>
      <c r="F127" s="1"/>
      <c r="G127" s="1"/>
      <c r="H127" t="s">
        <v>319</v>
      </c>
      <c r="I127" t="s">
        <v>12148</v>
      </c>
      <c r="J127" t="s">
        <v>4392</v>
      </c>
      <c r="K127" t="s">
        <v>1916</v>
      </c>
      <c r="L127" t="s">
        <v>199</v>
      </c>
      <c r="M127" t="s">
        <v>12149</v>
      </c>
      <c r="N127"/>
      <c r="O127" t="s">
        <v>12150</v>
      </c>
      <c r="P127" t="s">
        <v>629</v>
      </c>
      <c r="Q127" s="3">
        <v>39044</v>
      </c>
      <c r="R127" t="s">
        <v>128</v>
      </c>
      <c r="S127"/>
      <c r="T127" s="4">
        <v>16018243592</v>
      </c>
      <c r="U127"/>
      <c r="V127" t="s">
        <v>12151</v>
      </c>
      <c r="W127" t="s">
        <v>12152</v>
      </c>
      <c r="X127"/>
      <c r="Y127" t="s">
        <v>12149</v>
      </c>
      <c r="Z127"/>
      <c r="AA127" t="s">
        <v>12150</v>
      </c>
      <c r="AB127" t="s">
        <v>630</v>
      </c>
      <c r="AC127" s="3" t="str">
        <f>"39044"</f>
        <v>39044</v>
      </c>
      <c r="AD127" t="s">
        <v>128</v>
      </c>
      <c r="AE127"/>
      <c r="AF127" s="4">
        <v>16018243592</v>
      </c>
      <c r="AG127"/>
      <c r="AH127" t="str">
        <f>"11531"</f>
        <v>11531</v>
      </c>
      <c r="AI127" t="s">
        <v>287</v>
      </c>
      <c r="AJ127" t="s">
        <v>4134</v>
      </c>
      <c r="AK127" t="s">
        <v>3493</v>
      </c>
      <c r="AL127"/>
      <c r="AM127" t="s">
        <v>4135</v>
      </c>
      <c r="AN127"/>
      <c r="AO127" t="s">
        <v>4136</v>
      </c>
      <c r="AP127" t="s">
        <v>643</v>
      </c>
      <c r="AQ127" s="5">
        <v>31636</v>
      </c>
      <c r="AR127" t="s">
        <v>128</v>
      </c>
      <c r="AS127"/>
      <c r="AT127" s="4">
        <v>12295596879</v>
      </c>
      <c r="AU127"/>
      <c r="AV127" t="s">
        <v>4137</v>
      </c>
      <c r="AW127" t="s">
        <v>4138</v>
      </c>
      <c r="AX127" t="s">
        <v>131</v>
      </c>
      <c r="AY127" t="s">
        <v>131</v>
      </c>
      <c r="AZ127" t="s">
        <v>131</v>
      </c>
      <c r="BA127" t="s">
        <v>131</v>
      </c>
      <c r="BB127" t="s">
        <v>131</v>
      </c>
      <c r="BC127" t="s">
        <v>131</v>
      </c>
      <c r="BD127" t="s">
        <v>131</v>
      </c>
      <c r="BE127" t="s">
        <v>132</v>
      </c>
      <c r="BF127"/>
      <c r="BG127" s="1"/>
      <c r="BH127" t="s">
        <v>4308</v>
      </c>
      <c r="BI127" t="s">
        <v>131</v>
      </c>
      <c r="BJ127"/>
      <c r="BK127"/>
      <c r="BL127" t="s">
        <v>167</v>
      </c>
      <c r="BM127"/>
      <c r="BN127"/>
      <c r="BO127" t="s">
        <v>131</v>
      </c>
      <c r="BP127" t="s">
        <v>134</v>
      </c>
      <c r="BQ127" t="s">
        <v>131</v>
      </c>
      <c r="BR127"/>
      <c r="BS127" t="str">
        <f t="shared" si="9"/>
        <v>N/A</v>
      </c>
      <c r="BT127" t="s">
        <v>131</v>
      </c>
      <c r="BU127"/>
      <c r="BV127" t="str">
        <f>""</f>
        <v/>
      </c>
      <c r="BW127" t="s">
        <v>135</v>
      </c>
      <c r="BX127" t="str">
        <f>""</f>
        <v/>
      </c>
      <c r="BY127" t="str">
        <f>""</f>
        <v/>
      </c>
      <c r="BZ127" t="str">
        <f>""</f>
        <v/>
      </c>
      <c r="CA127" t="s">
        <v>12153</v>
      </c>
      <c r="CB127" t="s">
        <v>131</v>
      </c>
      <c r="CC127"/>
      <c r="CD127"/>
      <c r="CE127"/>
      <c r="CF127" t="s">
        <v>131</v>
      </c>
      <c r="CG127"/>
      <c r="CH127" t="str">
        <f>""</f>
        <v/>
      </c>
      <c r="CI127" t="s">
        <v>131</v>
      </c>
      <c r="CJ127"/>
      <c r="CK127" t="s">
        <v>131</v>
      </c>
      <c r="CL127" t="str">
        <f>""</f>
        <v/>
      </c>
      <c r="CM127" t="str">
        <f>""</f>
        <v/>
      </c>
      <c r="CN127" t="str">
        <f>""</f>
        <v/>
      </c>
      <c r="CO127" t="str">
        <f>""</f>
        <v/>
      </c>
      <c r="CP127" t="str">
        <f>"45-4011.00"</f>
        <v>45-4011.00</v>
      </c>
      <c r="CQ127" t="s">
        <v>4310</v>
      </c>
      <c r="CR127"/>
      <c r="CS127" t="s">
        <v>135</v>
      </c>
      <c r="CT127" t="s">
        <v>2925</v>
      </c>
      <c r="CU127" t="s">
        <v>12149</v>
      </c>
      <c r="CV127"/>
      <c r="CW127" t="s">
        <v>12150</v>
      </c>
      <c r="CX127" t="s">
        <v>630</v>
      </c>
      <c r="CY127"/>
      <c r="CZ127" s="3" t="str">
        <f>"39044"</f>
        <v>39044</v>
      </c>
      <c r="DA127" t="s">
        <v>135</v>
      </c>
      <c r="DB127" t="str">
        <f>"45-4011"</f>
        <v>45-4011</v>
      </c>
      <c r="DC127" t="s">
        <v>4310</v>
      </c>
      <c r="DD127" t="s">
        <v>134</v>
      </c>
      <c r="DE127" t="s">
        <v>134</v>
      </c>
      <c r="DF127" t="str">
        <f>""</f>
        <v/>
      </c>
      <c r="DG127"/>
      <c r="DH127" s="6">
        <v>15.76</v>
      </c>
      <c r="DI127" t="s">
        <v>344</v>
      </c>
      <c r="DJ127"/>
      <c r="DK127" t="s">
        <v>345</v>
      </c>
      <c r="DL127"/>
      <c r="DM127"/>
      <c r="DN127"/>
      <c r="DO127"/>
      <c r="DP127"/>
      <c r="DQ127"/>
      <c r="DR127"/>
      <c r="DS127" s="6">
        <v>21.04</v>
      </c>
      <c r="DT127" s="2" t="s">
        <v>2219</v>
      </c>
      <c r="DU127" s="1">
        <v>44350</v>
      </c>
      <c r="DV127" s="1">
        <v>44439</v>
      </c>
    </row>
    <row r="128" spans="1:126" ht="15" customHeight="1" x14ac:dyDescent="0.35">
      <c r="A128" t="s">
        <v>18319</v>
      </c>
      <c r="B128" t="s">
        <v>318</v>
      </c>
      <c r="C128" s="1">
        <v>44321</v>
      </c>
      <c r="D128" s="1">
        <v>44355</v>
      </c>
      <c r="H128" t="s">
        <v>319</v>
      </c>
      <c r="I128" t="s">
        <v>4362</v>
      </c>
      <c r="J128" t="s">
        <v>8445</v>
      </c>
      <c r="L128" t="s">
        <v>1031</v>
      </c>
      <c r="M128" t="s">
        <v>18320</v>
      </c>
      <c r="O128" t="s">
        <v>18321</v>
      </c>
      <c r="P128" t="s">
        <v>256</v>
      </c>
      <c r="Q128" s="3">
        <v>65026</v>
      </c>
      <c r="R128" t="s">
        <v>128</v>
      </c>
      <c r="T128" s="4">
        <v>16362445651</v>
      </c>
      <c r="V128" t="s">
        <v>1021</v>
      </c>
      <c r="W128" t="s">
        <v>18322</v>
      </c>
      <c r="Y128" t="s">
        <v>18320</v>
      </c>
      <c r="AA128" t="s">
        <v>18321</v>
      </c>
      <c r="AB128" t="s">
        <v>258</v>
      </c>
      <c r="AC128" s="3" t="str">
        <f>"65026"</f>
        <v>65026</v>
      </c>
      <c r="AD128" t="s">
        <v>128</v>
      </c>
      <c r="AF128" s="4">
        <v>16362445651</v>
      </c>
      <c r="AH128" t="str">
        <f>"561790"</f>
        <v>561790</v>
      </c>
      <c r="AI128" t="s">
        <v>287</v>
      </c>
      <c r="AJ128" t="s">
        <v>1024</v>
      </c>
      <c r="AK128" t="s">
        <v>1025</v>
      </c>
      <c r="AM128" t="s">
        <v>5064</v>
      </c>
      <c r="AO128" t="s">
        <v>5065</v>
      </c>
      <c r="AP128" t="s">
        <v>129</v>
      </c>
      <c r="AQ128" s="5">
        <v>11590</v>
      </c>
      <c r="AR128" t="s">
        <v>128</v>
      </c>
      <c r="AT128" s="4">
        <v>15163307168</v>
      </c>
      <c r="AV128" t="s">
        <v>1021</v>
      </c>
      <c r="AW128" t="s">
        <v>8388</v>
      </c>
      <c r="AX128" t="s">
        <v>131</v>
      </c>
      <c r="AY128" t="s">
        <v>131</v>
      </c>
      <c r="AZ128" t="s">
        <v>131</v>
      </c>
      <c r="BA128" t="s">
        <v>131</v>
      </c>
      <c r="BB128" t="s">
        <v>131</v>
      </c>
      <c r="BC128" t="s">
        <v>131</v>
      </c>
      <c r="BD128" t="s">
        <v>131</v>
      </c>
      <c r="BE128" t="s">
        <v>132</v>
      </c>
      <c r="BH128" t="s">
        <v>18323</v>
      </c>
      <c r="BI128" t="s">
        <v>131</v>
      </c>
      <c r="BL128" t="s">
        <v>167</v>
      </c>
      <c r="BO128" t="s">
        <v>131</v>
      </c>
      <c r="BP128" t="s">
        <v>134</v>
      </c>
      <c r="BQ128" t="s">
        <v>131</v>
      </c>
      <c r="BS128" t="str">
        <f t="shared" si="9"/>
        <v>N/A</v>
      </c>
      <c r="BT128" t="s">
        <v>131</v>
      </c>
      <c r="BV128" t="str">
        <f>""</f>
        <v/>
      </c>
      <c r="BW128" t="s">
        <v>131</v>
      </c>
      <c r="BX128" t="str">
        <f>""</f>
        <v/>
      </c>
      <c r="BY128" t="str">
        <f>""</f>
        <v/>
      </c>
      <c r="BZ128" t="str">
        <f>""</f>
        <v/>
      </c>
      <c r="CA128" t="str">
        <f>""</f>
        <v/>
      </c>
      <c r="CB128" t="s">
        <v>131</v>
      </c>
      <c r="CF128" t="s">
        <v>131</v>
      </c>
      <c r="CH128" t="str">
        <f>""</f>
        <v/>
      </c>
      <c r="CI128" t="s">
        <v>131</v>
      </c>
      <c r="CK128" t="s">
        <v>131</v>
      </c>
      <c r="CL128" t="str">
        <f>""</f>
        <v/>
      </c>
      <c r="CM128" t="str">
        <f>""</f>
        <v/>
      </c>
      <c r="CN128" t="str">
        <f>""</f>
        <v/>
      </c>
      <c r="CO128" t="str">
        <f>""</f>
        <v/>
      </c>
      <c r="CP128" t="str">
        <f>"53-7062.00"</f>
        <v>53-7062.00</v>
      </c>
      <c r="CQ128" t="s">
        <v>1030</v>
      </c>
      <c r="CR128" t="s">
        <v>1031</v>
      </c>
      <c r="CS128" t="s">
        <v>135</v>
      </c>
      <c r="CT128" t="s">
        <v>18324</v>
      </c>
      <c r="CU128" t="s">
        <v>18320</v>
      </c>
      <c r="CW128" t="s">
        <v>18321</v>
      </c>
      <c r="CX128" t="s">
        <v>258</v>
      </c>
      <c r="CZ128" s="3" t="str">
        <f>"65026"</f>
        <v>65026</v>
      </c>
      <c r="DA128" t="s">
        <v>135</v>
      </c>
      <c r="DB128" t="str">
        <f>"53-7062"</f>
        <v>53-7062</v>
      </c>
      <c r="DC128" t="s">
        <v>1030</v>
      </c>
      <c r="DD128" t="s">
        <v>134</v>
      </c>
      <c r="DE128" t="s">
        <v>134</v>
      </c>
      <c r="DF128" t="str">
        <f>""</f>
        <v/>
      </c>
      <c r="DH128" s="6">
        <v>13.05</v>
      </c>
      <c r="DI128" t="s">
        <v>344</v>
      </c>
      <c r="DK128" t="s">
        <v>345</v>
      </c>
      <c r="DR128" t="s">
        <v>18325</v>
      </c>
      <c r="DS128" s="6">
        <v>13.05</v>
      </c>
      <c r="DT128" s="2" t="s">
        <v>2219</v>
      </c>
      <c r="DU128" s="1">
        <v>44355</v>
      </c>
      <c r="DV128" s="1">
        <v>44444</v>
      </c>
    </row>
    <row r="129" spans="1:126" ht="15" customHeight="1" x14ac:dyDescent="0.35">
      <c r="A129" t="s">
        <v>17965</v>
      </c>
      <c r="B129" t="s">
        <v>318</v>
      </c>
      <c r="C129" s="1">
        <v>44321</v>
      </c>
      <c r="D129" s="1">
        <v>44350</v>
      </c>
      <c r="H129" t="s">
        <v>319</v>
      </c>
      <c r="I129" t="s">
        <v>12148</v>
      </c>
      <c r="J129" t="s">
        <v>4392</v>
      </c>
      <c r="K129" t="s">
        <v>1916</v>
      </c>
      <c r="L129" t="s">
        <v>199</v>
      </c>
      <c r="M129" t="s">
        <v>12149</v>
      </c>
      <c r="O129" t="s">
        <v>12150</v>
      </c>
      <c r="P129" t="s">
        <v>629</v>
      </c>
      <c r="Q129" s="3">
        <v>39044</v>
      </c>
      <c r="R129" t="s">
        <v>128</v>
      </c>
      <c r="T129" s="4">
        <v>16018243592</v>
      </c>
      <c r="V129" t="s">
        <v>12151</v>
      </c>
      <c r="W129" t="s">
        <v>12152</v>
      </c>
      <c r="Y129" t="s">
        <v>12149</v>
      </c>
      <c r="AA129" t="s">
        <v>12150</v>
      </c>
      <c r="AB129" t="s">
        <v>630</v>
      </c>
      <c r="AC129" s="3" t="str">
        <f>"39044"</f>
        <v>39044</v>
      </c>
      <c r="AD129" t="s">
        <v>128</v>
      </c>
      <c r="AF129" s="4">
        <v>16018243592</v>
      </c>
      <c r="AH129" t="str">
        <f>"1153"</f>
        <v>1153</v>
      </c>
      <c r="AI129" t="s">
        <v>287</v>
      </c>
      <c r="AJ129" t="s">
        <v>4134</v>
      </c>
      <c r="AK129" t="s">
        <v>3493</v>
      </c>
      <c r="AM129" t="s">
        <v>4135</v>
      </c>
      <c r="AO129" t="s">
        <v>4136</v>
      </c>
      <c r="AP129" t="s">
        <v>643</v>
      </c>
      <c r="AQ129" s="5">
        <v>31636</v>
      </c>
      <c r="AR129" t="s">
        <v>128</v>
      </c>
      <c r="AT129" s="4">
        <v>12295596879</v>
      </c>
      <c r="AV129" t="s">
        <v>4137</v>
      </c>
      <c r="AW129" t="s">
        <v>4138</v>
      </c>
      <c r="AX129" t="s">
        <v>131</v>
      </c>
      <c r="AY129" t="s">
        <v>131</v>
      </c>
      <c r="AZ129" t="s">
        <v>131</v>
      </c>
      <c r="BA129" t="s">
        <v>131</v>
      </c>
      <c r="BB129" t="s">
        <v>131</v>
      </c>
      <c r="BC129" t="s">
        <v>131</v>
      </c>
      <c r="BD129" t="s">
        <v>131</v>
      </c>
      <c r="BE129" t="s">
        <v>132</v>
      </c>
      <c r="BH129" t="s">
        <v>4308</v>
      </c>
      <c r="BI129" t="s">
        <v>131</v>
      </c>
      <c r="BL129" t="s">
        <v>167</v>
      </c>
      <c r="BO129" t="s">
        <v>131</v>
      </c>
      <c r="BP129" t="s">
        <v>134</v>
      </c>
      <c r="BQ129" t="s">
        <v>131</v>
      </c>
      <c r="BS129" t="str">
        <f t="shared" si="9"/>
        <v>N/A</v>
      </c>
      <c r="BT129" t="s">
        <v>131</v>
      </c>
      <c r="BV129" t="str">
        <f>""</f>
        <v/>
      </c>
      <c r="BW129" t="s">
        <v>135</v>
      </c>
      <c r="BX129" t="str">
        <f>""</f>
        <v/>
      </c>
      <c r="BY129" t="str">
        <f>""</f>
        <v/>
      </c>
      <c r="BZ129" t="str">
        <f>""</f>
        <v/>
      </c>
      <c r="CA129" t="s">
        <v>12153</v>
      </c>
      <c r="CB129" t="s">
        <v>131</v>
      </c>
      <c r="CF129" t="s">
        <v>131</v>
      </c>
      <c r="CH129" t="str">
        <f>""</f>
        <v/>
      </c>
      <c r="CI129" t="s">
        <v>131</v>
      </c>
      <c r="CK129" t="s">
        <v>131</v>
      </c>
      <c r="CL129" t="str">
        <f>""</f>
        <v/>
      </c>
      <c r="CM129" t="str">
        <f>""</f>
        <v/>
      </c>
      <c r="CN129" t="str">
        <f>""</f>
        <v/>
      </c>
      <c r="CO129" t="str">
        <f>""</f>
        <v/>
      </c>
      <c r="CP129" t="str">
        <f>"45-4011.00"</f>
        <v>45-4011.00</v>
      </c>
      <c r="CQ129" t="s">
        <v>4310</v>
      </c>
      <c r="CS129" t="s">
        <v>135</v>
      </c>
      <c r="CT129" t="s">
        <v>2925</v>
      </c>
      <c r="CU129" t="s">
        <v>12149</v>
      </c>
      <c r="CW129" t="s">
        <v>12150</v>
      </c>
      <c r="CX129" t="s">
        <v>630</v>
      </c>
      <c r="CZ129" s="3" t="str">
        <f>"39044"</f>
        <v>39044</v>
      </c>
      <c r="DA129" t="s">
        <v>135</v>
      </c>
      <c r="DB129" t="str">
        <f>"45-4011"</f>
        <v>45-4011</v>
      </c>
      <c r="DC129" t="s">
        <v>4310</v>
      </c>
      <c r="DD129" t="s">
        <v>134</v>
      </c>
      <c r="DE129" t="s">
        <v>134</v>
      </c>
      <c r="DF129" t="str">
        <f>""</f>
        <v/>
      </c>
      <c r="DH129" s="6">
        <v>15.76</v>
      </c>
      <c r="DI129" t="s">
        <v>344</v>
      </c>
      <c r="DK129" t="s">
        <v>345</v>
      </c>
      <c r="DS129" s="6">
        <v>15.76</v>
      </c>
      <c r="DT129" s="2" t="s">
        <v>2219</v>
      </c>
      <c r="DU129" s="1">
        <v>44350</v>
      </c>
      <c r="DV129" s="1">
        <v>44439</v>
      </c>
    </row>
    <row r="130" spans="1:126" ht="15" customHeight="1" x14ac:dyDescent="0.35">
      <c r="A130" t="s">
        <v>17597</v>
      </c>
      <c r="B130" t="s">
        <v>318</v>
      </c>
      <c r="C130" s="1">
        <v>44321</v>
      </c>
      <c r="D130" s="1">
        <v>44350</v>
      </c>
      <c r="H130" t="s">
        <v>319</v>
      </c>
      <c r="I130" t="s">
        <v>17598</v>
      </c>
      <c r="J130" t="s">
        <v>1493</v>
      </c>
      <c r="K130" t="s">
        <v>2122</v>
      </c>
      <c r="L130" t="s">
        <v>395</v>
      </c>
      <c r="M130" t="s">
        <v>17599</v>
      </c>
      <c r="O130" t="s">
        <v>6236</v>
      </c>
      <c r="P130" t="s">
        <v>507</v>
      </c>
      <c r="Q130" s="3">
        <v>48309</v>
      </c>
      <c r="R130" t="s">
        <v>128</v>
      </c>
      <c r="T130" s="4">
        <v>15862547775</v>
      </c>
      <c r="V130" t="s">
        <v>1253</v>
      </c>
      <c r="W130" t="s">
        <v>17600</v>
      </c>
      <c r="Y130" t="s">
        <v>17599</v>
      </c>
      <c r="AA130" t="s">
        <v>6236</v>
      </c>
      <c r="AB130" t="s">
        <v>511</v>
      </c>
      <c r="AC130" s="3" t="str">
        <f>"48309"</f>
        <v>48309</v>
      </c>
      <c r="AD130" t="s">
        <v>128</v>
      </c>
      <c r="AF130" s="4">
        <v>15862547775</v>
      </c>
      <c r="AH130" t="str">
        <f>"56173"</f>
        <v>56173</v>
      </c>
      <c r="AI130" t="s">
        <v>287</v>
      </c>
      <c r="AJ130" t="s">
        <v>414</v>
      </c>
      <c r="AK130" t="s">
        <v>301</v>
      </c>
      <c r="AL130" t="s">
        <v>415</v>
      </c>
      <c r="AM130" t="s">
        <v>416</v>
      </c>
      <c r="AN130" t="s">
        <v>417</v>
      </c>
      <c r="AO130" t="s">
        <v>399</v>
      </c>
      <c r="AP130" t="s">
        <v>400</v>
      </c>
      <c r="AQ130" s="5">
        <v>75231</v>
      </c>
      <c r="AR130" t="s">
        <v>128</v>
      </c>
      <c r="AT130" s="4">
        <v>12145265665</v>
      </c>
      <c r="AV130" t="s">
        <v>7758</v>
      </c>
      <c r="AW130" t="s">
        <v>7363</v>
      </c>
      <c r="AX130" t="s">
        <v>131</v>
      </c>
      <c r="AY130" t="s">
        <v>131</v>
      </c>
      <c r="AZ130" t="s">
        <v>131</v>
      </c>
      <c r="BA130" t="s">
        <v>131</v>
      </c>
      <c r="BB130" t="s">
        <v>131</v>
      </c>
      <c r="BC130" t="s">
        <v>131</v>
      </c>
      <c r="BD130" t="s">
        <v>131</v>
      </c>
      <c r="BE130" t="s">
        <v>132</v>
      </c>
      <c r="BH130" t="s">
        <v>2215</v>
      </c>
      <c r="BI130" t="s">
        <v>131</v>
      </c>
      <c r="BL130" t="s">
        <v>167</v>
      </c>
      <c r="BO130" t="s">
        <v>131</v>
      </c>
      <c r="BP130" t="s">
        <v>134</v>
      </c>
      <c r="BQ130" t="s">
        <v>131</v>
      </c>
      <c r="BS130" t="str">
        <f t="shared" si="9"/>
        <v>N/A</v>
      </c>
      <c r="BT130" t="s">
        <v>131</v>
      </c>
      <c r="BV130" t="str">
        <f>""</f>
        <v/>
      </c>
      <c r="BW130" t="s">
        <v>135</v>
      </c>
      <c r="BX130" t="str">
        <f>""</f>
        <v/>
      </c>
      <c r="BY130" t="str">
        <f>""</f>
        <v/>
      </c>
      <c r="BZ130" t="str">
        <f>""</f>
        <v/>
      </c>
      <c r="CA130" t="str">
        <f>"Must be able to lift 50 lbs, work in adverse weather conditions &amp; pass pre &amp; post-employment drug test paid by employer."</f>
        <v>Must be able to lift 50 lbs, work in adverse weather conditions &amp; pass pre &amp; post-employment drug test paid by employer.</v>
      </c>
      <c r="CB130" t="s">
        <v>131</v>
      </c>
      <c r="CF130" t="s">
        <v>131</v>
      </c>
      <c r="CH130" t="str">
        <f>""</f>
        <v/>
      </c>
      <c r="CI130" t="s">
        <v>131</v>
      </c>
      <c r="CK130" t="s">
        <v>131</v>
      </c>
      <c r="CL130" t="str">
        <f>""</f>
        <v/>
      </c>
      <c r="CM130" t="str">
        <f>""</f>
        <v/>
      </c>
      <c r="CN130" t="str">
        <f>""</f>
        <v/>
      </c>
      <c r="CO130" t="str">
        <f>""</f>
        <v/>
      </c>
      <c r="CP130" t="str">
        <f>"37-3011.00"</f>
        <v>37-3011.00</v>
      </c>
      <c r="CQ130" t="s">
        <v>920</v>
      </c>
      <c r="CS130" t="s">
        <v>131</v>
      </c>
      <c r="CU130" t="s">
        <v>17599</v>
      </c>
      <c r="CW130" t="s">
        <v>6236</v>
      </c>
      <c r="CX130" t="s">
        <v>511</v>
      </c>
      <c r="CZ130" s="3" t="str">
        <f>"48309"</f>
        <v>48309</v>
      </c>
      <c r="DA130" t="s">
        <v>135</v>
      </c>
      <c r="DB130" t="str">
        <f>"37-3011"</f>
        <v>37-3011</v>
      </c>
      <c r="DC130" t="s">
        <v>920</v>
      </c>
      <c r="DD130" t="s">
        <v>134</v>
      </c>
      <c r="DE130" t="s">
        <v>134</v>
      </c>
      <c r="DF130" t="str">
        <f>""</f>
        <v/>
      </c>
      <c r="DH130" s="6">
        <v>14.95</v>
      </c>
      <c r="DI130" t="s">
        <v>344</v>
      </c>
      <c r="DK130" t="s">
        <v>345</v>
      </c>
      <c r="DR130" t="s">
        <v>17601</v>
      </c>
      <c r="DS130" s="6">
        <v>14.95</v>
      </c>
      <c r="DT130" s="2" t="s">
        <v>8351</v>
      </c>
      <c r="DU130" s="1">
        <v>44350</v>
      </c>
      <c r="DV130" s="1">
        <v>44439</v>
      </c>
    </row>
    <row r="131" spans="1:126" ht="15" customHeight="1" x14ac:dyDescent="0.35">
      <c r="A131" t="s">
        <v>8345</v>
      </c>
      <c r="B131" t="s">
        <v>318</v>
      </c>
      <c r="C131" s="1">
        <v>44321</v>
      </c>
      <c r="D131" s="1">
        <v>44350</v>
      </c>
      <c r="H131" t="s">
        <v>319</v>
      </c>
      <c r="I131" t="s">
        <v>8346</v>
      </c>
      <c r="J131" t="s">
        <v>8347</v>
      </c>
      <c r="L131" t="s">
        <v>1105</v>
      </c>
      <c r="M131" t="s">
        <v>8348</v>
      </c>
      <c r="O131" t="s">
        <v>8349</v>
      </c>
      <c r="P131" t="s">
        <v>702</v>
      </c>
      <c r="Q131" s="3">
        <v>6810</v>
      </c>
      <c r="R131" t="s">
        <v>128</v>
      </c>
      <c r="T131" s="4">
        <v>12036481975</v>
      </c>
      <c r="V131" t="s">
        <v>1253</v>
      </c>
      <c r="W131" t="s">
        <v>8350</v>
      </c>
      <c r="Y131" t="s">
        <v>8348</v>
      </c>
      <c r="AA131" t="s">
        <v>8349</v>
      </c>
      <c r="AB131" t="s">
        <v>703</v>
      </c>
      <c r="AC131" s="3" t="str">
        <f>"06810"</f>
        <v>06810</v>
      </c>
      <c r="AD131" t="s">
        <v>128</v>
      </c>
      <c r="AF131" s="4">
        <v>12036481975</v>
      </c>
      <c r="AH131" t="str">
        <f>"5617"</f>
        <v>5617</v>
      </c>
      <c r="AI131" t="s">
        <v>287</v>
      </c>
      <c r="AJ131" t="s">
        <v>414</v>
      </c>
      <c r="AK131" t="s">
        <v>301</v>
      </c>
      <c r="AL131" t="s">
        <v>415</v>
      </c>
      <c r="AM131" t="s">
        <v>416</v>
      </c>
      <c r="AN131" t="s">
        <v>417</v>
      </c>
      <c r="AO131" t="s">
        <v>399</v>
      </c>
      <c r="AP131" t="s">
        <v>400</v>
      </c>
      <c r="AQ131" s="5">
        <v>75231</v>
      </c>
      <c r="AR131" t="s">
        <v>128</v>
      </c>
      <c r="AT131" s="4">
        <v>12145265665</v>
      </c>
      <c r="AV131" t="s">
        <v>7758</v>
      </c>
      <c r="AW131" t="s">
        <v>7363</v>
      </c>
      <c r="AX131" t="s">
        <v>131</v>
      </c>
      <c r="AY131" t="s">
        <v>131</v>
      </c>
      <c r="AZ131" t="s">
        <v>131</v>
      </c>
      <c r="BA131" t="s">
        <v>131</v>
      </c>
      <c r="BB131" t="s">
        <v>131</v>
      </c>
      <c r="BC131" t="s">
        <v>131</v>
      </c>
      <c r="BD131" t="s">
        <v>131</v>
      </c>
      <c r="BE131" t="s">
        <v>132</v>
      </c>
      <c r="BH131" t="s">
        <v>2215</v>
      </c>
      <c r="BI131" t="s">
        <v>131</v>
      </c>
      <c r="BL131" t="s">
        <v>167</v>
      </c>
      <c r="BO131" t="s">
        <v>131</v>
      </c>
      <c r="BP131" t="s">
        <v>134</v>
      </c>
      <c r="BQ131" t="s">
        <v>131</v>
      </c>
      <c r="BS131" t="str">
        <f t="shared" si="9"/>
        <v>N/A</v>
      </c>
      <c r="BT131" t="s">
        <v>131</v>
      </c>
      <c r="BV131" t="str">
        <f>""</f>
        <v/>
      </c>
      <c r="BW131" t="s">
        <v>135</v>
      </c>
      <c r="BX131" t="str">
        <f>""</f>
        <v/>
      </c>
      <c r="BY131" t="str">
        <f>""</f>
        <v/>
      </c>
      <c r="BZ131" t="str">
        <f>""</f>
        <v/>
      </c>
      <c r="CA131" t="str">
        <f>"Must be able to lift 50 lbs, work in adverse weather conditions &amp; pass post-employment drug test paid by employer."</f>
        <v>Must be able to lift 50 lbs, work in adverse weather conditions &amp; pass post-employment drug test paid by employer.</v>
      </c>
      <c r="CB131" t="s">
        <v>131</v>
      </c>
      <c r="CF131" t="s">
        <v>131</v>
      </c>
      <c r="CH131" t="str">
        <f>""</f>
        <v/>
      </c>
      <c r="CI131" t="s">
        <v>131</v>
      </c>
      <c r="CK131" t="s">
        <v>131</v>
      </c>
      <c r="CL131" t="str">
        <f>""</f>
        <v/>
      </c>
      <c r="CM131" t="str">
        <f>""</f>
        <v/>
      </c>
      <c r="CN131" t="str">
        <f>""</f>
        <v/>
      </c>
      <c r="CO131" t="str">
        <f>""</f>
        <v/>
      </c>
      <c r="CP131" t="str">
        <f>"37-3011.00"</f>
        <v>37-3011.00</v>
      </c>
      <c r="CQ131" t="s">
        <v>920</v>
      </c>
      <c r="CS131" t="s">
        <v>131</v>
      </c>
      <c r="CU131" t="s">
        <v>8348</v>
      </c>
      <c r="CW131" t="s">
        <v>8349</v>
      </c>
      <c r="CX131" t="s">
        <v>703</v>
      </c>
      <c r="CZ131" s="3" t="str">
        <f>"06810"</f>
        <v>06810</v>
      </c>
      <c r="DA131" t="s">
        <v>135</v>
      </c>
      <c r="DB131" t="str">
        <f>"37-3011"</f>
        <v>37-3011</v>
      </c>
      <c r="DC131" t="s">
        <v>920</v>
      </c>
      <c r="DD131" t="s">
        <v>134</v>
      </c>
      <c r="DE131" t="s">
        <v>134</v>
      </c>
      <c r="DF131" t="str">
        <f>""</f>
        <v/>
      </c>
      <c r="DH131" s="6">
        <v>18.11</v>
      </c>
      <c r="DI131" t="s">
        <v>344</v>
      </c>
      <c r="DK131" t="s">
        <v>345</v>
      </c>
      <c r="DS131" s="6">
        <v>18.57</v>
      </c>
      <c r="DT131" s="2" t="s">
        <v>8351</v>
      </c>
      <c r="DU131" s="1">
        <v>44350</v>
      </c>
      <c r="DV131" s="1">
        <v>44439</v>
      </c>
    </row>
    <row r="132" spans="1:126" ht="15" customHeight="1" x14ac:dyDescent="0.35">
      <c r="A132" t="s">
        <v>7752</v>
      </c>
      <c r="B132" t="s">
        <v>318</v>
      </c>
      <c r="C132" s="1">
        <v>44321</v>
      </c>
      <c r="D132" s="1">
        <v>44350</v>
      </c>
      <c r="H132" t="s">
        <v>319</v>
      </c>
      <c r="I132" t="s">
        <v>7753</v>
      </c>
      <c r="J132" t="s">
        <v>7754</v>
      </c>
      <c r="K132" t="s">
        <v>1624</v>
      </c>
      <c r="L132" t="s">
        <v>7755</v>
      </c>
      <c r="M132" t="s">
        <v>7756</v>
      </c>
      <c r="O132" t="s">
        <v>3874</v>
      </c>
      <c r="P132" t="s">
        <v>1760</v>
      </c>
      <c r="Q132" s="3">
        <v>70817</v>
      </c>
      <c r="R132" t="s">
        <v>128</v>
      </c>
      <c r="T132" s="4">
        <v>12257535296</v>
      </c>
      <c r="V132" t="s">
        <v>1253</v>
      </c>
      <c r="W132" t="s">
        <v>7757</v>
      </c>
      <c r="Y132" t="s">
        <v>7756</v>
      </c>
      <c r="AA132" t="s">
        <v>3874</v>
      </c>
      <c r="AB132" t="s">
        <v>1763</v>
      </c>
      <c r="AC132" s="3" t="str">
        <f>"70817"</f>
        <v>70817</v>
      </c>
      <c r="AD132" t="s">
        <v>128</v>
      </c>
      <c r="AF132" s="4">
        <v>12257535296</v>
      </c>
      <c r="AH132" t="str">
        <f>"56173"</f>
        <v>56173</v>
      </c>
      <c r="AI132" t="s">
        <v>287</v>
      </c>
      <c r="AJ132" t="s">
        <v>414</v>
      </c>
      <c r="AK132" t="s">
        <v>301</v>
      </c>
      <c r="AL132" t="s">
        <v>415</v>
      </c>
      <c r="AM132" t="s">
        <v>416</v>
      </c>
      <c r="AN132" t="s">
        <v>417</v>
      </c>
      <c r="AO132" t="s">
        <v>399</v>
      </c>
      <c r="AP132" t="s">
        <v>400</v>
      </c>
      <c r="AQ132" s="5">
        <v>75231</v>
      </c>
      <c r="AR132" t="s">
        <v>128</v>
      </c>
      <c r="AT132" s="4">
        <v>12145265665</v>
      </c>
      <c r="AV132" t="s">
        <v>7758</v>
      </c>
      <c r="AW132" t="s">
        <v>7363</v>
      </c>
      <c r="AX132" t="s">
        <v>131</v>
      </c>
      <c r="AY132" t="s">
        <v>131</v>
      </c>
      <c r="AZ132" t="s">
        <v>131</v>
      </c>
      <c r="BA132" t="s">
        <v>131</v>
      </c>
      <c r="BB132" t="s">
        <v>131</v>
      </c>
      <c r="BC132" t="s">
        <v>131</v>
      </c>
      <c r="BD132" t="s">
        <v>131</v>
      </c>
      <c r="BE132" t="s">
        <v>132</v>
      </c>
      <c r="BH132" t="s">
        <v>2215</v>
      </c>
      <c r="BI132" t="s">
        <v>131</v>
      </c>
      <c r="BL132" t="s">
        <v>167</v>
      </c>
      <c r="BO132" t="s">
        <v>131</v>
      </c>
      <c r="BP132" t="s">
        <v>134</v>
      </c>
      <c r="BQ132" t="s">
        <v>131</v>
      </c>
      <c r="BS132" t="str">
        <f t="shared" si="9"/>
        <v>N/A</v>
      </c>
      <c r="BT132" t="s">
        <v>131</v>
      </c>
      <c r="BV132" t="str">
        <f>""</f>
        <v/>
      </c>
      <c r="BW132" t="s">
        <v>135</v>
      </c>
      <c r="BX132" t="str">
        <f>""</f>
        <v/>
      </c>
      <c r="BY132" t="str">
        <f>""</f>
        <v/>
      </c>
      <c r="BZ132" t="str">
        <f>""</f>
        <v/>
      </c>
      <c r="CA132" t="str">
        <f>"MUST BE ABLE TO LIFT 50 LBS, WORK IN ADVERSE WEATHER CONDITIONS &amp; PASS PRE-EMPLOYMENT DRUG TEST &amp; BACKGROUND CHECK REQUIRED BOTH PAID BY EMPLOYER."</f>
        <v>MUST BE ABLE TO LIFT 50 LBS, WORK IN ADVERSE WEATHER CONDITIONS &amp; PASS PRE-EMPLOYMENT DRUG TEST &amp; BACKGROUND CHECK REQUIRED BOTH PAID BY EMPLOYER.</v>
      </c>
      <c r="CB132" t="s">
        <v>131</v>
      </c>
      <c r="CF132" t="s">
        <v>131</v>
      </c>
      <c r="CH132" t="str">
        <f>""</f>
        <v/>
      </c>
      <c r="CI132" t="s">
        <v>131</v>
      </c>
      <c r="CK132" t="s">
        <v>131</v>
      </c>
      <c r="CL132" t="str">
        <f>""</f>
        <v/>
      </c>
      <c r="CM132" t="str">
        <f>""</f>
        <v/>
      </c>
      <c r="CN132" t="str">
        <f>""</f>
        <v/>
      </c>
      <c r="CO132" t="str">
        <f>""</f>
        <v/>
      </c>
      <c r="CP132" t="str">
        <f>"37-3011.00"</f>
        <v>37-3011.00</v>
      </c>
      <c r="CQ132" t="s">
        <v>920</v>
      </c>
      <c r="CS132" t="s">
        <v>131</v>
      </c>
      <c r="CU132" t="s">
        <v>7756</v>
      </c>
      <c r="CW132" t="s">
        <v>3874</v>
      </c>
      <c r="CX132" t="s">
        <v>1763</v>
      </c>
      <c r="CZ132" s="3" t="str">
        <f>"70817"</f>
        <v>70817</v>
      </c>
      <c r="DA132" t="s">
        <v>135</v>
      </c>
      <c r="DB132" t="str">
        <f>"37-3011"</f>
        <v>37-3011</v>
      </c>
      <c r="DC132" t="s">
        <v>920</v>
      </c>
      <c r="DD132" t="s">
        <v>134</v>
      </c>
      <c r="DE132" t="s">
        <v>134</v>
      </c>
      <c r="DF132" t="str">
        <f>""</f>
        <v/>
      </c>
      <c r="DH132" s="6">
        <v>14.59</v>
      </c>
      <c r="DI132" t="s">
        <v>344</v>
      </c>
      <c r="DK132" t="s">
        <v>345</v>
      </c>
      <c r="DR132" t="s">
        <v>3877</v>
      </c>
      <c r="DS132" s="6">
        <v>14.59</v>
      </c>
      <c r="DT132" t="s">
        <v>3921</v>
      </c>
      <c r="DU132" s="1">
        <v>44350</v>
      </c>
      <c r="DV132" s="1">
        <v>44439</v>
      </c>
    </row>
    <row r="133" spans="1:126" ht="15" customHeight="1" x14ac:dyDescent="0.35">
      <c r="A133" t="s">
        <v>13511</v>
      </c>
      <c r="B133" t="s">
        <v>318</v>
      </c>
      <c r="C133" s="1">
        <v>44321</v>
      </c>
      <c r="D133" s="1">
        <v>44350</v>
      </c>
      <c r="H133" t="s">
        <v>319</v>
      </c>
      <c r="I133" t="s">
        <v>13512</v>
      </c>
      <c r="J133" t="s">
        <v>260</v>
      </c>
      <c r="L133" t="s">
        <v>1105</v>
      </c>
      <c r="M133" t="s">
        <v>13513</v>
      </c>
      <c r="O133" t="s">
        <v>2473</v>
      </c>
      <c r="P133" t="s">
        <v>412</v>
      </c>
      <c r="Q133" s="3">
        <v>76036</v>
      </c>
      <c r="R133" t="s">
        <v>128</v>
      </c>
      <c r="T133" s="4">
        <v>18179950324</v>
      </c>
      <c r="V133" t="s">
        <v>1253</v>
      </c>
      <c r="W133" t="s">
        <v>13514</v>
      </c>
      <c r="Y133" t="s">
        <v>13513</v>
      </c>
      <c r="AA133" t="s">
        <v>2473</v>
      </c>
      <c r="AB133" t="s">
        <v>400</v>
      </c>
      <c r="AC133" s="3" t="str">
        <f>"76036"</f>
        <v>76036</v>
      </c>
      <c r="AD133" t="s">
        <v>128</v>
      </c>
      <c r="AF133" s="4">
        <v>18179950324</v>
      </c>
      <c r="AH133" t="str">
        <f>"56173"</f>
        <v>56173</v>
      </c>
      <c r="AI133" t="s">
        <v>287</v>
      </c>
      <c r="AJ133" t="s">
        <v>414</v>
      </c>
      <c r="AK133" t="s">
        <v>301</v>
      </c>
      <c r="AL133" t="s">
        <v>415</v>
      </c>
      <c r="AM133" t="s">
        <v>416</v>
      </c>
      <c r="AN133" t="s">
        <v>417</v>
      </c>
      <c r="AO133" t="s">
        <v>399</v>
      </c>
      <c r="AP133" t="s">
        <v>400</v>
      </c>
      <c r="AQ133" s="5">
        <v>75231</v>
      </c>
      <c r="AR133" t="s">
        <v>128</v>
      </c>
      <c r="AT133" s="4">
        <v>12145265665</v>
      </c>
      <c r="AV133" t="s">
        <v>7758</v>
      </c>
      <c r="AW133" t="s">
        <v>7363</v>
      </c>
      <c r="AX133" t="s">
        <v>131</v>
      </c>
      <c r="AY133" t="s">
        <v>131</v>
      </c>
      <c r="AZ133" t="s">
        <v>131</v>
      </c>
      <c r="BA133" t="s">
        <v>131</v>
      </c>
      <c r="BB133" t="s">
        <v>131</v>
      </c>
      <c r="BC133" t="s">
        <v>131</v>
      </c>
      <c r="BD133" t="s">
        <v>131</v>
      </c>
      <c r="BE133" t="s">
        <v>132</v>
      </c>
      <c r="BH133" t="s">
        <v>2215</v>
      </c>
      <c r="BI133" t="s">
        <v>131</v>
      </c>
      <c r="BL133" t="s">
        <v>167</v>
      </c>
      <c r="BO133" t="s">
        <v>131</v>
      </c>
      <c r="BP133" t="s">
        <v>134</v>
      </c>
      <c r="BQ133" t="s">
        <v>131</v>
      </c>
      <c r="BS133" t="str">
        <f t="shared" si="9"/>
        <v>N/A</v>
      </c>
      <c r="BT133" t="s">
        <v>131</v>
      </c>
      <c r="BV133" t="str">
        <f>""</f>
        <v/>
      </c>
      <c r="BW133" t="s">
        <v>135</v>
      </c>
      <c r="BX133" t="str">
        <f>""</f>
        <v/>
      </c>
      <c r="BY133" t="str">
        <f>""</f>
        <v/>
      </c>
      <c r="BZ133" t="str">
        <f>""</f>
        <v/>
      </c>
      <c r="CA133" t="str">
        <f>"Must be able to lift 50 lbs, work in adverse weather conditions &amp; pass post-employment drug test paid by employer."</f>
        <v>Must be able to lift 50 lbs, work in adverse weather conditions &amp; pass post-employment drug test paid by employer.</v>
      </c>
      <c r="CB133" t="s">
        <v>131</v>
      </c>
      <c r="CF133" t="s">
        <v>131</v>
      </c>
      <c r="CH133" t="str">
        <f>""</f>
        <v/>
      </c>
      <c r="CI133" t="s">
        <v>131</v>
      </c>
      <c r="CK133" t="s">
        <v>131</v>
      </c>
      <c r="CL133" t="str">
        <f>""</f>
        <v/>
      </c>
      <c r="CM133" t="str">
        <f>""</f>
        <v/>
      </c>
      <c r="CN133" t="str">
        <f>""</f>
        <v/>
      </c>
      <c r="CO133" t="str">
        <f>""</f>
        <v/>
      </c>
      <c r="CP133" t="str">
        <f>"37-3011.00"</f>
        <v>37-3011.00</v>
      </c>
      <c r="CQ133" t="s">
        <v>920</v>
      </c>
      <c r="CS133" t="s">
        <v>131</v>
      </c>
      <c r="CU133" t="s">
        <v>13513</v>
      </c>
      <c r="CW133" t="s">
        <v>2473</v>
      </c>
      <c r="CX133" t="s">
        <v>400</v>
      </c>
      <c r="CZ133" s="3" t="str">
        <f>"76036"</f>
        <v>76036</v>
      </c>
      <c r="DA133" t="s">
        <v>135</v>
      </c>
      <c r="DB133" t="str">
        <f>"37-3011"</f>
        <v>37-3011</v>
      </c>
      <c r="DC133" t="s">
        <v>920</v>
      </c>
      <c r="DD133" t="s">
        <v>134</v>
      </c>
      <c r="DE133" t="s">
        <v>134</v>
      </c>
      <c r="DF133" t="str">
        <f>""</f>
        <v/>
      </c>
      <c r="DH133" s="6">
        <v>15.23</v>
      </c>
      <c r="DI133" t="s">
        <v>344</v>
      </c>
      <c r="DK133" t="s">
        <v>345</v>
      </c>
      <c r="DR133" t="s">
        <v>423</v>
      </c>
      <c r="DS133" s="6">
        <v>15.23</v>
      </c>
      <c r="DT133" t="s">
        <v>3921</v>
      </c>
      <c r="DU133" s="1">
        <v>44350</v>
      </c>
      <c r="DV133" s="1">
        <v>44439</v>
      </c>
    </row>
    <row r="134" spans="1:126" ht="15" customHeight="1" x14ac:dyDescent="0.35">
      <c r="A134" t="s">
        <v>15008</v>
      </c>
      <c r="B134" t="s">
        <v>318</v>
      </c>
      <c r="C134" s="1">
        <v>44321</v>
      </c>
      <c r="D134" s="1">
        <v>44355</v>
      </c>
      <c r="H134" t="s">
        <v>319</v>
      </c>
      <c r="I134" t="s">
        <v>15009</v>
      </c>
      <c r="J134" t="s">
        <v>2901</v>
      </c>
      <c r="L134" t="s">
        <v>15010</v>
      </c>
      <c r="M134" t="s">
        <v>15011</v>
      </c>
      <c r="O134" t="s">
        <v>9775</v>
      </c>
      <c r="P134" t="s">
        <v>3075</v>
      </c>
      <c r="Q134" s="3">
        <v>59716</v>
      </c>
      <c r="R134" t="s">
        <v>128</v>
      </c>
      <c r="T134" s="4">
        <v>14069952728</v>
      </c>
      <c r="V134" t="s">
        <v>15012</v>
      </c>
      <c r="W134" t="s">
        <v>15013</v>
      </c>
      <c r="X134" t="s">
        <v>15014</v>
      </c>
      <c r="Y134" t="s">
        <v>15015</v>
      </c>
      <c r="AA134" t="s">
        <v>9775</v>
      </c>
      <c r="AB134" t="s">
        <v>1234</v>
      </c>
      <c r="AC134" s="3" t="str">
        <f>"59716"</f>
        <v>59716</v>
      </c>
      <c r="AD134" t="s">
        <v>128</v>
      </c>
      <c r="AF134" s="4">
        <v>14069952728</v>
      </c>
      <c r="AH134" t="str">
        <f>"72251"</f>
        <v>72251</v>
      </c>
      <c r="AI134" t="s">
        <v>130</v>
      </c>
      <c r="AJ134" t="s">
        <v>3079</v>
      </c>
      <c r="AK134" t="s">
        <v>1616</v>
      </c>
      <c r="AL134" t="s">
        <v>1198</v>
      </c>
      <c r="AM134" t="s">
        <v>3080</v>
      </c>
      <c r="AN134" t="s">
        <v>3081</v>
      </c>
      <c r="AO134" t="s">
        <v>3082</v>
      </c>
      <c r="AP134" t="s">
        <v>1243</v>
      </c>
      <c r="AQ134" s="5">
        <v>83670</v>
      </c>
      <c r="AR134" t="s">
        <v>128</v>
      </c>
      <c r="AT134" s="4">
        <v>12083984969</v>
      </c>
      <c r="AV134" t="s">
        <v>3083</v>
      </c>
      <c r="AW134" t="s">
        <v>3084</v>
      </c>
      <c r="AX134" t="s">
        <v>131</v>
      </c>
      <c r="AY134" t="s">
        <v>131</v>
      </c>
      <c r="AZ134" t="s">
        <v>131</v>
      </c>
      <c r="BA134" t="s">
        <v>131</v>
      </c>
      <c r="BB134" t="s">
        <v>131</v>
      </c>
      <c r="BC134" t="s">
        <v>131</v>
      </c>
      <c r="BD134" t="s">
        <v>131</v>
      </c>
      <c r="BE134" t="s">
        <v>132</v>
      </c>
      <c r="BH134" t="s">
        <v>1080</v>
      </c>
      <c r="BI134" t="s">
        <v>131</v>
      </c>
      <c r="BL134" t="s">
        <v>167</v>
      </c>
      <c r="BO134" t="s">
        <v>131</v>
      </c>
      <c r="BP134" t="s">
        <v>134</v>
      </c>
      <c r="BQ134" t="s">
        <v>131</v>
      </c>
      <c r="BS134" t="str">
        <f t="shared" si="9"/>
        <v>N/A</v>
      </c>
      <c r="BT134" t="s">
        <v>131</v>
      </c>
      <c r="BV134" t="str">
        <f>""</f>
        <v/>
      </c>
      <c r="BW134" t="s">
        <v>131</v>
      </c>
      <c r="BX134" t="str">
        <f>""</f>
        <v/>
      </c>
      <c r="BY134" t="str">
        <f>""</f>
        <v/>
      </c>
      <c r="BZ134" t="str">
        <f>""</f>
        <v/>
      </c>
      <c r="CA134" t="str">
        <f>""</f>
        <v/>
      </c>
      <c r="CB134" t="s">
        <v>131</v>
      </c>
      <c r="CF134" t="s">
        <v>131</v>
      </c>
      <c r="CH134" t="str">
        <f>""</f>
        <v/>
      </c>
      <c r="CI134" t="s">
        <v>131</v>
      </c>
      <c r="CK134" t="s">
        <v>131</v>
      </c>
      <c r="CL134" t="str">
        <f>""</f>
        <v/>
      </c>
      <c r="CM134" t="str">
        <f>""</f>
        <v/>
      </c>
      <c r="CN134" t="str">
        <f>""</f>
        <v/>
      </c>
      <c r="CO134" t="str">
        <f>""</f>
        <v/>
      </c>
      <c r="CP134" t="str">
        <f>"35-2014.00"</f>
        <v>35-2014.00</v>
      </c>
      <c r="CQ134" t="s">
        <v>581</v>
      </c>
      <c r="CR134" t="s">
        <v>1941</v>
      </c>
      <c r="CS134" t="s">
        <v>131</v>
      </c>
      <c r="CU134" t="s">
        <v>15011</v>
      </c>
      <c r="CW134" t="s">
        <v>9775</v>
      </c>
      <c r="CX134" t="s">
        <v>1234</v>
      </c>
      <c r="CZ134" s="3" t="str">
        <f>"59716"</f>
        <v>59716</v>
      </c>
      <c r="DA134" t="s">
        <v>131</v>
      </c>
      <c r="DB134" t="str">
        <f>"35-2014"</f>
        <v>35-2014</v>
      </c>
      <c r="DC134" t="s">
        <v>581</v>
      </c>
      <c r="DD134" t="s">
        <v>134</v>
      </c>
      <c r="DE134" t="s">
        <v>134</v>
      </c>
      <c r="DF134" t="str">
        <f>""</f>
        <v/>
      </c>
      <c r="DH134" s="6">
        <v>14.07</v>
      </c>
      <c r="DI134" t="s">
        <v>344</v>
      </c>
      <c r="DK134" t="s">
        <v>345</v>
      </c>
      <c r="DS134" s="6">
        <v>14.07</v>
      </c>
      <c r="DT134" t="s">
        <v>3921</v>
      </c>
      <c r="DU134" s="1">
        <v>44355</v>
      </c>
      <c r="DV134" s="1">
        <v>44444</v>
      </c>
    </row>
    <row r="135" spans="1:126" ht="15" customHeight="1" x14ac:dyDescent="0.35">
      <c r="A135" t="s">
        <v>12084</v>
      </c>
      <c r="B135" t="s">
        <v>318</v>
      </c>
      <c r="C135" s="1">
        <v>44321</v>
      </c>
      <c r="D135" s="1">
        <v>44355</v>
      </c>
      <c r="H135" t="s">
        <v>319</v>
      </c>
      <c r="I135" t="s">
        <v>12085</v>
      </c>
      <c r="J135" t="s">
        <v>1071</v>
      </c>
      <c r="L135" t="s">
        <v>1105</v>
      </c>
      <c r="M135" t="s">
        <v>12086</v>
      </c>
      <c r="O135" t="s">
        <v>12087</v>
      </c>
      <c r="P135" t="s">
        <v>311</v>
      </c>
      <c r="Q135" s="3">
        <v>16830</v>
      </c>
      <c r="R135" t="s">
        <v>128</v>
      </c>
      <c r="T135" s="4">
        <v>18145924613</v>
      </c>
      <c r="V135" t="s">
        <v>134</v>
      </c>
      <c r="W135" t="s">
        <v>12088</v>
      </c>
      <c r="Y135" t="s">
        <v>12086</v>
      </c>
      <c r="AA135" t="s">
        <v>12087</v>
      </c>
      <c r="AB135" t="s">
        <v>312</v>
      </c>
      <c r="AC135" s="3" t="str">
        <f>"16830"</f>
        <v>16830</v>
      </c>
      <c r="AD135" t="s">
        <v>128</v>
      </c>
      <c r="AF135" s="4">
        <v>18145924613</v>
      </c>
      <c r="AH135" t="str">
        <f>"56173"</f>
        <v>56173</v>
      </c>
      <c r="AI135" t="s">
        <v>287</v>
      </c>
      <c r="AJ135" t="s">
        <v>3916</v>
      </c>
      <c r="AK135" t="s">
        <v>1225</v>
      </c>
      <c r="AL135" t="s">
        <v>589</v>
      </c>
      <c r="AM135" t="s">
        <v>3917</v>
      </c>
      <c r="AO135" t="s">
        <v>1513</v>
      </c>
      <c r="AP135" t="s">
        <v>400</v>
      </c>
      <c r="AQ135" s="5">
        <v>75231</v>
      </c>
      <c r="AR135" t="s">
        <v>128</v>
      </c>
      <c r="AT135" s="4">
        <v>12145265665</v>
      </c>
      <c r="AV135" t="s">
        <v>3918</v>
      </c>
      <c r="AW135" t="s">
        <v>3919</v>
      </c>
      <c r="AX135" t="s">
        <v>131</v>
      </c>
      <c r="AY135" t="s">
        <v>131</v>
      </c>
      <c r="AZ135" t="s">
        <v>131</v>
      </c>
      <c r="BA135" t="s">
        <v>131</v>
      </c>
      <c r="BB135" t="s">
        <v>131</v>
      </c>
      <c r="BC135" t="s">
        <v>131</v>
      </c>
      <c r="BD135" t="s">
        <v>131</v>
      </c>
      <c r="BE135" t="s">
        <v>132</v>
      </c>
      <c r="BH135" t="s">
        <v>2215</v>
      </c>
      <c r="BI135" t="s">
        <v>131</v>
      </c>
      <c r="BL135" t="s">
        <v>167</v>
      </c>
      <c r="BO135" t="s">
        <v>131</v>
      </c>
      <c r="BP135" t="s">
        <v>134</v>
      </c>
      <c r="BQ135" t="s">
        <v>131</v>
      </c>
      <c r="BS135" t="str">
        <f t="shared" si="9"/>
        <v>N/A</v>
      </c>
      <c r="BT135" t="s">
        <v>131</v>
      </c>
      <c r="BV135" t="str">
        <f>""</f>
        <v/>
      </c>
      <c r="BW135" t="s">
        <v>135</v>
      </c>
      <c r="BX135" t="str">
        <f>""</f>
        <v/>
      </c>
      <c r="BY135" t="str">
        <f>""</f>
        <v/>
      </c>
      <c r="BZ135" t="str">
        <f>""</f>
        <v/>
      </c>
      <c r="CA135" t="str">
        <f>"Must be able to lift 50 lbs, work in adverse weather conditions &amp; pass pre-employment drug test paid by employer."</f>
        <v>Must be able to lift 50 lbs, work in adverse weather conditions &amp; pass pre-employment drug test paid by employer.</v>
      </c>
      <c r="CB135" t="s">
        <v>131</v>
      </c>
      <c r="CF135" t="s">
        <v>131</v>
      </c>
      <c r="CH135" t="str">
        <f>""</f>
        <v/>
      </c>
      <c r="CI135" t="s">
        <v>131</v>
      </c>
      <c r="CK135" t="s">
        <v>131</v>
      </c>
      <c r="CL135" t="str">
        <f>""</f>
        <v/>
      </c>
      <c r="CM135" t="str">
        <f>""</f>
        <v/>
      </c>
      <c r="CN135" t="str">
        <f>""</f>
        <v/>
      </c>
      <c r="CO135" t="str">
        <f>""</f>
        <v/>
      </c>
      <c r="CP135" t="str">
        <f t="shared" ref="CP135:CP141" si="10">"37-3011.00"</f>
        <v>37-3011.00</v>
      </c>
      <c r="CQ135" t="s">
        <v>920</v>
      </c>
      <c r="CS135" t="s">
        <v>131</v>
      </c>
      <c r="CU135" t="s">
        <v>12086</v>
      </c>
      <c r="CW135" t="s">
        <v>12087</v>
      </c>
      <c r="CX135" t="s">
        <v>312</v>
      </c>
      <c r="CZ135" s="3" t="str">
        <f>"16830"</f>
        <v>16830</v>
      </c>
      <c r="DA135" t="s">
        <v>135</v>
      </c>
      <c r="DB135" t="str">
        <f t="shared" ref="DB135:DB141" si="11">"37-3011"</f>
        <v>37-3011</v>
      </c>
      <c r="DC135" t="s">
        <v>920</v>
      </c>
      <c r="DD135" t="s">
        <v>134</v>
      </c>
      <c r="DE135" t="s">
        <v>134</v>
      </c>
      <c r="DF135" t="str">
        <f>""</f>
        <v/>
      </c>
      <c r="DH135" s="6">
        <v>14.91</v>
      </c>
      <c r="DI135" t="s">
        <v>344</v>
      </c>
      <c r="DK135" t="s">
        <v>345</v>
      </c>
      <c r="DR135" t="s">
        <v>12089</v>
      </c>
      <c r="DS135" s="6">
        <v>14.91</v>
      </c>
      <c r="DT135" t="s">
        <v>3921</v>
      </c>
      <c r="DU135" s="1">
        <v>44355</v>
      </c>
      <c r="DV135" s="1">
        <v>44444</v>
      </c>
    </row>
    <row r="136" spans="1:126" ht="15" customHeight="1" x14ac:dyDescent="0.35">
      <c r="A136" t="s">
        <v>8309</v>
      </c>
      <c r="B136" t="s">
        <v>318</v>
      </c>
      <c r="C136" s="1">
        <v>44321</v>
      </c>
      <c r="D136" s="1">
        <v>44355</v>
      </c>
      <c r="H136" t="s">
        <v>319</v>
      </c>
      <c r="I136" t="s">
        <v>8310</v>
      </c>
      <c r="J136" t="s">
        <v>8311</v>
      </c>
      <c r="L136" t="s">
        <v>395</v>
      </c>
      <c r="M136" t="s">
        <v>8312</v>
      </c>
      <c r="O136" t="s">
        <v>255</v>
      </c>
      <c r="P136" t="s">
        <v>256</v>
      </c>
      <c r="Q136" s="3">
        <v>63128</v>
      </c>
      <c r="R136" t="s">
        <v>128</v>
      </c>
      <c r="T136" s="4">
        <v>13148927733</v>
      </c>
      <c r="V136" t="s">
        <v>134</v>
      </c>
      <c r="W136" t="s">
        <v>8313</v>
      </c>
      <c r="Y136" t="s">
        <v>8314</v>
      </c>
      <c r="AA136" t="s">
        <v>255</v>
      </c>
      <c r="AB136" t="s">
        <v>258</v>
      </c>
      <c r="AC136" s="3" t="str">
        <f>"63128"</f>
        <v>63128</v>
      </c>
      <c r="AD136" t="s">
        <v>128</v>
      </c>
      <c r="AF136" s="4">
        <v>13148927733</v>
      </c>
      <c r="AH136" t="str">
        <f>"56173"</f>
        <v>56173</v>
      </c>
      <c r="AI136" t="s">
        <v>287</v>
      </c>
      <c r="AJ136" t="s">
        <v>3916</v>
      </c>
      <c r="AK136" t="s">
        <v>1225</v>
      </c>
      <c r="AL136" t="s">
        <v>589</v>
      </c>
      <c r="AM136" t="s">
        <v>3917</v>
      </c>
      <c r="AO136" t="s">
        <v>1513</v>
      </c>
      <c r="AP136" t="s">
        <v>400</v>
      </c>
      <c r="AQ136" s="5">
        <v>75231</v>
      </c>
      <c r="AR136" t="s">
        <v>128</v>
      </c>
      <c r="AT136" s="4">
        <v>12145265665</v>
      </c>
      <c r="AV136" t="s">
        <v>3918</v>
      </c>
      <c r="AW136" t="s">
        <v>3919</v>
      </c>
      <c r="AX136" t="s">
        <v>131</v>
      </c>
      <c r="AY136" t="s">
        <v>131</v>
      </c>
      <c r="AZ136" t="s">
        <v>131</v>
      </c>
      <c r="BA136" t="s">
        <v>131</v>
      </c>
      <c r="BB136" t="s">
        <v>131</v>
      </c>
      <c r="BC136" t="s">
        <v>131</v>
      </c>
      <c r="BD136" t="s">
        <v>131</v>
      </c>
      <c r="BE136" t="s">
        <v>132</v>
      </c>
      <c r="BH136" t="s">
        <v>2215</v>
      </c>
      <c r="BI136" t="s">
        <v>131</v>
      </c>
      <c r="BL136" t="s">
        <v>167</v>
      </c>
      <c r="BO136" t="s">
        <v>131</v>
      </c>
      <c r="BP136" t="s">
        <v>134</v>
      </c>
      <c r="BQ136" t="s">
        <v>131</v>
      </c>
      <c r="BS136" t="str">
        <f t="shared" si="9"/>
        <v>N/A</v>
      </c>
      <c r="BT136" t="s">
        <v>131</v>
      </c>
      <c r="BV136" t="str">
        <f>""</f>
        <v/>
      </c>
      <c r="BW136" t="s">
        <v>135</v>
      </c>
      <c r="BX136" t="str">
        <f>""</f>
        <v/>
      </c>
      <c r="BY136" t="str">
        <f>""</f>
        <v/>
      </c>
      <c r="BZ136" t="str">
        <f>""</f>
        <v/>
      </c>
      <c r="CA136" t="str">
        <f>"Must be able to lift 50 lbs, work in adverse weather conditions &amp; pass a pre-employment drug test paid by employer."</f>
        <v>Must be able to lift 50 lbs, work in adverse weather conditions &amp; pass a pre-employment drug test paid by employer.</v>
      </c>
      <c r="CB136" t="s">
        <v>131</v>
      </c>
      <c r="CF136" t="s">
        <v>131</v>
      </c>
      <c r="CH136" t="str">
        <f>""</f>
        <v/>
      </c>
      <c r="CI136" t="s">
        <v>131</v>
      </c>
      <c r="CK136" t="s">
        <v>131</v>
      </c>
      <c r="CL136" t="str">
        <f>""</f>
        <v/>
      </c>
      <c r="CM136" t="str">
        <f>""</f>
        <v/>
      </c>
      <c r="CN136" t="str">
        <f>""</f>
        <v/>
      </c>
      <c r="CO136" t="str">
        <f>""</f>
        <v/>
      </c>
      <c r="CP136" t="str">
        <f t="shared" si="10"/>
        <v>37-3011.00</v>
      </c>
      <c r="CQ136" t="s">
        <v>920</v>
      </c>
      <c r="CS136" t="s">
        <v>131</v>
      </c>
      <c r="CU136" t="s">
        <v>8312</v>
      </c>
      <c r="CW136" t="s">
        <v>255</v>
      </c>
      <c r="CX136" t="s">
        <v>258</v>
      </c>
      <c r="CZ136" s="3" t="str">
        <f>"63128"</f>
        <v>63128</v>
      </c>
      <c r="DA136" t="s">
        <v>135</v>
      </c>
      <c r="DB136" t="str">
        <f t="shared" si="11"/>
        <v>37-3011</v>
      </c>
      <c r="DC136" t="s">
        <v>920</v>
      </c>
      <c r="DD136" t="s">
        <v>134</v>
      </c>
      <c r="DE136" t="s">
        <v>134</v>
      </c>
      <c r="DF136" t="str">
        <f>""</f>
        <v/>
      </c>
      <c r="DH136" s="6">
        <v>15.37</v>
      </c>
      <c r="DI136" t="s">
        <v>344</v>
      </c>
      <c r="DK136" t="s">
        <v>345</v>
      </c>
      <c r="DR136" t="s">
        <v>4139</v>
      </c>
      <c r="DS136" s="6">
        <v>15.37</v>
      </c>
      <c r="DT136" t="s">
        <v>3921</v>
      </c>
      <c r="DU136" s="1">
        <v>44355</v>
      </c>
      <c r="DV136" s="1">
        <v>44444</v>
      </c>
    </row>
    <row r="137" spans="1:126" ht="15" customHeight="1" x14ac:dyDescent="0.35">
      <c r="A137" t="s">
        <v>14137</v>
      </c>
      <c r="B137" t="s">
        <v>318</v>
      </c>
      <c r="C137" s="1">
        <v>44322</v>
      </c>
      <c r="D137" s="1">
        <v>44355</v>
      </c>
      <c r="H137" t="s">
        <v>319</v>
      </c>
      <c r="I137" t="s">
        <v>458</v>
      </c>
      <c r="J137" t="s">
        <v>3991</v>
      </c>
      <c r="L137" t="s">
        <v>1105</v>
      </c>
      <c r="M137" t="s">
        <v>14138</v>
      </c>
      <c r="O137" t="s">
        <v>440</v>
      </c>
      <c r="P137" t="s">
        <v>441</v>
      </c>
      <c r="Q137" s="3">
        <v>43219</v>
      </c>
      <c r="R137" t="s">
        <v>128</v>
      </c>
      <c r="T137" s="4">
        <v>16144718733</v>
      </c>
      <c r="V137" t="s">
        <v>14139</v>
      </c>
      <c r="W137" t="s">
        <v>14140</v>
      </c>
      <c r="X137" t="s">
        <v>14141</v>
      </c>
      <c r="Y137" t="s">
        <v>14138</v>
      </c>
      <c r="AA137" t="s">
        <v>440</v>
      </c>
      <c r="AB137" t="s">
        <v>444</v>
      </c>
      <c r="AC137" s="3" t="str">
        <f>"43219"</f>
        <v>43219</v>
      </c>
      <c r="AD137" t="s">
        <v>128</v>
      </c>
      <c r="AF137" s="4">
        <v>16144718733</v>
      </c>
      <c r="AH137" t="str">
        <f>"56173"</f>
        <v>56173</v>
      </c>
      <c r="AI137" t="s">
        <v>287</v>
      </c>
      <c r="AJ137" t="s">
        <v>2209</v>
      </c>
      <c r="AK137" t="s">
        <v>1459</v>
      </c>
      <c r="AL137" t="s">
        <v>2210</v>
      </c>
      <c r="AM137" t="s">
        <v>2211</v>
      </c>
      <c r="AN137" t="s">
        <v>788</v>
      </c>
      <c r="AO137" t="s">
        <v>2212</v>
      </c>
      <c r="AP137" t="s">
        <v>400</v>
      </c>
      <c r="AQ137" s="5">
        <v>75033</v>
      </c>
      <c r="AR137" t="s">
        <v>128</v>
      </c>
      <c r="AT137" s="4">
        <v>19727789690</v>
      </c>
      <c r="AV137" t="s">
        <v>2213</v>
      </c>
      <c r="AW137" t="s">
        <v>2214</v>
      </c>
      <c r="AX137" t="s">
        <v>131</v>
      </c>
      <c r="AY137" t="s">
        <v>131</v>
      </c>
      <c r="AZ137" t="s">
        <v>131</v>
      </c>
      <c r="BA137" t="s">
        <v>131</v>
      </c>
      <c r="BB137" t="s">
        <v>131</v>
      </c>
      <c r="BC137" t="s">
        <v>131</v>
      </c>
      <c r="BD137" t="s">
        <v>131</v>
      </c>
      <c r="BE137" t="s">
        <v>132</v>
      </c>
      <c r="BH137" t="s">
        <v>2215</v>
      </c>
      <c r="BI137" t="s">
        <v>131</v>
      </c>
      <c r="BL137" t="s">
        <v>167</v>
      </c>
      <c r="BO137" t="s">
        <v>131</v>
      </c>
      <c r="BP137" t="s">
        <v>134</v>
      </c>
      <c r="BQ137" t="s">
        <v>131</v>
      </c>
      <c r="BS137" t="str">
        <f t="shared" si="9"/>
        <v>N/A</v>
      </c>
      <c r="BT137" t="s">
        <v>131</v>
      </c>
      <c r="BV137" t="str">
        <f>""</f>
        <v/>
      </c>
      <c r="BW137" t="s">
        <v>131</v>
      </c>
      <c r="BX137" t="str">
        <f>""</f>
        <v/>
      </c>
      <c r="BY137" t="str">
        <f>""</f>
        <v/>
      </c>
      <c r="BZ137" t="str">
        <f>""</f>
        <v/>
      </c>
      <c r="CA137" t="str">
        <f>""</f>
        <v/>
      </c>
      <c r="CB137" t="s">
        <v>131</v>
      </c>
      <c r="CF137" t="s">
        <v>131</v>
      </c>
      <c r="CH137" t="str">
        <f>""</f>
        <v/>
      </c>
      <c r="CI137" t="s">
        <v>131</v>
      </c>
      <c r="CK137" t="s">
        <v>131</v>
      </c>
      <c r="CL137" t="str">
        <f>""</f>
        <v/>
      </c>
      <c r="CM137" t="str">
        <f>""</f>
        <v/>
      </c>
      <c r="CN137" t="str">
        <f>""</f>
        <v/>
      </c>
      <c r="CO137" t="str">
        <f>""</f>
        <v/>
      </c>
      <c r="CP137" t="str">
        <f t="shared" si="10"/>
        <v>37-3011.00</v>
      </c>
      <c r="CQ137" t="s">
        <v>920</v>
      </c>
      <c r="CS137" t="s">
        <v>135</v>
      </c>
      <c r="CT137" t="s">
        <v>4773</v>
      </c>
      <c r="CU137" t="s">
        <v>14138</v>
      </c>
      <c r="CW137" t="s">
        <v>440</v>
      </c>
      <c r="CX137" t="s">
        <v>444</v>
      </c>
      <c r="CZ137" s="3" t="str">
        <f>"43219"</f>
        <v>43219</v>
      </c>
      <c r="DA137" t="s">
        <v>135</v>
      </c>
      <c r="DB137" t="str">
        <f t="shared" si="11"/>
        <v>37-3011</v>
      </c>
      <c r="DC137" t="s">
        <v>920</v>
      </c>
      <c r="DD137" t="s">
        <v>134</v>
      </c>
      <c r="DE137" t="s">
        <v>134</v>
      </c>
      <c r="DF137" t="str">
        <f>""</f>
        <v/>
      </c>
      <c r="DH137" s="6">
        <v>15.18</v>
      </c>
      <c r="DI137" t="s">
        <v>344</v>
      </c>
      <c r="DK137" t="s">
        <v>345</v>
      </c>
      <c r="DR137" t="s">
        <v>14142</v>
      </c>
      <c r="DS137" s="6">
        <v>15.18</v>
      </c>
      <c r="DT137" s="2" t="s">
        <v>8351</v>
      </c>
      <c r="DU137" s="1">
        <v>44355</v>
      </c>
      <c r="DV137" s="1">
        <v>44444</v>
      </c>
    </row>
    <row r="138" spans="1:126" ht="15" customHeight="1" x14ac:dyDescent="0.35">
      <c r="A138" t="s">
        <v>17974</v>
      </c>
      <c r="B138" t="s">
        <v>318</v>
      </c>
      <c r="C138" s="1">
        <v>44322</v>
      </c>
      <c r="D138" s="1">
        <v>44355</v>
      </c>
      <c r="H138" t="s">
        <v>319</v>
      </c>
      <c r="I138" t="s">
        <v>3779</v>
      </c>
      <c r="J138" t="s">
        <v>435</v>
      </c>
      <c r="L138" t="s">
        <v>1105</v>
      </c>
      <c r="M138" t="s">
        <v>17975</v>
      </c>
      <c r="O138" t="s">
        <v>735</v>
      </c>
      <c r="P138" t="s">
        <v>818</v>
      </c>
      <c r="Q138" s="3">
        <v>30022</v>
      </c>
      <c r="R138" t="s">
        <v>128</v>
      </c>
      <c r="T138" s="4">
        <v>17706490818</v>
      </c>
      <c r="V138" t="s">
        <v>134</v>
      </c>
      <c r="W138" t="s">
        <v>17976</v>
      </c>
      <c r="Y138" t="s">
        <v>17977</v>
      </c>
      <c r="AA138" t="s">
        <v>735</v>
      </c>
      <c r="AC138" s="3" t="str">
        <f>"30022"</f>
        <v>30022</v>
      </c>
      <c r="AD138" t="s">
        <v>643</v>
      </c>
      <c r="AF138" s="4">
        <v>17706490818</v>
      </c>
      <c r="AH138" t="str">
        <f>"5617"</f>
        <v>5617</v>
      </c>
      <c r="AI138" t="s">
        <v>287</v>
      </c>
      <c r="AJ138" t="s">
        <v>3916</v>
      </c>
      <c r="AK138" t="s">
        <v>1225</v>
      </c>
      <c r="AL138" t="s">
        <v>589</v>
      </c>
      <c r="AM138" t="s">
        <v>3917</v>
      </c>
      <c r="AO138" t="s">
        <v>1513</v>
      </c>
      <c r="AP138" t="s">
        <v>400</v>
      </c>
      <c r="AQ138" s="5">
        <v>75231</v>
      </c>
      <c r="AR138" t="s">
        <v>128</v>
      </c>
      <c r="AT138" s="4">
        <v>12145265665</v>
      </c>
      <c r="AV138" t="s">
        <v>3918</v>
      </c>
      <c r="AW138" t="s">
        <v>3919</v>
      </c>
      <c r="AX138" t="s">
        <v>131</v>
      </c>
      <c r="AY138" t="s">
        <v>131</v>
      </c>
      <c r="AZ138" t="s">
        <v>131</v>
      </c>
      <c r="BA138" t="s">
        <v>131</v>
      </c>
      <c r="BB138" t="s">
        <v>131</v>
      </c>
      <c r="BC138" t="s">
        <v>131</v>
      </c>
      <c r="BD138" t="s">
        <v>131</v>
      </c>
      <c r="BE138" t="s">
        <v>132</v>
      </c>
      <c r="BH138" t="s">
        <v>2215</v>
      </c>
      <c r="BI138" t="s">
        <v>131</v>
      </c>
      <c r="BL138" t="s">
        <v>167</v>
      </c>
      <c r="BO138" t="s">
        <v>131</v>
      </c>
      <c r="BP138" t="s">
        <v>134</v>
      </c>
      <c r="BQ138" t="s">
        <v>131</v>
      </c>
      <c r="BS138" t="str">
        <f t="shared" si="9"/>
        <v>N/A</v>
      </c>
      <c r="BT138" t="s">
        <v>131</v>
      </c>
      <c r="BV138" t="str">
        <f>""</f>
        <v/>
      </c>
      <c r="BW138" t="s">
        <v>135</v>
      </c>
      <c r="BX138" t="str">
        <f>""</f>
        <v/>
      </c>
      <c r="BY138" t="str">
        <f>""</f>
        <v/>
      </c>
      <c r="BZ138" t="str">
        <f>""</f>
        <v/>
      </c>
      <c r="CA138" t="str">
        <f>"Must be able to lift 50 lbs, work in adverse weather conditions &amp; pass pre &amp; post-employment drug test paid by. employer."</f>
        <v>Must be able to lift 50 lbs, work in adverse weather conditions &amp; pass pre &amp; post-employment drug test paid by. employer.</v>
      </c>
      <c r="CB138" t="s">
        <v>131</v>
      </c>
      <c r="CF138" t="s">
        <v>131</v>
      </c>
      <c r="CH138" t="str">
        <f>""</f>
        <v/>
      </c>
      <c r="CI138" t="s">
        <v>131</v>
      </c>
      <c r="CK138" t="s">
        <v>131</v>
      </c>
      <c r="CL138" t="str">
        <f>""</f>
        <v/>
      </c>
      <c r="CM138" t="str">
        <f>""</f>
        <v/>
      </c>
      <c r="CN138" t="str">
        <f>""</f>
        <v/>
      </c>
      <c r="CO138" t="str">
        <f>""</f>
        <v/>
      </c>
      <c r="CP138" t="str">
        <f t="shared" si="10"/>
        <v>37-3011.00</v>
      </c>
      <c r="CQ138" t="s">
        <v>920</v>
      </c>
      <c r="CS138" t="s">
        <v>131</v>
      </c>
      <c r="CU138" t="s">
        <v>17977</v>
      </c>
      <c r="CW138" t="s">
        <v>735</v>
      </c>
      <c r="CX138" t="s">
        <v>643</v>
      </c>
      <c r="CZ138" s="3" t="str">
        <f>"30022"</f>
        <v>30022</v>
      </c>
      <c r="DA138" t="s">
        <v>135</v>
      </c>
      <c r="DB138" t="str">
        <f t="shared" si="11"/>
        <v>37-3011</v>
      </c>
      <c r="DC138" t="s">
        <v>920</v>
      </c>
      <c r="DD138" t="s">
        <v>134</v>
      </c>
      <c r="DE138" t="s">
        <v>134</v>
      </c>
      <c r="DF138" t="str">
        <f>""</f>
        <v/>
      </c>
      <c r="DH138" s="6">
        <v>14.72</v>
      </c>
      <c r="DI138" t="s">
        <v>344</v>
      </c>
      <c r="DK138" t="s">
        <v>345</v>
      </c>
      <c r="DR138" t="s">
        <v>2218</v>
      </c>
      <c r="DS138" s="6">
        <v>14.72</v>
      </c>
      <c r="DT138" t="s">
        <v>3921</v>
      </c>
      <c r="DU138" s="1">
        <v>44355</v>
      </c>
      <c r="DV138" s="1">
        <v>44444</v>
      </c>
    </row>
    <row r="139" spans="1:126" ht="15" customHeight="1" x14ac:dyDescent="0.35">
      <c r="A139" t="s">
        <v>17741</v>
      </c>
      <c r="B139" t="s">
        <v>318</v>
      </c>
      <c r="C139" s="1">
        <v>44322</v>
      </c>
      <c r="D139" s="1">
        <v>44350</v>
      </c>
      <c r="H139" t="s">
        <v>319</v>
      </c>
      <c r="I139" t="s">
        <v>17742</v>
      </c>
      <c r="J139" t="s">
        <v>17743</v>
      </c>
      <c r="L139" t="s">
        <v>3346</v>
      </c>
      <c r="M139" t="s">
        <v>17744</v>
      </c>
      <c r="O139" t="s">
        <v>1271</v>
      </c>
      <c r="P139" t="s">
        <v>412</v>
      </c>
      <c r="Q139" s="3">
        <v>76111</v>
      </c>
      <c r="R139" t="s">
        <v>128</v>
      </c>
      <c r="T139" s="4">
        <v>18172847900</v>
      </c>
      <c r="V139" t="s">
        <v>17745</v>
      </c>
      <c r="W139" t="s">
        <v>17746</v>
      </c>
      <c r="Y139" t="s">
        <v>17744</v>
      </c>
      <c r="AA139" t="s">
        <v>1271</v>
      </c>
      <c r="AB139" t="s">
        <v>400</v>
      </c>
      <c r="AC139" s="3" t="str">
        <f>"76111"</f>
        <v>76111</v>
      </c>
      <c r="AD139" t="s">
        <v>128</v>
      </c>
      <c r="AF139" s="4">
        <v>18172847900</v>
      </c>
      <c r="AH139" t="str">
        <f>"5617"</f>
        <v>5617</v>
      </c>
      <c r="AI139" t="s">
        <v>287</v>
      </c>
      <c r="AJ139" t="s">
        <v>2209</v>
      </c>
      <c r="AK139" t="s">
        <v>1459</v>
      </c>
      <c r="AL139" t="s">
        <v>2210</v>
      </c>
      <c r="AM139" t="s">
        <v>2211</v>
      </c>
      <c r="AN139" t="s">
        <v>788</v>
      </c>
      <c r="AO139" t="s">
        <v>2212</v>
      </c>
      <c r="AP139" t="s">
        <v>400</v>
      </c>
      <c r="AQ139" s="5">
        <v>75033</v>
      </c>
      <c r="AR139" t="s">
        <v>128</v>
      </c>
      <c r="AT139" s="4">
        <v>19727789690</v>
      </c>
      <c r="AV139" t="s">
        <v>7179</v>
      </c>
      <c r="AW139" t="s">
        <v>2214</v>
      </c>
      <c r="AX139" t="s">
        <v>131</v>
      </c>
      <c r="AY139" t="s">
        <v>131</v>
      </c>
      <c r="AZ139" t="s">
        <v>131</v>
      </c>
      <c r="BA139" t="s">
        <v>131</v>
      </c>
      <c r="BB139" t="s">
        <v>131</v>
      </c>
      <c r="BC139" t="s">
        <v>131</v>
      </c>
      <c r="BD139" t="s">
        <v>131</v>
      </c>
      <c r="BE139" t="s">
        <v>132</v>
      </c>
      <c r="BH139" t="s">
        <v>17747</v>
      </c>
      <c r="BI139" t="s">
        <v>131</v>
      </c>
      <c r="BL139" t="s">
        <v>167</v>
      </c>
      <c r="BO139" t="s">
        <v>131</v>
      </c>
      <c r="BP139" t="s">
        <v>134</v>
      </c>
      <c r="BQ139" t="s">
        <v>131</v>
      </c>
      <c r="BS139" t="str">
        <f t="shared" si="9"/>
        <v>N/A</v>
      </c>
      <c r="BT139" t="s">
        <v>131</v>
      </c>
      <c r="BV139" t="str">
        <f>""</f>
        <v/>
      </c>
      <c r="BW139" t="s">
        <v>135</v>
      </c>
      <c r="BX139" t="str">
        <f>""</f>
        <v/>
      </c>
      <c r="BY139" t="str">
        <f>""</f>
        <v/>
      </c>
      <c r="BZ139" t="str">
        <f>""</f>
        <v/>
      </c>
      <c r="CA139" t="str">
        <f>"Post-employment criminal background check and drug test required, cost paid by employer. May include weekends and holidays as required. Applicants must complete an employment application. "</f>
        <v xml:space="preserve">Post-employment criminal background check and drug test required, cost paid by employer. May include weekends and holidays as required. Applicants must complete an employment application. </v>
      </c>
      <c r="CB139" t="s">
        <v>131</v>
      </c>
      <c r="CF139" t="s">
        <v>131</v>
      </c>
      <c r="CH139" t="str">
        <f>""</f>
        <v/>
      </c>
      <c r="CI139" t="s">
        <v>131</v>
      </c>
      <c r="CK139" t="s">
        <v>131</v>
      </c>
      <c r="CL139" t="str">
        <f>""</f>
        <v/>
      </c>
      <c r="CM139" t="str">
        <f>""</f>
        <v/>
      </c>
      <c r="CN139" t="str">
        <f>""</f>
        <v/>
      </c>
      <c r="CO139" t="str">
        <f>""</f>
        <v/>
      </c>
      <c r="CP139" t="str">
        <f t="shared" si="10"/>
        <v>37-3011.00</v>
      </c>
      <c r="CQ139" t="s">
        <v>920</v>
      </c>
      <c r="CS139" t="s">
        <v>135</v>
      </c>
      <c r="CT139" t="s">
        <v>4773</v>
      </c>
      <c r="CU139" t="s">
        <v>17748</v>
      </c>
      <c r="CW139" t="s">
        <v>17749</v>
      </c>
      <c r="CX139" t="s">
        <v>400</v>
      </c>
      <c r="CZ139" s="3" t="str">
        <f>"76111"</f>
        <v>76111</v>
      </c>
      <c r="DA139" t="s">
        <v>135</v>
      </c>
      <c r="DB139" t="str">
        <f t="shared" si="11"/>
        <v>37-3011</v>
      </c>
      <c r="DC139" t="s">
        <v>920</v>
      </c>
      <c r="DD139" t="s">
        <v>134</v>
      </c>
      <c r="DE139" t="s">
        <v>134</v>
      </c>
      <c r="DF139" t="str">
        <f>""</f>
        <v/>
      </c>
      <c r="DH139" s="6">
        <v>15.23</v>
      </c>
      <c r="DI139" t="s">
        <v>344</v>
      </c>
      <c r="DK139" t="s">
        <v>345</v>
      </c>
      <c r="DS139" s="6">
        <v>15.23</v>
      </c>
      <c r="DT139" s="2" t="s">
        <v>8351</v>
      </c>
      <c r="DU139" s="1">
        <v>44350</v>
      </c>
      <c r="DV139" s="1">
        <v>44439</v>
      </c>
    </row>
    <row r="140" spans="1:126" ht="15" customHeight="1" x14ac:dyDescent="0.35">
      <c r="A140" t="s">
        <v>11299</v>
      </c>
      <c r="B140" t="s">
        <v>318</v>
      </c>
      <c r="C140" s="1">
        <v>44322</v>
      </c>
      <c r="D140" s="1">
        <v>44355</v>
      </c>
      <c r="H140" t="s">
        <v>319</v>
      </c>
      <c r="I140" t="s">
        <v>11300</v>
      </c>
      <c r="J140" t="s">
        <v>1036</v>
      </c>
      <c r="L140" t="s">
        <v>395</v>
      </c>
      <c r="M140" t="s">
        <v>11301</v>
      </c>
      <c r="O140" t="s">
        <v>11302</v>
      </c>
      <c r="P140" t="s">
        <v>388</v>
      </c>
      <c r="Q140" s="3">
        <v>54636</v>
      </c>
      <c r="R140" t="s">
        <v>128</v>
      </c>
      <c r="T140" s="4">
        <v>16085269780</v>
      </c>
      <c r="V140" t="s">
        <v>134</v>
      </c>
      <c r="W140" t="s">
        <v>11303</v>
      </c>
      <c r="Y140" t="s">
        <v>11301</v>
      </c>
      <c r="AA140" t="s">
        <v>11302</v>
      </c>
      <c r="AB140" t="s">
        <v>389</v>
      </c>
      <c r="AC140" s="3" t="str">
        <f>"54636"</f>
        <v>54636</v>
      </c>
      <c r="AD140" t="s">
        <v>128</v>
      </c>
      <c r="AF140" s="4">
        <v>16085269780</v>
      </c>
      <c r="AH140" t="str">
        <f>"56173"</f>
        <v>56173</v>
      </c>
      <c r="AI140" t="s">
        <v>287</v>
      </c>
      <c r="AJ140" t="s">
        <v>3916</v>
      </c>
      <c r="AK140" t="s">
        <v>1225</v>
      </c>
      <c r="AL140" t="s">
        <v>589</v>
      </c>
      <c r="AM140" t="s">
        <v>3917</v>
      </c>
      <c r="AO140" t="s">
        <v>1513</v>
      </c>
      <c r="AP140" t="s">
        <v>400</v>
      </c>
      <c r="AQ140" s="5">
        <v>75231</v>
      </c>
      <c r="AR140" t="s">
        <v>128</v>
      </c>
      <c r="AT140" s="4">
        <v>12145265665</v>
      </c>
      <c r="AV140" t="s">
        <v>3918</v>
      </c>
      <c r="AW140" t="s">
        <v>3919</v>
      </c>
      <c r="AX140" t="s">
        <v>131</v>
      </c>
      <c r="AY140" t="s">
        <v>131</v>
      </c>
      <c r="AZ140" t="s">
        <v>131</v>
      </c>
      <c r="BA140" t="s">
        <v>131</v>
      </c>
      <c r="BB140" t="s">
        <v>131</v>
      </c>
      <c r="BC140" t="s">
        <v>131</v>
      </c>
      <c r="BD140" t="s">
        <v>131</v>
      </c>
      <c r="BE140" t="s">
        <v>132</v>
      </c>
      <c r="BH140" t="s">
        <v>10006</v>
      </c>
      <c r="BI140" t="s">
        <v>131</v>
      </c>
      <c r="BL140" t="s">
        <v>167</v>
      </c>
      <c r="BO140" t="s">
        <v>131</v>
      </c>
      <c r="BP140" t="s">
        <v>134</v>
      </c>
      <c r="BQ140" t="s">
        <v>131</v>
      </c>
      <c r="BS140" t="str">
        <f t="shared" si="9"/>
        <v>N/A</v>
      </c>
      <c r="BT140" t="s">
        <v>131</v>
      </c>
      <c r="BV140" t="str">
        <f>""</f>
        <v/>
      </c>
      <c r="BW140" t="s">
        <v>135</v>
      </c>
      <c r="BX140" t="str">
        <f>""</f>
        <v/>
      </c>
      <c r="BY140" t="str">
        <f>""</f>
        <v/>
      </c>
      <c r="BZ140" t="str">
        <f>""</f>
        <v/>
      </c>
      <c r="CA140" t="str">
        <f>"Must be able to lift 50 lbs, work in adverse weather conditions &amp; pass pre &amp; post-employment drug test paid by employer."</f>
        <v>Must be able to lift 50 lbs, work in adverse weather conditions &amp; pass pre &amp; post-employment drug test paid by employer.</v>
      </c>
      <c r="CB140" t="s">
        <v>131</v>
      </c>
      <c r="CF140" t="s">
        <v>131</v>
      </c>
      <c r="CH140" t="str">
        <f>""</f>
        <v/>
      </c>
      <c r="CI140" t="s">
        <v>131</v>
      </c>
      <c r="CK140" t="s">
        <v>131</v>
      </c>
      <c r="CL140" t="str">
        <f>""</f>
        <v/>
      </c>
      <c r="CM140" t="str">
        <f>""</f>
        <v/>
      </c>
      <c r="CN140" t="str">
        <f>""</f>
        <v/>
      </c>
      <c r="CO140" t="str">
        <f>""</f>
        <v/>
      </c>
      <c r="CP140" t="str">
        <f t="shared" si="10"/>
        <v>37-3011.00</v>
      </c>
      <c r="CQ140" t="s">
        <v>920</v>
      </c>
      <c r="CS140" t="s">
        <v>131</v>
      </c>
      <c r="CU140" t="s">
        <v>11301</v>
      </c>
      <c r="CW140" t="s">
        <v>11302</v>
      </c>
      <c r="CX140" t="s">
        <v>389</v>
      </c>
      <c r="CZ140" s="3" t="str">
        <f>"54636"</f>
        <v>54636</v>
      </c>
      <c r="DA140" t="s">
        <v>135</v>
      </c>
      <c r="DB140" t="str">
        <f t="shared" si="11"/>
        <v>37-3011</v>
      </c>
      <c r="DC140" t="s">
        <v>920</v>
      </c>
      <c r="DD140" t="s">
        <v>134</v>
      </c>
      <c r="DE140" t="s">
        <v>134</v>
      </c>
      <c r="DF140" t="str">
        <f>""</f>
        <v/>
      </c>
      <c r="DH140" s="6">
        <v>15.26</v>
      </c>
      <c r="DI140" t="s">
        <v>344</v>
      </c>
      <c r="DK140" t="s">
        <v>345</v>
      </c>
      <c r="DR140" t="s">
        <v>11304</v>
      </c>
      <c r="DS140" s="6">
        <v>15.26</v>
      </c>
      <c r="DT140" t="s">
        <v>3921</v>
      </c>
      <c r="DU140" s="1">
        <v>44355</v>
      </c>
      <c r="DV140" s="1">
        <v>44444</v>
      </c>
    </row>
    <row r="141" spans="1:126" ht="15" customHeight="1" x14ac:dyDescent="0.35">
      <c r="A141" t="s">
        <v>17963</v>
      </c>
      <c r="B141" t="s">
        <v>318</v>
      </c>
      <c r="C141" s="1">
        <v>44322</v>
      </c>
      <c r="D141" s="1">
        <v>44350</v>
      </c>
      <c r="H141" t="s">
        <v>319</v>
      </c>
      <c r="I141" t="s">
        <v>14330</v>
      </c>
      <c r="J141" t="s">
        <v>2516</v>
      </c>
      <c r="K141" t="s">
        <v>192</v>
      </c>
      <c r="L141" t="s">
        <v>1105</v>
      </c>
      <c r="M141" t="s">
        <v>14331</v>
      </c>
      <c r="O141" t="s">
        <v>13990</v>
      </c>
      <c r="P141" t="s">
        <v>1760</v>
      </c>
      <c r="Q141" s="3">
        <v>70759</v>
      </c>
      <c r="R141" t="s">
        <v>128</v>
      </c>
      <c r="T141" s="4">
        <v>12257180246</v>
      </c>
      <c r="V141" t="s">
        <v>14332</v>
      </c>
      <c r="W141" t="s">
        <v>14333</v>
      </c>
      <c r="Y141" t="s">
        <v>14331</v>
      </c>
      <c r="AA141" t="s">
        <v>13990</v>
      </c>
      <c r="AB141" t="s">
        <v>1763</v>
      </c>
      <c r="AC141" s="3" t="str">
        <f>"70759"</f>
        <v>70759</v>
      </c>
      <c r="AD141" t="s">
        <v>128</v>
      </c>
      <c r="AF141" s="4">
        <v>12257186193</v>
      </c>
      <c r="AH141" t="str">
        <f>"56173"</f>
        <v>56173</v>
      </c>
      <c r="AI141" t="s">
        <v>287</v>
      </c>
      <c r="AJ141" t="s">
        <v>2304</v>
      </c>
      <c r="AK141" t="s">
        <v>5773</v>
      </c>
      <c r="AL141" t="s">
        <v>589</v>
      </c>
      <c r="AM141" t="s">
        <v>5774</v>
      </c>
      <c r="AN141" t="s">
        <v>5775</v>
      </c>
      <c r="AO141" t="s">
        <v>5776</v>
      </c>
      <c r="AP141" t="s">
        <v>1763</v>
      </c>
      <c r="AQ141" s="5">
        <v>70754</v>
      </c>
      <c r="AR141" t="s">
        <v>128</v>
      </c>
      <c r="AS141" t="s">
        <v>1763</v>
      </c>
      <c r="AT141" s="4">
        <v>12256863033</v>
      </c>
      <c r="AV141" t="s">
        <v>5777</v>
      </c>
      <c r="AW141" t="s">
        <v>5778</v>
      </c>
      <c r="AX141" t="s">
        <v>131</v>
      </c>
      <c r="AY141" t="s">
        <v>131</v>
      </c>
      <c r="AZ141" t="s">
        <v>131</v>
      </c>
      <c r="BA141" t="s">
        <v>131</v>
      </c>
      <c r="BB141" t="s">
        <v>131</v>
      </c>
      <c r="BC141" t="s">
        <v>131</v>
      </c>
      <c r="BD141" t="s">
        <v>131</v>
      </c>
      <c r="BE141" t="s">
        <v>132</v>
      </c>
      <c r="BH141" t="s">
        <v>17964</v>
      </c>
      <c r="BI141" t="s">
        <v>131</v>
      </c>
      <c r="BL141" t="s">
        <v>167</v>
      </c>
      <c r="BO141" t="s">
        <v>131</v>
      </c>
      <c r="BP141" t="s">
        <v>134</v>
      </c>
      <c r="BQ141" t="s">
        <v>131</v>
      </c>
      <c r="BS141" t="str">
        <f t="shared" ref="BS141:BS156" si="12">"N/A"</f>
        <v>N/A</v>
      </c>
      <c r="BT141" t="s">
        <v>131</v>
      </c>
      <c r="BV141" t="str">
        <f>""</f>
        <v/>
      </c>
      <c r="BW141" t="s">
        <v>135</v>
      </c>
      <c r="BX141" t="str">
        <f>""</f>
        <v/>
      </c>
      <c r="BY141" t="str">
        <f>""</f>
        <v/>
      </c>
      <c r="BZ141" t="str">
        <f>""</f>
        <v/>
      </c>
      <c r="CA141" s="2" t="s">
        <v>12870</v>
      </c>
      <c r="CB141" t="s">
        <v>131</v>
      </c>
      <c r="CF141" t="s">
        <v>131</v>
      </c>
      <c r="CH141" t="str">
        <f>""</f>
        <v/>
      </c>
      <c r="CI141" t="s">
        <v>131</v>
      </c>
      <c r="CK141" t="s">
        <v>131</v>
      </c>
      <c r="CL141" t="str">
        <f>""</f>
        <v/>
      </c>
      <c r="CM141" t="str">
        <f>""</f>
        <v/>
      </c>
      <c r="CN141" t="str">
        <f>""</f>
        <v/>
      </c>
      <c r="CO141" t="str">
        <f>""</f>
        <v/>
      </c>
      <c r="CP141" t="str">
        <f t="shared" si="10"/>
        <v>37-3011.00</v>
      </c>
      <c r="CQ141" t="s">
        <v>920</v>
      </c>
      <c r="CS141" t="s">
        <v>135</v>
      </c>
      <c r="CT141" t="s">
        <v>5779</v>
      </c>
      <c r="CU141" t="s">
        <v>14331</v>
      </c>
      <c r="CW141" t="s">
        <v>14334</v>
      </c>
      <c r="CX141" t="s">
        <v>1763</v>
      </c>
      <c r="CZ141" s="3" t="str">
        <f>"70759"</f>
        <v>70759</v>
      </c>
      <c r="DA141" t="s">
        <v>135</v>
      </c>
      <c r="DB141" t="str">
        <f t="shared" si="11"/>
        <v>37-3011</v>
      </c>
      <c r="DC141" t="s">
        <v>920</v>
      </c>
      <c r="DD141" t="s">
        <v>134</v>
      </c>
      <c r="DE141" t="s">
        <v>134</v>
      </c>
      <c r="DF141" t="str">
        <f>""</f>
        <v/>
      </c>
      <c r="DH141" s="6">
        <v>14.59</v>
      </c>
      <c r="DI141" t="s">
        <v>344</v>
      </c>
      <c r="DK141" t="s">
        <v>345</v>
      </c>
      <c r="DR141" t="s">
        <v>3877</v>
      </c>
      <c r="DS141" s="6">
        <v>14.59</v>
      </c>
      <c r="DT141" s="2" t="s">
        <v>8351</v>
      </c>
      <c r="DU141" s="1">
        <v>44350</v>
      </c>
      <c r="DV141" s="1">
        <v>44439</v>
      </c>
    </row>
    <row r="142" spans="1:126" ht="15" customHeight="1" x14ac:dyDescent="0.35">
      <c r="A142" t="s">
        <v>8758</v>
      </c>
      <c r="B142" t="s">
        <v>318</v>
      </c>
      <c r="C142" s="1">
        <v>44322</v>
      </c>
      <c r="D142" s="1">
        <v>44355</v>
      </c>
      <c r="H142" t="s">
        <v>319</v>
      </c>
      <c r="I142" t="s">
        <v>8005</v>
      </c>
      <c r="J142" t="s">
        <v>1222</v>
      </c>
      <c r="L142" t="s">
        <v>1281</v>
      </c>
      <c r="M142" t="s">
        <v>8759</v>
      </c>
      <c r="O142" t="s">
        <v>8760</v>
      </c>
      <c r="P142" t="s">
        <v>818</v>
      </c>
      <c r="Q142" s="3">
        <v>30517</v>
      </c>
      <c r="R142" t="s">
        <v>128</v>
      </c>
      <c r="T142" s="4">
        <v>16789604748</v>
      </c>
      <c r="V142" t="s">
        <v>134</v>
      </c>
      <c r="W142" t="s">
        <v>8761</v>
      </c>
      <c r="Y142" t="s">
        <v>8759</v>
      </c>
      <c r="AA142" t="s">
        <v>8760</v>
      </c>
      <c r="AB142" t="s">
        <v>643</v>
      </c>
      <c r="AC142" s="3" t="str">
        <f>"30517"</f>
        <v>30517</v>
      </c>
      <c r="AD142" t="s">
        <v>128</v>
      </c>
      <c r="AF142" s="4">
        <v>16789604748</v>
      </c>
      <c r="AH142" t="str">
        <f>"23811"</f>
        <v>23811</v>
      </c>
      <c r="AI142" t="s">
        <v>287</v>
      </c>
      <c r="AJ142" t="s">
        <v>3916</v>
      </c>
      <c r="AK142" t="s">
        <v>1225</v>
      </c>
      <c r="AL142" t="s">
        <v>589</v>
      </c>
      <c r="AM142" t="s">
        <v>3917</v>
      </c>
      <c r="AO142" t="s">
        <v>1513</v>
      </c>
      <c r="AP142" t="s">
        <v>400</v>
      </c>
      <c r="AQ142" s="5">
        <v>75231</v>
      </c>
      <c r="AR142" t="s">
        <v>128</v>
      </c>
      <c r="AT142" s="4">
        <v>12145265665</v>
      </c>
      <c r="AV142" t="s">
        <v>3918</v>
      </c>
      <c r="AW142" t="s">
        <v>3919</v>
      </c>
      <c r="AX142" t="s">
        <v>131</v>
      </c>
      <c r="AY142" t="s">
        <v>131</v>
      </c>
      <c r="AZ142" t="s">
        <v>131</v>
      </c>
      <c r="BA142" t="s">
        <v>131</v>
      </c>
      <c r="BB142" t="s">
        <v>131</v>
      </c>
      <c r="BC142" t="s">
        <v>131</v>
      </c>
      <c r="BD142" t="s">
        <v>131</v>
      </c>
      <c r="BE142" t="s">
        <v>132</v>
      </c>
      <c r="BH142" t="s">
        <v>6294</v>
      </c>
      <c r="BI142" t="s">
        <v>131</v>
      </c>
      <c r="BL142" t="s">
        <v>167</v>
      </c>
      <c r="BO142" t="s">
        <v>131</v>
      </c>
      <c r="BP142" t="s">
        <v>134</v>
      </c>
      <c r="BQ142" t="s">
        <v>131</v>
      </c>
      <c r="BS142" t="str">
        <f t="shared" si="12"/>
        <v>N/A</v>
      </c>
      <c r="BT142" t="s">
        <v>131</v>
      </c>
      <c r="BV142" t="str">
        <f>""</f>
        <v/>
      </c>
      <c r="BW142" t="s">
        <v>135</v>
      </c>
      <c r="BX142" t="str">
        <f>""</f>
        <v/>
      </c>
      <c r="BY142" t="str">
        <f>""</f>
        <v/>
      </c>
      <c r="BZ142" t="str">
        <f>""</f>
        <v/>
      </c>
      <c r="CA142" t="str">
        <f>"Must be able to lift 50 lbs, work in adverse weather conditions &amp; pass pre &amp; post-employment drug test paid by employer."</f>
        <v>Must be able to lift 50 lbs, work in adverse weather conditions &amp; pass pre &amp; post-employment drug test paid by employer.</v>
      </c>
      <c r="CB142" t="s">
        <v>131</v>
      </c>
      <c r="CF142" t="s">
        <v>131</v>
      </c>
      <c r="CH142" t="str">
        <f>""</f>
        <v/>
      </c>
      <c r="CI142" t="s">
        <v>131</v>
      </c>
      <c r="CK142" t="s">
        <v>131</v>
      </c>
      <c r="CL142" t="str">
        <f>""</f>
        <v/>
      </c>
      <c r="CM142" t="str">
        <f>""</f>
        <v/>
      </c>
      <c r="CN142" t="str">
        <f>""</f>
        <v/>
      </c>
      <c r="CO142" t="str">
        <f>""</f>
        <v/>
      </c>
      <c r="CP142" t="str">
        <f>"47-2051.00"</f>
        <v>47-2051.00</v>
      </c>
      <c r="CQ142" t="s">
        <v>5057</v>
      </c>
      <c r="CS142" t="s">
        <v>131</v>
      </c>
      <c r="CU142" t="s">
        <v>8759</v>
      </c>
      <c r="CW142" t="s">
        <v>8760</v>
      </c>
      <c r="CX142" t="s">
        <v>643</v>
      </c>
      <c r="CZ142" s="3" t="str">
        <f>"30517"</f>
        <v>30517</v>
      </c>
      <c r="DA142" t="s">
        <v>135</v>
      </c>
      <c r="DB142" t="str">
        <f>"47-2051"</f>
        <v>47-2051</v>
      </c>
      <c r="DC142" t="s">
        <v>5057</v>
      </c>
      <c r="DD142" t="s">
        <v>134</v>
      </c>
      <c r="DE142" t="s">
        <v>134</v>
      </c>
      <c r="DF142" t="str">
        <f>""</f>
        <v/>
      </c>
      <c r="DH142" s="6">
        <v>17.100000000000001</v>
      </c>
      <c r="DI142" t="s">
        <v>344</v>
      </c>
      <c r="DK142" t="s">
        <v>345</v>
      </c>
      <c r="DR142" t="s">
        <v>8762</v>
      </c>
      <c r="DS142" s="6">
        <v>21.95</v>
      </c>
      <c r="DT142" t="s">
        <v>3921</v>
      </c>
      <c r="DU142" s="1">
        <v>44355</v>
      </c>
      <c r="DV142" s="1">
        <v>44444</v>
      </c>
    </row>
    <row r="143" spans="1:126" ht="15" customHeight="1" x14ac:dyDescent="0.35">
      <c r="A143" t="s">
        <v>16369</v>
      </c>
      <c r="B143" t="s">
        <v>318</v>
      </c>
      <c r="C143" s="1">
        <v>44322</v>
      </c>
      <c r="D143" s="1">
        <v>44350</v>
      </c>
      <c r="H143" t="s">
        <v>319</v>
      </c>
      <c r="I143" t="s">
        <v>1540</v>
      </c>
      <c r="J143" t="s">
        <v>16370</v>
      </c>
      <c r="L143" t="s">
        <v>16371</v>
      </c>
      <c r="M143" t="s">
        <v>16372</v>
      </c>
      <c r="N143" t="s">
        <v>16373</v>
      </c>
      <c r="O143" t="s">
        <v>16374</v>
      </c>
      <c r="P143" t="s">
        <v>412</v>
      </c>
      <c r="Q143" s="3">
        <v>75861</v>
      </c>
      <c r="R143" t="s">
        <v>128</v>
      </c>
      <c r="T143" s="4">
        <v>13184719529</v>
      </c>
      <c r="V143" t="s">
        <v>16375</v>
      </c>
      <c r="W143" t="s">
        <v>16376</v>
      </c>
      <c r="Y143" t="s">
        <v>16372</v>
      </c>
      <c r="Z143" t="s">
        <v>16377</v>
      </c>
      <c r="AA143" t="s">
        <v>16374</v>
      </c>
      <c r="AB143" t="s">
        <v>400</v>
      </c>
      <c r="AC143" s="3" t="str">
        <f>"75861"</f>
        <v>75861</v>
      </c>
      <c r="AD143" t="s">
        <v>128</v>
      </c>
      <c r="AF143" s="4">
        <v>19039282208</v>
      </c>
      <c r="AH143" t="str">
        <f>"1153"</f>
        <v>1153</v>
      </c>
      <c r="AI143" t="s">
        <v>287</v>
      </c>
      <c r="AJ143" t="s">
        <v>4134</v>
      </c>
      <c r="AK143" t="s">
        <v>3493</v>
      </c>
      <c r="AM143" t="s">
        <v>4135</v>
      </c>
      <c r="AO143" t="s">
        <v>4136</v>
      </c>
      <c r="AP143" t="s">
        <v>643</v>
      </c>
      <c r="AQ143" s="5">
        <v>31636</v>
      </c>
      <c r="AR143" t="s">
        <v>128</v>
      </c>
      <c r="AT143" s="4">
        <v>12295596879</v>
      </c>
      <c r="AV143" t="s">
        <v>4137</v>
      </c>
      <c r="AW143" t="s">
        <v>4138</v>
      </c>
      <c r="AX143" t="s">
        <v>131</v>
      </c>
      <c r="AY143" t="s">
        <v>131</v>
      </c>
      <c r="AZ143" t="s">
        <v>131</v>
      </c>
      <c r="BA143" t="s">
        <v>131</v>
      </c>
      <c r="BB143" t="s">
        <v>131</v>
      </c>
      <c r="BC143" t="s">
        <v>131</v>
      </c>
      <c r="BD143" t="s">
        <v>131</v>
      </c>
      <c r="BE143" t="s">
        <v>132</v>
      </c>
      <c r="BH143" t="s">
        <v>6052</v>
      </c>
      <c r="BI143" t="s">
        <v>131</v>
      </c>
      <c r="BL143" t="s">
        <v>167</v>
      </c>
      <c r="BO143" t="s">
        <v>131</v>
      </c>
      <c r="BP143" t="s">
        <v>134</v>
      </c>
      <c r="BQ143" t="s">
        <v>131</v>
      </c>
      <c r="BS143" t="str">
        <f t="shared" si="12"/>
        <v>N/A</v>
      </c>
      <c r="BT143" t="s">
        <v>131</v>
      </c>
      <c r="BV143" t="str">
        <f>""</f>
        <v/>
      </c>
      <c r="BW143" t="s">
        <v>135</v>
      </c>
      <c r="BX143" t="str">
        <f>""</f>
        <v/>
      </c>
      <c r="BY143" t="str">
        <f>""</f>
        <v/>
      </c>
      <c r="BZ143" t="str">
        <f>""</f>
        <v/>
      </c>
      <c r="CA143" t="str">
        <f>"Requires physical stamina. Work is in adverse weather. Must lift and carry 50 lbs.  Extensive walking over rough terrain. Work schedule and locations dependent on weather conditions."</f>
        <v>Requires physical stamina. Work is in adverse weather. Must lift and carry 50 lbs.  Extensive walking over rough terrain. Work schedule and locations dependent on weather conditions.</v>
      </c>
      <c r="CB143" t="s">
        <v>131</v>
      </c>
      <c r="CF143" t="s">
        <v>131</v>
      </c>
      <c r="CH143" t="str">
        <f>""</f>
        <v/>
      </c>
      <c r="CI143" t="s">
        <v>131</v>
      </c>
      <c r="CK143" t="s">
        <v>131</v>
      </c>
      <c r="CL143" t="str">
        <f>""</f>
        <v/>
      </c>
      <c r="CM143" t="str">
        <f>""</f>
        <v/>
      </c>
      <c r="CN143" t="str">
        <f>""</f>
        <v/>
      </c>
      <c r="CO143" t="str">
        <f>""</f>
        <v/>
      </c>
      <c r="CP143" t="str">
        <f>"45-4011.00"</f>
        <v>45-4011.00</v>
      </c>
      <c r="CQ143" t="s">
        <v>4310</v>
      </c>
      <c r="CS143" t="s">
        <v>135</v>
      </c>
      <c r="CT143" t="s">
        <v>2925</v>
      </c>
      <c r="CU143" t="s">
        <v>16378</v>
      </c>
      <c r="CW143" t="s">
        <v>16379</v>
      </c>
      <c r="CX143" t="s">
        <v>1763</v>
      </c>
      <c r="CZ143" s="3" t="str">
        <f>"71031"</f>
        <v>71031</v>
      </c>
      <c r="DA143" t="s">
        <v>135</v>
      </c>
      <c r="DB143" t="str">
        <f>"45-4011"</f>
        <v>45-4011</v>
      </c>
      <c r="DC143" t="s">
        <v>4310</v>
      </c>
      <c r="DD143" t="s">
        <v>134</v>
      </c>
      <c r="DE143" t="s">
        <v>134</v>
      </c>
      <c r="DF143" t="str">
        <f>""</f>
        <v/>
      </c>
      <c r="DH143" s="6">
        <v>17.63</v>
      </c>
      <c r="DI143" t="s">
        <v>344</v>
      </c>
      <c r="DK143" t="s">
        <v>345</v>
      </c>
      <c r="DS143" s="6">
        <v>18.23</v>
      </c>
      <c r="DT143" s="2" t="s">
        <v>8351</v>
      </c>
      <c r="DU143" s="1">
        <v>44350</v>
      </c>
      <c r="DV143" s="1">
        <v>44439</v>
      </c>
    </row>
    <row r="144" spans="1:126" ht="15" customHeight="1" x14ac:dyDescent="0.35">
      <c r="A144" t="s">
        <v>14090</v>
      </c>
      <c r="B144" t="s">
        <v>318</v>
      </c>
      <c r="C144" s="1">
        <v>44322</v>
      </c>
      <c r="D144" s="1">
        <v>44350</v>
      </c>
      <c r="H144" t="s">
        <v>319</v>
      </c>
      <c r="I144" t="s">
        <v>7531</v>
      </c>
      <c r="J144" t="s">
        <v>615</v>
      </c>
      <c r="K144" t="s">
        <v>3946</v>
      </c>
      <c r="L144" t="s">
        <v>395</v>
      </c>
      <c r="M144" t="s">
        <v>7532</v>
      </c>
      <c r="N144" t="s">
        <v>7533</v>
      </c>
      <c r="O144" t="s">
        <v>7534</v>
      </c>
      <c r="P144" t="s">
        <v>396</v>
      </c>
      <c r="Q144" s="3">
        <v>72802</v>
      </c>
      <c r="R144" t="s">
        <v>128</v>
      </c>
      <c r="T144" s="4">
        <v>14795675289</v>
      </c>
      <c r="V144" t="s">
        <v>7535</v>
      </c>
      <c r="W144" t="s">
        <v>7536</v>
      </c>
      <c r="Y144" t="s">
        <v>7532</v>
      </c>
      <c r="Z144" t="s">
        <v>7533</v>
      </c>
      <c r="AA144" t="s">
        <v>7534</v>
      </c>
      <c r="AB144" t="s">
        <v>397</v>
      </c>
      <c r="AC144" s="3" t="str">
        <f>"72802"</f>
        <v>72802</v>
      </c>
      <c r="AD144" t="s">
        <v>128</v>
      </c>
      <c r="AF144" s="4">
        <v>14795675289</v>
      </c>
      <c r="AH144" t="str">
        <f>"11531"</f>
        <v>11531</v>
      </c>
      <c r="AI144" t="s">
        <v>287</v>
      </c>
      <c r="AJ144" t="s">
        <v>4134</v>
      </c>
      <c r="AK144" t="s">
        <v>3493</v>
      </c>
      <c r="AM144" t="s">
        <v>4135</v>
      </c>
      <c r="AO144" t="s">
        <v>4136</v>
      </c>
      <c r="AP144" t="s">
        <v>643</v>
      </c>
      <c r="AQ144" s="5">
        <v>31636</v>
      </c>
      <c r="AR144" t="s">
        <v>128</v>
      </c>
      <c r="AT144" s="4">
        <v>12295596879</v>
      </c>
      <c r="AV144" t="s">
        <v>4137</v>
      </c>
      <c r="AW144" t="s">
        <v>4138</v>
      </c>
      <c r="AX144" t="s">
        <v>131</v>
      </c>
      <c r="AY144" t="s">
        <v>131</v>
      </c>
      <c r="AZ144" t="s">
        <v>131</v>
      </c>
      <c r="BA144" t="s">
        <v>131</v>
      </c>
      <c r="BB144" t="s">
        <v>131</v>
      </c>
      <c r="BC144" t="s">
        <v>131</v>
      </c>
      <c r="BD144" t="s">
        <v>131</v>
      </c>
      <c r="BE144" t="s">
        <v>132</v>
      </c>
      <c r="BH144" t="s">
        <v>8273</v>
      </c>
      <c r="BI144" t="s">
        <v>131</v>
      </c>
      <c r="BL144" t="s">
        <v>167</v>
      </c>
      <c r="BO144" t="s">
        <v>131</v>
      </c>
      <c r="BP144" t="s">
        <v>134</v>
      </c>
      <c r="BQ144" t="s">
        <v>131</v>
      </c>
      <c r="BS144" t="str">
        <f t="shared" si="12"/>
        <v>N/A</v>
      </c>
      <c r="BT144" t="s">
        <v>131</v>
      </c>
      <c r="BV144" t="str">
        <f>""</f>
        <v/>
      </c>
      <c r="BW144" t="s">
        <v>135</v>
      </c>
      <c r="BX144" t="str">
        <f>""</f>
        <v/>
      </c>
      <c r="BY144" t="str">
        <f>""</f>
        <v/>
      </c>
      <c r="BZ144" t="str">
        <f>""</f>
        <v/>
      </c>
      <c r="CA144" t="s">
        <v>14091</v>
      </c>
      <c r="CB144" t="s">
        <v>131</v>
      </c>
      <c r="CF144" t="s">
        <v>131</v>
      </c>
      <c r="CH144" t="str">
        <f>""</f>
        <v/>
      </c>
      <c r="CI144" t="s">
        <v>131</v>
      </c>
      <c r="CK144" t="s">
        <v>131</v>
      </c>
      <c r="CL144" t="str">
        <f>""</f>
        <v/>
      </c>
      <c r="CM144" t="str">
        <f>""</f>
        <v/>
      </c>
      <c r="CN144" t="str">
        <f>""</f>
        <v/>
      </c>
      <c r="CO144" t="str">
        <f>""</f>
        <v/>
      </c>
      <c r="CP144" t="str">
        <f>"45-4011.00"</f>
        <v>45-4011.00</v>
      </c>
      <c r="CQ144" t="s">
        <v>4310</v>
      </c>
      <c r="CS144" t="s">
        <v>135</v>
      </c>
      <c r="CT144" t="s">
        <v>2925</v>
      </c>
      <c r="CU144" t="s">
        <v>14092</v>
      </c>
      <c r="CW144" t="s">
        <v>14093</v>
      </c>
      <c r="CX144" t="s">
        <v>630</v>
      </c>
      <c r="CZ144" s="3" t="str">
        <f>"38901"</f>
        <v>38901</v>
      </c>
      <c r="DA144" t="s">
        <v>135</v>
      </c>
      <c r="DB144" t="str">
        <f>"45-4011"</f>
        <v>45-4011</v>
      </c>
      <c r="DC144" t="s">
        <v>4310</v>
      </c>
      <c r="DD144" t="s">
        <v>134</v>
      </c>
      <c r="DE144" t="s">
        <v>134</v>
      </c>
      <c r="DF144" t="str">
        <f>""</f>
        <v/>
      </c>
      <c r="DH144" s="6">
        <v>15.76</v>
      </c>
      <c r="DI144" t="s">
        <v>344</v>
      </c>
      <c r="DK144" t="s">
        <v>345</v>
      </c>
      <c r="DS144" s="6">
        <v>20.53</v>
      </c>
      <c r="DT144" s="2" t="s">
        <v>8351</v>
      </c>
      <c r="DU144" s="1">
        <v>44350</v>
      </c>
      <c r="DV144" s="1">
        <v>44439</v>
      </c>
    </row>
    <row r="145" spans="1:126" ht="15" customHeight="1" x14ac:dyDescent="0.35">
      <c r="A145" t="s">
        <v>16033</v>
      </c>
      <c r="B145" t="s">
        <v>318</v>
      </c>
      <c r="C145" s="1">
        <v>44322</v>
      </c>
      <c r="D145" s="1">
        <v>44350</v>
      </c>
      <c r="H145" t="s">
        <v>319</v>
      </c>
      <c r="I145" t="s">
        <v>7531</v>
      </c>
      <c r="J145" t="s">
        <v>615</v>
      </c>
      <c r="K145" t="s">
        <v>3946</v>
      </c>
      <c r="L145" t="s">
        <v>395</v>
      </c>
      <c r="M145" t="s">
        <v>7532</v>
      </c>
      <c r="N145" t="s">
        <v>7533</v>
      </c>
      <c r="O145" t="s">
        <v>7534</v>
      </c>
      <c r="P145" t="s">
        <v>396</v>
      </c>
      <c r="Q145" s="3">
        <v>72802</v>
      </c>
      <c r="R145" t="s">
        <v>128</v>
      </c>
      <c r="T145" s="4">
        <v>14795675289</v>
      </c>
      <c r="V145" t="s">
        <v>7535</v>
      </c>
      <c r="W145" t="s">
        <v>7536</v>
      </c>
      <c r="Y145" t="s">
        <v>7532</v>
      </c>
      <c r="Z145" t="s">
        <v>7533</v>
      </c>
      <c r="AA145" t="s">
        <v>7534</v>
      </c>
      <c r="AB145" t="s">
        <v>397</v>
      </c>
      <c r="AC145" s="3" t="str">
        <f>"72802"</f>
        <v>72802</v>
      </c>
      <c r="AD145" t="s">
        <v>128</v>
      </c>
      <c r="AF145" s="4">
        <v>14795675289</v>
      </c>
      <c r="AH145" t="str">
        <f>"1153"</f>
        <v>1153</v>
      </c>
      <c r="AI145" t="s">
        <v>287</v>
      </c>
      <c r="AJ145" t="s">
        <v>4134</v>
      </c>
      <c r="AK145" t="s">
        <v>3493</v>
      </c>
      <c r="AM145" t="s">
        <v>4135</v>
      </c>
      <c r="AO145" t="s">
        <v>4136</v>
      </c>
      <c r="AP145" t="s">
        <v>643</v>
      </c>
      <c r="AQ145" s="5">
        <v>31636</v>
      </c>
      <c r="AR145" t="s">
        <v>128</v>
      </c>
      <c r="AT145" s="4">
        <v>12295596879</v>
      </c>
      <c r="AV145" t="s">
        <v>4137</v>
      </c>
      <c r="AW145" t="s">
        <v>4138</v>
      </c>
      <c r="AX145" t="s">
        <v>131</v>
      </c>
      <c r="AY145" t="s">
        <v>131</v>
      </c>
      <c r="AZ145" t="s">
        <v>131</v>
      </c>
      <c r="BA145" t="s">
        <v>131</v>
      </c>
      <c r="BB145" t="s">
        <v>131</v>
      </c>
      <c r="BC145" t="s">
        <v>131</v>
      </c>
      <c r="BD145" t="s">
        <v>131</v>
      </c>
      <c r="BE145" t="s">
        <v>132</v>
      </c>
      <c r="BH145" t="s">
        <v>8273</v>
      </c>
      <c r="BI145" t="s">
        <v>131</v>
      </c>
      <c r="BL145" t="s">
        <v>167</v>
      </c>
      <c r="BO145" t="s">
        <v>131</v>
      </c>
      <c r="BP145" t="s">
        <v>134</v>
      </c>
      <c r="BQ145" t="s">
        <v>131</v>
      </c>
      <c r="BS145" t="str">
        <f t="shared" si="12"/>
        <v>N/A</v>
      </c>
      <c r="BT145" t="s">
        <v>131</v>
      </c>
      <c r="BV145" t="str">
        <f>""</f>
        <v/>
      </c>
      <c r="BW145" t="s">
        <v>135</v>
      </c>
      <c r="BX145" t="str">
        <f>""</f>
        <v/>
      </c>
      <c r="BY145" t="str">
        <f>""</f>
        <v/>
      </c>
      <c r="BZ145" t="str">
        <f>""</f>
        <v/>
      </c>
      <c r="CA145" t="s">
        <v>14091</v>
      </c>
      <c r="CB145" t="s">
        <v>131</v>
      </c>
      <c r="CF145" t="s">
        <v>131</v>
      </c>
      <c r="CH145" t="str">
        <f>""</f>
        <v/>
      </c>
      <c r="CI145" t="s">
        <v>131</v>
      </c>
      <c r="CK145" t="s">
        <v>131</v>
      </c>
      <c r="CL145" t="str">
        <f>""</f>
        <v/>
      </c>
      <c r="CM145" t="str">
        <f>""</f>
        <v/>
      </c>
      <c r="CN145" t="str">
        <f>""</f>
        <v/>
      </c>
      <c r="CO145" t="str">
        <f>""</f>
        <v/>
      </c>
      <c r="CP145" t="str">
        <f>"45-4011.00"</f>
        <v>45-4011.00</v>
      </c>
      <c r="CQ145" t="s">
        <v>4310</v>
      </c>
      <c r="CS145" t="s">
        <v>135</v>
      </c>
      <c r="CT145" t="s">
        <v>2925</v>
      </c>
      <c r="CU145" t="s">
        <v>14092</v>
      </c>
      <c r="CW145" t="s">
        <v>14093</v>
      </c>
      <c r="CX145" t="s">
        <v>630</v>
      </c>
      <c r="CZ145" s="3" t="str">
        <f>"38901"</f>
        <v>38901</v>
      </c>
      <c r="DA145" t="s">
        <v>135</v>
      </c>
      <c r="DB145" t="str">
        <f>"45-4011"</f>
        <v>45-4011</v>
      </c>
      <c r="DC145" t="s">
        <v>4310</v>
      </c>
      <c r="DD145" t="s">
        <v>134</v>
      </c>
      <c r="DE145" t="s">
        <v>134</v>
      </c>
      <c r="DF145" t="str">
        <f>""</f>
        <v/>
      </c>
      <c r="DH145" s="6">
        <v>15.76</v>
      </c>
      <c r="DI145" t="s">
        <v>344</v>
      </c>
      <c r="DK145" t="s">
        <v>345</v>
      </c>
      <c r="DS145" s="6">
        <v>22.2</v>
      </c>
      <c r="DT145" s="2" t="s">
        <v>8351</v>
      </c>
      <c r="DU145" s="1">
        <v>44350</v>
      </c>
      <c r="DV145" s="1">
        <v>44439</v>
      </c>
    </row>
    <row r="146" spans="1:126" ht="15" customHeight="1" x14ac:dyDescent="0.35">
      <c r="A146" t="s">
        <v>17552</v>
      </c>
      <c r="B146" t="s">
        <v>318</v>
      </c>
      <c r="C146" s="1">
        <v>44322</v>
      </c>
      <c r="D146" s="1">
        <v>44350</v>
      </c>
      <c r="H146" t="s">
        <v>319</v>
      </c>
      <c r="I146" t="s">
        <v>7531</v>
      </c>
      <c r="J146" t="s">
        <v>615</v>
      </c>
      <c r="K146" t="s">
        <v>3946</v>
      </c>
      <c r="L146" t="s">
        <v>395</v>
      </c>
      <c r="M146" t="s">
        <v>7532</v>
      </c>
      <c r="N146" t="s">
        <v>7533</v>
      </c>
      <c r="O146" t="s">
        <v>7534</v>
      </c>
      <c r="P146" t="s">
        <v>396</v>
      </c>
      <c r="Q146" s="3">
        <v>72802</v>
      </c>
      <c r="R146" t="s">
        <v>128</v>
      </c>
      <c r="T146" s="4">
        <v>14795675289</v>
      </c>
      <c r="V146" t="s">
        <v>7535</v>
      </c>
      <c r="W146" t="s">
        <v>7536</v>
      </c>
      <c r="Y146" t="s">
        <v>7532</v>
      </c>
      <c r="Z146" t="s">
        <v>7533</v>
      </c>
      <c r="AA146" t="s">
        <v>7534</v>
      </c>
      <c r="AB146" t="s">
        <v>397</v>
      </c>
      <c r="AC146" s="3" t="str">
        <f>"72802"</f>
        <v>72802</v>
      </c>
      <c r="AD146" t="s">
        <v>128</v>
      </c>
      <c r="AF146" s="4">
        <v>14795675289</v>
      </c>
      <c r="AH146" t="str">
        <f>"1153"</f>
        <v>1153</v>
      </c>
      <c r="AI146" t="s">
        <v>287</v>
      </c>
      <c r="AJ146" t="s">
        <v>4134</v>
      </c>
      <c r="AK146" t="s">
        <v>3493</v>
      </c>
      <c r="AM146" t="s">
        <v>4135</v>
      </c>
      <c r="AO146" t="s">
        <v>4136</v>
      </c>
      <c r="AP146" t="s">
        <v>643</v>
      </c>
      <c r="AQ146" s="5">
        <v>31636</v>
      </c>
      <c r="AR146" t="s">
        <v>128</v>
      </c>
      <c r="AT146" s="4">
        <v>12295596879</v>
      </c>
      <c r="AV146" t="s">
        <v>4137</v>
      </c>
      <c r="AW146" t="s">
        <v>4138</v>
      </c>
      <c r="AX146" t="s">
        <v>131</v>
      </c>
      <c r="AY146" t="s">
        <v>131</v>
      </c>
      <c r="AZ146" t="s">
        <v>131</v>
      </c>
      <c r="BA146" t="s">
        <v>131</v>
      </c>
      <c r="BB146" t="s">
        <v>131</v>
      </c>
      <c r="BC146" t="s">
        <v>131</v>
      </c>
      <c r="BD146" t="s">
        <v>131</v>
      </c>
      <c r="BE146" t="s">
        <v>132</v>
      </c>
      <c r="BH146" t="s">
        <v>8273</v>
      </c>
      <c r="BI146" t="s">
        <v>131</v>
      </c>
      <c r="BL146" t="s">
        <v>167</v>
      </c>
      <c r="BO146" t="s">
        <v>131</v>
      </c>
      <c r="BP146" t="s">
        <v>134</v>
      </c>
      <c r="BQ146" t="s">
        <v>131</v>
      </c>
      <c r="BS146" t="str">
        <f t="shared" si="12"/>
        <v>N/A</v>
      </c>
      <c r="BT146" t="s">
        <v>131</v>
      </c>
      <c r="BV146" t="str">
        <f>""</f>
        <v/>
      </c>
      <c r="BW146" t="s">
        <v>135</v>
      </c>
      <c r="BX146" t="str">
        <f>""</f>
        <v/>
      </c>
      <c r="BY146" t="str">
        <f>""</f>
        <v/>
      </c>
      <c r="BZ146" t="str">
        <f>""</f>
        <v/>
      </c>
      <c r="CA146" t="s">
        <v>14091</v>
      </c>
      <c r="CB146" t="s">
        <v>131</v>
      </c>
      <c r="CF146" t="s">
        <v>131</v>
      </c>
      <c r="CH146" t="str">
        <f>""</f>
        <v/>
      </c>
      <c r="CI146" t="s">
        <v>131</v>
      </c>
      <c r="CK146" t="s">
        <v>131</v>
      </c>
      <c r="CL146" t="str">
        <f>""</f>
        <v/>
      </c>
      <c r="CM146" t="str">
        <f>""</f>
        <v/>
      </c>
      <c r="CN146" t="str">
        <f>""</f>
        <v/>
      </c>
      <c r="CO146" t="str">
        <f>""</f>
        <v/>
      </c>
      <c r="CP146" t="str">
        <f>"45-4011.00"</f>
        <v>45-4011.00</v>
      </c>
      <c r="CQ146" t="s">
        <v>4310</v>
      </c>
      <c r="CS146" t="s">
        <v>135</v>
      </c>
      <c r="CT146" t="s">
        <v>2925</v>
      </c>
      <c r="CU146" t="s">
        <v>14092</v>
      </c>
      <c r="CW146" t="s">
        <v>14093</v>
      </c>
      <c r="CX146" t="s">
        <v>630</v>
      </c>
      <c r="CZ146" s="3" t="str">
        <f>"38901"</f>
        <v>38901</v>
      </c>
      <c r="DA146" t="s">
        <v>135</v>
      </c>
      <c r="DB146" t="str">
        <f>"45-4011"</f>
        <v>45-4011</v>
      </c>
      <c r="DC146" t="s">
        <v>4310</v>
      </c>
      <c r="DD146" t="s">
        <v>134</v>
      </c>
      <c r="DE146" t="s">
        <v>134</v>
      </c>
      <c r="DF146" t="str">
        <f>""</f>
        <v/>
      </c>
      <c r="DH146" s="6">
        <v>15.76</v>
      </c>
      <c r="DI146" t="s">
        <v>344</v>
      </c>
      <c r="DK146" t="s">
        <v>345</v>
      </c>
      <c r="DS146" s="6">
        <v>25.54</v>
      </c>
      <c r="DT146" s="2" t="s">
        <v>8351</v>
      </c>
      <c r="DU146" s="1">
        <v>44350</v>
      </c>
      <c r="DV146" s="1">
        <v>44439</v>
      </c>
    </row>
    <row r="147" spans="1:126" ht="15" customHeight="1" x14ac:dyDescent="0.35">
      <c r="A147" t="s">
        <v>17322</v>
      </c>
      <c r="B147" t="s">
        <v>318</v>
      </c>
      <c r="C147" s="1">
        <v>44322</v>
      </c>
      <c r="D147" s="1">
        <v>44350</v>
      </c>
      <c r="H147" t="s">
        <v>319</v>
      </c>
      <c r="I147" t="s">
        <v>1894</v>
      </c>
      <c r="J147" t="s">
        <v>301</v>
      </c>
      <c r="L147" t="s">
        <v>395</v>
      </c>
      <c r="M147" t="s">
        <v>1896</v>
      </c>
      <c r="O147" t="s">
        <v>807</v>
      </c>
      <c r="P147" t="s">
        <v>857</v>
      </c>
      <c r="Q147" s="3">
        <v>85085</v>
      </c>
      <c r="R147" t="s">
        <v>128</v>
      </c>
      <c r="T147" s="4">
        <v>16238696757</v>
      </c>
      <c r="V147" t="s">
        <v>1897</v>
      </c>
      <c r="W147" t="s">
        <v>1898</v>
      </c>
      <c r="Y147" t="s">
        <v>1896</v>
      </c>
      <c r="AA147" t="s">
        <v>807</v>
      </c>
      <c r="AB147" t="s">
        <v>808</v>
      </c>
      <c r="AC147" s="3" t="str">
        <f>"85085"</f>
        <v>85085</v>
      </c>
      <c r="AD147" t="s">
        <v>128</v>
      </c>
      <c r="AF147" s="4">
        <v>16238696757</v>
      </c>
      <c r="AH147" t="str">
        <f>"23822"</f>
        <v>23822</v>
      </c>
      <c r="AI147" t="s">
        <v>130</v>
      </c>
      <c r="AJ147" t="s">
        <v>1899</v>
      </c>
      <c r="AK147" t="s">
        <v>1900</v>
      </c>
      <c r="AM147" t="s">
        <v>1901</v>
      </c>
      <c r="AN147" t="s">
        <v>1902</v>
      </c>
      <c r="AO147" t="s">
        <v>494</v>
      </c>
      <c r="AP147" t="s">
        <v>129</v>
      </c>
      <c r="AQ147" s="5">
        <v>10165</v>
      </c>
      <c r="AR147" t="s">
        <v>128</v>
      </c>
      <c r="AT147" s="4">
        <v>12127604400</v>
      </c>
      <c r="AV147" t="s">
        <v>1897</v>
      </c>
      <c r="AW147" t="s">
        <v>1903</v>
      </c>
      <c r="AX147" t="s">
        <v>131</v>
      </c>
      <c r="AY147" t="s">
        <v>131</v>
      </c>
      <c r="AZ147" t="s">
        <v>131</v>
      </c>
      <c r="BA147" t="s">
        <v>131</v>
      </c>
      <c r="BB147" t="s">
        <v>131</v>
      </c>
      <c r="BC147" t="s">
        <v>131</v>
      </c>
      <c r="BD147" t="s">
        <v>131</v>
      </c>
      <c r="BE147" t="s">
        <v>132</v>
      </c>
      <c r="BH147" t="s">
        <v>12422</v>
      </c>
      <c r="BI147" t="s">
        <v>131</v>
      </c>
      <c r="BL147" t="s">
        <v>167</v>
      </c>
      <c r="BO147" t="s">
        <v>131</v>
      </c>
      <c r="BP147" t="s">
        <v>134</v>
      </c>
      <c r="BQ147" t="s">
        <v>131</v>
      </c>
      <c r="BS147" t="str">
        <f t="shared" si="12"/>
        <v>N/A</v>
      </c>
      <c r="BT147" t="s">
        <v>135</v>
      </c>
      <c r="BU147">
        <v>1</v>
      </c>
      <c r="BV147" t="str">
        <f>"Pipefitter"</f>
        <v>Pipefitter</v>
      </c>
      <c r="BW147" t="s">
        <v>131</v>
      </c>
      <c r="BX147" t="str">
        <f>""</f>
        <v/>
      </c>
      <c r="BY147" t="str">
        <f>""</f>
        <v/>
      </c>
      <c r="BZ147" t="str">
        <f>""</f>
        <v/>
      </c>
      <c r="CA147" t="str">
        <f>""</f>
        <v/>
      </c>
      <c r="CB147" t="s">
        <v>131</v>
      </c>
      <c r="CF147" t="s">
        <v>131</v>
      </c>
      <c r="CH147" t="str">
        <f>""</f>
        <v/>
      </c>
      <c r="CI147" t="s">
        <v>131</v>
      </c>
      <c r="CK147" t="s">
        <v>131</v>
      </c>
      <c r="CL147" t="str">
        <f>""</f>
        <v/>
      </c>
      <c r="CM147" t="str">
        <f>""</f>
        <v/>
      </c>
      <c r="CN147" t="str">
        <f>""</f>
        <v/>
      </c>
      <c r="CO147" t="str">
        <f>""</f>
        <v/>
      </c>
      <c r="CP147" t="str">
        <f>"47-2152.01"</f>
        <v>47-2152.01</v>
      </c>
      <c r="CQ147" t="s">
        <v>7078</v>
      </c>
      <c r="CR147" t="s">
        <v>395</v>
      </c>
      <c r="CS147" t="s">
        <v>131</v>
      </c>
      <c r="CU147" t="s">
        <v>1896</v>
      </c>
      <c r="CW147" t="s">
        <v>807</v>
      </c>
      <c r="CX147" t="s">
        <v>808</v>
      </c>
      <c r="CZ147" s="3" t="str">
        <f>"85085"</f>
        <v>85085</v>
      </c>
      <c r="DA147" t="s">
        <v>131</v>
      </c>
      <c r="DB147" t="str">
        <f>"47-2152"</f>
        <v>47-2152</v>
      </c>
      <c r="DC147" t="s">
        <v>4043</v>
      </c>
      <c r="DD147" t="s">
        <v>10002</v>
      </c>
      <c r="DE147" t="s">
        <v>7078</v>
      </c>
      <c r="DF147" t="str">
        <f>""</f>
        <v/>
      </c>
      <c r="DH147" s="6">
        <v>24.71</v>
      </c>
      <c r="DI147" t="s">
        <v>344</v>
      </c>
      <c r="DK147" t="s">
        <v>345</v>
      </c>
      <c r="DR147" t="s">
        <v>2199</v>
      </c>
      <c r="DS147" s="6">
        <v>24.71</v>
      </c>
      <c r="DT147" t="s">
        <v>3921</v>
      </c>
      <c r="DU147" s="1">
        <v>44350</v>
      </c>
      <c r="DV147" s="1">
        <v>44439</v>
      </c>
    </row>
    <row r="148" spans="1:126" ht="15" customHeight="1" x14ac:dyDescent="0.35">
      <c r="A148" t="s">
        <v>10221</v>
      </c>
      <c r="B148" t="s">
        <v>318</v>
      </c>
      <c r="C148" s="1">
        <v>44322</v>
      </c>
      <c r="D148" s="1">
        <v>44350</v>
      </c>
      <c r="H148" t="s">
        <v>319</v>
      </c>
      <c r="I148" t="s">
        <v>10222</v>
      </c>
      <c r="J148" t="s">
        <v>1225</v>
      </c>
      <c r="L148" t="s">
        <v>395</v>
      </c>
      <c r="M148" t="s">
        <v>1896</v>
      </c>
      <c r="O148" t="s">
        <v>807</v>
      </c>
      <c r="P148" t="s">
        <v>857</v>
      </c>
      <c r="Q148" s="3">
        <v>85085</v>
      </c>
      <c r="R148" t="s">
        <v>128</v>
      </c>
      <c r="T148" s="4">
        <v>16238696757</v>
      </c>
      <c r="V148" t="s">
        <v>1897</v>
      </c>
      <c r="W148" t="s">
        <v>1898</v>
      </c>
      <c r="Y148" t="s">
        <v>1896</v>
      </c>
      <c r="AA148" t="s">
        <v>807</v>
      </c>
      <c r="AB148" t="s">
        <v>808</v>
      </c>
      <c r="AC148" s="3" t="str">
        <f>"85085"</f>
        <v>85085</v>
      </c>
      <c r="AD148" t="s">
        <v>128</v>
      </c>
      <c r="AF148" s="4">
        <v>16238696757</v>
      </c>
      <c r="AH148" t="str">
        <f>"484230"</f>
        <v>484230</v>
      </c>
      <c r="AI148" t="s">
        <v>130</v>
      </c>
      <c r="AJ148" t="s">
        <v>1899</v>
      </c>
      <c r="AK148" t="s">
        <v>1900</v>
      </c>
      <c r="AM148" t="s">
        <v>1901</v>
      </c>
      <c r="AN148" t="s">
        <v>1902</v>
      </c>
      <c r="AO148" t="s">
        <v>494</v>
      </c>
      <c r="AP148" t="s">
        <v>129</v>
      </c>
      <c r="AQ148" s="5">
        <v>10165</v>
      </c>
      <c r="AR148" t="s">
        <v>128</v>
      </c>
      <c r="AT148" s="4">
        <v>12127604400</v>
      </c>
      <c r="AV148" t="s">
        <v>1897</v>
      </c>
      <c r="AW148" t="s">
        <v>1903</v>
      </c>
      <c r="AX148" t="s">
        <v>131</v>
      </c>
      <c r="AY148" t="s">
        <v>131</v>
      </c>
      <c r="AZ148" t="s">
        <v>131</v>
      </c>
      <c r="BA148" t="s">
        <v>131</v>
      </c>
      <c r="BB148" t="s">
        <v>131</v>
      </c>
      <c r="BC148" t="s">
        <v>131</v>
      </c>
      <c r="BD148" t="s">
        <v>131</v>
      </c>
      <c r="BE148" t="s">
        <v>132</v>
      </c>
      <c r="BH148" t="s">
        <v>1237</v>
      </c>
      <c r="BI148" t="s">
        <v>131</v>
      </c>
      <c r="BL148" t="s">
        <v>167</v>
      </c>
      <c r="BO148" t="s">
        <v>131</v>
      </c>
      <c r="BP148" t="s">
        <v>134</v>
      </c>
      <c r="BQ148" t="s">
        <v>131</v>
      </c>
      <c r="BS148" t="str">
        <f t="shared" si="12"/>
        <v>N/A</v>
      </c>
      <c r="BT148" t="s">
        <v>135</v>
      </c>
      <c r="BU148">
        <v>1</v>
      </c>
      <c r="BV148" t="str">
        <f>"Truck Driver"</f>
        <v>Truck Driver</v>
      </c>
      <c r="BW148" t="s">
        <v>131</v>
      </c>
      <c r="BX148" t="str">
        <f>""</f>
        <v/>
      </c>
      <c r="BY148" t="str">
        <f>""</f>
        <v/>
      </c>
      <c r="BZ148" t="str">
        <f>""</f>
        <v/>
      </c>
      <c r="CA148" t="str">
        <f>""</f>
        <v/>
      </c>
      <c r="CB148" t="s">
        <v>131</v>
      </c>
      <c r="CF148" t="s">
        <v>131</v>
      </c>
      <c r="CH148" t="str">
        <f>""</f>
        <v/>
      </c>
      <c r="CI148" t="s">
        <v>131</v>
      </c>
      <c r="CK148" t="s">
        <v>131</v>
      </c>
      <c r="CL148" t="str">
        <f>""</f>
        <v/>
      </c>
      <c r="CM148" t="str">
        <f>""</f>
        <v/>
      </c>
      <c r="CN148" t="str">
        <f>""</f>
        <v/>
      </c>
      <c r="CO148" t="str">
        <f>""</f>
        <v/>
      </c>
      <c r="CP148" t="str">
        <f>"53-3032.00"</f>
        <v>53-3032.00</v>
      </c>
      <c r="CQ148" t="s">
        <v>1238</v>
      </c>
      <c r="CR148" t="s">
        <v>395</v>
      </c>
      <c r="CS148" t="s">
        <v>131</v>
      </c>
      <c r="CU148" t="s">
        <v>1896</v>
      </c>
      <c r="CW148" t="s">
        <v>807</v>
      </c>
      <c r="CX148" t="s">
        <v>808</v>
      </c>
      <c r="CZ148" s="3" t="str">
        <f>"85085"</f>
        <v>85085</v>
      </c>
      <c r="DA148" t="s">
        <v>131</v>
      </c>
      <c r="DB148" t="str">
        <f>"53-3032"</f>
        <v>53-3032</v>
      </c>
      <c r="DC148" t="s">
        <v>1238</v>
      </c>
      <c r="DD148" t="s">
        <v>134</v>
      </c>
      <c r="DE148" t="s">
        <v>134</v>
      </c>
      <c r="DF148" t="str">
        <f>""</f>
        <v/>
      </c>
      <c r="DH148" s="6">
        <v>23.11</v>
      </c>
      <c r="DI148" t="s">
        <v>344</v>
      </c>
      <c r="DK148" t="s">
        <v>345</v>
      </c>
      <c r="DR148" t="s">
        <v>2199</v>
      </c>
      <c r="DS148" s="6">
        <v>23.11</v>
      </c>
      <c r="DT148" t="s">
        <v>3921</v>
      </c>
      <c r="DU148" s="1">
        <v>44350</v>
      </c>
      <c r="DV148" s="1">
        <v>44439</v>
      </c>
    </row>
    <row r="149" spans="1:126" ht="15" customHeight="1" x14ac:dyDescent="0.35">
      <c r="A149" t="s">
        <v>18356</v>
      </c>
      <c r="B149" t="s">
        <v>318</v>
      </c>
      <c r="C149" s="1">
        <v>44322</v>
      </c>
      <c r="D149" s="1">
        <v>44350</v>
      </c>
      <c r="H149" t="s">
        <v>319</v>
      </c>
      <c r="I149" t="s">
        <v>1894</v>
      </c>
      <c r="J149" t="s">
        <v>301</v>
      </c>
      <c r="L149" t="s">
        <v>395</v>
      </c>
      <c r="M149" t="s">
        <v>1896</v>
      </c>
      <c r="O149" t="s">
        <v>807</v>
      </c>
      <c r="P149" t="s">
        <v>857</v>
      </c>
      <c r="Q149" s="3">
        <v>85085</v>
      </c>
      <c r="R149" t="s">
        <v>128</v>
      </c>
      <c r="T149" s="4">
        <v>16238696757</v>
      </c>
      <c r="V149" t="s">
        <v>1897</v>
      </c>
      <c r="W149" t="s">
        <v>1898</v>
      </c>
      <c r="Y149" t="s">
        <v>1896</v>
      </c>
      <c r="AA149" t="s">
        <v>807</v>
      </c>
      <c r="AB149" t="s">
        <v>808</v>
      </c>
      <c r="AC149" s="3" t="str">
        <f>"85085"</f>
        <v>85085</v>
      </c>
      <c r="AD149" t="s">
        <v>128</v>
      </c>
      <c r="AF149" s="4">
        <v>16238696757</v>
      </c>
      <c r="AH149" t="str">
        <f>"238220"</f>
        <v>238220</v>
      </c>
      <c r="AI149" t="s">
        <v>130</v>
      </c>
      <c r="AJ149" t="s">
        <v>1899</v>
      </c>
      <c r="AK149" t="s">
        <v>1900</v>
      </c>
      <c r="AM149" t="s">
        <v>1901</v>
      </c>
      <c r="AN149" t="s">
        <v>1902</v>
      </c>
      <c r="AO149" t="s">
        <v>494</v>
      </c>
      <c r="AP149" t="s">
        <v>129</v>
      </c>
      <c r="AQ149" s="5">
        <v>10165</v>
      </c>
      <c r="AR149" t="s">
        <v>128</v>
      </c>
      <c r="AT149" s="4">
        <v>12127604400</v>
      </c>
      <c r="AV149" t="s">
        <v>1897</v>
      </c>
      <c r="AW149" t="s">
        <v>1903</v>
      </c>
      <c r="AX149" t="s">
        <v>131</v>
      </c>
      <c r="AY149" t="s">
        <v>131</v>
      </c>
      <c r="AZ149" t="s">
        <v>131</v>
      </c>
      <c r="BA149" t="s">
        <v>131</v>
      </c>
      <c r="BB149" t="s">
        <v>131</v>
      </c>
      <c r="BC149" t="s">
        <v>131</v>
      </c>
      <c r="BD149" t="s">
        <v>131</v>
      </c>
      <c r="BE149" t="s">
        <v>132</v>
      </c>
      <c r="BH149" t="s">
        <v>18357</v>
      </c>
      <c r="BI149" t="s">
        <v>131</v>
      </c>
      <c r="BL149" t="s">
        <v>167</v>
      </c>
      <c r="BO149" t="s">
        <v>131</v>
      </c>
      <c r="BP149" t="s">
        <v>134</v>
      </c>
      <c r="BQ149" t="s">
        <v>131</v>
      </c>
      <c r="BS149" t="str">
        <f t="shared" si="12"/>
        <v>N/A</v>
      </c>
      <c r="BT149" t="s">
        <v>135</v>
      </c>
      <c r="BU149">
        <v>1</v>
      </c>
      <c r="BV149" t="str">
        <f>"Pipelayer"</f>
        <v>Pipelayer</v>
      </c>
      <c r="BW149" t="s">
        <v>131</v>
      </c>
      <c r="BX149" t="str">
        <f>""</f>
        <v/>
      </c>
      <c r="BY149" t="str">
        <f>""</f>
        <v/>
      </c>
      <c r="BZ149" t="str">
        <f>""</f>
        <v/>
      </c>
      <c r="CA149" t="str">
        <f>""</f>
        <v/>
      </c>
      <c r="CB149" t="s">
        <v>131</v>
      </c>
      <c r="CF149" t="s">
        <v>131</v>
      </c>
      <c r="CH149" t="str">
        <f>""</f>
        <v/>
      </c>
      <c r="CI149" t="s">
        <v>131</v>
      </c>
      <c r="CK149" t="s">
        <v>131</v>
      </c>
      <c r="CL149" t="str">
        <f>""</f>
        <v/>
      </c>
      <c r="CM149" t="str">
        <f>""</f>
        <v/>
      </c>
      <c r="CN149" t="str">
        <f>""</f>
        <v/>
      </c>
      <c r="CO149" t="str">
        <f>""</f>
        <v/>
      </c>
      <c r="CP149" t="str">
        <f>"47-2151.00"</f>
        <v>47-2151.00</v>
      </c>
      <c r="CQ149" t="s">
        <v>4095</v>
      </c>
      <c r="CR149" t="s">
        <v>395</v>
      </c>
      <c r="CS149" t="s">
        <v>131</v>
      </c>
      <c r="CU149" t="s">
        <v>1896</v>
      </c>
      <c r="CW149" t="s">
        <v>807</v>
      </c>
      <c r="CX149" t="s">
        <v>808</v>
      </c>
      <c r="CZ149" s="3" t="str">
        <f>"85085"</f>
        <v>85085</v>
      </c>
      <c r="DA149" t="s">
        <v>131</v>
      </c>
      <c r="DB149" t="str">
        <f>"47-2151"</f>
        <v>47-2151</v>
      </c>
      <c r="DC149" t="s">
        <v>4095</v>
      </c>
      <c r="DD149" t="s">
        <v>134</v>
      </c>
      <c r="DE149" t="s">
        <v>134</v>
      </c>
      <c r="DF149" t="str">
        <f>""</f>
        <v/>
      </c>
      <c r="DH149" s="6">
        <v>22.36</v>
      </c>
      <c r="DI149" t="s">
        <v>344</v>
      </c>
      <c r="DK149" t="s">
        <v>345</v>
      </c>
      <c r="DR149" t="s">
        <v>2199</v>
      </c>
      <c r="DS149" s="6">
        <v>22.36</v>
      </c>
      <c r="DT149" t="s">
        <v>3921</v>
      </c>
      <c r="DU149" s="1">
        <v>44350</v>
      </c>
      <c r="DV149" s="1">
        <v>44439</v>
      </c>
    </row>
    <row r="150" spans="1:126" ht="15" customHeight="1" x14ac:dyDescent="0.35">
      <c r="A150" t="s">
        <v>8548</v>
      </c>
      <c r="B150" t="s">
        <v>318</v>
      </c>
      <c r="C150" s="1">
        <v>44322</v>
      </c>
      <c r="D150" s="1">
        <v>44350</v>
      </c>
      <c r="H150" t="s">
        <v>319</v>
      </c>
      <c r="I150" t="s">
        <v>1894</v>
      </c>
      <c r="J150" t="s">
        <v>301</v>
      </c>
      <c r="L150" t="s">
        <v>395</v>
      </c>
      <c r="M150" t="s">
        <v>1896</v>
      </c>
      <c r="O150" t="s">
        <v>807</v>
      </c>
      <c r="P150" t="s">
        <v>857</v>
      </c>
      <c r="Q150" s="3">
        <v>85085</v>
      </c>
      <c r="R150" t="s">
        <v>128</v>
      </c>
      <c r="T150" s="4">
        <v>16238696757</v>
      </c>
      <c r="V150" t="s">
        <v>1897</v>
      </c>
      <c r="W150" t="s">
        <v>1898</v>
      </c>
      <c r="Y150" t="s">
        <v>1896</v>
      </c>
      <c r="AA150" t="s">
        <v>807</v>
      </c>
      <c r="AB150" t="s">
        <v>808</v>
      </c>
      <c r="AC150" s="3" t="str">
        <f>"85085"</f>
        <v>85085</v>
      </c>
      <c r="AD150" t="s">
        <v>128</v>
      </c>
      <c r="AF150" s="4">
        <v>16238696757</v>
      </c>
      <c r="AH150" t="str">
        <f>"238210"</f>
        <v>238210</v>
      </c>
      <c r="AI150" t="s">
        <v>130</v>
      </c>
      <c r="AJ150" t="s">
        <v>1899</v>
      </c>
      <c r="AK150" t="s">
        <v>1900</v>
      </c>
      <c r="AM150" t="s">
        <v>1901</v>
      </c>
      <c r="AN150" t="s">
        <v>1902</v>
      </c>
      <c r="AO150" t="s">
        <v>494</v>
      </c>
      <c r="AP150" t="s">
        <v>129</v>
      </c>
      <c r="AQ150" s="5">
        <v>10165</v>
      </c>
      <c r="AR150" t="s">
        <v>128</v>
      </c>
      <c r="AT150" s="4">
        <v>12127604400</v>
      </c>
      <c r="AV150" t="s">
        <v>1897</v>
      </c>
      <c r="AW150" t="s">
        <v>1903</v>
      </c>
      <c r="AX150" t="s">
        <v>131</v>
      </c>
      <c r="AY150" t="s">
        <v>131</v>
      </c>
      <c r="AZ150" t="s">
        <v>131</v>
      </c>
      <c r="BA150" t="s">
        <v>131</v>
      </c>
      <c r="BB150" t="s">
        <v>131</v>
      </c>
      <c r="BC150" t="s">
        <v>131</v>
      </c>
      <c r="BD150" t="s">
        <v>131</v>
      </c>
      <c r="BE150" t="s">
        <v>132</v>
      </c>
      <c r="BH150" t="s">
        <v>8549</v>
      </c>
      <c r="BI150" t="s">
        <v>131</v>
      </c>
      <c r="BL150" t="s">
        <v>167</v>
      </c>
      <c r="BO150" t="s">
        <v>131</v>
      </c>
      <c r="BP150" t="s">
        <v>134</v>
      </c>
      <c r="BQ150" t="s">
        <v>131</v>
      </c>
      <c r="BS150" t="str">
        <f t="shared" si="12"/>
        <v>N/A</v>
      </c>
      <c r="BT150" t="s">
        <v>135</v>
      </c>
      <c r="BU150">
        <v>1</v>
      </c>
      <c r="BV150" t="str">
        <f>"Low Voltage Specialist"</f>
        <v>Low Voltage Specialist</v>
      </c>
      <c r="BW150" t="s">
        <v>131</v>
      </c>
      <c r="BX150" t="str">
        <f>""</f>
        <v/>
      </c>
      <c r="BY150" t="str">
        <f>""</f>
        <v/>
      </c>
      <c r="BZ150" t="str">
        <f>""</f>
        <v/>
      </c>
      <c r="CA150" t="str">
        <f>""</f>
        <v/>
      </c>
      <c r="CB150" t="s">
        <v>131</v>
      </c>
      <c r="CF150" t="s">
        <v>131</v>
      </c>
      <c r="CH150" t="str">
        <f>""</f>
        <v/>
      </c>
      <c r="CI150" t="s">
        <v>131</v>
      </c>
      <c r="CK150" t="s">
        <v>131</v>
      </c>
      <c r="CL150" t="str">
        <f>""</f>
        <v/>
      </c>
      <c r="CM150" t="str">
        <f>""</f>
        <v/>
      </c>
      <c r="CN150" t="str">
        <f>""</f>
        <v/>
      </c>
      <c r="CO150" t="str">
        <f>""</f>
        <v/>
      </c>
      <c r="CP150" t="str">
        <f>"49-2094.00"</f>
        <v>49-2094.00</v>
      </c>
      <c r="CQ150" t="s">
        <v>8324</v>
      </c>
      <c r="CR150" t="s">
        <v>395</v>
      </c>
      <c r="CS150" t="s">
        <v>131</v>
      </c>
      <c r="CU150" t="s">
        <v>1896</v>
      </c>
      <c r="CW150" t="s">
        <v>807</v>
      </c>
      <c r="CX150" t="s">
        <v>808</v>
      </c>
      <c r="CZ150" s="3" t="str">
        <f>"85085"</f>
        <v>85085</v>
      </c>
      <c r="DA150" t="s">
        <v>131</v>
      </c>
      <c r="DB150" t="str">
        <f>"49-2094"</f>
        <v>49-2094</v>
      </c>
      <c r="DC150" t="s">
        <v>8324</v>
      </c>
      <c r="DD150" t="s">
        <v>134</v>
      </c>
      <c r="DE150" t="s">
        <v>134</v>
      </c>
      <c r="DF150" t="str">
        <f>""</f>
        <v/>
      </c>
      <c r="DH150" s="6">
        <v>26</v>
      </c>
      <c r="DI150" t="s">
        <v>344</v>
      </c>
      <c r="DK150" t="s">
        <v>345</v>
      </c>
      <c r="DR150" t="s">
        <v>2199</v>
      </c>
      <c r="DS150" s="6">
        <v>26</v>
      </c>
      <c r="DT150" t="s">
        <v>3921</v>
      </c>
      <c r="DU150" s="1">
        <v>44350</v>
      </c>
      <c r="DV150" s="1">
        <v>44439</v>
      </c>
    </row>
    <row r="151" spans="1:126" ht="15" customHeight="1" x14ac:dyDescent="0.35">
      <c r="A151" t="s">
        <v>7214</v>
      </c>
      <c r="B151" t="s">
        <v>318</v>
      </c>
      <c r="C151" s="1">
        <v>44322</v>
      </c>
      <c r="D151" s="1">
        <v>44350</v>
      </c>
      <c r="H151" t="s">
        <v>319</v>
      </c>
      <c r="I151" t="s">
        <v>1894</v>
      </c>
      <c r="J151" t="s">
        <v>301</v>
      </c>
      <c r="L151" t="s">
        <v>395</v>
      </c>
      <c r="M151" t="s">
        <v>1896</v>
      </c>
      <c r="O151" t="s">
        <v>807</v>
      </c>
      <c r="P151" t="s">
        <v>857</v>
      </c>
      <c r="Q151" s="3">
        <v>85085</v>
      </c>
      <c r="R151" t="s">
        <v>128</v>
      </c>
      <c r="T151" s="4">
        <v>16238696757</v>
      </c>
      <c r="V151" t="s">
        <v>1897</v>
      </c>
      <c r="W151" t="s">
        <v>1898</v>
      </c>
      <c r="Y151" t="s">
        <v>1896</v>
      </c>
      <c r="AA151" t="s">
        <v>807</v>
      </c>
      <c r="AB151" t="s">
        <v>808</v>
      </c>
      <c r="AC151" s="3" t="str">
        <f>"85085"</f>
        <v>85085</v>
      </c>
      <c r="AD151" t="s">
        <v>128</v>
      </c>
      <c r="AF151" s="4">
        <v>16238696757</v>
      </c>
      <c r="AH151" t="str">
        <f>"488490"</f>
        <v>488490</v>
      </c>
      <c r="AI151" t="s">
        <v>130</v>
      </c>
      <c r="AJ151" t="s">
        <v>1899</v>
      </c>
      <c r="AK151" t="s">
        <v>1900</v>
      </c>
      <c r="AM151" t="s">
        <v>1901</v>
      </c>
      <c r="AN151" t="s">
        <v>1902</v>
      </c>
      <c r="AO151" t="s">
        <v>494</v>
      </c>
      <c r="AP151" t="s">
        <v>129</v>
      </c>
      <c r="AQ151" s="5">
        <v>10165</v>
      </c>
      <c r="AR151" t="s">
        <v>128</v>
      </c>
      <c r="AT151" s="4">
        <v>12127604400</v>
      </c>
      <c r="AV151" t="s">
        <v>1897</v>
      </c>
      <c r="AW151" t="s">
        <v>1903</v>
      </c>
      <c r="AX151" t="s">
        <v>131</v>
      </c>
      <c r="AY151" t="s">
        <v>131</v>
      </c>
      <c r="AZ151" t="s">
        <v>131</v>
      </c>
      <c r="BA151" t="s">
        <v>131</v>
      </c>
      <c r="BB151" t="s">
        <v>131</v>
      </c>
      <c r="BC151" t="s">
        <v>131</v>
      </c>
      <c r="BD151" t="s">
        <v>131</v>
      </c>
      <c r="BE151" t="s">
        <v>132</v>
      </c>
      <c r="BH151" t="s">
        <v>1237</v>
      </c>
      <c r="BI151" t="s">
        <v>131</v>
      </c>
      <c r="BL151" t="s">
        <v>167</v>
      </c>
      <c r="BO151" t="s">
        <v>131</v>
      </c>
      <c r="BP151" t="s">
        <v>134</v>
      </c>
      <c r="BQ151" t="s">
        <v>131</v>
      </c>
      <c r="BS151" t="str">
        <f t="shared" si="12"/>
        <v>N/A</v>
      </c>
      <c r="BT151" t="s">
        <v>135</v>
      </c>
      <c r="BU151">
        <v>1</v>
      </c>
      <c r="BV151" t="str">
        <f>"Truck Driver"</f>
        <v>Truck Driver</v>
      </c>
      <c r="BW151" t="s">
        <v>131</v>
      </c>
      <c r="BX151" t="str">
        <f>""</f>
        <v/>
      </c>
      <c r="BY151" t="str">
        <f>""</f>
        <v/>
      </c>
      <c r="BZ151" t="str">
        <f>""</f>
        <v/>
      </c>
      <c r="CA151" t="str">
        <f>""</f>
        <v/>
      </c>
      <c r="CB151" t="s">
        <v>131</v>
      </c>
      <c r="CF151" t="s">
        <v>131</v>
      </c>
      <c r="CH151" t="str">
        <f>""</f>
        <v/>
      </c>
      <c r="CI151" t="s">
        <v>131</v>
      </c>
      <c r="CK151" t="s">
        <v>131</v>
      </c>
      <c r="CL151" t="str">
        <f>""</f>
        <v/>
      </c>
      <c r="CM151" t="str">
        <f>""</f>
        <v/>
      </c>
      <c r="CN151" t="str">
        <f>""</f>
        <v/>
      </c>
      <c r="CO151" t="str">
        <f>""</f>
        <v/>
      </c>
      <c r="CP151" t="str">
        <f>"53-3033.00"</f>
        <v>53-3033.00</v>
      </c>
      <c r="CQ151" t="s">
        <v>1904</v>
      </c>
      <c r="CR151" t="s">
        <v>395</v>
      </c>
      <c r="CS151" t="s">
        <v>131</v>
      </c>
      <c r="CU151" t="s">
        <v>1896</v>
      </c>
      <c r="CW151" t="s">
        <v>807</v>
      </c>
      <c r="CX151" t="s">
        <v>808</v>
      </c>
      <c r="CZ151" s="3" t="str">
        <f>"85085"</f>
        <v>85085</v>
      </c>
      <c r="DA151" t="s">
        <v>131</v>
      </c>
      <c r="DB151" t="str">
        <f>"53-3032"</f>
        <v>53-3032</v>
      </c>
      <c r="DC151" t="s">
        <v>1238</v>
      </c>
      <c r="DD151" t="s">
        <v>134</v>
      </c>
      <c r="DE151" t="s">
        <v>134</v>
      </c>
      <c r="DF151" t="str">
        <f>""</f>
        <v/>
      </c>
      <c r="DH151" s="6">
        <v>23.11</v>
      </c>
      <c r="DI151" t="s">
        <v>344</v>
      </c>
      <c r="DK151" t="s">
        <v>345</v>
      </c>
      <c r="DR151" t="s">
        <v>2199</v>
      </c>
      <c r="DS151" s="6">
        <v>23.11</v>
      </c>
      <c r="DT151" t="s">
        <v>3921</v>
      </c>
      <c r="DU151" s="1">
        <v>44350</v>
      </c>
      <c r="DV151" s="1">
        <v>44439</v>
      </c>
    </row>
    <row r="152" spans="1:126" ht="15" customHeight="1" x14ac:dyDescent="0.35">
      <c r="A152" t="s">
        <v>8513</v>
      </c>
      <c r="B152" t="s">
        <v>318</v>
      </c>
      <c r="C152" s="1">
        <v>44322</v>
      </c>
      <c r="D152" s="1">
        <v>44355</v>
      </c>
      <c r="H152" t="s">
        <v>319</v>
      </c>
      <c r="I152" t="s">
        <v>8514</v>
      </c>
      <c r="J152" t="s">
        <v>409</v>
      </c>
      <c r="L152" t="s">
        <v>1105</v>
      </c>
      <c r="M152" t="s">
        <v>8515</v>
      </c>
      <c r="O152" t="s">
        <v>2770</v>
      </c>
      <c r="P152" t="s">
        <v>256</v>
      </c>
      <c r="Q152" s="3">
        <v>63017</v>
      </c>
      <c r="R152" t="s">
        <v>128</v>
      </c>
      <c r="T152" s="4">
        <v>13145688135</v>
      </c>
      <c r="V152" t="s">
        <v>134</v>
      </c>
      <c r="W152" t="s">
        <v>8516</v>
      </c>
      <c r="Y152" t="s">
        <v>8517</v>
      </c>
      <c r="AA152" t="s">
        <v>2770</v>
      </c>
      <c r="AB152" t="s">
        <v>258</v>
      </c>
      <c r="AC152" s="3" t="str">
        <f>"63017"</f>
        <v>63017</v>
      </c>
      <c r="AD152" t="s">
        <v>128</v>
      </c>
      <c r="AF152" s="4">
        <v>13145688135</v>
      </c>
      <c r="AH152" t="str">
        <f>"56173"</f>
        <v>56173</v>
      </c>
      <c r="AI152" t="s">
        <v>287</v>
      </c>
      <c r="AJ152" t="s">
        <v>3916</v>
      </c>
      <c r="AK152" t="s">
        <v>1225</v>
      </c>
      <c r="AL152" t="s">
        <v>589</v>
      </c>
      <c r="AM152" t="s">
        <v>3917</v>
      </c>
      <c r="AO152" t="s">
        <v>1513</v>
      </c>
      <c r="AP152" t="s">
        <v>400</v>
      </c>
      <c r="AQ152" s="5">
        <v>75231</v>
      </c>
      <c r="AR152" t="s">
        <v>128</v>
      </c>
      <c r="AT152" s="4">
        <v>12145265665</v>
      </c>
      <c r="AV152" t="s">
        <v>3918</v>
      </c>
      <c r="AW152" t="s">
        <v>3919</v>
      </c>
      <c r="AX152" t="s">
        <v>131</v>
      </c>
      <c r="AY152" t="s">
        <v>131</v>
      </c>
      <c r="AZ152" t="s">
        <v>131</v>
      </c>
      <c r="BA152" t="s">
        <v>131</v>
      </c>
      <c r="BB152" t="s">
        <v>131</v>
      </c>
      <c r="BC152" t="s">
        <v>131</v>
      </c>
      <c r="BD152" t="s">
        <v>131</v>
      </c>
      <c r="BE152" t="s">
        <v>132</v>
      </c>
      <c r="BH152" t="s">
        <v>2215</v>
      </c>
      <c r="BI152" t="s">
        <v>131</v>
      </c>
      <c r="BL152" t="s">
        <v>167</v>
      </c>
      <c r="BO152" t="s">
        <v>131</v>
      </c>
      <c r="BP152" t="s">
        <v>134</v>
      </c>
      <c r="BQ152" t="s">
        <v>131</v>
      </c>
      <c r="BS152" t="str">
        <f t="shared" si="12"/>
        <v>N/A</v>
      </c>
      <c r="BT152" t="s">
        <v>131</v>
      </c>
      <c r="BV152" t="str">
        <f>""</f>
        <v/>
      </c>
      <c r="BW152" t="s">
        <v>135</v>
      </c>
      <c r="BX152" t="str">
        <f>""</f>
        <v/>
      </c>
      <c r="BY152" t="str">
        <f>""</f>
        <v/>
      </c>
      <c r="BZ152" t="str">
        <f>""</f>
        <v/>
      </c>
      <c r="CA152" t="str">
        <f>"Must be able to lift 50 lbs, work in adverse weather conditions &amp; pass a pre-employment drug test paid by employer."</f>
        <v>Must be able to lift 50 lbs, work in adverse weather conditions &amp; pass a pre-employment drug test paid by employer.</v>
      </c>
      <c r="CB152" t="s">
        <v>131</v>
      </c>
      <c r="CF152" t="s">
        <v>131</v>
      </c>
      <c r="CH152" t="str">
        <f>""</f>
        <v/>
      </c>
      <c r="CI152" t="s">
        <v>131</v>
      </c>
      <c r="CK152" t="s">
        <v>131</v>
      </c>
      <c r="CL152" t="str">
        <f>""</f>
        <v/>
      </c>
      <c r="CM152" t="str">
        <f>""</f>
        <v/>
      </c>
      <c r="CN152" t="str">
        <f>""</f>
        <v/>
      </c>
      <c r="CO152" t="str">
        <f>""</f>
        <v/>
      </c>
      <c r="CP152" t="str">
        <f>"37-3011.00"</f>
        <v>37-3011.00</v>
      </c>
      <c r="CQ152" t="s">
        <v>920</v>
      </c>
      <c r="CS152" t="s">
        <v>131</v>
      </c>
      <c r="CU152" t="s">
        <v>8515</v>
      </c>
      <c r="CW152" t="s">
        <v>2770</v>
      </c>
      <c r="CX152" t="s">
        <v>258</v>
      </c>
      <c r="CZ152" s="3" t="str">
        <f>"63017"</f>
        <v>63017</v>
      </c>
      <c r="DA152" t="s">
        <v>135</v>
      </c>
      <c r="DB152" t="str">
        <f>"37-3011"</f>
        <v>37-3011</v>
      </c>
      <c r="DC152" t="s">
        <v>920</v>
      </c>
      <c r="DD152" t="s">
        <v>134</v>
      </c>
      <c r="DE152" t="s">
        <v>134</v>
      </c>
      <c r="DF152" t="str">
        <f>""</f>
        <v/>
      </c>
      <c r="DH152" s="6">
        <v>15.37</v>
      </c>
      <c r="DI152" t="s">
        <v>344</v>
      </c>
      <c r="DK152" t="s">
        <v>345</v>
      </c>
      <c r="DR152" t="s">
        <v>4139</v>
      </c>
      <c r="DS152" s="6">
        <v>15.37</v>
      </c>
      <c r="DT152" t="s">
        <v>424</v>
      </c>
      <c r="DU152" s="1">
        <v>44355</v>
      </c>
      <c r="DV152" s="1">
        <v>44444</v>
      </c>
    </row>
    <row r="153" spans="1:126" ht="15" customHeight="1" x14ac:dyDescent="0.35">
      <c r="A153" t="s">
        <v>17763</v>
      </c>
      <c r="B153" t="s">
        <v>318</v>
      </c>
      <c r="C153" s="1">
        <v>44322</v>
      </c>
      <c r="D153" s="1">
        <v>44350</v>
      </c>
      <c r="H153" t="s">
        <v>319</v>
      </c>
      <c r="I153" t="s">
        <v>17764</v>
      </c>
      <c r="J153" t="s">
        <v>545</v>
      </c>
      <c r="L153" t="s">
        <v>4673</v>
      </c>
      <c r="M153" t="s">
        <v>17765</v>
      </c>
      <c r="O153" t="s">
        <v>7283</v>
      </c>
      <c r="P153" t="s">
        <v>412</v>
      </c>
      <c r="Q153" s="3">
        <v>78624</v>
      </c>
      <c r="R153" t="s">
        <v>128</v>
      </c>
      <c r="T153" s="4">
        <v>18309908248</v>
      </c>
      <c r="V153" t="s">
        <v>17766</v>
      </c>
      <c r="W153" t="s">
        <v>17767</v>
      </c>
      <c r="Y153" t="s">
        <v>17765</v>
      </c>
      <c r="AA153" t="s">
        <v>7283</v>
      </c>
      <c r="AB153" t="s">
        <v>400</v>
      </c>
      <c r="AC153" s="3" t="str">
        <f>"78624"</f>
        <v>78624</v>
      </c>
      <c r="AD153" t="s">
        <v>128</v>
      </c>
      <c r="AF153" s="4">
        <v>15127406543</v>
      </c>
      <c r="AH153" t="str">
        <f>"3114"</f>
        <v>3114</v>
      </c>
      <c r="AI153" t="s">
        <v>130</v>
      </c>
      <c r="AJ153" t="s">
        <v>4018</v>
      </c>
      <c r="AK153" t="s">
        <v>2069</v>
      </c>
      <c r="AM153" t="s">
        <v>4019</v>
      </c>
      <c r="AO153" t="s">
        <v>1040</v>
      </c>
      <c r="AP153" t="s">
        <v>400</v>
      </c>
      <c r="AQ153" s="5">
        <v>78737</v>
      </c>
      <c r="AR153" t="s">
        <v>128</v>
      </c>
      <c r="AT153" s="4">
        <v>15128942128</v>
      </c>
      <c r="AV153" t="s">
        <v>4020</v>
      </c>
      <c r="AW153" t="s">
        <v>4021</v>
      </c>
      <c r="AX153" t="s">
        <v>131</v>
      </c>
      <c r="AY153" t="s">
        <v>131</v>
      </c>
      <c r="AZ153" t="s">
        <v>131</v>
      </c>
      <c r="BA153" t="s">
        <v>131</v>
      </c>
      <c r="BB153" t="s">
        <v>131</v>
      </c>
      <c r="BC153" t="s">
        <v>131</v>
      </c>
      <c r="BD153" t="s">
        <v>131</v>
      </c>
      <c r="BE153" t="s">
        <v>132</v>
      </c>
      <c r="BH153" t="s">
        <v>17768</v>
      </c>
      <c r="BI153" t="s">
        <v>131</v>
      </c>
      <c r="BL153" t="s">
        <v>167</v>
      </c>
      <c r="BO153" t="s">
        <v>131</v>
      </c>
      <c r="BP153" t="s">
        <v>134</v>
      </c>
      <c r="BQ153" t="s">
        <v>131</v>
      </c>
      <c r="BS153" t="str">
        <f t="shared" si="12"/>
        <v>N/A</v>
      </c>
      <c r="BT153" t="s">
        <v>131</v>
      </c>
      <c r="BV153" t="str">
        <f>""</f>
        <v/>
      </c>
      <c r="BW153" t="s">
        <v>135</v>
      </c>
      <c r="BX153" t="str">
        <f>""</f>
        <v/>
      </c>
      <c r="BY153" t="str">
        <f>""</f>
        <v/>
      </c>
      <c r="BZ153" t="str">
        <f>""</f>
        <v/>
      </c>
      <c r="CA153" t="s">
        <v>17769</v>
      </c>
      <c r="CB153" t="s">
        <v>131</v>
      </c>
      <c r="CF153" t="s">
        <v>131</v>
      </c>
      <c r="CH153" t="str">
        <f>""</f>
        <v/>
      </c>
      <c r="CI153" t="s">
        <v>131</v>
      </c>
      <c r="CK153" t="s">
        <v>131</v>
      </c>
      <c r="CL153" t="str">
        <f>""</f>
        <v/>
      </c>
      <c r="CM153" t="str">
        <f>""</f>
        <v/>
      </c>
      <c r="CN153" t="str">
        <f>""</f>
        <v/>
      </c>
      <c r="CO153" t="str">
        <f>""</f>
        <v/>
      </c>
      <c r="CP153" t="str">
        <f>"51-3093.00"</f>
        <v>51-3093.00</v>
      </c>
      <c r="CQ153" t="s">
        <v>15189</v>
      </c>
      <c r="CR153" t="s">
        <v>17768</v>
      </c>
      <c r="CS153" t="s">
        <v>135</v>
      </c>
      <c r="CT153" t="s">
        <v>17770</v>
      </c>
      <c r="CU153" t="s">
        <v>17765</v>
      </c>
      <c r="CW153" t="s">
        <v>7283</v>
      </c>
      <c r="CX153" t="s">
        <v>400</v>
      </c>
      <c r="CZ153" s="3" t="str">
        <f>"78624"</f>
        <v>78624</v>
      </c>
      <c r="DA153" t="s">
        <v>135</v>
      </c>
      <c r="DB153" t="str">
        <f>"35-2021"</f>
        <v>35-2021</v>
      </c>
      <c r="DC153" t="s">
        <v>1749</v>
      </c>
      <c r="DD153" t="s">
        <v>134</v>
      </c>
      <c r="DE153" t="s">
        <v>134</v>
      </c>
      <c r="DF153" t="str">
        <f>""</f>
        <v/>
      </c>
      <c r="DH153" s="6">
        <v>10.51</v>
      </c>
      <c r="DI153" t="s">
        <v>344</v>
      </c>
      <c r="DK153" t="s">
        <v>345</v>
      </c>
      <c r="DS153" s="6">
        <v>10.51</v>
      </c>
      <c r="DT153" t="s">
        <v>424</v>
      </c>
      <c r="DU153" s="1">
        <v>44350</v>
      </c>
      <c r="DV153" s="1">
        <v>44439</v>
      </c>
    </row>
    <row r="154" spans="1:126" ht="15" customHeight="1" x14ac:dyDescent="0.35">
      <c r="A154" t="s">
        <v>17684</v>
      </c>
      <c r="B154" t="s">
        <v>318</v>
      </c>
      <c r="C154" s="1">
        <v>44322</v>
      </c>
      <c r="D154" s="1">
        <v>44350</v>
      </c>
      <c r="H154" t="s">
        <v>319</v>
      </c>
      <c r="I154" t="s">
        <v>17685</v>
      </c>
      <c r="J154" t="s">
        <v>5027</v>
      </c>
      <c r="L154" t="s">
        <v>460</v>
      </c>
      <c r="M154" t="s">
        <v>17686</v>
      </c>
      <c r="O154" t="s">
        <v>17687</v>
      </c>
      <c r="P154" t="s">
        <v>467</v>
      </c>
      <c r="Q154" s="3">
        <v>81505</v>
      </c>
      <c r="R154" t="s">
        <v>128</v>
      </c>
      <c r="T154" s="4">
        <v>19702561928</v>
      </c>
      <c r="V154" t="s">
        <v>17688</v>
      </c>
      <c r="W154" t="s">
        <v>17689</v>
      </c>
      <c r="Y154" t="s">
        <v>17686</v>
      </c>
      <c r="AA154" t="s">
        <v>17687</v>
      </c>
      <c r="AB154" t="s">
        <v>471</v>
      </c>
      <c r="AC154" s="3" t="str">
        <f>"81505"</f>
        <v>81505</v>
      </c>
      <c r="AD154" t="s">
        <v>128</v>
      </c>
      <c r="AF154" s="4">
        <v>19702561928</v>
      </c>
      <c r="AH154" t="str">
        <f>"238210"</f>
        <v>238210</v>
      </c>
      <c r="AI154" t="s">
        <v>130</v>
      </c>
      <c r="AJ154" t="s">
        <v>4018</v>
      </c>
      <c r="AK154" t="s">
        <v>2069</v>
      </c>
      <c r="AM154" t="s">
        <v>4019</v>
      </c>
      <c r="AO154" t="s">
        <v>1040</v>
      </c>
      <c r="AP154" t="s">
        <v>400</v>
      </c>
      <c r="AQ154" s="5">
        <v>78737</v>
      </c>
      <c r="AR154" t="s">
        <v>128</v>
      </c>
      <c r="AT154" s="4">
        <v>15128942128</v>
      </c>
      <c r="AV154" t="s">
        <v>4020</v>
      </c>
      <c r="AW154" t="s">
        <v>4021</v>
      </c>
      <c r="AX154" t="s">
        <v>131</v>
      </c>
      <c r="AY154" t="s">
        <v>131</v>
      </c>
      <c r="AZ154" t="s">
        <v>131</v>
      </c>
      <c r="BA154" t="s">
        <v>131</v>
      </c>
      <c r="BB154" t="s">
        <v>131</v>
      </c>
      <c r="BC154" t="s">
        <v>131</v>
      </c>
      <c r="BD154" t="s">
        <v>131</v>
      </c>
      <c r="BE154" t="s">
        <v>132</v>
      </c>
      <c r="BH154" t="s">
        <v>17690</v>
      </c>
      <c r="BI154" t="s">
        <v>131</v>
      </c>
      <c r="BL154" t="s">
        <v>167</v>
      </c>
      <c r="BO154" t="s">
        <v>131</v>
      </c>
      <c r="BP154" t="s">
        <v>134</v>
      </c>
      <c r="BQ154" t="s">
        <v>131</v>
      </c>
      <c r="BS154" t="str">
        <f t="shared" si="12"/>
        <v>N/A</v>
      </c>
      <c r="BT154" t="s">
        <v>131</v>
      </c>
      <c r="BV154" t="str">
        <f>""</f>
        <v/>
      </c>
      <c r="BW154" t="s">
        <v>135</v>
      </c>
      <c r="BX154" t="str">
        <f>""</f>
        <v/>
      </c>
      <c r="BY154" t="str">
        <f>""</f>
        <v/>
      </c>
      <c r="BZ154" t="str">
        <f>""</f>
        <v/>
      </c>
      <c r="CA154" t="str">
        <f>"Must be able to lift/carry up to 50 pounds."</f>
        <v>Must be able to lift/carry up to 50 pounds.</v>
      </c>
      <c r="CB154" t="s">
        <v>131</v>
      </c>
      <c r="CF154" t="s">
        <v>131</v>
      </c>
      <c r="CH154" t="str">
        <f>""</f>
        <v/>
      </c>
      <c r="CI154" t="s">
        <v>131</v>
      </c>
      <c r="CK154" t="s">
        <v>131</v>
      </c>
      <c r="CL154" t="str">
        <f>""</f>
        <v/>
      </c>
      <c r="CM154" t="str">
        <f>""</f>
        <v/>
      </c>
      <c r="CN154" t="str">
        <f>""</f>
        <v/>
      </c>
      <c r="CO154" t="str">
        <f>""</f>
        <v/>
      </c>
      <c r="CP154" t="str">
        <f>"49-9099.00"</f>
        <v>49-9099.00</v>
      </c>
      <c r="CQ154" t="s">
        <v>5371</v>
      </c>
      <c r="CR154" t="s">
        <v>460</v>
      </c>
      <c r="CS154" t="s">
        <v>135</v>
      </c>
      <c r="CT154" t="s">
        <v>17691</v>
      </c>
      <c r="CU154" t="s">
        <v>17686</v>
      </c>
      <c r="CW154" t="s">
        <v>17687</v>
      </c>
      <c r="CX154" t="s">
        <v>471</v>
      </c>
      <c r="CZ154" s="3" t="str">
        <f>"81505"</f>
        <v>81505</v>
      </c>
      <c r="DA154" t="s">
        <v>135</v>
      </c>
      <c r="DB154" t="str">
        <f>"37-3011"</f>
        <v>37-3011</v>
      </c>
      <c r="DC154" t="s">
        <v>920</v>
      </c>
      <c r="DD154" t="s">
        <v>134</v>
      </c>
      <c r="DE154" t="s">
        <v>134</v>
      </c>
      <c r="DF154" t="str">
        <f>""</f>
        <v/>
      </c>
      <c r="DH154" s="6">
        <v>15.57</v>
      </c>
      <c r="DI154" t="s">
        <v>344</v>
      </c>
      <c r="DK154" t="s">
        <v>345</v>
      </c>
      <c r="DS154" s="6">
        <v>15.57</v>
      </c>
      <c r="DT154" t="s">
        <v>424</v>
      </c>
      <c r="DU154" s="1">
        <v>44350</v>
      </c>
      <c r="DV154" s="1">
        <v>44439</v>
      </c>
    </row>
    <row r="155" spans="1:126" ht="15" customHeight="1" x14ac:dyDescent="0.35">
      <c r="A155" t="s">
        <v>10112</v>
      </c>
      <c r="B155" t="s">
        <v>318</v>
      </c>
      <c r="C155" s="1">
        <v>44322</v>
      </c>
      <c r="D155" s="1">
        <v>44350</v>
      </c>
      <c r="H155" t="s">
        <v>319</v>
      </c>
      <c r="I155" t="s">
        <v>253</v>
      </c>
      <c r="J155" t="s">
        <v>2846</v>
      </c>
      <c r="L155" t="s">
        <v>701</v>
      </c>
      <c r="M155" t="s">
        <v>10113</v>
      </c>
      <c r="N155" t="s">
        <v>10114</v>
      </c>
      <c r="O155" t="s">
        <v>10115</v>
      </c>
      <c r="P155" t="s">
        <v>826</v>
      </c>
      <c r="Q155" s="3">
        <v>21842</v>
      </c>
      <c r="R155" t="s">
        <v>128</v>
      </c>
      <c r="S155" t="s">
        <v>4563</v>
      </c>
      <c r="T155" s="4">
        <v>14436640181</v>
      </c>
      <c r="V155" t="s">
        <v>10116</v>
      </c>
      <c r="W155" t="s">
        <v>10117</v>
      </c>
      <c r="X155" t="s">
        <v>10118</v>
      </c>
      <c r="Y155" t="s">
        <v>10113</v>
      </c>
      <c r="AA155" t="s">
        <v>4898</v>
      </c>
      <c r="AB155" t="s">
        <v>382</v>
      </c>
      <c r="AC155" s="3" t="str">
        <f>"21842"</f>
        <v>21842</v>
      </c>
      <c r="AD155" t="s">
        <v>128</v>
      </c>
      <c r="AF155" s="4">
        <v>14436640181</v>
      </c>
      <c r="AH155" t="str">
        <f>"721110"</f>
        <v>721110</v>
      </c>
      <c r="AI155" t="s">
        <v>167</v>
      </c>
      <c r="AX155" t="s">
        <v>131</v>
      </c>
      <c r="AY155" t="s">
        <v>131</v>
      </c>
      <c r="AZ155" t="s">
        <v>131</v>
      </c>
      <c r="BA155" t="s">
        <v>131</v>
      </c>
      <c r="BB155" t="s">
        <v>131</v>
      </c>
      <c r="BC155" t="s">
        <v>131</v>
      </c>
      <c r="BD155" t="s">
        <v>131</v>
      </c>
      <c r="BE155" t="s">
        <v>132</v>
      </c>
      <c r="BH155" t="s">
        <v>10119</v>
      </c>
      <c r="BI155" t="s">
        <v>131</v>
      </c>
      <c r="BL155" t="s">
        <v>167</v>
      </c>
      <c r="BO155" t="s">
        <v>131</v>
      </c>
      <c r="BP155" t="s">
        <v>134</v>
      </c>
      <c r="BQ155" t="s">
        <v>131</v>
      </c>
      <c r="BS155" t="str">
        <f t="shared" si="12"/>
        <v>N/A</v>
      </c>
      <c r="BT155" t="s">
        <v>131</v>
      </c>
      <c r="BV155" t="str">
        <f>""</f>
        <v/>
      </c>
      <c r="BW155" t="s">
        <v>131</v>
      </c>
      <c r="BX155" t="str">
        <f>""</f>
        <v/>
      </c>
      <c r="BY155" t="str">
        <f>""</f>
        <v/>
      </c>
      <c r="BZ155" t="str">
        <f>""</f>
        <v/>
      </c>
      <c r="CA155" t="str">
        <f>""</f>
        <v/>
      </c>
      <c r="CB155" t="s">
        <v>131</v>
      </c>
      <c r="CF155" t="s">
        <v>131</v>
      </c>
      <c r="CH155" t="str">
        <f>""</f>
        <v/>
      </c>
      <c r="CI155" t="s">
        <v>131</v>
      </c>
      <c r="CK155" t="s">
        <v>131</v>
      </c>
      <c r="CL155" t="str">
        <f>""</f>
        <v/>
      </c>
      <c r="CM155" t="str">
        <f>""</f>
        <v/>
      </c>
      <c r="CN155" t="str">
        <f>""</f>
        <v/>
      </c>
      <c r="CO155" t="str">
        <f>""</f>
        <v/>
      </c>
      <c r="CP155" t="str">
        <f>"37-2012.00"</f>
        <v>37-2012.00</v>
      </c>
      <c r="CQ155" t="s">
        <v>479</v>
      </c>
      <c r="CR155" t="s">
        <v>10120</v>
      </c>
      <c r="CS155" t="s">
        <v>131</v>
      </c>
      <c r="CU155" t="s">
        <v>10121</v>
      </c>
      <c r="CW155" t="s">
        <v>4898</v>
      </c>
      <c r="CX155" t="s">
        <v>382</v>
      </c>
      <c r="CZ155" s="3" t="str">
        <f>"21842"</f>
        <v>21842</v>
      </c>
      <c r="DA155" t="s">
        <v>135</v>
      </c>
      <c r="DB155" t="str">
        <f>"37-2012"</f>
        <v>37-2012</v>
      </c>
      <c r="DC155" t="s">
        <v>479</v>
      </c>
      <c r="DD155" t="s">
        <v>134</v>
      </c>
      <c r="DE155" t="s">
        <v>134</v>
      </c>
      <c r="DF155" t="str">
        <f>""</f>
        <v/>
      </c>
      <c r="DH155" s="6">
        <v>11.54</v>
      </c>
      <c r="DI155" t="s">
        <v>344</v>
      </c>
      <c r="DK155" t="s">
        <v>345</v>
      </c>
      <c r="DS155" s="6">
        <v>11.54</v>
      </c>
      <c r="DT155" t="s">
        <v>424</v>
      </c>
      <c r="DU155" s="1">
        <v>44350</v>
      </c>
      <c r="DV155" s="1">
        <v>44439</v>
      </c>
    </row>
    <row r="156" spans="1:126" ht="15" customHeight="1" x14ac:dyDescent="0.35">
      <c r="A156" t="s">
        <v>14218</v>
      </c>
      <c r="B156" t="s">
        <v>318</v>
      </c>
      <c r="C156" s="1">
        <v>44322</v>
      </c>
      <c r="D156" s="1">
        <v>44355</v>
      </c>
      <c r="H156" t="s">
        <v>319</v>
      </c>
      <c r="I156" t="s">
        <v>1732</v>
      </c>
      <c r="J156" t="s">
        <v>560</v>
      </c>
      <c r="K156" t="s">
        <v>803</v>
      </c>
      <c r="L156" t="s">
        <v>130</v>
      </c>
      <c r="M156" t="s">
        <v>14219</v>
      </c>
      <c r="N156" t="s">
        <v>14220</v>
      </c>
      <c r="O156" t="s">
        <v>1735</v>
      </c>
      <c r="P156" t="s">
        <v>467</v>
      </c>
      <c r="Q156" s="3">
        <v>81658</v>
      </c>
      <c r="R156" t="s">
        <v>128</v>
      </c>
      <c r="T156" s="4">
        <v>19703066476</v>
      </c>
      <c r="V156" t="s">
        <v>1736</v>
      </c>
      <c r="W156" t="s">
        <v>7722</v>
      </c>
      <c r="Y156" t="s">
        <v>7723</v>
      </c>
      <c r="Z156" t="s">
        <v>14221</v>
      </c>
      <c r="AA156" t="s">
        <v>915</v>
      </c>
      <c r="AB156" t="s">
        <v>471</v>
      </c>
      <c r="AC156" s="3" t="str">
        <f>"81620"</f>
        <v>81620</v>
      </c>
      <c r="AD156" t="s">
        <v>128</v>
      </c>
      <c r="AF156" s="4">
        <v>19707486908</v>
      </c>
      <c r="AH156" t="str">
        <f>"561720"</f>
        <v>561720</v>
      </c>
      <c r="AI156" t="s">
        <v>130</v>
      </c>
      <c r="AJ156" t="s">
        <v>1732</v>
      </c>
      <c r="AK156" t="s">
        <v>560</v>
      </c>
      <c r="AL156" t="s">
        <v>803</v>
      </c>
      <c r="AM156" t="s">
        <v>14222</v>
      </c>
      <c r="AN156" t="s">
        <v>7724</v>
      </c>
      <c r="AO156" t="s">
        <v>1735</v>
      </c>
      <c r="AP156" t="s">
        <v>471</v>
      </c>
      <c r="AQ156" s="5">
        <v>81658</v>
      </c>
      <c r="AR156" t="s">
        <v>128</v>
      </c>
      <c r="AT156" s="4">
        <v>19703066476</v>
      </c>
      <c r="AV156" t="s">
        <v>1736</v>
      </c>
      <c r="AW156" t="s">
        <v>1743</v>
      </c>
      <c r="AX156" t="s">
        <v>131</v>
      </c>
      <c r="AY156" t="s">
        <v>131</v>
      </c>
      <c r="AZ156" t="s">
        <v>131</v>
      </c>
      <c r="BA156" t="s">
        <v>131</v>
      </c>
      <c r="BB156" t="s">
        <v>131</v>
      </c>
      <c r="BC156" t="s">
        <v>131</v>
      </c>
      <c r="BD156" t="s">
        <v>131</v>
      </c>
      <c r="BE156" t="s">
        <v>132</v>
      </c>
      <c r="BH156" t="s">
        <v>479</v>
      </c>
      <c r="BI156" t="s">
        <v>131</v>
      </c>
      <c r="BL156" t="s">
        <v>167</v>
      </c>
      <c r="BO156" t="s">
        <v>131</v>
      </c>
      <c r="BP156" t="s">
        <v>134</v>
      </c>
      <c r="BQ156" t="s">
        <v>131</v>
      </c>
      <c r="BS156" t="str">
        <f t="shared" si="12"/>
        <v>N/A</v>
      </c>
      <c r="BT156" t="s">
        <v>131</v>
      </c>
      <c r="BV156" t="str">
        <f>""</f>
        <v/>
      </c>
      <c r="BW156" t="s">
        <v>135</v>
      </c>
      <c r="BX156" t="str">
        <f>""</f>
        <v/>
      </c>
      <c r="BY156" t="str">
        <f>""</f>
        <v/>
      </c>
      <c r="BZ156" t="str">
        <f>""</f>
        <v/>
      </c>
      <c r="CA156" t="s">
        <v>7725</v>
      </c>
      <c r="CB156" t="s">
        <v>131</v>
      </c>
      <c r="CF156" t="s">
        <v>131</v>
      </c>
      <c r="CH156" t="str">
        <f>""</f>
        <v/>
      </c>
      <c r="CI156" t="s">
        <v>131</v>
      </c>
      <c r="CK156" t="s">
        <v>131</v>
      </c>
      <c r="CL156" t="str">
        <f>""</f>
        <v/>
      </c>
      <c r="CM156" t="str">
        <f>""</f>
        <v/>
      </c>
      <c r="CN156" t="str">
        <f>""</f>
        <v/>
      </c>
      <c r="CO156" t="str">
        <f>""</f>
        <v/>
      </c>
      <c r="CP156" t="str">
        <f>"37-2012.00"</f>
        <v>37-2012.00</v>
      </c>
      <c r="CQ156" t="s">
        <v>479</v>
      </c>
      <c r="CR156" t="s">
        <v>14223</v>
      </c>
      <c r="CS156" t="s">
        <v>135</v>
      </c>
      <c r="CT156" t="s">
        <v>14224</v>
      </c>
      <c r="CU156" t="s">
        <v>14225</v>
      </c>
      <c r="CW156" t="s">
        <v>915</v>
      </c>
      <c r="CX156" t="s">
        <v>471</v>
      </c>
      <c r="CZ156" s="3" t="str">
        <f>"81620"</f>
        <v>81620</v>
      </c>
      <c r="DA156" t="s">
        <v>131</v>
      </c>
      <c r="DB156" t="str">
        <f>"37-2012"</f>
        <v>37-2012</v>
      </c>
      <c r="DC156" t="s">
        <v>479</v>
      </c>
      <c r="DD156" t="s">
        <v>134</v>
      </c>
      <c r="DE156" t="s">
        <v>134</v>
      </c>
      <c r="DF156" t="str">
        <f>""</f>
        <v/>
      </c>
      <c r="DH156" s="6">
        <v>15.39</v>
      </c>
      <c r="DI156" t="s">
        <v>344</v>
      </c>
      <c r="DK156" t="s">
        <v>345</v>
      </c>
      <c r="DR156" t="s">
        <v>1750</v>
      </c>
      <c r="DS156" s="6">
        <v>15.39</v>
      </c>
      <c r="DT156" t="s">
        <v>424</v>
      </c>
      <c r="DU156" s="1">
        <v>44355</v>
      </c>
      <c r="DV156" s="1">
        <v>44444</v>
      </c>
    </row>
    <row r="157" spans="1:126" ht="15" customHeight="1" x14ac:dyDescent="0.35">
      <c r="A157" t="s">
        <v>11115</v>
      </c>
      <c r="B157" t="s">
        <v>318</v>
      </c>
      <c r="C157" s="1">
        <v>44322</v>
      </c>
      <c r="D157" s="1">
        <v>44355</v>
      </c>
      <c r="H157" t="s">
        <v>319</v>
      </c>
      <c r="I157" t="s">
        <v>2183</v>
      </c>
      <c r="J157" t="s">
        <v>2184</v>
      </c>
      <c r="L157" t="s">
        <v>2185</v>
      </c>
      <c r="M157" t="s">
        <v>2186</v>
      </c>
      <c r="N157" t="s">
        <v>1817</v>
      </c>
      <c r="O157" t="s">
        <v>2192</v>
      </c>
      <c r="P157" t="s">
        <v>857</v>
      </c>
      <c r="Q157" s="3">
        <v>85281</v>
      </c>
      <c r="R157" t="s">
        <v>128</v>
      </c>
      <c r="T157" s="4">
        <v>14802206490</v>
      </c>
      <c r="V157" t="s">
        <v>2189</v>
      </c>
      <c r="W157" t="s">
        <v>11116</v>
      </c>
      <c r="X157" t="s">
        <v>2191</v>
      </c>
      <c r="Y157" t="s">
        <v>11117</v>
      </c>
      <c r="AA157" t="s">
        <v>807</v>
      </c>
      <c r="AB157" t="s">
        <v>808</v>
      </c>
      <c r="AC157" s="3" t="str">
        <f>"85032"</f>
        <v>85032</v>
      </c>
      <c r="AD157" t="s">
        <v>128</v>
      </c>
      <c r="AF157" s="4">
        <v>14802206490</v>
      </c>
      <c r="AH157" t="str">
        <f>"722511"</f>
        <v>722511</v>
      </c>
      <c r="AI157" t="s">
        <v>130</v>
      </c>
      <c r="AJ157" t="s">
        <v>2193</v>
      </c>
      <c r="AK157" t="s">
        <v>2194</v>
      </c>
      <c r="AM157" t="s">
        <v>2195</v>
      </c>
      <c r="AN157" t="s">
        <v>884</v>
      </c>
      <c r="AO157" t="s">
        <v>2188</v>
      </c>
      <c r="AP157" t="s">
        <v>808</v>
      </c>
      <c r="AQ157" s="5">
        <v>85012</v>
      </c>
      <c r="AR157" t="s">
        <v>128</v>
      </c>
      <c r="AT157" s="4">
        <v>16022660292</v>
      </c>
      <c r="AV157" t="s">
        <v>11118</v>
      </c>
      <c r="AW157" t="s">
        <v>2197</v>
      </c>
      <c r="AX157" t="s">
        <v>131</v>
      </c>
      <c r="AY157" t="s">
        <v>131</v>
      </c>
      <c r="AZ157" t="s">
        <v>131</v>
      </c>
      <c r="BA157" t="s">
        <v>131</v>
      </c>
      <c r="BB157" t="s">
        <v>131</v>
      </c>
      <c r="BC157" t="s">
        <v>131</v>
      </c>
      <c r="BD157" t="s">
        <v>131</v>
      </c>
      <c r="BE157" t="s">
        <v>132</v>
      </c>
      <c r="BH157" t="s">
        <v>11119</v>
      </c>
      <c r="BI157" t="s">
        <v>131</v>
      </c>
      <c r="BL157" t="s">
        <v>167</v>
      </c>
      <c r="BO157" t="s">
        <v>131</v>
      </c>
      <c r="BP157" t="s">
        <v>134</v>
      </c>
      <c r="BQ157" t="s">
        <v>135</v>
      </c>
      <c r="BR157">
        <v>1</v>
      </c>
      <c r="BS157" t="str">
        <f>"Cooking, Prepping and Operating Machinery "</f>
        <v xml:space="preserve">Cooking, Prepping and Operating Machinery </v>
      </c>
      <c r="BT157" t="s">
        <v>131</v>
      </c>
      <c r="BV157" t="str">
        <f>""</f>
        <v/>
      </c>
      <c r="BW157" t="s">
        <v>135</v>
      </c>
      <c r="BX157" t="str">
        <f>""</f>
        <v/>
      </c>
      <c r="BY157" t="str">
        <f>""</f>
        <v/>
      </c>
      <c r="BZ157" t="str">
        <f>""</f>
        <v/>
      </c>
      <c r="CA157" t="str">
        <f>"Food handling, multi-tasking and organizational skills. "</f>
        <v xml:space="preserve">Food handling, multi-tasking and organizational skills. </v>
      </c>
      <c r="CB157" t="s">
        <v>131</v>
      </c>
      <c r="CF157" t="s">
        <v>131</v>
      </c>
      <c r="CH157" t="str">
        <f>""</f>
        <v/>
      </c>
      <c r="CI157" t="s">
        <v>131</v>
      </c>
      <c r="CK157" t="s">
        <v>131</v>
      </c>
      <c r="CL157" t="str">
        <f>""</f>
        <v/>
      </c>
      <c r="CM157" t="str">
        <f>""</f>
        <v/>
      </c>
      <c r="CN157" t="str">
        <f>""</f>
        <v/>
      </c>
      <c r="CO157" t="str">
        <f>""</f>
        <v/>
      </c>
      <c r="CP157" t="str">
        <f>"35-2014.00"</f>
        <v>35-2014.00</v>
      </c>
      <c r="CQ157" t="s">
        <v>581</v>
      </c>
      <c r="CR157" t="s">
        <v>1080</v>
      </c>
      <c r="CS157" t="s">
        <v>131</v>
      </c>
      <c r="CU157" t="s">
        <v>11120</v>
      </c>
      <c r="CW157" t="s">
        <v>2188</v>
      </c>
      <c r="CX157" t="s">
        <v>808</v>
      </c>
      <c r="CZ157" s="3" t="str">
        <f>"85032"</f>
        <v>85032</v>
      </c>
      <c r="DA157" t="s">
        <v>131</v>
      </c>
      <c r="DB157" t="str">
        <f>"35-2014"</f>
        <v>35-2014</v>
      </c>
      <c r="DC157" t="s">
        <v>581</v>
      </c>
      <c r="DD157" t="s">
        <v>134</v>
      </c>
      <c r="DE157" t="s">
        <v>134</v>
      </c>
      <c r="DF157" t="str">
        <f>""</f>
        <v/>
      </c>
      <c r="DH157" s="6">
        <v>14.17</v>
      </c>
      <c r="DI157" t="s">
        <v>344</v>
      </c>
      <c r="DK157" t="s">
        <v>345</v>
      </c>
      <c r="DR157" t="s">
        <v>2199</v>
      </c>
      <c r="DS157" s="6">
        <v>14.17</v>
      </c>
      <c r="DT157" t="s">
        <v>3921</v>
      </c>
      <c r="DU157" s="1">
        <v>44355</v>
      </c>
      <c r="DV157" s="1">
        <v>44444</v>
      </c>
    </row>
    <row r="158" spans="1:126" ht="15" customHeight="1" x14ac:dyDescent="0.35">
      <c r="A158" t="s">
        <v>14531</v>
      </c>
      <c r="B158" t="s">
        <v>318</v>
      </c>
      <c r="C158" s="1">
        <v>44322</v>
      </c>
      <c r="D158" s="1">
        <v>44350</v>
      </c>
      <c r="H158" t="s">
        <v>319</v>
      </c>
      <c r="I158" t="s">
        <v>12003</v>
      </c>
      <c r="J158" t="s">
        <v>1493</v>
      </c>
      <c r="K158" t="s">
        <v>655</v>
      </c>
      <c r="L158" t="s">
        <v>1105</v>
      </c>
      <c r="M158" t="s">
        <v>12004</v>
      </c>
      <c r="O158" t="s">
        <v>7013</v>
      </c>
      <c r="P158" t="s">
        <v>3898</v>
      </c>
      <c r="Q158" s="3">
        <v>40213</v>
      </c>
      <c r="R158" t="s">
        <v>128</v>
      </c>
      <c r="T158" s="4">
        <v>15025937749</v>
      </c>
      <c r="V158" t="s">
        <v>134</v>
      </c>
      <c r="W158" t="s">
        <v>12005</v>
      </c>
      <c r="Y158" t="s">
        <v>12004</v>
      </c>
      <c r="AA158" t="s">
        <v>7013</v>
      </c>
      <c r="AB158" t="s">
        <v>2436</v>
      </c>
      <c r="AC158" s="3" t="str">
        <f>"40213"</f>
        <v>40213</v>
      </c>
      <c r="AD158" t="s">
        <v>128</v>
      </c>
      <c r="AF158" s="4">
        <v>15025937749</v>
      </c>
      <c r="AH158" t="str">
        <f>"56173"</f>
        <v>56173</v>
      </c>
      <c r="AI158" t="s">
        <v>287</v>
      </c>
      <c r="AJ158" t="s">
        <v>2917</v>
      </c>
      <c r="AK158" t="s">
        <v>2918</v>
      </c>
      <c r="AL158" t="s">
        <v>610</v>
      </c>
      <c r="AM158" t="s">
        <v>2919</v>
      </c>
      <c r="AN158" t="s">
        <v>2920</v>
      </c>
      <c r="AO158" t="s">
        <v>2921</v>
      </c>
      <c r="AP158" t="s">
        <v>306</v>
      </c>
      <c r="AQ158" s="5">
        <v>22949</v>
      </c>
      <c r="AR158" t="s">
        <v>128</v>
      </c>
      <c r="AT158" s="4">
        <v>14342634300</v>
      </c>
      <c r="AV158" t="s">
        <v>5233</v>
      </c>
      <c r="AW158" t="s">
        <v>2923</v>
      </c>
      <c r="AX158" t="s">
        <v>131</v>
      </c>
      <c r="AY158" t="s">
        <v>131</v>
      </c>
      <c r="AZ158" t="s">
        <v>131</v>
      </c>
      <c r="BA158" t="s">
        <v>131</v>
      </c>
      <c r="BB158" t="s">
        <v>131</v>
      </c>
      <c r="BC158" t="s">
        <v>131</v>
      </c>
      <c r="BD158" t="s">
        <v>131</v>
      </c>
      <c r="BE158" t="s">
        <v>132</v>
      </c>
      <c r="BH158" t="s">
        <v>12006</v>
      </c>
      <c r="BI158" t="s">
        <v>131</v>
      </c>
      <c r="BL158" t="s">
        <v>167</v>
      </c>
      <c r="BO158" t="s">
        <v>131</v>
      </c>
      <c r="BP158" t="s">
        <v>134</v>
      </c>
      <c r="BQ158" t="s">
        <v>131</v>
      </c>
      <c r="BS158" t="str">
        <f>"N/A"</f>
        <v>N/A</v>
      </c>
      <c r="BT158" t="s">
        <v>131</v>
      </c>
      <c r="BV158" t="str">
        <f>""</f>
        <v/>
      </c>
      <c r="BW158" t="s">
        <v>135</v>
      </c>
      <c r="BX158" t="str">
        <f>""</f>
        <v/>
      </c>
      <c r="BY158" t="str">
        <f>""</f>
        <v/>
      </c>
      <c r="BZ158" t="str">
        <f>""</f>
        <v/>
      </c>
      <c r="CA158" t="str">
        <f>"Must lift/carry 50 lbs., when necessary.  Saturday work required, when necessary."</f>
        <v>Must lift/carry 50 lbs., when necessary.  Saturday work required, when necessary.</v>
      </c>
      <c r="CB158" t="s">
        <v>131</v>
      </c>
      <c r="CF158" t="s">
        <v>131</v>
      </c>
      <c r="CH158" t="str">
        <f>""</f>
        <v/>
      </c>
      <c r="CI158" t="s">
        <v>131</v>
      </c>
      <c r="CK158" t="s">
        <v>131</v>
      </c>
      <c r="CL158" t="str">
        <f>""</f>
        <v/>
      </c>
      <c r="CM158" t="str">
        <f>""</f>
        <v/>
      </c>
      <c r="CN158" t="str">
        <f>""</f>
        <v/>
      </c>
      <c r="CO158" t="str">
        <f>""</f>
        <v/>
      </c>
      <c r="CP158" t="str">
        <f>"37-3011.00"</f>
        <v>37-3011.00</v>
      </c>
      <c r="CQ158" t="s">
        <v>920</v>
      </c>
      <c r="CR158" t="s">
        <v>2924</v>
      </c>
      <c r="CS158" t="s">
        <v>135</v>
      </c>
      <c r="CT158" t="s">
        <v>2925</v>
      </c>
      <c r="CU158" t="s">
        <v>12004</v>
      </c>
      <c r="CW158" t="s">
        <v>7013</v>
      </c>
      <c r="CX158" t="s">
        <v>2436</v>
      </c>
      <c r="CZ158" s="3" t="str">
        <f>"40213"</f>
        <v>40213</v>
      </c>
      <c r="DA158" t="s">
        <v>131</v>
      </c>
      <c r="DB158" t="str">
        <f>"37-3011"</f>
        <v>37-3011</v>
      </c>
      <c r="DC158" t="s">
        <v>920</v>
      </c>
      <c r="DD158" t="s">
        <v>134</v>
      </c>
      <c r="DE158" t="s">
        <v>134</v>
      </c>
      <c r="DF158" t="str">
        <f>""</f>
        <v/>
      </c>
      <c r="DH158" s="6">
        <v>15.58</v>
      </c>
      <c r="DI158" t="s">
        <v>344</v>
      </c>
      <c r="DK158" t="s">
        <v>345</v>
      </c>
      <c r="DS158" s="6">
        <v>15.58</v>
      </c>
      <c r="DT158" t="s">
        <v>3921</v>
      </c>
      <c r="DU158" s="1">
        <v>44350</v>
      </c>
      <c r="DV158" s="1">
        <v>44439</v>
      </c>
    </row>
    <row r="159" spans="1:126" ht="15" customHeight="1" x14ac:dyDescent="0.35">
      <c r="A159" t="s">
        <v>13726</v>
      </c>
      <c r="B159" t="s">
        <v>318</v>
      </c>
      <c r="C159" s="1">
        <v>44322</v>
      </c>
      <c r="D159" s="1">
        <v>44350</v>
      </c>
      <c r="H159" t="s">
        <v>319</v>
      </c>
      <c r="I159" t="s">
        <v>13727</v>
      </c>
      <c r="J159" t="s">
        <v>13728</v>
      </c>
      <c r="L159" t="s">
        <v>7910</v>
      </c>
      <c r="M159" t="s">
        <v>13729</v>
      </c>
      <c r="O159" t="s">
        <v>3773</v>
      </c>
      <c r="P159" t="s">
        <v>588</v>
      </c>
      <c r="Q159" s="3">
        <v>22901</v>
      </c>
      <c r="R159" t="s">
        <v>128</v>
      </c>
      <c r="T159" s="4">
        <v>14342450672</v>
      </c>
      <c r="V159" t="s">
        <v>134</v>
      </c>
      <c r="W159" t="s">
        <v>13730</v>
      </c>
      <c r="Y159" t="s">
        <v>13729</v>
      </c>
      <c r="AA159" t="s">
        <v>3773</v>
      </c>
      <c r="AB159" t="s">
        <v>306</v>
      </c>
      <c r="AC159" s="3" t="str">
        <f>"22901"</f>
        <v>22901</v>
      </c>
      <c r="AD159" t="s">
        <v>128</v>
      </c>
      <c r="AF159" s="4">
        <v>14342450672</v>
      </c>
      <c r="AH159" t="str">
        <f>"71391"</f>
        <v>71391</v>
      </c>
      <c r="AI159" t="s">
        <v>287</v>
      </c>
      <c r="AJ159" t="s">
        <v>2917</v>
      </c>
      <c r="AK159" t="s">
        <v>2918</v>
      </c>
      <c r="AL159" t="s">
        <v>610</v>
      </c>
      <c r="AM159" t="s">
        <v>2919</v>
      </c>
      <c r="AN159" t="s">
        <v>2920</v>
      </c>
      <c r="AO159" t="s">
        <v>2921</v>
      </c>
      <c r="AP159" t="s">
        <v>306</v>
      </c>
      <c r="AQ159" s="5">
        <v>22949</v>
      </c>
      <c r="AR159" t="s">
        <v>128</v>
      </c>
      <c r="AT159" s="4">
        <v>14342634300</v>
      </c>
      <c r="AV159" t="s">
        <v>5233</v>
      </c>
      <c r="AW159" t="s">
        <v>2923</v>
      </c>
      <c r="AX159" t="s">
        <v>131</v>
      </c>
      <c r="AY159" t="s">
        <v>131</v>
      </c>
      <c r="AZ159" t="s">
        <v>131</v>
      </c>
      <c r="BA159" t="s">
        <v>131</v>
      </c>
      <c r="BB159" t="s">
        <v>131</v>
      </c>
      <c r="BC159" t="s">
        <v>131</v>
      </c>
      <c r="BD159" t="s">
        <v>131</v>
      </c>
      <c r="BE159" t="s">
        <v>132</v>
      </c>
      <c r="BH159" t="s">
        <v>7399</v>
      </c>
      <c r="BI159" t="s">
        <v>131</v>
      </c>
      <c r="BL159" t="s">
        <v>167</v>
      </c>
      <c r="BO159" t="s">
        <v>131</v>
      </c>
      <c r="BP159" t="s">
        <v>134</v>
      </c>
      <c r="BQ159" t="s">
        <v>131</v>
      </c>
      <c r="BS159" t="str">
        <f>"N/A"</f>
        <v>N/A</v>
      </c>
      <c r="BT159" t="s">
        <v>131</v>
      </c>
      <c r="BV159" t="str">
        <f>""</f>
        <v/>
      </c>
      <c r="BW159" t="s">
        <v>135</v>
      </c>
      <c r="BX159" t="str">
        <f>""</f>
        <v/>
      </c>
      <c r="BY159" t="str">
        <f>""</f>
        <v/>
      </c>
      <c r="BZ159" t="str">
        <f>""</f>
        <v/>
      </c>
      <c r="CA159" t="str">
        <f>"Must lift/carry 50 lbs., when necessary.  Saturday and Sunday work required, when necessary. Post-offer background check required of foreign and domestic workers."</f>
        <v>Must lift/carry 50 lbs., when necessary.  Saturday and Sunday work required, when necessary. Post-offer background check required of foreign and domestic workers.</v>
      </c>
      <c r="CB159" t="s">
        <v>131</v>
      </c>
      <c r="CF159" t="s">
        <v>131</v>
      </c>
      <c r="CH159" t="str">
        <f>""</f>
        <v/>
      </c>
      <c r="CI159" t="s">
        <v>131</v>
      </c>
      <c r="CK159" t="s">
        <v>131</v>
      </c>
      <c r="CL159" t="str">
        <f>""</f>
        <v/>
      </c>
      <c r="CM159" t="str">
        <f>""</f>
        <v/>
      </c>
      <c r="CN159" t="str">
        <f>""</f>
        <v/>
      </c>
      <c r="CO159" t="str">
        <f>""</f>
        <v/>
      </c>
      <c r="CP159" t="str">
        <f>"37-3011.00"</f>
        <v>37-3011.00</v>
      </c>
      <c r="CQ159" t="s">
        <v>920</v>
      </c>
      <c r="CR159" t="s">
        <v>2924</v>
      </c>
      <c r="CS159" t="s">
        <v>131</v>
      </c>
      <c r="CU159" t="s">
        <v>13729</v>
      </c>
      <c r="CW159" t="s">
        <v>13731</v>
      </c>
      <c r="CX159" t="s">
        <v>306</v>
      </c>
      <c r="CZ159" s="3" t="str">
        <f>"22901"</f>
        <v>22901</v>
      </c>
      <c r="DA159" t="s">
        <v>131</v>
      </c>
      <c r="DB159" t="str">
        <f>"37-3011"</f>
        <v>37-3011</v>
      </c>
      <c r="DC159" t="s">
        <v>920</v>
      </c>
      <c r="DD159" t="s">
        <v>134</v>
      </c>
      <c r="DE159" t="s">
        <v>134</v>
      </c>
      <c r="DF159" t="str">
        <f>""</f>
        <v/>
      </c>
      <c r="DH159" s="6">
        <v>14.57</v>
      </c>
      <c r="DI159" t="s">
        <v>344</v>
      </c>
      <c r="DK159" t="s">
        <v>345</v>
      </c>
      <c r="DS159" s="6">
        <v>14.57</v>
      </c>
      <c r="DT159" t="s">
        <v>3921</v>
      </c>
      <c r="DU159" s="1">
        <v>44350</v>
      </c>
      <c r="DV159" s="1">
        <v>44439</v>
      </c>
    </row>
    <row r="160" spans="1:126" ht="15" customHeight="1" x14ac:dyDescent="0.35">
      <c r="A160" t="s">
        <v>12246</v>
      </c>
      <c r="B160" t="s">
        <v>318</v>
      </c>
      <c r="C160" s="1">
        <v>44322</v>
      </c>
      <c r="D160" s="1">
        <v>44350</v>
      </c>
      <c r="H160" t="s">
        <v>319</v>
      </c>
      <c r="I160" t="s">
        <v>1732</v>
      </c>
      <c r="J160" t="s">
        <v>560</v>
      </c>
      <c r="K160" t="s">
        <v>803</v>
      </c>
      <c r="L160" t="s">
        <v>130</v>
      </c>
      <c r="M160" t="s">
        <v>12247</v>
      </c>
      <c r="N160" t="s">
        <v>12248</v>
      </c>
      <c r="O160" t="s">
        <v>1735</v>
      </c>
      <c r="P160" t="s">
        <v>467</v>
      </c>
      <c r="Q160" s="3">
        <v>81657</v>
      </c>
      <c r="R160" t="s">
        <v>128</v>
      </c>
      <c r="T160" s="4">
        <v>19703066476</v>
      </c>
      <c r="V160" t="s">
        <v>1736</v>
      </c>
      <c r="W160" t="s">
        <v>12249</v>
      </c>
      <c r="X160" t="s">
        <v>12250</v>
      </c>
      <c r="Y160" t="s">
        <v>12251</v>
      </c>
      <c r="Z160" t="s">
        <v>12252</v>
      </c>
      <c r="AA160" t="s">
        <v>1735</v>
      </c>
      <c r="AB160" t="s">
        <v>471</v>
      </c>
      <c r="AC160" s="3" t="str">
        <f>"81657"</f>
        <v>81657</v>
      </c>
      <c r="AD160" t="s">
        <v>128</v>
      </c>
      <c r="AF160" s="4">
        <v>19704762566</v>
      </c>
      <c r="AH160" t="str">
        <f>"532284"</f>
        <v>532284</v>
      </c>
      <c r="AI160" t="s">
        <v>130</v>
      </c>
      <c r="AJ160" t="s">
        <v>1732</v>
      </c>
      <c r="AK160" t="s">
        <v>560</v>
      </c>
      <c r="AL160" t="s">
        <v>803</v>
      </c>
      <c r="AM160" t="s">
        <v>12253</v>
      </c>
      <c r="AN160" t="s">
        <v>12254</v>
      </c>
      <c r="AO160" t="s">
        <v>1735</v>
      </c>
      <c r="AP160" t="s">
        <v>471</v>
      </c>
      <c r="AQ160" s="5">
        <v>81658</v>
      </c>
      <c r="AR160" t="s">
        <v>128</v>
      </c>
      <c r="AT160" s="4">
        <v>19703066476</v>
      </c>
      <c r="AV160" t="s">
        <v>1736</v>
      </c>
      <c r="AW160" t="s">
        <v>1743</v>
      </c>
      <c r="AX160" t="s">
        <v>131</v>
      </c>
      <c r="AY160" t="s">
        <v>131</v>
      </c>
      <c r="AZ160" t="s">
        <v>131</v>
      </c>
      <c r="BA160" t="s">
        <v>131</v>
      </c>
      <c r="BB160" t="s">
        <v>131</v>
      </c>
      <c r="BC160" t="s">
        <v>131</v>
      </c>
      <c r="BD160" t="s">
        <v>131</v>
      </c>
      <c r="BE160" t="s">
        <v>132</v>
      </c>
      <c r="BH160" t="s">
        <v>12255</v>
      </c>
      <c r="BI160" t="s">
        <v>131</v>
      </c>
      <c r="BL160" t="s">
        <v>167</v>
      </c>
      <c r="BO160" t="s">
        <v>131</v>
      </c>
      <c r="BP160" t="s">
        <v>134</v>
      </c>
      <c r="BQ160" t="s">
        <v>131</v>
      </c>
      <c r="BS160" t="str">
        <f>"N/A"</f>
        <v>N/A</v>
      </c>
      <c r="BT160" t="s">
        <v>131</v>
      </c>
      <c r="BV160" t="str">
        <f>""</f>
        <v/>
      </c>
      <c r="BW160" t="s">
        <v>135</v>
      </c>
      <c r="BX160" t="str">
        <f>""</f>
        <v/>
      </c>
      <c r="BY160" t="str">
        <f>""</f>
        <v/>
      </c>
      <c r="BZ160" t="str">
        <f>""</f>
        <v/>
      </c>
      <c r="CA160" t="str">
        <f>"Must be DIN certified to work on bindings."</f>
        <v>Must be DIN certified to work on bindings.</v>
      </c>
      <c r="CB160" t="s">
        <v>131</v>
      </c>
      <c r="CF160" t="s">
        <v>131</v>
      </c>
      <c r="CH160" t="str">
        <f>""</f>
        <v/>
      </c>
      <c r="CI160" t="s">
        <v>131</v>
      </c>
      <c r="CK160" t="s">
        <v>131</v>
      </c>
      <c r="CL160" t="str">
        <f>""</f>
        <v/>
      </c>
      <c r="CM160" t="str">
        <f>""</f>
        <v/>
      </c>
      <c r="CN160" t="str">
        <f>""</f>
        <v/>
      </c>
      <c r="CO160" t="str">
        <f>""</f>
        <v/>
      </c>
      <c r="CP160" t="str">
        <f>"41-2021.00"</f>
        <v>41-2021.00</v>
      </c>
      <c r="CQ160" t="s">
        <v>12256</v>
      </c>
      <c r="CR160" t="s">
        <v>1105</v>
      </c>
      <c r="CS160" t="s">
        <v>131</v>
      </c>
      <c r="CU160" t="s">
        <v>12257</v>
      </c>
      <c r="CW160" t="s">
        <v>1735</v>
      </c>
      <c r="CX160" t="s">
        <v>471</v>
      </c>
      <c r="CZ160" s="3" t="str">
        <f>"81657"</f>
        <v>81657</v>
      </c>
      <c r="DA160" t="s">
        <v>131</v>
      </c>
      <c r="DB160" t="str">
        <f>"41-2021"</f>
        <v>41-2021</v>
      </c>
      <c r="DC160" t="s">
        <v>12256</v>
      </c>
      <c r="DD160" t="s">
        <v>134</v>
      </c>
      <c r="DE160" t="s">
        <v>134</v>
      </c>
      <c r="DF160" t="str">
        <f>""</f>
        <v/>
      </c>
      <c r="DH160" s="6">
        <v>19.02</v>
      </c>
      <c r="DI160" t="s">
        <v>344</v>
      </c>
      <c r="DK160" t="s">
        <v>345</v>
      </c>
      <c r="DR160" t="s">
        <v>1750</v>
      </c>
      <c r="DS160" s="6">
        <v>19.02</v>
      </c>
      <c r="DT160" t="s">
        <v>424</v>
      </c>
      <c r="DU160" s="1">
        <v>44350</v>
      </c>
      <c r="DV160" s="1">
        <v>44439</v>
      </c>
    </row>
    <row r="161" spans="1:126" ht="15" customHeight="1" x14ac:dyDescent="0.35">
      <c r="A161" t="s">
        <v>16475</v>
      </c>
      <c r="B161" t="s">
        <v>318</v>
      </c>
      <c r="C161" s="1">
        <v>44322</v>
      </c>
      <c r="D161" s="1">
        <v>44350</v>
      </c>
      <c r="H161" t="s">
        <v>319</v>
      </c>
      <c r="I161" t="s">
        <v>4393</v>
      </c>
      <c r="J161" t="s">
        <v>10543</v>
      </c>
      <c r="L161" t="s">
        <v>587</v>
      </c>
      <c r="M161" t="s">
        <v>10544</v>
      </c>
      <c r="O161" t="s">
        <v>3512</v>
      </c>
      <c r="P161" t="s">
        <v>194</v>
      </c>
      <c r="Q161" s="3">
        <v>33445</v>
      </c>
      <c r="R161" t="s">
        <v>128</v>
      </c>
      <c r="T161" s="4">
        <v>15614982900</v>
      </c>
      <c r="V161" t="s">
        <v>10545</v>
      </c>
      <c r="W161" t="s">
        <v>10546</v>
      </c>
      <c r="X161" t="s">
        <v>10547</v>
      </c>
      <c r="Y161" t="s">
        <v>10544</v>
      </c>
      <c r="AA161" t="s">
        <v>3512</v>
      </c>
      <c r="AB161" t="s">
        <v>195</v>
      </c>
      <c r="AC161" s="3" t="str">
        <f>"33445"</f>
        <v>33445</v>
      </c>
      <c r="AD161" t="s">
        <v>128</v>
      </c>
      <c r="AF161" s="4">
        <v>15614982900</v>
      </c>
      <c r="AH161" t="str">
        <f>"72111"</f>
        <v>72111</v>
      </c>
      <c r="AI161" t="s">
        <v>130</v>
      </c>
      <c r="AJ161" t="s">
        <v>1080</v>
      </c>
      <c r="AK161" t="s">
        <v>1278</v>
      </c>
      <c r="AL161" t="s">
        <v>2210</v>
      </c>
      <c r="AM161" t="s">
        <v>4475</v>
      </c>
      <c r="AN161" t="s">
        <v>1507</v>
      </c>
      <c r="AO161" t="s">
        <v>642</v>
      </c>
      <c r="AP161" t="s">
        <v>643</v>
      </c>
      <c r="AQ161" s="5">
        <v>30309</v>
      </c>
      <c r="AR161" t="s">
        <v>128</v>
      </c>
      <c r="AT161" s="4">
        <v>14042404151</v>
      </c>
      <c r="AV161" t="s">
        <v>4476</v>
      </c>
      <c r="AW161" t="s">
        <v>559</v>
      </c>
      <c r="AX161" t="s">
        <v>131</v>
      </c>
      <c r="AY161" t="s">
        <v>131</v>
      </c>
      <c r="AZ161" t="s">
        <v>131</v>
      </c>
      <c r="BA161" t="s">
        <v>131</v>
      </c>
      <c r="BB161" t="s">
        <v>131</v>
      </c>
      <c r="BC161" t="s">
        <v>131</v>
      </c>
      <c r="BD161" t="s">
        <v>131</v>
      </c>
      <c r="BE161" t="s">
        <v>132</v>
      </c>
      <c r="BH161" t="s">
        <v>1639</v>
      </c>
      <c r="BI161" t="s">
        <v>131</v>
      </c>
      <c r="BL161" t="s">
        <v>167</v>
      </c>
      <c r="BO161" t="s">
        <v>131</v>
      </c>
      <c r="BP161" t="s">
        <v>134</v>
      </c>
      <c r="BQ161" t="s">
        <v>131</v>
      </c>
      <c r="BS161" t="str">
        <f>"N/A"</f>
        <v>N/A</v>
      </c>
      <c r="BT161" t="s">
        <v>131</v>
      </c>
      <c r="BV161" t="str">
        <f>""</f>
        <v/>
      </c>
      <c r="BW161" t="s">
        <v>131</v>
      </c>
      <c r="BX161" t="str">
        <f>""</f>
        <v/>
      </c>
      <c r="BY161" t="str">
        <f>""</f>
        <v/>
      </c>
      <c r="BZ161" t="str">
        <f>""</f>
        <v/>
      </c>
      <c r="CA161" t="str">
        <f>""</f>
        <v/>
      </c>
      <c r="CB161" t="s">
        <v>131</v>
      </c>
      <c r="CF161" t="s">
        <v>131</v>
      </c>
      <c r="CH161" t="str">
        <f>""</f>
        <v/>
      </c>
      <c r="CI161" t="s">
        <v>131</v>
      </c>
      <c r="CK161" t="s">
        <v>131</v>
      </c>
      <c r="CL161" t="str">
        <f>""</f>
        <v/>
      </c>
      <c r="CM161" t="str">
        <f>""</f>
        <v/>
      </c>
      <c r="CN161" t="str">
        <f>""</f>
        <v/>
      </c>
      <c r="CO161" t="str">
        <f>""</f>
        <v/>
      </c>
      <c r="CP161" t="str">
        <f>"37-2012.00"</f>
        <v>37-2012.00</v>
      </c>
      <c r="CQ161" t="s">
        <v>479</v>
      </c>
      <c r="CS161" t="s">
        <v>131</v>
      </c>
      <c r="CU161" t="s">
        <v>10544</v>
      </c>
      <c r="CW161" t="s">
        <v>3512</v>
      </c>
      <c r="CX161" t="s">
        <v>195</v>
      </c>
      <c r="CZ161" s="3" t="str">
        <f>"33445"</f>
        <v>33445</v>
      </c>
      <c r="DA161" t="s">
        <v>131</v>
      </c>
      <c r="DB161" t="str">
        <f>"37-2012"</f>
        <v>37-2012</v>
      </c>
      <c r="DC161" t="s">
        <v>479</v>
      </c>
      <c r="DD161" t="s">
        <v>134</v>
      </c>
      <c r="DE161" t="s">
        <v>134</v>
      </c>
      <c r="DF161" t="str">
        <f>""</f>
        <v/>
      </c>
      <c r="DH161" s="6">
        <v>11.7</v>
      </c>
      <c r="DI161" t="s">
        <v>344</v>
      </c>
      <c r="DK161" t="s">
        <v>345</v>
      </c>
      <c r="DR161" t="s">
        <v>2160</v>
      </c>
      <c r="DS161" s="6">
        <v>11.7</v>
      </c>
      <c r="DT161" t="s">
        <v>424</v>
      </c>
      <c r="DU161" s="1">
        <v>44350</v>
      </c>
      <c r="DV161" s="1">
        <v>44439</v>
      </c>
    </row>
    <row r="162" spans="1:126" ht="15" customHeight="1" x14ac:dyDescent="0.35">
      <c r="A162" t="s">
        <v>12002</v>
      </c>
      <c r="B162" t="s">
        <v>318</v>
      </c>
      <c r="C162" s="1">
        <v>44322</v>
      </c>
      <c r="D162" s="1">
        <v>44350</v>
      </c>
      <c r="H162" t="s">
        <v>319</v>
      </c>
      <c r="I162" t="s">
        <v>12003</v>
      </c>
      <c r="J162" t="s">
        <v>1493</v>
      </c>
      <c r="K162" t="s">
        <v>655</v>
      </c>
      <c r="L162" t="s">
        <v>1105</v>
      </c>
      <c r="M162" t="s">
        <v>12004</v>
      </c>
      <c r="O162" t="s">
        <v>7013</v>
      </c>
      <c r="P162" t="s">
        <v>3898</v>
      </c>
      <c r="Q162" s="3">
        <v>40213</v>
      </c>
      <c r="R162" t="s">
        <v>128</v>
      </c>
      <c r="T162" s="4">
        <v>15025937749</v>
      </c>
      <c r="V162" t="s">
        <v>134</v>
      </c>
      <c r="W162" t="s">
        <v>12005</v>
      </c>
      <c r="Y162" t="s">
        <v>12004</v>
      </c>
      <c r="AA162" t="s">
        <v>7013</v>
      </c>
      <c r="AB162" t="s">
        <v>2436</v>
      </c>
      <c r="AC162" s="3" t="str">
        <f>"40213"</f>
        <v>40213</v>
      </c>
      <c r="AD162" t="s">
        <v>128</v>
      </c>
      <c r="AF162" s="4">
        <v>15025937749</v>
      </c>
      <c r="AH162" t="str">
        <f>"56173"</f>
        <v>56173</v>
      </c>
      <c r="AI162" t="s">
        <v>287</v>
      </c>
      <c r="AJ162" t="s">
        <v>2917</v>
      </c>
      <c r="AK162" t="s">
        <v>2918</v>
      </c>
      <c r="AL162" t="s">
        <v>610</v>
      </c>
      <c r="AM162" t="s">
        <v>2919</v>
      </c>
      <c r="AN162" t="s">
        <v>2920</v>
      </c>
      <c r="AO162" t="s">
        <v>2921</v>
      </c>
      <c r="AP162" t="s">
        <v>306</v>
      </c>
      <c r="AQ162" s="5">
        <v>22949</v>
      </c>
      <c r="AR162" t="s">
        <v>128</v>
      </c>
      <c r="AT162" s="4">
        <v>14342634300</v>
      </c>
      <c r="AV162" t="s">
        <v>5233</v>
      </c>
      <c r="AW162" t="s">
        <v>2923</v>
      </c>
      <c r="AX162" t="s">
        <v>131</v>
      </c>
      <c r="AY162" t="s">
        <v>131</v>
      </c>
      <c r="AZ162" t="s">
        <v>131</v>
      </c>
      <c r="BA162" t="s">
        <v>131</v>
      </c>
      <c r="BB162" t="s">
        <v>131</v>
      </c>
      <c r="BC162" t="s">
        <v>131</v>
      </c>
      <c r="BD162" t="s">
        <v>131</v>
      </c>
      <c r="BE162" t="s">
        <v>132</v>
      </c>
      <c r="BH162" t="s">
        <v>12006</v>
      </c>
      <c r="BI162" t="s">
        <v>131</v>
      </c>
      <c r="BL162" t="s">
        <v>167</v>
      </c>
      <c r="BO162" t="s">
        <v>131</v>
      </c>
      <c r="BP162" t="s">
        <v>134</v>
      </c>
      <c r="BQ162" t="s">
        <v>131</v>
      </c>
      <c r="BS162" t="str">
        <f>"N/A"</f>
        <v>N/A</v>
      </c>
      <c r="BT162" t="s">
        <v>131</v>
      </c>
      <c r="BV162" t="str">
        <f>""</f>
        <v/>
      </c>
      <c r="BW162" t="s">
        <v>135</v>
      </c>
      <c r="BX162" t="str">
        <f>""</f>
        <v/>
      </c>
      <c r="BY162" t="str">
        <f>""</f>
        <v/>
      </c>
      <c r="BZ162" t="str">
        <f>""</f>
        <v/>
      </c>
      <c r="CA162" t="str">
        <f>"Must lift/carry 50 lbs., when necessary.  Saturday work required, when necessary."</f>
        <v>Must lift/carry 50 lbs., when necessary.  Saturday work required, when necessary.</v>
      </c>
      <c r="CB162" t="s">
        <v>131</v>
      </c>
      <c r="CF162" t="s">
        <v>131</v>
      </c>
      <c r="CH162" t="str">
        <f>""</f>
        <v/>
      </c>
      <c r="CI162" t="s">
        <v>131</v>
      </c>
      <c r="CK162" t="s">
        <v>131</v>
      </c>
      <c r="CL162" t="str">
        <f>""</f>
        <v/>
      </c>
      <c r="CM162" t="str">
        <f>""</f>
        <v/>
      </c>
      <c r="CN162" t="str">
        <f>""</f>
        <v/>
      </c>
      <c r="CO162" t="str">
        <f>""</f>
        <v/>
      </c>
      <c r="CP162" t="str">
        <f>"37-3011.00"</f>
        <v>37-3011.00</v>
      </c>
      <c r="CQ162" t="s">
        <v>920</v>
      </c>
      <c r="CR162" t="s">
        <v>2924</v>
      </c>
      <c r="CS162" t="s">
        <v>135</v>
      </c>
      <c r="CT162" t="s">
        <v>2925</v>
      </c>
      <c r="CU162" t="s">
        <v>12004</v>
      </c>
      <c r="CW162" t="s">
        <v>7013</v>
      </c>
      <c r="CX162" t="s">
        <v>2436</v>
      </c>
      <c r="CZ162" s="3" t="str">
        <f>"40213"</f>
        <v>40213</v>
      </c>
      <c r="DA162" t="s">
        <v>135</v>
      </c>
      <c r="DB162" t="str">
        <f>"37-3011"</f>
        <v>37-3011</v>
      </c>
      <c r="DC162" t="s">
        <v>920</v>
      </c>
      <c r="DD162" t="s">
        <v>134</v>
      </c>
      <c r="DE162" t="s">
        <v>134</v>
      </c>
      <c r="DF162" t="str">
        <f>""</f>
        <v/>
      </c>
      <c r="DH162" s="6">
        <v>15.58</v>
      </c>
      <c r="DI162" t="s">
        <v>344</v>
      </c>
      <c r="DK162" t="s">
        <v>345</v>
      </c>
      <c r="DS162" s="6">
        <v>15.58</v>
      </c>
      <c r="DT162" t="s">
        <v>424</v>
      </c>
      <c r="DU162" s="1">
        <v>44350</v>
      </c>
      <c r="DV162" s="1">
        <v>44439</v>
      </c>
    </row>
    <row r="163" spans="1:126" ht="15" customHeight="1" x14ac:dyDescent="0.35">
      <c r="A163" t="s">
        <v>18276</v>
      </c>
      <c r="B163" t="s">
        <v>318</v>
      </c>
      <c r="C163" s="1">
        <v>44322</v>
      </c>
      <c r="D163" s="1">
        <v>44355</v>
      </c>
      <c r="H163" t="s">
        <v>319</v>
      </c>
      <c r="I163" t="s">
        <v>2183</v>
      </c>
      <c r="J163" t="s">
        <v>2184</v>
      </c>
      <c r="L163" t="s">
        <v>2185</v>
      </c>
      <c r="M163" t="s">
        <v>2186</v>
      </c>
      <c r="N163" t="s">
        <v>2187</v>
      </c>
      <c r="O163" t="s">
        <v>2192</v>
      </c>
      <c r="P163" t="s">
        <v>857</v>
      </c>
      <c r="Q163" s="3">
        <v>85281</v>
      </c>
      <c r="R163" t="s">
        <v>128</v>
      </c>
      <c r="T163" s="4">
        <v>14802206490</v>
      </c>
      <c r="V163" t="s">
        <v>2189</v>
      </c>
      <c r="W163" t="s">
        <v>18277</v>
      </c>
      <c r="X163" t="s">
        <v>2191</v>
      </c>
      <c r="Y163" t="s">
        <v>2186</v>
      </c>
      <c r="Z163" t="s">
        <v>2187</v>
      </c>
      <c r="AA163" t="s">
        <v>2192</v>
      </c>
      <c r="AB163" t="s">
        <v>808</v>
      </c>
      <c r="AC163" s="3" t="str">
        <f>"85281"</f>
        <v>85281</v>
      </c>
      <c r="AD163" t="s">
        <v>128</v>
      </c>
      <c r="AF163" s="4">
        <v>14802206490</v>
      </c>
      <c r="AH163" t="str">
        <f>"722511"</f>
        <v>722511</v>
      </c>
      <c r="AI163" t="s">
        <v>130</v>
      </c>
      <c r="AJ163" t="s">
        <v>2193</v>
      </c>
      <c r="AK163" t="s">
        <v>2194</v>
      </c>
      <c r="AM163" t="s">
        <v>2195</v>
      </c>
      <c r="AN163" t="s">
        <v>884</v>
      </c>
      <c r="AO163" t="s">
        <v>807</v>
      </c>
      <c r="AP163" t="s">
        <v>808</v>
      </c>
      <c r="AQ163" s="5">
        <v>85012</v>
      </c>
      <c r="AR163" t="s">
        <v>128</v>
      </c>
      <c r="AT163" s="4">
        <v>16022660292</v>
      </c>
      <c r="AV163" t="s">
        <v>2196</v>
      </c>
      <c r="AW163" t="s">
        <v>2197</v>
      </c>
      <c r="AX163" t="s">
        <v>131</v>
      </c>
      <c r="AY163" t="s">
        <v>131</v>
      </c>
      <c r="AZ163" t="s">
        <v>131</v>
      </c>
      <c r="BA163" t="s">
        <v>131</v>
      </c>
      <c r="BB163" t="s">
        <v>131</v>
      </c>
      <c r="BC163" t="s">
        <v>131</v>
      </c>
      <c r="BD163" t="s">
        <v>131</v>
      </c>
      <c r="BE163" t="s">
        <v>132</v>
      </c>
      <c r="BH163" t="s">
        <v>11119</v>
      </c>
      <c r="BI163" t="s">
        <v>131</v>
      </c>
      <c r="BL163" t="s">
        <v>167</v>
      </c>
      <c r="BO163" t="s">
        <v>131</v>
      </c>
      <c r="BP163" t="s">
        <v>134</v>
      </c>
      <c r="BQ163" t="s">
        <v>135</v>
      </c>
      <c r="BR163">
        <v>1</v>
      </c>
      <c r="BS163" t="str">
        <f>"Cooking, prepping and operating machinery "</f>
        <v xml:space="preserve">Cooking, prepping and operating machinery </v>
      </c>
      <c r="BT163" t="s">
        <v>131</v>
      </c>
      <c r="BV163" t="str">
        <f>""</f>
        <v/>
      </c>
      <c r="BW163" t="s">
        <v>135</v>
      </c>
      <c r="BX163" t="str">
        <f>""</f>
        <v/>
      </c>
      <c r="BY163" t="str">
        <f>""</f>
        <v/>
      </c>
      <c r="BZ163" t="str">
        <f>""</f>
        <v/>
      </c>
      <c r="CA163" t="str">
        <f>"Food handling, multi-tasking and organizational skills "</f>
        <v xml:space="preserve">Food handling, multi-tasking and organizational skills </v>
      </c>
      <c r="CB163" t="s">
        <v>131</v>
      </c>
      <c r="CF163" t="s">
        <v>131</v>
      </c>
      <c r="CH163" t="str">
        <f>""</f>
        <v/>
      </c>
      <c r="CI163" t="s">
        <v>131</v>
      </c>
      <c r="CK163" t="s">
        <v>131</v>
      </c>
      <c r="CL163" t="str">
        <f>""</f>
        <v/>
      </c>
      <c r="CM163" t="str">
        <f>""</f>
        <v/>
      </c>
      <c r="CN163" t="str">
        <f>""</f>
        <v/>
      </c>
      <c r="CO163" t="str">
        <f>""</f>
        <v/>
      </c>
      <c r="CP163" t="str">
        <f>"35-2014.00"</f>
        <v>35-2014.00</v>
      </c>
      <c r="CQ163" t="s">
        <v>581</v>
      </c>
      <c r="CR163" t="s">
        <v>5537</v>
      </c>
      <c r="CS163" t="s">
        <v>131</v>
      </c>
      <c r="CU163" t="s">
        <v>18278</v>
      </c>
      <c r="CW163" t="s">
        <v>2192</v>
      </c>
      <c r="CX163" t="s">
        <v>808</v>
      </c>
      <c r="CZ163" s="3" t="str">
        <f>"85282"</f>
        <v>85282</v>
      </c>
      <c r="DA163" t="s">
        <v>131</v>
      </c>
      <c r="DB163" t="str">
        <f>"35-2014"</f>
        <v>35-2014</v>
      </c>
      <c r="DC163" t="s">
        <v>581</v>
      </c>
      <c r="DD163" t="s">
        <v>134</v>
      </c>
      <c r="DE163" t="s">
        <v>134</v>
      </c>
      <c r="DF163" t="str">
        <f>""</f>
        <v/>
      </c>
      <c r="DH163" s="6">
        <v>14.17</v>
      </c>
      <c r="DI163" t="s">
        <v>344</v>
      </c>
      <c r="DK163" t="s">
        <v>345</v>
      </c>
      <c r="DR163" t="s">
        <v>2199</v>
      </c>
      <c r="DS163" s="6">
        <v>14.17</v>
      </c>
      <c r="DT163" t="s">
        <v>424</v>
      </c>
      <c r="DU163" s="1">
        <v>44355</v>
      </c>
      <c r="DV163" s="1">
        <v>44444</v>
      </c>
    </row>
    <row r="164" spans="1:126" ht="15" customHeight="1" x14ac:dyDescent="0.35">
      <c r="A164" t="s">
        <v>16140</v>
      </c>
      <c r="B164" t="s">
        <v>318</v>
      </c>
      <c r="C164" s="1">
        <v>44322</v>
      </c>
      <c r="D164" s="1">
        <v>44350</v>
      </c>
      <c r="H164" t="s">
        <v>319</v>
      </c>
      <c r="I164" t="s">
        <v>16141</v>
      </c>
      <c r="J164" t="s">
        <v>4835</v>
      </c>
      <c r="K164" t="s">
        <v>655</v>
      </c>
      <c r="L164" t="s">
        <v>1105</v>
      </c>
      <c r="M164" t="s">
        <v>16142</v>
      </c>
      <c r="O164" t="s">
        <v>16143</v>
      </c>
      <c r="P164" t="s">
        <v>1760</v>
      </c>
      <c r="Q164" s="3">
        <v>70515</v>
      </c>
      <c r="R164" t="s">
        <v>128</v>
      </c>
      <c r="T164" s="4">
        <v>13374325150</v>
      </c>
      <c r="V164" t="s">
        <v>16144</v>
      </c>
      <c r="W164" t="s">
        <v>16145</v>
      </c>
      <c r="Y164" t="s">
        <v>16142</v>
      </c>
      <c r="AA164" t="s">
        <v>16143</v>
      </c>
      <c r="AB164" t="s">
        <v>1763</v>
      </c>
      <c r="AC164" s="3" t="str">
        <f>"70515"</f>
        <v>70515</v>
      </c>
      <c r="AD164" t="s">
        <v>128</v>
      </c>
      <c r="AF164" s="4">
        <v>13374325150</v>
      </c>
      <c r="AH164" t="str">
        <f>"115112"</f>
        <v>115112</v>
      </c>
      <c r="AI164" t="s">
        <v>287</v>
      </c>
      <c r="AJ164" t="s">
        <v>2304</v>
      </c>
      <c r="AK164" t="s">
        <v>5773</v>
      </c>
      <c r="AL164" t="s">
        <v>589</v>
      </c>
      <c r="AM164" t="s">
        <v>5774</v>
      </c>
      <c r="AN164" t="s">
        <v>5775</v>
      </c>
      <c r="AO164" t="s">
        <v>5776</v>
      </c>
      <c r="AP164" t="s">
        <v>1763</v>
      </c>
      <c r="AQ164" s="5">
        <v>70754</v>
      </c>
      <c r="AR164" t="s">
        <v>128</v>
      </c>
      <c r="AS164" t="s">
        <v>1763</v>
      </c>
      <c r="AT164" s="4">
        <v>12256863033</v>
      </c>
      <c r="AV164" t="s">
        <v>5777</v>
      </c>
      <c r="AW164" t="s">
        <v>5778</v>
      </c>
      <c r="AX164" t="s">
        <v>131</v>
      </c>
      <c r="AY164" t="s">
        <v>131</v>
      </c>
      <c r="AZ164" t="s">
        <v>131</v>
      </c>
      <c r="BA164" t="s">
        <v>131</v>
      </c>
      <c r="BB164" t="s">
        <v>131</v>
      </c>
      <c r="BC164" t="s">
        <v>131</v>
      </c>
      <c r="BD164" t="s">
        <v>131</v>
      </c>
      <c r="BE164" t="s">
        <v>132</v>
      </c>
      <c r="BH164" t="s">
        <v>2684</v>
      </c>
      <c r="BI164" t="s">
        <v>131</v>
      </c>
      <c r="BL164" t="s">
        <v>167</v>
      </c>
      <c r="BO164" t="s">
        <v>131</v>
      </c>
      <c r="BP164" t="s">
        <v>134</v>
      </c>
      <c r="BQ164" t="s">
        <v>131</v>
      </c>
      <c r="BS164" t="str">
        <f t="shared" ref="BS164:BS169" si="13">"N/A"</f>
        <v>N/A</v>
      </c>
      <c r="BT164" t="s">
        <v>131</v>
      </c>
      <c r="BV164" t="str">
        <f>""</f>
        <v/>
      </c>
      <c r="BW164" t="s">
        <v>135</v>
      </c>
      <c r="BX164" t="str">
        <f>""</f>
        <v/>
      </c>
      <c r="BY164" t="str">
        <f>""</f>
        <v/>
      </c>
      <c r="BZ164" t="str">
        <f>""</f>
        <v/>
      </c>
      <c r="CA164" s="2" t="s">
        <v>16146</v>
      </c>
      <c r="CB164" t="s">
        <v>131</v>
      </c>
      <c r="CF164" t="s">
        <v>131</v>
      </c>
      <c r="CH164" t="str">
        <f>""</f>
        <v/>
      </c>
      <c r="CI164" t="s">
        <v>131</v>
      </c>
      <c r="CK164" t="s">
        <v>131</v>
      </c>
      <c r="CL164" t="str">
        <f>""</f>
        <v/>
      </c>
      <c r="CM164" t="str">
        <f>""</f>
        <v/>
      </c>
      <c r="CN164" t="str">
        <f>""</f>
        <v/>
      </c>
      <c r="CO164" t="str">
        <f>""</f>
        <v/>
      </c>
      <c r="CP164" t="str">
        <f>"53-7062.00"</f>
        <v>53-7062.00</v>
      </c>
      <c r="CQ164" t="s">
        <v>1030</v>
      </c>
      <c r="CS164" t="s">
        <v>135</v>
      </c>
      <c r="CT164" t="s">
        <v>16147</v>
      </c>
      <c r="CU164" t="s">
        <v>16142</v>
      </c>
      <c r="CW164" t="s">
        <v>16143</v>
      </c>
      <c r="CX164" t="s">
        <v>1763</v>
      </c>
      <c r="CZ164" s="3" t="str">
        <f>"70515"</f>
        <v>70515</v>
      </c>
      <c r="DA164" t="s">
        <v>135</v>
      </c>
      <c r="DB164" t="str">
        <f>"53-7062"</f>
        <v>53-7062</v>
      </c>
      <c r="DC164" t="s">
        <v>1030</v>
      </c>
      <c r="DD164" t="s">
        <v>134</v>
      </c>
      <c r="DE164" t="s">
        <v>134</v>
      </c>
      <c r="DF164" t="str">
        <f>"37-3011.00"</f>
        <v>37-3011.00</v>
      </c>
      <c r="DG164" t="s">
        <v>920</v>
      </c>
      <c r="DH164" s="6">
        <v>14.25</v>
      </c>
      <c r="DI164" t="s">
        <v>344</v>
      </c>
      <c r="DK164" t="s">
        <v>345</v>
      </c>
      <c r="DR164" t="s">
        <v>11026</v>
      </c>
      <c r="DS164" s="6">
        <v>14.34</v>
      </c>
      <c r="DT164" t="s">
        <v>424</v>
      </c>
      <c r="DU164" s="1">
        <v>44350</v>
      </c>
      <c r="DV164" s="1">
        <v>44439</v>
      </c>
    </row>
    <row r="165" spans="1:126" ht="15" customHeight="1" x14ac:dyDescent="0.35">
      <c r="A165" t="s">
        <v>10542</v>
      </c>
      <c r="B165" t="s">
        <v>318</v>
      </c>
      <c r="C165" s="1">
        <v>44322</v>
      </c>
      <c r="D165" s="1">
        <v>44350</v>
      </c>
      <c r="H165" t="s">
        <v>319</v>
      </c>
      <c r="I165" t="s">
        <v>4393</v>
      </c>
      <c r="J165" t="s">
        <v>10543</v>
      </c>
      <c r="L165" t="s">
        <v>587</v>
      </c>
      <c r="M165" t="s">
        <v>10544</v>
      </c>
      <c r="O165" t="s">
        <v>3512</v>
      </c>
      <c r="P165" t="s">
        <v>194</v>
      </c>
      <c r="Q165" s="3">
        <v>33445</v>
      </c>
      <c r="R165" t="s">
        <v>128</v>
      </c>
      <c r="T165" s="4">
        <v>15614982900</v>
      </c>
      <c r="V165" t="s">
        <v>10545</v>
      </c>
      <c r="W165" t="s">
        <v>10546</v>
      </c>
      <c r="X165" t="s">
        <v>10547</v>
      </c>
      <c r="Y165" t="s">
        <v>10544</v>
      </c>
      <c r="AA165" t="s">
        <v>3512</v>
      </c>
      <c r="AB165" t="s">
        <v>195</v>
      </c>
      <c r="AC165" s="3" t="str">
        <f>"33445"</f>
        <v>33445</v>
      </c>
      <c r="AD165" t="s">
        <v>128</v>
      </c>
      <c r="AF165" s="4">
        <v>15614982900</v>
      </c>
      <c r="AH165" t="str">
        <f>"72111"</f>
        <v>72111</v>
      </c>
      <c r="AI165" t="s">
        <v>130</v>
      </c>
      <c r="AJ165" t="s">
        <v>1080</v>
      </c>
      <c r="AK165" t="s">
        <v>1278</v>
      </c>
      <c r="AL165" t="s">
        <v>2210</v>
      </c>
      <c r="AM165" t="s">
        <v>4475</v>
      </c>
      <c r="AN165" t="s">
        <v>1507</v>
      </c>
      <c r="AO165" t="s">
        <v>642</v>
      </c>
      <c r="AP165" t="s">
        <v>643</v>
      </c>
      <c r="AQ165" s="5">
        <v>30309</v>
      </c>
      <c r="AR165" t="s">
        <v>128</v>
      </c>
      <c r="AT165" s="4">
        <v>14042404151</v>
      </c>
      <c r="AV165" t="s">
        <v>4476</v>
      </c>
      <c r="AW165" t="s">
        <v>559</v>
      </c>
      <c r="AX165" t="s">
        <v>131</v>
      </c>
      <c r="AY165" t="s">
        <v>131</v>
      </c>
      <c r="AZ165" t="s">
        <v>131</v>
      </c>
      <c r="BA165" t="s">
        <v>131</v>
      </c>
      <c r="BB165" t="s">
        <v>131</v>
      </c>
      <c r="BC165" t="s">
        <v>131</v>
      </c>
      <c r="BD165" t="s">
        <v>131</v>
      </c>
      <c r="BE165" t="s">
        <v>132</v>
      </c>
      <c r="BH165" t="s">
        <v>10548</v>
      </c>
      <c r="BI165" t="s">
        <v>131</v>
      </c>
      <c r="BL165" t="s">
        <v>167</v>
      </c>
      <c r="BO165" t="s">
        <v>131</v>
      </c>
      <c r="BP165" t="s">
        <v>134</v>
      </c>
      <c r="BQ165" t="s">
        <v>131</v>
      </c>
      <c r="BS165" t="str">
        <f t="shared" si="13"/>
        <v>N/A</v>
      </c>
      <c r="BT165" t="s">
        <v>131</v>
      </c>
      <c r="BV165" t="str">
        <f>""</f>
        <v/>
      </c>
      <c r="BW165" t="s">
        <v>131</v>
      </c>
      <c r="BX165" t="str">
        <f>""</f>
        <v/>
      </c>
      <c r="BY165" t="str">
        <f>""</f>
        <v/>
      </c>
      <c r="BZ165" t="str">
        <f>""</f>
        <v/>
      </c>
      <c r="CA165" t="str">
        <f>""</f>
        <v/>
      </c>
      <c r="CB165" t="s">
        <v>131</v>
      </c>
      <c r="CF165" t="s">
        <v>131</v>
      </c>
      <c r="CH165" t="str">
        <f>""</f>
        <v/>
      </c>
      <c r="CI165" t="s">
        <v>131</v>
      </c>
      <c r="CK165" t="s">
        <v>131</v>
      </c>
      <c r="CL165" t="str">
        <f>""</f>
        <v/>
      </c>
      <c r="CM165" t="str">
        <f>""</f>
        <v/>
      </c>
      <c r="CN165" t="str">
        <f>""</f>
        <v/>
      </c>
      <c r="CO165" t="str">
        <f>""</f>
        <v/>
      </c>
      <c r="CP165" t="str">
        <f>"35-2014.00"</f>
        <v>35-2014.00</v>
      </c>
      <c r="CQ165" t="s">
        <v>581</v>
      </c>
      <c r="CS165" t="s">
        <v>131</v>
      </c>
      <c r="CU165" t="s">
        <v>10544</v>
      </c>
      <c r="CW165" t="s">
        <v>3512</v>
      </c>
      <c r="CX165" t="s">
        <v>195</v>
      </c>
      <c r="CZ165" s="3" t="str">
        <f>"33445"</f>
        <v>33445</v>
      </c>
      <c r="DA165" t="s">
        <v>131</v>
      </c>
      <c r="DB165" t="str">
        <f>"35-2014"</f>
        <v>35-2014</v>
      </c>
      <c r="DC165" t="s">
        <v>581</v>
      </c>
      <c r="DD165" t="s">
        <v>134</v>
      </c>
      <c r="DE165" t="s">
        <v>134</v>
      </c>
      <c r="DF165" t="str">
        <f>""</f>
        <v/>
      </c>
      <c r="DH165" s="6">
        <v>14.63</v>
      </c>
      <c r="DI165" t="s">
        <v>344</v>
      </c>
      <c r="DK165" t="s">
        <v>345</v>
      </c>
      <c r="DR165" t="s">
        <v>2160</v>
      </c>
      <c r="DS165" s="6">
        <v>14.63</v>
      </c>
      <c r="DT165" t="s">
        <v>424</v>
      </c>
      <c r="DU165" s="1">
        <v>44350</v>
      </c>
      <c r="DV165" s="1">
        <v>44439</v>
      </c>
    </row>
    <row r="166" spans="1:126" ht="15" customHeight="1" x14ac:dyDescent="0.35">
      <c r="A166" t="s">
        <v>14680</v>
      </c>
      <c r="B166" t="s">
        <v>318</v>
      </c>
      <c r="C166" s="1">
        <v>44322</v>
      </c>
      <c r="D166" s="1">
        <v>44350</v>
      </c>
      <c r="H166" t="s">
        <v>319</v>
      </c>
      <c r="I166" t="s">
        <v>7968</v>
      </c>
      <c r="J166" t="s">
        <v>913</v>
      </c>
      <c r="L166" t="s">
        <v>349</v>
      </c>
      <c r="M166" t="s">
        <v>9100</v>
      </c>
      <c r="O166" t="s">
        <v>3508</v>
      </c>
      <c r="P166" t="s">
        <v>811</v>
      </c>
      <c r="Q166" s="3">
        <v>29588</v>
      </c>
      <c r="R166" t="s">
        <v>128</v>
      </c>
      <c r="T166" s="4">
        <v>17025265616</v>
      </c>
      <c r="V166" t="s">
        <v>9101</v>
      </c>
      <c r="W166" t="s">
        <v>9102</v>
      </c>
      <c r="Y166" t="s">
        <v>14681</v>
      </c>
      <c r="AA166" t="s">
        <v>3508</v>
      </c>
      <c r="AB166" t="s">
        <v>812</v>
      </c>
      <c r="AC166" s="3" t="str">
        <f>"29577"</f>
        <v>29577</v>
      </c>
      <c r="AD166" t="s">
        <v>128</v>
      </c>
      <c r="AF166" s="4">
        <v>18439576632</v>
      </c>
      <c r="AH166" t="str">
        <f>"81233"</f>
        <v>81233</v>
      </c>
      <c r="AI166" t="s">
        <v>167</v>
      </c>
      <c r="AX166" t="s">
        <v>131</v>
      </c>
      <c r="AY166" t="s">
        <v>131</v>
      </c>
      <c r="AZ166" t="s">
        <v>131</v>
      </c>
      <c r="BA166" t="s">
        <v>131</v>
      </c>
      <c r="BB166" t="s">
        <v>131</v>
      </c>
      <c r="BC166" t="s">
        <v>131</v>
      </c>
      <c r="BD166" t="s">
        <v>131</v>
      </c>
      <c r="BE166" t="s">
        <v>132</v>
      </c>
      <c r="BH166" t="s">
        <v>13999</v>
      </c>
      <c r="BI166" t="s">
        <v>131</v>
      </c>
      <c r="BL166" t="s">
        <v>167</v>
      </c>
      <c r="BO166" t="s">
        <v>131</v>
      </c>
      <c r="BP166" t="s">
        <v>134</v>
      </c>
      <c r="BQ166" t="s">
        <v>131</v>
      </c>
      <c r="BS166" t="str">
        <f t="shared" si="13"/>
        <v>N/A</v>
      </c>
      <c r="BT166" t="s">
        <v>135</v>
      </c>
      <c r="BU166">
        <v>12</v>
      </c>
      <c r="BV166" t="str">
        <f>"Housekeeper"</f>
        <v>Housekeeper</v>
      </c>
      <c r="BW166" t="s">
        <v>131</v>
      </c>
      <c r="BX166" t="str">
        <f>""</f>
        <v/>
      </c>
      <c r="BY166" t="str">
        <f>""</f>
        <v/>
      </c>
      <c r="BZ166" t="str">
        <f>""</f>
        <v/>
      </c>
      <c r="CA166" t="str">
        <f>""</f>
        <v/>
      </c>
      <c r="CB166" t="s">
        <v>131</v>
      </c>
      <c r="CF166" t="s">
        <v>131</v>
      </c>
      <c r="CH166" t="str">
        <f>""</f>
        <v/>
      </c>
      <c r="CI166" t="s">
        <v>131</v>
      </c>
      <c r="CK166" t="s">
        <v>131</v>
      </c>
      <c r="CL166" t="str">
        <f>""</f>
        <v/>
      </c>
      <c r="CM166" t="str">
        <f>""</f>
        <v/>
      </c>
      <c r="CN166" t="str">
        <f>""</f>
        <v/>
      </c>
      <c r="CO166" t="str">
        <f>""</f>
        <v/>
      </c>
      <c r="CP166" t="str">
        <f>"37-2012.00"</f>
        <v>37-2012.00</v>
      </c>
      <c r="CQ166" t="s">
        <v>479</v>
      </c>
      <c r="CS166" t="s">
        <v>131</v>
      </c>
      <c r="CU166" t="s">
        <v>14681</v>
      </c>
      <c r="CW166" t="s">
        <v>3508</v>
      </c>
      <c r="CX166" t="s">
        <v>812</v>
      </c>
      <c r="CZ166" s="3" t="str">
        <f>"29577"</f>
        <v>29577</v>
      </c>
      <c r="DA166" t="s">
        <v>131</v>
      </c>
      <c r="DB166" t="str">
        <f>"37-2012"</f>
        <v>37-2012</v>
      </c>
      <c r="DC166" t="s">
        <v>479</v>
      </c>
      <c r="DD166" t="s">
        <v>134</v>
      </c>
      <c r="DE166" t="s">
        <v>134</v>
      </c>
      <c r="DF166" t="str">
        <f>""</f>
        <v/>
      </c>
      <c r="DH166" s="6">
        <v>10.029999999999999</v>
      </c>
      <c r="DI166" t="s">
        <v>344</v>
      </c>
      <c r="DK166" t="s">
        <v>345</v>
      </c>
      <c r="DR166" t="s">
        <v>9104</v>
      </c>
      <c r="DS166" s="6">
        <v>10.029999999999999</v>
      </c>
      <c r="DT166" t="s">
        <v>424</v>
      </c>
      <c r="DU166" s="1">
        <v>44350</v>
      </c>
      <c r="DV166" s="1">
        <v>44439</v>
      </c>
    </row>
    <row r="167" spans="1:126" ht="15" customHeight="1" x14ac:dyDescent="0.35">
      <c r="A167" t="s">
        <v>19443</v>
      </c>
      <c r="B167" t="s">
        <v>318</v>
      </c>
      <c r="C167" s="1">
        <v>44322</v>
      </c>
      <c r="D167" s="1">
        <v>44355</v>
      </c>
      <c r="H167" t="s">
        <v>319</v>
      </c>
      <c r="I167" t="s">
        <v>4393</v>
      </c>
      <c r="J167" t="s">
        <v>10543</v>
      </c>
      <c r="L167" t="s">
        <v>587</v>
      </c>
      <c r="M167" t="s">
        <v>10544</v>
      </c>
      <c r="O167" t="s">
        <v>3512</v>
      </c>
      <c r="P167" t="s">
        <v>194</v>
      </c>
      <c r="Q167" s="3">
        <v>33445</v>
      </c>
      <c r="R167" t="s">
        <v>128</v>
      </c>
      <c r="T167" s="4">
        <v>15614982900</v>
      </c>
      <c r="V167" t="s">
        <v>10545</v>
      </c>
      <c r="W167" t="s">
        <v>10546</v>
      </c>
      <c r="X167" t="s">
        <v>10547</v>
      </c>
      <c r="Y167" t="s">
        <v>10544</v>
      </c>
      <c r="AA167" t="s">
        <v>3512</v>
      </c>
      <c r="AB167" t="s">
        <v>195</v>
      </c>
      <c r="AC167" s="3" t="str">
        <f>"33445"</f>
        <v>33445</v>
      </c>
      <c r="AD167" t="s">
        <v>128</v>
      </c>
      <c r="AF167" s="4">
        <v>15614982900</v>
      </c>
      <c r="AH167" t="str">
        <f>"72111"</f>
        <v>72111</v>
      </c>
      <c r="AI167" t="s">
        <v>130</v>
      </c>
      <c r="AJ167" t="s">
        <v>1080</v>
      </c>
      <c r="AK167" t="s">
        <v>1278</v>
      </c>
      <c r="AL167" t="s">
        <v>2210</v>
      </c>
      <c r="AM167" t="s">
        <v>4475</v>
      </c>
      <c r="AN167" t="s">
        <v>1507</v>
      </c>
      <c r="AO167" t="s">
        <v>642</v>
      </c>
      <c r="AP167" t="s">
        <v>643</v>
      </c>
      <c r="AQ167" s="5">
        <v>30309</v>
      </c>
      <c r="AR167" t="s">
        <v>128</v>
      </c>
      <c r="AT167" s="4">
        <v>14042404151</v>
      </c>
      <c r="AV167" t="s">
        <v>4476</v>
      </c>
      <c r="AW167" t="s">
        <v>559</v>
      </c>
      <c r="AX167" t="s">
        <v>131</v>
      </c>
      <c r="AY167" t="s">
        <v>131</v>
      </c>
      <c r="AZ167" t="s">
        <v>131</v>
      </c>
      <c r="BA167" t="s">
        <v>131</v>
      </c>
      <c r="BB167" t="s">
        <v>131</v>
      </c>
      <c r="BC167" t="s">
        <v>131</v>
      </c>
      <c r="BD167" t="s">
        <v>131</v>
      </c>
      <c r="BE167" t="s">
        <v>132</v>
      </c>
      <c r="BH167" t="s">
        <v>19444</v>
      </c>
      <c r="BI167" t="s">
        <v>131</v>
      </c>
      <c r="BL167" t="s">
        <v>167</v>
      </c>
      <c r="BO167" t="s">
        <v>131</v>
      </c>
      <c r="BP167" t="s">
        <v>134</v>
      </c>
      <c r="BQ167" t="s">
        <v>131</v>
      </c>
      <c r="BS167" t="str">
        <f t="shared" si="13"/>
        <v>N/A</v>
      </c>
      <c r="BT167" t="s">
        <v>131</v>
      </c>
      <c r="BV167" t="str">
        <f>""</f>
        <v/>
      </c>
      <c r="BW167" t="s">
        <v>131</v>
      </c>
      <c r="BX167" t="str">
        <f>""</f>
        <v/>
      </c>
      <c r="BY167" t="str">
        <f>""</f>
        <v/>
      </c>
      <c r="BZ167" t="str">
        <f>""</f>
        <v/>
      </c>
      <c r="CA167" t="str">
        <f>""</f>
        <v/>
      </c>
      <c r="CB167" t="s">
        <v>131</v>
      </c>
      <c r="CF167" t="s">
        <v>131</v>
      </c>
      <c r="CH167" t="str">
        <f>""</f>
        <v/>
      </c>
      <c r="CI167" t="s">
        <v>131</v>
      </c>
      <c r="CK167" t="s">
        <v>131</v>
      </c>
      <c r="CL167" t="str">
        <f>""</f>
        <v/>
      </c>
      <c r="CM167" t="str">
        <f>""</f>
        <v/>
      </c>
      <c r="CN167" t="str">
        <f>""</f>
        <v/>
      </c>
      <c r="CO167" t="str">
        <f>""</f>
        <v/>
      </c>
      <c r="CP167" t="str">
        <f>"35-3031.00"</f>
        <v>35-3031.00</v>
      </c>
      <c r="CQ167" t="s">
        <v>1214</v>
      </c>
      <c r="CS167" t="s">
        <v>131</v>
      </c>
      <c r="CU167" t="s">
        <v>10544</v>
      </c>
      <c r="CW167" t="s">
        <v>3512</v>
      </c>
      <c r="CX167" t="s">
        <v>195</v>
      </c>
      <c r="CZ167" s="3" t="str">
        <f>"33445"</f>
        <v>33445</v>
      </c>
      <c r="DA167" t="s">
        <v>131</v>
      </c>
      <c r="DB167" t="str">
        <f>"35-3031"</f>
        <v>35-3031</v>
      </c>
      <c r="DC167" t="s">
        <v>1214</v>
      </c>
      <c r="DD167" t="s">
        <v>134</v>
      </c>
      <c r="DE167" t="s">
        <v>134</v>
      </c>
      <c r="DF167" t="str">
        <f>""</f>
        <v/>
      </c>
      <c r="DH167" s="6">
        <v>12.55</v>
      </c>
      <c r="DI167" t="s">
        <v>344</v>
      </c>
      <c r="DK167" t="s">
        <v>345</v>
      </c>
      <c r="DR167" t="s">
        <v>2160</v>
      </c>
      <c r="DS167" s="6">
        <v>12.55</v>
      </c>
      <c r="DT167" t="s">
        <v>424</v>
      </c>
      <c r="DU167" s="1">
        <v>44355</v>
      </c>
      <c r="DV167" s="1">
        <v>44444</v>
      </c>
    </row>
    <row r="168" spans="1:126" ht="15" customHeight="1" x14ac:dyDescent="0.35">
      <c r="A168" t="s">
        <v>14008</v>
      </c>
      <c r="B168" t="s">
        <v>318</v>
      </c>
      <c r="C168" s="1">
        <v>44322</v>
      </c>
      <c r="D168" s="1">
        <v>44350</v>
      </c>
      <c r="H168" t="s">
        <v>319</v>
      </c>
      <c r="I168" t="s">
        <v>905</v>
      </c>
      <c r="J168" t="s">
        <v>301</v>
      </c>
      <c r="K168" t="s">
        <v>314</v>
      </c>
      <c r="L168" t="s">
        <v>583</v>
      </c>
      <c r="M168" t="s">
        <v>14009</v>
      </c>
      <c r="N168" t="s">
        <v>14010</v>
      </c>
      <c r="O168" t="s">
        <v>14011</v>
      </c>
      <c r="P168" t="s">
        <v>1760</v>
      </c>
      <c r="Q168" s="3">
        <v>70454</v>
      </c>
      <c r="R168" t="s">
        <v>128</v>
      </c>
      <c r="T168" s="4">
        <v>19853866166</v>
      </c>
      <c r="V168" t="s">
        <v>14012</v>
      </c>
      <c r="W168" t="s">
        <v>14013</v>
      </c>
      <c r="Y168" t="s">
        <v>14009</v>
      </c>
      <c r="Z168" t="s">
        <v>14010</v>
      </c>
      <c r="AA168" t="s">
        <v>14011</v>
      </c>
      <c r="AB168" t="s">
        <v>1763</v>
      </c>
      <c r="AC168" s="3" t="str">
        <f>"70454"</f>
        <v>70454</v>
      </c>
      <c r="AD168" t="s">
        <v>128</v>
      </c>
      <c r="AF168" s="4">
        <v>18008439537</v>
      </c>
      <c r="AH168" t="str">
        <f>"3113"</f>
        <v>3113</v>
      </c>
      <c r="AI168" t="s">
        <v>287</v>
      </c>
      <c r="AJ168" t="s">
        <v>4134</v>
      </c>
      <c r="AK168" t="s">
        <v>3493</v>
      </c>
      <c r="AM168" t="s">
        <v>4135</v>
      </c>
      <c r="AO168" t="s">
        <v>4136</v>
      </c>
      <c r="AP168" t="s">
        <v>643</v>
      </c>
      <c r="AQ168" s="5">
        <v>31636</v>
      </c>
      <c r="AR168" t="s">
        <v>128</v>
      </c>
      <c r="AT168" s="4">
        <v>12295596879</v>
      </c>
      <c r="AV168" t="s">
        <v>4137</v>
      </c>
      <c r="AW168" t="s">
        <v>4138</v>
      </c>
      <c r="AX168" t="s">
        <v>131</v>
      </c>
      <c r="AY168" t="s">
        <v>131</v>
      </c>
      <c r="AZ168" t="s">
        <v>131</v>
      </c>
      <c r="BA168" t="s">
        <v>131</v>
      </c>
      <c r="BB168" t="s">
        <v>131</v>
      </c>
      <c r="BC168" t="s">
        <v>131</v>
      </c>
      <c r="BD168" t="s">
        <v>131</v>
      </c>
      <c r="BE168" t="s">
        <v>132</v>
      </c>
      <c r="BH168" t="s">
        <v>2402</v>
      </c>
      <c r="BI168" t="s">
        <v>131</v>
      </c>
      <c r="BL168" t="s">
        <v>167</v>
      </c>
      <c r="BO168" t="s">
        <v>131</v>
      </c>
      <c r="BP168" t="s">
        <v>134</v>
      </c>
      <c r="BQ168" t="s">
        <v>131</v>
      </c>
      <c r="BS168" t="str">
        <f t="shared" si="13"/>
        <v>N/A</v>
      </c>
      <c r="BT168" t="s">
        <v>131</v>
      </c>
      <c r="BV168" t="str">
        <f>""</f>
        <v/>
      </c>
      <c r="BW168" t="s">
        <v>135</v>
      </c>
      <c r="BX168" t="str">
        <f>""</f>
        <v/>
      </c>
      <c r="BY168" t="str">
        <f>""</f>
        <v/>
      </c>
      <c r="BZ168" t="str">
        <f>""</f>
        <v/>
      </c>
      <c r="CA168" t="s">
        <v>14014</v>
      </c>
      <c r="CB168" t="s">
        <v>131</v>
      </c>
      <c r="CF168" t="s">
        <v>131</v>
      </c>
      <c r="CH168" t="str">
        <f>""</f>
        <v/>
      </c>
      <c r="CI168" t="s">
        <v>131</v>
      </c>
      <c r="CK168" t="s">
        <v>131</v>
      </c>
      <c r="CL168" t="str">
        <f>""</f>
        <v/>
      </c>
      <c r="CM168" t="str">
        <f>""</f>
        <v/>
      </c>
      <c r="CN168" t="str">
        <f>""</f>
        <v/>
      </c>
      <c r="CO168" t="str">
        <f>""</f>
        <v/>
      </c>
      <c r="CP168" t="str">
        <f>"51-3092.00"</f>
        <v>51-3092.00</v>
      </c>
      <c r="CQ168" t="s">
        <v>2402</v>
      </c>
      <c r="CS168" t="s">
        <v>131</v>
      </c>
      <c r="CU168" t="s">
        <v>14009</v>
      </c>
      <c r="CW168" t="s">
        <v>14011</v>
      </c>
      <c r="CX168" t="s">
        <v>1763</v>
      </c>
      <c r="CZ168" s="3" t="str">
        <f>"70454"</f>
        <v>70454</v>
      </c>
      <c r="DA168" t="s">
        <v>131</v>
      </c>
      <c r="DB168" t="str">
        <f>"51-3092"</f>
        <v>51-3092</v>
      </c>
      <c r="DC168" t="s">
        <v>2402</v>
      </c>
      <c r="DD168" t="s">
        <v>134</v>
      </c>
      <c r="DE168" t="s">
        <v>134</v>
      </c>
      <c r="DF168" t="str">
        <f>""</f>
        <v/>
      </c>
      <c r="DH168" s="6">
        <v>9.25</v>
      </c>
      <c r="DI168" t="s">
        <v>344</v>
      </c>
      <c r="DK168" t="s">
        <v>345</v>
      </c>
      <c r="DS168" s="6">
        <v>9.25</v>
      </c>
      <c r="DT168" t="s">
        <v>424</v>
      </c>
      <c r="DU168" s="1">
        <v>44350</v>
      </c>
      <c r="DV168" s="1">
        <v>44439</v>
      </c>
    </row>
    <row r="169" spans="1:126" ht="15" customHeight="1" x14ac:dyDescent="0.35">
      <c r="A169" t="s">
        <v>18122</v>
      </c>
      <c r="B169" t="s">
        <v>318</v>
      </c>
      <c r="C169" s="1">
        <v>44322</v>
      </c>
      <c r="D169" s="1">
        <v>44350</v>
      </c>
      <c r="H169" t="s">
        <v>319</v>
      </c>
      <c r="I169" t="s">
        <v>14033</v>
      </c>
      <c r="J169" t="s">
        <v>705</v>
      </c>
      <c r="L169" t="s">
        <v>7887</v>
      </c>
      <c r="M169" t="s">
        <v>14034</v>
      </c>
      <c r="N169" t="s">
        <v>14035</v>
      </c>
      <c r="O169" t="s">
        <v>11475</v>
      </c>
      <c r="P169" t="s">
        <v>311</v>
      </c>
      <c r="Q169" s="3">
        <v>19090</v>
      </c>
      <c r="R169" t="s">
        <v>128</v>
      </c>
      <c r="T169" s="4">
        <v>19014177671</v>
      </c>
      <c r="V169" t="s">
        <v>134</v>
      </c>
      <c r="W169" t="s">
        <v>14036</v>
      </c>
      <c r="Y169" t="s">
        <v>14034</v>
      </c>
      <c r="Z169" t="s">
        <v>14035</v>
      </c>
      <c r="AA169" t="s">
        <v>11475</v>
      </c>
      <c r="AB169" t="s">
        <v>312</v>
      </c>
      <c r="AC169" s="3" t="str">
        <f>"19090"</f>
        <v>19090</v>
      </c>
      <c r="AD169" t="s">
        <v>128</v>
      </c>
      <c r="AF169" s="4">
        <v>19014177671</v>
      </c>
      <c r="AH169" t="str">
        <f>"56173"</f>
        <v>56173</v>
      </c>
      <c r="AI169" t="s">
        <v>287</v>
      </c>
      <c r="AJ169" t="s">
        <v>2917</v>
      </c>
      <c r="AK169" t="s">
        <v>2918</v>
      </c>
      <c r="AL169" t="s">
        <v>610</v>
      </c>
      <c r="AM169" t="s">
        <v>2919</v>
      </c>
      <c r="AN169" t="s">
        <v>2920</v>
      </c>
      <c r="AO169" t="s">
        <v>2921</v>
      </c>
      <c r="AP169" t="s">
        <v>306</v>
      </c>
      <c r="AQ169" s="5">
        <v>22949</v>
      </c>
      <c r="AR169" t="s">
        <v>128</v>
      </c>
      <c r="AT169" s="4">
        <v>14342634300</v>
      </c>
      <c r="AV169" t="s">
        <v>5233</v>
      </c>
      <c r="AW169" t="s">
        <v>2923</v>
      </c>
      <c r="AX169" t="s">
        <v>131</v>
      </c>
      <c r="AY169" t="s">
        <v>131</v>
      </c>
      <c r="AZ169" t="s">
        <v>131</v>
      </c>
      <c r="BA169" t="s">
        <v>131</v>
      </c>
      <c r="BB169" t="s">
        <v>131</v>
      </c>
      <c r="BC169" t="s">
        <v>131</v>
      </c>
      <c r="BD169" t="s">
        <v>131</v>
      </c>
      <c r="BE169" t="s">
        <v>132</v>
      </c>
      <c r="BH169" t="s">
        <v>14037</v>
      </c>
      <c r="BI169" t="s">
        <v>131</v>
      </c>
      <c r="BL169" t="s">
        <v>167</v>
      </c>
      <c r="BO169" t="s">
        <v>131</v>
      </c>
      <c r="BP169" t="s">
        <v>134</v>
      </c>
      <c r="BQ169" t="s">
        <v>131</v>
      </c>
      <c r="BS169" t="str">
        <f t="shared" si="13"/>
        <v>N/A</v>
      </c>
      <c r="BT169" t="s">
        <v>135</v>
      </c>
      <c r="BU169">
        <v>6</v>
      </c>
      <c r="BV169" t="str">
        <f>"Requires six  months  of tree trimming/climbing experience."</f>
        <v>Requires six  months  of tree trimming/climbing experience.</v>
      </c>
      <c r="BW169" t="s">
        <v>135</v>
      </c>
      <c r="BX169" t="str">
        <f>""</f>
        <v/>
      </c>
      <c r="BY169" t="str">
        <f>""</f>
        <v/>
      </c>
      <c r="BZ169" t="str">
        <f>""</f>
        <v/>
      </c>
      <c r="CA169" t="s">
        <v>9887</v>
      </c>
      <c r="CB169" t="s">
        <v>131</v>
      </c>
      <c r="CF169" t="s">
        <v>131</v>
      </c>
      <c r="CH169" t="str">
        <f>""</f>
        <v/>
      </c>
      <c r="CI169" t="s">
        <v>131</v>
      </c>
      <c r="CK169" t="s">
        <v>131</v>
      </c>
      <c r="CL169" t="str">
        <f>""</f>
        <v/>
      </c>
      <c r="CM169" t="str">
        <f>""</f>
        <v/>
      </c>
      <c r="CN169" t="str">
        <f>""</f>
        <v/>
      </c>
      <c r="CO169" t="str">
        <f>""</f>
        <v/>
      </c>
      <c r="CP169" t="str">
        <f>"37-3013.00"</f>
        <v>37-3013.00</v>
      </c>
      <c r="CQ169" t="s">
        <v>4299</v>
      </c>
      <c r="CR169" t="s">
        <v>2924</v>
      </c>
      <c r="CS169" t="s">
        <v>135</v>
      </c>
      <c r="CT169" t="s">
        <v>2925</v>
      </c>
      <c r="CU169" t="s">
        <v>14038</v>
      </c>
      <c r="CW169" t="s">
        <v>1340</v>
      </c>
      <c r="CX169" t="s">
        <v>779</v>
      </c>
      <c r="CZ169" s="3" t="str">
        <f>"38134"</f>
        <v>38134</v>
      </c>
      <c r="DA169" t="s">
        <v>135</v>
      </c>
      <c r="DB169" t="str">
        <f>"37-3013"</f>
        <v>37-3013</v>
      </c>
      <c r="DC169" t="s">
        <v>4299</v>
      </c>
      <c r="DD169" t="s">
        <v>134</v>
      </c>
      <c r="DE169" t="s">
        <v>134</v>
      </c>
      <c r="DF169" t="str">
        <f>""</f>
        <v/>
      </c>
      <c r="DH169" s="6">
        <v>14.74</v>
      </c>
      <c r="DI169" t="s">
        <v>344</v>
      </c>
      <c r="DK169" t="s">
        <v>345</v>
      </c>
      <c r="DS169" s="6">
        <v>14.74</v>
      </c>
      <c r="DT169" s="2" t="s">
        <v>347</v>
      </c>
      <c r="DU169" s="1">
        <v>44350</v>
      </c>
      <c r="DV169" s="1">
        <v>44439</v>
      </c>
    </row>
    <row r="170" spans="1:126" ht="15" customHeight="1" x14ac:dyDescent="0.35">
      <c r="A170" t="s">
        <v>2182</v>
      </c>
      <c r="B170" t="s">
        <v>318</v>
      </c>
      <c r="C170" s="1">
        <v>44322</v>
      </c>
      <c r="D170" s="1">
        <v>44355</v>
      </c>
      <c r="H170" t="s">
        <v>319</v>
      </c>
      <c r="I170" t="s">
        <v>2183</v>
      </c>
      <c r="J170" t="s">
        <v>2184</v>
      </c>
      <c r="L170" t="s">
        <v>2185</v>
      </c>
      <c r="M170" t="s">
        <v>2186</v>
      </c>
      <c r="N170" t="s">
        <v>2187</v>
      </c>
      <c r="O170" t="s">
        <v>2188</v>
      </c>
      <c r="P170" t="s">
        <v>857</v>
      </c>
      <c r="Q170" s="3">
        <v>85281</v>
      </c>
      <c r="R170" t="s">
        <v>128</v>
      </c>
      <c r="T170" s="4">
        <v>14802206490</v>
      </c>
      <c r="V170" t="s">
        <v>2189</v>
      </c>
      <c r="W170" t="s">
        <v>2190</v>
      </c>
      <c r="X170" t="s">
        <v>2191</v>
      </c>
      <c r="Y170" t="s">
        <v>2186</v>
      </c>
      <c r="Z170" t="s">
        <v>1817</v>
      </c>
      <c r="AA170" t="s">
        <v>2192</v>
      </c>
      <c r="AB170" t="s">
        <v>808</v>
      </c>
      <c r="AC170" s="3" t="str">
        <f>"85281"</f>
        <v>85281</v>
      </c>
      <c r="AD170" t="s">
        <v>128</v>
      </c>
      <c r="AF170" s="4">
        <v>14802206490</v>
      </c>
      <c r="AH170" t="str">
        <f>"333241"</f>
        <v>333241</v>
      </c>
      <c r="AI170" t="s">
        <v>130</v>
      </c>
      <c r="AJ170" t="s">
        <v>2193</v>
      </c>
      <c r="AK170" t="s">
        <v>2194</v>
      </c>
      <c r="AM170" t="s">
        <v>2195</v>
      </c>
      <c r="AN170" t="s">
        <v>884</v>
      </c>
      <c r="AO170" t="s">
        <v>2188</v>
      </c>
      <c r="AP170" t="s">
        <v>808</v>
      </c>
      <c r="AQ170" s="5">
        <v>85012</v>
      </c>
      <c r="AR170" t="s">
        <v>128</v>
      </c>
      <c r="AT170" s="4">
        <v>16022660292</v>
      </c>
      <c r="AV170" t="s">
        <v>2196</v>
      </c>
      <c r="AW170" t="s">
        <v>2197</v>
      </c>
      <c r="AX170" t="s">
        <v>131</v>
      </c>
      <c r="AY170" t="s">
        <v>131</v>
      </c>
      <c r="AZ170" t="s">
        <v>131</v>
      </c>
      <c r="BA170" t="s">
        <v>131</v>
      </c>
      <c r="BB170" t="s">
        <v>131</v>
      </c>
      <c r="BC170" t="s">
        <v>131</v>
      </c>
      <c r="BD170" t="s">
        <v>131</v>
      </c>
      <c r="BE170" t="s">
        <v>132</v>
      </c>
      <c r="BH170" t="s">
        <v>2198</v>
      </c>
      <c r="BI170" t="s">
        <v>131</v>
      </c>
      <c r="BL170" t="s">
        <v>167</v>
      </c>
      <c r="BO170" t="s">
        <v>131</v>
      </c>
      <c r="BP170" t="s">
        <v>134</v>
      </c>
      <c r="BQ170" t="s">
        <v>135</v>
      </c>
      <c r="BR170">
        <v>1</v>
      </c>
      <c r="BS170" t="str">
        <f>"Cooking, prepping and operating machinery. "</f>
        <v xml:space="preserve">Cooking, prepping and operating machinery. </v>
      </c>
      <c r="BT170" t="s">
        <v>131</v>
      </c>
      <c r="BV170" t="str">
        <f>""</f>
        <v/>
      </c>
      <c r="BW170" t="s">
        <v>135</v>
      </c>
      <c r="BX170" t="str">
        <f>""</f>
        <v/>
      </c>
      <c r="BY170" t="str">
        <f>""</f>
        <v/>
      </c>
      <c r="BZ170" t="str">
        <f>""</f>
        <v/>
      </c>
      <c r="CA170" t="str">
        <f>"Food handling, multi-tasking and organizational skills. "</f>
        <v xml:space="preserve">Food handling, multi-tasking and organizational skills. </v>
      </c>
      <c r="CB170" t="s">
        <v>131</v>
      </c>
      <c r="CF170" t="s">
        <v>131</v>
      </c>
      <c r="CH170" t="str">
        <f>""</f>
        <v/>
      </c>
      <c r="CI170" t="s">
        <v>131</v>
      </c>
      <c r="CK170" t="s">
        <v>131</v>
      </c>
      <c r="CL170" t="str">
        <f>""</f>
        <v/>
      </c>
      <c r="CM170" t="str">
        <f>""</f>
        <v/>
      </c>
      <c r="CN170" t="str">
        <f>""</f>
        <v/>
      </c>
      <c r="CO170" t="str">
        <f>""</f>
        <v/>
      </c>
      <c r="CP170" t="str">
        <f>"35-2021.00"</f>
        <v>35-2021.00</v>
      </c>
      <c r="CQ170" t="s">
        <v>1749</v>
      </c>
      <c r="CS170" t="s">
        <v>131</v>
      </c>
      <c r="CU170" t="s">
        <v>2186</v>
      </c>
      <c r="CV170" t="s">
        <v>2187</v>
      </c>
      <c r="CW170" t="s">
        <v>2192</v>
      </c>
      <c r="CX170" t="s">
        <v>808</v>
      </c>
      <c r="CZ170" s="3" t="str">
        <f>"85281"</f>
        <v>85281</v>
      </c>
      <c r="DA170" t="s">
        <v>131</v>
      </c>
      <c r="DB170" t="str">
        <f>"35-2014"</f>
        <v>35-2014</v>
      </c>
      <c r="DC170" t="s">
        <v>581</v>
      </c>
      <c r="DD170" t="s">
        <v>134</v>
      </c>
      <c r="DE170" t="s">
        <v>134</v>
      </c>
      <c r="DF170" t="str">
        <f>""</f>
        <v/>
      </c>
      <c r="DH170" s="6">
        <v>14.17</v>
      </c>
      <c r="DI170" t="s">
        <v>344</v>
      </c>
      <c r="DK170" t="s">
        <v>345</v>
      </c>
      <c r="DR170" t="s">
        <v>2199</v>
      </c>
      <c r="DS170" s="6">
        <v>14.17</v>
      </c>
      <c r="DT170" t="s">
        <v>424</v>
      </c>
      <c r="DU170" s="1">
        <v>44355</v>
      </c>
      <c r="DV170" s="1">
        <v>44444</v>
      </c>
    </row>
    <row r="171" spans="1:126" ht="15" customHeight="1" x14ac:dyDescent="0.35">
      <c r="A171" t="s">
        <v>9871</v>
      </c>
      <c r="B171" t="s">
        <v>318</v>
      </c>
      <c r="C171" s="1">
        <v>44322</v>
      </c>
      <c r="D171" s="1">
        <v>44355</v>
      </c>
      <c r="H171" t="s">
        <v>319</v>
      </c>
      <c r="I171" t="s">
        <v>9076</v>
      </c>
      <c r="J171" t="s">
        <v>738</v>
      </c>
      <c r="L171" t="s">
        <v>395</v>
      </c>
      <c r="M171" t="s">
        <v>9872</v>
      </c>
      <c r="O171" t="s">
        <v>4030</v>
      </c>
      <c r="P171" t="s">
        <v>467</v>
      </c>
      <c r="Q171" s="3">
        <v>80916</v>
      </c>
      <c r="R171" t="s">
        <v>128</v>
      </c>
      <c r="T171" s="4">
        <v>17192326697</v>
      </c>
      <c r="V171" t="s">
        <v>9873</v>
      </c>
      <c r="W171" t="s">
        <v>9874</v>
      </c>
      <c r="X171" t="s">
        <v>9875</v>
      </c>
      <c r="Y171" t="s">
        <v>9872</v>
      </c>
      <c r="AA171" t="s">
        <v>4030</v>
      </c>
      <c r="AB171" t="s">
        <v>471</v>
      </c>
      <c r="AC171" s="3" t="str">
        <f>"80916"</f>
        <v>80916</v>
      </c>
      <c r="AD171" t="s">
        <v>128</v>
      </c>
      <c r="AF171" s="4">
        <v>17192326697</v>
      </c>
      <c r="AH171" t="str">
        <f>"72251"</f>
        <v>72251</v>
      </c>
      <c r="AI171" t="s">
        <v>130</v>
      </c>
      <c r="AJ171" t="s">
        <v>3079</v>
      </c>
      <c r="AK171" t="s">
        <v>1616</v>
      </c>
      <c r="AL171" t="s">
        <v>1198</v>
      </c>
      <c r="AM171" t="s">
        <v>3080</v>
      </c>
      <c r="AN171" t="s">
        <v>3081</v>
      </c>
      <c r="AO171" t="s">
        <v>3082</v>
      </c>
      <c r="AP171" t="s">
        <v>1243</v>
      </c>
      <c r="AQ171" s="5">
        <v>83670</v>
      </c>
      <c r="AR171" t="s">
        <v>128</v>
      </c>
      <c r="AT171" s="4">
        <v>12083984969</v>
      </c>
      <c r="AV171" t="s">
        <v>3083</v>
      </c>
      <c r="AW171" t="s">
        <v>3084</v>
      </c>
      <c r="AX171" t="s">
        <v>131</v>
      </c>
      <c r="AY171" t="s">
        <v>131</v>
      </c>
      <c r="AZ171" t="s">
        <v>131</v>
      </c>
      <c r="BA171" t="s">
        <v>131</v>
      </c>
      <c r="BB171" t="s">
        <v>131</v>
      </c>
      <c r="BC171" t="s">
        <v>131</v>
      </c>
      <c r="BD171" t="s">
        <v>131</v>
      </c>
      <c r="BE171" t="s">
        <v>132</v>
      </c>
      <c r="BH171" t="s">
        <v>1080</v>
      </c>
      <c r="BI171" t="s">
        <v>131</v>
      </c>
      <c r="BL171" t="s">
        <v>167</v>
      </c>
      <c r="BO171" t="s">
        <v>131</v>
      </c>
      <c r="BP171" t="s">
        <v>134</v>
      </c>
      <c r="BQ171" t="s">
        <v>131</v>
      </c>
      <c r="BS171" t="str">
        <f t="shared" ref="BS171:BS182" si="14">"N/A"</f>
        <v>N/A</v>
      </c>
      <c r="BT171" t="s">
        <v>131</v>
      </c>
      <c r="BV171" t="str">
        <f>""</f>
        <v/>
      </c>
      <c r="BW171" t="s">
        <v>135</v>
      </c>
      <c r="BX171" t="str">
        <f>""</f>
        <v/>
      </c>
      <c r="BY171" t="str">
        <f>""</f>
        <v/>
      </c>
      <c r="BZ171" t="str">
        <f>""</f>
        <v/>
      </c>
      <c r="CA171" t="str">
        <f>"Lift 50 pounds, stand for most of work shift."</f>
        <v>Lift 50 pounds, stand for most of work shift.</v>
      </c>
      <c r="CB171" t="s">
        <v>131</v>
      </c>
      <c r="CF171" t="s">
        <v>131</v>
      </c>
      <c r="CH171" t="str">
        <f>""</f>
        <v/>
      </c>
      <c r="CI171" t="s">
        <v>131</v>
      </c>
      <c r="CK171" t="s">
        <v>131</v>
      </c>
      <c r="CL171" t="str">
        <f>""</f>
        <v/>
      </c>
      <c r="CM171" t="str">
        <f>""</f>
        <v/>
      </c>
      <c r="CN171" t="str">
        <f>""</f>
        <v/>
      </c>
      <c r="CO171" t="str">
        <f>""</f>
        <v/>
      </c>
      <c r="CP171" t="str">
        <f>"35-2014.00"</f>
        <v>35-2014.00</v>
      </c>
      <c r="CQ171" t="s">
        <v>581</v>
      </c>
      <c r="CR171" t="s">
        <v>1205</v>
      </c>
      <c r="CS171" t="s">
        <v>131</v>
      </c>
      <c r="CU171" t="s">
        <v>9872</v>
      </c>
      <c r="CW171" t="s">
        <v>4030</v>
      </c>
      <c r="CX171" t="s">
        <v>471</v>
      </c>
      <c r="CZ171" s="3" t="str">
        <f>"80916"</f>
        <v>80916</v>
      </c>
      <c r="DA171" t="s">
        <v>131</v>
      </c>
      <c r="DB171" t="str">
        <f>"35-2014"</f>
        <v>35-2014</v>
      </c>
      <c r="DC171" t="s">
        <v>581</v>
      </c>
      <c r="DD171" t="s">
        <v>134</v>
      </c>
      <c r="DE171" t="s">
        <v>134</v>
      </c>
      <c r="DF171" t="str">
        <f>""</f>
        <v/>
      </c>
      <c r="DH171" s="6">
        <v>13.59</v>
      </c>
      <c r="DI171" t="s">
        <v>344</v>
      </c>
      <c r="DK171" t="s">
        <v>345</v>
      </c>
      <c r="DS171" s="6">
        <v>13.59</v>
      </c>
      <c r="DT171" t="s">
        <v>424</v>
      </c>
      <c r="DU171" s="1">
        <v>44355</v>
      </c>
      <c r="DV171" s="1">
        <v>44444</v>
      </c>
    </row>
    <row r="172" spans="1:126" ht="15" customHeight="1" x14ac:dyDescent="0.35">
      <c r="A172" t="s">
        <v>9086</v>
      </c>
      <c r="B172" t="s">
        <v>318</v>
      </c>
      <c r="C172" s="1">
        <v>44322</v>
      </c>
      <c r="D172" s="1">
        <v>44351</v>
      </c>
      <c r="H172" t="s">
        <v>319</v>
      </c>
      <c r="I172" t="s">
        <v>9087</v>
      </c>
      <c r="J172" t="s">
        <v>6567</v>
      </c>
      <c r="L172" t="s">
        <v>395</v>
      </c>
      <c r="M172" t="s">
        <v>9088</v>
      </c>
      <c r="O172" t="s">
        <v>9089</v>
      </c>
      <c r="P172" t="s">
        <v>467</v>
      </c>
      <c r="Q172" s="3">
        <v>81007</v>
      </c>
      <c r="R172" t="s">
        <v>128</v>
      </c>
      <c r="T172" s="4">
        <v>17196497945</v>
      </c>
      <c r="V172" t="s">
        <v>9090</v>
      </c>
      <c r="W172" t="s">
        <v>9091</v>
      </c>
      <c r="X172" t="s">
        <v>9092</v>
      </c>
      <c r="Y172" t="s">
        <v>9093</v>
      </c>
      <c r="AA172" t="s">
        <v>9089</v>
      </c>
      <c r="AB172" t="s">
        <v>471</v>
      </c>
      <c r="AC172" s="3" t="str">
        <f>"81007"</f>
        <v>81007</v>
      </c>
      <c r="AD172" t="s">
        <v>128</v>
      </c>
      <c r="AF172" s="4">
        <v>17196497945</v>
      </c>
      <c r="AH172" t="str">
        <f>"72251"</f>
        <v>72251</v>
      </c>
      <c r="AI172" t="s">
        <v>130</v>
      </c>
      <c r="AJ172" t="s">
        <v>3079</v>
      </c>
      <c r="AK172" t="s">
        <v>1616</v>
      </c>
      <c r="AL172" t="s">
        <v>1198</v>
      </c>
      <c r="AM172" t="s">
        <v>3080</v>
      </c>
      <c r="AN172" t="s">
        <v>3081</v>
      </c>
      <c r="AO172" t="s">
        <v>3082</v>
      </c>
      <c r="AP172" t="s">
        <v>1243</v>
      </c>
      <c r="AQ172" s="5">
        <v>83670</v>
      </c>
      <c r="AR172" t="s">
        <v>128</v>
      </c>
      <c r="AT172" s="4">
        <v>12083984969</v>
      </c>
      <c r="AV172" t="s">
        <v>3083</v>
      </c>
      <c r="AW172" t="s">
        <v>3084</v>
      </c>
      <c r="AX172" t="s">
        <v>131</v>
      </c>
      <c r="AY172" t="s">
        <v>131</v>
      </c>
      <c r="AZ172" t="s">
        <v>131</v>
      </c>
      <c r="BA172" t="s">
        <v>131</v>
      </c>
      <c r="BB172" t="s">
        <v>131</v>
      </c>
      <c r="BC172" t="s">
        <v>131</v>
      </c>
      <c r="BD172" t="s">
        <v>131</v>
      </c>
      <c r="BE172" t="s">
        <v>132</v>
      </c>
      <c r="BH172" t="s">
        <v>1080</v>
      </c>
      <c r="BI172" t="s">
        <v>131</v>
      </c>
      <c r="BL172" t="s">
        <v>167</v>
      </c>
      <c r="BO172" t="s">
        <v>131</v>
      </c>
      <c r="BP172" t="s">
        <v>134</v>
      </c>
      <c r="BQ172" t="s">
        <v>131</v>
      </c>
      <c r="BS172" t="str">
        <f t="shared" si="14"/>
        <v>N/A</v>
      </c>
      <c r="BT172" t="s">
        <v>131</v>
      </c>
      <c r="BV172" t="str">
        <f>""</f>
        <v/>
      </c>
      <c r="BW172" t="s">
        <v>135</v>
      </c>
      <c r="BX172" t="str">
        <f>""</f>
        <v/>
      </c>
      <c r="BY172" t="str">
        <f>""</f>
        <v/>
      </c>
      <c r="BZ172" t="str">
        <f>""</f>
        <v/>
      </c>
      <c r="CA172" t="str">
        <f>"Lift 50 pounds and stand for most of work shift."</f>
        <v>Lift 50 pounds and stand for most of work shift.</v>
      </c>
      <c r="CB172" t="s">
        <v>131</v>
      </c>
      <c r="CF172" t="s">
        <v>131</v>
      </c>
      <c r="CH172" t="str">
        <f>""</f>
        <v/>
      </c>
      <c r="CI172" t="s">
        <v>131</v>
      </c>
      <c r="CK172" t="s">
        <v>131</v>
      </c>
      <c r="CL172" t="str">
        <f>""</f>
        <v/>
      </c>
      <c r="CM172" t="str">
        <f>""</f>
        <v/>
      </c>
      <c r="CN172" t="str">
        <f>""</f>
        <v/>
      </c>
      <c r="CO172" t="str">
        <f>""</f>
        <v/>
      </c>
      <c r="CP172" t="str">
        <f>"35-2014.00"</f>
        <v>35-2014.00</v>
      </c>
      <c r="CQ172" t="s">
        <v>581</v>
      </c>
      <c r="CR172" t="s">
        <v>1205</v>
      </c>
      <c r="CS172" t="s">
        <v>131</v>
      </c>
      <c r="CU172" t="s">
        <v>9088</v>
      </c>
      <c r="CW172" t="s">
        <v>9089</v>
      </c>
      <c r="CX172" t="s">
        <v>471</v>
      </c>
      <c r="CZ172" s="3" t="str">
        <f>"81007"</f>
        <v>81007</v>
      </c>
      <c r="DA172" t="s">
        <v>131</v>
      </c>
      <c r="DB172" t="str">
        <f>"35-2014"</f>
        <v>35-2014</v>
      </c>
      <c r="DC172" t="s">
        <v>581</v>
      </c>
      <c r="DD172" t="s">
        <v>134</v>
      </c>
      <c r="DE172" t="s">
        <v>134</v>
      </c>
      <c r="DF172" t="str">
        <f>""</f>
        <v/>
      </c>
      <c r="DH172" s="6">
        <v>12.92</v>
      </c>
      <c r="DI172" t="s">
        <v>344</v>
      </c>
      <c r="DK172" t="s">
        <v>345</v>
      </c>
      <c r="DS172" s="6">
        <v>12.92</v>
      </c>
      <c r="DT172" t="s">
        <v>424</v>
      </c>
      <c r="DU172" s="1">
        <v>44351</v>
      </c>
      <c r="DV172" s="1">
        <v>44440</v>
      </c>
    </row>
    <row r="173" spans="1:126" ht="15" customHeight="1" x14ac:dyDescent="0.35">
      <c r="A173" t="s">
        <v>12326</v>
      </c>
      <c r="B173" t="s">
        <v>318</v>
      </c>
      <c r="C173" s="1">
        <v>44322</v>
      </c>
      <c r="D173" s="1">
        <v>44350</v>
      </c>
      <c r="H173" t="s">
        <v>319</v>
      </c>
      <c r="I173" t="s">
        <v>12327</v>
      </c>
      <c r="J173" t="s">
        <v>260</v>
      </c>
      <c r="L173" t="s">
        <v>395</v>
      </c>
      <c r="M173" t="s">
        <v>12328</v>
      </c>
      <c r="N173" t="s">
        <v>12329</v>
      </c>
      <c r="O173" t="s">
        <v>791</v>
      </c>
      <c r="P173" t="s">
        <v>178</v>
      </c>
      <c r="Q173" s="3">
        <v>92131</v>
      </c>
      <c r="R173" t="s">
        <v>128</v>
      </c>
      <c r="T173" s="4">
        <v>18586881701</v>
      </c>
      <c r="V173" t="s">
        <v>12330</v>
      </c>
      <c r="W173" t="s">
        <v>12331</v>
      </c>
      <c r="X173" t="s">
        <v>12332</v>
      </c>
      <c r="Y173" t="s">
        <v>12328</v>
      </c>
      <c r="Z173" t="s">
        <v>12329</v>
      </c>
      <c r="AA173" t="s">
        <v>791</v>
      </c>
      <c r="AB173" t="s">
        <v>172</v>
      </c>
      <c r="AC173" s="3" t="str">
        <f>"92131"</f>
        <v>92131</v>
      </c>
      <c r="AD173" t="s">
        <v>128</v>
      </c>
      <c r="AF173" s="4">
        <v>18585667466</v>
      </c>
      <c r="AH173" t="str">
        <f>"45439"</f>
        <v>45439</v>
      </c>
      <c r="AI173" t="s">
        <v>287</v>
      </c>
      <c r="AJ173" t="s">
        <v>1366</v>
      </c>
      <c r="AK173" t="s">
        <v>1071</v>
      </c>
      <c r="AL173" t="s">
        <v>1367</v>
      </c>
      <c r="AM173" t="s">
        <v>12333</v>
      </c>
      <c r="AN173" t="s">
        <v>1369</v>
      </c>
      <c r="AO173" t="s">
        <v>1370</v>
      </c>
      <c r="AP173" t="s">
        <v>400</v>
      </c>
      <c r="AQ173" s="5">
        <v>78550</v>
      </c>
      <c r="AR173" t="s">
        <v>128</v>
      </c>
      <c r="AS173" t="s">
        <v>412</v>
      </c>
      <c r="AT173" s="4">
        <v>19564408720</v>
      </c>
      <c r="AV173" t="s">
        <v>1678</v>
      </c>
      <c r="AW173" t="s">
        <v>1372</v>
      </c>
      <c r="AX173" t="s">
        <v>131</v>
      </c>
      <c r="AY173" t="s">
        <v>131</v>
      </c>
      <c r="AZ173" t="s">
        <v>131</v>
      </c>
      <c r="BA173" t="s">
        <v>131</v>
      </c>
      <c r="BB173" t="s">
        <v>131</v>
      </c>
      <c r="BC173" t="s">
        <v>131</v>
      </c>
      <c r="BD173" t="s">
        <v>131</v>
      </c>
      <c r="BE173" t="s">
        <v>132</v>
      </c>
      <c r="BH173" t="s">
        <v>12334</v>
      </c>
      <c r="BI173" t="s">
        <v>131</v>
      </c>
      <c r="BL173" t="s">
        <v>167</v>
      </c>
      <c r="BO173" t="s">
        <v>131</v>
      </c>
      <c r="BP173" t="s">
        <v>134</v>
      </c>
      <c r="BQ173" t="s">
        <v>131</v>
      </c>
      <c r="BS173" t="str">
        <f t="shared" si="14"/>
        <v>N/A</v>
      </c>
      <c r="BT173" t="s">
        <v>131</v>
      </c>
      <c r="BV173" t="str">
        <f>""</f>
        <v/>
      </c>
      <c r="BW173" t="s">
        <v>131</v>
      </c>
      <c r="BX173" t="str">
        <f>""</f>
        <v/>
      </c>
      <c r="BY173" t="str">
        <f>""</f>
        <v/>
      </c>
      <c r="BZ173" t="str">
        <f>""</f>
        <v/>
      </c>
      <c r="CA173" t="str">
        <f>""</f>
        <v/>
      </c>
      <c r="CB173" t="s">
        <v>131</v>
      </c>
      <c r="CF173" t="s">
        <v>131</v>
      </c>
      <c r="CH173" t="str">
        <f>""</f>
        <v/>
      </c>
      <c r="CI173" t="s">
        <v>131</v>
      </c>
      <c r="CK173" t="s">
        <v>131</v>
      </c>
      <c r="CL173" t="str">
        <f>""</f>
        <v/>
      </c>
      <c r="CM173" t="str">
        <f>""</f>
        <v/>
      </c>
      <c r="CN173" t="str">
        <f>""</f>
        <v/>
      </c>
      <c r="CO173" t="str">
        <f>""</f>
        <v/>
      </c>
      <c r="CP173" t="str">
        <f>"41-2031.00"</f>
        <v>41-2031.00</v>
      </c>
      <c r="CQ173" t="s">
        <v>3704</v>
      </c>
      <c r="CR173" t="s">
        <v>12334</v>
      </c>
      <c r="CS173" t="s">
        <v>135</v>
      </c>
      <c r="CT173" s="2" t="s">
        <v>12335</v>
      </c>
      <c r="CU173" t="s">
        <v>12336</v>
      </c>
      <c r="CW173" t="s">
        <v>12337</v>
      </c>
      <c r="CX173" t="s">
        <v>172</v>
      </c>
      <c r="CZ173" s="3" t="str">
        <f>"92014"</f>
        <v>92014</v>
      </c>
      <c r="DA173" t="s">
        <v>135</v>
      </c>
      <c r="DB173" t="str">
        <f>"41-2031"</f>
        <v>41-2031</v>
      </c>
      <c r="DC173" t="s">
        <v>3704</v>
      </c>
      <c r="DD173" t="s">
        <v>134</v>
      </c>
      <c r="DE173" t="s">
        <v>134</v>
      </c>
      <c r="DF173" t="str">
        <f>""</f>
        <v/>
      </c>
      <c r="DH173" s="6">
        <v>15.12</v>
      </c>
      <c r="DI173" t="s">
        <v>344</v>
      </c>
      <c r="DK173" t="s">
        <v>345</v>
      </c>
      <c r="DS173" s="6">
        <v>15.56</v>
      </c>
      <c r="DT173" s="2" t="s">
        <v>347</v>
      </c>
      <c r="DU173" s="1">
        <v>44350</v>
      </c>
      <c r="DV173" s="1">
        <v>44439</v>
      </c>
    </row>
    <row r="174" spans="1:126" ht="15" customHeight="1" x14ac:dyDescent="0.35">
      <c r="A174" t="s">
        <v>17807</v>
      </c>
      <c r="B174" t="s">
        <v>318</v>
      </c>
      <c r="C174" s="1">
        <v>44322</v>
      </c>
      <c r="D174" s="1">
        <v>44351</v>
      </c>
      <c r="H174" t="s">
        <v>319</v>
      </c>
      <c r="I174" t="s">
        <v>17808</v>
      </c>
      <c r="J174" t="s">
        <v>1871</v>
      </c>
      <c r="L174" t="s">
        <v>15010</v>
      </c>
      <c r="M174" t="s">
        <v>17809</v>
      </c>
      <c r="O174" t="s">
        <v>9775</v>
      </c>
      <c r="P174" t="s">
        <v>3075</v>
      </c>
      <c r="Q174" s="3">
        <v>59716</v>
      </c>
      <c r="R174" t="s">
        <v>128</v>
      </c>
      <c r="T174" s="4">
        <v>14069952326</v>
      </c>
      <c r="V174" t="s">
        <v>17810</v>
      </c>
      <c r="W174" t="s">
        <v>17811</v>
      </c>
      <c r="X174" t="s">
        <v>17812</v>
      </c>
      <c r="Y174" t="s">
        <v>17813</v>
      </c>
      <c r="AA174" t="s">
        <v>9775</v>
      </c>
      <c r="AB174" t="s">
        <v>1234</v>
      </c>
      <c r="AC174" s="3" t="str">
        <f>"59716"</f>
        <v>59716</v>
      </c>
      <c r="AD174" t="s">
        <v>128</v>
      </c>
      <c r="AF174" s="4">
        <v>14069952326</v>
      </c>
      <c r="AH174" t="str">
        <f>"722511"</f>
        <v>722511</v>
      </c>
      <c r="AI174" t="s">
        <v>130</v>
      </c>
      <c r="AJ174" t="s">
        <v>3079</v>
      </c>
      <c r="AK174" t="s">
        <v>1616</v>
      </c>
      <c r="AL174" t="s">
        <v>1198</v>
      </c>
      <c r="AM174" t="s">
        <v>3080</v>
      </c>
      <c r="AN174" t="s">
        <v>3081</v>
      </c>
      <c r="AO174" t="s">
        <v>3082</v>
      </c>
      <c r="AP174" t="s">
        <v>1243</v>
      </c>
      <c r="AQ174" s="5">
        <v>83670</v>
      </c>
      <c r="AR174" t="s">
        <v>128</v>
      </c>
      <c r="AT174" s="4">
        <v>12083984969</v>
      </c>
      <c r="AV174" t="s">
        <v>3083</v>
      </c>
      <c r="AW174" t="s">
        <v>3084</v>
      </c>
      <c r="AX174" t="s">
        <v>131</v>
      </c>
      <c r="AY174" t="s">
        <v>131</v>
      </c>
      <c r="AZ174" t="s">
        <v>131</v>
      </c>
      <c r="BA174" t="s">
        <v>131</v>
      </c>
      <c r="BB174" t="s">
        <v>131</v>
      </c>
      <c r="BC174" t="s">
        <v>131</v>
      </c>
      <c r="BD174" t="s">
        <v>131</v>
      </c>
      <c r="BE174" t="s">
        <v>132</v>
      </c>
      <c r="BH174" t="s">
        <v>1080</v>
      </c>
      <c r="BI174" t="s">
        <v>131</v>
      </c>
      <c r="BL174" t="s">
        <v>167</v>
      </c>
      <c r="BO174" t="s">
        <v>131</v>
      </c>
      <c r="BP174" t="s">
        <v>134</v>
      </c>
      <c r="BQ174" t="s">
        <v>131</v>
      </c>
      <c r="BS174" t="str">
        <f t="shared" si="14"/>
        <v>N/A</v>
      </c>
      <c r="BT174" t="s">
        <v>131</v>
      </c>
      <c r="BV174" t="str">
        <f>""</f>
        <v/>
      </c>
      <c r="BW174" t="s">
        <v>135</v>
      </c>
      <c r="BX174" t="str">
        <f>""</f>
        <v/>
      </c>
      <c r="BY174" t="str">
        <f>""</f>
        <v/>
      </c>
      <c r="BZ174" t="str">
        <f>""</f>
        <v/>
      </c>
      <c r="CA174" t="str">
        <f>"Lift 50 pounds, stand for most of work shift"</f>
        <v>Lift 50 pounds, stand for most of work shift</v>
      </c>
      <c r="CB174" t="s">
        <v>131</v>
      </c>
      <c r="CF174" t="s">
        <v>131</v>
      </c>
      <c r="CH174" t="str">
        <f>""</f>
        <v/>
      </c>
      <c r="CI174" t="s">
        <v>131</v>
      </c>
      <c r="CK174" t="s">
        <v>131</v>
      </c>
      <c r="CL174" t="str">
        <f>""</f>
        <v/>
      </c>
      <c r="CM174" t="str">
        <f>""</f>
        <v/>
      </c>
      <c r="CN174" t="str">
        <f>""</f>
        <v/>
      </c>
      <c r="CO174" t="str">
        <f>""</f>
        <v/>
      </c>
      <c r="CP174" t="str">
        <f>"35-2014.00"</f>
        <v>35-2014.00</v>
      </c>
      <c r="CQ174" t="s">
        <v>581</v>
      </c>
      <c r="CR174" t="s">
        <v>1941</v>
      </c>
      <c r="CS174" t="s">
        <v>131</v>
      </c>
      <c r="CU174" t="s">
        <v>17813</v>
      </c>
      <c r="CW174" t="s">
        <v>9775</v>
      </c>
      <c r="CX174" t="s">
        <v>1234</v>
      </c>
      <c r="CZ174" s="3" t="str">
        <f>"59716"</f>
        <v>59716</v>
      </c>
      <c r="DA174" t="s">
        <v>131</v>
      </c>
      <c r="DB174" t="str">
        <f>"35-2014"</f>
        <v>35-2014</v>
      </c>
      <c r="DC174" t="s">
        <v>581</v>
      </c>
      <c r="DD174" t="s">
        <v>134</v>
      </c>
      <c r="DE174" t="s">
        <v>134</v>
      </c>
      <c r="DF174" t="str">
        <f>""</f>
        <v/>
      </c>
      <c r="DH174" s="6">
        <v>14.07</v>
      </c>
      <c r="DI174" t="s">
        <v>344</v>
      </c>
      <c r="DK174" t="s">
        <v>345</v>
      </c>
      <c r="DS174" s="6">
        <v>14.07</v>
      </c>
      <c r="DT174" t="s">
        <v>424</v>
      </c>
      <c r="DU174" s="1">
        <v>44351</v>
      </c>
      <c r="DV174" s="1">
        <v>44440</v>
      </c>
    </row>
    <row r="175" spans="1:126" ht="15" customHeight="1" x14ac:dyDescent="0.35">
      <c r="A175" t="s">
        <v>9298</v>
      </c>
      <c r="B175" t="s">
        <v>318</v>
      </c>
      <c r="C175" s="1">
        <v>44322</v>
      </c>
      <c r="D175" s="1">
        <v>44350</v>
      </c>
      <c r="H175" t="s">
        <v>319</v>
      </c>
      <c r="I175" t="s">
        <v>7622</v>
      </c>
      <c r="J175" t="s">
        <v>9299</v>
      </c>
      <c r="L175" t="s">
        <v>1105</v>
      </c>
      <c r="M175" t="s">
        <v>9300</v>
      </c>
      <c r="O175" t="s">
        <v>9301</v>
      </c>
      <c r="P175" t="s">
        <v>1760</v>
      </c>
      <c r="Q175" s="3">
        <v>70776</v>
      </c>
      <c r="R175" t="s">
        <v>128</v>
      </c>
      <c r="T175" s="4">
        <v>12258069848</v>
      </c>
      <c r="V175" t="s">
        <v>9302</v>
      </c>
      <c r="W175" t="s">
        <v>9303</v>
      </c>
      <c r="Y175" t="s">
        <v>9304</v>
      </c>
      <c r="Z175" t="s">
        <v>9305</v>
      </c>
      <c r="AA175" t="s">
        <v>3874</v>
      </c>
      <c r="AB175" t="s">
        <v>1763</v>
      </c>
      <c r="AC175" s="3" t="str">
        <f>"70809"</f>
        <v>70809</v>
      </c>
      <c r="AD175" t="s">
        <v>128</v>
      </c>
      <c r="AF175" s="4">
        <v>12258069848</v>
      </c>
      <c r="AH175" t="str">
        <f>"56173"</f>
        <v>56173</v>
      </c>
      <c r="AI175" t="s">
        <v>287</v>
      </c>
      <c r="AJ175" t="s">
        <v>2304</v>
      </c>
      <c r="AK175" t="s">
        <v>5773</v>
      </c>
      <c r="AL175" t="s">
        <v>589</v>
      </c>
      <c r="AM175" t="s">
        <v>5774</v>
      </c>
      <c r="AN175" t="s">
        <v>5775</v>
      </c>
      <c r="AO175" t="s">
        <v>5776</v>
      </c>
      <c r="AP175" t="s">
        <v>1763</v>
      </c>
      <c r="AQ175" s="5">
        <v>70754</v>
      </c>
      <c r="AR175" t="s">
        <v>128</v>
      </c>
      <c r="AS175" t="s">
        <v>1763</v>
      </c>
      <c r="AT175" s="4">
        <v>12256863033</v>
      </c>
      <c r="AV175" t="s">
        <v>5777</v>
      </c>
      <c r="AW175" t="s">
        <v>5778</v>
      </c>
      <c r="AX175" t="s">
        <v>131</v>
      </c>
      <c r="AY175" t="s">
        <v>131</v>
      </c>
      <c r="AZ175" t="s">
        <v>131</v>
      </c>
      <c r="BA175" t="s">
        <v>131</v>
      </c>
      <c r="BB175" t="s">
        <v>131</v>
      </c>
      <c r="BC175" t="s">
        <v>131</v>
      </c>
      <c r="BD175" t="s">
        <v>131</v>
      </c>
      <c r="BE175" t="s">
        <v>132</v>
      </c>
      <c r="BH175" t="s">
        <v>9306</v>
      </c>
      <c r="BI175" t="s">
        <v>131</v>
      </c>
      <c r="BL175" t="s">
        <v>167</v>
      </c>
      <c r="BO175" t="s">
        <v>131</v>
      </c>
      <c r="BP175" t="s">
        <v>134</v>
      </c>
      <c r="BQ175" t="s">
        <v>131</v>
      </c>
      <c r="BS175" t="str">
        <f t="shared" si="14"/>
        <v>N/A</v>
      </c>
      <c r="BT175" t="s">
        <v>131</v>
      </c>
      <c r="BV175" t="str">
        <f>""</f>
        <v/>
      </c>
      <c r="BW175" t="s">
        <v>135</v>
      </c>
      <c r="BX175" t="str">
        <f>""</f>
        <v/>
      </c>
      <c r="BY175" t="str">
        <f>""</f>
        <v/>
      </c>
      <c r="BZ175" t="str">
        <f>""</f>
        <v/>
      </c>
      <c r="CA175" s="2" t="s">
        <v>9307</v>
      </c>
      <c r="CB175" t="s">
        <v>131</v>
      </c>
      <c r="CF175" t="s">
        <v>131</v>
      </c>
      <c r="CH175" t="str">
        <f>""</f>
        <v/>
      </c>
      <c r="CI175" t="s">
        <v>131</v>
      </c>
      <c r="CK175" t="s">
        <v>131</v>
      </c>
      <c r="CL175" t="str">
        <f>""</f>
        <v/>
      </c>
      <c r="CM175" t="str">
        <f>""</f>
        <v/>
      </c>
      <c r="CN175" t="str">
        <f>""</f>
        <v/>
      </c>
      <c r="CO175" t="str">
        <f>""</f>
        <v/>
      </c>
      <c r="CP175" t="str">
        <f>"37-3011.00"</f>
        <v>37-3011.00</v>
      </c>
      <c r="CQ175" t="s">
        <v>920</v>
      </c>
      <c r="CS175" t="s">
        <v>135</v>
      </c>
      <c r="CT175" t="s">
        <v>5779</v>
      </c>
      <c r="CU175" t="s">
        <v>9308</v>
      </c>
      <c r="CW175" t="s">
        <v>3874</v>
      </c>
      <c r="CX175" t="s">
        <v>1763</v>
      </c>
      <c r="CZ175" s="3" t="str">
        <f>"70809"</f>
        <v>70809</v>
      </c>
      <c r="DA175" t="s">
        <v>135</v>
      </c>
      <c r="DB175" t="str">
        <f>"37-3011"</f>
        <v>37-3011</v>
      </c>
      <c r="DC175" t="s">
        <v>920</v>
      </c>
      <c r="DD175" t="s">
        <v>134</v>
      </c>
      <c r="DE175" t="s">
        <v>134</v>
      </c>
      <c r="DF175" t="str">
        <f>""</f>
        <v/>
      </c>
      <c r="DH175" s="6">
        <v>14.59</v>
      </c>
      <c r="DI175" t="s">
        <v>344</v>
      </c>
      <c r="DK175" t="s">
        <v>345</v>
      </c>
      <c r="DR175" t="s">
        <v>3877</v>
      </c>
      <c r="DS175" s="6">
        <v>14.59</v>
      </c>
      <c r="DT175" s="2" t="s">
        <v>347</v>
      </c>
      <c r="DU175" s="1">
        <v>44350</v>
      </c>
      <c r="DV175" s="1">
        <v>44439</v>
      </c>
    </row>
    <row r="176" spans="1:126" ht="15" customHeight="1" x14ac:dyDescent="0.35">
      <c r="A176" t="s">
        <v>9061</v>
      </c>
      <c r="B176" t="s">
        <v>318</v>
      </c>
      <c r="C176" s="1">
        <v>44322</v>
      </c>
      <c r="D176" s="1">
        <v>44351</v>
      </c>
      <c r="H176" t="s">
        <v>319</v>
      </c>
      <c r="I176" t="s">
        <v>7825</v>
      </c>
      <c r="J176" t="s">
        <v>1895</v>
      </c>
      <c r="L176" t="s">
        <v>395</v>
      </c>
      <c r="M176" t="s">
        <v>9062</v>
      </c>
      <c r="O176" t="s">
        <v>4504</v>
      </c>
      <c r="P176" t="s">
        <v>4505</v>
      </c>
      <c r="Q176" s="3">
        <v>59718</v>
      </c>
      <c r="R176" t="s">
        <v>128</v>
      </c>
      <c r="T176" s="4">
        <v>14065227251</v>
      </c>
      <c r="V176" t="s">
        <v>9063</v>
      </c>
      <c r="W176" t="s">
        <v>9064</v>
      </c>
      <c r="X176" t="s">
        <v>9065</v>
      </c>
      <c r="Y176" t="s">
        <v>9062</v>
      </c>
      <c r="AA176" t="s">
        <v>4504</v>
      </c>
      <c r="AB176" t="s">
        <v>1234</v>
      </c>
      <c r="AC176" s="3" t="str">
        <f>"59718"</f>
        <v>59718</v>
      </c>
      <c r="AD176" t="s">
        <v>128</v>
      </c>
      <c r="AF176" s="4">
        <v>14065227251</v>
      </c>
      <c r="AH176" t="str">
        <f>"23814"</f>
        <v>23814</v>
      </c>
      <c r="AI176" t="s">
        <v>130</v>
      </c>
      <c r="AJ176" t="s">
        <v>3079</v>
      </c>
      <c r="AK176" t="s">
        <v>1616</v>
      </c>
      <c r="AL176" t="s">
        <v>1198</v>
      </c>
      <c r="AM176" t="s">
        <v>3080</v>
      </c>
      <c r="AN176" t="s">
        <v>3081</v>
      </c>
      <c r="AO176" t="s">
        <v>3082</v>
      </c>
      <c r="AP176" t="s">
        <v>1243</v>
      </c>
      <c r="AQ176" s="5">
        <v>83670</v>
      </c>
      <c r="AR176" t="s">
        <v>128</v>
      </c>
      <c r="AT176" s="4">
        <v>12083984969</v>
      </c>
      <c r="AV176" t="s">
        <v>3083</v>
      </c>
      <c r="AW176" t="s">
        <v>3084</v>
      </c>
      <c r="AX176" t="s">
        <v>131</v>
      </c>
      <c r="AY176" t="s">
        <v>131</v>
      </c>
      <c r="AZ176" t="s">
        <v>131</v>
      </c>
      <c r="BA176" t="s">
        <v>131</v>
      </c>
      <c r="BB176" t="s">
        <v>131</v>
      </c>
      <c r="BC176" t="s">
        <v>131</v>
      </c>
      <c r="BD176" t="s">
        <v>131</v>
      </c>
      <c r="BE176" t="s">
        <v>132</v>
      </c>
      <c r="BH176" t="s">
        <v>9066</v>
      </c>
      <c r="BI176" t="s">
        <v>131</v>
      </c>
      <c r="BL176" t="s">
        <v>167</v>
      </c>
      <c r="BO176" t="s">
        <v>131</v>
      </c>
      <c r="BP176" t="s">
        <v>134</v>
      </c>
      <c r="BQ176" t="s">
        <v>131</v>
      </c>
      <c r="BS176" t="str">
        <f t="shared" si="14"/>
        <v>N/A</v>
      </c>
      <c r="BT176" t="s">
        <v>131</v>
      </c>
      <c r="BV176" t="str">
        <f>""</f>
        <v/>
      </c>
      <c r="BW176" t="s">
        <v>135</v>
      </c>
      <c r="BX176" t="str">
        <f>""</f>
        <v/>
      </c>
      <c r="BY176" t="str">
        <f>""</f>
        <v/>
      </c>
      <c r="BZ176" t="str">
        <f>""</f>
        <v/>
      </c>
      <c r="CA176" t="str">
        <f>"Lift 100 pounds, be able to stand for most of shift"</f>
        <v>Lift 100 pounds, be able to stand for most of shift</v>
      </c>
      <c r="CB176" t="s">
        <v>131</v>
      </c>
      <c r="CF176" t="s">
        <v>131</v>
      </c>
      <c r="CH176" t="str">
        <f>""</f>
        <v/>
      </c>
      <c r="CI176" t="s">
        <v>131</v>
      </c>
      <c r="CK176" t="s">
        <v>131</v>
      </c>
      <c r="CL176" t="str">
        <f>""</f>
        <v/>
      </c>
      <c r="CM176" t="str">
        <f>""</f>
        <v/>
      </c>
      <c r="CN176" t="str">
        <f>""</f>
        <v/>
      </c>
      <c r="CO176" t="str">
        <f>""</f>
        <v/>
      </c>
      <c r="CP176" t="str">
        <f>"47-3011.00"</f>
        <v>47-3011.00</v>
      </c>
      <c r="CQ176" t="s">
        <v>4519</v>
      </c>
      <c r="CR176" t="s">
        <v>3086</v>
      </c>
      <c r="CS176" t="s">
        <v>135</v>
      </c>
      <c r="CT176" t="s">
        <v>9067</v>
      </c>
      <c r="CU176" t="s">
        <v>9062</v>
      </c>
      <c r="CW176" t="s">
        <v>4504</v>
      </c>
      <c r="CX176" t="s">
        <v>1234</v>
      </c>
      <c r="CZ176" s="3" t="str">
        <f>"59716"</f>
        <v>59716</v>
      </c>
      <c r="DA176" t="s">
        <v>131</v>
      </c>
      <c r="DB176" t="str">
        <f>"47-3011"</f>
        <v>47-3011</v>
      </c>
      <c r="DC176" t="s">
        <v>4519</v>
      </c>
      <c r="DD176" t="s">
        <v>134</v>
      </c>
      <c r="DE176" t="s">
        <v>134</v>
      </c>
      <c r="DF176" t="str">
        <f>""</f>
        <v/>
      </c>
      <c r="DH176" s="6">
        <v>18.09</v>
      </c>
      <c r="DI176" t="s">
        <v>344</v>
      </c>
      <c r="DK176" t="s">
        <v>345</v>
      </c>
      <c r="DS176" s="6">
        <v>18.09</v>
      </c>
      <c r="DT176" s="2" t="s">
        <v>347</v>
      </c>
      <c r="DU176" s="1">
        <v>44351</v>
      </c>
      <c r="DV176" s="1">
        <v>44440</v>
      </c>
    </row>
    <row r="177" spans="1:126" ht="15" customHeight="1" x14ac:dyDescent="0.35">
      <c r="A177" t="s">
        <v>9772</v>
      </c>
      <c r="B177" t="s">
        <v>318</v>
      </c>
      <c r="C177" s="1">
        <v>44322</v>
      </c>
      <c r="D177" s="1">
        <v>44351</v>
      </c>
      <c r="H177" t="s">
        <v>319</v>
      </c>
      <c r="I177" t="s">
        <v>4669</v>
      </c>
      <c r="J177" t="s">
        <v>9773</v>
      </c>
      <c r="L177" t="s">
        <v>1205</v>
      </c>
      <c r="M177" t="s">
        <v>9774</v>
      </c>
      <c r="O177" t="s">
        <v>9775</v>
      </c>
      <c r="P177" t="s">
        <v>4505</v>
      </c>
      <c r="Q177" s="3">
        <v>59716</v>
      </c>
      <c r="R177" t="s">
        <v>128</v>
      </c>
      <c r="T177" s="4">
        <v>14069957858</v>
      </c>
      <c r="V177" t="s">
        <v>9776</v>
      </c>
      <c r="W177" t="s">
        <v>9777</v>
      </c>
      <c r="X177" t="s">
        <v>9778</v>
      </c>
      <c r="Y177" t="s">
        <v>9774</v>
      </c>
      <c r="Z177" t="s">
        <v>9779</v>
      </c>
      <c r="AA177" t="s">
        <v>9775</v>
      </c>
      <c r="AB177" t="s">
        <v>1234</v>
      </c>
      <c r="AC177" s="3" t="str">
        <f>"59716"</f>
        <v>59716</v>
      </c>
      <c r="AD177" t="s">
        <v>128</v>
      </c>
      <c r="AF177" s="4">
        <v>14069957858</v>
      </c>
      <c r="AH177" t="str">
        <f>"56172"</f>
        <v>56172</v>
      </c>
      <c r="AI177" t="s">
        <v>130</v>
      </c>
      <c r="AJ177" t="s">
        <v>3079</v>
      </c>
      <c r="AK177" t="s">
        <v>1616</v>
      </c>
      <c r="AL177" t="s">
        <v>1198</v>
      </c>
      <c r="AM177" t="s">
        <v>3080</v>
      </c>
      <c r="AN177" t="s">
        <v>3081</v>
      </c>
      <c r="AO177" t="s">
        <v>3082</v>
      </c>
      <c r="AP177" t="s">
        <v>1243</v>
      </c>
      <c r="AQ177" s="5">
        <v>83670</v>
      </c>
      <c r="AR177" t="s">
        <v>128</v>
      </c>
      <c r="AT177" s="4">
        <v>12083984969</v>
      </c>
      <c r="AV177" t="s">
        <v>3083</v>
      </c>
      <c r="AW177" t="s">
        <v>3084</v>
      </c>
      <c r="AX177" t="s">
        <v>131</v>
      </c>
      <c r="AY177" t="s">
        <v>131</v>
      </c>
      <c r="AZ177" t="s">
        <v>131</v>
      </c>
      <c r="BA177" t="s">
        <v>131</v>
      </c>
      <c r="BB177" t="s">
        <v>131</v>
      </c>
      <c r="BC177" t="s">
        <v>131</v>
      </c>
      <c r="BD177" t="s">
        <v>131</v>
      </c>
      <c r="BE177" t="s">
        <v>132</v>
      </c>
      <c r="BH177" t="s">
        <v>1639</v>
      </c>
      <c r="BI177" t="s">
        <v>131</v>
      </c>
      <c r="BL177" t="s">
        <v>167</v>
      </c>
      <c r="BO177" t="s">
        <v>131</v>
      </c>
      <c r="BP177" t="s">
        <v>134</v>
      </c>
      <c r="BQ177" t="s">
        <v>131</v>
      </c>
      <c r="BS177" t="str">
        <f t="shared" si="14"/>
        <v>N/A</v>
      </c>
      <c r="BT177" t="s">
        <v>131</v>
      </c>
      <c r="BV177" t="str">
        <f>""</f>
        <v/>
      </c>
      <c r="BW177" t="s">
        <v>135</v>
      </c>
      <c r="BX177" t="str">
        <f>""</f>
        <v/>
      </c>
      <c r="BY177" t="str">
        <f>""</f>
        <v/>
      </c>
      <c r="BZ177" t="str">
        <f>""</f>
        <v/>
      </c>
      <c r="CA177" t="str">
        <f>"Lift 50 pounds, stand on feet for most of shift."</f>
        <v>Lift 50 pounds, stand on feet for most of shift.</v>
      </c>
      <c r="CB177" t="s">
        <v>131</v>
      </c>
      <c r="CF177" t="s">
        <v>131</v>
      </c>
      <c r="CH177" t="str">
        <f>""</f>
        <v/>
      </c>
      <c r="CI177" t="s">
        <v>131</v>
      </c>
      <c r="CK177" t="s">
        <v>131</v>
      </c>
      <c r="CL177" t="str">
        <f>""</f>
        <v/>
      </c>
      <c r="CM177" t="str">
        <f>""</f>
        <v/>
      </c>
      <c r="CN177" t="str">
        <f>""</f>
        <v/>
      </c>
      <c r="CO177" t="str">
        <f>""</f>
        <v/>
      </c>
      <c r="CP177" t="str">
        <f>"37-2012.00"</f>
        <v>37-2012.00</v>
      </c>
      <c r="CQ177" t="s">
        <v>479</v>
      </c>
      <c r="CR177" t="s">
        <v>6222</v>
      </c>
      <c r="CS177" t="s">
        <v>131</v>
      </c>
      <c r="CU177" t="s">
        <v>9774</v>
      </c>
      <c r="CW177" t="s">
        <v>9775</v>
      </c>
      <c r="CX177" t="s">
        <v>1234</v>
      </c>
      <c r="CZ177" s="3" t="str">
        <f>"59716"</f>
        <v>59716</v>
      </c>
      <c r="DA177" t="s">
        <v>131</v>
      </c>
      <c r="DB177" t="str">
        <f>"37-2012"</f>
        <v>37-2012</v>
      </c>
      <c r="DC177" t="s">
        <v>479</v>
      </c>
      <c r="DD177" t="s">
        <v>134</v>
      </c>
      <c r="DE177" t="s">
        <v>134</v>
      </c>
      <c r="DF177" t="str">
        <f>""</f>
        <v/>
      </c>
      <c r="DH177" s="6">
        <v>12.32</v>
      </c>
      <c r="DI177" t="s">
        <v>344</v>
      </c>
      <c r="DK177" t="s">
        <v>345</v>
      </c>
      <c r="DS177" s="6">
        <v>12.32</v>
      </c>
      <c r="DT177" t="s">
        <v>424</v>
      </c>
      <c r="DU177" s="1">
        <v>44351</v>
      </c>
      <c r="DV177" s="1">
        <v>44440</v>
      </c>
    </row>
    <row r="178" spans="1:126" ht="15" customHeight="1" x14ac:dyDescent="0.35">
      <c r="A178" t="s">
        <v>15835</v>
      </c>
      <c r="B178" t="s">
        <v>318</v>
      </c>
      <c r="C178" s="1">
        <v>44322</v>
      </c>
      <c r="D178" s="1">
        <v>44350</v>
      </c>
      <c r="H178" t="s">
        <v>319</v>
      </c>
      <c r="I178" t="s">
        <v>12007</v>
      </c>
      <c r="J178" t="s">
        <v>2926</v>
      </c>
      <c r="K178" t="s">
        <v>1624</v>
      </c>
      <c r="L178" t="s">
        <v>460</v>
      </c>
      <c r="M178" t="s">
        <v>12008</v>
      </c>
      <c r="O178" t="s">
        <v>12009</v>
      </c>
      <c r="P178" t="s">
        <v>1760</v>
      </c>
      <c r="Q178" s="3">
        <v>71334</v>
      </c>
      <c r="R178" t="s">
        <v>128</v>
      </c>
      <c r="T178" s="4">
        <v>13183364292</v>
      </c>
      <c r="V178" t="s">
        <v>12010</v>
      </c>
      <c r="W178" t="s">
        <v>12011</v>
      </c>
      <c r="Y178" t="s">
        <v>12012</v>
      </c>
      <c r="Z178" t="s">
        <v>12013</v>
      </c>
      <c r="AA178" t="s">
        <v>12014</v>
      </c>
      <c r="AB178" t="s">
        <v>1763</v>
      </c>
      <c r="AC178" s="3" t="str">
        <f>"71334"</f>
        <v>71334</v>
      </c>
      <c r="AD178" t="s">
        <v>128</v>
      </c>
      <c r="AF178" s="4">
        <v>13183364292</v>
      </c>
      <c r="AH178" t="str">
        <f>"44422"</f>
        <v>44422</v>
      </c>
      <c r="AI178" t="s">
        <v>287</v>
      </c>
      <c r="AJ178" t="s">
        <v>2304</v>
      </c>
      <c r="AK178" t="s">
        <v>5773</v>
      </c>
      <c r="AL178" t="s">
        <v>589</v>
      </c>
      <c r="AM178" t="s">
        <v>5774</v>
      </c>
      <c r="AN178" t="s">
        <v>5775</v>
      </c>
      <c r="AO178" t="s">
        <v>5776</v>
      </c>
      <c r="AP178" t="s">
        <v>1763</v>
      </c>
      <c r="AQ178" s="5">
        <v>70754</v>
      </c>
      <c r="AR178" t="s">
        <v>128</v>
      </c>
      <c r="AS178" t="s">
        <v>1763</v>
      </c>
      <c r="AT178" s="4">
        <v>12256863033</v>
      </c>
      <c r="AV178" t="s">
        <v>5777</v>
      </c>
      <c r="AW178" t="s">
        <v>5778</v>
      </c>
      <c r="AX178" t="s">
        <v>131</v>
      </c>
      <c r="AY178" t="s">
        <v>131</v>
      </c>
      <c r="AZ178" t="s">
        <v>131</v>
      </c>
      <c r="BA178" t="s">
        <v>131</v>
      </c>
      <c r="BB178" t="s">
        <v>131</v>
      </c>
      <c r="BC178" t="s">
        <v>131</v>
      </c>
      <c r="BD178" t="s">
        <v>131</v>
      </c>
      <c r="BE178" t="s">
        <v>132</v>
      </c>
      <c r="BH178" t="s">
        <v>12015</v>
      </c>
      <c r="BI178" t="s">
        <v>131</v>
      </c>
      <c r="BL178" t="s">
        <v>167</v>
      </c>
      <c r="BO178" t="s">
        <v>131</v>
      </c>
      <c r="BP178" t="s">
        <v>134</v>
      </c>
      <c r="BQ178" t="s">
        <v>131</v>
      </c>
      <c r="BS178" t="str">
        <f t="shared" si="14"/>
        <v>N/A</v>
      </c>
      <c r="BT178" t="s">
        <v>135</v>
      </c>
      <c r="BU178">
        <v>3</v>
      </c>
      <c r="BV178" t="str">
        <f>"Forklift Operator"</f>
        <v>Forklift Operator</v>
      </c>
      <c r="BW178" t="s">
        <v>135</v>
      </c>
      <c r="BX178" t="str">
        <f>""</f>
        <v/>
      </c>
      <c r="BY178" t="str">
        <f>""</f>
        <v/>
      </c>
      <c r="BZ178" t="str">
        <f>""</f>
        <v/>
      </c>
      <c r="CA178" s="2" t="s">
        <v>15836</v>
      </c>
      <c r="CB178" t="s">
        <v>131</v>
      </c>
      <c r="CF178" t="s">
        <v>131</v>
      </c>
      <c r="CH178" t="str">
        <f>""</f>
        <v/>
      </c>
      <c r="CI178" t="s">
        <v>131</v>
      </c>
      <c r="CK178" t="s">
        <v>131</v>
      </c>
      <c r="CL178" t="str">
        <f>""</f>
        <v/>
      </c>
      <c r="CM178" t="str">
        <f>""</f>
        <v/>
      </c>
      <c r="CN178" t="str">
        <f>""</f>
        <v/>
      </c>
      <c r="CO178" t="str">
        <f>""</f>
        <v/>
      </c>
      <c r="CP178" t="str">
        <f>"53-7062.00"</f>
        <v>53-7062.00</v>
      </c>
      <c r="CQ178" t="s">
        <v>1030</v>
      </c>
      <c r="CS178" t="s">
        <v>135</v>
      </c>
      <c r="CT178" s="2" t="s">
        <v>15837</v>
      </c>
      <c r="CU178" t="s">
        <v>12016</v>
      </c>
      <c r="CV178" t="s">
        <v>15838</v>
      </c>
      <c r="CW178" t="s">
        <v>12014</v>
      </c>
      <c r="CX178" t="s">
        <v>1763</v>
      </c>
      <c r="CZ178" s="3" t="str">
        <f>"71373"</f>
        <v>71373</v>
      </c>
      <c r="DA178" t="s">
        <v>135</v>
      </c>
      <c r="DB178" t="str">
        <f>"53-7062"</f>
        <v>53-7062</v>
      </c>
      <c r="DC178" t="s">
        <v>1030</v>
      </c>
      <c r="DD178" t="s">
        <v>134</v>
      </c>
      <c r="DE178" t="s">
        <v>134</v>
      </c>
      <c r="DF178" t="str">
        <f>""</f>
        <v/>
      </c>
      <c r="DH178" s="6">
        <v>14.14</v>
      </c>
      <c r="DI178" t="s">
        <v>344</v>
      </c>
      <c r="DK178" t="s">
        <v>345</v>
      </c>
      <c r="DR178" t="s">
        <v>15839</v>
      </c>
      <c r="DS178" s="6">
        <v>14.14</v>
      </c>
      <c r="DT178" s="2" t="s">
        <v>347</v>
      </c>
      <c r="DU178" s="1">
        <v>44350</v>
      </c>
      <c r="DV178" s="1">
        <v>44439</v>
      </c>
    </row>
    <row r="179" spans="1:126" ht="15" customHeight="1" x14ac:dyDescent="0.35">
      <c r="A179" t="s">
        <v>10629</v>
      </c>
      <c r="B179" t="s">
        <v>318</v>
      </c>
      <c r="C179" s="1">
        <v>44322</v>
      </c>
      <c r="D179" s="1">
        <v>44351</v>
      </c>
      <c r="H179" t="s">
        <v>319</v>
      </c>
      <c r="I179" t="s">
        <v>10630</v>
      </c>
      <c r="J179" t="s">
        <v>4906</v>
      </c>
      <c r="L179" t="s">
        <v>2076</v>
      </c>
      <c r="M179" t="s">
        <v>10631</v>
      </c>
      <c r="O179" t="s">
        <v>4945</v>
      </c>
      <c r="P179" t="s">
        <v>194</v>
      </c>
      <c r="Q179" s="3">
        <v>33496</v>
      </c>
      <c r="R179" t="s">
        <v>128</v>
      </c>
      <c r="T179" s="4">
        <v>15612416886</v>
      </c>
      <c r="V179" t="s">
        <v>10632</v>
      </c>
      <c r="W179" t="s">
        <v>10633</v>
      </c>
      <c r="Y179" t="s">
        <v>10634</v>
      </c>
      <c r="AA179" t="s">
        <v>4945</v>
      </c>
      <c r="AB179" t="s">
        <v>195</v>
      </c>
      <c r="AC179" s="3" t="str">
        <f>"33496"</f>
        <v>33496</v>
      </c>
      <c r="AD179" t="s">
        <v>128</v>
      </c>
      <c r="AF179" s="4">
        <v>15612416886</v>
      </c>
      <c r="AH179" t="str">
        <f>"713910"</f>
        <v>713910</v>
      </c>
      <c r="AI179" t="s">
        <v>130</v>
      </c>
      <c r="AJ179" t="s">
        <v>10635</v>
      </c>
      <c r="AK179" t="s">
        <v>10636</v>
      </c>
      <c r="AL179" t="s">
        <v>10637</v>
      </c>
      <c r="AM179" t="s">
        <v>10638</v>
      </c>
      <c r="AO179" t="s">
        <v>2141</v>
      </c>
      <c r="AP179" t="s">
        <v>195</v>
      </c>
      <c r="AQ179" s="5">
        <v>33134</v>
      </c>
      <c r="AR179" t="s">
        <v>128</v>
      </c>
      <c r="AT179" s="4">
        <v>13055295054</v>
      </c>
      <c r="AV179" t="s">
        <v>10639</v>
      </c>
      <c r="AW179" t="s">
        <v>10640</v>
      </c>
      <c r="AX179" t="s">
        <v>131</v>
      </c>
      <c r="AY179" t="s">
        <v>131</v>
      </c>
      <c r="AZ179" t="s">
        <v>131</v>
      </c>
      <c r="BA179" t="s">
        <v>131</v>
      </c>
      <c r="BB179" t="s">
        <v>131</v>
      </c>
      <c r="BC179" t="s">
        <v>131</v>
      </c>
      <c r="BD179" t="s">
        <v>131</v>
      </c>
      <c r="BE179" t="s">
        <v>132</v>
      </c>
      <c r="BH179" t="s">
        <v>10641</v>
      </c>
      <c r="BI179" t="s">
        <v>131</v>
      </c>
      <c r="BL179" t="s">
        <v>167</v>
      </c>
      <c r="BO179" t="s">
        <v>131</v>
      </c>
      <c r="BP179" t="s">
        <v>134</v>
      </c>
      <c r="BQ179" t="s">
        <v>131</v>
      </c>
      <c r="BS179" t="str">
        <f t="shared" si="14"/>
        <v>N/A</v>
      </c>
      <c r="BT179" t="s">
        <v>135</v>
      </c>
      <c r="BU179">
        <v>18</v>
      </c>
      <c r="BV179" t="str">
        <f>"18 MONTHS AS A LINE COOK IN A FULL SERVICE/FINE DINING RESTAURANT"</f>
        <v>18 MONTHS AS A LINE COOK IN A FULL SERVICE/FINE DINING RESTAURANT</v>
      </c>
      <c r="BW179" t="s">
        <v>135</v>
      </c>
      <c r="BX179" t="str">
        <f>""</f>
        <v/>
      </c>
      <c r="BY179" t="str">
        <f>""</f>
        <v/>
      </c>
      <c r="BZ179" t="str">
        <f>""</f>
        <v/>
      </c>
      <c r="CA179" t="str">
        <f>"ABILITY TO READ AND UNDERSTAND RECIPES IN ENGLISH"</f>
        <v>ABILITY TO READ AND UNDERSTAND RECIPES IN ENGLISH</v>
      </c>
      <c r="CB179" t="s">
        <v>131</v>
      </c>
      <c r="CF179" t="s">
        <v>131</v>
      </c>
      <c r="CH179" t="str">
        <f>""</f>
        <v/>
      </c>
      <c r="CI179" t="s">
        <v>131</v>
      </c>
      <c r="CK179" t="s">
        <v>131</v>
      </c>
      <c r="CL179" t="str">
        <f>""</f>
        <v/>
      </c>
      <c r="CM179" t="str">
        <f>""</f>
        <v/>
      </c>
      <c r="CN179" t="str">
        <f>""</f>
        <v/>
      </c>
      <c r="CO179" t="str">
        <f>""</f>
        <v/>
      </c>
      <c r="CP179" t="str">
        <f>"35-2015.00"</f>
        <v>35-2015.00</v>
      </c>
      <c r="CQ179" t="s">
        <v>3425</v>
      </c>
      <c r="CR179" t="s">
        <v>10642</v>
      </c>
      <c r="CS179" t="s">
        <v>131</v>
      </c>
      <c r="CU179" t="s">
        <v>10631</v>
      </c>
      <c r="CW179" t="s">
        <v>10643</v>
      </c>
      <c r="CX179" t="s">
        <v>195</v>
      </c>
      <c r="CZ179" s="3" t="str">
        <f>"33496"</f>
        <v>33496</v>
      </c>
      <c r="DA179" t="s">
        <v>131</v>
      </c>
      <c r="DB179" t="str">
        <f>"35-2014"</f>
        <v>35-2014</v>
      </c>
      <c r="DC179" t="s">
        <v>581</v>
      </c>
      <c r="DD179" t="s">
        <v>134</v>
      </c>
      <c r="DE179" t="s">
        <v>134</v>
      </c>
      <c r="DF179" t="str">
        <f>""</f>
        <v/>
      </c>
      <c r="DH179" s="6">
        <v>14.63</v>
      </c>
      <c r="DI179" t="s">
        <v>344</v>
      </c>
      <c r="DK179" t="s">
        <v>345</v>
      </c>
      <c r="DS179" s="6">
        <v>14.63</v>
      </c>
      <c r="DT179" t="s">
        <v>424</v>
      </c>
      <c r="DU179" s="1">
        <v>44351</v>
      </c>
      <c r="DV179" s="1">
        <v>44440</v>
      </c>
    </row>
    <row r="180" spans="1:126" ht="15" customHeight="1" x14ac:dyDescent="0.35">
      <c r="A180" t="s">
        <v>16502</v>
      </c>
      <c r="B180" t="s">
        <v>318</v>
      </c>
      <c r="C180" s="1">
        <v>44322</v>
      </c>
      <c r="D180" s="1">
        <v>44350</v>
      </c>
      <c r="H180" t="s">
        <v>319</v>
      </c>
      <c r="I180" t="s">
        <v>16503</v>
      </c>
      <c r="J180" t="s">
        <v>313</v>
      </c>
      <c r="L180" t="s">
        <v>395</v>
      </c>
      <c r="M180" t="s">
        <v>16504</v>
      </c>
      <c r="O180" t="s">
        <v>440</v>
      </c>
      <c r="P180" t="s">
        <v>441</v>
      </c>
      <c r="Q180" s="3">
        <v>43232</v>
      </c>
      <c r="R180" t="s">
        <v>128</v>
      </c>
      <c r="T180" s="4">
        <v>16148371869</v>
      </c>
      <c r="V180" t="s">
        <v>134</v>
      </c>
      <c r="W180" t="s">
        <v>16505</v>
      </c>
      <c r="Y180" t="s">
        <v>16504</v>
      </c>
      <c r="AA180" t="s">
        <v>440</v>
      </c>
      <c r="AB180" t="s">
        <v>444</v>
      </c>
      <c r="AC180" s="3" t="str">
        <f>"43232"</f>
        <v>43232</v>
      </c>
      <c r="AD180" t="s">
        <v>128</v>
      </c>
      <c r="AF180" s="4">
        <v>16148371869</v>
      </c>
      <c r="AH180" t="str">
        <f>"56173"</f>
        <v>56173</v>
      </c>
      <c r="AI180" t="s">
        <v>287</v>
      </c>
      <c r="AJ180" t="s">
        <v>2917</v>
      </c>
      <c r="AK180" t="s">
        <v>2918</v>
      </c>
      <c r="AL180" t="s">
        <v>610</v>
      </c>
      <c r="AM180" t="s">
        <v>2919</v>
      </c>
      <c r="AN180" t="s">
        <v>2920</v>
      </c>
      <c r="AO180" t="s">
        <v>2921</v>
      </c>
      <c r="AP180" t="s">
        <v>306</v>
      </c>
      <c r="AQ180" s="5">
        <v>22949</v>
      </c>
      <c r="AR180" t="s">
        <v>128</v>
      </c>
      <c r="AT180" s="4">
        <v>14342634300</v>
      </c>
      <c r="AV180" t="s">
        <v>5233</v>
      </c>
      <c r="AW180" t="s">
        <v>2923</v>
      </c>
      <c r="AX180" t="s">
        <v>131</v>
      </c>
      <c r="AY180" t="s">
        <v>131</v>
      </c>
      <c r="AZ180" t="s">
        <v>131</v>
      </c>
      <c r="BA180" t="s">
        <v>131</v>
      </c>
      <c r="BB180" t="s">
        <v>131</v>
      </c>
      <c r="BC180" t="s">
        <v>131</v>
      </c>
      <c r="BD180" t="s">
        <v>131</v>
      </c>
      <c r="BE180" t="s">
        <v>132</v>
      </c>
      <c r="BH180" t="s">
        <v>16506</v>
      </c>
      <c r="BI180" t="s">
        <v>131</v>
      </c>
      <c r="BL180" t="s">
        <v>167</v>
      </c>
      <c r="BO180" t="s">
        <v>131</v>
      </c>
      <c r="BP180" t="s">
        <v>134</v>
      </c>
      <c r="BQ180" t="s">
        <v>131</v>
      </c>
      <c r="BS180" t="str">
        <f t="shared" si="14"/>
        <v>N/A</v>
      </c>
      <c r="BT180" t="s">
        <v>135</v>
      </c>
      <c r="BU180">
        <v>3</v>
      </c>
      <c r="BV180" t="str">
        <f>"Requires three months of previous landscape experience."</f>
        <v>Requires three months of previous landscape experience.</v>
      </c>
      <c r="BW180" t="s">
        <v>135</v>
      </c>
      <c r="BX180" t="str">
        <f>""</f>
        <v/>
      </c>
      <c r="BY180" t="str">
        <f>""</f>
        <v/>
      </c>
      <c r="BZ180" t="str">
        <f>""</f>
        <v/>
      </c>
      <c r="CA180" t="s">
        <v>16507</v>
      </c>
      <c r="CB180" t="s">
        <v>131</v>
      </c>
      <c r="CF180" t="s">
        <v>131</v>
      </c>
      <c r="CH180" t="str">
        <f>""</f>
        <v/>
      </c>
      <c r="CI180" t="s">
        <v>131</v>
      </c>
      <c r="CK180" t="s">
        <v>131</v>
      </c>
      <c r="CL180" t="str">
        <f>""</f>
        <v/>
      </c>
      <c r="CM180" t="str">
        <f>""</f>
        <v/>
      </c>
      <c r="CN180" t="str">
        <f>""</f>
        <v/>
      </c>
      <c r="CO180" t="str">
        <f>""</f>
        <v/>
      </c>
      <c r="CP180" t="str">
        <f>"37-3011.00"</f>
        <v>37-3011.00</v>
      </c>
      <c r="CQ180" t="s">
        <v>920</v>
      </c>
      <c r="CR180" t="s">
        <v>2924</v>
      </c>
      <c r="CS180" t="s">
        <v>135</v>
      </c>
      <c r="CT180" t="s">
        <v>2925</v>
      </c>
      <c r="CU180" t="s">
        <v>16504</v>
      </c>
      <c r="CW180" t="s">
        <v>440</v>
      </c>
      <c r="CX180" t="s">
        <v>444</v>
      </c>
      <c r="CZ180" s="3" t="str">
        <f>"43232"</f>
        <v>43232</v>
      </c>
      <c r="DA180" t="s">
        <v>135</v>
      </c>
      <c r="DB180" t="str">
        <f>"37-3011"</f>
        <v>37-3011</v>
      </c>
      <c r="DC180" t="s">
        <v>920</v>
      </c>
      <c r="DD180" t="s">
        <v>134</v>
      </c>
      <c r="DE180" t="s">
        <v>134</v>
      </c>
      <c r="DF180" t="str">
        <f>""</f>
        <v/>
      </c>
      <c r="DH180" s="6">
        <v>15.18</v>
      </c>
      <c r="DI180" t="s">
        <v>344</v>
      </c>
      <c r="DK180" t="s">
        <v>345</v>
      </c>
      <c r="DS180" s="6">
        <v>15.18</v>
      </c>
      <c r="DT180" t="s">
        <v>424</v>
      </c>
      <c r="DU180" s="1">
        <v>44350</v>
      </c>
      <c r="DV180" s="1">
        <v>44439</v>
      </c>
    </row>
    <row r="181" spans="1:126" ht="15" customHeight="1" x14ac:dyDescent="0.35">
      <c r="A181" t="s">
        <v>8778</v>
      </c>
      <c r="B181" t="s">
        <v>318</v>
      </c>
      <c r="C181" s="1">
        <v>44322</v>
      </c>
      <c r="D181" s="1">
        <v>44350</v>
      </c>
      <c r="H181" t="s">
        <v>319</v>
      </c>
      <c r="I181" t="s">
        <v>3532</v>
      </c>
      <c r="J181" t="s">
        <v>653</v>
      </c>
      <c r="K181" t="s">
        <v>415</v>
      </c>
      <c r="L181" t="s">
        <v>668</v>
      </c>
      <c r="M181" t="s">
        <v>8779</v>
      </c>
      <c r="N181" t="s">
        <v>8780</v>
      </c>
      <c r="O181" t="s">
        <v>8781</v>
      </c>
      <c r="P181" t="s">
        <v>226</v>
      </c>
      <c r="Q181" s="3">
        <v>47150</v>
      </c>
      <c r="R181" t="s">
        <v>128</v>
      </c>
      <c r="T181" s="4">
        <v>18129487991</v>
      </c>
      <c r="V181" t="s">
        <v>134</v>
      </c>
      <c r="W181" t="s">
        <v>8782</v>
      </c>
      <c r="Y181" t="s">
        <v>8779</v>
      </c>
      <c r="Z181" t="s">
        <v>8780</v>
      </c>
      <c r="AA181" t="s">
        <v>8781</v>
      </c>
      <c r="AB181" t="s">
        <v>229</v>
      </c>
      <c r="AC181" s="3" t="str">
        <f>"47150"</f>
        <v>47150</v>
      </c>
      <c r="AD181" t="s">
        <v>128</v>
      </c>
      <c r="AF181" s="4">
        <v>18129487991</v>
      </c>
      <c r="AH181" t="str">
        <f>"56173"</f>
        <v>56173</v>
      </c>
      <c r="AI181" t="s">
        <v>287</v>
      </c>
      <c r="AJ181" t="s">
        <v>2917</v>
      </c>
      <c r="AK181" t="s">
        <v>2918</v>
      </c>
      <c r="AL181" t="s">
        <v>610</v>
      </c>
      <c r="AM181" t="s">
        <v>2919</v>
      </c>
      <c r="AN181" t="s">
        <v>2920</v>
      </c>
      <c r="AO181" t="s">
        <v>2921</v>
      </c>
      <c r="AP181" t="s">
        <v>306</v>
      </c>
      <c r="AQ181" s="5">
        <v>22949</v>
      </c>
      <c r="AR181" t="s">
        <v>128</v>
      </c>
      <c r="AT181" s="4">
        <v>14342634300</v>
      </c>
      <c r="AV181" t="s">
        <v>5233</v>
      </c>
      <c r="AW181" t="s">
        <v>2923</v>
      </c>
      <c r="AX181" t="s">
        <v>131</v>
      </c>
      <c r="AY181" t="s">
        <v>131</v>
      </c>
      <c r="AZ181" t="s">
        <v>131</v>
      </c>
      <c r="BA181" t="s">
        <v>131</v>
      </c>
      <c r="BB181" t="s">
        <v>131</v>
      </c>
      <c r="BC181" t="s">
        <v>131</v>
      </c>
      <c r="BD181" t="s">
        <v>131</v>
      </c>
      <c r="BE181" t="s">
        <v>132</v>
      </c>
      <c r="BH181" t="s">
        <v>2215</v>
      </c>
      <c r="BI181" t="s">
        <v>131</v>
      </c>
      <c r="BL181" t="s">
        <v>167</v>
      </c>
      <c r="BO181" t="s">
        <v>131</v>
      </c>
      <c r="BP181" t="s">
        <v>134</v>
      </c>
      <c r="BQ181" t="s">
        <v>131</v>
      </c>
      <c r="BS181" t="str">
        <f t="shared" si="14"/>
        <v>N/A</v>
      </c>
      <c r="BT181" t="s">
        <v>135</v>
      </c>
      <c r="BU181">
        <v>3</v>
      </c>
      <c r="BV181" t="str">
        <f>"Requires three months of previous landscape experience."</f>
        <v>Requires three months of previous landscape experience.</v>
      </c>
      <c r="BW181" t="s">
        <v>135</v>
      </c>
      <c r="BX181" t="str">
        <f>""</f>
        <v/>
      </c>
      <c r="BY181" t="str">
        <f>""</f>
        <v/>
      </c>
      <c r="BZ181" t="str">
        <f>""</f>
        <v/>
      </c>
      <c r="CA181" t="s">
        <v>8783</v>
      </c>
      <c r="CB181" t="s">
        <v>131</v>
      </c>
      <c r="CF181" t="s">
        <v>131</v>
      </c>
      <c r="CH181" t="str">
        <f>""</f>
        <v/>
      </c>
      <c r="CI181" t="s">
        <v>131</v>
      </c>
      <c r="CK181" t="s">
        <v>131</v>
      </c>
      <c r="CL181" t="str">
        <f>""</f>
        <v/>
      </c>
      <c r="CM181" t="str">
        <f>""</f>
        <v/>
      </c>
      <c r="CN181" t="str">
        <f>""</f>
        <v/>
      </c>
      <c r="CO181" t="str">
        <f>""</f>
        <v/>
      </c>
      <c r="CP181" t="str">
        <f>"37-3011.00"</f>
        <v>37-3011.00</v>
      </c>
      <c r="CQ181" t="s">
        <v>920</v>
      </c>
      <c r="CR181" t="s">
        <v>2924</v>
      </c>
      <c r="CS181" t="s">
        <v>135</v>
      </c>
      <c r="CT181" t="s">
        <v>2925</v>
      </c>
      <c r="CU181" t="s">
        <v>8779</v>
      </c>
      <c r="CW181" t="s">
        <v>8781</v>
      </c>
      <c r="CX181" t="s">
        <v>229</v>
      </c>
      <c r="CZ181" s="3" t="str">
        <f>"47150"</f>
        <v>47150</v>
      </c>
      <c r="DA181" t="s">
        <v>135</v>
      </c>
      <c r="DB181" t="str">
        <f>"37-3011"</f>
        <v>37-3011</v>
      </c>
      <c r="DC181" t="s">
        <v>920</v>
      </c>
      <c r="DD181" t="s">
        <v>134</v>
      </c>
      <c r="DE181" t="s">
        <v>134</v>
      </c>
      <c r="DF181" t="str">
        <f>""</f>
        <v/>
      </c>
      <c r="DH181" s="6">
        <v>15.58</v>
      </c>
      <c r="DI181" t="s">
        <v>344</v>
      </c>
      <c r="DK181" t="s">
        <v>345</v>
      </c>
      <c r="DS181" s="6">
        <v>15.58</v>
      </c>
      <c r="DT181" s="2" t="s">
        <v>347</v>
      </c>
      <c r="DU181" s="1">
        <v>44350</v>
      </c>
      <c r="DV181" s="1">
        <v>44439</v>
      </c>
    </row>
    <row r="182" spans="1:126" ht="15" customHeight="1" x14ac:dyDescent="0.35">
      <c r="A182" t="s">
        <v>18962</v>
      </c>
      <c r="B182" t="s">
        <v>318</v>
      </c>
      <c r="C182" s="1">
        <v>44322</v>
      </c>
      <c r="D182" s="1">
        <v>44351</v>
      </c>
      <c r="H182" t="s">
        <v>319</v>
      </c>
      <c r="I182" t="s">
        <v>1732</v>
      </c>
      <c r="J182" t="s">
        <v>560</v>
      </c>
      <c r="K182" t="s">
        <v>803</v>
      </c>
      <c r="L182" t="s">
        <v>130</v>
      </c>
      <c r="M182" t="s">
        <v>18963</v>
      </c>
      <c r="N182" t="s">
        <v>18964</v>
      </c>
      <c r="O182" t="s">
        <v>1735</v>
      </c>
      <c r="P182" t="s">
        <v>467</v>
      </c>
      <c r="Q182" s="3">
        <v>81657</v>
      </c>
      <c r="R182" t="s">
        <v>128</v>
      </c>
      <c r="T182" s="4">
        <v>19703066476</v>
      </c>
      <c r="V182" t="s">
        <v>1736</v>
      </c>
      <c r="W182" t="s">
        <v>18965</v>
      </c>
      <c r="Y182" t="s">
        <v>18966</v>
      </c>
      <c r="AA182" t="s">
        <v>909</v>
      </c>
      <c r="AB182" t="s">
        <v>471</v>
      </c>
      <c r="AC182" s="3" t="str">
        <f>"81637"</f>
        <v>81637</v>
      </c>
      <c r="AD182" t="s">
        <v>128</v>
      </c>
      <c r="AF182" s="4">
        <v>19703901721</v>
      </c>
      <c r="AH182" t="str">
        <f>"56173"</f>
        <v>56173</v>
      </c>
      <c r="AI182" t="s">
        <v>130</v>
      </c>
      <c r="AJ182" t="s">
        <v>1732</v>
      </c>
      <c r="AK182" t="s">
        <v>560</v>
      </c>
      <c r="AL182" t="s">
        <v>803</v>
      </c>
      <c r="AM182" t="s">
        <v>18967</v>
      </c>
      <c r="AN182" t="s">
        <v>1742</v>
      </c>
      <c r="AO182" t="s">
        <v>1735</v>
      </c>
      <c r="AP182" t="s">
        <v>471</v>
      </c>
      <c r="AQ182" s="5">
        <v>81657</v>
      </c>
      <c r="AR182" t="s">
        <v>128</v>
      </c>
      <c r="AT182" s="4">
        <v>19703066476</v>
      </c>
      <c r="AV182" t="s">
        <v>1736</v>
      </c>
      <c r="AW182" t="s">
        <v>1743</v>
      </c>
      <c r="AX182" t="s">
        <v>131</v>
      </c>
      <c r="AY182" t="s">
        <v>131</v>
      </c>
      <c r="AZ182" t="s">
        <v>131</v>
      </c>
      <c r="BA182" t="s">
        <v>131</v>
      </c>
      <c r="BB182" t="s">
        <v>131</v>
      </c>
      <c r="BC182" t="s">
        <v>131</v>
      </c>
      <c r="BD182" t="s">
        <v>131</v>
      </c>
      <c r="BE182" t="s">
        <v>132</v>
      </c>
      <c r="BH182" t="s">
        <v>4509</v>
      </c>
      <c r="BI182" t="s">
        <v>131</v>
      </c>
      <c r="BL182" t="s">
        <v>167</v>
      </c>
      <c r="BO182" t="s">
        <v>131</v>
      </c>
      <c r="BP182" t="s">
        <v>134</v>
      </c>
      <c r="BQ182" t="s">
        <v>131</v>
      </c>
      <c r="BS182" t="str">
        <f t="shared" si="14"/>
        <v>N/A</v>
      </c>
      <c r="BT182" t="s">
        <v>131</v>
      </c>
      <c r="BV182" t="str">
        <f>""</f>
        <v/>
      </c>
      <c r="BW182" t="s">
        <v>131</v>
      </c>
      <c r="BX182" t="str">
        <f>""</f>
        <v/>
      </c>
      <c r="BY182" t="str">
        <f>""</f>
        <v/>
      </c>
      <c r="BZ182" t="str">
        <f>""</f>
        <v/>
      </c>
      <c r="CA182" t="str">
        <f>""</f>
        <v/>
      </c>
      <c r="CB182" t="s">
        <v>131</v>
      </c>
      <c r="CF182" t="s">
        <v>131</v>
      </c>
      <c r="CH182" t="str">
        <f>""</f>
        <v/>
      </c>
      <c r="CI182" t="s">
        <v>131</v>
      </c>
      <c r="CK182" t="s">
        <v>131</v>
      </c>
      <c r="CL182" t="str">
        <f>""</f>
        <v/>
      </c>
      <c r="CM182" t="str">
        <f>""</f>
        <v/>
      </c>
      <c r="CN182" t="str">
        <f>""</f>
        <v/>
      </c>
      <c r="CO182" t="str">
        <f>""</f>
        <v/>
      </c>
      <c r="CP182" t="str">
        <f>"37-3011.00"</f>
        <v>37-3011.00</v>
      </c>
      <c r="CQ182" t="s">
        <v>920</v>
      </c>
      <c r="CR182" t="s">
        <v>1105</v>
      </c>
      <c r="CS182" t="s">
        <v>131</v>
      </c>
      <c r="CU182" t="s">
        <v>18966</v>
      </c>
      <c r="CW182" t="s">
        <v>909</v>
      </c>
      <c r="CX182" t="s">
        <v>471</v>
      </c>
      <c r="CZ182" s="3" t="str">
        <f>"81637"</f>
        <v>81637</v>
      </c>
      <c r="DA182" t="s">
        <v>135</v>
      </c>
      <c r="DB182" t="str">
        <f>"37-3011"</f>
        <v>37-3011</v>
      </c>
      <c r="DC182" t="s">
        <v>920</v>
      </c>
      <c r="DD182" t="s">
        <v>134</v>
      </c>
      <c r="DE182" t="s">
        <v>134</v>
      </c>
      <c r="DF182" t="str">
        <f>""</f>
        <v/>
      </c>
      <c r="DH182" s="6">
        <v>17.8</v>
      </c>
      <c r="DI182" t="s">
        <v>344</v>
      </c>
      <c r="DK182" t="s">
        <v>345</v>
      </c>
      <c r="DS182" s="6">
        <v>17.8</v>
      </c>
      <c r="DT182" t="s">
        <v>424</v>
      </c>
      <c r="DU182" s="1">
        <v>44351</v>
      </c>
      <c r="DV182" s="1">
        <v>44440</v>
      </c>
    </row>
    <row r="183" spans="1:126" ht="15" customHeight="1" x14ac:dyDescent="0.35">
      <c r="A183" t="s">
        <v>17946</v>
      </c>
      <c r="B183" t="s">
        <v>318</v>
      </c>
      <c r="C183" s="1">
        <v>44322</v>
      </c>
      <c r="D183" s="1">
        <v>44350</v>
      </c>
      <c r="H183" t="s">
        <v>319</v>
      </c>
      <c r="I183" t="s">
        <v>17947</v>
      </c>
      <c r="J183" t="s">
        <v>17948</v>
      </c>
      <c r="L183" t="s">
        <v>223</v>
      </c>
      <c r="M183" t="s">
        <v>17949</v>
      </c>
      <c r="N183" t="s">
        <v>15512</v>
      </c>
      <c r="O183" t="s">
        <v>15512</v>
      </c>
      <c r="P183" t="s">
        <v>857</v>
      </c>
      <c r="Q183" s="3">
        <v>85234</v>
      </c>
      <c r="R183" t="s">
        <v>128</v>
      </c>
      <c r="T183" s="4">
        <v>14805823337</v>
      </c>
      <c r="U183">
        <v>200</v>
      </c>
      <c r="V183" t="s">
        <v>17950</v>
      </c>
      <c r="W183" t="s">
        <v>17951</v>
      </c>
      <c r="X183" t="s">
        <v>17951</v>
      </c>
      <c r="Y183" t="s">
        <v>17952</v>
      </c>
      <c r="AA183" t="s">
        <v>1720</v>
      </c>
      <c r="AB183" t="s">
        <v>808</v>
      </c>
      <c r="AC183" s="3" t="str">
        <f>"85007"</f>
        <v>85007</v>
      </c>
      <c r="AD183" t="s">
        <v>128</v>
      </c>
      <c r="AF183" s="4">
        <v>14805823337</v>
      </c>
      <c r="AH183" t="str">
        <f>"484121"</f>
        <v>484121</v>
      </c>
      <c r="AI183" t="s">
        <v>167</v>
      </c>
      <c r="AX183" t="s">
        <v>131</v>
      </c>
      <c r="AY183" t="s">
        <v>131</v>
      </c>
      <c r="AZ183" t="s">
        <v>131</v>
      </c>
      <c r="BA183" t="s">
        <v>131</v>
      </c>
      <c r="BB183" t="s">
        <v>131</v>
      </c>
      <c r="BC183" t="s">
        <v>131</v>
      </c>
      <c r="BD183" t="s">
        <v>131</v>
      </c>
      <c r="BE183" t="s">
        <v>132</v>
      </c>
      <c r="BH183" t="s">
        <v>17953</v>
      </c>
      <c r="BI183" t="s">
        <v>131</v>
      </c>
      <c r="BL183" t="s">
        <v>167</v>
      </c>
      <c r="BO183" t="s">
        <v>131</v>
      </c>
      <c r="BP183" t="s">
        <v>134</v>
      </c>
      <c r="BQ183" t="s">
        <v>135</v>
      </c>
      <c r="BR183">
        <v>1</v>
      </c>
      <c r="BS183" t="str">
        <f>"Over-the-Road CDL Class A Driver Training"</f>
        <v>Over-the-Road CDL Class A Driver Training</v>
      </c>
      <c r="BT183" t="s">
        <v>135</v>
      </c>
      <c r="BU183">
        <v>24</v>
      </c>
      <c r="BV183" t="str">
        <f>"History of safely driving and operating experience of a standard heavy tractor with semi-trailer 10-speed or 13-speed manual transmission tractor as well refrigerated or dry van 53' trailer"</f>
        <v>History of safely driving and operating experience of a standard heavy tractor with semi-trailer 10-speed or 13-speed manual transmission tractor as well refrigerated or dry van 53' trailer</v>
      </c>
      <c r="BW183" t="s">
        <v>135</v>
      </c>
      <c r="BX183" t="str">
        <f>"CDL CLASS A or equivalent"</f>
        <v>CDL CLASS A or equivalent</v>
      </c>
      <c r="BY183" t="str">
        <f>"Must be proficient in reading, writing, and speaking English  "</f>
        <v xml:space="preserve">Must be proficient in reading, writing, and speaking English  </v>
      </c>
      <c r="BZ183" t="str">
        <f>""</f>
        <v/>
      </c>
      <c r="CA183" t="str">
        <f>""</f>
        <v/>
      </c>
      <c r="CB183" t="s">
        <v>131</v>
      </c>
      <c r="CF183" t="s">
        <v>131</v>
      </c>
      <c r="CH183" t="str">
        <f>""</f>
        <v/>
      </c>
      <c r="CI183" t="s">
        <v>131</v>
      </c>
      <c r="CK183" t="s">
        <v>131</v>
      </c>
      <c r="CL183" t="str">
        <f>""</f>
        <v/>
      </c>
      <c r="CM183" t="str">
        <f>""</f>
        <v/>
      </c>
      <c r="CN183" t="str">
        <f>""</f>
        <v/>
      </c>
      <c r="CO183" t="str">
        <f>""</f>
        <v/>
      </c>
      <c r="CP183" t="str">
        <f>"53-3032.00"</f>
        <v>53-3032.00</v>
      </c>
      <c r="CQ183" t="s">
        <v>1238</v>
      </c>
      <c r="CR183" t="s">
        <v>17954</v>
      </c>
      <c r="CS183" t="s">
        <v>135</v>
      </c>
      <c r="CT183" t="s">
        <v>17955</v>
      </c>
      <c r="CU183" t="s">
        <v>17952</v>
      </c>
      <c r="CW183" t="s">
        <v>1720</v>
      </c>
      <c r="CX183" t="s">
        <v>808</v>
      </c>
      <c r="CZ183" s="3" t="str">
        <f>"85007"</f>
        <v>85007</v>
      </c>
      <c r="DA183" t="s">
        <v>131</v>
      </c>
      <c r="DB183" t="str">
        <f>"53-3032"</f>
        <v>53-3032</v>
      </c>
      <c r="DC183" t="s">
        <v>1238</v>
      </c>
      <c r="DD183" t="s">
        <v>134</v>
      </c>
      <c r="DE183" t="s">
        <v>134</v>
      </c>
      <c r="DF183" t="str">
        <f>""</f>
        <v/>
      </c>
      <c r="DH183" s="6">
        <v>23.11</v>
      </c>
      <c r="DI183" t="s">
        <v>344</v>
      </c>
      <c r="DK183" t="s">
        <v>345</v>
      </c>
      <c r="DR183" t="s">
        <v>2199</v>
      </c>
      <c r="DS183" s="6">
        <v>23.11</v>
      </c>
      <c r="DT183" s="2" t="s">
        <v>347</v>
      </c>
      <c r="DU183" s="1">
        <v>44350</v>
      </c>
      <c r="DV183" s="1">
        <v>44439</v>
      </c>
    </row>
    <row r="184" spans="1:126" ht="15" customHeight="1" x14ac:dyDescent="0.35">
      <c r="A184" t="s">
        <v>10158</v>
      </c>
      <c r="B184" t="s">
        <v>318</v>
      </c>
      <c r="C184" s="1">
        <v>44322</v>
      </c>
      <c r="D184" s="1">
        <v>44350</v>
      </c>
      <c r="H184" t="s">
        <v>319</v>
      </c>
      <c r="I184" t="s">
        <v>10159</v>
      </c>
      <c r="J184" t="s">
        <v>6386</v>
      </c>
      <c r="K184" t="s">
        <v>618</v>
      </c>
      <c r="L184" t="s">
        <v>10160</v>
      </c>
      <c r="M184" t="s">
        <v>10161</v>
      </c>
      <c r="O184" t="s">
        <v>1791</v>
      </c>
      <c r="P184" t="s">
        <v>396</v>
      </c>
      <c r="Q184" s="3">
        <v>71647</v>
      </c>
      <c r="R184" t="s">
        <v>128</v>
      </c>
      <c r="T184" s="4">
        <v>18704638909</v>
      </c>
      <c r="V184" t="s">
        <v>10162</v>
      </c>
      <c r="W184" t="s">
        <v>10163</v>
      </c>
      <c r="Y184" t="s">
        <v>10164</v>
      </c>
      <c r="AA184" t="s">
        <v>1791</v>
      </c>
      <c r="AB184" t="s">
        <v>397</v>
      </c>
      <c r="AC184" s="3" t="str">
        <f>"71647"</f>
        <v>71647</v>
      </c>
      <c r="AD184" t="s">
        <v>128</v>
      </c>
      <c r="AF184" s="4">
        <v>18704638101</v>
      </c>
      <c r="AH184" t="str">
        <f>"115310"</f>
        <v>115310</v>
      </c>
      <c r="AI184" t="s">
        <v>167</v>
      </c>
      <c r="AX184" t="s">
        <v>131</v>
      </c>
      <c r="AY184" t="s">
        <v>131</v>
      </c>
      <c r="AZ184" t="s">
        <v>131</v>
      </c>
      <c r="BA184" t="s">
        <v>131</v>
      </c>
      <c r="BB184" t="s">
        <v>131</v>
      </c>
      <c r="BC184" t="s">
        <v>131</v>
      </c>
      <c r="BD184" t="s">
        <v>131</v>
      </c>
      <c r="BE184" t="s">
        <v>132</v>
      </c>
      <c r="BH184" t="s">
        <v>10165</v>
      </c>
      <c r="BI184" t="s">
        <v>131</v>
      </c>
      <c r="BL184" t="s">
        <v>167</v>
      </c>
      <c r="BO184" t="s">
        <v>131</v>
      </c>
      <c r="BP184" t="s">
        <v>134</v>
      </c>
      <c r="BQ184" t="s">
        <v>131</v>
      </c>
      <c r="BS184" t="str">
        <f t="shared" ref="BS184:BS192" si="15">"N/A"</f>
        <v>N/A</v>
      </c>
      <c r="BT184" t="s">
        <v>135</v>
      </c>
      <c r="BU184">
        <v>3</v>
      </c>
      <c r="BV184" t="str">
        <f>"Tree Planter"</f>
        <v>Tree Planter</v>
      </c>
      <c r="BW184" t="s">
        <v>131</v>
      </c>
      <c r="BX184" t="str">
        <f>""</f>
        <v/>
      </c>
      <c r="BY184" t="str">
        <f>""</f>
        <v/>
      </c>
      <c r="BZ184" t="str">
        <f>""</f>
        <v/>
      </c>
      <c r="CA184" t="str">
        <f>""</f>
        <v/>
      </c>
      <c r="CB184" t="s">
        <v>131</v>
      </c>
      <c r="CF184" t="s">
        <v>131</v>
      </c>
      <c r="CH184" t="str">
        <f>""</f>
        <v/>
      </c>
      <c r="CI184" t="s">
        <v>131</v>
      </c>
      <c r="CK184" t="s">
        <v>131</v>
      </c>
      <c r="CL184" t="str">
        <f>""</f>
        <v/>
      </c>
      <c r="CM184" t="str">
        <f>""</f>
        <v/>
      </c>
      <c r="CN184" t="str">
        <f>""</f>
        <v/>
      </c>
      <c r="CO184" t="str">
        <f>""</f>
        <v/>
      </c>
      <c r="CP184" t="str">
        <f>"45-4011.00"</f>
        <v>45-4011.00</v>
      </c>
      <c r="CQ184" t="s">
        <v>4310</v>
      </c>
      <c r="CS184" t="s">
        <v>135</v>
      </c>
      <c r="CT184" t="s">
        <v>10166</v>
      </c>
      <c r="CU184" t="s">
        <v>10164</v>
      </c>
      <c r="CW184" t="s">
        <v>1791</v>
      </c>
      <c r="CX184" t="s">
        <v>397</v>
      </c>
      <c r="CZ184" s="3" t="str">
        <f>"71647"</f>
        <v>71647</v>
      </c>
      <c r="DA184" t="s">
        <v>135</v>
      </c>
      <c r="DB184" t="str">
        <f>"45-4011"</f>
        <v>45-4011</v>
      </c>
      <c r="DC184" t="s">
        <v>4310</v>
      </c>
      <c r="DD184" t="s">
        <v>134</v>
      </c>
      <c r="DE184" t="s">
        <v>134</v>
      </c>
      <c r="DF184" t="str">
        <f>""</f>
        <v/>
      </c>
      <c r="DH184" s="6">
        <v>15.65</v>
      </c>
      <c r="DI184" t="s">
        <v>344</v>
      </c>
      <c r="DK184" t="s">
        <v>345</v>
      </c>
      <c r="DR184" t="s">
        <v>10167</v>
      </c>
      <c r="DS184" s="6">
        <v>21.04</v>
      </c>
      <c r="DT184" s="2" t="s">
        <v>347</v>
      </c>
      <c r="DU184" s="1">
        <v>44350</v>
      </c>
      <c r="DV184" s="1">
        <v>44439</v>
      </c>
    </row>
    <row r="185" spans="1:126" ht="15" customHeight="1" x14ac:dyDescent="0.35">
      <c r="A185" t="s">
        <v>7734</v>
      </c>
      <c r="B185" t="s">
        <v>318</v>
      </c>
      <c r="C185" s="1">
        <v>44322</v>
      </c>
      <c r="D185" s="1">
        <v>44351</v>
      </c>
      <c r="H185" t="s">
        <v>319</v>
      </c>
      <c r="I185" t="s">
        <v>7735</v>
      </c>
      <c r="J185" t="s">
        <v>1060</v>
      </c>
      <c r="L185" t="s">
        <v>7736</v>
      </c>
      <c r="M185" t="s">
        <v>7737</v>
      </c>
      <c r="O185" t="s">
        <v>3746</v>
      </c>
      <c r="P185" t="s">
        <v>3075</v>
      </c>
      <c r="Q185" s="3">
        <v>83340</v>
      </c>
      <c r="R185" t="s">
        <v>128</v>
      </c>
      <c r="T185" s="4">
        <v>12087262328</v>
      </c>
      <c r="V185" t="s">
        <v>7738</v>
      </c>
      <c r="W185" t="s">
        <v>7739</v>
      </c>
      <c r="X185" t="s">
        <v>7740</v>
      </c>
      <c r="Y185" t="s">
        <v>7741</v>
      </c>
      <c r="AA185" t="s">
        <v>3746</v>
      </c>
      <c r="AB185" t="s">
        <v>1243</v>
      </c>
      <c r="AC185" s="3" t="str">
        <f>"83340"</f>
        <v>83340</v>
      </c>
      <c r="AD185" t="s">
        <v>128</v>
      </c>
      <c r="AF185" s="4">
        <v>12087262328</v>
      </c>
      <c r="AH185" t="str">
        <f>"2361"</f>
        <v>2361</v>
      </c>
      <c r="AI185" t="s">
        <v>130</v>
      </c>
      <c r="AJ185" t="s">
        <v>3079</v>
      </c>
      <c r="AK185" t="s">
        <v>1616</v>
      </c>
      <c r="AL185" t="s">
        <v>1198</v>
      </c>
      <c r="AM185" t="s">
        <v>3080</v>
      </c>
      <c r="AN185" t="s">
        <v>3081</v>
      </c>
      <c r="AO185" t="s">
        <v>3082</v>
      </c>
      <c r="AP185" t="s">
        <v>1243</v>
      </c>
      <c r="AQ185" s="5">
        <v>83670</v>
      </c>
      <c r="AR185" t="s">
        <v>128</v>
      </c>
      <c r="AT185" s="4">
        <v>12083984969</v>
      </c>
      <c r="AV185" t="s">
        <v>3083</v>
      </c>
      <c r="AW185" t="s">
        <v>3084</v>
      </c>
      <c r="AX185" t="s">
        <v>131</v>
      </c>
      <c r="AY185" t="s">
        <v>131</v>
      </c>
      <c r="AZ185" t="s">
        <v>131</v>
      </c>
      <c r="BA185" t="s">
        <v>131</v>
      </c>
      <c r="BB185" t="s">
        <v>131</v>
      </c>
      <c r="BC185" t="s">
        <v>131</v>
      </c>
      <c r="BD185" t="s">
        <v>131</v>
      </c>
      <c r="BE185" t="s">
        <v>132</v>
      </c>
      <c r="BH185" t="s">
        <v>4045</v>
      </c>
      <c r="BI185" t="s">
        <v>131</v>
      </c>
      <c r="BL185" t="s">
        <v>167</v>
      </c>
      <c r="BO185" t="s">
        <v>131</v>
      </c>
      <c r="BP185" t="s">
        <v>134</v>
      </c>
      <c r="BQ185" t="s">
        <v>131</v>
      </c>
      <c r="BS185" t="str">
        <f t="shared" si="15"/>
        <v>N/A</v>
      </c>
      <c r="BT185" t="s">
        <v>131</v>
      </c>
      <c r="BV185" t="str">
        <f>""</f>
        <v/>
      </c>
      <c r="BW185" t="s">
        <v>135</v>
      </c>
      <c r="BX185" t="str">
        <f>""</f>
        <v/>
      </c>
      <c r="BY185" t="str">
        <f>""</f>
        <v/>
      </c>
      <c r="BZ185" t="str">
        <f>""</f>
        <v/>
      </c>
      <c r="CA185" t="str">
        <f>"Lift 100 pounds and stand for most of work period."</f>
        <v>Lift 100 pounds and stand for most of work period.</v>
      </c>
      <c r="CB185" t="s">
        <v>131</v>
      </c>
      <c r="CF185" t="s">
        <v>131</v>
      </c>
      <c r="CH185" t="str">
        <f>""</f>
        <v/>
      </c>
      <c r="CI185" t="s">
        <v>131</v>
      </c>
      <c r="CK185" t="s">
        <v>131</v>
      </c>
      <c r="CL185" t="str">
        <f>""</f>
        <v/>
      </c>
      <c r="CM185" t="str">
        <f>""</f>
        <v/>
      </c>
      <c r="CN185" t="str">
        <f>""</f>
        <v/>
      </c>
      <c r="CO185" t="str">
        <f>""</f>
        <v/>
      </c>
      <c r="CP185" t="str">
        <f>"47-2061.00"</f>
        <v>47-2061.00</v>
      </c>
      <c r="CQ185" t="s">
        <v>393</v>
      </c>
      <c r="CR185" t="s">
        <v>3086</v>
      </c>
      <c r="CS185" t="s">
        <v>135</v>
      </c>
      <c r="CT185" t="s">
        <v>7742</v>
      </c>
      <c r="CU185" t="s">
        <v>7741</v>
      </c>
      <c r="CW185" t="s">
        <v>3746</v>
      </c>
      <c r="CX185" t="s">
        <v>1243</v>
      </c>
      <c r="CZ185" s="3" t="str">
        <f>"83340"</f>
        <v>83340</v>
      </c>
      <c r="DA185" t="s">
        <v>135</v>
      </c>
      <c r="DB185" t="str">
        <f>"47-2061"</f>
        <v>47-2061</v>
      </c>
      <c r="DC185" t="s">
        <v>393</v>
      </c>
      <c r="DD185" t="s">
        <v>134</v>
      </c>
      <c r="DE185" t="s">
        <v>134</v>
      </c>
      <c r="DF185" t="str">
        <f>""</f>
        <v/>
      </c>
      <c r="DH185" s="6">
        <v>17.559999999999999</v>
      </c>
      <c r="DI185" t="s">
        <v>344</v>
      </c>
      <c r="DK185" t="s">
        <v>345</v>
      </c>
      <c r="DS185" s="6">
        <v>17.559999999999999</v>
      </c>
      <c r="DT185" s="2" t="s">
        <v>347</v>
      </c>
      <c r="DU185" s="1">
        <v>44351</v>
      </c>
      <c r="DV185" s="1">
        <v>44440</v>
      </c>
    </row>
    <row r="186" spans="1:126" ht="15" customHeight="1" x14ac:dyDescent="0.35">
      <c r="A186" t="s">
        <v>14032</v>
      </c>
      <c r="B186" t="s">
        <v>318</v>
      </c>
      <c r="C186" s="1">
        <v>44322</v>
      </c>
      <c r="D186" s="1">
        <v>44350</v>
      </c>
      <c r="H186" t="s">
        <v>319</v>
      </c>
      <c r="I186" t="s">
        <v>14033</v>
      </c>
      <c r="J186" t="s">
        <v>705</v>
      </c>
      <c r="L186" t="s">
        <v>7887</v>
      </c>
      <c r="M186" t="s">
        <v>14034</v>
      </c>
      <c r="N186" t="s">
        <v>14035</v>
      </c>
      <c r="O186" t="s">
        <v>11475</v>
      </c>
      <c r="P186" t="s">
        <v>311</v>
      </c>
      <c r="Q186" s="3">
        <v>19090</v>
      </c>
      <c r="R186" t="s">
        <v>128</v>
      </c>
      <c r="T186" s="4">
        <v>19014177671</v>
      </c>
      <c r="V186" t="s">
        <v>134</v>
      </c>
      <c r="W186" t="s">
        <v>14036</v>
      </c>
      <c r="Y186" t="s">
        <v>14034</v>
      </c>
      <c r="Z186" t="s">
        <v>14035</v>
      </c>
      <c r="AA186" t="s">
        <v>11475</v>
      </c>
      <c r="AB186" t="s">
        <v>312</v>
      </c>
      <c r="AC186" s="3" t="str">
        <f>"19090"</f>
        <v>19090</v>
      </c>
      <c r="AD186" t="s">
        <v>128</v>
      </c>
      <c r="AF186" s="4">
        <v>19014177671</v>
      </c>
      <c r="AH186" t="str">
        <f>"56173"</f>
        <v>56173</v>
      </c>
      <c r="AI186" t="s">
        <v>287</v>
      </c>
      <c r="AJ186" t="s">
        <v>2917</v>
      </c>
      <c r="AK186" t="s">
        <v>2918</v>
      </c>
      <c r="AL186" t="s">
        <v>610</v>
      </c>
      <c r="AM186" t="s">
        <v>2919</v>
      </c>
      <c r="AN186" t="s">
        <v>2920</v>
      </c>
      <c r="AO186" t="s">
        <v>2921</v>
      </c>
      <c r="AP186" t="s">
        <v>306</v>
      </c>
      <c r="AQ186" s="5">
        <v>22949</v>
      </c>
      <c r="AR186" t="s">
        <v>128</v>
      </c>
      <c r="AT186" s="4">
        <v>14342634300</v>
      </c>
      <c r="AV186" t="s">
        <v>5233</v>
      </c>
      <c r="AW186" t="s">
        <v>2923</v>
      </c>
      <c r="AX186" t="s">
        <v>131</v>
      </c>
      <c r="AY186" t="s">
        <v>131</v>
      </c>
      <c r="AZ186" t="s">
        <v>131</v>
      </c>
      <c r="BA186" t="s">
        <v>131</v>
      </c>
      <c r="BB186" t="s">
        <v>131</v>
      </c>
      <c r="BC186" t="s">
        <v>131</v>
      </c>
      <c r="BD186" t="s">
        <v>131</v>
      </c>
      <c r="BE186" t="s">
        <v>132</v>
      </c>
      <c r="BH186" t="s">
        <v>14037</v>
      </c>
      <c r="BI186" t="s">
        <v>131</v>
      </c>
      <c r="BL186" t="s">
        <v>167</v>
      </c>
      <c r="BO186" t="s">
        <v>131</v>
      </c>
      <c r="BP186" t="s">
        <v>134</v>
      </c>
      <c r="BQ186" t="s">
        <v>131</v>
      </c>
      <c r="BS186" t="str">
        <f t="shared" si="15"/>
        <v>N/A</v>
      </c>
      <c r="BT186" t="s">
        <v>135</v>
      </c>
      <c r="BU186">
        <v>6</v>
      </c>
      <c r="BV186" t="str">
        <f>"Requires six  months  of tree trimming/climbing experience."</f>
        <v>Requires six  months  of tree trimming/climbing experience.</v>
      </c>
      <c r="BW186" t="s">
        <v>135</v>
      </c>
      <c r="BX186" t="str">
        <f>""</f>
        <v/>
      </c>
      <c r="BY186" t="str">
        <f>""</f>
        <v/>
      </c>
      <c r="BZ186" t="str">
        <f>""</f>
        <v/>
      </c>
      <c r="CA186" t="s">
        <v>9887</v>
      </c>
      <c r="CB186" t="s">
        <v>131</v>
      </c>
      <c r="CF186" t="s">
        <v>131</v>
      </c>
      <c r="CH186" t="str">
        <f>""</f>
        <v/>
      </c>
      <c r="CI186" t="s">
        <v>131</v>
      </c>
      <c r="CK186" t="s">
        <v>131</v>
      </c>
      <c r="CL186" t="str">
        <f>""</f>
        <v/>
      </c>
      <c r="CM186" t="str">
        <f>""</f>
        <v/>
      </c>
      <c r="CN186" t="str">
        <f>""</f>
        <v/>
      </c>
      <c r="CO186" t="str">
        <f>""</f>
        <v/>
      </c>
      <c r="CP186" t="str">
        <f>"37-3013.00"</f>
        <v>37-3013.00</v>
      </c>
      <c r="CQ186" t="s">
        <v>4299</v>
      </c>
      <c r="CR186" t="s">
        <v>2924</v>
      </c>
      <c r="CS186" t="s">
        <v>135</v>
      </c>
      <c r="CT186" t="s">
        <v>2925</v>
      </c>
      <c r="CU186" t="s">
        <v>14038</v>
      </c>
      <c r="CW186" t="s">
        <v>1340</v>
      </c>
      <c r="CX186" t="s">
        <v>779</v>
      </c>
      <c r="CZ186" s="3" t="str">
        <f>"38134"</f>
        <v>38134</v>
      </c>
      <c r="DA186" t="s">
        <v>135</v>
      </c>
      <c r="DB186" t="str">
        <f>"37-3013"</f>
        <v>37-3013</v>
      </c>
      <c r="DC186" t="s">
        <v>4299</v>
      </c>
      <c r="DD186" t="s">
        <v>134</v>
      </c>
      <c r="DE186" t="s">
        <v>134</v>
      </c>
      <c r="DF186" t="str">
        <f>""</f>
        <v/>
      </c>
      <c r="DH186" s="6">
        <v>14.74</v>
      </c>
      <c r="DI186" t="s">
        <v>344</v>
      </c>
      <c r="DK186" t="s">
        <v>345</v>
      </c>
      <c r="DS186" s="6">
        <v>14.74</v>
      </c>
      <c r="DT186" s="2" t="s">
        <v>347</v>
      </c>
      <c r="DU186" s="1">
        <v>44350</v>
      </c>
      <c r="DV186" s="1">
        <v>44439</v>
      </c>
    </row>
    <row r="187" spans="1:126" ht="15" customHeight="1" x14ac:dyDescent="0.35">
      <c r="A187" t="s">
        <v>14452</v>
      </c>
      <c r="B187" t="s">
        <v>318</v>
      </c>
      <c r="C187" s="1">
        <v>44322</v>
      </c>
      <c r="D187" s="1">
        <v>44350</v>
      </c>
      <c r="H187" t="s">
        <v>319</v>
      </c>
      <c r="I187" t="s">
        <v>13590</v>
      </c>
      <c r="J187" t="s">
        <v>7817</v>
      </c>
      <c r="K187" t="s">
        <v>739</v>
      </c>
      <c r="L187" t="s">
        <v>1105</v>
      </c>
      <c r="M187" t="s">
        <v>14453</v>
      </c>
      <c r="O187" t="s">
        <v>1597</v>
      </c>
      <c r="P187" t="s">
        <v>311</v>
      </c>
      <c r="Q187" s="3">
        <v>15229</v>
      </c>
      <c r="R187" t="s">
        <v>128</v>
      </c>
      <c r="T187" s="4">
        <v>14122925393</v>
      </c>
      <c r="V187" t="s">
        <v>134</v>
      </c>
      <c r="W187" t="s">
        <v>14454</v>
      </c>
      <c r="Y187" t="s">
        <v>14453</v>
      </c>
      <c r="AA187" t="s">
        <v>1597</v>
      </c>
      <c r="AB187" t="s">
        <v>312</v>
      </c>
      <c r="AC187" s="3" t="str">
        <f>"15229"</f>
        <v>15229</v>
      </c>
      <c r="AD187" t="s">
        <v>128</v>
      </c>
      <c r="AF187" s="4">
        <v>14122925393</v>
      </c>
      <c r="AH187" t="str">
        <f>"23811"</f>
        <v>23811</v>
      </c>
      <c r="AI187" t="s">
        <v>287</v>
      </c>
      <c r="AJ187" t="s">
        <v>2917</v>
      </c>
      <c r="AK187" t="s">
        <v>2918</v>
      </c>
      <c r="AL187" t="s">
        <v>610</v>
      </c>
      <c r="AM187" t="s">
        <v>2919</v>
      </c>
      <c r="AN187" t="s">
        <v>2920</v>
      </c>
      <c r="AO187" t="s">
        <v>2921</v>
      </c>
      <c r="AP187" t="s">
        <v>306</v>
      </c>
      <c r="AQ187" s="5">
        <v>22949</v>
      </c>
      <c r="AR187" t="s">
        <v>128</v>
      </c>
      <c r="AT187" s="4">
        <v>14342634300</v>
      </c>
      <c r="AV187" t="s">
        <v>5233</v>
      </c>
      <c r="AW187" t="s">
        <v>2923</v>
      </c>
      <c r="AX187" t="s">
        <v>131</v>
      </c>
      <c r="AY187" t="s">
        <v>131</v>
      </c>
      <c r="AZ187" t="s">
        <v>131</v>
      </c>
      <c r="BA187" t="s">
        <v>131</v>
      </c>
      <c r="BB187" t="s">
        <v>131</v>
      </c>
      <c r="BC187" t="s">
        <v>131</v>
      </c>
      <c r="BD187" t="s">
        <v>131</v>
      </c>
      <c r="BE187" t="s">
        <v>132</v>
      </c>
      <c r="BH187" t="s">
        <v>14455</v>
      </c>
      <c r="BI187" t="s">
        <v>131</v>
      </c>
      <c r="BL187" t="s">
        <v>167</v>
      </c>
      <c r="BO187" t="s">
        <v>131</v>
      </c>
      <c r="BP187" t="s">
        <v>134</v>
      </c>
      <c r="BQ187" t="s">
        <v>131</v>
      </c>
      <c r="BS187" t="str">
        <f t="shared" si="15"/>
        <v>N/A</v>
      </c>
      <c r="BT187" t="s">
        <v>135</v>
      </c>
      <c r="BU187">
        <v>3</v>
      </c>
      <c r="BV187" t="str">
        <f>"Requires three months  of concrete construction experience."</f>
        <v>Requires three months  of concrete construction experience.</v>
      </c>
      <c r="BW187" t="s">
        <v>135</v>
      </c>
      <c r="BX187" t="str">
        <f>""</f>
        <v/>
      </c>
      <c r="BY187" t="str">
        <f>""</f>
        <v/>
      </c>
      <c r="BZ187" t="str">
        <f>""</f>
        <v/>
      </c>
      <c r="CA187" t="str">
        <f>"Must lift/carry 50 lbs., when necessary.  Saturday work required, when necessary.  Post-hire drug testing required of foreign and domestic workers upon suspicion of use."</f>
        <v>Must lift/carry 50 lbs., when necessary.  Saturday work required, when necessary.  Post-hire drug testing required of foreign and domestic workers upon suspicion of use.</v>
      </c>
      <c r="CB187" t="s">
        <v>131</v>
      </c>
      <c r="CF187" t="s">
        <v>131</v>
      </c>
      <c r="CH187" t="str">
        <f>""</f>
        <v/>
      </c>
      <c r="CI187" t="s">
        <v>131</v>
      </c>
      <c r="CK187" t="s">
        <v>131</v>
      </c>
      <c r="CL187" t="str">
        <f>""</f>
        <v/>
      </c>
      <c r="CM187" t="str">
        <f>""</f>
        <v/>
      </c>
      <c r="CN187" t="str">
        <f>""</f>
        <v/>
      </c>
      <c r="CO187" t="str">
        <f>""</f>
        <v/>
      </c>
      <c r="CP187" t="str">
        <f>"47-2061.00"</f>
        <v>47-2061.00</v>
      </c>
      <c r="CQ187" t="s">
        <v>393</v>
      </c>
      <c r="CR187" t="s">
        <v>2924</v>
      </c>
      <c r="CS187" t="s">
        <v>135</v>
      </c>
      <c r="CT187" t="s">
        <v>2925</v>
      </c>
      <c r="CU187" t="s">
        <v>14456</v>
      </c>
      <c r="CW187" t="s">
        <v>1597</v>
      </c>
      <c r="CX187" t="s">
        <v>312</v>
      </c>
      <c r="CZ187" s="3" t="str">
        <f>"15214"</f>
        <v>15214</v>
      </c>
      <c r="DA187" t="s">
        <v>135</v>
      </c>
      <c r="DB187" t="str">
        <f>"47-2061"</f>
        <v>47-2061</v>
      </c>
      <c r="DC187" t="s">
        <v>393</v>
      </c>
      <c r="DD187" t="s">
        <v>134</v>
      </c>
      <c r="DE187" t="s">
        <v>134</v>
      </c>
      <c r="DF187" t="str">
        <f>""</f>
        <v/>
      </c>
      <c r="DH187" s="6">
        <v>21.02</v>
      </c>
      <c r="DI187" t="s">
        <v>344</v>
      </c>
      <c r="DK187" t="s">
        <v>345</v>
      </c>
      <c r="DS187" s="6">
        <v>21.02</v>
      </c>
      <c r="DT187" s="2" t="s">
        <v>347</v>
      </c>
      <c r="DU187" s="1">
        <v>44350</v>
      </c>
      <c r="DV187" s="1">
        <v>44439</v>
      </c>
    </row>
    <row r="188" spans="1:126" ht="15" customHeight="1" x14ac:dyDescent="0.35">
      <c r="A188" t="s">
        <v>17333</v>
      </c>
      <c r="B188" t="s">
        <v>318</v>
      </c>
      <c r="C188" s="1">
        <v>44322</v>
      </c>
      <c r="D188" s="1">
        <v>44350</v>
      </c>
      <c r="H188" t="s">
        <v>319</v>
      </c>
      <c r="I188" t="s">
        <v>4676</v>
      </c>
      <c r="J188" t="s">
        <v>1261</v>
      </c>
      <c r="L188" t="s">
        <v>1105</v>
      </c>
      <c r="M188" t="s">
        <v>17334</v>
      </c>
      <c r="N188" t="s">
        <v>17335</v>
      </c>
      <c r="O188" t="s">
        <v>16681</v>
      </c>
      <c r="P188" t="s">
        <v>629</v>
      </c>
      <c r="Q188" s="3">
        <v>39452</v>
      </c>
      <c r="R188" t="s">
        <v>128</v>
      </c>
      <c r="T188" s="4">
        <v>16019478170</v>
      </c>
      <c r="V188" t="s">
        <v>17336</v>
      </c>
      <c r="W188" t="s">
        <v>17337</v>
      </c>
      <c r="X188" t="s">
        <v>17338</v>
      </c>
      <c r="Y188" t="s">
        <v>17334</v>
      </c>
      <c r="Z188" t="s">
        <v>17335</v>
      </c>
      <c r="AA188" t="s">
        <v>16681</v>
      </c>
      <c r="AB188" t="s">
        <v>630</v>
      </c>
      <c r="AC188" s="3" t="str">
        <f>"39452"</f>
        <v>39452</v>
      </c>
      <c r="AD188" t="s">
        <v>128</v>
      </c>
      <c r="AF188" s="4">
        <v>16019478170</v>
      </c>
      <c r="AH188" t="str">
        <f>"1153"</f>
        <v>1153</v>
      </c>
      <c r="AI188" t="s">
        <v>287</v>
      </c>
      <c r="AJ188" t="s">
        <v>4134</v>
      </c>
      <c r="AK188" t="s">
        <v>3493</v>
      </c>
      <c r="AM188" t="s">
        <v>4135</v>
      </c>
      <c r="AO188" t="s">
        <v>4136</v>
      </c>
      <c r="AP188" t="s">
        <v>643</v>
      </c>
      <c r="AQ188" s="5">
        <v>31636</v>
      </c>
      <c r="AR188" t="s">
        <v>128</v>
      </c>
      <c r="AT188" s="4">
        <v>12295596879</v>
      </c>
      <c r="AV188" t="s">
        <v>4137</v>
      </c>
      <c r="AW188" t="s">
        <v>4138</v>
      </c>
      <c r="AX188" t="s">
        <v>131</v>
      </c>
      <c r="AY188" t="s">
        <v>131</v>
      </c>
      <c r="AZ188" t="s">
        <v>131</v>
      </c>
      <c r="BA188" t="s">
        <v>131</v>
      </c>
      <c r="BB188" t="s">
        <v>131</v>
      </c>
      <c r="BC188" t="s">
        <v>131</v>
      </c>
      <c r="BD188" t="s">
        <v>131</v>
      </c>
      <c r="BE188" t="s">
        <v>132</v>
      </c>
      <c r="BH188" t="s">
        <v>8273</v>
      </c>
      <c r="BI188" t="s">
        <v>131</v>
      </c>
      <c r="BL188" t="s">
        <v>167</v>
      </c>
      <c r="BO188" t="s">
        <v>131</v>
      </c>
      <c r="BP188" t="s">
        <v>134</v>
      </c>
      <c r="BQ188" t="s">
        <v>131</v>
      </c>
      <c r="BS188" t="str">
        <f t="shared" si="15"/>
        <v>N/A</v>
      </c>
      <c r="BT188" t="s">
        <v>131</v>
      </c>
      <c r="BV188" t="str">
        <f>""</f>
        <v/>
      </c>
      <c r="BW188" t="s">
        <v>135</v>
      </c>
      <c r="BX188" t="str">
        <f>""</f>
        <v/>
      </c>
      <c r="BY188" t="str">
        <f>""</f>
        <v/>
      </c>
      <c r="BZ188" t="str">
        <f>""</f>
        <v/>
      </c>
      <c r="CA188" t="s">
        <v>17339</v>
      </c>
      <c r="CB188" t="s">
        <v>131</v>
      </c>
      <c r="CF188" t="s">
        <v>131</v>
      </c>
      <c r="CH188" t="str">
        <f>""</f>
        <v/>
      </c>
      <c r="CI188" t="s">
        <v>131</v>
      </c>
      <c r="CK188" t="s">
        <v>131</v>
      </c>
      <c r="CL188" t="str">
        <f>""</f>
        <v/>
      </c>
      <c r="CM188" t="str">
        <f>""</f>
        <v/>
      </c>
      <c r="CN188" t="str">
        <f>""</f>
        <v/>
      </c>
      <c r="CO188" t="str">
        <f>""</f>
        <v/>
      </c>
      <c r="CP188" t="str">
        <f>"45-4011.00"</f>
        <v>45-4011.00</v>
      </c>
      <c r="CQ188" t="s">
        <v>4310</v>
      </c>
      <c r="CS188" t="s">
        <v>135</v>
      </c>
      <c r="CT188" t="s">
        <v>2925</v>
      </c>
      <c r="CU188" t="s">
        <v>17340</v>
      </c>
      <c r="CW188" t="s">
        <v>16681</v>
      </c>
      <c r="CX188" t="s">
        <v>630</v>
      </c>
      <c r="CZ188" s="3" t="str">
        <f>"39452"</f>
        <v>39452</v>
      </c>
      <c r="DA188" t="s">
        <v>135</v>
      </c>
      <c r="DB188" t="str">
        <f>"45-4011"</f>
        <v>45-4011</v>
      </c>
      <c r="DC188" t="s">
        <v>4310</v>
      </c>
      <c r="DD188" t="s">
        <v>134</v>
      </c>
      <c r="DE188" t="s">
        <v>134</v>
      </c>
      <c r="DF188" t="str">
        <f>""</f>
        <v/>
      </c>
      <c r="DH188" s="6">
        <v>15.76</v>
      </c>
      <c r="DI188" t="s">
        <v>344</v>
      </c>
      <c r="DK188" t="s">
        <v>345</v>
      </c>
      <c r="DS188" s="6">
        <v>20.53</v>
      </c>
      <c r="DT188" s="2" t="s">
        <v>347</v>
      </c>
      <c r="DU188" s="1">
        <v>44350</v>
      </c>
      <c r="DV188" s="1">
        <v>44439</v>
      </c>
    </row>
    <row r="189" spans="1:126" ht="15" customHeight="1" x14ac:dyDescent="0.35">
      <c r="A189" t="s">
        <v>12861</v>
      </c>
      <c r="B189" t="s">
        <v>318</v>
      </c>
      <c r="C189" s="1">
        <v>44322</v>
      </c>
      <c r="D189" s="1">
        <v>44351</v>
      </c>
      <c r="H189" t="s">
        <v>319</v>
      </c>
      <c r="I189" t="s">
        <v>9812</v>
      </c>
      <c r="J189" t="s">
        <v>12059</v>
      </c>
      <c r="L189" t="s">
        <v>587</v>
      </c>
      <c r="M189" t="s">
        <v>12862</v>
      </c>
      <c r="O189" t="s">
        <v>11764</v>
      </c>
      <c r="P189" t="s">
        <v>144</v>
      </c>
      <c r="Q189" s="3">
        <v>98815</v>
      </c>
      <c r="R189" t="s">
        <v>128</v>
      </c>
      <c r="T189" s="4">
        <v>15097822807</v>
      </c>
      <c r="U189">
        <v>248</v>
      </c>
      <c r="V189" t="s">
        <v>1253</v>
      </c>
      <c r="W189" t="s">
        <v>12863</v>
      </c>
      <c r="Y189" t="s">
        <v>12862</v>
      </c>
      <c r="AA189" t="s">
        <v>11764</v>
      </c>
      <c r="AB189" t="s">
        <v>149</v>
      </c>
      <c r="AC189" s="3" t="str">
        <f>"98815"</f>
        <v>98815</v>
      </c>
      <c r="AD189" t="s">
        <v>128</v>
      </c>
      <c r="AF189" s="4">
        <v>15097822807</v>
      </c>
      <c r="AH189" t="str">
        <f>"424480"</f>
        <v>424480</v>
      </c>
      <c r="AI189" t="s">
        <v>287</v>
      </c>
      <c r="AJ189" t="s">
        <v>5584</v>
      </c>
      <c r="AK189" t="s">
        <v>409</v>
      </c>
      <c r="AM189" t="s">
        <v>12864</v>
      </c>
      <c r="AN189" t="s">
        <v>7716</v>
      </c>
      <c r="AO189" t="s">
        <v>5586</v>
      </c>
      <c r="AP189" t="s">
        <v>149</v>
      </c>
      <c r="AQ189" s="5">
        <v>98516</v>
      </c>
      <c r="AR189" t="s">
        <v>128</v>
      </c>
      <c r="AT189" s="4">
        <v>13604558064</v>
      </c>
      <c r="AU189">
        <v>110</v>
      </c>
      <c r="AV189" t="s">
        <v>5587</v>
      </c>
      <c r="AW189" t="s">
        <v>5588</v>
      </c>
      <c r="AX189" t="s">
        <v>131</v>
      </c>
      <c r="AY189" t="s">
        <v>131</v>
      </c>
      <c r="AZ189" t="s">
        <v>131</v>
      </c>
      <c r="BA189" t="s">
        <v>131</v>
      </c>
      <c r="BB189" t="s">
        <v>131</v>
      </c>
      <c r="BC189" t="s">
        <v>131</v>
      </c>
      <c r="BD189" t="s">
        <v>131</v>
      </c>
      <c r="BE189" t="s">
        <v>132</v>
      </c>
      <c r="BH189" t="s">
        <v>5736</v>
      </c>
      <c r="BI189" t="s">
        <v>131</v>
      </c>
      <c r="BL189" t="s">
        <v>167</v>
      </c>
      <c r="BO189" t="s">
        <v>131</v>
      </c>
      <c r="BP189" t="s">
        <v>134</v>
      </c>
      <c r="BQ189" t="s">
        <v>131</v>
      </c>
      <c r="BS189" t="str">
        <f t="shared" si="15"/>
        <v>N/A</v>
      </c>
      <c r="BT189" t="s">
        <v>131</v>
      </c>
      <c r="BV189" t="str">
        <f>""</f>
        <v/>
      </c>
      <c r="BW189" t="s">
        <v>135</v>
      </c>
      <c r="BX189" t="str">
        <f>""</f>
        <v/>
      </c>
      <c r="BY189" t="str">
        <f>""</f>
        <v/>
      </c>
      <c r="BZ189" t="str">
        <f>""</f>
        <v/>
      </c>
      <c r="CA189" s="2" t="s">
        <v>12865</v>
      </c>
      <c r="CB189" t="s">
        <v>131</v>
      </c>
      <c r="CF189" t="s">
        <v>131</v>
      </c>
      <c r="CH189" t="str">
        <f>""</f>
        <v/>
      </c>
      <c r="CI189" t="s">
        <v>131</v>
      </c>
      <c r="CK189" t="s">
        <v>131</v>
      </c>
      <c r="CL189" t="str">
        <f>""</f>
        <v/>
      </c>
      <c r="CM189" t="str">
        <f>""</f>
        <v/>
      </c>
      <c r="CN189" t="str">
        <f>""</f>
        <v/>
      </c>
      <c r="CO189" t="str">
        <f>""</f>
        <v/>
      </c>
      <c r="CP189" t="str">
        <f>"53-7064.00"</f>
        <v>53-7064.00</v>
      </c>
      <c r="CQ189" t="s">
        <v>2987</v>
      </c>
      <c r="CS189" t="s">
        <v>131</v>
      </c>
      <c r="CU189" t="s">
        <v>12866</v>
      </c>
      <c r="CW189" t="s">
        <v>11764</v>
      </c>
      <c r="CX189" t="s">
        <v>149</v>
      </c>
      <c r="CZ189" s="3" t="str">
        <f>"98815"</f>
        <v>98815</v>
      </c>
      <c r="DA189" t="s">
        <v>131</v>
      </c>
      <c r="DB189" t="str">
        <f>"53-7064"</f>
        <v>53-7064</v>
      </c>
      <c r="DC189" t="s">
        <v>2987</v>
      </c>
      <c r="DD189" t="s">
        <v>134</v>
      </c>
      <c r="DE189" t="s">
        <v>134</v>
      </c>
      <c r="DF189" t="str">
        <f>""</f>
        <v/>
      </c>
      <c r="DH189" s="6">
        <v>14.57</v>
      </c>
      <c r="DI189" t="s">
        <v>344</v>
      </c>
      <c r="DK189" t="s">
        <v>345</v>
      </c>
      <c r="DR189" t="s">
        <v>12867</v>
      </c>
      <c r="DS189" s="6">
        <v>14.57</v>
      </c>
      <c r="DT189" t="s">
        <v>424</v>
      </c>
      <c r="DU189" s="1">
        <v>44351</v>
      </c>
      <c r="DV189" s="1">
        <v>44440</v>
      </c>
    </row>
    <row r="190" spans="1:126" ht="15" customHeight="1" x14ac:dyDescent="0.35">
      <c r="A190" t="s">
        <v>1731</v>
      </c>
      <c r="B190" t="s">
        <v>318</v>
      </c>
      <c r="C190" s="1">
        <v>44322</v>
      </c>
      <c r="D190" s="1">
        <v>44350</v>
      </c>
      <c r="H190" t="s">
        <v>319</v>
      </c>
      <c r="I190" t="s">
        <v>1732</v>
      </c>
      <c r="J190" t="s">
        <v>560</v>
      </c>
      <c r="K190" t="s">
        <v>803</v>
      </c>
      <c r="L190" t="s">
        <v>130</v>
      </c>
      <c r="M190" t="s">
        <v>1733</v>
      </c>
      <c r="N190" t="s">
        <v>1734</v>
      </c>
      <c r="O190" t="s">
        <v>1735</v>
      </c>
      <c r="P190" t="s">
        <v>467</v>
      </c>
      <c r="Q190" s="3">
        <v>81658</v>
      </c>
      <c r="R190" t="s">
        <v>128</v>
      </c>
      <c r="T190" s="4">
        <v>19703066476</v>
      </c>
      <c r="V190" t="s">
        <v>1736</v>
      </c>
      <c r="W190" t="s">
        <v>1737</v>
      </c>
      <c r="X190" t="s">
        <v>1738</v>
      </c>
      <c r="Y190" t="s">
        <v>1739</v>
      </c>
      <c r="Z190" t="s">
        <v>1740</v>
      </c>
      <c r="AA190" t="s">
        <v>915</v>
      </c>
      <c r="AB190" t="s">
        <v>471</v>
      </c>
      <c r="AC190" s="3" t="str">
        <f>"81620"</f>
        <v>81620</v>
      </c>
      <c r="AD190" t="s">
        <v>128</v>
      </c>
      <c r="AF190" s="4">
        <v>19709491284</v>
      </c>
      <c r="AH190" t="str">
        <f>"722511"</f>
        <v>722511</v>
      </c>
      <c r="AI190" t="s">
        <v>130</v>
      </c>
      <c r="AJ190" t="s">
        <v>1732</v>
      </c>
      <c r="AK190" t="s">
        <v>560</v>
      </c>
      <c r="AL190" t="s">
        <v>803</v>
      </c>
      <c r="AM190" t="s">
        <v>1741</v>
      </c>
      <c r="AN190" t="s">
        <v>1742</v>
      </c>
      <c r="AO190" t="s">
        <v>1735</v>
      </c>
      <c r="AP190" t="s">
        <v>471</v>
      </c>
      <c r="AQ190" s="5">
        <v>81657</v>
      </c>
      <c r="AR190" t="s">
        <v>128</v>
      </c>
      <c r="AT190" s="4">
        <v>19703066476</v>
      </c>
      <c r="AV190" t="s">
        <v>1736</v>
      </c>
      <c r="AW190" t="s">
        <v>1743</v>
      </c>
      <c r="AX190" t="s">
        <v>131</v>
      </c>
      <c r="AY190" t="s">
        <v>131</v>
      </c>
      <c r="AZ190" t="s">
        <v>131</v>
      </c>
      <c r="BA190" t="s">
        <v>131</v>
      </c>
      <c r="BB190" t="s">
        <v>131</v>
      </c>
      <c r="BC190" t="s">
        <v>131</v>
      </c>
      <c r="BD190" t="s">
        <v>131</v>
      </c>
      <c r="BE190" t="s">
        <v>132</v>
      </c>
      <c r="BH190" t="s">
        <v>1744</v>
      </c>
      <c r="BI190" t="s">
        <v>131</v>
      </c>
      <c r="BL190" t="s">
        <v>167</v>
      </c>
      <c r="BO190" t="s">
        <v>131</v>
      </c>
      <c r="BP190" t="s">
        <v>134</v>
      </c>
      <c r="BQ190" t="s">
        <v>131</v>
      </c>
      <c r="BS190" t="str">
        <f t="shared" si="15"/>
        <v>N/A</v>
      </c>
      <c r="BT190" t="s">
        <v>135</v>
      </c>
      <c r="BU190">
        <v>3</v>
      </c>
      <c r="BV190" t="str">
        <f>"Food Preparation"</f>
        <v>Food Preparation</v>
      </c>
      <c r="BW190" t="s">
        <v>131</v>
      </c>
      <c r="BX190" t="str">
        <f>""</f>
        <v/>
      </c>
      <c r="BY190" t="str">
        <f>""</f>
        <v/>
      </c>
      <c r="BZ190" t="str">
        <f>""</f>
        <v/>
      </c>
      <c r="CA190" t="str">
        <f>""</f>
        <v/>
      </c>
      <c r="CB190" t="s">
        <v>131</v>
      </c>
      <c r="CF190" t="s">
        <v>131</v>
      </c>
      <c r="CH190" t="str">
        <f>""</f>
        <v/>
      </c>
      <c r="CI190" t="s">
        <v>131</v>
      </c>
      <c r="CK190" t="s">
        <v>131</v>
      </c>
      <c r="CL190" t="str">
        <f>""</f>
        <v/>
      </c>
      <c r="CM190" t="str">
        <f>""</f>
        <v/>
      </c>
      <c r="CN190" t="str">
        <f>""</f>
        <v/>
      </c>
      <c r="CO190" t="str">
        <f>""</f>
        <v/>
      </c>
      <c r="CP190" t="str">
        <f>"35-2014.00"</f>
        <v>35-2014.00</v>
      </c>
      <c r="CQ190" t="s">
        <v>581</v>
      </c>
      <c r="CR190" t="s">
        <v>1745</v>
      </c>
      <c r="CS190" t="s">
        <v>135</v>
      </c>
      <c r="CT190" t="s">
        <v>1746</v>
      </c>
      <c r="CU190" t="s">
        <v>1747</v>
      </c>
      <c r="CV190" t="s">
        <v>1748</v>
      </c>
      <c r="CW190" t="s">
        <v>1735</v>
      </c>
      <c r="CX190" t="s">
        <v>471</v>
      </c>
      <c r="CZ190" s="3" t="str">
        <f>"81657"</f>
        <v>81657</v>
      </c>
      <c r="DA190" t="s">
        <v>131</v>
      </c>
      <c r="DB190" t="str">
        <f>"35-2021"</f>
        <v>35-2021</v>
      </c>
      <c r="DC190" t="s">
        <v>1749</v>
      </c>
      <c r="DD190" t="s">
        <v>134</v>
      </c>
      <c r="DE190" t="s">
        <v>134</v>
      </c>
      <c r="DF190" t="str">
        <f>""</f>
        <v/>
      </c>
      <c r="DH190" s="6">
        <v>16.23</v>
      </c>
      <c r="DI190" t="s">
        <v>344</v>
      </c>
      <c r="DK190" t="s">
        <v>345</v>
      </c>
      <c r="DR190" t="s">
        <v>1750</v>
      </c>
      <c r="DS190" s="6">
        <v>16.23</v>
      </c>
      <c r="DT190" t="s">
        <v>424</v>
      </c>
      <c r="DU190" s="1">
        <v>44350</v>
      </c>
      <c r="DV190" s="1">
        <v>44439</v>
      </c>
    </row>
    <row r="191" spans="1:126" ht="15" customHeight="1" x14ac:dyDescent="0.35">
      <c r="A191" t="s">
        <v>18163</v>
      </c>
      <c r="B191" t="s">
        <v>318</v>
      </c>
      <c r="C191" s="1">
        <v>44322</v>
      </c>
      <c r="D191" s="1">
        <v>44350</v>
      </c>
      <c r="H191" t="s">
        <v>319</v>
      </c>
      <c r="I191" t="s">
        <v>10375</v>
      </c>
      <c r="J191" t="s">
        <v>10376</v>
      </c>
      <c r="L191" t="s">
        <v>1089</v>
      </c>
      <c r="M191" t="s">
        <v>18164</v>
      </c>
      <c r="O191" t="s">
        <v>1040</v>
      </c>
      <c r="P191" t="s">
        <v>412</v>
      </c>
      <c r="Q191" s="3">
        <v>78737</v>
      </c>
      <c r="R191" t="s">
        <v>128</v>
      </c>
      <c r="T191" s="4">
        <v>15129947918</v>
      </c>
      <c r="V191" t="s">
        <v>10379</v>
      </c>
      <c r="W191" t="s">
        <v>18165</v>
      </c>
      <c r="Y191" t="s">
        <v>10377</v>
      </c>
      <c r="Z191" t="s">
        <v>10378</v>
      </c>
      <c r="AA191" t="s">
        <v>1040</v>
      </c>
      <c r="AB191" t="s">
        <v>400</v>
      </c>
      <c r="AC191" s="3" t="str">
        <f>"78737"</f>
        <v>78737</v>
      </c>
      <c r="AD191" t="s">
        <v>128</v>
      </c>
      <c r="AF191" s="4">
        <v>15129947918</v>
      </c>
      <c r="AH191" t="str">
        <f>"23813"</f>
        <v>23813</v>
      </c>
      <c r="AI191" t="s">
        <v>130</v>
      </c>
      <c r="AJ191" t="s">
        <v>4018</v>
      </c>
      <c r="AK191" t="s">
        <v>2069</v>
      </c>
      <c r="AM191" t="s">
        <v>4019</v>
      </c>
      <c r="AO191" t="s">
        <v>1040</v>
      </c>
      <c r="AP191" t="s">
        <v>400</v>
      </c>
      <c r="AQ191" s="5">
        <v>78737</v>
      </c>
      <c r="AR191" t="s">
        <v>128</v>
      </c>
      <c r="AT191" s="4">
        <v>15128942128</v>
      </c>
      <c r="AV191" t="s">
        <v>4020</v>
      </c>
      <c r="AW191" t="s">
        <v>4021</v>
      </c>
      <c r="AX191" t="s">
        <v>131</v>
      </c>
      <c r="AY191" t="s">
        <v>131</v>
      </c>
      <c r="AZ191" t="s">
        <v>131</v>
      </c>
      <c r="BA191" t="s">
        <v>131</v>
      </c>
      <c r="BB191" t="s">
        <v>131</v>
      </c>
      <c r="BC191" t="s">
        <v>131</v>
      </c>
      <c r="BD191" t="s">
        <v>131</v>
      </c>
      <c r="BE191" t="s">
        <v>132</v>
      </c>
      <c r="BH191" t="s">
        <v>4045</v>
      </c>
      <c r="BI191" t="s">
        <v>131</v>
      </c>
      <c r="BL191" t="s">
        <v>167</v>
      </c>
      <c r="BO191" t="s">
        <v>131</v>
      </c>
      <c r="BP191" t="s">
        <v>134</v>
      </c>
      <c r="BQ191" t="s">
        <v>131</v>
      </c>
      <c r="BS191" t="str">
        <f t="shared" si="15"/>
        <v>N/A</v>
      </c>
      <c r="BT191" t="s">
        <v>135</v>
      </c>
      <c r="BU191">
        <v>6</v>
      </c>
      <c r="BV191" t="str">
        <f>"See F.b.5"</f>
        <v>See F.b.5</v>
      </c>
      <c r="BW191" t="s">
        <v>135</v>
      </c>
      <c r="BX191" t="str">
        <f>""</f>
        <v/>
      </c>
      <c r="BY191" t="str">
        <f>""</f>
        <v/>
      </c>
      <c r="BZ191" t="str">
        <f>""</f>
        <v/>
      </c>
      <c r="CA191" t="s">
        <v>10380</v>
      </c>
      <c r="CB191" t="s">
        <v>131</v>
      </c>
      <c r="CF191" t="s">
        <v>131</v>
      </c>
      <c r="CH191" t="str">
        <f>""</f>
        <v/>
      </c>
      <c r="CI191" t="s">
        <v>131</v>
      </c>
      <c r="CK191" t="s">
        <v>131</v>
      </c>
      <c r="CL191" t="str">
        <f>""</f>
        <v/>
      </c>
      <c r="CM191" t="str">
        <f>""</f>
        <v/>
      </c>
      <c r="CN191" t="str">
        <f>""</f>
        <v/>
      </c>
      <c r="CO191" t="str">
        <f>""</f>
        <v/>
      </c>
      <c r="CP191" t="str">
        <f>"47-2061.00"</f>
        <v>47-2061.00</v>
      </c>
      <c r="CQ191" t="s">
        <v>393</v>
      </c>
      <c r="CR191" t="s">
        <v>5117</v>
      </c>
      <c r="CS191" t="s">
        <v>135</v>
      </c>
      <c r="CT191" t="s">
        <v>18166</v>
      </c>
      <c r="CU191" t="s">
        <v>18167</v>
      </c>
      <c r="CW191" t="s">
        <v>18168</v>
      </c>
      <c r="CX191" t="s">
        <v>400</v>
      </c>
      <c r="CZ191" s="3" t="str">
        <f>"76844"</f>
        <v>76844</v>
      </c>
      <c r="DA191" t="s">
        <v>135</v>
      </c>
      <c r="DB191" t="str">
        <f>"47-2061"</f>
        <v>47-2061</v>
      </c>
      <c r="DC191" t="s">
        <v>393</v>
      </c>
      <c r="DD191" t="s">
        <v>134</v>
      </c>
      <c r="DE191" t="s">
        <v>134</v>
      </c>
      <c r="DF191" t="str">
        <f>""</f>
        <v/>
      </c>
      <c r="DH191" s="6">
        <v>15.82</v>
      </c>
      <c r="DI191" t="s">
        <v>344</v>
      </c>
      <c r="DK191" t="s">
        <v>345</v>
      </c>
      <c r="DS191" s="6">
        <v>15.82</v>
      </c>
      <c r="DT191" s="2" t="s">
        <v>347</v>
      </c>
      <c r="DU191" s="1">
        <v>44350</v>
      </c>
      <c r="DV191" s="1">
        <v>44439</v>
      </c>
    </row>
    <row r="192" spans="1:126" ht="15" customHeight="1" x14ac:dyDescent="0.35">
      <c r="A192" t="s">
        <v>19934</v>
      </c>
      <c r="B192" t="s">
        <v>318</v>
      </c>
      <c r="C192" s="1">
        <v>44323</v>
      </c>
      <c r="D192" s="1">
        <v>44350</v>
      </c>
      <c r="H192" t="s">
        <v>319</v>
      </c>
      <c r="I192" t="s">
        <v>19935</v>
      </c>
      <c r="J192" t="s">
        <v>7962</v>
      </c>
      <c r="L192" t="s">
        <v>223</v>
      </c>
      <c r="M192" t="s">
        <v>19936</v>
      </c>
      <c r="O192" t="s">
        <v>19937</v>
      </c>
      <c r="P192" t="s">
        <v>273</v>
      </c>
      <c r="Q192" s="3">
        <v>8048</v>
      </c>
      <c r="R192" t="s">
        <v>128</v>
      </c>
      <c r="T192" s="4">
        <v>16092672458</v>
      </c>
      <c r="V192" t="s">
        <v>19938</v>
      </c>
      <c r="W192" t="s">
        <v>19939</v>
      </c>
      <c r="Y192" t="s">
        <v>19936</v>
      </c>
      <c r="AA192" t="s">
        <v>19937</v>
      </c>
      <c r="AB192" t="s">
        <v>276</v>
      </c>
      <c r="AC192" s="3" t="str">
        <f>"08048"</f>
        <v>08048</v>
      </c>
      <c r="AD192" t="s">
        <v>128</v>
      </c>
      <c r="AF192" s="4">
        <v>16092672458</v>
      </c>
      <c r="AH192" t="str">
        <f>"115210"</f>
        <v>115210</v>
      </c>
      <c r="AI192" t="s">
        <v>130</v>
      </c>
      <c r="AJ192" t="s">
        <v>19940</v>
      </c>
      <c r="AK192" t="s">
        <v>7775</v>
      </c>
      <c r="AL192" t="s">
        <v>3793</v>
      </c>
      <c r="AM192" t="s">
        <v>18102</v>
      </c>
      <c r="AN192" t="s">
        <v>19941</v>
      </c>
      <c r="AO192" t="s">
        <v>18541</v>
      </c>
      <c r="AP192" t="s">
        <v>149</v>
      </c>
      <c r="AQ192" s="5">
        <v>98225</v>
      </c>
      <c r="AR192" t="s">
        <v>128</v>
      </c>
      <c r="AT192" s="4">
        <v>13607885785</v>
      </c>
      <c r="AV192" t="s">
        <v>19942</v>
      </c>
      <c r="AW192" t="s">
        <v>19943</v>
      </c>
      <c r="AX192" t="s">
        <v>131</v>
      </c>
      <c r="AY192" t="s">
        <v>131</v>
      </c>
      <c r="AZ192" t="s">
        <v>131</v>
      </c>
      <c r="BA192" t="s">
        <v>131</v>
      </c>
      <c r="BB192" t="s">
        <v>131</v>
      </c>
      <c r="BC192" t="s">
        <v>131</v>
      </c>
      <c r="BD192" t="s">
        <v>131</v>
      </c>
      <c r="BE192" t="s">
        <v>132</v>
      </c>
      <c r="BH192" t="s">
        <v>19944</v>
      </c>
      <c r="BI192" t="s">
        <v>131</v>
      </c>
      <c r="BL192" t="s">
        <v>167</v>
      </c>
      <c r="BO192" t="s">
        <v>131</v>
      </c>
      <c r="BP192" t="s">
        <v>134</v>
      </c>
      <c r="BQ192" t="s">
        <v>131</v>
      </c>
      <c r="BS192" t="str">
        <f t="shared" si="15"/>
        <v>N/A</v>
      </c>
      <c r="BT192" t="s">
        <v>135</v>
      </c>
      <c r="BU192">
        <v>3</v>
      </c>
      <c r="BV192" t="str">
        <f>"Show Horse Stable Attendant"</f>
        <v>Show Horse Stable Attendant</v>
      </c>
      <c r="BW192" t="s">
        <v>131</v>
      </c>
      <c r="BX192" t="str">
        <f>""</f>
        <v/>
      </c>
      <c r="BY192" t="str">
        <f>""</f>
        <v/>
      </c>
      <c r="BZ192" t="str">
        <f>""</f>
        <v/>
      </c>
      <c r="CA192" t="str">
        <f>""</f>
        <v/>
      </c>
      <c r="CB192" t="s">
        <v>131</v>
      </c>
      <c r="CF192" t="s">
        <v>131</v>
      </c>
      <c r="CH192" t="str">
        <f>""</f>
        <v/>
      </c>
      <c r="CI192" t="s">
        <v>131</v>
      </c>
      <c r="CK192" t="s">
        <v>131</v>
      </c>
      <c r="CL192" t="str">
        <f>""</f>
        <v/>
      </c>
      <c r="CM192" t="str">
        <f>""</f>
        <v/>
      </c>
      <c r="CN192" t="str">
        <f>""</f>
        <v/>
      </c>
      <c r="CO192" t="str">
        <f>""</f>
        <v/>
      </c>
      <c r="CP192" t="str">
        <f>"39-2021.00"</f>
        <v>39-2021.00</v>
      </c>
      <c r="CQ192" t="s">
        <v>4482</v>
      </c>
      <c r="CR192" t="s">
        <v>5757</v>
      </c>
      <c r="CS192" t="s">
        <v>131</v>
      </c>
      <c r="CU192" t="s">
        <v>19936</v>
      </c>
      <c r="CW192" t="s">
        <v>19937</v>
      </c>
      <c r="CX192" t="s">
        <v>276</v>
      </c>
      <c r="CZ192" s="3" t="str">
        <f>"08048"</f>
        <v>08048</v>
      </c>
      <c r="DA192" t="s">
        <v>131</v>
      </c>
      <c r="DB192" t="str">
        <f>"39-2021"</f>
        <v>39-2021</v>
      </c>
      <c r="DC192" t="s">
        <v>4482</v>
      </c>
      <c r="DD192" t="s">
        <v>134</v>
      </c>
      <c r="DE192" t="s">
        <v>134</v>
      </c>
      <c r="DF192" t="str">
        <f>""</f>
        <v/>
      </c>
      <c r="DH192" s="6">
        <v>13.72</v>
      </c>
      <c r="DI192" t="s">
        <v>344</v>
      </c>
      <c r="DK192" t="s">
        <v>345</v>
      </c>
      <c r="DS192" s="6">
        <v>13.72</v>
      </c>
      <c r="DT192" t="s">
        <v>424</v>
      </c>
      <c r="DU192" s="1">
        <v>44350</v>
      </c>
      <c r="DV192" s="1">
        <v>44439</v>
      </c>
    </row>
    <row r="193" spans="1:126" ht="15" customHeight="1" x14ac:dyDescent="0.35">
      <c r="A193" t="s">
        <v>9734</v>
      </c>
      <c r="B193" t="s">
        <v>318</v>
      </c>
      <c r="C193" s="1">
        <v>44323</v>
      </c>
      <c r="D193" s="1">
        <v>44350</v>
      </c>
      <c r="H193" t="s">
        <v>319</v>
      </c>
      <c r="I193" t="s">
        <v>9735</v>
      </c>
      <c r="J193" t="s">
        <v>9736</v>
      </c>
      <c r="L193" t="s">
        <v>9737</v>
      </c>
      <c r="M193" t="s">
        <v>9738</v>
      </c>
      <c r="O193" t="s">
        <v>9739</v>
      </c>
      <c r="P193" t="s">
        <v>826</v>
      </c>
      <c r="Q193" s="3">
        <v>20774</v>
      </c>
      <c r="R193" t="s">
        <v>128</v>
      </c>
      <c r="T193" s="4">
        <v>12402104278</v>
      </c>
      <c r="V193" t="s">
        <v>9740</v>
      </c>
      <c r="W193" t="s">
        <v>9741</v>
      </c>
      <c r="Y193" t="s">
        <v>9738</v>
      </c>
      <c r="AA193" t="s">
        <v>9739</v>
      </c>
      <c r="AB193" t="s">
        <v>382</v>
      </c>
      <c r="AC193" s="3" t="str">
        <f>"20774"</f>
        <v>20774</v>
      </c>
      <c r="AD193" t="s">
        <v>128</v>
      </c>
      <c r="AF193" s="4">
        <v>12402104278</v>
      </c>
      <c r="AH193" t="str">
        <f>"62441"</f>
        <v>62441</v>
      </c>
      <c r="AI193" t="s">
        <v>167</v>
      </c>
      <c r="AX193" t="s">
        <v>131</v>
      </c>
      <c r="AY193" t="s">
        <v>131</v>
      </c>
      <c r="AZ193" t="s">
        <v>131</v>
      </c>
      <c r="BA193" t="s">
        <v>131</v>
      </c>
      <c r="BB193" t="s">
        <v>131</v>
      </c>
      <c r="BC193" t="s">
        <v>131</v>
      </c>
      <c r="BD193" t="s">
        <v>131</v>
      </c>
      <c r="BE193" t="s">
        <v>132</v>
      </c>
      <c r="BH193" t="s">
        <v>2109</v>
      </c>
      <c r="BI193" t="s">
        <v>131</v>
      </c>
      <c r="BL193" t="s">
        <v>401</v>
      </c>
      <c r="BO193" t="s">
        <v>131</v>
      </c>
      <c r="BP193" t="s">
        <v>134</v>
      </c>
      <c r="BQ193" t="s">
        <v>135</v>
      </c>
      <c r="BR193">
        <v>3</v>
      </c>
      <c r="BS193" t="str">
        <f>"Infant care certificate, 
Childcare training, 
Early Childhood Education Training "</f>
        <v xml:space="preserve">Infant care certificate, 
Childcare training, 
Early Childhood Education Training </v>
      </c>
      <c r="BT193" t="s">
        <v>135</v>
      </c>
      <c r="BU193">
        <v>12</v>
      </c>
      <c r="BV193" t="str">
        <f>"Nanny; early childhood education teacher/aid; daycare worker"</f>
        <v>Nanny; early childhood education teacher/aid; daycare worker</v>
      </c>
      <c r="BW193" t="s">
        <v>135</v>
      </c>
      <c r="BX193" t="str">
        <f>"Infant Care Certificate 
CPR Training 
Driver’s License 
"</f>
        <v xml:space="preserve">Infant Care Certificate 
CPR Training 
Driver’s License 
</v>
      </c>
      <c r="BY193" t="str">
        <f>""</f>
        <v/>
      </c>
      <c r="BZ193" t="str">
        <f>""</f>
        <v/>
      </c>
      <c r="CA193" t="str">
        <f>""</f>
        <v/>
      </c>
      <c r="CB193" t="s">
        <v>131</v>
      </c>
      <c r="CF193" t="s">
        <v>131</v>
      </c>
      <c r="CH193" t="str">
        <f>""</f>
        <v/>
      </c>
      <c r="CI193" t="s">
        <v>131</v>
      </c>
      <c r="CK193" t="s">
        <v>131</v>
      </c>
      <c r="CL193" t="str">
        <f>""</f>
        <v/>
      </c>
      <c r="CM193" t="str">
        <f>""</f>
        <v/>
      </c>
      <c r="CN193" t="str">
        <f>""</f>
        <v/>
      </c>
      <c r="CO193" t="str">
        <f>""</f>
        <v/>
      </c>
      <c r="CP193" t="str">
        <f>"39-9011.01"</f>
        <v>39-9011.01</v>
      </c>
      <c r="CQ193" t="s">
        <v>339</v>
      </c>
      <c r="CR193" t="s">
        <v>2109</v>
      </c>
      <c r="CS193" t="s">
        <v>131</v>
      </c>
      <c r="CU193" t="s">
        <v>9738</v>
      </c>
      <c r="CW193" t="s">
        <v>9739</v>
      </c>
      <c r="CX193" t="s">
        <v>382</v>
      </c>
      <c r="CZ193" s="3" t="str">
        <f>"20774"</f>
        <v>20774</v>
      </c>
      <c r="DA193" t="s">
        <v>131</v>
      </c>
      <c r="DB193" t="str">
        <f>"39-9011"</f>
        <v>39-9011</v>
      </c>
      <c r="DC193" t="s">
        <v>342</v>
      </c>
      <c r="DD193" t="s">
        <v>343</v>
      </c>
      <c r="DE193" t="s">
        <v>339</v>
      </c>
      <c r="DF193" t="str">
        <f>""</f>
        <v/>
      </c>
      <c r="DH193" s="6">
        <v>14.2</v>
      </c>
      <c r="DI193" t="s">
        <v>344</v>
      </c>
      <c r="DK193" t="s">
        <v>345</v>
      </c>
      <c r="DR193" t="s">
        <v>9742</v>
      </c>
      <c r="DS193" s="6">
        <v>14.2</v>
      </c>
      <c r="DT193" t="s">
        <v>424</v>
      </c>
      <c r="DU193" s="1">
        <v>44350</v>
      </c>
      <c r="DV193" s="1">
        <v>44439</v>
      </c>
    </row>
    <row r="194" spans="1:126" ht="15" customHeight="1" x14ac:dyDescent="0.35">
      <c r="A194" t="s">
        <v>9000</v>
      </c>
      <c r="B194" t="s">
        <v>318</v>
      </c>
      <c r="C194" s="1">
        <v>44323</v>
      </c>
      <c r="D194" s="1">
        <v>44351</v>
      </c>
      <c r="H194" t="s">
        <v>319</v>
      </c>
      <c r="I194" t="s">
        <v>9001</v>
      </c>
      <c r="J194" t="s">
        <v>9002</v>
      </c>
      <c r="L194" t="s">
        <v>9003</v>
      </c>
      <c r="M194" t="s">
        <v>9004</v>
      </c>
      <c r="O194" t="s">
        <v>9005</v>
      </c>
      <c r="P194" t="s">
        <v>256</v>
      </c>
      <c r="Q194" s="3">
        <v>63362</v>
      </c>
      <c r="R194" t="s">
        <v>128</v>
      </c>
      <c r="T194" s="4">
        <v>16369807255</v>
      </c>
      <c r="V194" t="s">
        <v>134</v>
      </c>
      <c r="W194" t="s">
        <v>9006</v>
      </c>
      <c r="Y194" t="s">
        <v>9004</v>
      </c>
      <c r="AA194" t="s">
        <v>9005</v>
      </c>
      <c r="AB194" t="s">
        <v>258</v>
      </c>
      <c r="AC194" s="3" t="str">
        <f>"63362"</f>
        <v>63362</v>
      </c>
      <c r="AD194" t="s">
        <v>128</v>
      </c>
      <c r="AF194" s="4">
        <v>16369807255</v>
      </c>
      <c r="AH194" t="str">
        <f>"56173"</f>
        <v>56173</v>
      </c>
      <c r="AI194" t="s">
        <v>287</v>
      </c>
      <c r="AJ194" t="s">
        <v>3916</v>
      </c>
      <c r="AK194" t="s">
        <v>1225</v>
      </c>
      <c r="AL194" t="s">
        <v>589</v>
      </c>
      <c r="AM194" t="s">
        <v>3917</v>
      </c>
      <c r="AO194" t="s">
        <v>1513</v>
      </c>
      <c r="AP194" t="s">
        <v>400</v>
      </c>
      <c r="AQ194" s="5">
        <v>75231</v>
      </c>
      <c r="AR194" t="s">
        <v>128</v>
      </c>
      <c r="AT194" s="4">
        <v>12145265665</v>
      </c>
      <c r="AV194" t="s">
        <v>3918</v>
      </c>
      <c r="AW194" t="s">
        <v>3919</v>
      </c>
      <c r="AX194" t="s">
        <v>131</v>
      </c>
      <c r="AY194" t="s">
        <v>131</v>
      </c>
      <c r="AZ194" t="s">
        <v>131</v>
      </c>
      <c r="BA194" t="s">
        <v>131</v>
      </c>
      <c r="BB194" t="s">
        <v>131</v>
      </c>
      <c r="BC194" t="s">
        <v>131</v>
      </c>
      <c r="BD194" t="s">
        <v>131</v>
      </c>
      <c r="BE194" t="s">
        <v>132</v>
      </c>
      <c r="BH194" t="s">
        <v>2215</v>
      </c>
      <c r="BI194" t="s">
        <v>131</v>
      </c>
      <c r="BL194" t="s">
        <v>167</v>
      </c>
      <c r="BO194" t="s">
        <v>131</v>
      </c>
      <c r="BP194" t="s">
        <v>134</v>
      </c>
      <c r="BQ194" t="s">
        <v>131</v>
      </c>
      <c r="BS194" t="str">
        <f t="shared" ref="BS194:BS257" si="16">"N/A"</f>
        <v>N/A</v>
      </c>
      <c r="BT194" t="s">
        <v>131</v>
      </c>
      <c r="BV194" t="str">
        <f>""</f>
        <v/>
      </c>
      <c r="BW194" t="s">
        <v>135</v>
      </c>
      <c r="BX194" t="str">
        <f>""</f>
        <v/>
      </c>
      <c r="BY194" t="str">
        <f>""</f>
        <v/>
      </c>
      <c r="BZ194" t="str">
        <f>""</f>
        <v/>
      </c>
      <c r="CA194" t="str">
        <f>"Must be able to lift 50 lbs &amp; work in adverse weather conditions."</f>
        <v>Must be able to lift 50 lbs &amp; work in adverse weather conditions.</v>
      </c>
      <c r="CB194" t="s">
        <v>131</v>
      </c>
      <c r="CF194" t="s">
        <v>131</v>
      </c>
      <c r="CH194" t="str">
        <f>""</f>
        <v/>
      </c>
      <c r="CI194" t="s">
        <v>131</v>
      </c>
      <c r="CK194" t="s">
        <v>131</v>
      </c>
      <c r="CL194" t="str">
        <f>""</f>
        <v/>
      </c>
      <c r="CM194" t="str">
        <f>""</f>
        <v/>
      </c>
      <c r="CN194" t="str">
        <f>""</f>
        <v/>
      </c>
      <c r="CO194" t="str">
        <f>""</f>
        <v/>
      </c>
      <c r="CP194" t="str">
        <f>"37-3011.00"</f>
        <v>37-3011.00</v>
      </c>
      <c r="CQ194" t="s">
        <v>920</v>
      </c>
      <c r="CS194" t="s">
        <v>131</v>
      </c>
      <c r="CU194" t="s">
        <v>9007</v>
      </c>
      <c r="CW194" t="s">
        <v>9005</v>
      </c>
      <c r="CX194" t="s">
        <v>258</v>
      </c>
      <c r="CZ194" s="3" t="str">
        <f>"63362"</f>
        <v>63362</v>
      </c>
      <c r="DA194" t="s">
        <v>135</v>
      </c>
      <c r="DB194" t="str">
        <f>"37-3011"</f>
        <v>37-3011</v>
      </c>
      <c r="DC194" t="s">
        <v>920</v>
      </c>
      <c r="DD194" t="s">
        <v>134</v>
      </c>
      <c r="DE194" t="s">
        <v>134</v>
      </c>
      <c r="DF194" t="str">
        <f>""</f>
        <v/>
      </c>
      <c r="DH194" s="6">
        <v>15.37</v>
      </c>
      <c r="DI194" t="s">
        <v>344</v>
      </c>
      <c r="DK194" t="s">
        <v>345</v>
      </c>
      <c r="DR194" t="s">
        <v>4139</v>
      </c>
      <c r="DS194" s="6">
        <v>15.37</v>
      </c>
      <c r="DT194" t="s">
        <v>424</v>
      </c>
      <c r="DU194" s="1">
        <v>44351</v>
      </c>
      <c r="DV194" s="1">
        <v>44440</v>
      </c>
    </row>
    <row r="195" spans="1:126" ht="15" customHeight="1" x14ac:dyDescent="0.35">
      <c r="A195" t="s">
        <v>12402</v>
      </c>
      <c r="B195" t="s">
        <v>318</v>
      </c>
      <c r="C195" s="1">
        <v>44323</v>
      </c>
      <c r="D195" s="1">
        <v>44350</v>
      </c>
      <c r="H195" t="s">
        <v>319</v>
      </c>
      <c r="I195" t="s">
        <v>12403</v>
      </c>
      <c r="J195" t="s">
        <v>718</v>
      </c>
      <c r="L195" t="s">
        <v>395</v>
      </c>
      <c r="M195" t="s">
        <v>12404</v>
      </c>
      <c r="O195" t="s">
        <v>12405</v>
      </c>
      <c r="P195" t="s">
        <v>720</v>
      </c>
      <c r="Q195" s="3">
        <v>2151</v>
      </c>
      <c r="R195" t="s">
        <v>128</v>
      </c>
      <c r="T195" s="4">
        <v>18573127609</v>
      </c>
      <c r="V195" t="s">
        <v>12406</v>
      </c>
      <c r="W195" t="s">
        <v>12407</v>
      </c>
      <c r="Y195" t="s">
        <v>12404</v>
      </c>
      <c r="AA195" t="s">
        <v>12405</v>
      </c>
      <c r="AB195" t="s">
        <v>377</v>
      </c>
      <c r="AC195" s="3" t="str">
        <f>"02152"</f>
        <v>02152</v>
      </c>
      <c r="AD195" t="s">
        <v>128</v>
      </c>
      <c r="AF195" s="4">
        <v>18573127609</v>
      </c>
      <c r="AH195" t="str">
        <f>"236116"</f>
        <v>236116</v>
      </c>
      <c r="AI195" t="s">
        <v>130</v>
      </c>
      <c r="AJ195" t="s">
        <v>4806</v>
      </c>
      <c r="AK195" t="s">
        <v>12408</v>
      </c>
      <c r="AM195" t="s">
        <v>12409</v>
      </c>
      <c r="AO195" t="s">
        <v>12410</v>
      </c>
      <c r="AP195" t="s">
        <v>377</v>
      </c>
      <c r="AQ195" s="5">
        <v>2151</v>
      </c>
      <c r="AR195" t="s">
        <v>128</v>
      </c>
      <c r="AT195" s="4">
        <v>17812896200</v>
      </c>
      <c r="AV195" t="s">
        <v>12411</v>
      </c>
      <c r="AW195" t="s">
        <v>12412</v>
      </c>
      <c r="AX195" t="s">
        <v>131</v>
      </c>
      <c r="AY195" t="s">
        <v>131</v>
      </c>
      <c r="AZ195" t="s">
        <v>131</v>
      </c>
      <c r="BA195" t="s">
        <v>131</v>
      </c>
      <c r="BB195" t="s">
        <v>131</v>
      </c>
      <c r="BC195" t="s">
        <v>131</v>
      </c>
      <c r="BD195" t="s">
        <v>131</v>
      </c>
      <c r="BE195" t="s">
        <v>132</v>
      </c>
      <c r="BH195" t="s">
        <v>12413</v>
      </c>
      <c r="BI195" t="s">
        <v>131</v>
      </c>
      <c r="BL195" t="s">
        <v>401</v>
      </c>
      <c r="BO195" t="s">
        <v>131</v>
      </c>
      <c r="BP195" t="s">
        <v>134</v>
      </c>
      <c r="BQ195" t="s">
        <v>131</v>
      </c>
      <c r="BS195" t="str">
        <f t="shared" si="16"/>
        <v>N/A</v>
      </c>
      <c r="BT195" t="s">
        <v>131</v>
      </c>
      <c r="BV195" t="str">
        <f>""</f>
        <v/>
      </c>
      <c r="BW195" t="s">
        <v>131</v>
      </c>
      <c r="BX195" t="str">
        <f>""</f>
        <v/>
      </c>
      <c r="BY195" t="str">
        <f>""</f>
        <v/>
      </c>
      <c r="BZ195" t="str">
        <f>""</f>
        <v/>
      </c>
      <c r="CA195" t="str">
        <f>""</f>
        <v/>
      </c>
      <c r="CB195" t="s">
        <v>131</v>
      </c>
      <c r="CF195" t="s">
        <v>131</v>
      </c>
      <c r="CH195" t="str">
        <f>""</f>
        <v/>
      </c>
      <c r="CI195" t="s">
        <v>131</v>
      </c>
      <c r="CK195" t="s">
        <v>131</v>
      </c>
      <c r="CL195" t="str">
        <f>""</f>
        <v/>
      </c>
      <c r="CM195" t="str">
        <f>""</f>
        <v/>
      </c>
      <c r="CN195" t="str">
        <f>""</f>
        <v/>
      </c>
      <c r="CO195" t="str">
        <f>""</f>
        <v/>
      </c>
      <c r="CP195" t="str">
        <f>"29-9011.00"</f>
        <v>29-9011.00</v>
      </c>
      <c r="CQ195" t="s">
        <v>8859</v>
      </c>
      <c r="CR195" t="s">
        <v>460</v>
      </c>
      <c r="CS195" t="s">
        <v>131</v>
      </c>
      <c r="CU195" t="s">
        <v>12414</v>
      </c>
      <c r="CW195" t="s">
        <v>12405</v>
      </c>
      <c r="CX195" t="s">
        <v>377</v>
      </c>
      <c r="CZ195" s="3" t="str">
        <f>"02152"</f>
        <v>02152</v>
      </c>
      <c r="DA195" t="s">
        <v>131</v>
      </c>
      <c r="DB195" t="str">
        <f>"29-9011"</f>
        <v>29-9011</v>
      </c>
      <c r="DC195" t="s">
        <v>8859</v>
      </c>
      <c r="DD195" t="s">
        <v>134</v>
      </c>
      <c r="DE195" t="s">
        <v>134</v>
      </c>
      <c r="DF195" t="str">
        <f>""</f>
        <v/>
      </c>
      <c r="DH195" s="6">
        <v>43.78</v>
      </c>
      <c r="DI195" t="s">
        <v>344</v>
      </c>
      <c r="DK195" t="s">
        <v>345</v>
      </c>
      <c r="DR195" t="s">
        <v>7504</v>
      </c>
      <c r="DS195" s="6">
        <v>43.78</v>
      </c>
      <c r="DT195" t="s">
        <v>424</v>
      </c>
      <c r="DU195" s="1">
        <v>44350</v>
      </c>
      <c r="DV195" s="1">
        <v>44439</v>
      </c>
    </row>
    <row r="196" spans="1:126" ht="15" customHeight="1" x14ac:dyDescent="0.35">
      <c r="A196" t="s">
        <v>10168</v>
      </c>
      <c r="B196" t="s">
        <v>318</v>
      </c>
      <c r="C196" s="1">
        <v>44323</v>
      </c>
      <c r="D196" s="1">
        <v>44351</v>
      </c>
      <c r="H196" t="s">
        <v>319</v>
      </c>
      <c r="I196" t="s">
        <v>10169</v>
      </c>
      <c r="J196" t="s">
        <v>10170</v>
      </c>
      <c r="L196" t="s">
        <v>1105</v>
      </c>
      <c r="M196" t="s">
        <v>10171</v>
      </c>
      <c r="O196" t="s">
        <v>10172</v>
      </c>
      <c r="P196" t="s">
        <v>412</v>
      </c>
      <c r="Q196" s="3">
        <v>75115</v>
      </c>
      <c r="R196" t="s">
        <v>128</v>
      </c>
      <c r="T196" s="4">
        <v>12146890497</v>
      </c>
      <c r="V196" t="s">
        <v>10173</v>
      </c>
      <c r="W196" t="s">
        <v>10174</v>
      </c>
      <c r="Y196" t="s">
        <v>10171</v>
      </c>
      <c r="AA196" t="s">
        <v>10172</v>
      </c>
      <c r="AB196" t="s">
        <v>400</v>
      </c>
      <c r="AC196" s="3" t="str">
        <f>"75115"</f>
        <v>75115</v>
      </c>
      <c r="AD196" t="s">
        <v>128</v>
      </c>
      <c r="AF196" s="4">
        <v>12146890497</v>
      </c>
      <c r="AH196" t="str">
        <f>"56173"</f>
        <v>56173</v>
      </c>
      <c r="AI196" t="s">
        <v>167</v>
      </c>
      <c r="AX196" t="s">
        <v>131</v>
      </c>
      <c r="AY196" t="s">
        <v>131</v>
      </c>
      <c r="AZ196" t="s">
        <v>131</v>
      </c>
      <c r="BA196" t="s">
        <v>131</v>
      </c>
      <c r="BB196" t="s">
        <v>131</v>
      </c>
      <c r="BC196" t="s">
        <v>131</v>
      </c>
      <c r="BD196" t="s">
        <v>131</v>
      </c>
      <c r="BE196" t="s">
        <v>132</v>
      </c>
      <c r="BH196" t="s">
        <v>2215</v>
      </c>
      <c r="BI196" t="s">
        <v>131</v>
      </c>
      <c r="BL196" t="s">
        <v>167</v>
      </c>
      <c r="BO196" t="s">
        <v>131</v>
      </c>
      <c r="BP196" t="s">
        <v>134</v>
      </c>
      <c r="BQ196" t="s">
        <v>131</v>
      </c>
      <c r="BS196" t="str">
        <f t="shared" si="16"/>
        <v>N/A</v>
      </c>
      <c r="BT196" t="s">
        <v>131</v>
      </c>
      <c r="BV196" t="str">
        <f>""</f>
        <v/>
      </c>
      <c r="BW196" t="s">
        <v>135</v>
      </c>
      <c r="BX196" t="str">
        <f>""</f>
        <v/>
      </c>
      <c r="BY196" t="str">
        <f>""</f>
        <v/>
      </c>
      <c r="BZ196" t="str">
        <f>""</f>
        <v/>
      </c>
      <c r="CA196" t="str">
        <f>"Must be able to lift 50 lbs, work in adverse weather conditions &amp; pass a post-employment drug test paid by employer."</f>
        <v>Must be able to lift 50 lbs, work in adverse weather conditions &amp; pass a post-employment drug test paid by employer.</v>
      </c>
      <c r="CB196" t="s">
        <v>131</v>
      </c>
      <c r="CF196" t="s">
        <v>131</v>
      </c>
      <c r="CH196" t="str">
        <f>""</f>
        <v/>
      </c>
      <c r="CI196" t="s">
        <v>131</v>
      </c>
      <c r="CK196" t="s">
        <v>131</v>
      </c>
      <c r="CL196" t="str">
        <f>""</f>
        <v/>
      </c>
      <c r="CM196" t="str">
        <f>""</f>
        <v/>
      </c>
      <c r="CN196" t="str">
        <f>""</f>
        <v/>
      </c>
      <c r="CO196" t="str">
        <f>""</f>
        <v/>
      </c>
      <c r="CP196" t="str">
        <f>"37-3011.00"</f>
        <v>37-3011.00</v>
      </c>
      <c r="CQ196" t="s">
        <v>920</v>
      </c>
      <c r="CR196" t="s">
        <v>3086</v>
      </c>
      <c r="CS196" t="s">
        <v>131</v>
      </c>
      <c r="CU196" t="s">
        <v>10175</v>
      </c>
      <c r="CW196" t="s">
        <v>399</v>
      </c>
      <c r="CX196" t="s">
        <v>400</v>
      </c>
      <c r="CZ196" s="3" t="str">
        <f>"75212"</f>
        <v>75212</v>
      </c>
      <c r="DA196" t="s">
        <v>135</v>
      </c>
      <c r="DB196" t="str">
        <f>"37-3011"</f>
        <v>37-3011</v>
      </c>
      <c r="DC196" t="s">
        <v>920</v>
      </c>
      <c r="DD196" t="s">
        <v>134</v>
      </c>
      <c r="DE196" t="s">
        <v>134</v>
      </c>
      <c r="DF196" t="str">
        <f>""</f>
        <v/>
      </c>
      <c r="DH196" s="6">
        <v>15.23</v>
      </c>
      <c r="DI196" t="s">
        <v>344</v>
      </c>
      <c r="DK196" t="s">
        <v>345</v>
      </c>
      <c r="DR196" t="s">
        <v>423</v>
      </c>
      <c r="DS196" s="6">
        <v>15.23</v>
      </c>
      <c r="DT196" t="s">
        <v>424</v>
      </c>
      <c r="DU196" s="1">
        <v>44351</v>
      </c>
      <c r="DV196" s="1">
        <v>44440</v>
      </c>
    </row>
    <row r="197" spans="1:126" ht="15" customHeight="1" x14ac:dyDescent="0.35">
      <c r="A197" t="s">
        <v>19146</v>
      </c>
      <c r="B197" t="s">
        <v>318</v>
      </c>
      <c r="C197" s="1">
        <v>44323</v>
      </c>
      <c r="D197" s="1">
        <v>44351</v>
      </c>
      <c r="H197" t="s">
        <v>319</v>
      </c>
      <c r="I197" t="s">
        <v>14582</v>
      </c>
      <c r="J197" t="s">
        <v>618</v>
      </c>
      <c r="L197" t="s">
        <v>1105</v>
      </c>
      <c r="M197" t="s">
        <v>19147</v>
      </c>
      <c r="O197" t="s">
        <v>2163</v>
      </c>
      <c r="P197" t="s">
        <v>1760</v>
      </c>
      <c r="Q197" s="3">
        <v>71106</v>
      </c>
      <c r="R197" t="s">
        <v>128</v>
      </c>
      <c r="T197" s="4">
        <v>13182183868</v>
      </c>
      <c r="V197" t="s">
        <v>134</v>
      </c>
      <c r="W197" t="s">
        <v>14584</v>
      </c>
      <c r="Y197" t="s">
        <v>14583</v>
      </c>
      <c r="AA197" t="s">
        <v>2163</v>
      </c>
      <c r="AB197" t="s">
        <v>1763</v>
      </c>
      <c r="AC197" s="3" t="str">
        <f>"71106"</f>
        <v>71106</v>
      </c>
      <c r="AD197" t="s">
        <v>128</v>
      </c>
      <c r="AF197" s="4">
        <v>13182183868</v>
      </c>
      <c r="AH197" t="str">
        <f>"5617"</f>
        <v>5617</v>
      </c>
      <c r="AI197" t="s">
        <v>287</v>
      </c>
      <c r="AJ197" t="s">
        <v>783</v>
      </c>
      <c r="AK197" t="s">
        <v>813</v>
      </c>
      <c r="AM197" t="s">
        <v>3825</v>
      </c>
      <c r="AO197" t="s">
        <v>899</v>
      </c>
      <c r="AP197" t="s">
        <v>400</v>
      </c>
      <c r="AQ197" s="5">
        <v>76002</v>
      </c>
      <c r="AR197" t="s">
        <v>128</v>
      </c>
      <c r="AT197" s="4">
        <v>12143367997</v>
      </c>
      <c r="AV197" t="s">
        <v>3826</v>
      </c>
      <c r="AW197" t="s">
        <v>3827</v>
      </c>
      <c r="AX197" t="s">
        <v>131</v>
      </c>
      <c r="AY197" t="s">
        <v>131</v>
      </c>
      <c r="AZ197" t="s">
        <v>131</v>
      </c>
      <c r="BA197" t="s">
        <v>131</v>
      </c>
      <c r="BB197" t="s">
        <v>131</v>
      </c>
      <c r="BC197" t="s">
        <v>131</v>
      </c>
      <c r="BD197" t="s">
        <v>131</v>
      </c>
      <c r="BE197" t="s">
        <v>132</v>
      </c>
      <c r="BH197" t="s">
        <v>2215</v>
      </c>
      <c r="BI197" t="s">
        <v>131</v>
      </c>
      <c r="BL197" t="s">
        <v>167</v>
      </c>
      <c r="BO197" t="s">
        <v>131</v>
      </c>
      <c r="BP197" t="s">
        <v>134</v>
      </c>
      <c r="BQ197" t="s">
        <v>131</v>
      </c>
      <c r="BS197" t="str">
        <f t="shared" si="16"/>
        <v>N/A</v>
      </c>
      <c r="BT197" t="s">
        <v>131</v>
      </c>
      <c r="BV197" t="str">
        <f>""</f>
        <v/>
      </c>
      <c r="BW197" t="s">
        <v>135</v>
      </c>
      <c r="BX197" t="str">
        <f>""</f>
        <v/>
      </c>
      <c r="BY197" t="str">
        <f>""</f>
        <v/>
      </c>
      <c r="BZ197" t="str">
        <f>""</f>
        <v/>
      </c>
      <c r="CA197" t="str">
        <f>"Must be able to lift 50 lbs, work in adverse weather conditions &amp; pass a pre-employment drug test paid by employer"</f>
        <v>Must be able to lift 50 lbs, work in adverse weather conditions &amp; pass a pre-employment drug test paid by employer</v>
      </c>
      <c r="CB197" t="s">
        <v>131</v>
      </c>
      <c r="CF197" t="s">
        <v>131</v>
      </c>
      <c r="CH197" t="str">
        <f>""</f>
        <v/>
      </c>
      <c r="CI197" t="s">
        <v>131</v>
      </c>
      <c r="CK197" t="s">
        <v>131</v>
      </c>
      <c r="CL197" t="str">
        <f>""</f>
        <v/>
      </c>
      <c r="CM197" t="str">
        <f>""</f>
        <v/>
      </c>
      <c r="CN197" t="str">
        <f>""</f>
        <v/>
      </c>
      <c r="CO197" t="str">
        <f>""</f>
        <v/>
      </c>
      <c r="CP197" t="str">
        <f>"37-3011.00"</f>
        <v>37-3011.00</v>
      </c>
      <c r="CQ197" t="s">
        <v>920</v>
      </c>
      <c r="CR197" t="s">
        <v>3086</v>
      </c>
      <c r="CS197" t="s">
        <v>131</v>
      </c>
      <c r="CU197" t="s">
        <v>14583</v>
      </c>
      <c r="CW197" t="s">
        <v>2163</v>
      </c>
      <c r="CX197" t="s">
        <v>1763</v>
      </c>
      <c r="CZ197" s="3" t="str">
        <f>"71106"</f>
        <v>71106</v>
      </c>
      <c r="DA197" t="s">
        <v>135</v>
      </c>
      <c r="DB197" t="str">
        <f>"37-3011"</f>
        <v>37-3011</v>
      </c>
      <c r="DC197" t="s">
        <v>920</v>
      </c>
      <c r="DD197" t="s">
        <v>134</v>
      </c>
      <c r="DE197" t="s">
        <v>134</v>
      </c>
      <c r="DF197" t="str">
        <f>""</f>
        <v/>
      </c>
      <c r="DH197" s="6">
        <v>14.21</v>
      </c>
      <c r="DI197" t="s">
        <v>344</v>
      </c>
      <c r="DK197" t="s">
        <v>345</v>
      </c>
      <c r="DR197" t="s">
        <v>3829</v>
      </c>
      <c r="DS197" s="6">
        <v>14.21</v>
      </c>
      <c r="DT197" t="s">
        <v>424</v>
      </c>
      <c r="DU197" s="1">
        <v>44351</v>
      </c>
      <c r="DV197" s="1">
        <v>44440</v>
      </c>
    </row>
    <row r="198" spans="1:126" ht="15" customHeight="1" x14ac:dyDescent="0.35">
      <c r="A198" t="s">
        <v>3821</v>
      </c>
      <c r="B198" t="s">
        <v>318</v>
      </c>
      <c r="C198" s="1">
        <v>44323</v>
      </c>
      <c r="D198" s="1">
        <v>44351</v>
      </c>
      <c r="H198" t="s">
        <v>319</v>
      </c>
      <c r="I198" t="s">
        <v>3822</v>
      </c>
      <c r="J198" t="s">
        <v>1116</v>
      </c>
      <c r="L198" t="s">
        <v>1105</v>
      </c>
      <c r="M198" t="s">
        <v>3823</v>
      </c>
      <c r="O198" t="s">
        <v>2163</v>
      </c>
      <c r="P198" t="s">
        <v>1760</v>
      </c>
      <c r="Q198" s="3">
        <v>71106</v>
      </c>
      <c r="R198" t="s">
        <v>128</v>
      </c>
      <c r="T198" s="4">
        <v>13186065877</v>
      </c>
      <c r="V198" t="s">
        <v>134</v>
      </c>
      <c r="W198" t="s">
        <v>3824</v>
      </c>
      <c r="Y198" t="s">
        <v>3823</v>
      </c>
      <c r="AA198" t="s">
        <v>2163</v>
      </c>
      <c r="AB198" t="s">
        <v>1763</v>
      </c>
      <c r="AC198" s="3" t="str">
        <f>"71106"</f>
        <v>71106</v>
      </c>
      <c r="AD198" t="s">
        <v>128</v>
      </c>
      <c r="AF198" s="4">
        <v>13186065877</v>
      </c>
      <c r="AH198" t="str">
        <f>"5617"</f>
        <v>5617</v>
      </c>
      <c r="AI198" t="s">
        <v>287</v>
      </c>
      <c r="AJ198" t="s">
        <v>783</v>
      </c>
      <c r="AK198" t="s">
        <v>813</v>
      </c>
      <c r="AM198" t="s">
        <v>3825</v>
      </c>
      <c r="AO198" t="s">
        <v>899</v>
      </c>
      <c r="AP198" t="s">
        <v>400</v>
      </c>
      <c r="AQ198" s="5">
        <v>76002</v>
      </c>
      <c r="AR198" t="s">
        <v>128</v>
      </c>
      <c r="AT198" s="4">
        <v>12143367997</v>
      </c>
      <c r="AV198" t="s">
        <v>3826</v>
      </c>
      <c r="AW198" t="s">
        <v>3827</v>
      </c>
      <c r="AX198" t="s">
        <v>131</v>
      </c>
      <c r="AY198" t="s">
        <v>131</v>
      </c>
      <c r="AZ198" t="s">
        <v>131</v>
      </c>
      <c r="BA198" t="s">
        <v>131</v>
      </c>
      <c r="BB198" t="s">
        <v>131</v>
      </c>
      <c r="BC198" t="s">
        <v>131</v>
      </c>
      <c r="BD198" t="s">
        <v>131</v>
      </c>
      <c r="BE198" t="s">
        <v>132</v>
      </c>
      <c r="BH198" t="s">
        <v>2215</v>
      </c>
      <c r="BI198" t="s">
        <v>131</v>
      </c>
      <c r="BL198" t="s">
        <v>167</v>
      </c>
      <c r="BO198" t="s">
        <v>131</v>
      </c>
      <c r="BP198" t="s">
        <v>134</v>
      </c>
      <c r="BQ198" t="s">
        <v>131</v>
      </c>
      <c r="BS198" t="str">
        <f t="shared" si="16"/>
        <v>N/A</v>
      </c>
      <c r="BT198" t="s">
        <v>131</v>
      </c>
      <c r="BV198" t="str">
        <f>""</f>
        <v/>
      </c>
      <c r="BW198" t="s">
        <v>135</v>
      </c>
      <c r="BX198" t="str">
        <f>""</f>
        <v/>
      </c>
      <c r="BY198" t="str">
        <f>""</f>
        <v/>
      </c>
      <c r="BZ198" t="str">
        <f>""</f>
        <v/>
      </c>
      <c r="CA198" t="str">
        <f>"Must be able to lift 50 lbs, work in adverse weather conditions &amp; pass pre-employment drug test paid by employer."</f>
        <v>Must be able to lift 50 lbs, work in adverse weather conditions &amp; pass pre-employment drug test paid by employer.</v>
      </c>
      <c r="CB198" t="s">
        <v>131</v>
      </c>
      <c r="CF198" t="s">
        <v>131</v>
      </c>
      <c r="CH198" t="str">
        <f>""</f>
        <v/>
      </c>
      <c r="CI198" t="s">
        <v>131</v>
      </c>
      <c r="CK198" t="s">
        <v>131</v>
      </c>
      <c r="CL198" t="str">
        <f>""</f>
        <v/>
      </c>
      <c r="CM198" t="str">
        <f>""</f>
        <v/>
      </c>
      <c r="CN198" t="str">
        <f>""</f>
        <v/>
      </c>
      <c r="CO198" t="str">
        <f>""</f>
        <v/>
      </c>
      <c r="CP198" t="str">
        <f>"37-3011.00"</f>
        <v>37-3011.00</v>
      </c>
      <c r="CQ198" t="s">
        <v>920</v>
      </c>
      <c r="CR198" t="s">
        <v>3086</v>
      </c>
      <c r="CS198" t="s">
        <v>131</v>
      </c>
      <c r="CU198" t="s">
        <v>3823</v>
      </c>
      <c r="CW198" t="s">
        <v>3828</v>
      </c>
      <c r="CX198" t="s">
        <v>1763</v>
      </c>
      <c r="CZ198" s="3" t="str">
        <f>"71106"</f>
        <v>71106</v>
      </c>
      <c r="DA198" t="s">
        <v>135</v>
      </c>
      <c r="DB198" t="str">
        <f>"37-3011"</f>
        <v>37-3011</v>
      </c>
      <c r="DC198" t="s">
        <v>920</v>
      </c>
      <c r="DD198" t="s">
        <v>134</v>
      </c>
      <c r="DE198" t="s">
        <v>134</v>
      </c>
      <c r="DF198" t="str">
        <f>""</f>
        <v/>
      </c>
      <c r="DH198" s="6">
        <v>14.21</v>
      </c>
      <c r="DI198" t="s">
        <v>344</v>
      </c>
      <c r="DK198" t="s">
        <v>345</v>
      </c>
      <c r="DR198" t="s">
        <v>3829</v>
      </c>
      <c r="DS198" s="6">
        <v>14.21</v>
      </c>
      <c r="DT198" t="s">
        <v>424</v>
      </c>
      <c r="DU198" s="1">
        <v>44351</v>
      </c>
      <c r="DV198" s="1">
        <v>44440</v>
      </c>
    </row>
    <row r="199" spans="1:126" ht="15" customHeight="1" x14ac:dyDescent="0.35">
      <c r="A199" t="s">
        <v>17453</v>
      </c>
      <c r="B199" t="s">
        <v>318</v>
      </c>
      <c r="C199" s="1">
        <v>44323</v>
      </c>
      <c r="D199" s="1">
        <v>44350</v>
      </c>
      <c r="H199" t="s">
        <v>319</v>
      </c>
      <c r="I199" t="s">
        <v>14736</v>
      </c>
      <c r="J199" t="s">
        <v>1157</v>
      </c>
      <c r="L199" t="s">
        <v>1105</v>
      </c>
      <c r="M199" t="s">
        <v>17454</v>
      </c>
      <c r="O199" t="s">
        <v>2847</v>
      </c>
      <c r="P199" t="s">
        <v>2848</v>
      </c>
      <c r="Q199" s="3">
        <v>3062</v>
      </c>
      <c r="R199" t="s">
        <v>128</v>
      </c>
      <c r="T199" s="4">
        <v>16032331637</v>
      </c>
      <c r="V199" t="s">
        <v>134</v>
      </c>
      <c r="W199" t="s">
        <v>17455</v>
      </c>
      <c r="Y199" t="s">
        <v>17454</v>
      </c>
      <c r="AA199" t="s">
        <v>2847</v>
      </c>
      <c r="AB199" t="s">
        <v>2849</v>
      </c>
      <c r="AC199" s="3" t="str">
        <f>"03062"</f>
        <v>03062</v>
      </c>
      <c r="AD199" t="s">
        <v>128</v>
      </c>
      <c r="AF199" s="4">
        <v>16032331637</v>
      </c>
      <c r="AH199" t="str">
        <f>"56173"</f>
        <v>56173</v>
      </c>
      <c r="AI199" t="s">
        <v>287</v>
      </c>
      <c r="AJ199" t="s">
        <v>2917</v>
      </c>
      <c r="AK199" t="s">
        <v>2918</v>
      </c>
      <c r="AM199" t="s">
        <v>3772</v>
      </c>
      <c r="AO199" t="s">
        <v>3773</v>
      </c>
      <c r="AP199" t="s">
        <v>306</v>
      </c>
      <c r="AQ199" s="5">
        <v>22903</v>
      </c>
      <c r="AR199" t="s">
        <v>128</v>
      </c>
      <c r="AT199" s="4">
        <v>14342634300</v>
      </c>
      <c r="AV199" t="s">
        <v>3774</v>
      </c>
      <c r="AW199" t="s">
        <v>2923</v>
      </c>
      <c r="AX199" t="s">
        <v>131</v>
      </c>
      <c r="AY199" t="s">
        <v>131</v>
      </c>
      <c r="AZ199" t="s">
        <v>131</v>
      </c>
      <c r="BA199" t="s">
        <v>131</v>
      </c>
      <c r="BB199" t="s">
        <v>131</v>
      </c>
      <c r="BC199" t="s">
        <v>131</v>
      </c>
      <c r="BD199" t="s">
        <v>131</v>
      </c>
      <c r="BE199" t="s">
        <v>132</v>
      </c>
      <c r="BH199" t="s">
        <v>3780</v>
      </c>
      <c r="BI199" t="s">
        <v>131</v>
      </c>
      <c r="BL199" t="s">
        <v>167</v>
      </c>
      <c r="BO199" t="s">
        <v>131</v>
      </c>
      <c r="BP199" t="s">
        <v>134</v>
      </c>
      <c r="BQ199" t="s">
        <v>131</v>
      </c>
      <c r="BS199" t="str">
        <f t="shared" si="16"/>
        <v>N/A</v>
      </c>
      <c r="BT199" t="s">
        <v>131</v>
      </c>
      <c r="BV199" t="str">
        <f>""</f>
        <v/>
      </c>
      <c r="BW199" t="s">
        <v>135</v>
      </c>
      <c r="BX199" t="str">
        <f>""</f>
        <v/>
      </c>
      <c r="BY199" t="str">
        <f>""</f>
        <v/>
      </c>
      <c r="BZ199" t="str">
        <f>""</f>
        <v/>
      </c>
      <c r="CA199" t="str">
        <f>"Saturday and Sunday work required when necessary. Must lift/carry 50 lbs when necessary.  Post-hire random drug testing required for both domestic and foreign workers."</f>
        <v>Saturday and Sunday work required when necessary. Must lift/carry 50 lbs when necessary.  Post-hire random drug testing required for both domestic and foreign workers.</v>
      </c>
      <c r="CB199" t="s">
        <v>131</v>
      </c>
      <c r="CF199" t="s">
        <v>131</v>
      </c>
      <c r="CH199" t="str">
        <f>""</f>
        <v/>
      </c>
      <c r="CI199" t="s">
        <v>131</v>
      </c>
      <c r="CK199" t="s">
        <v>131</v>
      </c>
      <c r="CL199" t="str">
        <f>""</f>
        <v/>
      </c>
      <c r="CM199" t="str">
        <f>""</f>
        <v/>
      </c>
      <c r="CN199" t="str">
        <f>""</f>
        <v/>
      </c>
      <c r="CO199" t="str">
        <f>""</f>
        <v/>
      </c>
      <c r="CP199" t="str">
        <f>"37-3011.00"</f>
        <v>37-3011.00</v>
      </c>
      <c r="CQ199" t="s">
        <v>920</v>
      </c>
      <c r="CR199" t="s">
        <v>2924</v>
      </c>
      <c r="CS199" t="s">
        <v>135</v>
      </c>
      <c r="CT199" t="s">
        <v>2925</v>
      </c>
      <c r="CU199" t="s">
        <v>17456</v>
      </c>
      <c r="CW199" t="s">
        <v>2847</v>
      </c>
      <c r="CX199" t="s">
        <v>2849</v>
      </c>
      <c r="CZ199" s="3" t="str">
        <f>"03062"</f>
        <v>03062</v>
      </c>
      <c r="DA199" t="s">
        <v>135</v>
      </c>
      <c r="DB199" t="str">
        <f>"37-3011"</f>
        <v>37-3011</v>
      </c>
      <c r="DC199" t="s">
        <v>920</v>
      </c>
      <c r="DD199" t="s">
        <v>134</v>
      </c>
      <c r="DE199" t="s">
        <v>134</v>
      </c>
      <c r="DF199" t="str">
        <f>""</f>
        <v/>
      </c>
      <c r="DH199" s="6">
        <v>16.27</v>
      </c>
      <c r="DI199" t="s">
        <v>344</v>
      </c>
      <c r="DK199" t="s">
        <v>345</v>
      </c>
      <c r="DS199" s="6">
        <v>19.079999999999998</v>
      </c>
      <c r="DT199" s="2" t="s">
        <v>347</v>
      </c>
      <c r="DU199" s="1">
        <v>44350</v>
      </c>
      <c r="DV199" s="1">
        <v>44439</v>
      </c>
    </row>
    <row r="200" spans="1:126" ht="15" customHeight="1" x14ac:dyDescent="0.35">
      <c r="A200" t="s">
        <v>5379</v>
      </c>
      <c r="B200" t="s">
        <v>318</v>
      </c>
      <c r="C200" s="1">
        <v>44323</v>
      </c>
      <c r="D200" s="1">
        <v>44350</v>
      </c>
      <c r="H200" t="s">
        <v>319</v>
      </c>
      <c r="I200" t="s">
        <v>5380</v>
      </c>
      <c r="J200" t="s">
        <v>3804</v>
      </c>
      <c r="L200" t="s">
        <v>583</v>
      </c>
      <c r="M200" t="s">
        <v>5381</v>
      </c>
      <c r="O200" t="s">
        <v>3192</v>
      </c>
      <c r="P200" t="s">
        <v>507</v>
      </c>
      <c r="Q200" s="3">
        <v>48855</v>
      </c>
      <c r="R200" t="s">
        <v>128</v>
      </c>
      <c r="T200" s="4">
        <v>15175486755</v>
      </c>
      <c r="V200" t="s">
        <v>134</v>
      </c>
      <c r="W200" t="s">
        <v>5382</v>
      </c>
      <c r="Y200" t="s">
        <v>5383</v>
      </c>
      <c r="AA200" t="s">
        <v>5384</v>
      </c>
      <c r="AB200" t="s">
        <v>511</v>
      </c>
      <c r="AC200" s="3" t="str">
        <f>"48855"</f>
        <v>48855</v>
      </c>
      <c r="AD200" t="s">
        <v>128</v>
      </c>
      <c r="AF200" s="4">
        <v>15175486755</v>
      </c>
      <c r="AH200" t="str">
        <f>"33131"</f>
        <v>33131</v>
      </c>
      <c r="AI200" t="s">
        <v>287</v>
      </c>
      <c r="AJ200" t="s">
        <v>2917</v>
      </c>
      <c r="AK200" t="s">
        <v>2918</v>
      </c>
      <c r="AL200" t="s">
        <v>387</v>
      </c>
      <c r="AM200" t="s">
        <v>3772</v>
      </c>
      <c r="AO200" t="s">
        <v>3773</v>
      </c>
      <c r="AP200" t="s">
        <v>306</v>
      </c>
      <c r="AQ200" s="5">
        <v>22903</v>
      </c>
      <c r="AR200" t="s">
        <v>128</v>
      </c>
      <c r="AT200" s="4">
        <v>14342634300</v>
      </c>
      <c r="AV200" t="s">
        <v>5385</v>
      </c>
      <c r="AW200" t="s">
        <v>5386</v>
      </c>
      <c r="AX200" t="s">
        <v>131</v>
      </c>
      <c r="AY200" t="s">
        <v>131</v>
      </c>
      <c r="AZ200" t="s">
        <v>131</v>
      </c>
      <c r="BA200" t="s">
        <v>131</v>
      </c>
      <c r="BB200" t="s">
        <v>131</v>
      </c>
      <c r="BC200" t="s">
        <v>131</v>
      </c>
      <c r="BD200" t="s">
        <v>131</v>
      </c>
      <c r="BE200" t="s">
        <v>132</v>
      </c>
      <c r="BH200" t="s">
        <v>5387</v>
      </c>
      <c r="BI200" t="s">
        <v>131</v>
      </c>
      <c r="BL200" t="s">
        <v>167</v>
      </c>
      <c r="BO200" t="s">
        <v>131</v>
      </c>
      <c r="BP200" t="s">
        <v>134</v>
      </c>
      <c r="BQ200" t="s">
        <v>131</v>
      </c>
      <c r="BS200" t="str">
        <f t="shared" si="16"/>
        <v>N/A</v>
      </c>
      <c r="BT200" t="s">
        <v>131</v>
      </c>
      <c r="BV200" t="str">
        <f>""</f>
        <v/>
      </c>
      <c r="BW200" t="s">
        <v>135</v>
      </c>
      <c r="BX200" t="str">
        <f>""</f>
        <v/>
      </c>
      <c r="BY200" t="str">
        <f>""</f>
        <v/>
      </c>
      <c r="BZ200" t="str">
        <f>""</f>
        <v/>
      </c>
      <c r="CA200" t="str">
        <f>"Must lift/carry 50 lbs., when necessary.  Saturday and Sunday work required, when necessary.  Employer-paid drug test required of foreign and domestic workers prior to commencing work."</f>
        <v>Must lift/carry 50 lbs., when necessary.  Saturday and Sunday work required, when necessary.  Employer-paid drug test required of foreign and domestic workers prior to commencing work.</v>
      </c>
      <c r="CB200" t="s">
        <v>131</v>
      </c>
      <c r="CF200" t="s">
        <v>131</v>
      </c>
      <c r="CH200" t="str">
        <f>""</f>
        <v/>
      </c>
      <c r="CI200" t="s">
        <v>131</v>
      </c>
      <c r="CK200" t="s">
        <v>131</v>
      </c>
      <c r="CL200" t="str">
        <f>""</f>
        <v/>
      </c>
      <c r="CM200" t="str">
        <f>""</f>
        <v/>
      </c>
      <c r="CN200" t="str">
        <f>""</f>
        <v/>
      </c>
      <c r="CO200" t="str">
        <f>""</f>
        <v/>
      </c>
      <c r="CP200" t="str">
        <f>"51-9198.00"</f>
        <v>51-9198.00</v>
      </c>
      <c r="CQ200" t="s">
        <v>2685</v>
      </c>
      <c r="CR200" t="s">
        <v>5388</v>
      </c>
      <c r="CS200" t="s">
        <v>131</v>
      </c>
      <c r="CU200" t="s">
        <v>5389</v>
      </c>
      <c r="CW200" t="s">
        <v>3192</v>
      </c>
      <c r="CX200" t="s">
        <v>511</v>
      </c>
      <c r="CZ200" s="3" t="str">
        <f>"48855"</f>
        <v>48855</v>
      </c>
      <c r="DA200" t="s">
        <v>131</v>
      </c>
      <c r="DB200" t="str">
        <f>"51-9198"</f>
        <v>51-9198</v>
      </c>
      <c r="DC200" t="s">
        <v>2685</v>
      </c>
      <c r="DD200" t="s">
        <v>134</v>
      </c>
      <c r="DE200" t="s">
        <v>134</v>
      </c>
      <c r="DF200" t="str">
        <f>""</f>
        <v/>
      </c>
      <c r="DH200" s="6">
        <v>14.69</v>
      </c>
      <c r="DI200" t="s">
        <v>344</v>
      </c>
      <c r="DK200" t="s">
        <v>345</v>
      </c>
      <c r="DS200" s="6">
        <v>14.69</v>
      </c>
      <c r="DT200" t="s">
        <v>424</v>
      </c>
      <c r="DU200" s="1">
        <v>44350</v>
      </c>
      <c r="DV200" s="1">
        <v>44439</v>
      </c>
    </row>
    <row r="201" spans="1:126" ht="15" customHeight="1" x14ac:dyDescent="0.35">
      <c r="A201" t="s">
        <v>19752</v>
      </c>
      <c r="B201" t="s">
        <v>318</v>
      </c>
      <c r="C201" s="1">
        <v>44323</v>
      </c>
      <c r="D201" s="1">
        <v>44350</v>
      </c>
      <c r="H201" t="s">
        <v>319</v>
      </c>
      <c r="I201" t="s">
        <v>19753</v>
      </c>
      <c r="J201" t="s">
        <v>313</v>
      </c>
      <c r="K201" t="s">
        <v>2128</v>
      </c>
      <c r="L201" t="s">
        <v>395</v>
      </c>
      <c r="M201" t="s">
        <v>19754</v>
      </c>
      <c r="O201" t="s">
        <v>4895</v>
      </c>
      <c r="P201" t="s">
        <v>588</v>
      </c>
      <c r="Q201" s="3">
        <v>23457</v>
      </c>
      <c r="R201" t="s">
        <v>128</v>
      </c>
      <c r="T201" s="4">
        <v>17574262787</v>
      </c>
      <c r="V201" t="s">
        <v>134</v>
      </c>
      <c r="W201" t="s">
        <v>19755</v>
      </c>
      <c r="Y201" t="s">
        <v>19754</v>
      </c>
      <c r="AA201" t="s">
        <v>4895</v>
      </c>
      <c r="AB201" t="s">
        <v>306</v>
      </c>
      <c r="AC201" s="3" t="str">
        <f>"23457"</f>
        <v>23457</v>
      </c>
      <c r="AD201" t="s">
        <v>128</v>
      </c>
      <c r="AF201" s="4">
        <v>17574262787</v>
      </c>
      <c r="AH201" t="str">
        <f>"56173"</f>
        <v>56173</v>
      </c>
      <c r="AI201" t="s">
        <v>287</v>
      </c>
      <c r="AJ201" t="s">
        <v>2917</v>
      </c>
      <c r="AK201" t="s">
        <v>2918</v>
      </c>
      <c r="AM201" t="s">
        <v>15872</v>
      </c>
      <c r="AO201" t="s">
        <v>3773</v>
      </c>
      <c r="AP201" t="s">
        <v>306</v>
      </c>
      <c r="AQ201" s="5">
        <v>22903</v>
      </c>
      <c r="AR201" t="s">
        <v>128</v>
      </c>
      <c r="AT201" s="4">
        <v>14342634300</v>
      </c>
      <c r="AV201" t="s">
        <v>9074</v>
      </c>
      <c r="AW201" t="s">
        <v>2923</v>
      </c>
      <c r="AX201" t="s">
        <v>131</v>
      </c>
      <c r="AY201" t="s">
        <v>131</v>
      </c>
      <c r="AZ201" t="s">
        <v>131</v>
      </c>
      <c r="BA201" t="s">
        <v>131</v>
      </c>
      <c r="BB201" t="s">
        <v>131</v>
      </c>
      <c r="BC201" t="s">
        <v>131</v>
      </c>
      <c r="BD201" t="s">
        <v>131</v>
      </c>
      <c r="BE201" t="s">
        <v>132</v>
      </c>
      <c r="BH201" t="s">
        <v>2215</v>
      </c>
      <c r="BI201" t="s">
        <v>131</v>
      </c>
      <c r="BL201" t="s">
        <v>167</v>
      </c>
      <c r="BO201" t="s">
        <v>131</v>
      </c>
      <c r="BP201" t="s">
        <v>134</v>
      </c>
      <c r="BQ201" t="s">
        <v>131</v>
      </c>
      <c r="BS201" t="str">
        <f t="shared" si="16"/>
        <v>N/A</v>
      </c>
      <c r="BT201" t="s">
        <v>131</v>
      </c>
      <c r="BV201" t="str">
        <f>""</f>
        <v/>
      </c>
      <c r="BW201" t="s">
        <v>135</v>
      </c>
      <c r="BX201" t="str">
        <f>""</f>
        <v/>
      </c>
      <c r="BY201" t="str">
        <f>""</f>
        <v/>
      </c>
      <c r="BZ201" t="str">
        <f>""</f>
        <v/>
      </c>
      <c r="CA201" t="str">
        <f>"Must lift/carry 50 lbs., when necessary.  Saturday and Sunday work required, when necessary.  Post-hire random, post-accident and upon suspicion of use drug testing required of foreign and domestic workers."</f>
        <v>Must lift/carry 50 lbs., when necessary.  Saturday and Sunday work required, when necessary.  Post-hire random, post-accident and upon suspicion of use drug testing required of foreign and domestic workers.</v>
      </c>
      <c r="CB201" t="s">
        <v>131</v>
      </c>
      <c r="CF201" t="s">
        <v>131</v>
      </c>
      <c r="CH201" t="str">
        <f>""</f>
        <v/>
      </c>
      <c r="CI201" t="s">
        <v>131</v>
      </c>
      <c r="CK201" t="s">
        <v>131</v>
      </c>
      <c r="CL201" t="str">
        <f>""</f>
        <v/>
      </c>
      <c r="CM201" t="str">
        <f>""</f>
        <v/>
      </c>
      <c r="CN201" t="str">
        <f>""</f>
        <v/>
      </c>
      <c r="CO201" t="str">
        <f>""</f>
        <v/>
      </c>
      <c r="CP201" t="str">
        <f>"37-3011.00"</f>
        <v>37-3011.00</v>
      </c>
      <c r="CQ201" t="s">
        <v>920</v>
      </c>
      <c r="CR201" t="s">
        <v>2924</v>
      </c>
      <c r="CS201" t="s">
        <v>135</v>
      </c>
      <c r="CT201" t="s">
        <v>2925</v>
      </c>
      <c r="CU201" t="s">
        <v>19754</v>
      </c>
      <c r="CW201" t="s">
        <v>4895</v>
      </c>
      <c r="CX201" t="s">
        <v>306</v>
      </c>
      <c r="CZ201" s="3" t="str">
        <f>"23457"</f>
        <v>23457</v>
      </c>
      <c r="DA201" t="s">
        <v>135</v>
      </c>
      <c r="DB201" t="str">
        <f>"37-3011"</f>
        <v>37-3011</v>
      </c>
      <c r="DC201" t="s">
        <v>920</v>
      </c>
      <c r="DD201" t="s">
        <v>134</v>
      </c>
      <c r="DE201" t="s">
        <v>134</v>
      </c>
      <c r="DF201" t="str">
        <f>""</f>
        <v/>
      </c>
      <c r="DH201" s="6">
        <v>13.3</v>
      </c>
      <c r="DI201" t="s">
        <v>344</v>
      </c>
      <c r="DK201" t="s">
        <v>345</v>
      </c>
      <c r="DS201" s="6">
        <v>13.3</v>
      </c>
      <c r="DT201" s="2" t="s">
        <v>347</v>
      </c>
      <c r="DU201" s="1">
        <v>44350</v>
      </c>
      <c r="DV201" s="1">
        <v>44439</v>
      </c>
    </row>
    <row r="202" spans="1:126" ht="15" customHeight="1" x14ac:dyDescent="0.35">
      <c r="A202" t="s">
        <v>9069</v>
      </c>
      <c r="B202" t="s">
        <v>318</v>
      </c>
      <c r="C202" s="1">
        <v>44323</v>
      </c>
      <c r="D202" s="1">
        <v>44350</v>
      </c>
      <c r="H202" t="s">
        <v>319</v>
      </c>
      <c r="I202" t="s">
        <v>645</v>
      </c>
      <c r="J202" t="s">
        <v>1623</v>
      </c>
      <c r="L202" t="s">
        <v>6879</v>
      </c>
      <c r="M202" t="s">
        <v>9070</v>
      </c>
      <c r="O202" t="s">
        <v>6236</v>
      </c>
      <c r="P202" t="s">
        <v>507</v>
      </c>
      <c r="Q202" s="3">
        <v>48309</v>
      </c>
      <c r="R202" t="s">
        <v>128</v>
      </c>
      <c r="T202" s="4">
        <v>12488448888</v>
      </c>
      <c r="V202" t="s">
        <v>134</v>
      </c>
      <c r="W202" t="s">
        <v>9071</v>
      </c>
      <c r="X202" t="s">
        <v>9072</v>
      </c>
      <c r="Y202" t="s">
        <v>9070</v>
      </c>
      <c r="AA202" t="s">
        <v>6236</v>
      </c>
      <c r="AB202" t="s">
        <v>511</v>
      </c>
      <c r="AC202" s="3" t="str">
        <f>"48309"</f>
        <v>48309</v>
      </c>
      <c r="AD202" t="s">
        <v>128</v>
      </c>
      <c r="AF202" s="4">
        <v>12488448888</v>
      </c>
      <c r="AH202" t="str">
        <f>"23832"</f>
        <v>23832</v>
      </c>
      <c r="AI202" t="s">
        <v>287</v>
      </c>
      <c r="AJ202" t="s">
        <v>2917</v>
      </c>
      <c r="AK202" t="s">
        <v>2918</v>
      </c>
      <c r="AM202" t="s">
        <v>9073</v>
      </c>
      <c r="AO202" t="s">
        <v>3773</v>
      </c>
      <c r="AP202" t="s">
        <v>306</v>
      </c>
      <c r="AQ202" s="5">
        <v>22949</v>
      </c>
      <c r="AR202" t="s">
        <v>128</v>
      </c>
      <c r="AT202" s="4">
        <v>14342634300</v>
      </c>
      <c r="AV202" t="s">
        <v>9074</v>
      </c>
      <c r="AW202" t="s">
        <v>2923</v>
      </c>
      <c r="AX202" t="s">
        <v>131</v>
      </c>
      <c r="AY202" t="s">
        <v>131</v>
      </c>
      <c r="AZ202" t="s">
        <v>131</v>
      </c>
      <c r="BA202" t="s">
        <v>131</v>
      </c>
      <c r="BB202" t="s">
        <v>131</v>
      </c>
      <c r="BC202" t="s">
        <v>131</v>
      </c>
      <c r="BD202" t="s">
        <v>131</v>
      </c>
      <c r="BE202" t="s">
        <v>132</v>
      </c>
      <c r="BH202" t="s">
        <v>2053</v>
      </c>
      <c r="BI202" t="s">
        <v>131</v>
      </c>
      <c r="BL202" t="s">
        <v>167</v>
      </c>
      <c r="BO202" t="s">
        <v>131</v>
      </c>
      <c r="BP202" t="s">
        <v>134</v>
      </c>
      <c r="BQ202" t="s">
        <v>131</v>
      </c>
      <c r="BS202" t="str">
        <f t="shared" si="16"/>
        <v>N/A</v>
      </c>
      <c r="BT202" t="s">
        <v>131</v>
      </c>
      <c r="BV202" t="str">
        <f>""</f>
        <v/>
      </c>
      <c r="BW202" t="s">
        <v>135</v>
      </c>
      <c r="BX202" t="str">
        <f>""</f>
        <v/>
      </c>
      <c r="BY202" t="str">
        <f>""</f>
        <v/>
      </c>
      <c r="BZ202" t="str">
        <f>""</f>
        <v/>
      </c>
      <c r="CA202" t="str">
        <f>"Must lift/carry 50 lbs., when necessary. Work on ladders and roofs.  Saturday and Sunday work required, when necessary."</f>
        <v>Must lift/carry 50 lbs., when necessary. Work on ladders and roofs.  Saturday and Sunday work required, when necessary.</v>
      </c>
      <c r="CB202" t="s">
        <v>131</v>
      </c>
      <c r="CF202" t="s">
        <v>131</v>
      </c>
      <c r="CH202" t="str">
        <f>""</f>
        <v/>
      </c>
      <c r="CI202" t="s">
        <v>131</v>
      </c>
      <c r="CK202" t="s">
        <v>131</v>
      </c>
      <c r="CL202" t="str">
        <f>""</f>
        <v/>
      </c>
      <c r="CM202" t="str">
        <f>""</f>
        <v/>
      </c>
      <c r="CN202" t="str">
        <f>""</f>
        <v/>
      </c>
      <c r="CO202" t="str">
        <f>""</f>
        <v/>
      </c>
      <c r="CP202" t="str">
        <f>"47-2141.00"</f>
        <v>47-2141.00</v>
      </c>
      <c r="CQ202" t="s">
        <v>1273</v>
      </c>
      <c r="CR202" t="s">
        <v>2924</v>
      </c>
      <c r="CS202" t="s">
        <v>135</v>
      </c>
      <c r="CT202" t="s">
        <v>2925</v>
      </c>
      <c r="CU202" t="s">
        <v>9075</v>
      </c>
      <c r="CW202" t="s">
        <v>6236</v>
      </c>
      <c r="CX202" t="s">
        <v>511</v>
      </c>
      <c r="CZ202" s="3" t="str">
        <f>"48309"</f>
        <v>48309</v>
      </c>
      <c r="DA202" t="s">
        <v>135</v>
      </c>
      <c r="DB202" t="str">
        <f>"47-2141"</f>
        <v>47-2141</v>
      </c>
      <c r="DC202" t="s">
        <v>1273</v>
      </c>
      <c r="DD202" t="s">
        <v>134</v>
      </c>
      <c r="DE202" t="s">
        <v>134</v>
      </c>
      <c r="DF202" t="str">
        <f>""</f>
        <v/>
      </c>
      <c r="DH202" s="6">
        <v>20.239999999999998</v>
      </c>
      <c r="DI202" t="s">
        <v>344</v>
      </c>
      <c r="DK202" t="s">
        <v>345</v>
      </c>
      <c r="DS202" s="6">
        <v>20.239999999999998</v>
      </c>
      <c r="DT202" s="2" t="s">
        <v>347</v>
      </c>
      <c r="DU202" s="1">
        <v>44350</v>
      </c>
      <c r="DV202" s="1">
        <v>44439</v>
      </c>
    </row>
    <row r="203" spans="1:126" ht="15" customHeight="1" x14ac:dyDescent="0.35">
      <c r="A203" t="s">
        <v>15942</v>
      </c>
      <c r="B203" t="s">
        <v>318</v>
      </c>
      <c r="C203" s="1">
        <v>44323</v>
      </c>
      <c r="D203" s="1">
        <v>44354</v>
      </c>
      <c r="H203" t="s">
        <v>319</v>
      </c>
      <c r="I203" t="s">
        <v>15943</v>
      </c>
      <c r="J203" t="s">
        <v>4999</v>
      </c>
      <c r="L203" t="s">
        <v>1281</v>
      </c>
      <c r="M203" t="s">
        <v>15944</v>
      </c>
      <c r="N203" t="s">
        <v>15945</v>
      </c>
      <c r="O203" t="s">
        <v>15946</v>
      </c>
      <c r="P203" t="s">
        <v>441</v>
      </c>
      <c r="Q203" s="3">
        <v>44133</v>
      </c>
      <c r="R203" t="s">
        <v>128</v>
      </c>
      <c r="T203" s="4">
        <v>12165514395</v>
      </c>
      <c r="V203" t="s">
        <v>134</v>
      </c>
      <c r="W203" t="s">
        <v>15947</v>
      </c>
      <c r="Y203" t="s">
        <v>15944</v>
      </c>
      <c r="Z203" t="s">
        <v>15945</v>
      </c>
      <c r="AA203" t="s">
        <v>15946</v>
      </c>
      <c r="AB203" t="s">
        <v>444</v>
      </c>
      <c r="AC203" s="3" t="str">
        <f>"44133"</f>
        <v>44133</v>
      </c>
      <c r="AD203" t="s">
        <v>128</v>
      </c>
      <c r="AF203" s="4">
        <v>12165514395</v>
      </c>
      <c r="AH203" t="str">
        <f>"56173"</f>
        <v>56173</v>
      </c>
      <c r="AI203" t="s">
        <v>287</v>
      </c>
      <c r="AJ203" t="s">
        <v>2917</v>
      </c>
      <c r="AK203" t="s">
        <v>2918</v>
      </c>
      <c r="AM203" t="s">
        <v>15872</v>
      </c>
      <c r="AO203" t="s">
        <v>3773</v>
      </c>
      <c r="AP203" t="s">
        <v>306</v>
      </c>
      <c r="AQ203" s="5">
        <v>22903</v>
      </c>
      <c r="AR203" t="s">
        <v>128</v>
      </c>
      <c r="AT203" s="4">
        <v>14342634300</v>
      </c>
      <c r="AV203" t="s">
        <v>9074</v>
      </c>
      <c r="AW203" t="s">
        <v>2923</v>
      </c>
      <c r="AX203" t="s">
        <v>131</v>
      </c>
      <c r="AY203" t="s">
        <v>131</v>
      </c>
      <c r="AZ203" t="s">
        <v>131</v>
      </c>
      <c r="BA203" t="s">
        <v>131</v>
      </c>
      <c r="BB203" t="s">
        <v>131</v>
      </c>
      <c r="BC203" t="s">
        <v>131</v>
      </c>
      <c r="BD203" t="s">
        <v>131</v>
      </c>
      <c r="BE203" t="s">
        <v>132</v>
      </c>
      <c r="BH203" t="s">
        <v>2215</v>
      </c>
      <c r="BI203" t="s">
        <v>131</v>
      </c>
      <c r="BL203" t="s">
        <v>167</v>
      </c>
      <c r="BO203" t="s">
        <v>131</v>
      </c>
      <c r="BP203" t="s">
        <v>134</v>
      </c>
      <c r="BQ203" t="s">
        <v>131</v>
      </c>
      <c r="BS203" t="str">
        <f t="shared" si="16"/>
        <v>N/A</v>
      </c>
      <c r="BT203" t="s">
        <v>131</v>
      </c>
      <c r="BV203" t="str">
        <f>""</f>
        <v/>
      </c>
      <c r="BW203" t="s">
        <v>135</v>
      </c>
      <c r="BX203" t="str">
        <f>""</f>
        <v/>
      </c>
      <c r="BY203" t="str">
        <f>""</f>
        <v/>
      </c>
      <c r="BZ203" t="str">
        <f>""</f>
        <v/>
      </c>
      <c r="CA203" t="str">
        <f>"Must lift/carry 50 lbs., when necessary.  Saturday work required, when necessary.   Post-hire employment eligibility (e-Verify) check required of foreign and domestic workers."</f>
        <v>Must lift/carry 50 lbs., when necessary.  Saturday work required, when necessary.   Post-hire employment eligibility (e-Verify) check required of foreign and domestic workers.</v>
      </c>
      <c r="CB203" t="s">
        <v>131</v>
      </c>
      <c r="CF203" t="s">
        <v>131</v>
      </c>
      <c r="CH203" t="str">
        <f>""</f>
        <v/>
      </c>
      <c r="CI203" t="s">
        <v>131</v>
      </c>
      <c r="CK203" t="s">
        <v>131</v>
      </c>
      <c r="CL203" t="str">
        <f>""</f>
        <v/>
      </c>
      <c r="CM203" t="str">
        <f>""</f>
        <v/>
      </c>
      <c r="CN203" t="str">
        <f>""</f>
        <v/>
      </c>
      <c r="CO203" t="str">
        <f>""</f>
        <v/>
      </c>
      <c r="CP203" t="str">
        <f t="shared" ref="CP203:CP208" si="17">"37-3011.00"</f>
        <v>37-3011.00</v>
      </c>
      <c r="CQ203" t="s">
        <v>920</v>
      </c>
      <c r="CR203" t="s">
        <v>2924</v>
      </c>
      <c r="CS203" t="s">
        <v>135</v>
      </c>
      <c r="CT203" t="s">
        <v>2925</v>
      </c>
      <c r="CU203" t="s">
        <v>15948</v>
      </c>
      <c r="CW203" t="s">
        <v>15946</v>
      </c>
      <c r="CX203" t="s">
        <v>444</v>
      </c>
      <c r="CZ203" s="3" t="str">
        <f>"44133"</f>
        <v>44133</v>
      </c>
      <c r="DA203" t="s">
        <v>135</v>
      </c>
      <c r="DB203" t="str">
        <f t="shared" ref="DB203:DB208" si="18">"37-3011"</f>
        <v>37-3011</v>
      </c>
      <c r="DC203" t="s">
        <v>920</v>
      </c>
      <c r="DD203" t="s">
        <v>134</v>
      </c>
      <c r="DE203" t="s">
        <v>134</v>
      </c>
      <c r="DF203" t="str">
        <f>""</f>
        <v/>
      </c>
      <c r="DH203" s="6">
        <v>16.350000000000001</v>
      </c>
      <c r="DI203" t="s">
        <v>344</v>
      </c>
      <c r="DK203" t="s">
        <v>345</v>
      </c>
      <c r="DS203" s="6">
        <v>16.350000000000001</v>
      </c>
      <c r="DT203" s="2" t="s">
        <v>347</v>
      </c>
      <c r="DU203" s="1">
        <v>44354</v>
      </c>
      <c r="DV203" s="1">
        <v>44443</v>
      </c>
    </row>
    <row r="204" spans="1:126" ht="15" customHeight="1" x14ac:dyDescent="0.35">
      <c r="A204" t="s">
        <v>17863</v>
      </c>
      <c r="B204" t="s">
        <v>318</v>
      </c>
      <c r="C204" s="1">
        <v>44323</v>
      </c>
      <c r="D204" s="1">
        <v>44350</v>
      </c>
      <c r="H204" t="s">
        <v>319</v>
      </c>
      <c r="I204" t="s">
        <v>13951</v>
      </c>
      <c r="J204" t="s">
        <v>2313</v>
      </c>
      <c r="K204" t="s">
        <v>1493</v>
      </c>
      <c r="L204" t="s">
        <v>395</v>
      </c>
      <c r="M204" t="s">
        <v>17864</v>
      </c>
      <c r="O204" t="s">
        <v>3934</v>
      </c>
      <c r="P204" t="s">
        <v>273</v>
      </c>
      <c r="Q204" s="3">
        <v>7928</v>
      </c>
      <c r="R204" t="s">
        <v>128</v>
      </c>
      <c r="T204" s="4">
        <v>19733774715</v>
      </c>
      <c r="V204" t="s">
        <v>134</v>
      </c>
      <c r="W204" t="s">
        <v>17865</v>
      </c>
      <c r="Y204" t="s">
        <v>17864</v>
      </c>
      <c r="AA204" t="s">
        <v>3934</v>
      </c>
      <c r="AB204" t="s">
        <v>276</v>
      </c>
      <c r="AC204" s="3" t="str">
        <f>"07928"</f>
        <v>07928</v>
      </c>
      <c r="AD204" t="s">
        <v>128</v>
      </c>
      <c r="AF204" s="4">
        <v>19733774715</v>
      </c>
      <c r="AH204" t="str">
        <f>"56173"</f>
        <v>56173</v>
      </c>
      <c r="AI204" t="s">
        <v>287</v>
      </c>
      <c r="AJ204" t="s">
        <v>2917</v>
      </c>
      <c r="AK204" t="s">
        <v>2918</v>
      </c>
      <c r="AM204" t="s">
        <v>17084</v>
      </c>
      <c r="AO204" t="s">
        <v>3773</v>
      </c>
      <c r="AP204" t="s">
        <v>306</v>
      </c>
      <c r="AQ204" s="5">
        <v>22903</v>
      </c>
      <c r="AR204" t="s">
        <v>128</v>
      </c>
      <c r="AT204" s="4">
        <v>14342634300</v>
      </c>
      <c r="AV204" t="s">
        <v>9074</v>
      </c>
      <c r="AW204" t="s">
        <v>2923</v>
      </c>
      <c r="AX204" t="s">
        <v>131</v>
      </c>
      <c r="AY204" t="s">
        <v>131</v>
      </c>
      <c r="AZ204" t="s">
        <v>131</v>
      </c>
      <c r="BA204" t="s">
        <v>131</v>
      </c>
      <c r="BB204" t="s">
        <v>131</v>
      </c>
      <c r="BC204" t="s">
        <v>131</v>
      </c>
      <c r="BD204" t="s">
        <v>131</v>
      </c>
      <c r="BE204" t="s">
        <v>132</v>
      </c>
      <c r="BH204" t="s">
        <v>17866</v>
      </c>
      <c r="BI204" t="s">
        <v>131</v>
      </c>
      <c r="BL204" t="s">
        <v>167</v>
      </c>
      <c r="BO204" t="s">
        <v>131</v>
      </c>
      <c r="BP204" t="s">
        <v>134</v>
      </c>
      <c r="BQ204" t="s">
        <v>131</v>
      </c>
      <c r="BS204" t="str">
        <f t="shared" si="16"/>
        <v>N/A</v>
      </c>
      <c r="BT204" t="s">
        <v>135</v>
      </c>
      <c r="BU204">
        <v>3</v>
      </c>
      <c r="BV204" t="str">
        <f>"Requires three months of previous landscape experience."</f>
        <v>Requires three months of previous landscape experience.</v>
      </c>
      <c r="BW204" t="s">
        <v>135</v>
      </c>
      <c r="BX204" t="str">
        <f>""</f>
        <v/>
      </c>
      <c r="BY204" t="str">
        <f>""</f>
        <v/>
      </c>
      <c r="BZ204" t="str">
        <f>""</f>
        <v/>
      </c>
      <c r="CA204" t="str">
        <f>"Must lift/carry 75 lbs., when necessary.  Saturday work required, when necessary.  Must possess or be able to obtain U.S. driver's license within 30 days of hire."</f>
        <v>Must lift/carry 75 lbs., when necessary.  Saturday work required, when necessary.  Must possess or be able to obtain U.S. driver's license within 30 days of hire.</v>
      </c>
      <c r="CB204" t="s">
        <v>131</v>
      </c>
      <c r="CF204" t="s">
        <v>131</v>
      </c>
      <c r="CH204" t="str">
        <f>""</f>
        <v/>
      </c>
      <c r="CI204" t="s">
        <v>131</v>
      </c>
      <c r="CK204" t="s">
        <v>131</v>
      </c>
      <c r="CL204" t="str">
        <f>""</f>
        <v/>
      </c>
      <c r="CM204" t="str">
        <f>""</f>
        <v/>
      </c>
      <c r="CN204" t="str">
        <f>""</f>
        <v/>
      </c>
      <c r="CO204" t="str">
        <f>""</f>
        <v/>
      </c>
      <c r="CP204" t="str">
        <f t="shared" si="17"/>
        <v>37-3011.00</v>
      </c>
      <c r="CQ204" t="s">
        <v>920</v>
      </c>
      <c r="CR204" t="s">
        <v>2924</v>
      </c>
      <c r="CS204" t="s">
        <v>135</v>
      </c>
      <c r="CT204" t="s">
        <v>2925</v>
      </c>
      <c r="CU204" t="s">
        <v>17864</v>
      </c>
      <c r="CW204" t="s">
        <v>3934</v>
      </c>
      <c r="CX204" t="s">
        <v>276</v>
      </c>
      <c r="CZ204" s="3" t="str">
        <f>"07928"</f>
        <v>07928</v>
      </c>
      <c r="DA204" t="s">
        <v>135</v>
      </c>
      <c r="DB204" t="str">
        <f t="shared" si="18"/>
        <v>37-3011</v>
      </c>
      <c r="DC204" t="s">
        <v>920</v>
      </c>
      <c r="DD204" t="s">
        <v>134</v>
      </c>
      <c r="DE204" t="s">
        <v>134</v>
      </c>
      <c r="DF204" t="str">
        <f>""</f>
        <v/>
      </c>
      <c r="DH204" s="6">
        <v>17.75</v>
      </c>
      <c r="DI204" t="s">
        <v>344</v>
      </c>
      <c r="DK204" t="s">
        <v>345</v>
      </c>
      <c r="DS204" s="6">
        <v>17.75</v>
      </c>
      <c r="DT204" s="2" t="s">
        <v>347</v>
      </c>
      <c r="DU204" s="1">
        <v>44350</v>
      </c>
      <c r="DV204" s="1">
        <v>44439</v>
      </c>
    </row>
    <row r="205" spans="1:126" ht="15" customHeight="1" x14ac:dyDescent="0.35">
      <c r="A205" t="s">
        <v>19986</v>
      </c>
      <c r="B205" t="s">
        <v>318</v>
      </c>
      <c r="C205" s="1">
        <v>44323</v>
      </c>
      <c r="D205" s="1">
        <v>44350</v>
      </c>
      <c r="H205" t="s">
        <v>319</v>
      </c>
      <c r="I205" t="s">
        <v>19987</v>
      </c>
      <c r="J205" t="s">
        <v>2070</v>
      </c>
      <c r="L205" t="s">
        <v>19988</v>
      </c>
      <c r="M205" t="s">
        <v>19989</v>
      </c>
      <c r="O205" t="s">
        <v>742</v>
      </c>
      <c r="P205" t="s">
        <v>588</v>
      </c>
      <c r="Q205" s="3">
        <v>23226</v>
      </c>
      <c r="R205" t="s">
        <v>128</v>
      </c>
      <c r="T205" s="4">
        <v>18042871464</v>
      </c>
      <c r="V205" t="s">
        <v>134</v>
      </c>
      <c r="W205" t="s">
        <v>19990</v>
      </c>
      <c r="Y205" t="s">
        <v>19989</v>
      </c>
      <c r="AA205" t="s">
        <v>742</v>
      </c>
      <c r="AB205" t="s">
        <v>306</v>
      </c>
      <c r="AC205" s="3" t="str">
        <f>"23226"</f>
        <v>23226</v>
      </c>
      <c r="AD205" t="s">
        <v>128</v>
      </c>
      <c r="AF205" s="4">
        <v>18042871464</v>
      </c>
      <c r="AH205" t="str">
        <f>"71391"</f>
        <v>71391</v>
      </c>
      <c r="AI205" t="s">
        <v>287</v>
      </c>
      <c r="AJ205" t="s">
        <v>2917</v>
      </c>
      <c r="AK205" t="s">
        <v>2918</v>
      </c>
      <c r="AM205" t="s">
        <v>15872</v>
      </c>
      <c r="AO205" t="s">
        <v>3773</v>
      </c>
      <c r="AP205" t="s">
        <v>306</v>
      </c>
      <c r="AQ205" s="5">
        <v>22903</v>
      </c>
      <c r="AR205" t="s">
        <v>128</v>
      </c>
      <c r="AT205" s="4">
        <v>14342634300</v>
      </c>
      <c r="AV205" t="s">
        <v>9074</v>
      </c>
      <c r="AW205" t="s">
        <v>2923</v>
      </c>
      <c r="AX205" t="s">
        <v>131</v>
      </c>
      <c r="AY205" t="s">
        <v>131</v>
      </c>
      <c r="AZ205" t="s">
        <v>131</v>
      </c>
      <c r="BA205" t="s">
        <v>131</v>
      </c>
      <c r="BB205" t="s">
        <v>131</v>
      </c>
      <c r="BC205" t="s">
        <v>131</v>
      </c>
      <c r="BD205" t="s">
        <v>131</v>
      </c>
      <c r="BE205" t="s">
        <v>132</v>
      </c>
      <c r="BH205" t="s">
        <v>7399</v>
      </c>
      <c r="BI205" t="s">
        <v>131</v>
      </c>
      <c r="BL205" t="s">
        <v>167</v>
      </c>
      <c r="BO205" t="s">
        <v>131</v>
      </c>
      <c r="BP205" t="s">
        <v>134</v>
      </c>
      <c r="BQ205" t="s">
        <v>131</v>
      </c>
      <c r="BS205" t="str">
        <f t="shared" si="16"/>
        <v>N/A</v>
      </c>
      <c r="BT205" t="s">
        <v>131</v>
      </c>
      <c r="BV205" t="str">
        <f>""</f>
        <v/>
      </c>
      <c r="BW205" t="s">
        <v>135</v>
      </c>
      <c r="BX205" t="str">
        <f>""</f>
        <v/>
      </c>
      <c r="BY205" t="str">
        <f>""</f>
        <v/>
      </c>
      <c r="BZ205" t="str">
        <f>""</f>
        <v/>
      </c>
      <c r="CA205" t="s">
        <v>5184</v>
      </c>
      <c r="CB205" t="s">
        <v>131</v>
      </c>
      <c r="CF205" t="s">
        <v>131</v>
      </c>
      <c r="CH205" t="str">
        <f>""</f>
        <v/>
      </c>
      <c r="CI205" t="s">
        <v>131</v>
      </c>
      <c r="CK205" t="s">
        <v>131</v>
      </c>
      <c r="CL205" t="str">
        <f>""</f>
        <v/>
      </c>
      <c r="CM205" t="str">
        <f>""</f>
        <v/>
      </c>
      <c r="CN205" t="str">
        <f>""</f>
        <v/>
      </c>
      <c r="CO205" t="str">
        <f>""</f>
        <v/>
      </c>
      <c r="CP205" t="str">
        <f t="shared" si="17"/>
        <v>37-3011.00</v>
      </c>
      <c r="CQ205" t="s">
        <v>920</v>
      </c>
      <c r="CR205" t="s">
        <v>2924</v>
      </c>
      <c r="CS205" t="s">
        <v>131</v>
      </c>
      <c r="CU205" t="s">
        <v>19989</v>
      </c>
      <c r="CW205" t="s">
        <v>742</v>
      </c>
      <c r="CX205" t="s">
        <v>306</v>
      </c>
      <c r="CZ205" s="3" t="str">
        <f>"23226"</f>
        <v>23226</v>
      </c>
      <c r="DA205" t="s">
        <v>135</v>
      </c>
      <c r="DB205" t="str">
        <f t="shared" si="18"/>
        <v>37-3011</v>
      </c>
      <c r="DC205" t="s">
        <v>920</v>
      </c>
      <c r="DD205" t="s">
        <v>134</v>
      </c>
      <c r="DE205" t="s">
        <v>134</v>
      </c>
      <c r="DF205" t="str">
        <f>""</f>
        <v/>
      </c>
      <c r="DH205" s="6">
        <v>16.100000000000001</v>
      </c>
      <c r="DI205" t="s">
        <v>344</v>
      </c>
      <c r="DK205" t="s">
        <v>345</v>
      </c>
      <c r="DS205" s="6">
        <v>16.100000000000001</v>
      </c>
      <c r="DT205" t="s">
        <v>424</v>
      </c>
      <c r="DU205" s="1">
        <v>44350</v>
      </c>
      <c r="DV205" s="1">
        <v>44439</v>
      </c>
    </row>
    <row r="206" spans="1:126" ht="15" customHeight="1" x14ac:dyDescent="0.35">
      <c r="A206" t="s">
        <v>15866</v>
      </c>
      <c r="B206" t="s">
        <v>318</v>
      </c>
      <c r="C206" s="1">
        <v>44323</v>
      </c>
      <c r="D206" s="1">
        <v>44350</v>
      </c>
      <c r="H206" t="s">
        <v>319</v>
      </c>
      <c r="I206" t="s">
        <v>15867</v>
      </c>
      <c r="J206" t="s">
        <v>3626</v>
      </c>
      <c r="L206" t="s">
        <v>349</v>
      </c>
      <c r="M206" t="s">
        <v>15868</v>
      </c>
      <c r="N206" t="s">
        <v>15869</v>
      </c>
      <c r="O206" t="s">
        <v>15870</v>
      </c>
      <c r="P206" t="s">
        <v>226</v>
      </c>
      <c r="Q206" s="3">
        <v>46112</v>
      </c>
      <c r="R206" t="s">
        <v>128</v>
      </c>
      <c r="T206" s="4">
        <v>13178583858</v>
      </c>
      <c r="V206" t="s">
        <v>134</v>
      </c>
      <c r="W206" t="s">
        <v>15871</v>
      </c>
      <c r="Y206" t="s">
        <v>15868</v>
      </c>
      <c r="Z206" t="s">
        <v>15869</v>
      </c>
      <c r="AA206" t="s">
        <v>15870</v>
      </c>
      <c r="AB206" t="s">
        <v>229</v>
      </c>
      <c r="AC206" s="3" t="str">
        <f>"46112"</f>
        <v>46112</v>
      </c>
      <c r="AD206" t="s">
        <v>128</v>
      </c>
      <c r="AF206" s="4">
        <v>13178583858</v>
      </c>
      <c r="AH206" t="str">
        <f>"56173"</f>
        <v>56173</v>
      </c>
      <c r="AI206" t="s">
        <v>287</v>
      </c>
      <c r="AJ206" t="s">
        <v>2917</v>
      </c>
      <c r="AK206" t="s">
        <v>2918</v>
      </c>
      <c r="AM206" t="s">
        <v>15872</v>
      </c>
      <c r="AO206" t="s">
        <v>3773</v>
      </c>
      <c r="AP206" t="s">
        <v>306</v>
      </c>
      <c r="AQ206" s="5">
        <v>22903</v>
      </c>
      <c r="AR206" t="s">
        <v>128</v>
      </c>
      <c r="AT206" s="4">
        <v>14342634300</v>
      </c>
      <c r="AV206" t="s">
        <v>9074</v>
      </c>
      <c r="AW206" t="s">
        <v>2923</v>
      </c>
      <c r="AX206" t="s">
        <v>131</v>
      </c>
      <c r="AY206" t="s">
        <v>131</v>
      </c>
      <c r="AZ206" t="s">
        <v>131</v>
      </c>
      <c r="BA206" t="s">
        <v>131</v>
      </c>
      <c r="BB206" t="s">
        <v>131</v>
      </c>
      <c r="BC206" t="s">
        <v>131</v>
      </c>
      <c r="BD206" t="s">
        <v>131</v>
      </c>
      <c r="BE206" t="s">
        <v>132</v>
      </c>
      <c r="BH206" t="s">
        <v>2215</v>
      </c>
      <c r="BI206" t="s">
        <v>131</v>
      </c>
      <c r="BL206" t="s">
        <v>167</v>
      </c>
      <c r="BO206" t="s">
        <v>131</v>
      </c>
      <c r="BP206" t="s">
        <v>134</v>
      </c>
      <c r="BQ206" t="s">
        <v>131</v>
      </c>
      <c r="BS206" t="str">
        <f t="shared" si="16"/>
        <v>N/A</v>
      </c>
      <c r="BT206" t="s">
        <v>131</v>
      </c>
      <c r="BV206" t="str">
        <f>""</f>
        <v/>
      </c>
      <c r="BW206" t="s">
        <v>135</v>
      </c>
      <c r="BX206" t="str">
        <f>""</f>
        <v/>
      </c>
      <c r="BY206" t="str">
        <f>""</f>
        <v/>
      </c>
      <c r="BZ206" t="str">
        <f>""</f>
        <v/>
      </c>
      <c r="CA206" t="str">
        <f>"Must lift/carry 50 lbs., when necessary.  Saturday work required, when necessary."</f>
        <v>Must lift/carry 50 lbs., when necessary.  Saturday work required, when necessary.</v>
      </c>
      <c r="CB206" t="s">
        <v>131</v>
      </c>
      <c r="CF206" t="s">
        <v>131</v>
      </c>
      <c r="CH206" t="str">
        <f>""</f>
        <v/>
      </c>
      <c r="CI206" t="s">
        <v>131</v>
      </c>
      <c r="CK206" t="s">
        <v>131</v>
      </c>
      <c r="CL206" t="str">
        <f>""</f>
        <v/>
      </c>
      <c r="CM206" t="str">
        <f>""</f>
        <v/>
      </c>
      <c r="CN206" t="str">
        <f>""</f>
        <v/>
      </c>
      <c r="CO206" t="str">
        <f>""</f>
        <v/>
      </c>
      <c r="CP206" t="str">
        <f t="shared" si="17"/>
        <v>37-3011.00</v>
      </c>
      <c r="CQ206" t="s">
        <v>920</v>
      </c>
      <c r="CR206" t="s">
        <v>2924</v>
      </c>
      <c r="CS206" t="s">
        <v>135</v>
      </c>
      <c r="CT206" t="s">
        <v>2925</v>
      </c>
      <c r="CU206" t="s">
        <v>15873</v>
      </c>
      <c r="CW206" t="s">
        <v>15870</v>
      </c>
      <c r="CX206" t="s">
        <v>229</v>
      </c>
      <c r="CZ206" s="3" t="str">
        <f>"46112"</f>
        <v>46112</v>
      </c>
      <c r="DA206" t="s">
        <v>135</v>
      </c>
      <c r="DB206" t="str">
        <f t="shared" si="18"/>
        <v>37-3011</v>
      </c>
      <c r="DC206" t="s">
        <v>920</v>
      </c>
      <c r="DD206" t="s">
        <v>134</v>
      </c>
      <c r="DE206" t="s">
        <v>134</v>
      </c>
      <c r="DF206" t="str">
        <f>""</f>
        <v/>
      </c>
      <c r="DH206" s="6">
        <v>15.51</v>
      </c>
      <c r="DI206" t="s">
        <v>344</v>
      </c>
      <c r="DK206" t="s">
        <v>345</v>
      </c>
      <c r="DS206" s="6">
        <v>15.51</v>
      </c>
      <c r="DT206" s="2" t="s">
        <v>347</v>
      </c>
      <c r="DU206" s="1">
        <v>44350</v>
      </c>
      <c r="DV206" s="1">
        <v>44439</v>
      </c>
    </row>
    <row r="207" spans="1:126" ht="15" customHeight="1" x14ac:dyDescent="0.35">
      <c r="A207" t="s">
        <v>18520</v>
      </c>
      <c r="B207" t="s">
        <v>318</v>
      </c>
      <c r="C207" s="1">
        <v>44323</v>
      </c>
      <c r="D207" s="1">
        <v>44350</v>
      </c>
      <c r="H207" t="s">
        <v>319</v>
      </c>
      <c r="I207" t="s">
        <v>18521</v>
      </c>
      <c r="J207" t="s">
        <v>3072</v>
      </c>
      <c r="L207" t="s">
        <v>1205</v>
      </c>
      <c r="M207" t="s">
        <v>18522</v>
      </c>
      <c r="O207" t="s">
        <v>5207</v>
      </c>
      <c r="P207" t="s">
        <v>441</v>
      </c>
      <c r="Q207" s="3">
        <v>44256</v>
      </c>
      <c r="R207" t="s">
        <v>128</v>
      </c>
      <c r="T207" s="4">
        <v>13307218873</v>
      </c>
      <c r="V207" t="s">
        <v>134</v>
      </c>
      <c r="W207" t="s">
        <v>18523</v>
      </c>
      <c r="Y207" t="s">
        <v>18522</v>
      </c>
      <c r="AA207" t="s">
        <v>5207</v>
      </c>
      <c r="AB207" t="s">
        <v>444</v>
      </c>
      <c r="AC207" s="3" t="str">
        <f>"44256"</f>
        <v>44256</v>
      </c>
      <c r="AD207" t="s">
        <v>128</v>
      </c>
      <c r="AF207" s="4">
        <v>13307218873</v>
      </c>
      <c r="AH207" t="str">
        <f>"56173"</f>
        <v>56173</v>
      </c>
      <c r="AI207" t="s">
        <v>287</v>
      </c>
      <c r="AJ207" t="s">
        <v>2917</v>
      </c>
      <c r="AK207" t="s">
        <v>2918</v>
      </c>
      <c r="AM207" t="s">
        <v>15872</v>
      </c>
      <c r="AO207" t="s">
        <v>3773</v>
      </c>
      <c r="AP207" t="s">
        <v>306</v>
      </c>
      <c r="AQ207" s="5">
        <v>22903</v>
      </c>
      <c r="AR207" t="s">
        <v>128</v>
      </c>
      <c r="AT207" s="4">
        <v>14342634300</v>
      </c>
      <c r="AV207" t="s">
        <v>9074</v>
      </c>
      <c r="AW207" t="s">
        <v>2923</v>
      </c>
      <c r="AX207" t="s">
        <v>131</v>
      </c>
      <c r="AY207" t="s">
        <v>131</v>
      </c>
      <c r="AZ207" t="s">
        <v>131</v>
      </c>
      <c r="BA207" t="s">
        <v>131</v>
      </c>
      <c r="BB207" t="s">
        <v>131</v>
      </c>
      <c r="BC207" t="s">
        <v>131</v>
      </c>
      <c r="BD207" t="s">
        <v>131</v>
      </c>
      <c r="BE207" t="s">
        <v>132</v>
      </c>
      <c r="BH207" t="s">
        <v>2215</v>
      </c>
      <c r="BI207" t="s">
        <v>131</v>
      </c>
      <c r="BL207" t="s">
        <v>167</v>
      </c>
      <c r="BO207" t="s">
        <v>131</v>
      </c>
      <c r="BP207" t="s">
        <v>134</v>
      </c>
      <c r="BQ207" t="s">
        <v>131</v>
      </c>
      <c r="BS207" t="str">
        <f t="shared" si="16"/>
        <v>N/A</v>
      </c>
      <c r="BT207" t="s">
        <v>131</v>
      </c>
      <c r="BV207" t="str">
        <f>""</f>
        <v/>
      </c>
      <c r="BW207" t="s">
        <v>135</v>
      </c>
      <c r="BX207" t="str">
        <f>""</f>
        <v/>
      </c>
      <c r="BY207" t="str">
        <f>""</f>
        <v/>
      </c>
      <c r="BZ207" t="str">
        <f>""</f>
        <v/>
      </c>
      <c r="CA207" t="s">
        <v>18524</v>
      </c>
      <c r="CB207" t="s">
        <v>131</v>
      </c>
      <c r="CF207" t="s">
        <v>131</v>
      </c>
      <c r="CH207" t="str">
        <f>""</f>
        <v/>
      </c>
      <c r="CI207" t="s">
        <v>131</v>
      </c>
      <c r="CK207" t="s">
        <v>131</v>
      </c>
      <c r="CL207" t="str">
        <f>""</f>
        <v/>
      </c>
      <c r="CM207" t="str">
        <f>""</f>
        <v/>
      </c>
      <c r="CN207" t="str">
        <f>""</f>
        <v/>
      </c>
      <c r="CO207" t="str">
        <f>""</f>
        <v/>
      </c>
      <c r="CP207" t="str">
        <f t="shared" si="17"/>
        <v>37-3011.00</v>
      </c>
      <c r="CQ207" t="s">
        <v>920</v>
      </c>
      <c r="CR207" t="s">
        <v>2924</v>
      </c>
      <c r="CS207" t="s">
        <v>135</v>
      </c>
      <c r="CT207" t="s">
        <v>2925</v>
      </c>
      <c r="CU207" t="s">
        <v>18525</v>
      </c>
      <c r="CW207" t="s">
        <v>5207</v>
      </c>
      <c r="CX207" t="s">
        <v>444</v>
      </c>
      <c r="CZ207" s="3" t="str">
        <f>"44256"</f>
        <v>44256</v>
      </c>
      <c r="DA207" t="s">
        <v>135</v>
      </c>
      <c r="DB207" t="str">
        <f t="shared" si="18"/>
        <v>37-3011</v>
      </c>
      <c r="DC207" t="s">
        <v>920</v>
      </c>
      <c r="DD207" t="s">
        <v>134</v>
      </c>
      <c r="DE207" t="s">
        <v>134</v>
      </c>
      <c r="DF207" t="str">
        <f>""</f>
        <v/>
      </c>
      <c r="DH207" s="6">
        <v>16.350000000000001</v>
      </c>
      <c r="DI207" t="s">
        <v>344</v>
      </c>
      <c r="DK207" t="s">
        <v>345</v>
      </c>
      <c r="DS207" s="6">
        <v>16.350000000000001</v>
      </c>
      <c r="DT207" s="2" t="s">
        <v>347</v>
      </c>
      <c r="DU207" s="1">
        <v>44350</v>
      </c>
      <c r="DV207" s="1">
        <v>44439</v>
      </c>
    </row>
    <row r="208" spans="1:126" ht="15" customHeight="1" x14ac:dyDescent="0.35">
      <c r="A208" t="s">
        <v>18432</v>
      </c>
      <c r="B208" t="s">
        <v>318</v>
      </c>
      <c r="C208" s="1">
        <v>44323</v>
      </c>
      <c r="D208" s="1">
        <v>44350</v>
      </c>
      <c r="H208" t="s">
        <v>319</v>
      </c>
      <c r="I208" t="s">
        <v>18433</v>
      </c>
      <c r="J208" t="s">
        <v>745</v>
      </c>
      <c r="K208" t="s">
        <v>10046</v>
      </c>
      <c r="L208" t="s">
        <v>395</v>
      </c>
      <c r="M208" t="s">
        <v>18434</v>
      </c>
      <c r="O208" t="s">
        <v>9866</v>
      </c>
      <c r="P208" t="s">
        <v>441</v>
      </c>
      <c r="Q208" s="3">
        <v>44087</v>
      </c>
      <c r="R208" t="s">
        <v>128</v>
      </c>
      <c r="T208" s="4">
        <v>13304057979</v>
      </c>
      <c r="V208" t="s">
        <v>134</v>
      </c>
      <c r="W208" t="s">
        <v>18435</v>
      </c>
      <c r="Y208" t="s">
        <v>18436</v>
      </c>
      <c r="AA208" t="s">
        <v>18437</v>
      </c>
      <c r="AB208" t="s">
        <v>444</v>
      </c>
      <c r="AC208" s="3" t="str">
        <f>"44087"</f>
        <v>44087</v>
      </c>
      <c r="AD208" t="s">
        <v>128</v>
      </c>
      <c r="AF208" s="4">
        <v>13304057979</v>
      </c>
      <c r="AH208" t="str">
        <f>"56173"</f>
        <v>56173</v>
      </c>
      <c r="AI208" t="s">
        <v>287</v>
      </c>
      <c r="AJ208" t="s">
        <v>2917</v>
      </c>
      <c r="AK208" t="s">
        <v>2918</v>
      </c>
      <c r="AL208" t="s">
        <v>18438</v>
      </c>
      <c r="AM208" t="s">
        <v>3772</v>
      </c>
      <c r="AO208" t="s">
        <v>3773</v>
      </c>
      <c r="AP208" t="s">
        <v>306</v>
      </c>
      <c r="AQ208" s="5">
        <v>22903</v>
      </c>
      <c r="AR208" t="s">
        <v>128</v>
      </c>
      <c r="AT208" s="4">
        <v>14342634300</v>
      </c>
      <c r="AV208" t="s">
        <v>5385</v>
      </c>
      <c r="AW208" t="s">
        <v>5386</v>
      </c>
      <c r="AX208" t="s">
        <v>131</v>
      </c>
      <c r="AY208" t="s">
        <v>131</v>
      </c>
      <c r="AZ208" t="s">
        <v>131</v>
      </c>
      <c r="BA208" t="s">
        <v>131</v>
      </c>
      <c r="BB208" t="s">
        <v>131</v>
      </c>
      <c r="BC208" t="s">
        <v>131</v>
      </c>
      <c r="BD208" t="s">
        <v>131</v>
      </c>
      <c r="BE208" t="s">
        <v>132</v>
      </c>
      <c r="BH208" t="s">
        <v>3780</v>
      </c>
      <c r="BI208" t="s">
        <v>131</v>
      </c>
      <c r="BL208" t="s">
        <v>167</v>
      </c>
      <c r="BO208" t="s">
        <v>131</v>
      </c>
      <c r="BP208" t="s">
        <v>134</v>
      </c>
      <c r="BQ208" t="s">
        <v>131</v>
      </c>
      <c r="BS208" t="str">
        <f t="shared" si="16"/>
        <v>N/A</v>
      </c>
      <c r="BT208" t="s">
        <v>131</v>
      </c>
      <c r="BV208" t="str">
        <f>""</f>
        <v/>
      </c>
      <c r="BW208" t="s">
        <v>135</v>
      </c>
      <c r="BX208" t="str">
        <f>""</f>
        <v/>
      </c>
      <c r="BY208" t="str">
        <f>""</f>
        <v/>
      </c>
      <c r="BZ208" t="str">
        <f>""</f>
        <v/>
      </c>
      <c r="CA208" t="s">
        <v>18439</v>
      </c>
      <c r="CB208" t="s">
        <v>131</v>
      </c>
      <c r="CF208" t="s">
        <v>131</v>
      </c>
      <c r="CH208" t="str">
        <f>""</f>
        <v/>
      </c>
      <c r="CI208" t="s">
        <v>131</v>
      </c>
      <c r="CK208" t="s">
        <v>131</v>
      </c>
      <c r="CL208" t="str">
        <f>""</f>
        <v/>
      </c>
      <c r="CM208" t="str">
        <f>""</f>
        <v/>
      </c>
      <c r="CN208" t="str">
        <f>""</f>
        <v/>
      </c>
      <c r="CO208" t="str">
        <f>""</f>
        <v/>
      </c>
      <c r="CP208" t="str">
        <f t="shared" si="17"/>
        <v>37-3011.00</v>
      </c>
      <c r="CQ208" t="s">
        <v>920</v>
      </c>
      <c r="CR208" t="s">
        <v>5388</v>
      </c>
      <c r="CS208" t="s">
        <v>135</v>
      </c>
      <c r="CT208" t="s">
        <v>18440</v>
      </c>
      <c r="CU208" t="s">
        <v>18441</v>
      </c>
      <c r="CW208" t="s">
        <v>9866</v>
      </c>
      <c r="CX208" t="s">
        <v>444</v>
      </c>
      <c r="CZ208" s="3" t="str">
        <f>"44087"</f>
        <v>44087</v>
      </c>
      <c r="DA208" t="s">
        <v>135</v>
      </c>
      <c r="DB208" t="str">
        <f t="shared" si="18"/>
        <v>37-3011</v>
      </c>
      <c r="DC208" t="s">
        <v>920</v>
      </c>
      <c r="DD208" t="s">
        <v>134</v>
      </c>
      <c r="DE208" t="s">
        <v>134</v>
      </c>
      <c r="DF208" t="str">
        <f>""</f>
        <v/>
      </c>
      <c r="DH208" s="6">
        <v>13.78</v>
      </c>
      <c r="DI208" t="s">
        <v>344</v>
      </c>
      <c r="DK208" t="s">
        <v>345</v>
      </c>
      <c r="DS208" s="6">
        <v>16.350000000000001</v>
      </c>
      <c r="DT208" s="2" t="s">
        <v>347</v>
      </c>
      <c r="DU208" s="1">
        <v>44350</v>
      </c>
      <c r="DV208" s="1">
        <v>44439</v>
      </c>
    </row>
    <row r="209" spans="1:126" ht="15" customHeight="1" x14ac:dyDescent="0.35">
      <c r="A209" t="s">
        <v>17692</v>
      </c>
      <c r="B209" t="s">
        <v>318</v>
      </c>
      <c r="C209" s="1">
        <v>44323</v>
      </c>
      <c r="D209" s="1">
        <v>44350</v>
      </c>
      <c r="H209" t="s">
        <v>319</v>
      </c>
      <c r="I209" t="s">
        <v>1732</v>
      </c>
      <c r="J209" t="s">
        <v>560</v>
      </c>
      <c r="K209" t="s">
        <v>803</v>
      </c>
      <c r="L209" t="s">
        <v>130</v>
      </c>
      <c r="M209" t="s">
        <v>1741</v>
      </c>
      <c r="N209" t="s">
        <v>17693</v>
      </c>
      <c r="O209" t="s">
        <v>1735</v>
      </c>
      <c r="P209" t="s">
        <v>467</v>
      </c>
      <c r="Q209" s="3">
        <v>81657</v>
      </c>
      <c r="R209" t="s">
        <v>128</v>
      </c>
      <c r="T209" s="4">
        <v>19703066476</v>
      </c>
      <c r="V209" t="s">
        <v>1736</v>
      </c>
      <c r="W209" t="s">
        <v>1737</v>
      </c>
      <c r="X209" t="s">
        <v>1738</v>
      </c>
      <c r="Y209" t="s">
        <v>1739</v>
      </c>
      <c r="Z209" t="s">
        <v>17694</v>
      </c>
      <c r="AA209" t="s">
        <v>915</v>
      </c>
      <c r="AB209" t="s">
        <v>471</v>
      </c>
      <c r="AC209" s="3" t="str">
        <f>"81620"</f>
        <v>81620</v>
      </c>
      <c r="AD209" t="s">
        <v>128</v>
      </c>
      <c r="AF209" s="4">
        <v>19709491284</v>
      </c>
      <c r="AH209" t="str">
        <f>"722511"</f>
        <v>722511</v>
      </c>
      <c r="AI209" t="s">
        <v>130</v>
      </c>
      <c r="AJ209" t="s">
        <v>1732</v>
      </c>
      <c r="AK209" t="s">
        <v>560</v>
      </c>
      <c r="AL209" t="s">
        <v>803</v>
      </c>
      <c r="AM209" t="s">
        <v>17695</v>
      </c>
      <c r="AN209" t="s">
        <v>17696</v>
      </c>
      <c r="AO209" t="s">
        <v>1735</v>
      </c>
      <c r="AP209" t="s">
        <v>471</v>
      </c>
      <c r="AQ209" s="5">
        <v>81658</v>
      </c>
      <c r="AR209" t="s">
        <v>128</v>
      </c>
      <c r="AT209" s="4">
        <v>19703066476</v>
      </c>
      <c r="AV209" t="s">
        <v>1736</v>
      </c>
      <c r="AW209" t="s">
        <v>1743</v>
      </c>
      <c r="AX209" t="s">
        <v>131</v>
      </c>
      <c r="AY209" t="s">
        <v>131</v>
      </c>
      <c r="AZ209" t="s">
        <v>131</v>
      </c>
      <c r="BA209" t="s">
        <v>131</v>
      </c>
      <c r="BB209" t="s">
        <v>131</v>
      </c>
      <c r="BC209" t="s">
        <v>131</v>
      </c>
      <c r="BD209" t="s">
        <v>131</v>
      </c>
      <c r="BE209" t="s">
        <v>132</v>
      </c>
      <c r="BH209" t="s">
        <v>6518</v>
      </c>
      <c r="BI209" t="s">
        <v>131</v>
      </c>
      <c r="BL209" t="s">
        <v>167</v>
      </c>
      <c r="BO209" t="s">
        <v>131</v>
      </c>
      <c r="BP209" t="s">
        <v>134</v>
      </c>
      <c r="BQ209" t="s">
        <v>131</v>
      </c>
      <c r="BS209" t="str">
        <f t="shared" si="16"/>
        <v>N/A</v>
      </c>
      <c r="BT209" t="s">
        <v>131</v>
      </c>
      <c r="BV209" t="str">
        <f>""</f>
        <v/>
      </c>
      <c r="BW209" t="s">
        <v>131</v>
      </c>
      <c r="BX209" t="str">
        <f>""</f>
        <v/>
      </c>
      <c r="BY209" t="str">
        <f>""</f>
        <v/>
      </c>
      <c r="BZ209" t="str">
        <f>""</f>
        <v/>
      </c>
      <c r="CA209" t="str">
        <f>""</f>
        <v/>
      </c>
      <c r="CB209" t="s">
        <v>131</v>
      </c>
      <c r="CF209" t="s">
        <v>131</v>
      </c>
      <c r="CH209" t="str">
        <f>""</f>
        <v/>
      </c>
      <c r="CI209" t="s">
        <v>131</v>
      </c>
      <c r="CK209" t="s">
        <v>131</v>
      </c>
      <c r="CL209" t="str">
        <f>""</f>
        <v/>
      </c>
      <c r="CM209" t="str">
        <f>""</f>
        <v/>
      </c>
      <c r="CN209" t="str">
        <f>""</f>
        <v/>
      </c>
      <c r="CO209" t="str">
        <f>""</f>
        <v/>
      </c>
      <c r="CP209" t="str">
        <f>"35-9011.00"</f>
        <v>35-9011.00</v>
      </c>
      <c r="CQ209" t="s">
        <v>1016</v>
      </c>
      <c r="CR209" t="s">
        <v>1745</v>
      </c>
      <c r="CS209" t="s">
        <v>135</v>
      </c>
      <c r="CT209" t="s">
        <v>17697</v>
      </c>
      <c r="CU209" t="s">
        <v>17698</v>
      </c>
      <c r="CV209" t="s">
        <v>17699</v>
      </c>
      <c r="CW209" t="s">
        <v>1735</v>
      </c>
      <c r="CX209" t="s">
        <v>471</v>
      </c>
      <c r="CZ209" s="3" t="str">
        <f>"81658"</f>
        <v>81658</v>
      </c>
      <c r="DA209" t="s">
        <v>131</v>
      </c>
      <c r="DB209" t="str">
        <f>"35-9011"</f>
        <v>35-9011</v>
      </c>
      <c r="DC209" t="s">
        <v>1016</v>
      </c>
      <c r="DD209" t="s">
        <v>134</v>
      </c>
      <c r="DE209" t="s">
        <v>134</v>
      </c>
      <c r="DF209" t="str">
        <f>""</f>
        <v/>
      </c>
      <c r="DH209" s="6">
        <v>12.53</v>
      </c>
      <c r="DI209" t="s">
        <v>344</v>
      </c>
      <c r="DK209" t="s">
        <v>345</v>
      </c>
      <c r="DR209" t="s">
        <v>1750</v>
      </c>
      <c r="DS209" s="6">
        <v>12.53</v>
      </c>
      <c r="DT209" s="2" t="s">
        <v>347</v>
      </c>
      <c r="DU209" s="1">
        <v>44350</v>
      </c>
      <c r="DV209" s="1">
        <v>44439</v>
      </c>
    </row>
    <row r="210" spans="1:126" ht="15" customHeight="1" x14ac:dyDescent="0.35">
      <c r="A210" t="s">
        <v>7938</v>
      </c>
      <c r="B210" t="s">
        <v>318</v>
      </c>
      <c r="C210" s="1">
        <v>44323</v>
      </c>
      <c r="D210" s="1">
        <v>44350</v>
      </c>
      <c r="H210" t="s">
        <v>319</v>
      </c>
      <c r="I210" t="s">
        <v>7939</v>
      </c>
      <c r="J210" t="s">
        <v>7940</v>
      </c>
      <c r="L210" t="s">
        <v>3679</v>
      </c>
      <c r="M210" t="s">
        <v>7941</v>
      </c>
      <c r="O210" t="s">
        <v>7942</v>
      </c>
      <c r="P210" t="s">
        <v>2545</v>
      </c>
      <c r="Q210" s="3">
        <v>5764</v>
      </c>
      <c r="R210" t="s">
        <v>128</v>
      </c>
      <c r="T210" s="4">
        <v>17042523630</v>
      </c>
      <c r="V210" t="s">
        <v>7943</v>
      </c>
      <c r="W210" t="s">
        <v>7944</v>
      </c>
      <c r="Y210" t="s">
        <v>7945</v>
      </c>
      <c r="AA210" t="s">
        <v>7946</v>
      </c>
      <c r="AB210" t="s">
        <v>2549</v>
      </c>
      <c r="AC210" s="3" t="str">
        <f>"05770"</f>
        <v>05770</v>
      </c>
      <c r="AD210" t="s">
        <v>128</v>
      </c>
      <c r="AF210" s="4">
        <v>17042523630</v>
      </c>
      <c r="AH210" t="str">
        <f>"561720"</f>
        <v>561720</v>
      </c>
      <c r="AI210" t="s">
        <v>287</v>
      </c>
      <c r="AJ210" t="s">
        <v>7947</v>
      </c>
      <c r="AK210" t="s">
        <v>1861</v>
      </c>
      <c r="AM210" t="s">
        <v>7948</v>
      </c>
      <c r="AO210" t="s">
        <v>7949</v>
      </c>
      <c r="AP210" t="s">
        <v>2549</v>
      </c>
      <c r="AQ210" s="5">
        <v>5760</v>
      </c>
      <c r="AR210" t="s">
        <v>128</v>
      </c>
      <c r="AT210" s="4">
        <v>18029482788</v>
      </c>
      <c r="AV210" t="s">
        <v>7950</v>
      </c>
      <c r="AW210" t="s">
        <v>7951</v>
      </c>
      <c r="AX210" t="s">
        <v>131</v>
      </c>
      <c r="AY210" t="s">
        <v>131</v>
      </c>
      <c r="AZ210" t="s">
        <v>131</v>
      </c>
      <c r="BA210" t="s">
        <v>131</v>
      </c>
      <c r="BB210" t="s">
        <v>131</v>
      </c>
      <c r="BC210" t="s">
        <v>131</v>
      </c>
      <c r="BD210" t="s">
        <v>131</v>
      </c>
      <c r="BE210" t="s">
        <v>132</v>
      </c>
      <c r="BH210" t="s">
        <v>479</v>
      </c>
      <c r="BI210" t="s">
        <v>131</v>
      </c>
      <c r="BL210" t="s">
        <v>167</v>
      </c>
      <c r="BO210" t="s">
        <v>131</v>
      </c>
      <c r="BP210" t="s">
        <v>134</v>
      </c>
      <c r="BQ210" t="s">
        <v>131</v>
      </c>
      <c r="BS210" t="str">
        <f t="shared" si="16"/>
        <v>N/A</v>
      </c>
      <c r="BT210" t="s">
        <v>135</v>
      </c>
      <c r="BU210">
        <v>1</v>
      </c>
      <c r="BV210" t="str">
        <f>"Housekeeping"</f>
        <v>Housekeeping</v>
      </c>
      <c r="BW210" t="s">
        <v>131</v>
      </c>
      <c r="BX210" t="str">
        <f>""</f>
        <v/>
      </c>
      <c r="BY210" t="str">
        <f>""</f>
        <v/>
      </c>
      <c r="BZ210" t="str">
        <f>""</f>
        <v/>
      </c>
      <c r="CA210" t="str">
        <f>""</f>
        <v/>
      </c>
      <c r="CB210" t="s">
        <v>131</v>
      </c>
      <c r="CF210" t="s">
        <v>131</v>
      </c>
      <c r="CH210" t="str">
        <f>""</f>
        <v/>
      </c>
      <c r="CI210" t="s">
        <v>131</v>
      </c>
      <c r="CK210" t="s">
        <v>131</v>
      </c>
      <c r="CL210" t="str">
        <f>""</f>
        <v/>
      </c>
      <c r="CM210" t="str">
        <f>""</f>
        <v/>
      </c>
      <c r="CN210" t="str">
        <f>""</f>
        <v/>
      </c>
      <c r="CO210" t="str">
        <f>""</f>
        <v/>
      </c>
      <c r="CP210" t="str">
        <f>"37-2012.00"</f>
        <v>37-2012.00</v>
      </c>
      <c r="CQ210" t="s">
        <v>479</v>
      </c>
      <c r="CR210" t="s">
        <v>7952</v>
      </c>
      <c r="CS210" t="s">
        <v>131</v>
      </c>
      <c r="CU210" t="s">
        <v>7941</v>
      </c>
      <c r="CW210" t="s">
        <v>7942</v>
      </c>
      <c r="CX210" t="s">
        <v>2549</v>
      </c>
      <c r="CZ210" s="3" t="str">
        <f>"05764"</f>
        <v>05764</v>
      </c>
      <c r="DA210" t="s">
        <v>131</v>
      </c>
      <c r="DB210" t="str">
        <f>"37-2012"</f>
        <v>37-2012</v>
      </c>
      <c r="DC210" t="s">
        <v>479</v>
      </c>
      <c r="DD210" t="s">
        <v>134</v>
      </c>
      <c r="DE210" t="s">
        <v>134</v>
      </c>
      <c r="DF210" t="str">
        <f>""</f>
        <v/>
      </c>
      <c r="DH210" s="6">
        <v>13.2</v>
      </c>
      <c r="DI210" t="s">
        <v>344</v>
      </c>
      <c r="DK210" t="s">
        <v>345</v>
      </c>
      <c r="DS210" s="6">
        <v>13.2</v>
      </c>
      <c r="DT210" t="s">
        <v>424</v>
      </c>
      <c r="DU210" s="1">
        <v>44350</v>
      </c>
      <c r="DV210" s="1">
        <v>44439</v>
      </c>
    </row>
    <row r="211" spans="1:126" ht="15" customHeight="1" x14ac:dyDescent="0.35">
      <c r="A211" t="s">
        <v>17718</v>
      </c>
      <c r="B211" t="s">
        <v>318</v>
      </c>
      <c r="C211" s="1">
        <v>44323</v>
      </c>
      <c r="D211" s="1">
        <v>44355</v>
      </c>
      <c r="H211" t="s">
        <v>319</v>
      </c>
      <c r="I211" t="s">
        <v>16149</v>
      </c>
      <c r="J211" t="s">
        <v>260</v>
      </c>
      <c r="L211" t="s">
        <v>1105</v>
      </c>
      <c r="M211" t="s">
        <v>16150</v>
      </c>
      <c r="O211" t="s">
        <v>3874</v>
      </c>
      <c r="P211" t="s">
        <v>1760</v>
      </c>
      <c r="Q211" s="3">
        <v>70808</v>
      </c>
      <c r="R211" t="s">
        <v>128</v>
      </c>
      <c r="T211" s="4">
        <v>12258060008</v>
      </c>
      <c r="V211" t="s">
        <v>16151</v>
      </c>
      <c r="W211" t="s">
        <v>16152</v>
      </c>
      <c r="Y211" t="s">
        <v>16153</v>
      </c>
      <c r="Z211" t="s">
        <v>16154</v>
      </c>
      <c r="AA211" t="s">
        <v>3874</v>
      </c>
      <c r="AB211" t="s">
        <v>1763</v>
      </c>
      <c r="AC211" s="3" t="str">
        <f>"70810"</f>
        <v>70810</v>
      </c>
      <c r="AD211" t="s">
        <v>128</v>
      </c>
      <c r="AF211" s="4">
        <v>12258060008</v>
      </c>
      <c r="AH211" t="str">
        <f>"56173"</f>
        <v>56173</v>
      </c>
      <c r="AI211" t="s">
        <v>287</v>
      </c>
      <c r="AJ211" t="s">
        <v>2304</v>
      </c>
      <c r="AK211" t="s">
        <v>5773</v>
      </c>
      <c r="AL211" t="s">
        <v>589</v>
      </c>
      <c r="AM211" t="s">
        <v>5774</v>
      </c>
      <c r="AN211" t="s">
        <v>5775</v>
      </c>
      <c r="AO211" t="s">
        <v>5776</v>
      </c>
      <c r="AP211" t="s">
        <v>1763</v>
      </c>
      <c r="AQ211" s="5">
        <v>70754</v>
      </c>
      <c r="AR211" t="s">
        <v>128</v>
      </c>
      <c r="AS211" t="s">
        <v>1763</v>
      </c>
      <c r="AT211" s="4">
        <v>12256863033</v>
      </c>
      <c r="AV211" t="s">
        <v>5777</v>
      </c>
      <c r="AW211" t="s">
        <v>5778</v>
      </c>
      <c r="AX211" t="s">
        <v>131</v>
      </c>
      <c r="AY211" t="s">
        <v>131</v>
      </c>
      <c r="AZ211" t="s">
        <v>131</v>
      </c>
      <c r="BA211" t="s">
        <v>131</v>
      </c>
      <c r="BB211" t="s">
        <v>131</v>
      </c>
      <c r="BC211" t="s">
        <v>131</v>
      </c>
      <c r="BD211" t="s">
        <v>131</v>
      </c>
      <c r="BE211" t="s">
        <v>132</v>
      </c>
      <c r="BH211" t="s">
        <v>17719</v>
      </c>
      <c r="BI211" t="s">
        <v>131</v>
      </c>
      <c r="BL211" t="s">
        <v>167</v>
      </c>
      <c r="BO211" t="s">
        <v>131</v>
      </c>
      <c r="BP211" t="s">
        <v>134</v>
      </c>
      <c r="BQ211" t="s">
        <v>131</v>
      </c>
      <c r="BS211" t="str">
        <f t="shared" si="16"/>
        <v>N/A</v>
      </c>
      <c r="BT211" t="s">
        <v>131</v>
      </c>
      <c r="BV211" t="str">
        <f>""</f>
        <v/>
      </c>
      <c r="BW211" t="s">
        <v>135</v>
      </c>
      <c r="BX211" t="str">
        <f>""</f>
        <v/>
      </c>
      <c r="BY211" t="str">
        <f>""</f>
        <v/>
      </c>
      <c r="BZ211" t="str">
        <f>""</f>
        <v/>
      </c>
      <c r="CA211" s="2" t="s">
        <v>17720</v>
      </c>
      <c r="CB211" t="s">
        <v>131</v>
      </c>
      <c r="CF211" t="s">
        <v>131</v>
      </c>
      <c r="CH211" t="str">
        <f>""</f>
        <v/>
      </c>
      <c r="CI211" t="s">
        <v>131</v>
      </c>
      <c r="CK211" t="s">
        <v>131</v>
      </c>
      <c r="CL211" t="str">
        <f>""</f>
        <v/>
      </c>
      <c r="CM211" t="str">
        <f>""</f>
        <v/>
      </c>
      <c r="CN211" t="str">
        <f>""</f>
        <v/>
      </c>
      <c r="CO211" t="str">
        <f>""</f>
        <v/>
      </c>
      <c r="CP211" t="str">
        <f>"27-1026.00"</f>
        <v>27-1026.00</v>
      </c>
      <c r="CQ211" t="s">
        <v>5560</v>
      </c>
      <c r="CS211" t="s">
        <v>135</v>
      </c>
      <c r="CT211" t="s">
        <v>17721</v>
      </c>
      <c r="CU211" t="s">
        <v>17722</v>
      </c>
      <c r="CW211" t="s">
        <v>3874</v>
      </c>
      <c r="CX211" t="s">
        <v>1763</v>
      </c>
      <c r="CZ211" s="3" t="str">
        <f>"70810"</f>
        <v>70810</v>
      </c>
      <c r="DA211" t="s">
        <v>135</v>
      </c>
      <c r="DB211" t="str">
        <f>"37-3011"</f>
        <v>37-3011</v>
      </c>
      <c r="DC211" t="s">
        <v>920</v>
      </c>
      <c r="DD211" t="s">
        <v>134</v>
      </c>
      <c r="DE211" t="s">
        <v>134</v>
      </c>
      <c r="DF211" t="str">
        <f>""</f>
        <v/>
      </c>
      <c r="DH211" s="6">
        <v>14.59</v>
      </c>
      <c r="DI211" t="s">
        <v>344</v>
      </c>
      <c r="DK211" t="s">
        <v>345</v>
      </c>
      <c r="DR211" t="s">
        <v>3877</v>
      </c>
      <c r="DS211" s="6">
        <v>14.59</v>
      </c>
      <c r="DT211" t="s">
        <v>424</v>
      </c>
      <c r="DU211" s="1">
        <v>44355</v>
      </c>
      <c r="DV211" s="1">
        <v>44444</v>
      </c>
    </row>
    <row r="212" spans="1:126" ht="15" customHeight="1" x14ac:dyDescent="0.35">
      <c r="A212" t="s">
        <v>19082</v>
      </c>
      <c r="B212" t="s">
        <v>318</v>
      </c>
      <c r="C212" s="1">
        <v>44323</v>
      </c>
      <c r="D212" s="1">
        <v>44357</v>
      </c>
      <c r="H212" t="s">
        <v>319</v>
      </c>
      <c r="I212" t="s">
        <v>7710</v>
      </c>
      <c r="J212" t="s">
        <v>645</v>
      </c>
      <c r="K212" t="s">
        <v>1253</v>
      </c>
      <c r="L212" t="s">
        <v>199</v>
      </c>
      <c r="M212" t="s">
        <v>7712</v>
      </c>
      <c r="O212" t="s">
        <v>7713</v>
      </c>
      <c r="P212" t="s">
        <v>144</v>
      </c>
      <c r="Q212" s="3">
        <v>98528</v>
      </c>
      <c r="R212" t="s">
        <v>128</v>
      </c>
      <c r="T212" s="4">
        <v>13602755345</v>
      </c>
      <c r="V212" t="s">
        <v>1253</v>
      </c>
      <c r="W212" t="s">
        <v>7714</v>
      </c>
      <c r="X212" t="s">
        <v>7715</v>
      </c>
      <c r="Y212" t="s">
        <v>7712</v>
      </c>
      <c r="AA212" t="s">
        <v>7713</v>
      </c>
      <c r="AB212" t="s">
        <v>149</v>
      </c>
      <c r="AC212" s="3" t="str">
        <f>"98528"</f>
        <v>98528</v>
      </c>
      <c r="AD212" t="s">
        <v>128</v>
      </c>
      <c r="AF212" s="4">
        <v>13602755345</v>
      </c>
      <c r="AH212" t="str">
        <f>"11321"</f>
        <v>11321</v>
      </c>
      <c r="AI212" t="s">
        <v>287</v>
      </c>
      <c r="AJ212" t="s">
        <v>5584</v>
      </c>
      <c r="AK212" t="s">
        <v>409</v>
      </c>
      <c r="AM212" t="s">
        <v>5585</v>
      </c>
      <c r="AN212" t="s">
        <v>7716</v>
      </c>
      <c r="AO212" t="s">
        <v>5586</v>
      </c>
      <c r="AP212" t="s">
        <v>149</v>
      </c>
      <c r="AQ212" s="5">
        <v>98418</v>
      </c>
      <c r="AR212" t="s">
        <v>128</v>
      </c>
      <c r="AT212" s="4">
        <v>13604558064</v>
      </c>
      <c r="AU212">
        <v>110</v>
      </c>
      <c r="AV212" t="s">
        <v>5587</v>
      </c>
      <c r="AW212" t="s">
        <v>5588</v>
      </c>
      <c r="AX212" t="s">
        <v>131</v>
      </c>
      <c r="AY212" t="s">
        <v>131</v>
      </c>
      <c r="AZ212" t="s">
        <v>131</v>
      </c>
      <c r="BA212" t="s">
        <v>131</v>
      </c>
      <c r="BB212" t="s">
        <v>131</v>
      </c>
      <c r="BC212" t="s">
        <v>131</v>
      </c>
      <c r="BD212" t="s">
        <v>131</v>
      </c>
      <c r="BE212" t="s">
        <v>132</v>
      </c>
      <c r="BH212" t="s">
        <v>10678</v>
      </c>
      <c r="BI212" t="s">
        <v>131</v>
      </c>
      <c r="BL212" t="s">
        <v>167</v>
      </c>
      <c r="BO212" t="s">
        <v>131</v>
      </c>
      <c r="BP212" t="s">
        <v>134</v>
      </c>
      <c r="BQ212" t="s">
        <v>131</v>
      </c>
      <c r="BS212" t="str">
        <f t="shared" si="16"/>
        <v>N/A</v>
      </c>
      <c r="BT212" t="s">
        <v>131</v>
      </c>
      <c r="BV212" t="str">
        <f>""</f>
        <v/>
      </c>
      <c r="BW212" t="s">
        <v>135</v>
      </c>
      <c r="BX212" t="str">
        <f>""</f>
        <v/>
      </c>
      <c r="BY212" t="str">
        <f>""</f>
        <v/>
      </c>
      <c r="BZ212" t="str">
        <f>""</f>
        <v/>
      </c>
      <c r="CA212" s="2" t="s">
        <v>5590</v>
      </c>
      <c r="CB212" t="s">
        <v>131</v>
      </c>
      <c r="CF212" t="s">
        <v>131</v>
      </c>
      <c r="CH212" t="str">
        <f>""</f>
        <v/>
      </c>
      <c r="CI212" t="s">
        <v>131</v>
      </c>
      <c r="CK212" t="s">
        <v>131</v>
      </c>
      <c r="CL212" t="str">
        <f>""</f>
        <v/>
      </c>
      <c r="CM212" t="str">
        <f>""</f>
        <v/>
      </c>
      <c r="CN212" t="str">
        <f>""</f>
        <v/>
      </c>
      <c r="CO212" t="str">
        <f>""</f>
        <v/>
      </c>
      <c r="CP212" t="str">
        <f>"27-1023.00"</f>
        <v>27-1023.00</v>
      </c>
      <c r="CQ212" t="s">
        <v>5591</v>
      </c>
      <c r="CS212" t="s">
        <v>135</v>
      </c>
      <c r="CT212" t="s">
        <v>19083</v>
      </c>
      <c r="CU212" t="s">
        <v>7712</v>
      </c>
      <c r="CW212" t="s">
        <v>7713</v>
      </c>
      <c r="CX212" t="s">
        <v>149</v>
      </c>
      <c r="CZ212" s="3" t="str">
        <f>"98528"</f>
        <v>98528</v>
      </c>
      <c r="DA212" t="s">
        <v>135</v>
      </c>
      <c r="DB212" t="str">
        <f>"27-1023"</f>
        <v>27-1023</v>
      </c>
      <c r="DC212" t="s">
        <v>5591</v>
      </c>
      <c r="DD212" t="s">
        <v>134</v>
      </c>
      <c r="DE212" t="s">
        <v>134</v>
      </c>
      <c r="DF212" t="str">
        <f>"45-4011.00"</f>
        <v>45-4011.00</v>
      </c>
      <c r="DG212" t="s">
        <v>4310</v>
      </c>
      <c r="DH212" s="6">
        <v>15.32</v>
      </c>
      <c r="DI212" t="s">
        <v>344</v>
      </c>
      <c r="DK212" t="s">
        <v>345</v>
      </c>
      <c r="DR212" t="s">
        <v>5593</v>
      </c>
      <c r="DS212" s="6">
        <v>15.32</v>
      </c>
      <c r="DT212" t="s">
        <v>424</v>
      </c>
      <c r="DU212" s="1">
        <v>44357</v>
      </c>
      <c r="DV212" s="1">
        <v>44446</v>
      </c>
    </row>
    <row r="213" spans="1:126" ht="15" customHeight="1" x14ac:dyDescent="0.35">
      <c r="A213" t="s">
        <v>4915</v>
      </c>
      <c r="B213" t="s">
        <v>318</v>
      </c>
      <c r="C213" s="1">
        <v>44323</v>
      </c>
      <c r="D213" s="1">
        <v>44350</v>
      </c>
      <c r="H213" t="s">
        <v>319</v>
      </c>
      <c r="I213" t="s">
        <v>1732</v>
      </c>
      <c r="J213" t="s">
        <v>560</v>
      </c>
      <c r="K213" t="s">
        <v>803</v>
      </c>
      <c r="L213" t="s">
        <v>130</v>
      </c>
      <c r="M213" t="s">
        <v>4916</v>
      </c>
      <c r="N213" t="s">
        <v>1734</v>
      </c>
      <c r="O213" t="s">
        <v>1735</v>
      </c>
      <c r="P213" t="s">
        <v>467</v>
      </c>
      <c r="Q213" s="3">
        <v>81658</v>
      </c>
      <c r="R213" t="s">
        <v>128</v>
      </c>
      <c r="T213" s="4">
        <v>19703066476</v>
      </c>
      <c r="V213" t="s">
        <v>1736</v>
      </c>
      <c r="W213" t="s">
        <v>4917</v>
      </c>
      <c r="X213" t="s">
        <v>4918</v>
      </c>
      <c r="Y213" t="s">
        <v>4919</v>
      </c>
      <c r="Z213" t="s">
        <v>4920</v>
      </c>
      <c r="AA213" t="s">
        <v>4921</v>
      </c>
      <c r="AB213" t="s">
        <v>471</v>
      </c>
      <c r="AC213" s="3" t="str">
        <f>"81615"</f>
        <v>81615</v>
      </c>
      <c r="AD213" t="s">
        <v>128</v>
      </c>
      <c r="AF213" s="4">
        <v>19709236000</v>
      </c>
      <c r="AH213" t="str">
        <f>"722511"</f>
        <v>722511</v>
      </c>
      <c r="AI213" t="s">
        <v>130</v>
      </c>
      <c r="AJ213" t="s">
        <v>1732</v>
      </c>
      <c r="AK213" t="s">
        <v>560</v>
      </c>
      <c r="AL213" t="s">
        <v>803</v>
      </c>
      <c r="AM213" t="s">
        <v>4922</v>
      </c>
      <c r="AN213" t="s">
        <v>4923</v>
      </c>
      <c r="AO213" t="s">
        <v>1735</v>
      </c>
      <c r="AP213" t="s">
        <v>471</v>
      </c>
      <c r="AQ213" s="5">
        <v>81658</v>
      </c>
      <c r="AR213" t="s">
        <v>128</v>
      </c>
      <c r="AT213" s="4">
        <v>19703066476</v>
      </c>
      <c r="AV213" t="s">
        <v>1736</v>
      </c>
      <c r="AW213" t="s">
        <v>1743</v>
      </c>
      <c r="AX213" t="s">
        <v>131</v>
      </c>
      <c r="AY213" t="s">
        <v>131</v>
      </c>
      <c r="AZ213" t="s">
        <v>131</v>
      </c>
      <c r="BA213" t="s">
        <v>131</v>
      </c>
      <c r="BB213" t="s">
        <v>131</v>
      </c>
      <c r="BC213" t="s">
        <v>131</v>
      </c>
      <c r="BD213" t="s">
        <v>131</v>
      </c>
      <c r="BE213" t="s">
        <v>132</v>
      </c>
      <c r="BH213" t="s">
        <v>4924</v>
      </c>
      <c r="BI213" t="s">
        <v>135</v>
      </c>
      <c r="BJ213" t="s">
        <v>4925</v>
      </c>
      <c r="BK213" t="s">
        <v>4926</v>
      </c>
      <c r="BL213" t="s">
        <v>167</v>
      </c>
      <c r="BO213" t="s">
        <v>131</v>
      </c>
      <c r="BP213" t="s">
        <v>134</v>
      </c>
      <c r="BQ213" t="s">
        <v>131</v>
      </c>
      <c r="BS213" t="str">
        <f t="shared" si="16"/>
        <v>N/A</v>
      </c>
      <c r="BT213" t="s">
        <v>135</v>
      </c>
      <c r="BU213">
        <v>6</v>
      </c>
      <c r="BV213" t="str">
        <f>"Restaurant Worker"</f>
        <v>Restaurant Worker</v>
      </c>
      <c r="BW213" t="s">
        <v>131</v>
      </c>
      <c r="BX213" t="str">
        <f>""</f>
        <v/>
      </c>
      <c r="BY213" t="str">
        <f>""</f>
        <v/>
      </c>
      <c r="BZ213" t="str">
        <f>""</f>
        <v/>
      </c>
      <c r="CA213" t="str">
        <f>""</f>
        <v/>
      </c>
      <c r="CB213" t="s">
        <v>131</v>
      </c>
      <c r="CF213" t="s">
        <v>131</v>
      </c>
      <c r="CH213" t="str">
        <f>""</f>
        <v/>
      </c>
      <c r="CI213" t="s">
        <v>131</v>
      </c>
      <c r="CK213" t="s">
        <v>131</v>
      </c>
      <c r="CL213" t="str">
        <f>""</f>
        <v/>
      </c>
      <c r="CM213" t="str">
        <f>""</f>
        <v/>
      </c>
      <c r="CN213" t="str">
        <f>""</f>
        <v/>
      </c>
      <c r="CO213" t="str">
        <f>""</f>
        <v/>
      </c>
      <c r="CP213" t="str">
        <f>"35-1012.00"</f>
        <v>35-1012.00</v>
      </c>
      <c r="CQ213" t="s">
        <v>1132</v>
      </c>
      <c r="CR213" t="s">
        <v>1205</v>
      </c>
      <c r="CS213" t="s">
        <v>135</v>
      </c>
      <c r="CT213" t="s">
        <v>4927</v>
      </c>
      <c r="CU213" t="s">
        <v>4928</v>
      </c>
      <c r="CW213" t="s">
        <v>4921</v>
      </c>
      <c r="CX213" t="s">
        <v>471</v>
      </c>
      <c r="CZ213" s="3" t="str">
        <f>"81615"</f>
        <v>81615</v>
      </c>
      <c r="DA213" t="s">
        <v>131</v>
      </c>
      <c r="DB213" t="str">
        <f>"35-1012"</f>
        <v>35-1012</v>
      </c>
      <c r="DC213" t="s">
        <v>1132</v>
      </c>
      <c r="DD213" t="s">
        <v>134</v>
      </c>
      <c r="DE213" t="s">
        <v>134</v>
      </c>
      <c r="DF213" t="str">
        <f>""</f>
        <v/>
      </c>
      <c r="DH213" s="6">
        <v>24.68</v>
      </c>
      <c r="DI213" t="s">
        <v>344</v>
      </c>
      <c r="DK213" t="s">
        <v>345</v>
      </c>
      <c r="DR213" t="s">
        <v>1750</v>
      </c>
      <c r="DS213" s="6">
        <v>24.68</v>
      </c>
      <c r="DT213" s="2" t="s">
        <v>347</v>
      </c>
      <c r="DU213" s="1">
        <v>44350</v>
      </c>
      <c r="DV213" s="1">
        <v>44439</v>
      </c>
    </row>
    <row r="214" spans="1:126" ht="15" customHeight="1" x14ac:dyDescent="0.35">
      <c r="A214" t="s">
        <v>5852</v>
      </c>
      <c r="B214" t="s">
        <v>318</v>
      </c>
      <c r="C214" s="1">
        <v>44323</v>
      </c>
      <c r="D214" s="1">
        <v>44355</v>
      </c>
      <c r="H214" t="s">
        <v>319</v>
      </c>
      <c r="I214" t="s">
        <v>5853</v>
      </c>
      <c r="J214" t="s">
        <v>4162</v>
      </c>
      <c r="L214" t="s">
        <v>5854</v>
      </c>
      <c r="M214" t="s">
        <v>5855</v>
      </c>
      <c r="O214" t="s">
        <v>1759</v>
      </c>
      <c r="P214" t="s">
        <v>1760</v>
      </c>
      <c r="Q214" s="3">
        <v>70360</v>
      </c>
      <c r="R214" t="s">
        <v>128</v>
      </c>
      <c r="T214" s="4">
        <v>19856659488</v>
      </c>
      <c r="V214" t="s">
        <v>5856</v>
      </c>
      <c r="W214" t="s">
        <v>5857</v>
      </c>
      <c r="Y214" t="s">
        <v>5855</v>
      </c>
      <c r="AA214" t="s">
        <v>1759</v>
      </c>
      <c r="AB214" t="s">
        <v>1763</v>
      </c>
      <c r="AC214" s="3" t="str">
        <f>"70360"</f>
        <v>70360</v>
      </c>
      <c r="AD214" t="s">
        <v>128</v>
      </c>
      <c r="AF214" s="4">
        <v>19856653415</v>
      </c>
      <c r="AH214" t="str">
        <f>"3117"</f>
        <v>3117</v>
      </c>
      <c r="AI214" t="s">
        <v>130</v>
      </c>
      <c r="AJ214" t="s">
        <v>1764</v>
      </c>
      <c r="AK214" t="s">
        <v>1261</v>
      </c>
      <c r="AL214" t="s">
        <v>655</v>
      </c>
      <c r="AM214" t="s">
        <v>1765</v>
      </c>
      <c r="AO214" t="s">
        <v>1766</v>
      </c>
      <c r="AP214" t="s">
        <v>1763</v>
      </c>
      <c r="AQ214" s="5">
        <v>70130</v>
      </c>
      <c r="AR214" t="s">
        <v>128</v>
      </c>
      <c r="AT214" s="4">
        <v>15045861922</v>
      </c>
      <c r="AV214" t="s">
        <v>1767</v>
      </c>
      <c r="AW214" t="s">
        <v>5858</v>
      </c>
      <c r="AX214" t="s">
        <v>131</v>
      </c>
      <c r="AY214" t="s">
        <v>131</v>
      </c>
      <c r="AZ214" t="s">
        <v>131</v>
      </c>
      <c r="BA214" t="s">
        <v>131</v>
      </c>
      <c r="BB214" t="s">
        <v>131</v>
      </c>
      <c r="BC214" t="s">
        <v>131</v>
      </c>
      <c r="BD214" t="s">
        <v>131</v>
      </c>
      <c r="BE214" t="s">
        <v>132</v>
      </c>
      <c r="BH214" t="s">
        <v>5859</v>
      </c>
      <c r="BI214" t="s">
        <v>131</v>
      </c>
      <c r="BL214" t="s">
        <v>167</v>
      </c>
      <c r="BO214" t="s">
        <v>131</v>
      </c>
      <c r="BP214" t="s">
        <v>134</v>
      </c>
      <c r="BQ214" t="s">
        <v>131</v>
      </c>
      <c r="BS214" t="str">
        <f t="shared" si="16"/>
        <v>N/A</v>
      </c>
      <c r="BT214" t="s">
        <v>131</v>
      </c>
      <c r="BV214" t="str">
        <f>""</f>
        <v/>
      </c>
      <c r="BW214" t="s">
        <v>131</v>
      </c>
      <c r="BX214" t="str">
        <f>""</f>
        <v/>
      </c>
      <c r="BY214" t="str">
        <f>""</f>
        <v/>
      </c>
      <c r="BZ214" t="str">
        <f>""</f>
        <v/>
      </c>
      <c r="CA214" t="str">
        <f>""</f>
        <v/>
      </c>
      <c r="CB214" t="s">
        <v>131</v>
      </c>
      <c r="CF214" t="s">
        <v>131</v>
      </c>
      <c r="CH214" t="str">
        <f>""</f>
        <v/>
      </c>
      <c r="CI214" t="s">
        <v>131</v>
      </c>
      <c r="CK214" t="s">
        <v>131</v>
      </c>
      <c r="CL214" t="str">
        <f>""</f>
        <v/>
      </c>
      <c r="CM214" t="str">
        <f>""</f>
        <v/>
      </c>
      <c r="CN214" t="str">
        <f>""</f>
        <v/>
      </c>
      <c r="CO214" t="str">
        <f>""</f>
        <v/>
      </c>
      <c r="CP214" t="str">
        <f>"51-3022.00"</f>
        <v>51-3022.00</v>
      </c>
      <c r="CQ214" t="s">
        <v>1114</v>
      </c>
      <c r="CR214" t="s">
        <v>460</v>
      </c>
      <c r="CS214" t="s">
        <v>131</v>
      </c>
      <c r="CU214" t="s">
        <v>5855</v>
      </c>
      <c r="CW214" t="s">
        <v>1759</v>
      </c>
      <c r="CX214" t="s">
        <v>1763</v>
      </c>
      <c r="CZ214" s="3" t="str">
        <f>"70360"</f>
        <v>70360</v>
      </c>
      <c r="DA214" t="s">
        <v>131</v>
      </c>
      <c r="DB214" t="str">
        <f>"51-3022"</f>
        <v>51-3022</v>
      </c>
      <c r="DC214" t="s">
        <v>1114</v>
      </c>
      <c r="DD214" t="s">
        <v>134</v>
      </c>
      <c r="DE214" t="s">
        <v>134</v>
      </c>
      <c r="DF214" t="str">
        <f>""</f>
        <v/>
      </c>
      <c r="DH214" s="6">
        <v>9.7200000000000006</v>
      </c>
      <c r="DI214" t="s">
        <v>344</v>
      </c>
      <c r="DK214" t="s">
        <v>345</v>
      </c>
      <c r="DR214" t="s">
        <v>1774</v>
      </c>
      <c r="DS214" s="6">
        <v>9.7200000000000006</v>
      </c>
      <c r="DT214" t="s">
        <v>424</v>
      </c>
      <c r="DU214" s="1">
        <v>44355</v>
      </c>
      <c r="DV214" s="1">
        <v>44444</v>
      </c>
    </row>
    <row r="215" spans="1:126" ht="15" customHeight="1" x14ac:dyDescent="0.35">
      <c r="A215" t="s">
        <v>19930</v>
      </c>
      <c r="B215" t="s">
        <v>318</v>
      </c>
      <c r="C215" s="1">
        <v>44323</v>
      </c>
      <c r="D215" s="1">
        <v>44351</v>
      </c>
      <c r="H215" t="s">
        <v>319</v>
      </c>
      <c r="I215" t="s">
        <v>3912</v>
      </c>
      <c r="J215" t="s">
        <v>3913</v>
      </c>
      <c r="L215" t="s">
        <v>1482</v>
      </c>
      <c r="M215" t="s">
        <v>19931</v>
      </c>
      <c r="O215" t="s">
        <v>5479</v>
      </c>
      <c r="P215" t="s">
        <v>412</v>
      </c>
      <c r="Q215" s="3">
        <v>79407</v>
      </c>
      <c r="R215" t="s">
        <v>128</v>
      </c>
      <c r="T215" s="4">
        <v>18067781018</v>
      </c>
      <c r="V215" t="s">
        <v>134</v>
      </c>
      <c r="W215" t="s">
        <v>19932</v>
      </c>
      <c r="Y215" t="s">
        <v>19931</v>
      </c>
      <c r="AA215" t="s">
        <v>5479</v>
      </c>
      <c r="AB215" t="s">
        <v>400</v>
      </c>
      <c r="AC215" s="3" t="str">
        <f>"79407"</f>
        <v>79407</v>
      </c>
      <c r="AD215" t="s">
        <v>128</v>
      </c>
      <c r="AF215" s="4">
        <v>18067781018</v>
      </c>
      <c r="AH215" t="str">
        <f>"5617"</f>
        <v>5617</v>
      </c>
      <c r="AI215" t="s">
        <v>287</v>
      </c>
      <c r="AJ215" t="s">
        <v>3916</v>
      </c>
      <c r="AK215" t="s">
        <v>1225</v>
      </c>
      <c r="AL215" t="s">
        <v>589</v>
      </c>
      <c r="AM215" t="s">
        <v>3917</v>
      </c>
      <c r="AO215" t="s">
        <v>1513</v>
      </c>
      <c r="AP215" t="s">
        <v>400</v>
      </c>
      <c r="AQ215" s="5">
        <v>75231</v>
      </c>
      <c r="AR215" t="s">
        <v>128</v>
      </c>
      <c r="AT215" s="4">
        <v>12145265665</v>
      </c>
      <c r="AV215" t="s">
        <v>3918</v>
      </c>
      <c r="AW215" t="s">
        <v>3919</v>
      </c>
      <c r="AX215" t="s">
        <v>131</v>
      </c>
      <c r="AY215" t="s">
        <v>131</v>
      </c>
      <c r="AZ215" t="s">
        <v>131</v>
      </c>
      <c r="BA215" t="s">
        <v>131</v>
      </c>
      <c r="BB215" t="s">
        <v>131</v>
      </c>
      <c r="BC215" t="s">
        <v>131</v>
      </c>
      <c r="BD215" t="s">
        <v>131</v>
      </c>
      <c r="BE215" t="s">
        <v>132</v>
      </c>
      <c r="BH215" t="s">
        <v>2215</v>
      </c>
      <c r="BI215" t="s">
        <v>131</v>
      </c>
      <c r="BL215" t="s">
        <v>167</v>
      </c>
      <c r="BO215" t="s">
        <v>131</v>
      </c>
      <c r="BP215" t="s">
        <v>134</v>
      </c>
      <c r="BQ215" t="s">
        <v>131</v>
      </c>
      <c r="BS215" t="str">
        <f t="shared" si="16"/>
        <v>N/A</v>
      </c>
      <c r="BT215" t="s">
        <v>131</v>
      </c>
      <c r="BV215" t="str">
        <f>""</f>
        <v/>
      </c>
      <c r="BW215" t="s">
        <v>135</v>
      </c>
      <c r="BX215" t="str">
        <f>""</f>
        <v/>
      </c>
      <c r="BY215" t="str">
        <f>""</f>
        <v/>
      </c>
      <c r="BZ215" t="str">
        <f>""</f>
        <v/>
      </c>
      <c r="CA215" t="str">
        <f>"Must be able to lift 50 lbs &amp; work in adverse weather conditions.
"</f>
        <v xml:space="preserve">Must be able to lift 50 lbs &amp; work in adverse weather conditions.
</v>
      </c>
      <c r="CB215" t="s">
        <v>131</v>
      </c>
      <c r="CF215" t="s">
        <v>131</v>
      </c>
      <c r="CH215" t="str">
        <f>""</f>
        <v/>
      </c>
      <c r="CI215" t="s">
        <v>131</v>
      </c>
      <c r="CK215" t="s">
        <v>131</v>
      </c>
      <c r="CL215" t="str">
        <f>""</f>
        <v/>
      </c>
      <c r="CM215" t="str">
        <f>""</f>
        <v/>
      </c>
      <c r="CN215" t="str">
        <f>""</f>
        <v/>
      </c>
      <c r="CO215" t="str">
        <f>""</f>
        <v/>
      </c>
      <c r="CP215" t="str">
        <f>"37-3011.00"</f>
        <v>37-3011.00</v>
      </c>
      <c r="CQ215" t="s">
        <v>920</v>
      </c>
      <c r="CS215" t="s">
        <v>131</v>
      </c>
      <c r="CU215" t="s">
        <v>19931</v>
      </c>
      <c r="CW215" t="s">
        <v>5479</v>
      </c>
      <c r="CX215" t="s">
        <v>400</v>
      </c>
      <c r="CZ215" s="3" t="str">
        <f>"79407"</f>
        <v>79407</v>
      </c>
      <c r="DA215" t="s">
        <v>135</v>
      </c>
      <c r="DB215" t="str">
        <f>"37-3011"</f>
        <v>37-3011</v>
      </c>
      <c r="DC215" t="s">
        <v>920</v>
      </c>
      <c r="DD215" t="s">
        <v>134</v>
      </c>
      <c r="DE215" t="s">
        <v>134</v>
      </c>
      <c r="DF215" t="str">
        <f>""</f>
        <v/>
      </c>
      <c r="DH215" s="6">
        <v>12.68</v>
      </c>
      <c r="DI215" t="s">
        <v>344</v>
      </c>
      <c r="DK215" t="s">
        <v>345</v>
      </c>
      <c r="DR215" t="s">
        <v>19933</v>
      </c>
      <c r="DS215" s="6">
        <v>13.14</v>
      </c>
      <c r="DT215" t="s">
        <v>424</v>
      </c>
      <c r="DU215" s="1">
        <v>44351</v>
      </c>
      <c r="DV215" s="1">
        <v>44440</v>
      </c>
    </row>
    <row r="216" spans="1:126" ht="15" customHeight="1" x14ac:dyDescent="0.35">
      <c r="A216" t="s">
        <v>19978</v>
      </c>
      <c r="B216" t="s">
        <v>318</v>
      </c>
      <c r="C216" s="1">
        <v>44323</v>
      </c>
      <c r="D216" s="1">
        <v>44350</v>
      </c>
      <c r="H216" t="s">
        <v>319</v>
      </c>
      <c r="I216" t="s">
        <v>19979</v>
      </c>
      <c r="J216" t="s">
        <v>654</v>
      </c>
      <c r="L216" t="s">
        <v>583</v>
      </c>
      <c r="M216" t="s">
        <v>19980</v>
      </c>
      <c r="N216" t="s">
        <v>19981</v>
      </c>
      <c r="O216" t="s">
        <v>19696</v>
      </c>
      <c r="P216" t="s">
        <v>4505</v>
      </c>
      <c r="Q216" s="3">
        <v>59404</v>
      </c>
      <c r="R216" t="s">
        <v>128</v>
      </c>
      <c r="T216" s="4">
        <v>14064532733</v>
      </c>
      <c r="V216" t="s">
        <v>134</v>
      </c>
      <c r="W216" t="s">
        <v>19982</v>
      </c>
      <c r="X216" t="s">
        <v>19983</v>
      </c>
      <c r="Y216" t="s">
        <v>19980</v>
      </c>
      <c r="Z216" t="s">
        <v>19981</v>
      </c>
      <c r="AA216" t="s">
        <v>19696</v>
      </c>
      <c r="AB216" t="s">
        <v>1234</v>
      </c>
      <c r="AC216" s="3" t="str">
        <f>"59404"</f>
        <v>59404</v>
      </c>
      <c r="AD216" t="s">
        <v>128</v>
      </c>
      <c r="AF216" s="4">
        <v>14064532733</v>
      </c>
      <c r="AH216" t="str">
        <f>"56173"</f>
        <v>56173</v>
      </c>
      <c r="AI216" t="s">
        <v>287</v>
      </c>
      <c r="AJ216" t="s">
        <v>2917</v>
      </c>
      <c r="AK216" t="s">
        <v>2918</v>
      </c>
      <c r="AM216" t="s">
        <v>15872</v>
      </c>
      <c r="AO216" t="s">
        <v>3773</v>
      </c>
      <c r="AP216" t="s">
        <v>306</v>
      </c>
      <c r="AQ216" s="5">
        <v>22903</v>
      </c>
      <c r="AR216" t="s">
        <v>128</v>
      </c>
      <c r="AT216" s="4">
        <v>14342634300</v>
      </c>
      <c r="AV216" t="s">
        <v>9074</v>
      </c>
      <c r="AW216" t="s">
        <v>2923</v>
      </c>
      <c r="AX216" t="s">
        <v>131</v>
      </c>
      <c r="AY216" t="s">
        <v>131</v>
      </c>
      <c r="AZ216" t="s">
        <v>131</v>
      </c>
      <c r="BA216" t="s">
        <v>131</v>
      </c>
      <c r="BB216" t="s">
        <v>131</v>
      </c>
      <c r="BC216" t="s">
        <v>131</v>
      </c>
      <c r="BD216" t="s">
        <v>131</v>
      </c>
      <c r="BE216" t="s">
        <v>132</v>
      </c>
      <c r="BH216" t="s">
        <v>2215</v>
      </c>
      <c r="BI216" t="s">
        <v>131</v>
      </c>
      <c r="BL216" t="s">
        <v>167</v>
      </c>
      <c r="BO216" t="s">
        <v>131</v>
      </c>
      <c r="BP216" t="s">
        <v>134</v>
      </c>
      <c r="BQ216" t="s">
        <v>131</v>
      </c>
      <c r="BS216" t="str">
        <f t="shared" si="16"/>
        <v>N/A</v>
      </c>
      <c r="BT216" t="s">
        <v>131</v>
      </c>
      <c r="BV216" t="str">
        <f>""</f>
        <v/>
      </c>
      <c r="BW216" t="s">
        <v>135</v>
      </c>
      <c r="BX216" t="str">
        <f>""</f>
        <v/>
      </c>
      <c r="BY216" t="str">
        <f>""</f>
        <v/>
      </c>
      <c r="BZ216" t="str">
        <f>""</f>
        <v/>
      </c>
      <c r="CA216" t="str">
        <f>"Must lift/carry 50 lbs., when necessary.  Standard workweek is 4 days per week. Friday, Saturday, and Sunday work required, when necessary. Post-hire post-accident drug testing required of foreign and domestic workers."</f>
        <v>Must lift/carry 50 lbs., when necessary.  Standard workweek is 4 days per week. Friday, Saturday, and Sunday work required, when necessary. Post-hire post-accident drug testing required of foreign and domestic workers.</v>
      </c>
      <c r="CB216" t="s">
        <v>131</v>
      </c>
      <c r="CF216" t="s">
        <v>131</v>
      </c>
      <c r="CH216" t="str">
        <f>""</f>
        <v/>
      </c>
      <c r="CI216" t="s">
        <v>131</v>
      </c>
      <c r="CK216" t="s">
        <v>131</v>
      </c>
      <c r="CL216" t="str">
        <f>""</f>
        <v/>
      </c>
      <c r="CM216" t="str">
        <f>""</f>
        <v/>
      </c>
      <c r="CN216" t="str">
        <f>""</f>
        <v/>
      </c>
      <c r="CO216" t="str">
        <f>""</f>
        <v/>
      </c>
      <c r="CP216" t="str">
        <f>"37-3011.00"</f>
        <v>37-3011.00</v>
      </c>
      <c r="CQ216" t="s">
        <v>920</v>
      </c>
      <c r="CR216" t="s">
        <v>2924</v>
      </c>
      <c r="CS216" t="s">
        <v>135</v>
      </c>
      <c r="CT216" t="s">
        <v>2925</v>
      </c>
      <c r="CU216" t="s">
        <v>19984</v>
      </c>
      <c r="CW216" t="s">
        <v>19696</v>
      </c>
      <c r="CX216" t="s">
        <v>1234</v>
      </c>
      <c r="CZ216" s="3" t="str">
        <f>"59404"</f>
        <v>59404</v>
      </c>
      <c r="DA216" t="s">
        <v>135</v>
      </c>
      <c r="DB216" t="str">
        <f>"37-3011"</f>
        <v>37-3011</v>
      </c>
      <c r="DC216" t="s">
        <v>920</v>
      </c>
      <c r="DD216" t="s">
        <v>134</v>
      </c>
      <c r="DE216" t="s">
        <v>134</v>
      </c>
      <c r="DF216" t="str">
        <f>""</f>
        <v/>
      </c>
      <c r="DH216" s="6">
        <v>14.47</v>
      </c>
      <c r="DI216" t="s">
        <v>344</v>
      </c>
      <c r="DK216" t="s">
        <v>345</v>
      </c>
      <c r="DS216" s="6">
        <v>14.47</v>
      </c>
      <c r="DT216" s="2" t="s">
        <v>347</v>
      </c>
      <c r="DU216" s="1">
        <v>44350</v>
      </c>
      <c r="DV216" s="1">
        <v>44439</v>
      </c>
    </row>
    <row r="217" spans="1:126" ht="15" customHeight="1" x14ac:dyDescent="0.35">
      <c r="A217" t="s">
        <v>17078</v>
      </c>
      <c r="B217" t="s">
        <v>318</v>
      </c>
      <c r="C217" s="1">
        <v>44323</v>
      </c>
      <c r="D217" s="1">
        <v>44350</v>
      </c>
      <c r="H217" t="s">
        <v>319</v>
      </c>
      <c r="I217" t="s">
        <v>17079</v>
      </c>
      <c r="J217" t="s">
        <v>1116</v>
      </c>
      <c r="L217" t="s">
        <v>1105</v>
      </c>
      <c r="M217" t="s">
        <v>17080</v>
      </c>
      <c r="N217" t="s">
        <v>17081</v>
      </c>
      <c r="O217" t="s">
        <v>17082</v>
      </c>
      <c r="P217" t="s">
        <v>467</v>
      </c>
      <c r="Q217" s="3">
        <v>80533</v>
      </c>
      <c r="R217" t="s">
        <v>128</v>
      </c>
      <c r="T217" s="4">
        <v>17209987766</v>
      </c>
      <c r="V217" t="s">
        <v>134</v>
      </c>
      <c r="W217" t="s">
        <v>17083</v>
      </c>
      <c r="Y217" t="s">
        <v>17080</v>
      </c>
      <c r="Z217" t="s">
        <v>17081</v>
      </c>
      <c r="AA217" t="s">
        <v>17082</v>
      </c>
      <c r="AB217" t="s">
        <v>471</v>
      </c>
      <c r="AC217" s="3" t="str">
        <f>"80533"</f>
        <v>80533</v>
      </c>
      <c r="AD217" t="s">
        <v>128</v>
      </c>
      <c r="AF217" s="4">
        <v>17209987766</v>
      </c>
      <c r="AH217" t="str">
        <f>"238140"</f>
        <v>238140</v>
      </c>
      <c r="AI217" t="s">
        <v>287</v>
      </c>
      <c r="AJ217" t="s">
        <v>2917</v>
      </c>
      <c r="AK217" t="s">
        <v>2918</v>
      </c>
      <c r="AM217" t="s">
        <v>17084</v>
      </c>
      <c r="AO217" t="s">
        <v>6299</v>
      </c>
      <c r="AP217" t="s">
        <v>306</v>
      </c>
      <c r="AQ217" s="5">
        <v>22903</v>
      </c>
      <c r="AR217" t="s">
        <v>128</v>
      </c>
      <c r="AT217" s="4">
        <v>14342634300</v>
      </c>
      <c r="AV217" t="s">
        <v>9074</v>
      </c>
      <c r="AW217" t="s">
        <v>2923</v>
      </c>
      <c r="AX217" t="s">
        <v>131</v>
      </c>
      <c r="AY217" t="s">
        <v>131</v>
      </c>
      <c r="AZ217" t="s">
        <v>131</v>
      </c>
      <c r="BA217" t="s">
        <v>131</v>
      </c>
      <c r="BB217" t="s">
        <v>131</v>
      </c>
      <c r="BC217" t="s">
        <v>131</v>
      </c>
      <c r="BD217" t="s">
        <v>131</v>
      </c>
      <c r="BE217" t="s">
        <v>132</v>
      </c>
      <c r="BH217" t="s">
        <v>17085</v>
      </c>
      <c r="BI217" t="s">
        <v>131</v>
      </c>
      <c r="BL217" t="s">
        <v>167</v>
      </c>
      <c r="BO217" t="s">
        <v>131</v>
      </c>
      <c r="BP217" t="s">
        <v>134</v>
      </c>
      <c r="BQ217" t="s">
        <v>131</v>
      </c>
      <c r="BS217" t="str">
        <f t="shared" si="16"/>
        <v>N/A</v>
      </c>
      <c r="BT217" t="s">
        <v>131</v>
      </c>
      <c r="BV217" t="str">
        <f>""</f>
        <v/>
      </c>
      <c r="BW217" t="s">
        <v>135</v>
      </c>
      <c r="BX217" t="str">
        <f>""</f>
        <v/>
      </c>
      <c r="BY217" t="str">
        <f>""</f>
        <v/>
      </c>
      <c r="BZ217" t="str">
        <f>""</f>
        <v/>
      </c>
      <c r="CA217" t="s">
        <v>17086</v>
      </c>
      <c r="CB217" t="s">
        <v>131</v>
      </c>
      <c r="CF217" t="s">
        <v>131</v>
      </c>
      <c r="CH217" t="str">
        <f>""</f>
        <v/>
      </c>
      <c r="CI217" t="s">
        <v>131</v>
      </c>
      <c r="CK217" t="s">
        <v>131</v>
      </c>
      <c r="CL217" t="str">
        <f>""</f>
        <v/>
      </c>
      <c r="CM217" t="str">
        <f>""</f>
        <v/>
      </c>
      <c r="CN217" t="str">
        <f>""</f>
        <v/>
      </c>
      <c r="CO217" t="str">
        <f>""</f>
        <v/>
      </c>
      <c r="CP217" t="str">
        <f>"47-2022.00"</f>
        <v>47-2022.00</v>
      </c>
      <c r="CQ217" t="s">
        <v>5319</v>
      </c>
      <c r="CR217" t="s">
        <v>2924</v>
      </c>
      <c r="CS217" t="s">
        <v>135</v>
      </c>
      <c r="CT217" t="s">
        <v>2925</v>
      </c>
      <c r="CU217" t="s">
        <v>17087</v>
      </c>
      <c r="CW217" t="s">
        <v>13414</v>
      </c>
      <c r="CX217" t="s">
        <v>471</v>
      </c>
      <c r="CZ217" s="3" t="str">
        <f>"80540"</f>
        <v>80540</v>
      </c>
      <c r="DA217" t="s">
        <v>135</v>
      </c>
      <c r="DB217" t="str">
        <f>"47-2022"</f>
        <v>47-2022</v>
      </c>
      <c r="DC217" t="s">
        <v>5319</v>
      </c>
      <c r="DD217" t="s">
        <v>134</v>
      </c>
      <c r="DE217" t="s">
        <v>134</v>
      </c>
      <c r="DF217" t="str">
        <f>""</f>
        <v/>
      </c>
      <c r="DH217" s="6">
        <v>20.64</v>
      </c>
      <c r="DI217" t="s">
        <v>344</v>
      </c>
      <c r="DK217" t="s">
        <v>345</v>
      </c>
      <c r="DS217" s="6">
        <v>21.34</v>
      </c>
      <c r="DT217" s="2" t="s">
        <v>347</v>
      </c>
      <c r="DU217" s="1">
        <v>44350</v>
      </c>
      <c r="DV217" s="1">
        <v>44439</v>
      </c>
    </row>
    <row r="218" spans="1:126" ht="15" customHeight="1" x14ac:dyDescent="0.35">
      <c r="A218" t="s">
        <v>16780</v>
      </c>
      <c r="B218" t="s">
        <v>318</v>
      </c>
      <c r="C218" s="1">
        <v>44323</v>
      </c>
      <c r="D218" s="1">
        <v>44350</v>
      </c>
      <c r="H218" t="s">
        <v>319</v>
      </c>
      <c r="I218" t="s">
        <v>7354</v>
      </c>
      <c r="J218" t="s">
        <v>1623</v>
      </c>
      <c r="L218" t="s">
        <v>1105</v>
      </c>
      <c r="M218" t="s">
        <v>16781</v>
      </c>
      <c r="O218" t="s">
        <v>16782</v>
      </c>
      <c r="P218" t="s">
        <v>441</v>
      </c>
      <c r="Q218" s="3">
        <v>44028</v>
      </c>
      <c r="R218" t="s">
        <v>128</v>
      </c>
      <c r="T218" s="4">
        <v>14402369625</v>
      </c>
      <c r="V218" t="s">
        <v>134</v>
      </c>
      <c r="W218" t="s">
        <v>16783</v>
      </c>
      <c r="X218" t="s">
        <v>16784</v>
      </c>
      <c r="Y218" t="s">
        <v>16781</v>
      </c>
      <c r="AA218" t="s">
        <v>16782</v>
      </c>
      <c r="AB218" t="s">
        <v>444</v>
      </c>
      <c r="AC218" s="3" t="str">
        <f>"44028"</f>
        <v>44028</v>
      </c>
      <c r="AD218" t="s">
        <v>128</v>
      </c>
      <c r="AF218" s="4">
        <v>14402369625</v>
      </c>
      <c r="AH218" t="str">
        <f>"56173"</f>
        <v>56173</v>
      </c>
      <c r="AI218" t="s">
        <v>287</v>
      </c>
      <c r="AJ218" t="s">
        <v>2917</v>
      </c>
      <c r="AK218" t="s">
        <v>2918</v>
      </c>
      <c r="AL218" t="s">
        <v>610</v>
      </c>
      <c r="AM218" t="s">
        <v>2919</v>
      </c>
      <c r="AN218" t="s">
        <v>2920</v>
      </c>
      <c r="AO218" t="s">
        <v>2921</v>
      </c>
      <c r="AP218" t="s">
        <v>306</v>
      </c>
      <c r="AQ218" s="5">
        <v>22949</v>
      </c>
      <c r="AR218" t="s">
        <v>128</v>
      </c>
      <c r="AT218" s="4">
        <v>14342634300</v>
      </c>
      <c r="AV218" t="s">
        <v>5233</v>
      </c>
      <c r="AW218" t="s">
        <v>2923</v>
      </c>
      <c r="AX218" t="s">
        <v>131</v>
      </c>
      <c r="AY218" t="s">
        <v>131</v>
      </c>
      <c r="AZ218" t="s">
        <v>131</v>
      </c>
      <c r="BA218" t="s">
        <v>131</v>
      </c>
      <c r="BB218" t="s">
        <v>131</v>
      </c>
      <c r="BC218" t="s">
        <v>131</v>
      </c>
      <c r="BD218" t="s">
        <v>131</v>
      </c>
      <c r="BE218" t="s">
        <v>132</v>
      </c>
      <c r="BH218" t="s">
        <v>5559</v>
      </c>
      <c r="BI218" t="s">
        <v>131</v>
      </c>
      <c r="BL218" t="s">
        <v>167</v>
      </c>
      <c r="BO218" t="s">
        <v>131</v>
      </c>
      <c r="BP218" t="s">
        <v>134</v>
      </c>
      <c r="BQ218" t="s">
        <v>131</v>
      </c>
      <c r="BS218" t="str">
        <f t="shared" si="16"/>
        <v>N/A</v>
      </c>
      <c r="BT218" t="s">
        <v>135</v>
      </c>
      <c r="BU218">
        <v>3</v>
      </c>
      <c r="BV218" t="str">
        <f>"Requires three months of previous landscape experience."</f>
        <v>Requires three months of previous landscape experience.</v>
      </c>
      <c r="BW218" t="s">
        <v>135</v>
      </c>
      <c r="BX218" t="str">
        <f>""</f>
        <v/>
      </c>
      <c r="BY218" t="str">
        <f>""</f>
        <v/>
      </c>
      <c r="BZ218" t="str">
        <f>""</f>
        <v/>
      </c>
      <c r="CA218" t="str">
        <f>"Must lift/carry 50 lbs., when necessary.  Saturday and Sunday work required, when necessary.   Post-hire background check required of foreign and domestic workers."</f>
        <v>Must lift/carry 50 lbs., when necessary.  Saturday and Sunday work required, when necessary.   Post-hire background check required of foreign and domestic workers.</v>
      </c>
      <c r="CB218" t="s">
        <v>131</v>
      </c>
      <c r="CF218" t="s">
        <v>131</v>
      </c>
      <c r="CH218" t="str">
        <f>""</f>
        <v/>
      </c>
      <c r="CI218" t="s">
        <v>131</v>
      </c>
      <c r="CK218" t="s">
        <v>131</v>
      </c>
      <c r="CL218" t="str">
        <f>""</f>
        <v/>
      </c>
      <c r="CM218" t="str">
        <f>""</f>
        <v/>
      </c>
      <c r="CN218" t="str">
        <f>""</f>
        <v/>
      </c>
      <c r="CO218" t="str">
        <f>""</f>
        <v/>
      </c>
      <c r="CP218" t="str">
        <f>"37-3011.00"</f>
        <v>37-3011.00</v>
      </c>
      <c r="CQ218" t="s">
        <v>920</v>
      </c>
      <c r="CR218" t="s">
        <v>2924</v>
      </c>
      <c r="CS218" t="s">
        <v>135</v>
      </c>
      <c r="CT218" t="s">
        <v>2925</v>
      </c>
      <c r="CU218" t="s">
        <v>16781</v>
      </c>
      <c r="CW218" t="s">
        <v>16782</v>
      </c>
      <c r="CX218" t="s">
        <v>444</v>
      </c>
      <c r="CZ218" s="3" t="str">
        <f>"44028"</f>
        <v>44028</v>
      </c>
      <c r="DA218" t="s">
        <v>135</v>
      </c>
      <c r="DB218" t="str">
        <f>"37-3011"</f>
        <v>37-3011</v>
      </c>
      <c r="DC218" t="s">
        <v>920</v>
      </c>
      <c r="DD218" t="s">
        <v>134</v>
      </c>
      <c r="DE218" t="s">
        <v>134</v>
      </c>
      <c r="DF218" t="str">
        <f>""</f>
        <v/>
      </c>
      <c r="DH218" s="6">
        <v>16.350000000000001</v>
      </c>
      <c r="DI218" t="s">
        <v>344</v>
      </c>
      <c r="DK218" t="s">
        <v>345</v>
      </c>
      <c r="DS218" s="6">
        <v>16.350000000000001</v>
      </c>
      <c r="DT218" s="2" t="s">
        <v>347</v>
      </c>
      <c r="DU218" s="1">
        <v>44350</v>
      </c>
      <c r="DV218" s="1">
        <v>44439</v>
      </c>
    </row>
    <row r="219" spans="1:126" ht="15" customHeight="1" x14ac:dyDescent="0.35">
      <c r="A219" t="s">
        <v>19034</v>
      </c>
      <c r="B219" t="s">
        <v>318</v>
      </c>
      <c r="C219" s="1">
        <v>44323</v>
      </c>
      <c r="D219" s="1">
        <v>44351</v>
      </c>
      <c r="H219" t="s">
        <v>319</v>
      </c>
      <c r="I219" t="s">
        <v>3354</v>
      </c>
      <c r="J219" t="s">
        <v>1036</v>
      </c>
      <c r="L219" t="s">
        <v>19035</v>
      </c>
      <c r="M219" t="s">
        <v>10402</v>
      </c>
      <c r="N219" t="s">
        <v>10403</v>
      </c>
      <c r="O219" t="s">
        <v>8315</v>
      </c>
      <c r="P219" t="s">
        <v>194</v>
      </c>
      <c r="Q219" s="3">
        <v>32309</v>
      </c>
      <c r="R219" t="s">
        <v>128</v>
      </c>
      <c r="T219" s="4">
        <v>18504251353</v>
      </c>
      <c r="V219" t="s">
        <v>10404</v>
      </c>
      <c r="W219" t="s">
        <v>19036</v>
      </c>
      <c r="Y219" t="s">
        <v>19037</v>
      </c>
      <c r="AA219" t="s">
        <v>8315</v>
      </c>
      <c r="AB219" t="s">
        <v>195</v>
      </c>
      <c r="AC219" s="3" t="str">
        <f>"32309"</f>
        <v>32309</v>
      </c>
      <c r="AD219" t="s">
        <v>128</v>
      </c>
      <c r="AF219" s="4">
        <v>18504251353</v>
      </c>
      <c r="AH219" t="str">
        <f>"339999"</f>
        <v>339999</v>
      </c>
      <c r="AI219" t="s">
        <v>287</v>
      </c>
      <c r="AJ219" t="s">
        <v>1106</v>
      </c>
      <c r="AK219" t="s">
        <v>1861</v>
      </c>
      <c r="AL219" t="s">
        <v>134</v>
      </c>
      <c r="AM219" t="s">
        <v>7932</v>
      </c>
      <c r="AN219" t="s">
        <v>2377</v>
      </c>
      <c r="AO219" t="s">
        <v>4815</v>
      </c>
      <c r="AP219" t="s">
        <v>1243</v>
      </c>
      <c r="AQ219" s="5">
        <v>83814</v>
      </c>
      <c r="AR219" t="s">
        <v>128</v>
      </c>
      <c r="AT219" s="4">
        <v>12087772654</v>
      </c>
      <c r="AV219" t="s">
        <v>9403</v>
      </c>
      <c r="AW219" t="s">
        <v>4715</v>
      </c>
      <c r="AX219" t="s">
        <v>131</v>
      </c>
      <c r="AY219" t="s">
        <v>131</v>
      </c>
      <c r="AZ219" t="s">
        <v>131</v>
      </c>
      <c r="BA219" t="s">
        <v>131</v>
      </c>
      <c r="BB219" t="s">
        <v>131</v>
      </c>
      <c r="BC219" t="s">
        <v>131</v>
      </c>
      <c r="BD219" t="s">
        <v>131</v>
      </c>
      <c r="BE219" t="s">
        <v>132</v>
      </c>
      <c r="BH219" t="s">
        <v>10405</v>
      </c>
      <c r="BI219" t="s">
        <v>131</v>
      </c>
      <c r="BL219" t="s">
        <v>167</v>
      </c>
      <c r="BO219" t="s">
        <v>131</v>
      </c>
      <c r="BP219" t="s">
        <v>134</v>
      </c>
      <c r="BQ219" t="s">
        <v>131</v>
      </c>
      <c r="BS219" t="str">
        <f t="shared" si="16"/>
        <v>N/A</v>
      </c>
      <c r="BT219" t="s">
        <v>135</v>
      </c>
      <c r="BU219">
        <v>1</v>
      </c>
      <c r="BV219" t="str">
        <f>"wreath assembly"</f>
        <v>wreath assembly</v>
      </c>
      <c r="BW219" t="s">
        <v>135</v>
      </c>
      <c r="BX219" t="str">
        <f>""</f>
        <v/>
      </c>
      <c r="BY219" t="str">
        <f>""</f>
        <v/>
      </c>
      <c r="BZ219" t="str">
        <f>""</f>
        <v/>
      </c>
      <c r="CA219" s="2" t="s">
        <v>10406</v>
      </c>
      <c r="CB219" t="s">
        <v>131</v>
      </c>
      <c r="CF219" t="s">
        <v>131</v>
      </c>
      <c r="CH219" t="str">
        <f>""</f>
        <v/>
      </c>
      <c r="CI219" t="s">
        <v>131</v>
      </c>
      <c r="CK219" t="s">
        <v>131</v>
      </c>
      <c r="CL219" t="str">
        <f>""</f>
        <v/>
      </c>
      <c r="CM219" t="str">
        <f>""</f>
        <v/>
      </c>
      <c r="CN219" t="str">
        <f>""</f>
        <v/>
      </c>
      <c r="CO219" t="str">
        <f>""</f>
        <v/>
      </c>
      <c r="CP219" t="str">
        <f>"45-2092.00"</f>
        <v>45-2092.00</v>
      </c>
      <c r="CQ219" t="s">
        <v>3820</v>
      </c>
      <c r="CS219" t="s">
        <v>131</v>
      </c>
      <c r="CU219" t="s">
        <v>19038</v>
      </c>
      <c r="CW219" t="s">
        <v>17962</v>
      </c>
      <c r="CX219" t="s">
        <v>249</v>
      </c>
      <c r="CZ219" s="3" t="str">
        <f>"55077"</f>
        <v>55077</v>
      </c>
      <c r="DA219" t="s">
        <v>131</v>
      </c>
      <c r="DB219" t="str">
        <f>"45-2092"</f>
        <v>45-2092</v>
      </c>
      <c r="DC219" t="s">
        <v>3820</v>
      </c>
      <c r="DD219" t="s">
        <v>10470</v>
      </c>
      <c r="DE219" t="s">
        <v>3197</v>
      </c>
      <c r="DF219" t="str">
        <f>""</f>
        <v/>
      </c>
      <c r="DH219" s="6">
        <v>15.4</v>
      </c>
      <c r="DI219" t="s">
        <v>344</v>
      </c>
      <c r="DK219" t="s">
        <v>345</v>
      </c>
      <c r="DR219" t="s">
        <v>11087</v>
      </c>
      <c r="DS219" s="6">
        <v>15.4</v>
      </c>
      <c r="DT219" t="s">
        <v>424</v>
      </c>
      <c r="DU219" s="1">
        <v>44351</v>
      </c>
      <c r="DV219" s="1">
        <v>44440</v>
      </c>
    </row>
    <row r="220" spans="1:126" ht="15" customHeight="1" x14ac:dyDescent="0.35">
      <c r="A220" t="s">
        <v>20003</v>
      </c>
      <c r="B220" t="s">
        <v>318</v>
      </c>
      <c r="C220" s="1">
        <v>44323</v>
      </c>
      <c r="D220" s="1">
        <v>44350</v>
      </c>
      <c r="H220" t="s">
        <v>319</v>
      </c>
      <c r="I220" t="s">
        <v>20004</v>
      </c>
      <c r="J220" t="s">
        <v>301</v>
      </c>
      <c r="K220" t="s">
        <v>589</v>
      </c>
      <c r="L220" t="s">
        <v>3922</v>
      </c>
      <c r="M220" t="s">
        <v>20005</v>
      </c>
      <c r="O220" t="s">
        <v>20006</v>
      </c>
      <c r="P220" t="s">
        <v>539</v>
      </c>
      <c r="Q220" s="3">
        <v>60140</v>
      </c>
      <c r="R220" t="s">
        <v>128</v>
      </c>
      <c r="T220" s="4">
        <v>18476839933</v>
      </c>
      <c r="V220" t="s">
        <v>134</v>
      </c>
      <c r="W220" t="s">
        <v>20007</v>
      </c>
      <c r="Y220" t="s">
        <v>20005</v>
      </c>
      <c r="AA220" t="s">
        <v>20006</v>
      </c>
      <c r="AB220" t="s">
        <v>263</v>
      </c>
      <c r="AC220" s="3" t="str">
        <f>"60140"</f>
        <v>60140</v>
      </c>
      <c r="AD220" t="s">
        <v>128</v>
      </c>
      <c r="AF220" s="4">
        <v>18476839933</v>
      </c>
      <c r="AH220" t="str">
        <f>"56173"</f>
        <v>56173</v>
      </c>
      <c r="AI220" t="s">
        <v>287</v>
      </c>
      <c r="AJ220" t="s">
        <v>2917</v>
      </c>
      <c r="AK220" t="s">
        <v>2918</v>
      </c>
      <c r="AM220" t="s">
        <v>2919</v>
      </c>
      <c r="AN220" t="s">
        <v>2920</v>
      </c>
      <c r="AO220" t="s">
        <v>2921</v>
      </c>
      <c r="AP220" t="s">
        <v>306</v>
      </c>
      <c r="AQ220" s="5">
        <v>22949</v>
      </c>
      <c r="AR220" t="s">
        <v>128</v>
      </c>
      <c r="AT220" s="4">
        <v>14342634300</v>
      </c>
      <c r="AV220" t="s">
        <v>2922</v>
      </c>
      <c r="AW220" t="s">
        <v>2923</v>
      </c>
      <c r="AX220" t="s">
        <v>131</v>
      </c>
      <c r="AY220" t="s">
        <v>131</v>
      </c>
      <c r="AZ220" t="s">
        <v>131</v>
      </c>
      <c r="BA220" t="s">
        <v>131</v>
      </c>
      <c r="BB220" t="s">
        <v>131</v>
      </c>
      <c r="BC220" t="s">
        <v>131</v>
      </c>
      <c r="BD220" t="s">
        <v>131</v>
      </c>
      <c r="BE220" t="s">
        <v>132</v>
      </c>
      <c r="BH220" t="s">
        <v>5049</v>
      </c>
      <c r="BI220" t="s">
        <v>131</v>
      </c>
      <c r="BL220" t="s">
        <v>167</v>
      </c>
      <c r="BO220" t="s">
        <v>131</v>
      </c>
      <c r="BP220" t="s">
        <v>134</v>
      </c>
      <c r="BQ220" t="s">
        <v>131</v>
      </c>
      <c r="BS220" t="str">
        <f t="shared" si="16"/>
        <v>N/A</v>
      </c>
      <c r="BT220" t="s">
        <v>131</v>
      </c>
      <c r="BV220" t="str">
        <f>""</f>
        <v/>
      </c>
      <c r="BW220" t="s">
        <v>135</v>
      </c>
      <c r="BX220" t="str">
        <f>""</f>
        <v/>
      </c>
      <c r="BY220" t="str">
        <f>""</f>
        <v/>
      </c>
      <c r="BZ220" t="str">
        <f>""</f>
        <v/>
      </c>
      <c r="CA220" t="str">
        <f>"Must lift/carry 50 lbs., when necessary.  Saturday work required, when necessary.  Post-hire post-accident drug testing required of foreign and domestic workers."</f>
        <v>Must lift/carry 50 lbs., when necessary.  Saturday work required, when necessary.  Post-hire post-accident drug testing required of foreign and domestic workers.</v>
      </c>
      <c r="CB220" t="s">
        <v>131</v>
      </c>
      <c r="CF220" t="s">
        <v>131</v>
      </c>
      <c r="CH220" t="str">
        <f>""</f>
        <v/>
      </c>
      <c r="CI220" t="s">
        <v>131</v>
      </c>
      <c r="CK220" t="s">
        <v>131</v>
      </c>
      <c r="CL220" t="str">
        <f>""</f>
        <v/>
      </c>
      <c r="CM220" t="str">
        <f>""</f>
        <v/>
      </c>
      <c r="CN220" t="str">
        <f>""</f>
        <v/>
      </c>
      <c r="CO220" t="str">
        <f>""</f>
        <v/>
      </c>
      <c r="CP220" t="str">
        <f>"37-3011.00"</f>
        <v>37-3011.00</v>
      </c>
      <c r="CQ220" t="s">
        <v>920</v>
      </c>
      <c r="CR220" t="s">
        <v>2924</v>
      </c>
      <c r="CS220" t="s">
        <v>135</v>
      </c>
      <c r="CT220" t="s">
        <v>2925</v>
      </c>
      <c r="CU220" t="s">
        <v>20008</v>
      </c>
      <c r="CW220" t="s">
        <v>20006</v>
      </c>
      <c r="CX220" t="s">
        <v>263</v>
      </c>
      <c r="CZ220" s="3" t="str">
        <f>"60140"</f>
        <v>60140</v>
      </c>
      <c r="DA220" t="s">
        <v>135</v>
      </c>
      <c r="DB220" t="str">
        <f>"37-3011"</f>
        <v>37-3011</v>
      </c>
      <c r="DC220" t="s">
        <v>920</v>
      </c>
      <c r="DD220" t="s">
        <v>134</v>
      </c>
      <c r="DE220" t="s">
        <v>134</v>
      </c>
      <c r="DF220" t="str">
        <f>""</f>
        <v/>
      </c>
      <c r="DH220" s="6">
        <v>16.34</v>
      </c>
      <c r="DI220" t="s">
        <v>344</v>
      </c>
      <c r="DK220" t="s">
        <v>345</v>
      </c>
      <c r="DS220" s="6">
        <v>16.34</v>
      </c>
      <c r="DT220" s="2" t="s">
        <v>347</v>
      </c>
      <c r="DU220" s="1">
        <v>44350</v>
      </c>
      <c r="DV220" s="1">
        <v>44439</v>
      </c>
    </row>
    <row r="221" spans="1:126" ht="15" customHeight="1" x14ac:dyDescent="0.35">
      <c r="A221" t="s">
        <v>9395</v>
      </c>
      <c r="B221" t="s">
        <v>318</v>
      </c>
      <c r="C221" s="1">
        <v>44323</v>
      </c>
      <c r="D221" s="1">
        <v>44355</v>
      </c>
      <c r="H221" t="s">
        <v>319</v>
      </c>
      <c r="I221" t="s">
        <v>9396</v>
      </c>
      <c r="J221" t="s">
        <v>9397</v>
      </c>
      <c r="L221" t="s">
        <v>2185</v>
      </c>
      <c r="M221" t="s">
        <v>9398</v>
      </c>
      <c r="O221" t="s">
        <v>9399</v>
      </c>
      <c r="P221" t="s">
        <v>1217</v>
      </c>
      <c r="Q221" s="3">
        <v>36544</v>
      </c>
      <c r="R221" t="s">
        <v>128</v>
      </c>
      <c r="T221" s="4">
        <v>12518241760</v>
      </c>
      <c r="V221" t="s">
        <v>9400</v>
      </c>
      <c r="W221" t="s">
        <v>9401</v>
      </c>
      <c r="Y221" t="s">
        <v>9402</v>
      </c>
      <c r="AA221" t="s">
        <v>9399</v>
      </c>
      <c r="AB221" t="s">
        <v>1218</v>
      </c>
      <c r="AC221" s="3" t="str">
        <f>"36544"</f>
        <v>36544</v>
      </c>
      <c r="AD221" t="s">
        <v>128</v>
      </c>
      <c r="AF221" s="4">
        <v>12518241760</v>
      </c>
      <c r="AH221" t="str">
        <f>"31171"</f>
        <v>31171</v>
      </c>
      <c r="AI221" t="s">
        <v>287</v>
      </c>
      <c r="AJ221" t="s">
        <v>1106</v>
      </c>
      <c r="AK221" t="s">
        <v>1861</v>
      </c>
      <c r="AL221" t="s">
        <v>134</v>
      </c>
      <c r="AM221" t="s">
        <v>7932</v>
      </c>
      <c r="AN221" t="s">
        <v>2377</v>
      </c>
      <c r="AO221" t="s">
        <v>4815</v>
      </c>
      <c r="AP221" t="s">
        <v>1243</v>
      </c>
      <c r="AQ221" s="5">
        <v>83814</v>
      </c>
      <c r="AR221" t="s">
        <v>128</v>
      </c>
      <c r="AT221" s="4">
        <v>12087772654</v>
      </c>
      <c r="AV221" t="s">
        <v>9403</v>
      </c>
      <c r="AW221" t="s">
        <v>4715</v>
      </c>
      <c r="AX221" t="s">
        <v>131</v>
      </c>
      <c r="AY221" t="s">
        <v>131</v>
      </c>
      <c r="AZ221" t="s">
        <v>131</v>
      </c>
      <c r="BA221" t="s">
        <v>131</v>
      </c>
      <c r="BB221" t="s">
        <v>131</v>
      </c>
      <c r="BC221" t="s">
        <v>131</v>
      </c>
      <c r="BD221" t="s">
        <v>131</v>
      </c>
      <c r="BE221" t="s">
        <v>132</v>
      </c>
      <c r="BH221" t="s">
        <v>9404</v>
      </c>
      <c r="BI221" t="s">
        <v>131</v>
      </c>
      <c r="BL221" t="s">
        <v>167</v>
      </c>
      <c r="BO221" t="s">
        <v>131</v>
      </c>
      <c r="BP221" t="s">
        <v>134</v>
      </c>
      <c r="BQ221" t="s">
        <v>131</v>
      </c>
      <c r="BS221" t="str">
        <f t="shared" si="16"/>
        <v>N/A</v>
      </c>
      <c r="BT221" t="s">
        <v>135</v>
      </c>
      <c r="BU221">
        <v>3</v>
      </c>
      <c r="BV221" t="str">
        <f>"oyster shucking"</f>
        <v>oyster shucking</v>
      </c>
      <c r="BW221" t="s">
        <v>135</v>
      </c>
      <c r="BX221" t="str">
        <f>""</f>
        <v/>
      </c>
      <c r="BY221" t="str">
        <f>""</f>
        <v/>
      </c>
      <c r="BZ221" t="str">
        <f>""</f>
        <v/>
      </c>
      <c r="CA221" s="2" t="s">
        <v>9405</v>
      </c>
      <c r="CB221" t="s">
        <v>131</v>
      </c>
      <c r="CF221" t="s">
        <v>131</v>
      </c>
      <c r="CH221" t="str">
        <f>""</f>
        <v/>
      </c>
      <c r="CI221" t="s">
        <v>131</v>
      </c>
      <c r="CK221" t="s">
        <v>131</v>
      </c>
      <c r="CL221" t="str">
        <f>""</f>
        <v/>
      </c>
      <c r="CM221" t="str">
        <f>""</f>
        <v/>
      </c>
      <c r="CN221" t="str">
        <f>""</f>
        <v/>
      </c>
      <c r="CO221" t="str">
        <f>""</f>
        <v/>
      </c>
      <c r="CP221" t="str">
        <f>"51-3022.00"</f>
        <v>51-3022.00</v>
      </c>
      <c r="CQ221" t="s">
        <v>1114</v>
      </c>
      <c r="CS221" t="s">
        <v>131</v>
      </c>
      <c r="CU221" t="s">
        <v>9402</v>
      </c>
      <c r="CW221" t="s">
        <v>9399</v>
      </c>
      <c r="CX221" t="s">
        <v>1218</v>
      </c>
      <c r="CZ221" s="3" t="str">
        <f>"36544"</f>
        <v>36544</v>
      </c>
      <c r="DA221" t="s">
        <v>131</v>
      </c>
      <c r="DB221" t="str">
        <f>"51-3022"</f>
        <v>51-3022</v>
      </c>
      <c r="DC221" t="s">
        <v>1114</v>
      </c>
      <c r="DD221" t="s">
        <v>134</v>
      </c>
      <c r="DE221" t="s">
        <v>134</v>
      </c>
      <c r="DF221" t="str">
        <f>""</f>
        <v/>
      </c>
      <c r="DH221" s="6">
        <v>10.76</v>
      </c>
      <c r="DI221" t="s">
        <v>344</v>
      </c>
      <c r="DK221" t="s">
        <v>345</v>
      </c>
      <c r="DR221" t="s">
        <v>9406</v>
      </c>
      <c r="DS221" s="6">
        <v>10.76</v>
      </c>
      <c r="DT221" t="s">
        <v>424</v>
      </c>
      <c r="DU221" s="1">
        <v>44355</v>
      </c>
      <c r="DV221" s="1">
        <v>44444</v>
      </c>
    </row>
    <row r="222" spans="1:126" ht="15" customHeight="1" x14ac:dyDescent="0.35">
      <c r="A222" t="s">
        <v>11083</v>
      </c>
      <c r="B222" t="s">
        <v>318</v>
      </c>
      <c r="C222" s="1">
        <v>44323</v>
      </c>
      <c r="D222" s="1">
        <v>44357</v>
      </c>
      <c r="H222" t="s">
        <v>319</v>
      </c>
      <c r="I222" t="s">
        <v>11084</v>
      </c>
      <c r="J222" t="s">
        <v>1060</v>
      </c>
      <c r="L222" t="s">
        <v>583</v>
      </c>
      <c r="M222" t="s">
        <v>10407</v>
      </c>
      <c r="O222" t="s">
        <v>10408</v>
      </c>
      <c r="P222" t="s">
        <v>248</v>
      </c>
      <c r="Q222" s="3">
        <v>55304</v>
      </c>
      <c r="R222" t="s">
        <v>128</v>
      </c>
      <c r="T222" s="4">
        <v>17634138260</v>
      </c>
      <c r="V222" t="s">
        <v>2647</v>
      </c>
      <c r="W222" t="s">
        <v>11085</v>
      </c>
      <c r="Y222" t="s">
        <v>10407</v>
      </c>
      <c r="AA222" t="s">
        <v>10408</v>
      </c>
      <c r="AB222" t="s">
        <v>249</v>
      </c>
      <c r="AC222" s="3" t="str">
        <f>"55304"</f>
        <v>55304</v>
      </c>
      <c r="AD222" t="s">
        <v>128</v>
      </c>
      <c r="AF222" s="4">
        <v>17634138260</v>
      </c>
      <c r="AH222" t="str">
        <f>"111422"</f>
        <v>111422</v>
      </c>
      <c r="AI222" t="s">
        <v>287</v>
      </c>
      <c r="AJ222" t="s">
        <v>2649</v>
      </c>
      <c r="AK222" t="s">
        <v>2371</v>
      </c>
      <c r="AM222" t="s">
        <v>2650</v>
      </c>
      <c r="AO222" t="s">
        <v>2651</v>
      </c>
      <c r="AP222" t="s">
        <v>1336</v>
      </c>
      <c r="AQ222" s="5">
        <v>74132</v>
      </c>
      <c r="AR222" t="s">
        <v>128</v>
      </c>
      <c r="AS222" t="s">
        <v>2652</v>
      </c>
      <c r="AT222" s="4">
        <v>19189065212</v>
      </c>
      <c r="AV222" t="s">
        <v>2647</v>
      </c>
      <c r="AW222" t="s">
        <v>2653</v>
      </c>
      <c r="AX222" t="s">
        <v>131</v>
      </c>
      <c r="AY222" t="s">
        <v>131</v>
      </c>
      <c r="AZ222" t="s">
        <v>131</v>
      </c>
      <c r="BA222" t="s">
        <v>131</v>
      </c>
      <c r="BB222" t="s">
        <v>131</v>
      </c>
      <c r="BC222" t="s">
        <v>131</v>
      </c>
      <c r="BD222" t="s">
        <v>131</v>
      </c>
      <c r="BE222" t="s">
        <v>132</v>
      </c>
      <c r="BH222" t="s">
        <v>11086</v>
      </c>
      <c r="BI222" t="s">
        <v>131</v>
      </c>
      <c r="BL222" t="s">
        <v>167</v>
      </c>
      <c r="BO222" t="s">
        <v>131</v>
      </c>
      <c r="BP222" t="s">
        <v>134</v>
      </c>
      <c r="BQ222" t="s">
        <v>131</v>
      </c>
      <c r="BS222" t="str">
        <f t="shared" si="16"/>
        <v>N/A</v>
      </c>
      <c r="BT222" t="s">
        <v>131</v>
      </c>
      <c r="BV222" t="str">
        <f>""</f>
        <v/>
      </c>
      <c r="BW222" t="s">
        <v>135</v>
      </c>
      <c r="BX222" t="str">
        <f>""</f>
        <v/>
      </c>
      <c r="BY222" t="str">
        <f>""</f>
        <v/>
      </c>
      <c r="BZ222" t="str">
        <f>""</f>
        <v/>
      </c>
      <c r="CA222" t="str">
        <f>"Ability to stand during working hours, ability to move raw materials weighing up to 40 pounds and products weighing up to 15 pounds"</f>
        <v>Ability to stand during working hours, ability to move raw materials weighing up to 40 pounds and products weighing up to 15 pounds</v>
      </c>
      <c r="CB222" t="s">
        <v>131</v>
      </c>
      <c r="CF222" t="s">
        <v>131</v>
      </c>
      <c r="CH222" t="str">
        <f>""</f>
        <v/>
      </c>
      <c r="CI222" t="s">
        <v>131</v>
      </c>
      <c r="CK222" t="s">
        <v>131</v>
      </c>
      <c r="CL222" t="str">
        <f>""</f>
        <v/>
      </c>
      <c r="CM222" t="str">
        <f>""</f>
        <v/>
      </c>
      <c r="CN222" t="str">
        <f>""</f>
        <v/>
      </c>
      <c r="CO222" t="str">
        <f>""</f>
        <v/>
      </c>
      <c r="CP222" t="str">
        <f>"51-9198.00"</f>
        <v>51-9198.00</v>
      </c>
      <c r="CQ222" t="s">
        <v>2685</v>
      </c>
      <c r="CR222" t="s">
        <v>918</v>
      </c>
      <c r="CS222" t="s">
        <v>131</v>
      </c>
      <c r="CU222" t="s">
        <v>10407</v>
      </c>
      <c r="CW222" t="s">
        <v>10408</v>
      </c>
      <c r="CX222" t="s">
        <v>249</v>
      </c>
      <c r="CZ222" s="3" t="str">
        <f>"55304"</f>
        <v>55304</v>
      </c>
      <c r="DA222" t="s">
        <v>131</v>
      </c>
      <c r="DB222" t="str">
        <f>"51-9198"</f>
        <v>51-9198</v>
      </c>
      <c r="DC222" t="s">
        <v>2685</v>
      </c>
      <c r="DD222" t="s">
        <v>134</v>
      </c>
      <c r="DE222" t="s">
        <v>134</v>
      </c>
      <c r="DF222" t="str">
        <f>""</f>
        <v/>
      </c>
      <c r="DH222" s="6">
        <v>15.07</v>
      </c>
      <c r="DI222" t="s">
        <v>344</v>
      </c>
      <c r="DK222" t="s">
        <v>345</v>
      </c>
      <c r="DR222" t="s">
        <v>11087</v>
      </c>
      <c r="DS222" s="6">
        <v>15.07</v>
      </c>
      <c r="DT222" t="s">
        <v>424</v>
      </c>
      <c r="DU222" s="1">
        <v>44357</v>
      </c>
      <c r="DV222" s="1">
        <v>44446</v>
      </c>
    </row>
    <row r="223" spans="1:126" ht="15" customHeight="1" x14ac:dyDescent="0.35">
      <c r="A223" t="s">
        <v>11772</v>
      </c>
      <c r="B223" t="s">
        <v>318</v>
      </c>
      <c r="C223" s="1">
        <v>44323</v>
      </c>
      <c r="D223" s="1">
        <v>44350</v>
      </c>
      <c r="H223" t="s">
        <v>319</v>
      </c>
      <c r="I223" t="s">
        <v>4717</v>
      </c>
      <c r="J223" t="s">
        <v>11773</v>
      </c>
      <c r="L223" t="s">
        <v>1105</v>
      </c>
      <c r="M223" t="s">
        <v>11774</v>
      </c>
      <c r="O223" t="s">
        <v>11775</v>
      </c>
      <c r="P223" t="s">
        <v>412</v>
      </c>
      <c r="Q223" s="3">
        <v>78006</v>
      </c>
      <c r="R223" t="s">
        <v>128</v>
      </c>
      <c r="T223" s="4">
        <v>19408388300</v>
      </c>
      <c r="V223" t="s">
        <v>2647</v>
      </c>
      <c r="W223" t="s">
        <v>11776</v>
      </c>
      <c r="Y223" t="s">
        <v>11774</v>
      </c>
      <c r="AA223" t="s">
        <v>11775</v>
      </c>
      <c r="AB223" t="s">
        <v>400</v>
      </c>
      <c r="AC223" s="3" t="str">
        <f>"78006"</f>
        <v>78006</v>
      </c>
      <c r="AD223" t="s">
        <v>128</v>
      </c>
      <c r="AF223" s="4">
        <v>19408388300</v>
      </c>
      <c r="AH223" t="str">
        <f>"311612"</f>
        <v>311612</v>
      </c>
      <c r="AI223" t="s">
        <v>287</v>
      </c>
      <c r="AJ223" t="s">
        <v>2649</v>
      </c>
      <c r="AK223" t="s">
        <v>2371</v>
      </c>
      <c r="AM223" t="s">
        <v>2650</v>
      </c>
      <c r="AO223" t="s">
        <v>2651</v>
      </c>
      <c r="AP223" t="s">
        <v>1336</v>
      </c>
      <c r="AQ223" s="5">
        <v>74132</v>
      </c>
      <c r="AR223" t="s">
        <v>128</v>
      </c>
      <c r="AS223" t="s">
        <v>2652</v>
      </c>
      <c r="AT223" s="4">
        <v>19189065212</v>
      </c>
      <c r="AV223" t="s">
        <v>2647</v>
      </c>
      <c r="AW223" t="s">
        <v>2653</v>
      </c>
      <c r="AX223" t="s">
        <v>131</v>
      </c>
      <c r="AY223" t="s">
        <v>131</v>
      </c>
      <c r="AZ223" t="s">
        <v>131</v>
      </c>
      <c r="BA223" t="s">
        <v>131</v>
      </c>
      <c r="BB223" t="s">
        <v>131</v>
      </c>
      <c r="BC223" t="s">
        <v>131</v>
      </c>
      <c r="BD223" t="s">
        <v>131</v>
      </c>
      <c r="BE223" t="s">
        <v>132</v>
      </c>
      <c r="BH223" t="s">
        <v>5705</v>
      </c>
      <c r="BI223" t="s">
        <v>131</v>
      </c>
      <c r="BL223" t="s">
        <v>167</v>
      </c>
      <c r="BO223" t="s">
        <v>131</v>
      </c>
      <c r="BP223" t="s">
        <v>134</v>
      </c>
      <c r="BQ223" t="s">
        <v>131</v>
      </c>
      <c r="BS223" t="str">
        <f t="shared" si="16"/>
        <v>N/A</v>
      </c>
      <c r="BT223" t="s">
        <v>131</v>
      </c>
      <c r="BV223" t="str">
        <f>""</f>
        <v/>
      </c>
      <c r="BW223" t="s">
        <v>131</v>
      </c>
      <c r="BX223" t="str">
        <f>""</f>
        <v/>
      </c>
      <c r="BY223" t="str">
        <f>""</f>
        <v/>
      </c>
      <c r="BZ223" t="str">
        <f>""</f>
        <v/>
      </c>
      <c r="CA223" t="str">
        <f>""</f>
        <v/>
      </c>
      <c r="CB223" t="s">
        <v>131</v>
      </c>
      <c r="CF223" t="s">
        <v>131</v>
      </c>
      <c r="CH223" t="str">
        <f>""</f>
        <v/>
      </c>
      <c r="CI223" t="s">
        <v>131</v>
      </c>
      <c r="CK223" t="s">
        <v>131</v>
      </c>
      <c r="CL223" t="str">
        <f>""</f>
        <v/>
      </c>
      <c r="CM223" t="str">
        <f>""</f>
        <v/>
      </c>
      <c r="CN223" t="str">
        <f>""</f>
        <v/>
      </c>
      <c r="CO223" t="str">
        <f>""</f>
        <v/>
      </c>
      <c r="CP223" t="str">
        <f>"51-3023.00"</f>
        <v>51-3023.00</v>
      </c>
      <c r="CQ223" t="s">
        <v>5705</v>
      </c>
      <c r="CR223" t="s">
        <v>918</v>
      </c>
      <c r="CS223" t="s">
        <v>131</v>
      </c>
      <c r="CU223" t="s">
        <v>11774</v>
      </c>
      <c r="CW223" t="s">
        <v>11775</v>
      </c>
      <c r="CX223" t="s">
        <v>400</v>
      </c>
      <c r="CZ223" s="3" t="str">
        <f>"78006"</f>
        <v>78006</v>
      </c>
      <c r="DA223" t="s">
        <v>131</v>
      </c>
      <c r="DB223" t="str">
        <f>"51-3023"</f>
        <v>51-3023</v>
      </c>
      <c r="DC223" t="s">
        <v>5705</v>
      </c>
      <c r="DD223" t="s">
        <v>134</v>
      </c>
      <c r="DE223" t="s">
        <v>134</v>
      </c>
      <c r="DF223" t="str">
        <f>""</f>
        <v/>
      </c>
      <c r="DH223" s="6">
        <v>14.8</v>
      </c>
      <c r="DI223" t="s">
        <v>344</v>
      </c>
      <c r="DK223" t="s">
        <v>345</v>
      </c>
      <c r="DR223" t="s">
        <v>3920</v>
      </c>
      <c r="DS223" s="6">
        <v>14.8</v>
      </c>
      <c r="DT223" t="s">
        <v>424</v>
      </c>
      <c r="DU223" s="1">
        <v>44350</v>
      </c>
      <c r="DV223" s="1">
        <v>44439</v>
      </c>
    </row>
    <row r="224" spans="1:126" ht="15" customHeight="1" x14ac:dyDescent="0.35">
      <c r="A224" t="s">
        <v>11664</v>
      </c>
      <c r="B224" t="s">
        <v>318</v>
      </c>
      <c r="C224" s="1">
        <v>44323</v>
      </c>
      <c r="D224" s="1">
        <v>44351</v>
      </c>
      <c r="H224" t="s">
        <v>319</v>
      </c>
      <c r="I224" t="s">
        <v>3912</v>
      </c>
      <c r="J224" t="s">
        <v>3913</v>
      </c>
      <c r="L224" t="s">
        <v>1482</v>
      </c>
      <c r="M224" t="s">
        <v>11665</v>
      </c>
      <c r="O224" t="s">
        <v>3375</v>
      </c>
      <c r="P224" t="s">
        <v>412</v>
      </c>
      <c r="Q224" s="3">
        <v>76712</v>
      </c>
      <c r="R224" t="s">
        <v>128</v>
      </c>
      <c r="T224" s="4">
        <v>12548293800</v>
      </c>
      <c r="V224" t="s">
        <v>134</v>
      </c>
      <c r="W224" t="s">
        <v>11666</v>
      </c>
      <c r="Y224" t="s">
        <v>11665</v>
      </c>
      <c r="AA224" t="s">
        <v>3375</v>
      </c>
      <c r="AB224" t="s">
        <v>400</v>
      </c>
      <c r="AC224" s="3" t="str">
        <f>"76712"</f>
        <v>76712</v>
      </c>
      <c r="AD224" t="s">
        <v>128</v>
      </c>
      <c r="AF224" s="4">
        <v>12548293800</v>
      </c>
      <c r="AH224" t="str">
        <f>"5617"</f>
        <v>5617</v>
      </c>
      <c r="AI224" t="s">
        <v>287</v>
      </c>
      <c r="AJ224" t="s">
        <v>3916</v>
      </c>
      <c r="AK224" t="s">
        <v>1225</v>
      </c>
      <c r="AL224" t="s">
        <v>589</v>
      </c>
      <c r="AM224" t="s">
        <v>3917</v>
      </c>
      <c r="AO224" t="s">
        <v>1513</v>
      </c>
      <c r="AP224" t="s">
        <v>400</v>
      </c>
      <c r="AQ224" s="5">
        <v>75231</v>
      </c>
      <c r="AR224" t="s">
        <v>128</v>
      </c>
      <c r="AT224" s="4">
        <v>12145265665</v>
      </c>
      <c r="AV224" t="s">
        <v>3918</v>
      </c>
      <c r="AW224" t="s">
        <v>3919</v>
      </c>
      <c r="AX224" t="s">
        <v>131</v>
      </c>
      <c r="AY224" t="s">
        <v>131</v>
      </c>
      <c r="AZ224" t="s">
        <v>131</v>
      </c>
      <c r="BA224" t="s">
        <v>131</v>
      </c>
      <c r="BB224" t="s">
        <v>131</v>
      </c>
      <c r="BC224" t="s">
        <v>131</v>
      </c>
      <c r="BD224" t="s">
        <v>131</v>
      </c>
      <c r="BE224" t="s">
        <v>132</v>
      </c>
      <c r="BH224" t="s">
        <v>2215</v>
      </c>
      <c r="BI224" t="s">
        <v>131</v>
      </c>
      <c r="BL224" t="s">
        <v>167</v>
      </c>
      <c r="BO224" t="s">
        <v>131</v>
      </c>
      <c r="BP224" t="s">
        <v>134</v>
      </c>
      <c r="BQ224" t="s">
        <v>131</v>
      </c>
      <c r="BS224" t="str">
        <f t="shared" si="16"/>
        <v>N/A</v>
      </c>
      <c r="BT224" t="s">
        <v>131</v>
      </c>
      <c r="BV224" t="str">
        <f>""</f>
        <v/>
      </c>
      <c r="BW224" t="s">
        <v>135</v>
      </c>
      <c r="BX224" t="str">
        <f>""</f>
        <v/>
      </c>
      <c r="BY224" t="str">
        <f>""</f>
        <v/>
      </c>
      <c r="BZ224" t="str">
        <f>""</f>
        <v/>
      </c>
      <c r="CA224" t="str">
        <f>"Must be able to lift 50 lbs &amp; work in adverse weather conditions."</f>
        <v>Must be able to lift 50 lbs &amp; work in adverse weather conditions.</v>
      </c>
      <c r="CB224" t="s">
        <v>131</v>
      </c>
      <c r="CF224" t="s">
        <v>131</v>
      </c>
      <c r="CH224" t="str">
        <f>""</f>
        <v/>
      </c>
      <c r="CI224" t="s">
        <v>131</v>
      </c>
      <c r="CK224" t="s">
        <v>131</v>
      </c>
      <c r="CL224" t="str">
        <f>""</f>
        <v/>
      </c>
      <c r="CM224" t="str">
        <f>""</f>
        <v/>
      </c>
      <c r="CN224" t="str">
        <f>""</f>
        <v/>
      </c>
      <c r="CO224" t="str">
        <f>""</f>
        <v/>
      </c>
      <c r="CP224" t="str">
        <f>"37-3011.00"</f>
        <v>37-3011.00</v>
      </c>
      <c r="CQ224" t="s">
        <v>920</v>
      </c>
      <c r="CS224" t="s">
        <v>131</v>
      </c>
      <c r="CU224" t="s">
        <v>11665</v>
      </c>
      <c r="CW224" t="s">
        <v>3375</v>
      </c>
      <c r="CX224" t="s">
        <v>400</v>
      </c>
      <c r="CZ224" s="3" t="str">
        <f>"76712"</f>
        <v>76712</v>
      </c>
      <c r="DA224" t="s">
        <v>135</v>
      </c>
      <c r="DB224" t="str">
        <f>"37-3011"</f>
        <v>37-3011</v>
      </c>
      <c r="DC224" t="s">
        <v>920</v>
      </c>
      <c r="DD224" t="s">
        <v>134</v>
      </c>
      <c r="DE224" t="s">
        <v>134</v>
      </c>
      <c r="DF224" t="str">
        <f>""</f>
        <v/>
      </c>
      <c r="DH224" s="6">
        <v>12.4</v>
      </c>
      <c r="DI224" t="s">
        <v>344</v>
      </c>
      <c r="DK224" t="s">
        <v>345</v>
      </c>
      <c r="DS224" s="6">
        <v>13.93</v>
      </c>
      <c r="DT224" t="s">
        <v>424</v>
      </c>
      <c r="DU224" s="1">
        <v>44351</v>
      </c>
      <c r="DV224" s="1">
        <v>44440</v>
      </c>
    </row>
    <row r="225" spans="1:126" ht="15" customHeight="1" x14ac:dyDescent="0.35">
      <c r="A225" t="s">
        <v>9038</v>
      </c>
      <c r="B225" t="s">
        <v>318</v>
      </c>
      <c r="C225" s="1">
        <v>44323</v>
      </c>
      <c r="D225" s="1">
        <v>44355</v>
      </c>
      <c r="H225" t="s">
        <v>319</v>
      </c>
      <c r="I225" t="s">
        <v>9039</v>
      </c>
      <c r="J225" t="s">
        <v>2004</v>
      </c>
      <c r="L225" t="s">
        <v>395</v>
      </c>
      <c r="M225" t="s">
        <v>9040</v>
      </c>
      <c r="O225" t="s">
        <v>9041</v>
      </c>
      <c r="P225" t="s">
        <v>1174</v>
      </c>
      <c r="Q225" s="3">
        <v>97502</v>
      </c>
      <c r="R225" t="s">
        <v>128</v>
      </c>
      <c r="T225" s="4">
        <v>14582209578</v>
      </c>
      <c r="V225" t="s">
        <v>9042</v>
      </c>
      <c r="W225" t="s">
        <v>9043</v>
      </c>
      <c r="Y225" t="s">
        <v>9040</v>
      </c>
      <c r="AA225" t="s">
        <v>9041</v>
      </c>
      <c r="AB225" t="s">
        <v>1512</v>
      </c>
      <c r="AC225" s="3" t="str">
        <f>"97502"</f>
        <v>97502</v>
      </c>
      <c r="AD225" t="s">
        <v>128</v>
      </c>
      <c r="AF225" s="4">
        <v>14582209578</v>
      </c>
      <c r="AH225" t="str">
        <f>"11531"</f>
        <v>11531</v>
      </c>
      <c r="AI225" t="s">
        <v>287</v>
      </c>
      <c r="AJ225" t="s">
        <v>7931</v>
      </c>
      <c r="AK225" t="s">
        <v>3626</v>
      </c>
      <c r="AL225" t="s">
        <v>134</v>
      </c>
      <c r="AM225" t="s">
        <v>7932</v>
      </c>
      <c r="AN225" t="s">
        <v>2377</v>
      </c>
      <c r="AO225" t="s">
        <v>4815</v>
      </c>
      <c r="AP225" t="s">
        <v>1243</v>
      </c>
      <c r="AQ225" s="5">
        <v>83814</v>
      </c>
      <c r="AR225" t="s">
        <v>128</v>
      </c>
      <c r="AT225" s="4">
        <v>12087772654</v>
      </c>
      <c r="AV225" t="s">
        <v>7933</v>
      </c>
      <c r="AW225" t="s">
        <v>4715</v>
      </c>
      <c r="AX225" t="s">
        <v>131</v>
      </c>
      <c r="AY225" t="s">
        <v>131</v>
      </c>
      <c r="AZ225" t="s">
        <v>131</v>
      </c>
      <c r="BA225" t="s">
        <v>131</v>
      </c>
      <c r="BB225" t="s">
        <v>131</v>
      </c>
      <c r="BC225" t="s">
        <v>131</v>
      </c>
      <c r="BD225" t="s">
        <v>131</v>
      </c>
      <c r="BE225" t="s">
        <v>132</v>
      </c>
      <c r="BH225" t="s">
        <v>6431</v>
      </c>
      <c r="BI225" t="s">
        <v>131</v>
      </c>
      <c r="BL225" t="s">
        <v>167</v>
      </c>
      <c r="BO225" t="s">
        <v>131</v>
      </c>
      <c r="BP225" t="s">
        <v>134</v>
      </c>
      <c r="BQ225" t="s">
        <v>131</v>
      </c>
      <c r="BS225" t="str">
        <f t="shared" si="16"/>
        <v>N/A</v>
      </c>
      <c r="BT225" t="s">
        <v>135</v>
      </c>
      <c r="BU225">
        <v>3</v>
      </c>
      <c r="BV225" t="str">
        <f>"Commercial Brushsaw/Chainsaw"</f>
        <v>Commercial Brushsaw/Chainsaw</v>
      </c>
      <c r="BW225" t="s">
        <v>135</v>
      </c>
      <c r="BX225" t="str">
        <f>""</f>
        <v/>
      </c>
      <c r="BY225" t="str">
        <f>""</f>
        <v/>
      </c>
      <c r="BZ225" t="str">
        <f>""</f>
        <v/>
      </c>
      <c r="CA225" t="s">
        <v>7623</v>
      </c>
      <c r="CB225" t="s">
        <v>131</v>
      </c>
      <c r="CF225" t="s">
        <v>131</v>
      </c>
      <c r="CH225" t="str">
        <f>""</f>
        <v/>
      </c>
      <c r="CI225" t="s">
        <v>131</v>
      </c>
      <c r="CK225" t="s">
        <v>131</v>
      </c>
      <c r="CL225" t="str">
        <f>""</f>
        <v/>
      </c>
      <c r="CM225" t="str">
        <f>""</f>
        <v/>
      </c>
      <c r="CN225" t="str">
        <f>""</f>
        <v/>
      </c>
      <c r="CO225" t="str">
        <f>""</f>
        <v/>
      </c>
      <c r="CP225" t="str">
        <f>"45-4011.00"</f>
        <v>45-4011.00</v>
      </c>
      <c r="CQ225" t="s">
        <v>4310</v>
      </c>
      <c r="CS225" t="s">
        <v>135</v>
      </c>
      <c r="CT225" t="s">
        <v>9044</v>
      </c>
      <c r="CU225" t="s">
        <v>9045</v>
      </c>
      <c r="CW225" t="s">
        <v>9041</v>
      </c>
      <c r="CX225" t="s">
        <v>1512</v>
      </c>
      <c r="CZ225" s="3" t="str">
        <f>"97502"</f>
        <v>97502</v>
      </c>
      <c r="DA225" t="s">
        <v>135</v>
      </c>
      <c r="DB225" t="str">
        <f>"45-4011"</f>
        <v>45-4011</v>
      </c>
      <c r="DC225" t="s">
        <v>4310</v>
      </c>
      <c r="DD225" t="s">
        <v>134</v>
      </c>
      <c r="DE225" t="s">
        <v>134</v>
      </c>
      <c r="DF225" t="str">
        <f>""</f>
        <v/>
      </c>
      <c r="DH225" s="6">
        <v>18.899999999999999</v>
      </c>
      <c r="DI225" t="s">
        <v>344</v>
      </c>
      <c r="DK225" t="s">
        <v>345</v>
      </c>
      <c r="DR225" t="s">
        <v>9046</v>
      </c>
      <c r="DS225" s="6">
        <v>20.04</v>
      </c>
      <c r="DT225" s="2" t="s">
        <v>9047</v>
      </c>
      <c r="DU225" s="1">
        <v>44355</v>
      </c>
      <c r="DV225" s="1">
        <v>44444</v>
      </c>
    </row>
    <row r="226" spans="1:126" ht="15" customHeight="1" x14ac:dyDescent="0.35">
      <c r="A226" t="s">
        <v>11440</v>
      </c>
      <c r="B226" t="s">
        <v>318</v>
      </c>
      <c r="C226" s="1">
        <v>44323</v>
      </c>
      <c r="D226" s="1">
        <v>44350</v>
      </c>
      <c r="H226" t="s">
        <v>319</v>
      </c>
      <c r="I226" t="s">
        <v>11441</v>
      </c>
      <c r="J226" t="s">
        <v>2689</v>
      </c>
      <c r="K226" t="s">
        <v>5146</v>
      </c>
      <c r="L226" t="s">
        <v>11442</v>
      </c>
      <c r="M226" t="s">
        <v>11443</v>
      </c>
      <c r="N226" t="s">
        <v>11444</v>
      </c>
      <c r="O226" t="s">
        <v>7564</v>
      </c>
      <c r="P226" t="s">
        <v>588</v>
      </c>
      <c r="Q226" s="3">
        <v>24558</v>
      </c>
      <c r="R226" t="s">
        <v>128</v>
      </c>
      <c r="T226" s="4">
        <v>14345755296</v>
      </c>
      <c r="V226" t="s">
        <v>134</v>
      </c>
      <c r="W226" t="s">
        <v>11445</v>
      </c>
      <c r="Y226" t="s">
        <v>11443</v>
      </c>
      <c r="Z226" t="s">
        <v>11444</v>
      </c>
      <c r="AA226" t="s">
        <v>7564</v>
      </c>
      <c r="AB226" t="s">
        <v>306</v>
      </c>
      <c r="AC226" s="3" t="str">
        <f>"24558"</f>
        <v>24558</v>
      </c>
      <c r="AD226" t="s">
        <v>128</v>
      </c>
      <c r="AF226" s="4">
        <v>14345755296</v>
      </c>
      <c r="AH226" t="str">
        <f>"56173"</f>
        <v>56173</v>
      </c>
      <c r="AI226" t="s">
        <v>287</v>
      </c>
      <c r="AJ226" t="s">
        <v>2917</v>
      </c>
      <c r="AK226" t="s">
        <v>2918</v>
      </c>
      <c r="AM226" t="s">
        <v>2919</v>
      </c>
      <c r="AN226" t="s">
        <v>2920</v>
      </c>
      <c r="AO226" t="s">
        <v>2921</v>
      </c>
      <c r="AP226" t="s">
        <v>306</v>
      </c>
      <c r="AQ226" s="5">
        <v>22949</v>
      </c>
      <c r="AR226" t="s">
        <v>128</v>
      </c>
      <c r="AT226" s="4">
        <v>14342634300</v>
      </c>
      <c r="AV226" t="s">
        <v>5183</v>
      </c>
      <c r="AW226" t="s">
        <v>2923</v>
      </c>
      <c r="AX226" t="s">
        <v>131</v>
      </c>
      <c r="AY226" t="s">
        <v>131</v>
      </c>
      <c r="AZ226" t="s">
        <v>131</v>
      </c>
      <c r="BA226" t="s">
        <v>131</v>
      </c>
      <c r="BB226" t="s">
        <v>131</v>
      </c>
      <c r="BC226" t="s">
        <v>131</v>
      </c>
      <c r="BD226" t="s">
        <v>131</v>
      </c>
      <c r="BE226" t="s">
        <v>132</v>
      </c>
      <c r="BH226" t="s">
        <v>2215</v>
      </c>
      <c r="BI226" t="s">
        <v>131</v>
      </c>
      <c r="BL226" t="s">
        <v>167</v>
      </c>
      <c r="BO226" t="s">
        <v>131</v>
      </c>
      <c r="BP226" t="s">
        <v>134</v>
      </c>
      <c r="BQ226" t="s">
        <v>131</v>
      </c>
      <c r="BS226" t="str">
        <f t="shared" si="16"/>
        <v>N/A</v>
      </c>
      <c r="BT226" t="s">
        <v>135</v>
      </c>
      <c r="BU226">
        <v>3</v>
      </c>
      <c r="BV226" t="str">
        <f>"Requires three months of previous landscape experience."</f>
        <v>Requires three months of previous landscape experience.</v>
      </c>
      <c r="BW226" t="s">
        <v>135</v>
      </c>
      <c r="BX226" t="str">
        <f>""</f>
        <v/>
      </c>
      <c r="BY226" t="str">
        <f>""</f>
        <v/>
      </c>
      <c r="BZ226" t="str">
        <f>""</f>
        <v/>
      </c>
      <c r="CA226" t="s">
        <v>11446</v>
      </c>
      <c r="CB226" t="s">
        <v>131</v>
      </c>
      <c r="CF226" t="s">
        <v>131</v>
      </c>
      <c r="CH226" t="str">
        <f>""</f>
        <v/>
      </c>
      <c r="CI226" t="s">
        <v>131</v>
      </c>
      <c r="CK226" t="s">
        <v>131</v>
      </c>
      <c r="CL226" t="str">
        <f>""</f>
        <v/>
      </c>
      <c r="CM226" t="str">
        <f>""</f>
        <v/>
      </c>
      <c r="CN226" t="str">
        <f>""</f>
        <v/>
      </c>
      <c r="CO226" t="str">
        <f>""</f>
        <v/>
      </c>
      <c r="CP226" t="str">
        <f t="shared" ref="CP226:CP231" si="19">"37-3011.00"</f>
        <v>37-3011.00</v>
      </c>
      <c r="CQ226" t="s">
        <v>920</v>
      </c>
      <c r="CR226" t="s">
        <v>2924</v>
      </c>
      <c r="CS226" t="s">
        <v>135</v>
      </c>
      <c r="CT226" t="s">
        <v>2925</v>
      </c>
      <c r="CU226" t="s">
        <v>11447</v>
      </c>
      <c r="CW226" t="s">
        <v>7564</v>
      </c>
      <c r="CX226" t="s">
        <v>306</v>
      </c>
      <c r="CZ226" s="3" t="str">
        <f>"24558"</f>
        <v>24558</v>
      </c>
      <c r="DA226" t="s">
        <v>135</v>
      </c>
      <c r="DB226" t="str">
        <f t="shared" ref="DB226:DB231" si="20">"37-3011"</f>
        <v>37-3011</v>
      </c>
      <c r="DC226" t="s">
        <v>920</v>
      </c>
      <c r="DD226" t="s">
        <v>134</v>
      </c>
      <c r="DE226" t="s">
        <v>134</v>
      </c>
      <c r="DF226" t="str">
        <f>""</f>
        <v/>
      </c>
      <c r="DH226" s="6">
        <v>11.99</v>
      </c>
      <c r="DI226" t="s">
        <v>344</v>
      </c>
      <c r="DK226" t="s">
        <v>345</v>
      </c>
      <c r="DS226" s="6">
        <v>11.99</v>
      </c>
      <c r="DT226" s="2" t="s">
        <v>347</v>
      </c>
      <c r="DU226" s="1">
        <v>44350</v>
      </c>
      <c r="DV226" s="1">
        <v>44439</v>
      </c>
    </row>
    <row r="227" spans="1:126" ht="15" customHeight="1" x14ac:dyDescent="0.35">
      <c r="A227" t="s">
        <v>17390</v>
      </c>
      <c r="B227" t="s">
        <v>318</v>
      </c>
      <c r="C227" s="1">
        <v>44323</v>
      </c>
      <c r="D227" s="1">
        <v>44350</v>
      </c>
      <c r="H227" t="s">
        <v>319</v>
      </c>
      <c r="I227" t="s">
        <v>1448</v>
      </c>
      <c r="J227" t="s">
        <v>700</v>
      </c>
      <c r="L227" t="s">
        <v>395</v>
      </c>
      <c r="M227" t="s">
        <v>17391</v>
      </c>
      <c r="O227" t="s">
        <v>3483</v>
      </c>
      <c r="P227" t="s">
        <v>2869</v>
      </c>
      <c r="Q227" s="3">
        <v>58521</v>
      </c>
      <c r="R227" t="s">
        <v>128</v>
      </c>
      <c r="T227" s="4">
        <v>17012500000</v>
      </c>
      <c r="V227" t="s">
        <v>134</v>
      </c>
      <c r="W227" t="s">
        <v>17392</v>
      </c>
      <c r="Y227" t="s">
        <v>17391</v>
      </c>
      <c r="AA227" t="s">
        <v>3483</v>
      </c>
      <c r="AB227" t="s">
        <v>2870</v>
      </c>
      <c r="AC227" s="3" t="str">
        <f>"58521"</f>
        <v>58521</v>
      </c>
      <c r="AD227" t="s">
        <v>128</v>
      </c>
      <c r="AF227" s="4">
        <v>17012500000</v>
      </c>
      <c r="AH227" t="str">
        <f>"56173"</f>
        <v>56173</v>
      </c>
      <c r="AI227" t="s">
        <v>287</v>
      </c>
      <c r="AJ227" t="s">
        <v>2917</v>
      </c>
      <c r="AK227" t="s">
        <v>2918</v>
      </c>
      <c r="AM227" t="s">
        <v>2919</v>
      </c>
      <c r="AN227" t="s">
        <v>2920</v>
      </c>
      <c r="AO227" t="s">
        <v>2921</v>
      </c>
      <c r="AP227" t="s">
        <v>306</v>
      </c>
      <c r="AQ227" s="5">
        <v>22949</v>
      </c>
      <c r="AR227" t="s">
        <v>128</v>
      </c>
      <c r="AT227" s="4">
        <v>14342634300</v>
      </c>
      <c r="AV227" t="s">
        <v>5183</v>
      </c>
      <c r="AW227" t="s">
        <v>2923</v>
      </c>
      <c r="AX227" t="s">
        <v>131</v>
      </c>
      <c r="AY227" t="s">
        <v>131</v>
      </c>
      <c r="AZ227" t="s">
        <v>131</v>
      </c>
      <c r="BA227" t="s">
        <v>131</v>
      </c>
      <c r="BB227" t="s">
        <v>131</v>
      </c>
      <c r="BC227" t="s">
        <v>131</v>
      </c>
      <c r="BD227" t="s">
        <v>131</v>
      </c>
      <c r="BE227" t="s">
        <v>132</v>
      </c>
      <c r="BH227" t="s">
        <v>2215</v>
      </c>
      <c r="BI227" t="s">
        <v>131</v>
      </c>
      <c r="BL227" t="s">
        <v>167</v>
      </c>
      <c r="BO227" t="s">
        <v>131</v>
      </c>
      <c r="BP227" t="s">
        <v>134</v>
      </c>
      <c r="BQ227" t="s">
        <v>131</v>
      </c>
      <c r="BS227" t="str">
        <f t="shared" si="16"/>
        <v>N/A</v>
      </c>
      <c r="BT227" t="s">
        <v>131</v>
      </c>
      <c r="BV227" t="str">
        <f>""</f>
        <v/>
      </c>
      <c r="BW227" t="s">
        <v>135</v>
      </c>
      <c r="BX227" t="str">
        <f>""</f>
        <v/>
      </c>
      <c r="BY227" t="str">
        <f>""</f>
        <v/>
      </c>
      <c r="BZ227" t="str">
        <f>""</f>
        <v/>
      </c>
      <c r="CA227" t="s">
        <v>17393</v>
      </c>
      <c r="CB227" t="s">
        <v>131</v>
      </c>
      <c r="CF227" t="s">
        <v>131</v>
      </c>
      <c r="CH227" t="str">
        <f>""</f>
        <v/>
      </c>
      <c r="CI227" t="s">
        <v>131</v>
      </c>
      <c r="CK227" t="s">
        <v>131</v>
      </c>
      <c r="CL227" t="str">
        <f>""</f>
        <v/>
      </c>
      <c r="CM227" t="str">
        <f>""</f>
        <v/>
      </c>
      <c r="CN227" t="str">
        <f>""</f>
        <v/>
      </c>
      <c r="CO227" t="str">
        <f>""</f>
        <v/>
      </c>
      <c r="CP227" t="str">
        <f t="shared" si="19"/>
        <v>37-3011.00</v>
      </c>
      <c r="CQ227" t="s">
        <v>920</v>
      </c>
      <c r="CR227" t="s">
        <v>2924</v>
      </c>
      <c r="CS227" t="s">
        <v>135</v>
      </c>
      <c r="CT227" t="s">
        <v>2925</v>
      </c>
      <c r="CU227" t="s">
        <v>17394</v>
      </c>
      <c r="CW227" t="s">
        <v>3483</v>
      </c>
      <c r="CX227" t="s">
        <v>2870</v>
      </c>
      <c r="CZ227" s="3" t="str">
        <f>"58521"</f>
        <v>58521</v>
      </c>
      <c r="DA227" t="s">
        <v>135</v>
      </c>
      <c r="DB227" t="str">
        <f t="shared" si="20"/>
        <v>37-3011</v>
      </c>
      <c r="DC227" t="s">
        <v>920</v>
      </c>
      <c r="DD227" t="s">
        <v>134</v>
      </c>
      <c r="DE227" t="s">
        <v>134</v>
      </c>
      <c r="DF227" t="str">
        <f>""</f>
        <v/>
      </c>
      <c r="DH227" s="6">
        <v>19.989999999999998</v>
      </c>
      <c r="DI227" t="s">
        <v>344</v>
      </c>
      <c r="DK227" t="s">
        <v>345</v>
      </c>
      <c r="DS227" s="6">
        <v>19.989999999999998</v>
      </c>
      <c r="DT227" s="2" t="s">
        <v>347</v>
      </c>
      <c r="DU227" s="1">
        <v>44350</v>
      </c>
      <c r="DV227" s="1">
        <v>44439</v>
      </c>
    </row>
    <row r="228" spans="1:126" ht="15" customHeight="1" x14ac:dyDescent="0.35">
      <c r="A228" t="s">
        <v>17814</v>
      </c>
      <c r="B228" t="s">
        <v>318</v>
      </c>
      <c r="C228" s="1">
        <v>44323</v>
      </c>
      <c r="D228" s="1">
        <v>44350</v>
      </c>
      <c r="H228" t="s">
        <v>319</v>
      </c>
      <c r="I228" t="s">
        <v>17815</v>
      </c>
      <c r="J228" t="s">
        <v>4032</v>
      </c>
      <c r="K228" t="s">
        <v>2600</v>
      </c>
      <c r="L228" t="s">
        <v>4673</v>
      </c>
      <c r="M228" t="s">
        <v>17816</v>
      </c>
      <c r="O228" t="s">
        <v>3413</v>
      </c>
      <c r="P228" t="s">
        <v>588</v>
      </c>
      <c r="Q228" s="3">
        <v>23692</v>
      </c>
      <c r="R228" t="s">
        <v>128</v>
      </c>
      <c r="T228" s="4">
        <v>17578987799</v>
      </c>
      <c r="V228" t="s">
        <v>134</v>
      </c>
      <c r="W228" t="s">
        <v>17817</v>
      </c>
      <c r="X228" t="s">
        <v>17818</v>
      </c>
      <c r="Y228" t="s">
        <v>17816</v>
      </c>
      <c r="AA228" t="s">
        <v>3413</v>
      </c>
      <c r="AB228" t="s">
        <v>306</v>
      </c>
      <c r="AC228" s="3" t="str">
        <f>"23692"</f>
        <v>23692</v>
      </c>
      <c r="AD228" t="s">
        <v>128</v>
      </c>
      <c r="AF228" s="4">
        <v>17578987799</v>
      </c>
      <c r="AH228" t="str">
        <f>"56173"</f>
        <v>56173</v>
      </c>
      <c r="AI228" t="s">
        <v>287</v>
      </c>
      <c r="AJ228" t="s">
        <v>2917</v>
      </c>
      <c r="AK228" t="s">
        <v>2918</v>
      </c>
      <c r="AM228" t="s">
        <v>2919</v>
      </c>
      <c r="AN228" t="s">
        <v>2920</v>
      </c>
      <c r="AO228" t="s">
        <v>2921</v>
      </c>
      <c r="AP228" t="s">
        <v>306</v>
      </c>
      <c r="AQ228" s="5">
        <v>22949</v>
      </c>
      <c r="AR228" t="s">
        <v>128</v>
      </c>
      <c r="AT228" s="4">
        <v>14342634300</v>
      </c>
      <c r="AV228" t="s">
        <v>2922</v>
      </c>
      <c r="AW228" t="s">
        <v>2923</v>
      </c>
      <c r="AX228" t="s">
        <v>131</v>
      </c>
      <c r="AY228" t="s">
        <v>131</v>
      </c>
      <c r="AZ228" t="s">
        <v>131</v>
      </c>
      <c r="BA228" t="s">
        <v>131</v>
      </c>
      <c r="BB228" t="s">
        <v>131</v>
      </c>
      <c r="BC228" t="s">
        <v>131</v>
      </c>
      <c r="BD228" t="s">
        <v>131</v>
      </c>
      <c r="BE228" t="s">
        <v>132</v>
      </c>
      <c r="BH228" t="s">
        <v>2215</v>
      </c>
      <c r="BI228" t="s">
        <v>131</v>
      </c>
      <c r="BL228" t="s">
        <v>167</v>
      </c>
      <c r="BO228" t="s">
        <v>131</v>
      </c>
      <c r="BP228" t="s">
        <v>134</v>
      </c>
      <c r="BQ228" t="s">
        <v>131</v>
      </c>
      <c r="BS228" t="str">
        <f t="shared" si="16"/>
        <v>N/A</v>
      </c>
      <c r="BT228" t="s">
        <v>135</v>
      </c>
      <c r="BU228">
        <v>3</v>
      </c>
      <c r="BV228" t="str">
        <f>"Landscape"</f>
        <v>Landscape</v>
      </c>
      <c r="BW228" t="s">
        <v>135</v>
      </c>
      <c r="BX228" t="str">
        <f>""</f>
        <v/>
      </c>
      <c r="BY228" t="str">
        <f>""</f>
        <v/>
      </c>
      <c r="BZ228" t="str">
        <f>""</f>
        <v/>
      </c>
      <c r="CA228" t="str">
        <f>"Must lift/carry 50 lbs., when necessary.  Saturday work required, when necessary.  Post-hire upon suspicion of use and post-accident drug testing required of foreign and domestic workers."</f>
        <v>Must lift/carry 50 lbs., when necessary.  Saturday work required, when necessary.  Post-hire upon suspicion of use and post-accident drug testing required of foreign and domestic workers.</v>
      </c>
      <c r="CB228" t="s">
        <v>131</v>
      </c>
      <c r="CF228" t="s">
        <v>131</v>
      </c>
      <c r="CH228" t="str">
        <f>""</f>
        <v/>
      </c>
      <c r="CI228" t="s">
        <v>131</v>
      </c>
      <c r="CK228" t="s">
        <v>131</v>
      </c>
      <c r="CL228" t="str">
        <f>""</f>
        <v/>
      </c>
      <c r="CM228" t="str">
        <f>""</f>
        <v/>
      </c>
      <c r="CN228" t="str">
        <f>""</f>
        <v/>
      </c>
      <c r="CO228" t="str">
        <f>""</f>
        <v/>
      </c>
      <c r="CP228" t="str">
        <f t="shared" si="19"/>
        <v>37-3011.00</v>
      </c>
      <c r="CQ228" t="s">
        <v>920</v>
      </c>
      <c r="CR228" t="s">
        <v>2924</v>
      </c>
      <c r="CS228" t="s">
        <v>135</v>
      </c>
      <c r="CT228" t="s">
        <v>2925</v>
      </c>
      <c r="CU228" t="s">
        <v>17819</v>
      </c>
      <c r="CW228" t="s">
        <v>3413</v>
      </c>
      <c r="CX228" t="s">
        <v>306</v>
      </c>
      <c r="CZ228" s="3" t="str">
        <f>"23692"</f>
        <v>23692</v>
      </c>
      <c r="DA228" t="s">
        <v>135</v>
      </c>
      <c r="DB228" t="str">
        <f t="shared" si="20"/>
        <v>37-3011</v>
      </c>
      <c r="DC228" t="s">
        <v>920</v>
      </c>
      <c r="DD228" t="s">
        <v>134</v>
      </c>
      <c r="DE228" t="s">
        <v>134</v>
      </c>
      <c r="DF228" t="str">
        <f>""</f>
        <v/>
      </c>
      <c r="DH228" s="6">
        <v>13.3</v>
      </c>
      <c r="DI228" t="s">
        <v>344</v>
      </c>
      <c r="DK228" t="s">
        <v>345</v>
      </c>
      <c r="DS228" s="6">
        <v>13.3</v>
      </c>
      <c r="DT228" s="2" t="s">
        <v>347</v>
      </c>
      <c r="DU228" s="1">
        <v>44350</v>
      </c>
      <c r="DV228" s="1">
        <v>44439</v>
      </c>
    </row>
    <row r="229" spans="1:126" ht="15" customHeight="1" x14ac:dyDescent="0.35">
      <c r="A229" t="s">
        <v>20107</v>
      </c>
      <c r="B229" t="s">
        <v>318</v>
      </c>
      <c r="C229" s="1">
        <v>44323</v>
      </c>
      <c r="D229" s="1">
        <v>44354</v>
      </c>
      <c r="H229" t="s">
        <v>319</v>
      </c>
      <c r="I229" t="s">
        <v>20108</v>
      </c>
      <c r="J229" t="s">
        <v>20109</v>
      </c>
      <c r="L229" t="s">
        <v>1158</v>
      </c>
      <c r="M229" t="s">
        <v>20110</v>
      </c>
      <c r="O229" t="s">
        <v>2667</v>
      </c>
      <c r="P229" t="s">
        <v>2340</v>
      </c>
      <c r="Q229" s="3">
        <v>66046</v>
      </c>
      <c r="R229" t="s">
        <v>128</v>
      </c>
      <c r="T229" s="4">
        <v>17858320083</v>
      </c>
      <c r="V229" t="s">
        <v>134</v>
      </c>
      <c r="W229" t="s">
        <v>20111</v>
      </c>
      <c r="X229" t="s">
        <v>20112</v>
      </c>
      <c r="Y229" t="s">
        <v>20110</v>
      </c>
      <c r="AA229" t="s">
        <v>2667</v>
      </c>
      <c r="AB229" t="s">
        <v>1551</v>
      </c>
      <c r="AC229" s="3" t="str">
        <f>"66046"</f>
        <v>66046</v>
      </c>
      <c r="AD229" t="s">
        <v>128</v>
      </c>
      <c r="AF229" s="4">
        <v>17858320083</v>
      </c>
      <c r="AH229" t="str">
        <f>"56173"</f>
        <v>56173</v>
      </c>
      <c r="AI229" t="s">
        <v>287</v>
      </c>
      <c r="AJ229" t="s">
        <v>2917</v>
      </c>
      <c r="AK229" t="s">
        <v>2918</v>
      </c>
      <c r="AM229" t="s">
        <v>2919</v>
      </c>
      <c r="AN229" t="s">
        <v>2920</v>
      </c>
      <c r="AO229" t="s">
        <v>2921</v>
      </c>
      <c r="AP229" t="s">
        <v>306</v>
      </c>
      <c r="AQ229" s="5">
        <v>22949</v>
      </c>
      <c r="AR229" t="s">
        <v>128</v>
      </c>
      <c r="AT229" s="4">
        <v>14342634300</v>
      </c>
      <c r="AV229" t="s">
        <v>2922</v>
      </c>
      <c r="AW229" t="s">
        <v>2923</v>
      </c>
      <c r="AX229" t="s">
        <v>131</v>
      </c>
      <c r="AY229" t="s">
        <v>131</v>
      </c>
      <c r="AZ229" t="s">
        <v>131</v>
      </c>
      <c r="BA229" t="s">
        <v>131</v>
      </c>
      <c r="BB229" t="s">
        <v>131</v>
      </c>
      <c r="BC229" t="s">
        <v>131</v>
      </c>
      <c r="BD229" t="s">
        <v>131</v>
      </c>
      <c r="BE229" t="s">
        <v>132</v>
      </c>
      <c r="BH229" t="s">
        <v>5049</v>
      </c>
      <c r="BI229" t="s">
        <v>131</v>
      </c>
      <c r="BL229" t="s">
        <v>167</v>
      </c>
      <c r="BO229" t="s">
        <v>131</v>
      </c>
      <c r="BP229" t="s">
        <v>134</v>
      </c>
      <c r="BQ229" t="s">
        <v>131</v>
      </c>
      <c r="BS229" t="str">
        <f t="shared" si="16"/>
        <v>N/A</v>
      </c>
      <c r="BT229" t="s">
        <v>135</v>
      </c>
      <c r="BU229">
        <v>3</v>
      </c>
      <c r="BV229" t="str">
        <f>"Landscape"</f>
        <v>Landscape</v>
      </c>
      <c r="BW229" t="s">
        <v>135</v>
      </c>
      <c r="BX229" t="str">
        <f>""</f>
        <v/>
      </c>
      <c r="BY229" t="str">
        <f>""</f>
        <v/>
      </c>
      <c r="BZ229" t="str">
        <f>""</f>
        <v/>
      </c>
      <c r="CA229" t="s">
        <v>20113</v>
      </c>
      <c r="CB229" t="s">
        <v>131</v>
      </c>
      <c r="CF229" t="s">
        <v>131</v>
      </c>
      <c r="CH229" t="str">
        <f>""</f>
        <v/>
      </c>
      <c r="CI229" t="s">
        <v>131</v>
      </c>
      <c r="CK229" t="s">
        <v>131</v>
      </c>
      <c r="CL229" t="str">
        <f>""</f>
        <v/>
      </c>
      <c r="CM229" t="str">
        <f>""</f>
        <v/>
      </c>
      <c r="CN229" t="str">
        <f>""</f>
        <v/>
      </c>
      <c r="CO229" t="str">
        <f>""</f>
        <v/>
      </c>
      <c r="CP229" t="str">
        <f t="shared" si="19"/>
        <v>37-3011.00</v>
      </c>
      <c r="CQ229" t="s">
        <v>920</v>
      </c>
      <c r="CR229" t="s">
        <v>2924</v>
      </c>
      <c r="CS229" t="s">
        <v>135</v>
      </c>
      <c r="CT229" t="s">
        <v>2925</v>
      </c>
      <c r="CU229" t="s">
        <v>20114</v>
      </c>
      <c r="CW229" t="s">
        <v>2667</v>
      </c>
      <c r="CX229" t="s">
        <v>1551</v>
      </c>
      <c r="CZ229" s="3" t="str">
        <f>"66046"</f>
        <v>66046</v>
      </c>
      <c r="DA229" t="s">
        <v>135</v>
      </c>
      <c r="DB229" t="str">
        <f t="shared" si="20"/>
        <v>37-3011</v>
      </c>
      <c r="DC229" t="s">
        <v>920</v>
      </c>
      <c r="DD229" t="s">
        <v>134</v>
      </c>
      <c r="DE229" t="s">
        <v>134</v>
      </c>
      <c r="DF229" t="str">
        <f>""</f>
        <v/>
      </c>
      <c r="DH229" s="6">
        <v>11.84</v>
      </c>
      <c r="DI229" t="s">
        <v>344</v>
      </c>
      <c r="DK229" t="s">
        <v>345</v>
      </c>
      <c r="DS229" s="6">
        <v>18.010000000000002</v>
      </c>
      <c r="DT229" s="2" t="s">
        <v>347</v>
      </c>
      <c r="DU229" s="1">
        <v>44354</v>
      </c>
      <c r="DV229" s="1">
        <v>44443</v>
      </c>
    </row>
    <row r="230" spans="1:126" ht="15" customHeight="1" x14ac:dyDescent="0.35">
      <c r="A230" t="s">
        <v>17297</v>
      </c>
      <c r="B230" t="s">
        <v>318</v>
      </c>
      <c r="C230" s="1">
        <v>44323</v>
      </c>
      <c r="D230" s="1">
        <v>44354</v>
      </c>
      <c r="H230" t="s">
        <v>319</v>
      </c>
      <c r="I230" t="s">
        <v>17298</v>
      </c>
      <c r="J230" t="s">
        <v>17299</v>
      </c>
      <c r="L230" t="s">
        <v>7587</v>
      </c>
      <c r="M230" t="s">
        <v>17300</v>
      </c>
      <c r="N230" t="s">
        <v>17301</v>
      </c>
      <c r="O230" t="s">
        <v>17302</v>
      </c>
      <c r="P230" t="s">
        <v>248</v>
      </c>
      <c r="Q230" s="3">
        <v>56501</v>
      </c>
      <c r="R230" t="s">
        <v>128</v>
      </c>
      <c r="T230" s="4">
        <v>19522087100</v>
      </c>
      <c r="V230" t="s">
        <v>17303</v>
      </c>
      <c r="W230" t="s">
        <v>17304</v>
      </c>
      <c r="X230" t="s">
        <v>17304</v>
      </c>
      <c r="Y230" t="s">
        <v>17300</v>
      </c>
      <c r="Z230" t="s">
        <v>17301</v>
      </c>
      <c r="AA230" t="s">
        <v>17302</v>
      </c>
      <c r="AB230" t="s">
        <v>249</v>
      </c>
      <c r="AC230" s="3" t="str">
        <f>"56501"</f>
        <v>56501</v>
      </c>
      <c r="AD230" t="s">
        <v>128</v>
      </c>
      <c r="AF230" s="4">
        <v>19522087100</v>
      </c>
      <c r="AH230" t="str">
        <f>"561730"</f>
        <v>561730</v>
      </c>
      <c r="AI230" t="s">
        <v>167</v>
      </c>
      <c r="AX230" t="s">
        <v>131</v>
      </c>
      <c r="AY230" t="s">
        <v>131</v>
      </c>
      <c r="AZ230" t="s">
        <v>131</v>
      </c>
      <c r="BA230" t="s">
        <v>131</v>
      </c>
      <c r="BB230" t="s">
        <v>131</v>
      </c>
      <c r="BC230" t="s">
        <v>131</v>
      </c>
      <c r="BD230" t="s">
        <v>131</v>
      </c>
      <c r="BE230" t="s">
        <v>132</v>
      </c>
      <c r="BH230" t="s">
        <v>17305</v>
      </c>
      <c r="BI230" t="s">
        <v>131</v>
      </c>
      <c r="BL230" t="s">
        <v>167</v>
      </c>
      <c r="BO230" t="s">
        <v>131</v>
      </c>
      <c r="BP230" t="s">
        <v>134</v>
      </c>
      <c r="BQ230" t="s">
        <v>131</v>
      </c>
      <c r="BS230" t="str">
        <f t="shared" si="16"/>
        <v>N/A</v>
      </c>
      <c r="BT230" t="s">
        <v>131</v>
      </c>
      <c r="BV230" t="str">
        <f>""</f>
        <v/>
      </c>
      <c r="BW230" t="s">
        <v>131</v>
      </c>
      <c r="BX230" t="str">
        <f>""</f>
        <v/>
      </c>
      <c r="BY230" t="str">
        <f>""</f>
        <v/>
      </c>
      <c r="BZ230" t="str">
        <f>""</f>
        <v/>
      </c>
      <c r="CA230" t="str">
        <f>""</f>
        <v/>
      </c>
      <c r="CB230" t="s">
        <v>131</v>
      </c>
      <c r="CF230" t="s">
        <v>131</v>
      </c>
      <c r="CH230" t="str">
        <f>""</f>
        <v/>
      </c>
      <c r="CI230" t="s">
        <v>131</v>
      </c>
      <c r="CK230" t="s">
        <v>131</v>
      </c>
      <c r="CL230" t="str">
        <f>""</f>
        <v/>
      </c>
      <c r="CM230" t="str">
        <f>""</f>
        <v/>
      </c>
      <c r="CN230" t="str">
        <f>""</f>
        <v/>
      </c>
      <c r="CO230" t="str">
        <f>""</f>
        <v/>
      </c>
      <c r="CP230" t="str">
        <f t="shared" si="19"/>
        <v>37-3011.00</v>
      </c>
      <c r="CQ230" t="s">
        <v>920</v>
      </c>
      <c r="CR230" t="s">
        <v>17306</v>
      </c>
      <c r="CS230" t="s">
        <v>131</v>
      </c>
      <c r="CU230" t="s">
        <v>17300</v>
      </c>
      <c r="CW230" t="s">
        <v>17302</v>
      </c>
      <c r="CX230" t="s">
        <v>249</v>
      </c>
      <c r="CZ230" s="3" t="str">
        <f>"56501"</f>
        <v>56501</v>
      </c>
      <c r="DA230" t="s">
        <v>135</v>
      </c>
      <c r="DB230" t="str">
        <f t="shared" si="20"/>
        <v>37-3011</v>
      </c>
      <c r="DC230" t="s">
        <v>920</v>
      </c>
      <c r="DD230" t="s">
        <v>134</v>
      </c>
      <c r="DE230" t="s">
        <v>134</v>
      </c>
      <c r="DF230" t="str">
        <f>""</f>
        <v/>
      </c>
      <c r="DH230" s="6">
        <v>15.47</v>
      </c>
      <c r="DI230" t="s">
        <v>344</v>
      </c>
      <c r="DK230" t="s">
        <v>345</v>
      </c>
      <c r="DS230" s="6">
        <v>18.440000000000001</v>
      </c>
      <c r="DT230" t="s">
        <v>424</v>
      </c>
      <c r="DU230" s="1">
        <v>44354</v>
      </c>
      <c r="DV230" s="1">
        <v>44443</v>
      </c>
    </row>
    <row r="231" spans="1:126" ht="15" customHeight="1" x14ac:dyDescent="0.35">
      <c r="A231" t="s">
        <v>15980</v>
      </c>
      <c r="B231" t="s">
        <v>318</v>
      </c>
      <c r="C231" s="1">
        <v>44323</v>
      </c>
      <c r="D231" s="1">
        <v>44354</v>
      </c>
      <c r="H231" t="s">
        <v>319</v>
      </c>
      <c r="I231" t="s">
        <v>7581</v>
      </c>
      <c r="J231" t="s">
        <v>7582</v>
      </c>
      <c r="L231" t="s">
        <v>1205</v>
      </c>
      <c r="M231" t="s">
        <v>7583</v>
      </c>
      <c r="O231" t="s">
        <v>7584</v>
      </c>
      <c r="P231" t="s">
        <v>248</v>
      </c>
      <c r="Q231" s="3">
        <v>56601</v>
      </c>
      <c r="R231" t="s">
        <v>128</v>
      </c>
      <c r="T231" s="4">
        <v>12187891112</v>
      </c>
      <c r="V231" t="s">
        <v>7585</v>
      </c>
      <c r="W231" t="s">
        <v>7586</v>
      </c>
      <c r="X231" t="s">
        <v>7586</v>
      </c>
      <c r="Y231" t="s">
        <v>7583</v>
      </c>
      <c r="AA231" t="s">
        <v>7584</v>
      </c>
      <c r="AB231" t="s">
        <v>249</v>
      </c>
      <c r="AC231" s="3" t="str">
        <f>"56601"</f>
        <v>56601</v>
      </c>
      <c r="AD231" t="s">
        <v>128</v>
      </c>
      <c r="AF231" s="4">
        <v>12187891112</v>
      </c>
      <c r="AH231" t="str">
        <f>"56173"</f>
        <v>56173</v>
      </c>
      <c r="AI231" t="s">
        <v>167</v>
      </c>
      <c r="AX231" t="s">
        <v>131</v>
      </c>
      <c r="AY231" t="s">
        <v>131</v>
      </c>
      <c r="AZ231" t="s">
        <v>131</v>
      </c>
      <c r="BA231" t="s">
        <v>131</v>
      </c>
      <c r="BB231" t="s">
        <v>131</v>
      </c>
      <c r="BC231" t="s">
        <v>131</v>
      </c>
      <c r="BD231" t="s">
        <v>131</v>
      </c>
      <c r="BE231" t="s">
        <v>132</v>
      </c>
      <c r="BH231" t="s">
        <v>15981</v>
      </c>
      <c r="BI231" t="s">
        <v>131</v>
      </c>
      <c r="BL231" t="s">
        <v>167</v>
      </c>
      <c r="BO231" t="s">
        <v>131</v>
      </c>
      <c r="BP231" t="s">
        <v>134</v>
      </c>
      <c r="BQ231" t="s">
        <v>131</v>
      </c>
      <c r="BS231" t="str">
        <f t="shared" si="16"/>
        <v>N/A</v>
      </c>
      <c r="BT231" t="s">
        <v>131</v>
      </c>
      <c r="BV231" t="str">
        <f>""</f>
        <v/>
      </c>
      <c r="BW231" t="s">
        <v>131</v>
      </c>
      <c r="BX231" t="str">
        <f>""</f>
        <v/>
      </c>
      <c r="BY231" t="str">
        <f>""</f>
        <v/>
      </c>
      <c r="BZ231" t="str">
        <f>""</f>
        <v/>
      </c>
      <c r="CA231" t="str">
        <f>""</f>
        <v/>
      </c>
      <c r="CB231" t="s">
        <v>131</v>
      </c>
      <c r="CF231" t="s">
        <v>131</v>
      </c>
      <c r="CH231" t="str">
        <f>""</f>
        <v/>
      </c>
      <c r="CI231" t="s">
        <v>131</v>
      </c>
      <c r="CK231" t="s">
        <v>131</v>
      </c>
      <c r="CL231" t="str">
        <f>""</f>
        <v/>
      </c>
      <c r="CM231" t="str">
        <f>""</f>
        <v/>
      </c>
      <c r="CN231" t="str">
        <f>""</f>
        <v/>
      </c>
      <c r="CO231" t="str">
        <f>""</f>
        <v/>
      </c>
      <c r="CP231" t="str">
        <f t="shared" si="19"/>
        <v>37-3011.00</v>
      </c>
      <c r="CQ231" t="s">
        <v>920</v>
      </c>
      <c r="CR231" t="s">
        <v>920</v>
      </c>
      <c r="CS231" t="s">
        <v>131</v>
      </c>
      <c r="CU231" t="s">
        <v>7583</v>
      </c>
      <c r="CV231">
        <v>138</v>
      </c>
      <c r="CW231" t="s">
        <v>15982</v>
      </c>
      <c r="CX231" t="s">
        <v>249</v>
      </c>
      <c r="CZ231" s="3" t="str">
        <f>"56601"</f>
        <v>56601</v>
      </c>
      <c r="DA231" t="s">
        <v>135</v>
      </c>
      <c r="DB231" t="str">
        <f t="shared" si="20"/>
        <v>37-3011</v>
      </c>
      <c r="DC231" t="s">
        <v>920</v>
      </c>
      <c r="DD231" t="s">
        <v>134</v>
      </c>
      <c r="DE231" t="s">
        <v>134</v>
      </c>
      <c r="DF231" t="str">
        <f>""</f>
        <v/>
      </c>
      <c r="DH231" s="6">
        <v>15.47</v>
      </c>
      <c r="DI231" t="s">
        <v>344</v>
      </c>
      <c r="DK231" t="s">
        <v>345</v>
      </c>
      <c r="DR231" t="s">
        <v>15983</v>
      </c>
      <c r="DS231" s="6">
        <v>15.47</v>
      </c>
      <c r="DT231" t="s">
        <v>424</v>
      </c>
      <c r="DU231" s="1">
        <v>44354</v>
      </c>
      <c r="DV231" s="1">
        <v>44443</v>
      </c>
    </row>
    <row r="232" spans="1:126" ht="15" customHeight="1" x14ac:dyDescent="0.35">
      <c r="A232" t="s">
        <v>12429</v>
      </c>
      <c r="B232" t="s">
        <v>318</v>
      </c>
      <c r="C232" s="1">
        <v>44323</v>
      </c>
      <c r="D232" s="1">
        <v>44351</v>
      </c>
      <c r="H232" t="s">
        <v>319</v>
      </c>
      <c r="I232" t="s">
        <v>12430</v>
      </c>
      <c r="J232" t="s">
        <v>12431</v>
      </c>
      <c r="K232" t="s">
        <v>12432</v>
      </c>
      <c r="L232" t="s">
        <v>460</v>
      </c>
      <c r="M232" t="s">
        <v>12433</v>
      </c>
      <c r="O232" t="s">
        <v>12434</v>
      </c>
      <c r="P232" t="s">
        <v>194</v>
      </c>
      <c r="Q232" s="3">
        <v>33470</v>
      </c>
      <c r="R232" t="s">
        <v>128</v>
      </c>
      <c r="T232" s="4">
        <v>18452428120</v>
      </c>
      <c r="V232" t="s">
        <v>12435</v>
      </c>
      <c r="W232" t="s">
        <v>12436</v>
      </c>
      <c r="Y232" t="s">
        <v>12433</v>
      </c>
      <c r="AA232" t="s">
        <v>12434</v>
      </c>
      <c r="AB232" t="s">
        <v>195</v>
      </c>
      <c r="AC232" s="3" t="str">
        <f>"33470"</f>
        <v>33470</v>
      </c>
      <c r="AD232" t="s">
        <v>128</v>
      </c>
      <c r="AF232" s="4">
        <v>18452428120</v>
      </c>
      <c r="AH232" t="str">
        <f>"711212"</f>
        <v>711212</v>
      </c>
      <c r="AI232" t="s">
        <v>130</v>
      </c>
      <c r="AJ232" t="s">
        <v>6189</v>
      </c>
      <c r="AK232" t="s">
        <v>313</v>
      </c>
      <c r="AL232" t="s">
        <v>6190</v>
      </c>
      <c r="AM232" t="s">
        <v>1332</v>
      </c>
      <c r="AN232" t="s">
        <v>1337</v>
      </c>
      <c r="AO232" t="s">
        <v>1333</v>
      </c>
      <c r="AP232" t="s">
        <v>1336</v>
      </c>
      <c r="AQ232" s="5">
        <v>73069</v>
      </c>
      <c r="AR232" t="s">
        <v>128</v>
      </c>
      <c r="AT232" s="4">
        <v>14053642525</v>
      </c>
      <c r="AV232" t="s">
        <v>1335</v>
      </c>
      <c r="AW232" t="s">
        <v>1338</v>
      </c>
      <c r="AX232" t="s">
        <v>131</v>
      </c>
      <c r="AY232" t="s">
        <v>131</v>
      </c>
      <c r="AZ232" t="s">
        <v>131</v>
      </c>
      <c r="BA232" t="s">
        <v>131</v>
      </c>
      <c r="BB232" t="s">
        <v>131</v>
      </c>
      <c r="BC232" t="s">
        <v>131</v>
      </c>
      <c r="BD232" t="s">
        <v>131</v>
      </c>
      <c r="BE232" t="s">
        <v>132</v>
      </c>
      <c r="BH232" t="s">
        <v>5031</v>
      </c>
      <c r="BI232" t="s">
        <v>131</v>
      </c>
      <c r="BL232" t="s">
        <v>167</v>
      </c>
      <c r="BO232" t="s">
        <v>131</v>
      </c>
      <c r="BP232" t="s">
        <v>134</v>
      </c>
      <c r="BQ232" t="s">
        <v>131</v>
      </c>
      <c r="BS232" t="str">
        <f t="shared" si="16"/>
        <v>N/A</v>
      </c>
      <c r="BT232" t="s">
        <v>135</v>
      </c>
      <c r="BU232">
        <v>1</v>
      </c>
      <c r="BV232" t="str">
        <f>"Thoroughbred Racehorse Groom"</f>
        <v>Thoroughbred Racehorse Groom</v>
      </c>
      <c r="BW232" t="s">
        <v>135</v>
      </c>
      <c r="BX232" t="str">
        <f>""</f>
        <v/>
      </c>
      <c r="BY232" t="str">
        <f>""</f>
        <v/>
      </c>
      <c r="BZ232" t="str">
        <f>""</f>
        <v/>
      </c>
      <c r="CA232" t="str">
        <f>"Must be able to lift 50Lbs"</f>
        <v>Must be able to lift 50Lbs</v>
      </c>
      <c r="CB232" t="s">
        <v>131</v>
      </c>
      <c r="CF232" t="s">
        <v>131</v>
      </c>
      <c r="CH232" t="str">
        <f>""</f>
        <v/>
      </c>
      <c r="CI232" t="s">
        <v>131</v>
      </c>
      <c r="CK232" t="s">
        <v>131</v>
      </c>
      <c r="CL232" t="str">
        <f>""</f>
        <v/>
      </c>
      <c r="CM232" t="str">
        <f>""</f>
        <v/>
      </c>
      <c r="CN232" t="str">
        <f>""</f>
        <v/>
      </c>
      <c r="CO232" t="str">
        <f>""</f>
        <v/>
      </c>
      <c r="CP232" t="str">
        <f>"39-2021.00"</f>
        <v>39-2021.00</v>
      </c>
      <c r="CQ232" t="s">
        <v>4482</v>
      </c>
      <c r="CS232" t="s">
        <v>131</v>
      </c>
      <c r="CU232" t="s">
        <v>12433</v>
      </c>
      <c r="CW232" t="s">
        <v>12434</v>
      </c>
      <c r="CX232" t="s">
        <v>195</v>
      </c>
      <c r="CZ232" s="3" t="str">
        <f>"33470"</f>
        <v>33470</v>
      </c>
      <c r="DA232" t="s">
        <v>131</v>
      </c>
      <c r="DB232" t="str">
        <f>"39-2021"</f>
        <v>39-2021</v>
      </c>
      <c r="DC232" t="s">
        <v>4482</v>
      </c>
      <c r="DD232" t="s">
        <v>134</v>
      </c>
      <c r="DE232" t="s">
        <v>134</v>
      </c>
      <c r="DF232" t="str">
        <f>""</f>
        <v/>
      </c>
      <c r="DH232" s="6">
        <v>13.7</v>
      </c>
      <c r="DI232" t="s">
        <v>344</v>
      </c>
      <c r="DK232" t="s">
        <v>345</v>
      </c>
      <c r="DR232" t="s">
        <v>2160</v>
      </c>
      <c r="DS232" s="6">
        <v>13.7</v>
      </c>
      <c r="DT232" t="s">
        <v>424</v>
      </c>
      <c r="DU232" s="1">
        <v>44351</v>
      </c>
      <c r="DV232" s="1">
        <v>44440</v>
      </c>
    </row>
    <row r="233" spans="1:126" ht="15" customHeight="1" x14ac:dyDescent="0.35">
      <c r="A233" t="s">
        <v>7580</v>
      </c>
      <c r="B233" t="s">
        <v>318</v>
      </c>
      <c r="C233" s="1">
        <v>44323</v>
      </c>
      <c r="D233" s="1">
        <v>44354</v>
      </c>
      <c r="H233" t="s">
        <v>319</v>
      </c>
      <c r="I233" t="s">
        <v>7581</v>
      </c>
      <c r="J233" t="s">
        <v>7582</v>
      </c>
      <c r="L233" t="s">
        <v>1205</v>
      </c>
      <c r="M233" t="s">
        <v>7583</v>
      </c>
      <c r="O233" t="s">
        <v>7584</v>
      </c>
      <c r="P233" t="s">
        <v>248</v>
      </c>
      <c r="Q233" s="3">
        <v>56601</v>
      </c>
      <c r="R233" t="s">
        <v>128</v>
      </c>
      <c r="T233" s="4">
        <v>12187891112</v>
      </c>
      <c r="V233" t="s">
        <v>7585</v>
      </c>
      <c r="W233" t="s">
        <v>7586</v>
      </c>
      <c r="X233" t="s">
        <v>7586</v>
      </c>
      <c r="Y233" t="s">
        <v>7583</v>
      </c>
      <c r="AA233" t="s">
        <v>7584</v>
      </c>
      <c r="AB233" t="s">
        <v>249</v>
      </c>
      <c r="AC233" s="3" t="str">
        <f>"56601"</f>
        <v>56601</v>
      </c>
      <c r="AD233" t="s">
        <v>128</v>
      </c>
      <c r="AF233" s="4">
        <v>12187891112</v>
      </c>
      <c r="AH233" t="str">
        <f>"113210"</f>
        <v>113210</v>
      </c>
      <c r="AI233" t="s">
        <v>167</v>
      </c>
      <c r="AX233" t="s">
        <v>131</v>
      </c>
      <c r="AY233" t="s">
        <v>131</v>
      </c>
      <c r="AZ233" t="s">
        <v>131</v>
      </c>
      <c r="BA233" t="s">
        <v>131</v>
      </c>
      <c r="BB233" t="s">
        <v>131</v>
      </c>
      <c r="BC233" t="s">
        <v>131</v>
      </c>
      <c r="BD233" t="s">
        <v>131</v>
      </c>
      <c r="BE233" t="s">
        <v>132</v>
      </c>
      <c r="BH233" t="s">
        <v>4716</v>
      </c>
      <c r="BI233" t="s">
        <v>131</v>
      </c>
      <c r="BL233" t="s">
        <v>167</v>
      </c>
      <c r="BO233" t="s">
        <v>131</v>
      </c>
      <c r="BP233" t="s">
        <v>134</v>
      </c>
      <c r="BQ233" t="s">
        <v>131</v>
      </c>
      <c r="BS233" t="str">
        <f t="shared" si="16"/>
        <v>N/A</v>
      </c>
      <c r="BT233" t="s">
        <v>131</v>
      </c>
      <c r="BV233" t="str">
        <f>""</f>
        <v/>
      </c>
      <c r="BW233" t="s">
        <v>131</v>
      </c>
      <c r="BX233" t="str">
        <f>""</f>
        <v/>
      </c>
      <c r="BY233" t="str">
        <f>""</f>
        <v/>
      </c>
      <c r="BZ233" t="str">
        <f>""</f>
        <v/>
      </c>
      <c r="CA233" t="str">
        <f>""</f>
        <v/>
      </c>
      <c r="CB233" t="s">
        <v>131</v>
      </c>
      <c r="CF233" t="s">
        <v>131</v>
      </c>
      <c r="CH233" t="str">
        <f>""</f>
        <v/>
      </c>
      <c r="CI233" t="s">
        <v>131</v>
      </c>
      <c r="CK233" t="s">
        <v>131</v>
      </c>
      <c r="CL233" t="str">
        <f>""</f>
        <v/>
      </c>
      <c r="CM233" t="str">
        <f>""</f>
        <v/>
      </c>
      <c r="CN233" t="str">
        <f>""</f>
        <v/>
      </c>
      <c r="CO233" t="str">
        <f>""</f>
        <v/>
      </c>
      <c r="CP233" t="str">
        <f>"45-2092.01"</f>
        <v>45-2092.01</v>
      </c>
      <c r="CQ233" t="s">
        <v>3197</v>
      </c>
      <c r="CR233" t="s">
        <v>7587</v>
      </c>
      <c r="CS233" t="s">
        <v>131</v>
      </c>
      <c r="CU233" t="s">
        <v>7588</v>
      </c>
      <c r="CW233" t="s">
        <v>1879</v>
      </c>
      <c r="CX233" t="s">
        <v>1218</v>
      </c>
      <c r="CZ233" s="3" t="str">
        <f>"35469"</f>
        <v>35469</v>
      </c>
      <c r="DA233" t="s">
        <v>131</v>
      </c>
      <c r="DB233" t="str">
        <f>"45-4011"</f>
        <v>45-4011</v>
      </c>
      <c r="DC233" t="s">
        <v>4310</v>
      </c>
      <c r="DD233" t="s">
        <v>134</v>
      </c>
      <c r="DE233" t="s">
        <v>134</v>
      </c>
      <c r="DF233" t="str">
        <f>""</f>
        <v/>
      </c>
      <c r="DH233" s="6">
        <v>17.170000000000002</v>
      </c>
      <c r="DI233" t="s">
        <v>344</v>
      </c>
      <c r="DK233" t="s">
        <v>345</v>
      </c>
      <c r="DR233" t="s">
        <v>7589</v>
      </c>
      <c r="DS233" s="6">
        <v>17.170000000000002</v>
      </c>
      <c r="DT233" t="s">
        <v>424</v>
      </c>
      <c r="DU233" s="1">
        <v>44354</v>
      </c>
      <c r="DV233" s="1">
        <v>44443</v>
      </c>
    </row>
    <row r="234" spans="1:126" ht="15" customHeight="1" x14ac:dyDescent="0.35">
      <c r="A234" t="s">
        <v>18586</v>
      </c>
      <c r="B234" t="s">
        <v>318</v>
      </c>
      <c r="C234" s="1">
        <v>44323</v>
      </c>
      <c r="D234" s="1">
        <v>44354</v>
      </c>
      <c r="H234" t="s">
        <v>319</v>
      </c>
      <c r="I234" t="s">
        <v>8395</v>
      </c>
      <c r="J234" t="s">
        <v>1594</v>
      </c>
      <c r="K234" t="s">
        <v>134</v>
      </c>
      <c r="L234" t="s">
        <v>1105</v>
      </c>
      <c r="M234" t="s">
        <v>18587</v>
      </c>
      <c r="N234" t="s">
        <v>18588</v>
      </c>
      <c r="O234" t="s">
        <v>18589</v>
      </c>
      <c r="P234" t="s">
        <v>194</v>
      </c>
      <c r="Q234" s="3">
        <v>33584</v>
      </c>
      <c r="R234" t="s">
        <v>128</v>
      </c>
      <c r="T234" s="4">
        <v>17326847225</v>
      </c>
      <c r="V234" t="s">
        <v>18590</v>
      </c>
      <c r="W234" t="s">
        <v>18591</v>
      </c>
      <c r="Y234" t="s">
        <v>18587</v>
      </c>
      <c r="Z234" t="s">
        <v>18588</v>
      </c>
      <c r="AA234" t="s">
        <v>18589</v>
      </c>
      <c r="AB234" t="s">
        <v>195</v>
      </c>
      <c r="AC234" s="3" t="str">
        <f>"33584"</f>
        <v>33584</v>
      </c>
      <c r="AD234" t="s">
        <v>128</v>
      </c>
      <c r="AF234" s="4">
        <v>17326847227</v>
      </c>
      <c r="AH234" t="str">
        <f>"7139"</f>
        <v>7139</v>
      </c>
      <c r="AI234" t="s">
        <v>287</v>
      </c>
      <c r="AJ234" t="s">
        <v>18592</v>
      </c>
      <c r="AK234" t="s">
        <v>2121</v>
      </c>
      <c r="AL234" t="s">
        <v>11517</v>
      </c>
      <c r="AM234" t="s">
        <v>12333</v>
      </c>
      <c r="AN234" t="s">
        <v>1369</v>
      </c>
      <c r="AO234" t="s">
        <v>1370</v>
      </c>
      <c r="AP234" t="s">
        <v>400</v>
      </c>
      <c r="AQ234" s="5">
        <v>78550</v>
      </c>
      <c r="AR234" t="s">
        <v>128</v>
      </c>
      <c r="AS234" t="s">
        <v>412</v>
      </c>
      <c r="AT234" s="4">
        <v>19564408720</v>
      </c>
      <c r="AV234" t="s">
        <v>1678</v>
      </c>
      <c r="AW234" t="s">
        <v>1372</v>
      </c>
      <c r="AX234" t="s">
        <v>131</v>
      </c>
      <c r="AY234" t="s">
        <v>131</v>
      </c>
      <c r="AZ234" t="s">
        <v>131</v>
      </c>
      <c r="BA234" t="s">
        <v>131</v>
      </c>
      <c r="BB234" t="s">
        <v>131</v>
      </c>
      <c r="BC234" t="s">
        <v>131</v>
      </c>
      <c r="BD234" t="s">
        <v>131</v>
      </c>
      <c r="BE234" t="s">
        <v>132</v>
      </c>
      <c r="BH234" t="s">
        <v>7751</v>
      </c>
      <c r="BI234" t="s">
        <v>131</v>
      </c>
      <c r="BL234" t="s">
        <v>167</v>
      </c>
      <c r="BO234" t="s">
        <v>131</v>
      </c>
      <c r="BP234" t="s">
        <v>134</v>
      </c>
      <c r="BQ234" t="s">
        <v>131</v>
      </c>
      <c r="BS234" t="str">
        <f t="shared" si="16"/>
        <v>N/A</v>
      </c>
      <c r="BT234" t="s">
        <v>131</v>
      </c>
      <c r="BV234" t="str">
        <f>""</f>
        <v/>
      </c>
      <c r="BW234" t="s">
        <v>131</v>
      </c>
      <c r="BX234" t="str">
        <f>""</f>
        <v/>
      </c>
      <c r="BY234" t="str">
        <f>""</f>
        <v/>
      </c>
      <c r="BZ234" t="str">
        <f>""</f>
        <v/>
      </c>
      <c r="CA234" t="str">
        <f>""</f>
        <v/>
      </c>
      <c r="CB234" t="s">
        <v>131</v>
      </c>
      <c r="CF234" t="s">
        <v>131</v>
      </c>
      <c r="CH234" t="str">
        <f>""</f>
        <v/>
      </c>
      <c r="CI234" t="s">
        <v>131</v>
      </c>
      <c r="CK234" t="s">
        <v>131</v>
      </c>
      <c r="CL234" t="str">
        <f>""</f>
        <v/>
      </c>
      <c r="CM234" t="str">
        <f>""</f>
        <v/>
      </c>
      <c r="CN234" t="str">
        <f>""</f>
        <v/>
      </c>
      <c r="CO234" t="str">
        <f>""</f>
        <v/>
      </c>
      <c r="CP234" t="str">
        <f>"39-3091.00"</f>
        <v>39-3091.00</v>
      </c>
      <c r="CQ234" t="s">
        <v>1374</v>
      </c>
      <c r="CR234" t="s">
        <v>1375</v>
      </c>
      <c r="CS234" t="s">
        <v>135</v>
      </c>
      <c r="CT234" s="2" t="s">
        <v>18593</v>
      </c>
      <c r="CU234" t="s">
        <v>18587</v>
      </c>
      <c r="CW234" t="s">
        <v>18589</v>
      </c>
      <c r="CX234" t="s">
        <v>195</v>
      </c>
      <c r="CZ234" s="3" t="str">
        <f>"33584"</f>
        <v>33584</v>
      </c>
      <c r="DA234" t="s">
        <v>135</v>
      </c>
      <c r="DB234" t="str">
        <f>"35-3022"</f>
        <v>35-3022</v>
      </c>
      <c r="DC234" t="s">
        <v>5154</v>
      </c>
      <c r="DD234" t="s">
        <v>134</v>
      </c>
      <c r="DE234" t="s">
        <v>134</v>
      </c>
      <c r="DF234" t="str">
        <f>""</f>
        <v/>
      </c>
      <c r="DH234" s="6">
        <v>10.24</v>
      </c>
      <c r="DI234" t="s">
        <v>344</v>
      </c>
      <c r="DK234" t="s">
        <v>345</v>
      </c>
      <c r="DR234" t="s">
        <v>7176</v>
      </c>
      <c r="DS234" s="6">
        <v>13.32</v>
      </c>
      <c r="DT234" s="2" t="s">
        <v>347</v>
      </c>
      <c r="DU234" s="1">
        <v>44354</v>
      </c>
      <c r="DV234" s="1">
        <v>44443</v>
      </c>
    </row>
    <row r="235" spans="1:126" ht="15" customHeight="1" x14ac:dyDescent="0.35">
      <c r="A235" t="s">
        <v>15124</v>
      </c>
      <c r="B235" t="s">
        <v>318</v>
      </c>
      <c r="C235" s="1">
        <v>44323</v>
      </c>
      <c r="D235" s="1">
        <v>44350</v>
      </c>
      <c r="H235" t="s">
        <v>319</v>
      </c>
      <c r="I235" t="s">
        <v>2990</v>
      </c>
      <c r="J235" t="s">
        <v>2937</v>
      </c>
      <c r="L235" t="s">
        <v>2991</v>
      </c>
      <c r="M235" t="s">
        <v>2992</v>
      </c>
      <c r="O235" t="s">
        <v>2729</v>
      </c>
      <c r="P235" t="s">
        <v>226</v>
      </c>
      <c r="Q235" s="3">
        <v>46514</v>
      </c>
      <c r="R235" t="s">
        <v>128</v>
      </c>
      <c r="T235" s="4">
        <v>15743127433</v>
      </c>
      <c r="V235" t="s">
        <v>2994</v>
      </c>
      <c r="W235" t="s">
        <v>2995</v>
      </c>
      <c r="Y235" t="s">
        <v>2992</v>
      </c>
      <c r="AA235" t="s">
        <v>2729</v>
      </c>
      <c r="AB235" t="s">
        <v>229</v>
      </c>
      <c r="AC235" s="3" t="str">
        <f t="shared" ref="AC235:AC240" si="21">"46514"</f>
        <v>46514</v>
      </c>
      <c r="AD235" t="s">
        <v>128</v>
      </c>
      <c r="AF235" s="4">
        <v>15743127094</v>
      </c>
      <c r="AH235" t="str">
        <f t="shared" ref="AH235:AH240" si="22">"3363"</f>
        <v>3363</v>
      </c>
      <c r="AI235" t="s">
        <v>130</v>
      </c>
      <c r="AJ235" t="s">
        <v>2996</v>
      </c>
      <c r="AK235" t="s">
        <v>2997</v>
      </c>
      <c r="AL235" t="s">
        <v>254</v>
      </c>
      <c r="AM235" t="s">
        <v>2998</v>
      </c>
      <c r="AN235" t="s">
        <v>554</v>
      </c>
      <c r="AO235" t="s">
        <v>799</v>
      </c>
      <c r="AP235" t="s">
        <v>595</v>
      </c>
      <c r="AQ235" s="5">
        <v>20001</v>
      </c>
      <c r="AR235" t="s">
        <v>128</v>
      </c>
      <c r="AT235" s="4">
        <v>12023127029</v>
      </c>
      <c r="AV235" t="s">
        <v>2999</v>
      </c>
      <c r="AW235" t="s">
        <v>3000</v>
      </c>
      <c r="AX235" t="s">
        <v>131</v>
      </c>
      <c r="AY235" t="s">
        <v>131</v>
      </c>
      <c r="AZ235" t="s">
        <v>131</v>
      </c>
      <c r="BA235" t="s">
        <v>131</v>
      </c>
      <c r="BB235" t="s">
        <v>131</v>
      </c>
      <c r="BC235" t="s">
        <v>131</v>
      </c>
      <c r="BD235" t="s">
        <v>131</v>
      </c>
      <c r="BE235" t="s">
        <v>132</v>
      </c>
      <c r="BH235" t="s">
        <v>3001</v>
      </c>
      <c r="BI235" t="s">
        <v>131</v>
      </c>
      <c r="BL235" t="s">
        <v>167</v>
      </c>
      <c r="BO235" t="s">
        <v>131</v>
      </c>
      <c r="BP235" t="s">
        <v>134</v>
      </c>
      <c r="BQ235" t="s">
        <v>131</v>
      </c>
      <c r="BS235" t="str">
        <f t="shared" si="16"/>
        <v>N/A</v>
      </c>
      <c r="BT235" t="s">
        <v>131</v>
      </c>
      <c r="BV235" t="str">
        <f>""</f>
        <v/>
      </c>
      <c r="BW235" t="s">
        <v>135</v>
      </c>
      <c r="BX235" t="str">
        <f>""</f>
        <v/>
      </c>
      <c r="BY235" t="str">
        <f>""</f>
        <v/>
      </c>
      <c r="BZ235" t="str">
        <f>""</f>
        <v/>
      </c>
      <c r="CA235" t="s">
        <v>3002</v>
      </c>
      <c r="CB235" t="s">
        <v>131</v>
      </c>
      <c r="CF235" t="s">
        <v>131</v>
      </c>
      <c r="CH235" t="str">
        <f>""</f>
        <v/>
      </c>
      <c r="CI235" t="s">
        <v>131</v>
      </c>
      <c r="CK235" t="s">
        <v>131</v>
      </c>
      <c r="CL235" t="str">
        <f>""</f>
        <v/>
      </c>
      <c r="CM235" t="str">
        <f>""</f>
        <v/>
      </c>
      <c r="CN235" t="str">
        <f>""</f>
        <v/>
      </c>
      <c r="CO235" t="str">
        <f>""</f>
        <v/>
      </c>
      <c r="CP235" t="str">
        <f>"51-2092.00"</f>
        <v>51-2092.00</v>
      </c>
      <c r="CQ235" t="s">
        <v>3007</v>
      </c>
      <c r="CR235" t="s">
        <v>3004</v>
      </c>
      <c r="CS235" t="s">
        <v>131</v>
      </c>
      <c r="CU235" t="s">
        <v>15125</v>
      </c>
      <c r="CW235" t="s">
        <v>6075</v>
      </c>
      <c r="CX235" t="s">
        <v>229</v>
      </c>
      <c r="CZ235" s="3" t="str">
        <f>"46619"</f>
        <v>46619</v>
      </c>
      <c r="DA235" t="s">
        <v>131</v>
      </c>
      <c r="DB235" t="str">
        <f t="shared" ref="DB235:DB240" si="23">"51-2092"</f>
        <v>51-2092</v>
      </c>
      <c r="DC235" t="s">
        <v>3007</v>
      </c>
      <c r="DD235" t="s">
        <v>134</v>
      </c>
      <c r="DE235" t="s">
        <v>134</v>
      </c>
      <c r="DF235" t="str">
        <f>""</f>
        <v/>
      </c>
      <c r="DH235" s="6">
        <v>14.55</v>
      </c>
      <c r="DI235" t="s">
        <v>344</v>
      </c>
      <c r="DK235" t="s">
        <v>345</v>
      </c>
      <c r="DS235" s="6">
        <v>14.55</v>
      </c>
      <c r="DT235" t="s">
        <v>424</v>
      </c>
      <c r="DU235" s="1">
        <v>44350</v>
      </c>
      <c r="DV235" s="1">
        <v>44439</v>
      </c>
    </row>
    <row r="236" spans="1:126" ht="15" customHeight="1" x14ac:dyDescent="0.35">
      <c r="A236" t="s">
        <v>2989</v>
      </c>
      <c r="B236" t="s">
        <v>318</v>
      </c>
      <c r="C236" s="1">
        <v>44323</v>
      </c>
      <c r="D236" s="1">
        <v>44350</v>
      </c>
      <c r="H236" t="s">
        <v>319</v>
      </c>
      <c r="I236" t="s">
        <v>2990</v>
      </c>
      <c r="J236" t="s">
        <v>2937</v>
      </c>
      <c r="L236" t="s">
        <v>2991</v>
      </c>
      <c r="M236" t="s">
        <v>2992</v>
      </c>
      <c r="O236" t="s">
        <v>2993</v>
      </c>
      <c r="P236" t="s">
        <v>226</v>
      </c>
      <c r="Q236" s="3">
        <v>46514</v>
      </c>
      <c r="R236" t="s">
        <v>128</v>
      </c>
      <c r="T236" s="4">
        <v>15743127433</v>
      </c>
      <c r="V236" t="s">
        <v>2994</v>
      </c>
      <c r="W236" t="s">
        <v>2995</v>
      </c>
      <c r="Y236" t="s">
        <v>2992</v>
      </c>
      <c r="AA236" t="s">
        <v>2729</v>
      </c>
      <c r="AB236" t="s">
        <v>229</v>
      </c>
      <c r="AC236" s="3" t="str">
        <f t="shared" si="21"/>
        <v>46514</v>
      </c>
      <c r="AD236" t="s">
        <v>128</v>
      </c>
      <c r="AF236" s="4">
        <v>15743127094</v>
      </c>
      <c r="AH236" t="str">
        <f t="shared" si="22"/>
        <v>3363</v>
      </c>
      <c r="AI236" t="s">
        <v>130</v>
      </c>
      <c r="AJ236" t="s">
        <v>2996</v>
      </c>
      <c r="AK236" t="s">
        <v>2997</v>
      </c>
      <c r="AL236" t="s">
        <v>254</v>
      </c>
      <c r="AM236" t="s">
        <v>2998</v>
      </c>
      <c r="AN236" t="s">
        <v>554</v>
      </c>
      <c r="AO236" t="s">
        <v>799</v>
      </c>
      <c r="AP236" t="s">
        <v>595</v>
      </c>
      <c r="AQ236" s="5">
        <v>20001</v>
      </c>
      <c r="AR236" t="s">
        <v>128</v>
      </c>
      <c r="AT236" s="4">
        <v>12023127029</v>
      </c>
      <c r="AV236" t="s">
        <v>2999</v>
      </c>
      <c r="AW236" t="s">
        <v>3000</v>
      </c>
      <c r="AX236" t="s">
        <v>131</v>
      </c>
      <c r="AY236" t="s">
        <v>131</v>
      </c>
      <c r="AZ236" t="s">
        <v>131</v>
      </c>
      <c r="BA236" t="s">
        <v>131</v>
      </c>
      <c r="BB236" t="s">
        <v>131</v>
      </c>
      <c r="BC236" t="s">
        <v>131</v>
      </c>
      <c r="BD236" t="s">
        <v>131</v>
      </c>
      <c r="BE236" t="s">
        <v>132</v>
      </c>
      <c r="BH236" t="s">
        <v>3001</v>
      </c>
      <c r="BI236" t="s">
        <v>131</v>
      </c>
      <c r="BL236" t="s">
        <v>167</v>
      </c>
      <c r="BO236" t="s">
        <v>131</v>
      </c>
      <c r="BP236" t="s">
        <v>134</v>
      </c>
      <c r="BQ236" t="s">
        <v>131</v>
      </c>
      <c r="BS236" t="str">
        <f t="shared" si="16"/>
        <v>N/A</v>
      </c>
      <c r="BT236" t="s">
        <v>131</v>
      </c>
      <c r="BV236" t="str">
        <f>""</f>
        <v/>
      </c>
      <c r="BW236" t="s">
        <v>135</v>
      </c>
      <c r="BX236" t="str">
        <f>""</f>
        <v/>
      </c>
      <c r="BY236" t="str">
        <f>""</f>
        <v/>
      </c>
      <c r="BZ236" t="str">
        <f>""</f>
        <v/>
      </c>
      <c r="CA236" t="s">
        <v>3002</v>
      </c>
      <c r="CB236" t="s">
        <v>131</v>
      </c>
      <c r="CF236" t="s">
        <v>131</v>
      </c>
      <c r="CH236" t="str">
        <f>""</f>
        <v/>
      </c>
      <c r="CI236" t="s">
        <v>131</v>
      </c>
      <c r="CK236" t="s">
        <v>131</v>
      </c>
      <c r="CL236" t="str">
        <f>""</f>
        <v/>
      </c>
      <c r="CM236" t="str">
        <f>""</f>
        <v/>
      </c>
      <c r="CN236" t="str">
        <f>""</f>
        <v/>
      </c>
      <c r="CO236" t="str">
        <f>""</f>
        <v/>
      </c>
      <c r="CP236" t="str">
        <f>"51-4121.06"</f>
        <v>51-4121.06</v>
      </c>
      <c r="CQ236" t="s">
        <v>3003</v>
      </c>
      <c r="CR236" t="s">
        <v>3004</v>
      </c>
      <c r="CS236" t="s">
        <v>131</v>
      </c>
      <c r="CU236" t="s">
        <v>3005</v>
      </c>
      <c r="CW236" t="s">
        <v>3006</v>
      </c>
      <c r="CX236" t="s">
        <v>172</v>
      </c>
      <c r="CZ236" s="3" t="str">
        <f>"92376"</f>
        <v>92376</v>
      </c>
      <c r="DA236" t="s">
        <v>131</v>
      </c>
      <c r="DB236" t="str">
        <f t="shared" si="23"/>
        <v>51-2092</v>
      </c>
      <c r="DC236" t="s">
        <v>3007</v>
      </c>
      <c r="DD236" t="s">
        <v>134</v>
      </c>
      <c r="DE236" t="s">
        <v>134</v>
      </c>
      <c r="DF236" t="str">
        <f>""</f>
        <v/>
      </c>
      <c r="DH236" s="6">
        <v>14.77</v>
      </c>
      <c r="DI236" t="s">
        <v>344</v>
      </c>
      <c r="DK236" t="s">
        <v>345</v>
      </c>
      <c r="DS236" s="6">
        <v>14.77</v>
      </c>
      <c r="DT236" t="s">
        <v>424</v>
      </c>
      <c r="DU236" s="1">
        <v>44350</v>
      </c>
      <c r="DV236" s="1">
        <v>44439</v>
      </c>
    </row>
    <row r="237" spans="1:126" ht="15" customHeight="1" x14ac:dyDescent="0.35">
      <c r="A237" t="s">
        <v>7743</v>
      </c>
      <c r="B237" t="s">
        <v>318</v>
      </c>
      <c r="C237" s="1">
        <v>44323</v>
      </c>
      <c r="D237" s="1">
        <v>44350</v>
      </c>
      <c r="H237" t="s">
        <v>319</v>
      </c>
      <c r="I237" t="s">
        <v>2990</v>
      </c>
      <c r="J237" t="s">
        <v>2937</v>
      </c>
      <c r="L237" t="s">
        <v>2991</v>
      </c>
      <c r="M237" t="s">
        <v>2992</v>
      </c>
      <c r="O237" t="s">
        <v>2729</v>
      </c>
      <c r="P237" t="s">
        <v>226</v>
      </c>
      <c r="Q237" s="3">
        <v>46514</v>
      </c>
      <c r="R237" t="s">
        <v>128</v>
      </c>
      <c r="T237" s="4">
        <v>15743127433</v>
      </c>
      <c r="V237" t="s">
        <v>2994</v>
      </c>
      <c r="W237" t="s">
        <v>2995</v>
      </c>
      <c r="Y237" t="s">
        <v>2992</v>
      </c>
      <c r="AA237" t="s">
        <v>2729</v>
      </c>
      <c r="AB237" t="s">
        <v>229</v>
      </c>
      <c r="AC237" s="3" t="str">
        <f t="shared" si="21"/>
        <v>46514</v>
      </c>
      <c r="AD237" t="s">
        <v>128</v>
      </c>
      <c r="AF237" s="4">
        <v>15743127094</v>
      </c>
      <c r="AH237" t="str">
        <f t="shared" si="22"/>
        <v>3363</v>
      </c>
      <c r="AI237" t="s">
        <v>130</v>
      </c>
      <c r="AJ237" t="s">
        <v>2996</v>
      </c>
      <c r="AK237" t="s">
        <v>2997</v>
      </c>
      <c r="AL237" t="s">
        <v>254</v>
      </c>
      <c r="AM237" t="s">
        <v>2998</v>
      </c>
      <c r="AN237" t="s">
        <v>554</v>
      </c>
      <c r="AO237" t="s">
        <v>799</v>
      </c>
      <c r="AP237" t="s">
        <v>595</v>
      </c>
      <c r="AQ237" s="5">
        <v>20001</v>
      </c>
      <c r="AR237" t="s">
        <v>128</v>
      </c>
      <c r="AT237" s="4">
        <v>12023127029</v>
      </c>
      <c r="AV237" t="s">
        <v>2999</v>
      </c>
      <c r="AW237" t="s">
        <v>3000</v>
      </c>
      <c r="AX237" t="s">
        <v>131</v>
      </c>
      <c r="AY237" t="s">
        <v>131</v>
      </c>
      <c r="AZ237" t="s">
        <v>131</v>
      </c>
      <c r="BA237" t="s">
        <v>131</v>
      </c>
      <c r="BB237" t="s">
        <v>131</v>
      </c>
      <c r="BC237" t="s">
        <v>131</v>
      </c>
      <c r="BD237" t="s">
        <v>131</v>
      </c>
      <c r="BE237" t="s">
        <v>132</v>
      </c>
      <c r="BH237" t="s">
        <v>3001</v>
      </c>
      <c r="BI237" t="s">
        <v>131</v>
      </c>
      <c r="BL237" t="s">
        <v>167</v>
      </c>
      <c r="BO237" t="s">
        <v>131</v>
      </c>
      <c r="BP237" t="s">
        <v>134</v>
      </c>
      <c r="BQ237" t="s">
        <v>131</v>
      </c>
      <c r="BS237" t="str">
        <f t="shared" si="16"/>
        <v>N/A</v>
      </c>
      <c r="BT237" t="s">
        <v>131</v>
      </c>
      <c r="BV237" t="str">
        <f>""</f>
        <v/>
      </c>
      <c r="BW237" t="s">
        <v>135</v>
      </c>
      <c r="BX237" t="str">
        <f>""</f>
        <v/>
      </c>
      <c r="BY237" t="str">
        <f>""</f>
        <v/>
      </c>
      <c r="BZ237" t="str">
        <f>""</f>
        <v/>
      </c>
      <c r="CA237" t="s">
        <v>3002</v>
      </c>
      <c r="CB237" t="s">
        <v>131</v>
      </c>
      <c r="CF237" t="s">
        <v>131</v>
      </c>
      <c r="CH237" t="str">
        <f>""</f>
        <v/>
      </c>
      <c r="CI237" t="s">
        <v>131</v>
      </c>
      <c r="CK237" t="s">
        <v>131</v>
      </c>
      <c r="CL237" t="str">
        <f>""</f>
        <v/>
      </c>
      <c r="CM237" t="str">
        <f>""</f>
        <v/>
      </c>
      <c r="CN237" t="str">
        <f>""</f>
        <v/>
      </c>
      <c r="CO237" t="str">
        <f>""</f>
        <v/>
      </c>
      <c r="CP237" t="str">
        <f>"51-4121.06"</f>
        <v>51-4121.06</v>
      </c>
      <c r="CQ237" t="s">
        <v>3003</v>
      </c>
      <c r="CR237" t="s">
        <v>3004</v>
      </c>
      <c r="CS237" t="s">
        <v>131</v>
      </c>
      <c r="CU237" t="s">
        <v>7744</v>
      </c>
      <c r="CW237" t="s">
        <v>7745</v>
      </c>
      <c r="CX237" t="s">
        <v>229</v>
      </c>
      <c r="CZ237" s="3" t="str">
        <f>"46526"</f>
        <v>46526</v>
      </c>
      <c r="DA237" t="s">
        <v>131</v>
      </c>
      <c r="DB237" t="str">
        <f t="shared" si="23"/>
        <v>51-2092</v>
      </c>
      <c r="DC237" t="s">
        <v>3007</v>
      </c>
      <c r="DD237" t="s">
        <v>134</v>
      </c>
      <c r="DE237" t="s">
        <v>134</v>
      </c>
      <c r="DF237" t="str">
        <f>""</f>
        <v/>
      </c>
      <c r="DH237" s="6">
        <v>22.06</v>
      </c>
      <c r="DI237" t="s">
        <v>344</v>
      </c>
      <c r="DK237" t="s">
        <v>345</v>
      </c>
      <c r="DS237" s="6">
        <v>22.06</v>
      </c>
      <c r="DT237" t="s">
        <v>424</v>
      </c>
      <c r="DU237" s="1">
        <v>44350</v>
      </c>
      <c r="DV237" s="1">
        <v>44439</v>
      </c>
    </row>
    <row r="238" spans="1:126" ht="15" customHeight="1" x14ac:dyDescent="0.35">
      <c r="A238" t="s">
        <v>18190</v>
      </c>
      <c r="B238" t="s">
        <v>318</v>
      </c>
      <c r="C238" s="1">
        <v>44323</v>
      </c>
      <c r="D238" s="1">
        <v>44350</v>
      </c>
      <c r="H238" t="s">
        <v>319</v>
      </c>
      <c r="I238" t="s">
        <v>2990</v>
      </c>
      <c r="J238" t="s">
        <v>2937</v>
      </c>
      <c r="L238" t="s">
        <v>2991</v>
      </c>
      <c r="M238" t="s">
        <v>2992</v>
      </c>
      <c r="O238" t="s">
        <v>2729</v>
      </c>
      <c r="P238" t="s">
        <v>226</v>
      </c>
      <c r="Q238" s="3">
        <v>46514</v>
      </c>
      <c r="R238" t="s">
        <v>128</v>
      </c>
      <c r="T238" s="4">
        <v>15743127433</v>
      </c>
      <c r="V238" t="s">
        <v>2994</v>
      </c>
      <c r="W238" t="s">
        <v>2995</v>
      </c>
      <c r="Y238" t="s">
        <v>2992</v>
      </c>
      <c r="AA238" t="s">
        <v>2729</v>
      </c>
      <c r="AB238" t="s">
        <v>229</v>
      </c>
      <c r="AC238" s="3" t="str">
        <f t="shared" si="21"/>
        <v>46514</v>
      </c>
      <c r="AD238" t="s">
        <v>128</v>
      </c>
      <c r="AF238" s="4">
        <v>15743127094</v>
      </c>
      <c r="AH238" t="str">
        <f t="shared" si="22"/>
        <v>3363</v>
      </c>
      <c r="AI238" t="s">
        <v>130</v>
      </c>
      <c r="AJ238" t="s">
        <v>2996</v>
      </c>
      <c r="AK238" t="s">
        <v>2997</v>
      </c>
      <c r="AL238" t="s">
        <v>254</v>
      </c>
      <c r="AM238" t="s">
        <v>2998</v>
      </c>
      <c r="AN238" t="s">
        <v>554</v>
      </c>
      <c r="AO238" t="s">
        <v>799</v>
      </c>
      <c r="AP238" t="s">
        <v>595</v>
      </c>
      <c r="AQ238" s="5">
        <v>20001</v>
      </c>
      <c r="AR238" t="s">
        <v>128</v>
      </c>
      <c r="AT238" s="4">
        <v>12023127029</v>
      </c>
      <c r="AV238" t="s">
        <v>2999</v>
      </c>
      <c r="AW238" t="s">
        <v>3000</v>
      </c>
      <c r="AX238" t="s">
        <v>131</v>
      </c>
      <c r="AY238" t="s">
        <v>131</v>
      </c>
      <c r="AZ238" t="s">
        <v>131</v>
      </c>
      <c r="BA238" t="s">
        <v>131</v>
      </c>
      <c r="BB238" t="s">
        <v>131</v>
      </c>
      <c r="BC238" t="s">
        <v>131</v>
      </c>
      <c r="BD238" t="s">
        <v>131</v>
      </c>
      <c r="BE238" t="s">
        <v>132</v>
      </c>
      <c r="BH238" t="s">
        <v>5736</v>
      </c>
      <c r="BI238" t="s">
        <v>131</v>
      </c>
      <c r="BL238" t="s">
        <v>167</v>
      </c>
      <c r="BO238" t="s">
        <v>131</v>
      </c>
      <c r="BP238" t="s">
        <v>134</v>
      </c>
      <c r="BQ238" t="s">
        <v>131</v>
      </c>
      <c r="BS238" t="str">
        <f t="shared" si="16"/>
        <v>N/A</v>
      </c>
      <c r="BT238" t="s">
        <v>131</v>
      </c>
      <c r="BV238" t="str">
        <f>""</f>
        <v/>
      </c>
      <c r="BW238" t="s">
        <v>135</v>
      </c>
      <c r="BX238" t="str">
        <f>""</f>
        <v/>
      </c>
      <c r="BY238" t="str">
        <f>""</f>
        <v/>
      </c>
      <c r="BZ238" t="str">
        <f>""</f>
        <v/>
      </c>
      <c r="CA238" t="s">
        <v>9357</v>
      </c>
      <c r="CB238" t="s">
        <v>131</v>
      </c>
      <c r="CF238" t="s">
        <v>131</v>
      </c>
      <c r="CH238" t="str">
        <f>""</f>
        <v/>
      </c>
      <c r="CI238" t="s">
        <v>131</v>
      </c>
      <c r="CK238" t="s">
        <v>131</v>
      </c>
      <c r="CL238" t="str">
        <f>""</f>
        <v/>
      </c>
      <c r="CM238" t="str">
        <f>""</f>
        <v/>
      </c>
      <c r="CN238" t="str">
        <f>""</f>
        <v/>
      </c>
      <c r="CO238" t="str">
        <f>""</f>
        <v/>
      </c>
      <c r="CP238" t="str">
        <f>"51-2092.00"</f>
        <v>51-2092.00</v>
      </c>
      <c r="CQ238" t="s">
        <v>3007</v>
      </c>
      <c r="CR238" t="s">
        <v>3004</v>
      </c>
      <c r="CS238" t="s">
        <v>131</v>
      </c>
      <c r="CU238" t="s">
        <v>15125</v>
      </c>
      <c r="CW238" t="s">
        <v>6075</v>
      </c>
      <c r="CX238" t="s">
        <v>229</v>
      </c>
      <c r="CZ238" s="3" t="str">
        <f>"46619"</f>
        <v>46619</v>
      </c>
      <c r="DA238" t="s">
        <v>131</v>
      </c>
      <c r="DB238" t="str">
        <f t="shared" si="23"/>
        <v>51-2092</v>
      </c>
      <c r="DC238" t="s">
        <v>3007</v>
      </c>
      <c r="DD238" t="s">
        <v>134</v>
      </c>
      <c r="DE238" t="s">
        <v>134</v>
      </c>
      <c r="DF238" t="str">
        <f>""</f>
        <v/>
      </c>
      <c r="DH238" s="6">
        <v>14.55</v>
      </c>
      <c r="DI238" t="s">
        <v>344</v>
      </c>
      <c r="DK238" t="s">
        <v>345</v>
      </c>
      <c r="DS238" s="6">
        <v>14.55</v>
      </c>
      <c r="DT238" t="s">
        <v>424</v>
      </c>
      <c r="DU238" s="1">
        <v>44350</v>
      </c>
      <c r="DV238" s="1">
        <v>44439</v>
      </c>
    </row>
    <row r="239" spans="1:126" ht="15" customHeight="1" x14ac:dyDescent="0.35">
      <c r="A239" t="s">
        <v>9356</v>
      </c>
      <c r="B239" t="s">
        <v>318</v>
      </c>
      <c r="C239" s="1">
        <v>44323</v>
      </c>
      <c r="D239" s="1">
        <v>44350</v>
      </c>
      <c r="H239" t="s">
        <v>319</v>
      </c>
      <c r="I239" t="s">
        <v>2990</v>
      </c>
      <c r="J239" t="s">
        <v>2937</v>
      </c>
      <c r="L239" t="s">
        <v>2991</v>
      </c>
      <c r="M239" t="s">
        <v>2992</v>
      </c>
      <c r="O239" t="s">
        <v>2729</v>
      </c>
      <c r="P239" t="s">
        <v>226</v>
      </c>
      <c r="Q239" s="3">
        <v>46514</v>
      </c>
      <c r="R239" t="s">
        <v>128</v>
      </c>
      <c r="T239" s="4">
        <v>15743127433</v>
      </c>
      <c r="V239" t="s">
        <v>2994</v>
      </c>
      <c r="W239" t="s">
        <v>2995</v>
      </c>
      <c r="Y239" t="s">
        <v>2992</v>
      </c>
      <c r="AA239" t="s">
        <v>2729</v>
      </c>
      <c r="AB239" t="s">
        <v>229</v>
      </c>
      <c r="AC239" s="3" t="str">
        <f t="shared" si="21"/>
        <v>46514</v>
      </c>
      <c r="AD239" t="s">
        <v>128</v>
      </c>
      <c r="AF239" s="4">
        <v>15743127094</v>
      </c>
      <c r="AH239" t="str">
        <f t="shared" si="22"/>
        <v>3363</v>
      </c>
      <c r="AI239" t="s">
        <v>130</v>
      </c>
      <c r="AJ239" t="s">
        <v>2996</v>
      </c>
      <c r="AK239" t="s">
        <v>2997</v>
      </c>
      <c r="AL239" t="s">
        <v>254</v>
      </c>
      <c r="AM239" t="s">
        <v>2998</v>
      </c>
      <c r="AN239" t="s">
        <v>554</v>
      </c>
      <c r="AO239" t="s">
        <v>799</v>
      </c>
      <c r="AP239" t="s">
        <v>595</v>
      </c>
      <c r="AQ239" s="5">
        <v>20001</v>
      </c>
      <c r="AR239" t="s">
        <v>128</v>
      </c>
      <c r="AT239" s="4">
        <v>12023127029</v>
      </c>
      <c r="AV239" t="s">
        <v>2999</v>
      </c>
      <c r="AW239" t="s">
        <v>3000</v>
      </c>
      <c r="AX239" t="s">
        <v>131</v>
      </c>
      <c r="AY239" t="s">
        <v>131</v>
      </c>
      <c r="AZ239" t="s">
        <v>131</v>
      </c>
      <c r="BA239" t="s">
        <v>131</v>
      </c>
      <c r="BB239" t="s">
        <v>131</v>
      </c>
      <c r="BC239" t="s">
        <v>131</v>
      </c>
      <c r="BD239" t="s">
        <v>131</v>
      </c>
      <c r="BE239" t="s">
        <v>132</v>
      </c>
      <c r="BH239" t="s">
        <v>5736</v>
      </c>
      <c r="BI239" t="s">
        <v>131</v>
      </c>
      <c r="BL239" t="s">
        <v>167</v>
      </c>
      <c r="BO239" t="s">
        <v>131</v>
      </c>
      <c r="BP239" t="s">
        <v>134</v>
      </c>
      <c r="BQ239" t="s">
        <v>131</v>
      </c>
      <c r="BS239" t="str">
        <f t="shared" si="16"/>
        <v>N/A</v>
      </c>
      <c r="BT239" t="s">
        <v>131</v>
      </c>
      <c r="BV239" t="str">
        <f>""</f>
        <v/>
      </c>
      <c r="BW239" t="s">
        <v>135</v>
      </c>
      <c r="BX239" t="str">
        <f>""</f>
        <v/>
      </c>
      <c r="BY239" t="str">
        <f>""</f>
        <v/>
      </c>
      <c r="BZ239" t="str">
        <f>""</f>
        <v/>
      </c>
      <c r="CA239" t="s">
        <v>9357</v>
      </c>
      <c r="CB239" t="s">
        <v>131</v>
      </c>
      <c r="CF239" t="s">
        <v>131</v>
      </c>
      <c r="CH239" t="str">
        <f>""</f>
        <v/>
      </c>
      <c r="CI239" t="s">
        <v>131</v>
      </c>
      <c r="CK239" t="s">
        <v>131</v>
      </c>
      <c r="CL239" t="str">
        <f>""</f>
        <v/>
      </c>
      <c r="CM239" t="str">
        <f>""</f>
        <v/>
      </c>
      <c r="CN239" t="str">
        <f>""</f>
        <v/>
      </c>
      <c r="CO239" t="str">
        <f>""</f>
        <v/>
      </c>
      <c r="CP239" t="str">
        <f>"51-2092.00"</f>
        <v>51-2092.00</v>
      </c>
      <c r="CQ239" t="s">
        <v>3007</v>
      </c>
      <c r="CR239" t="s">
        <v>3004</v>
      </c>
      <c r="CS239" t="s">
        <v>131</v>
      </c>
      <c r="CU239" t="s">
        <v>9358</v>
      </c>
      <c r="CW239" t="s">
        <v>8343</v>
      </c>
      <c r="CX239" t="s">
        <v>1243</v>
      </c>
      <c r="CZ239" s="3" t="str">
        <f>"83687"</f>
        <v>83687</v>
      </c>
      <c r="DA239" t="s">
        <v>131</v>
      </c>
      <c r="DB239" t="str">
        <f t="shared" si="23"/>
        <v>51-2092</v>
      </c>
      <c r="DC239" t="s">
        <v>3007</v>
      </c>
      <c r="DD239" t="s">
        <v>134</v>
      </c>
      <c r="DE239" t="s">
        <v>134</v>
      </c>
      <c r="DF239" t="str">
        <f>""</f>
        <v/>
      </c>
      <c r="DH239" s="6">
        <v>13.99</v>
      </c>
      <c r="DI239" t="s">
        <v>344</v>
      </c>
      <c r="DK239" t="s">
        <v>345</v>
      </c>
      <c r="DS239" s="6">
        <v>13.99</v>
      </c>
      <c r="DT239" t="s">
        <v>424</v>
      </c>
      <c r="DU239" s="1">
        <v>44350</v>
      </c>
      <c r="DV239" s="1">
        <v>44439</v>
      </c>
    </row>
    <row r="240" spans="1:126" ht="15" customHeight="1" x14ac:dyDescent="0.35">
      <c r="A240" t="s">
        <v>9506</v>
      </c>
      <c r="B240" t="s">
        <v>318</v>
      </c>
      <c r="C240" s="1">
        <v>44323</v>
      </c>
      <c r="D240" s="1">
        <v>44351</v>
      </c>
      <c r="H240" t="s">
        <v>319</v>
      </c>
      <c r="I240" t="s">
        <v>2990</v>
      </c>
      <c r="J240" t="s">
        <v>2937</v>
      </c>
      <c r="L240" t="s">
        <v>2991</v>
      </c>
      <c r="M240" t="s">
        <v>2992</v>
      </c>
      <c r="O240" t="s">
        <v>2729</v>
      </c>
      <c r="P240" t="s">
        <v>226</v>
      </c>
      <c r="Q240" s="3">
        <v>46514</v>
      </c>
      <c r="R240" t="s">
        <v>128</v>
      </c>
      <c r="T240" s="4">
        <v>15743127433</v>
      </c>
      <c r="V240" t="s">
        <v>2994</v>
      </c>
      <c r="W240" t="s">
        <v>2995</v>
      </c>
      <c r="Y240" t="s">
        <v>2992</v>
      </c>
      <c r="AA240" t="s">
        <v>2729</v>
      </c>
      <c r="AB240" t="s">
        <v>229</v>
      </c>
      <c r="AC240" s="3" t="str">
        <f t="shared" si="21"/>
        <v>46514</v>
      </c>
      <c r="AD240" t="s">
        <v>128</v>
      </c>
      <c r="AF240" s="4">
        <v>15743127094</v>
      </c>
      <c r="AH240" t="str">
        <f t="shared" si="22"/>
        <v>3363</v>
      </c>
      <c r="AI240" t="s">
        <v>130</v>
      </c>
      <c r="AJ240" t="s">
        <v>2996</v>
      </c>
      <c r="AK240" t="s">
        <v>2997</v>
      </c>
      <c r="AL240" t="s">
        <v>254</v>
      </c>
      <c r="AM240" t="s">
        <v>2998</v>
      </c>
      <c r="AN240" t="s">
        <v>554</v>
      </c>
      <c r="AO240" t="s">
        <v>799</v>
      </c>
      <c r="AP240" t="s">
        <v>595</v>
      </c>
      <c r="AQ240" s="5">
        <v>20001</v>
      </c>
      <c r="AR240" t="s">
        <v>128</v>
      </c>
      <c r="AT240" s="4">
        <v>12023127029</v>
      </c>
      <c r="AV240" t="s">
        <v>2999</v>
      </c>
      <c r="AW240" t="s">
        <v>3000</v>
      </c>
      <c r="AX240" t="s">
        <v>131</v>
      </c>
      <c r="AY240" t="s">
        <v>131</v>
      </c>
      <c r="AZ240" t="s">
        <v>131</v>
      </c>
      <c r="BA240" t="s">
        <v>131</v>
      </c>
      <c r="BB240" t="s">
        <v>131</v>
      </c>
      <c r="BC240" t="s">
        <v>131</v>
      </c>
      <c r="BD240" t="s">
        <v>131</v>
      </c>
      <c r="BE240" t="s">
        <v>132</v>
      </c>
      <c r="BH240" t="s">
        <v>5736</v>
      </c>
      <c r="BI240" t="s">
        <v>131</v>
      </c>
      <c r="BL240" t="s">
        <v>167</v>
      </c>
      <c r="BO240" t="s">
        <v>131</v>
      </c>
      <c r="BP240" t="s">
        <v>134</v>
      </c>
      <c r="BQ240" t="s">
        <v>131</v>
      </c>
      <c r="BS240" t="str">
        <f t="shared" si="16"/>
        <v>N/A</v>
      </c>
      <c r="BT240" t="s">
        <v>131</v>
      </c>
      <c r="BV240" t="str">
        <f>""</f>
        <v/>
      </c>
      <c r="BW240" t="s">
        <v>135</v>
      </c>
      <c r="BX240" t="str">
        <f>""</f>
        <v/>
      </c>
      <c r="BY240" t="str">
        <f>""</f>
        <v/>
      </c>
      <c r="BZ240" t="str">
        <f>""</f>
        <v/>
      </c>
      <c r="CA240" t="s">
        <v>9357</v>
      </c>
      <c r="CB240" t="s">
        <v>131</v>
      </c>
      <c r="CF240" t="s">
        <v>131</v>
      </c>
      <c r="CH240" t="str">
        <f>""</f>
        <v/>
      </c>
      <c r="CI240" t="s">
        <v>131</v>
      </c>
      <c r="CK240" t="s">
        <v>131</v>
      </c>
      <c r="CL240" t="str">
        <f>""</f>
        <v/>
      </c>
      <c r="CM240" t="str">
        <f>""</f>
        <v/>
      </c>
      <c r="CN240" t="str">
        <f>""</f>
        <v/>
      </c>
      <c r="CO240" t="str">
        <f>""</f>
        <v/>
      </c>
      <c r="CP240" t="str">
        <f>"51-2092.00"</f>
        <v>51-2092.00</v>
      </c>
      <c r="CQ240" t="s">
        <v>3007</v>
      </c>
      <c r="CR240" t="s">
        <v>3004</v>
      </c>
      <c r="CS240" t="s">
        <v>131</v>
      </c>
      <c r="CU240" t="s">
        <v>9507</v>
      </c>
      <c r="CW240" t="s">
        <v>7745</v>
      </c>
      <c r="CX240" t="s">
        <v>229</v>
      </c>
      <c r="CZ240" s="3" t="str">
        <f>"46528"</f>
        <v>46528</v>
      </c>
      <c r="DA240" t="s">
        <v>131</v>
      </c>
      <c r="DB240" t="str">
        <f t="shared" si="23"/>
        <v>51-2092</v>
      </c>
      <c r="DC240" t="s">
        <v>3007</v>
      </c>
      <c r="DD240" t="s">
        <v>134</v>
      </c>
      <c r="DE240" t="s">
        <v>134</v>
      </c>
      <c r="DF240" t="str">
        <f>""</f>
        <v/>
      </c>
      <c r="DH240" s="6">
        <v>22.06</v>
      </c>
      <c r="DI240" t="s">
        <v>344</v>
      </c>
      <c r="DK240" t="s">
        <v>345</v>
      </c>
      <c r="DS240" s="6">
        <v>22.06</v>
      </c>
      <c r="DT240" t="s">
        <v>424</v>
      </c>
      <c r="DU240" s="1">
        <v>44351</v>
      </c>
      <c r="DV240" s="1">
        <v>44440</v>
      </c>
    </row>
    <row r="241" spans="1:126" ht="15" customHeight="1" x14ac:dyDescent="0.35">
      <c r="A241" t="s">
        <v>13770</v>
      </c>
      <c r="B241" t="s">
        <v>318</v>
      </c>
      <c r="C241" s="1">
        <v>44324</v>
      </c>
      <c r="D241" s="1">
        <v>44355</v>
      </c>
      <c r="H241" t="s">
        <v>319</v>
      </c>
      <c r="I241" t="s">
        <v>9510</v>
      </c>
      <c r="J241" t="s">
        <v>9511</v>
      </c>
      <c r="L241" t="s">
        <v>13771</v>
      </c>
      <c r="M241" t="s">
        <v>9513</v>
      </c>
      <c r="O241" t="s">
        <v>2666</v>
      </c>
      <c r="Q241" s="3">
        <v>75011</v>
      </c>
      <c r="R241" t="s">
        <v>9514</v>
      </c>
      <c r="T241" s="4">
        <v>33671642667</v>
      </c>
      <c r="V241" t="s">
        <v>9515</v>
      </c>
      <c r="W241" t="s">
        <v>9516</v>
      </c>
      <c r="Y241" t="s">
        <v>9517</v>
      </c>
      <c r="Z241" t="s">
        <v>9058</v>
      </c>
      <c r="AA241" t="s">
        <v>799</v>
      </c>
      <c r="AB241" t="s">
        <v>595</v>
      </c>
      <c r="AC241" s="3" t="str">
        <f>"20037"</f>
        <v>20037</v>
      </c>
      <c r="AD241" t="s">
        <v>128</v>
      </c>
      <c r="AF241" s="4">
        <v>12024550192</v>
      </c>
      <c r="AH241" t="str">
        <f>"541511"</f>
        <v>541511</v>
      </c>
      <c r="AI241" t="s">
        <v>167</v>
      </c>
      <c r="AX241" t="s">
        <v>131</v>
      </c>
      <c r="AY241" t="s">
        <v>131</v>
      </c>
      <c r="AZ241" t="s">
        <v>131</v>
      </c>
      <c r="BA241" t="s">
        <v>131</v>
      </c>
      <c r="BB241" t="s">
        <v>131</v>
      </c>
      <c r="BC241" t="s">
        <v>131</v>
      </c>
      <c r="BD241" t="s">
        <v>131</v>
      </c>
      <c r="BE241" t="s">
        <v>132</v>
      </c>
      <c r="BH241" t="s">
        <v>9518</v>
      </c>
      <c r="BI241" t="s">
        <v>131</v>
      </c>
      <c r="BL241" t="s">
        <v>401</v>
      </c>
      <c r="BO241" t="s">
        <v>131</v>
      </c>
      <c r="BP241" t="s">
        <v>134</v>
      </c>
      <c r="BQ241" t="s">
        <v>131</v>
      </c>
      <c r="BS241" t="str">
        <f t="shared" si="16"/>
        <v>N/A</v>
      </c>
      <c r="BT241" t="s">
        <v>135</v>
      </c>
      <c r="BU241">
        <v>60</v>
      </c>
      <c r="BV241" t="str">
        <f>"Nanny and household employee"</f>
        <v>Nanny and household employee</v>
      </c>
      <c r="BW241" t="s">
        <v>135</v>
      </c>
      <c r="BX241" t="str">
        <f>""</f>
        <v/>
      </c>
      <c r="BY241" t="str">
        <f>"Tagolog
French"</f>
        <v>Tagolog
French</v>
      </c>
      <c r="BZ241" t="str">
        <f>""</f>
        <v/>
      </c>
      <c r="CA241" t="str">
        <f>""</f>
        <v/>
      </c>
      <c r="CB241" t="s">
        <v>131</v>
      </c>
      <c r="CF241" t="s">
        <v>131</v>
      </c>
      <c r="CH241" t="str">
        <f>""</f>
        <v/>
      </c>
      <c r="CI241" t="s">
        <v>131</v>
      </c>
      <c r="CK241" t="s">
        <v>131</v>
      </c>
      <c r="CL241" t="str">
        <f>""</f>
        <v/>
      </c>
      <c r="CM241" t="str">
        <f>""</f>
        <v/>
      </c>
      <c r="CN241" t="str">
        <f>""</f>
        <v/>
      </c>
      <c r="CO241" t="str">
        <f>""</f>
        <v/>
      </c>
      <c r="CP241" t="str">
        <f>"39-9011.01"</f>
        <v>39-9011.01</v>
      </c>
      <c r="CQ241" t="s">
        <v>339</v>
      </c>
      <c r="CR241" t="s">
        <v>734</v>
      </c>
      <c r="CS241" t="s">
        <v>135</v>
      </c>
      <c r="CT241" t="s">
        <v>13772</v>
      </c>
      <c r="CU241" t="s">
        <v>9520</v>
      </c>
      <c r="CW241" t="s">
        <v>709</v>
      </c>
      <c r="CX241" t="s">
        <v>172</v>
      </c>
      <c r="CZ241" s="3" t="str">
        <f>"94043"</f>
        <v>94043</v>
      </c>
      <c r="DA241" t="s">
        <v>131</v>
      </c>
      <c r="DB241" t="str">
        <f>"37-2012"</f>
        <v>37-2012</v>
      </c>
      <c r="DC241" t="s">
        <v>479</v>
      </c>
      <c r="DD241" t="s">
        <v>134</v>
      </c>
      <c r="DE241" t="s">
        <v>134</v>
      </c>
      <c r="DF241" t="str">
        <f>"39-9011.01"</f>
        <v>39-9011.01</v>
      </c>
      <c r="DG241" t="s">
        <v>339</v>
      </c>
      <c r="DH241" s="6">
        <v>17.47</v>
      </c>
      <c r="DI241" t="s">
        <v>344</v>
      </c>
      <c r="DK241" t="s">
        <v>345</v>
      </c>
      <c r="DS241" s="6">
        <v>17.47</v>
      </c>
      <c r="DT241" s="2" t="s">
        <v>347</v>
      </c>
      <c r="DU241" s="1">
        <v>44355</v>
      </c>
      <c r="DV241" s="1">
        <v>44444</v>
      </c>
    </row>
    <row r="242" spans="1:126" ht="15" customHeight="1" x14ac:dyDescent="0.35">
      <c r="A242" t="s">
        <v>10476</v>
      </c>
      <c r="B242" t="s">
        <v>318</v>
      </c>
      <c r="C242" s="1">
        <v>44324</v>
      </c>
      <c r="D242" s="1">
        <v>44355</v>
      </c>
      <c r="H242" t="s">
        <v>319</v>
      </c>
      <c r="I242" t="s">
        <v>10477</v>
      </c>
      <c r="J242" t="s">
        <v>1493</v>
      </c>
      <c r="K242" t="s">
        <v>2872</v>
      </c>
      <c r="L242" t="s">
        <v>395</v>
      </c>
      <c r="M242" t="s">
        <v>10478</v>
      </c>
      <c r="N242" t="s">
        <v>134</v>
      </c>
      <c r="O242" t="s">
        <v>2347</v>
      </c>
      <c r="P242" t="s">
        <v>2848</v>
      </c>
      <c r="Q242" s="3">
        <v>3049</v>
      </c>
      <c r="R242" t="s">
        <v>128</v>
      </c>
      <c r="T242" s="4">
        <v>16038825835</v>
      </c>
      <c r="V242" t="s">
        <v>10479</v>
      </c>
      <c r="W242" t="s">
        <v>10480</v>
      </c>
      <c r="Y242" t="s">
        <v>10478</v>
      </c>
      <c r="Z242" t="s">
        <v>134</v>
      </c>
      <c r="AA242" t="s">
        <v>2347</v>
      </c>
      <c r="AB242" t="s">
        <v>2849</v>
      </c>
      <c r="AC242" s="3" t="str">
        <f>"03049"</f>
        <v>03049</v>
      </c>
      <c r="AD242" t="s">
        <v>128</v>
      </c>
      <c r="AE242" t="s">
        <v>134</v>
      </c>
      <c r="AF242" s="4">
        <v>16038825835</v>
      </c>
      <c r="AG242" t="s">
        <v>134</v>
      </c>
      <c r="AH242" t="str">
        <f>"561730"</f>
        <v>561730</v>
      </c>
      <c r="AI242" t="s">
        <v>167</v>
      </c>
      <c r="AX242" t="s">
        <v>131</v>
      </c>
      <c r="AY242" t="s">
        <v>131</v>
      </c>
      <c r="AZ242" t="s">
        <v>131</v>
      </c>
      <c r="BA242" t="s">
        <v>131</v>
      </c>
      <c r="BB242" t="s">
        <v>131</v>
      </c>
      <c r="BC242" t="s">
        <v>131</v>
      </c>
      <c r="BD242" t="s">
        <v>131</v>
      </c>
      <c r="BE242" t="s">
        <v>132</v>
      </c>
      <c r="BH242" t="s">
        <v>2215</v>
      </c>
      <c r="BI242" t="s">
        <v>131</v>
      </c>
      <c r="BL242" t="s">
        <v>167</v>
      </c>
      <c r="BO242" t="s">
        <v>131</v>
      </c>
      <c r="BP242" t="s">
        <v>134</v>
      </c>
      <c r="BQ242" t="s">
        <v>131</v>
      </c>
      <c r="BS242" t="str">
        <f t="shared" si="16"/>
        <v>N/A</v>
      </c>
      <c r="BT242" t="s">
        <v>131</v>
      </c>
      <c r="BV242" t="str">
        <f>""</f>
        <v/>
      </c>
      <c r="BW242" t="s">
        <v>135</v>
      </c>
      <c r="BX242" t="str">
        <f>""</f>
        <v/>
      </c>
      <c r="BY242" t="str">
        <f>""</f>
        <v/>
      </c>
      <c r="BZ242" t="str">
        <f>""</f>
        <v/>
      </c>
      <c r="CA242" t="str">
        <f>"PRE-EMPLOYMENT DRUG TESTING REQUIRED. ABLE TO LIFT 50LBS. MON-SUN SCHEDULE, MUST BE ABLE TO WORK SATURDAYS &amp; SUNDAYS AS NEEDED, 7AM-4PM;
DAYS &amp; START/END TIMES MAY VARY BASED UPON WEATHER."</f>
        <v>PRE-EMPLOYMENT DRUG TESTING REQUIRED. ABLE TO LIFT 50LBS. MON-SUN SCHEDULE, MUST BE ABLE TO WORK SATURDAYS &amp; SUNDAYS AS NEEDED, 7AM-4PM;
DAYS &amp; START/END TIMES MAY VARY BASED UPON WEATHER.</v>
      </c>
      <c r="CB242" t="s">
        <v>131</v>
      </c>
      <c r="CF242" t="s">
        <v>131</v>
      </c>
      <c r="CH242" t="str">
        <f>""</f>
        <v/>
      </c>
      <c r="CI242" t="s">
        <v>131</v>
      </c>
      <c r="CK242" t="s">
        <v>131</v>
      </c>
      <c r="CL242" t="str">
        <f>""</f>
        <v/>
      </c>
      <c r="CM242" t="str">
        <f>""</f>
        <v/>
      </c>
      <c r="CN242" t="str">
        <f>""</f>
        <v/>
      </c>
      <c r="CO242" t="str">
        <f>""</f>
        <v/>
      </c>
      <c r="CP242" t="str">
        <f>"37-3011.00"</f>
        <v>37-3011.00</v>
      </c>
      <c r="CQ242" t="s">
        <v>920</v>
      </c>
      <c r="CS242" t="s">
        <v>135</v>
      </c>
      <c r="CT242" t="s">
        <v>10481</v>
      </c>
      <c r="CU242" t="s">
        <v>10478</v>
      </c>
      <c r="CW242" t="s">
        <v>2347</v>
      </c>
      <c r="CX242" t="s">
        <v>2849</v>
      </c>
      <c r="CZ242" s="3" t="str">
        <f>"03049-6563"</f>
        <v>03049-6563</v>
      </c>
      <c r="DA242" t="s">
        <v>135</v>
      </c>
      <c r="DB242" t="str">
        <f>"37-3011"</f>
        <v>37-3011</v>
      </c>
      <c r="DC242" t="s">
        <v>920</v>
      </c>
      <c r="DD242" t="s">
        <v>134</v>
      </c>
      <c r="DE242" t="s">
        <v>134</v>
      </c>
      <c r="DF242" t="str">
        <f>""</f>
        <v/>
      </c>
      <c r="DH242" s="6">
        <v>19.079999999999998</v>
      </c>
      <c r="DI242" t="s">
        <v>344</v>
      </c>
      <c r="DK242" t="s">
        <v>345</v>
      </c>
      <c r="DS242" s="6">
        <v>19.079999999999998</v>
      </c>
      <c r="DT242" s="2" t="s">
        <v>347</v>
      </c>
      <c r="DU242" s="1">
        <v>44355</v>
      </c>
      <c r="DV242" s="1">
        <v>44444</v>
      </c>
    </row>
    <row r="243" spans="1:126" ht="15" customHeight="1" x14ac:dyDescent="0.35">
      <c r="A243" t="s">
        <v>20119</v>
      </c>
      <c r="B243" t="s">
        <v>318</v>
      </c>
      <c r="C243" s="1">
        <v>44325</v>
      </c>
      <c r="D243" s="1">
        <v>44354</v>
      </c>
      <c r="H243" t="s">
        <v>319</v>
      </c>
      <c r="I243" t="s">
        <v>860</v>
      </c>
      <c r="J243" t="s">
        <v>948</v>
      </c>
      <c r="K243" t="s">
        <v>2673</v>
      </c>
      <c r="L243" t="s">
        <v>395</v>
      </c>
      <c r="M243" t="s">
        <v>16538</v>
      </c>
      <c r="O243" t="s">
        <v>3344</v>
      </c>
      <c r="P243" t="s">
        <v>539</v>
      </c>
      <c r="Q243" s="3">
        <v>62563</v>
      </c>
      <c r="R243" t="s">
        <v>128</v>
      </c>
      <c r="T243" s="4">
        <v>12178364943</v>
      </c>
      <c r="V243" t="s">
        <v>16539</v>
      </c>
      <c r="W243" t="s">
        <v>16540</v>
      </c>
      <c r="X243" t="s">
        <v>20120</v>
      </c>
      <c r="Y243" t="s">
        <v>20121</v>
      </c>
      <c r="AA243" t="s">
        <v>3344</v>
      </c>
      <c r="AB243" t="s">
        <v>263</v>
      </c>
      <c r="AC243" s="3" t="str">
        <f>"62563"</f>
        <v>62563</v>
      </c>
      <c r="AD243" t="s">
        <v>128</v>
      </c>
      <c r="AF243" s="4">
        <v>12178364943</v>
      </c>
      <c r="AH243" t="str">
        <f>"238140"</f>
        <v>238140</v>
      </c>
      <c r="AI243" t="s">
        <v>167</v>
      </c>
      <c r="AX243" t="s">
        <v>131</v>
      </c>
      <c r="AY243" t="s">
        <v>131</v>
      </c>
      <c r="AZ243" t="s">
        <v>131</v>
      </c>
      <c r="BA243" t="s">
        <v>131</v>
      </c>
      <c r="BB243" t="s">
        <v>131</v>
      </c>
      <c r="BC243" t="s">
        <v>131</v>
      </c>
      <c r="BD243" t="s">
        <v>131</v>
      </c>
      <c r="BE243" t="s">
        <v>132</v>
      </c>
      <c r="BH243" t="s">
        <v>20122</v>
      </c>
      <c r="BI243" t="s">
        <v>131</v>
      </c>
      <c r="BL243" t="s">
        <v>167</v>
      </c>
      <c r="BO243" t="s">
        <v>131</v>
      </c>
      <c r="BP243" t="s">
        <v>134</v>
      </c>
      <c r="BQ243" t="s">
        <v>131</v>
      </c>
      <c r="BS243" t="str">
        <f t="shared" si="16"/>
        <v>N/A</v>
      </c>
      <c r="BT243" t="s">
        <v>131</v>
      </c>
      <c r="BV243" t="str">
        <f>""</f>
        <v/>
      </c>
      <c r="BW243" t="s">
        <v>131</v>
      </c>
      <c r="BX243" t="str">
        <f>""</f>
        <v/>
      </c>
      <c r="BY243" t="str">
        <f>""</f>
        <v/>
      </c>
      <c r="BZ243" t="str">
        <f>""</f>
        <v/>
      </c>
      <c r="CA243" t="str">
        <f>""</f>
        <v/>
      </c>
      <c r="CB243" t="s">
        <v>131</v>
      </c>
      <c r="CF243" t="s">
        <v>131</v>
      </c>
      <c r="CH243" t="str">
        <f>""</f>
        <v/>
      </c>
      <c r="CI243" t="s">
        <v>131</v>
      </c>
      <c r="CK243" t="s">
        <v>131</v>
      </c>
      <c r="CL243" t="str">
        <f>""</f>
        <v/>
      </c>
      <c r="CM243" t="str">
        <f>""</f>
        <v/>
      </c>
      <c r="CN243" t="str">
        <f>""</f>
        <v/>
      </c>
      <c r="CO243" t="str">
        <f>""</f>
        <v/>
      </c>
      <c r="CP243" t="str">
        <f>"47-2022.00"</f>
        <v>47-2022.00</v>
      </c>
      <c r="CQ243" t="s">
        <v>5319</v>
      </c>
      <c r="CR243" t="s">
        <v>395</v>
      </c>
      <c r="CS243" t="s">
        <v>131</v>
      </c>
      <c r="CU243" t="s">
        <v>20123</v>
      </c>
      <c r="CW243" t="s">
        <v>6429</v>
      </c>
      <c r="CX243" t="s">
        <v>263</v>
      </c>
      <c r="CZ243" s="3" t="str">
        <f>"62702"</f>
        <v>62702</v>
      </c>
      <c r="DA243" t="s">
        <v>131</v>
      </c>
      <c r="DB243" t="str">
        <f>"47-3011"</f>
        <v>47-3011</v>
      </c>
      <c r="DC243" t="s">
        <v>4519</v>
      </c>
      <c r="DD243" t="s">
        <v>134</v>
      </c>
      <c r="DE243" t="s">
        <v>134</v>
      </c>
      <c r="DF243" t="str">
        <f>""</f>
        <v/>
      </c>
      <c r="DH243" s="6">
        <v>29.06</v>
      </c>
      <c r="DI243" t="s">
        <v>344</v>
      </c>
      <c r="DK243" t="s">
        <v>345</v>
      </c>
      <c r="DR243" t="s">
        <v>16544</v>
      </c>
      <c r="DS243" s="6">
        <v>29.06</v>
      </c>
      <c r="DT243" t="s">
        <v>424</v>
      </c>
      <c r="DU243" s="1">
        <v>44354</v>
      </c>
      <c r="DV243" s="1">
        <v>44443</v>
      </c>
    </row>
    <row r="244" spans="1:126" ht="15" customHeight="1" x14ac:dyDescent="0.35">
      <c r="A244" t="s">
        <v>19803</v>
      </c>
      <c r="B244" t="s">
        <v>318</v>
      </c>
      <c r="C244" s="1">
        <v>44325</v>
      </c>
      <c r="D244" s="1">
        <v>44354</v>
      </c>
      <c r="H244" t="s">
        <v>319</v>
      </c>
      <c r="I244" t="s">
        <v>1894</v>
      </c>
      <c r="J244" t="s">
        <v>1895</v>
      </c>
      <c r="L244" t="s">
        <v>395</v>
      </c>
      <c r="M244" t="s">
        <v>4296</v>
      </c>
      <c r="O244" t="s">
        <v>807</v>
      </c>
      <c r="P244" t="s">
        <v>857</v>
      </c>
      <c r="Q244" s="3">
        <v>85032</v>
      </c>
      <c r="R244" t="s">
        <v>128</v>
      </c>
      <c r="T244" s="4">
        <v>16238696757</v>
      </c>
      <c r="V244" t="s">
        <v>1897</v>
      </c>
      <c r="W244" t="s">
        <v>4297</v>
      </c>
      <c r="Y244" t="s">
        <v>19804</v>
      </c>
      <c r="AA244" t="s">
        <v>1720</v>
      </c>
      <c r="AB244" t="s">
        <v>808</v>
      </c>
      <c r="AC244" s="3" t="str">
        <f t="shared" ref="AC244:AC253" si="24">"85032"</f>
        <v>85032</v>
      </c>
      <c r="AD244" t="s">
        <v>128</v>
      </c>
      <c r="AF244" s="4">
        <v>16238696757</v>
      </c>
      <c r="AH244" t="str">
        <f>"488490"</f>
        <v>488490</v>
      </c>
      <c r="AI244" t="s">
        <v>130</v>
      </c>
      <c r="AJ244" t="s">
        <v>1899</v>
      </c>
      <c r="AK244" t="s">
        <v>1900</v>
      </c>
      <c r="AM244" t="s">
        <v>1901</v>
      </c>
      <c r="AN244" t="s">
        <v>1902</v>
      </c>
      <c r="AO244" t="s">
        <v>494</v>
      </c>
      <c r="AP244" t="s">
        <v>129</v>
      </c>
      <c r="AQ244" s="5">
        <v>10165</v>
      </c>
      <c r="AR244" t="s">
        <v>128</v>
      </c>
      <c r="AT244" s="4">
        <v>12127604400</v>
      </c>
      <c r="AV244" t="s">
        <v>1897</v>
      </c>
      <c r="AW244" t="s">
        <v>1903</v>
      </c>
      <c r="AX244" t="s">
        <v>131</v>
      </c>
      <c r="AY244" t="s">
        <v>131</v>
      </c>
      <c r="AZ244" t="s">
        <v>131</v>
      </c>
      <c r="BA244" t="s">
        <v>131</v>
      </c>
      <c r="BB244" t="s">
        <v>131</v>
      </c>
      <c r="BC244" t="s">
        <v>131</v>
      </c>
      <c r="BD244" t="s">
        <v>131</v>
      </c>
      <c r="BE244" t="s">
        <v>132</v>
      </c>
      <c r="BH244" t="s">
        <v>19805</v>
      </c>
      <c r="BI244" t="s">
        <v>131</v>
      </c>
      <c r="BL244" t="s">
        <v>167</v>
      </c>
      <c r="BO244" t="s">
        <v>131</v>
      </c>
      <c r="BP244" t="s">
        <v>134</v>
      </c>
      <c r="BQ244" t="s">
        <v>131</v>
      </c>
      <c r="BS244" t="str">
        <f t="shared" si="16"/>
        <v>N/A</v>
      </c>
      <c r="BT244" t="s">
        <v>135</v>
      </c>
      <c r="BU244">
        <v>1</v>
      </c>
      <c r="BV244" t="str">
        <f>"Delivery Truck Driver"</f>
        <v>Delivery Truck Driver</v>
      </c>
      <c r="BW244" t="s">
        <v>131</v>
      </c>
      <c r="BX244" t="str">
        <f>""</f>
        <v/>
      </c>
      <c r="BY244" t="str">
        <f>""</f>
        <v/>
      </c>
      <c r="BZ244" t="str">
        <f>""</f>
        <v/>
      </c>
      <c r="CA244" t="str">
        <f>""</f>
        <v/>
      </c>
      <c r="CB244" t="s">
        <v>131</v>
      </c>
      <c r="CF244" t="s">
        <v>131</v>
      </c>
      <c r="CH244" t="str">
        <f>""</f>
        <v/>
      </c>
      <c r="CI244" t="s">
        <v>131</v>
      </c>
      <c r="CK244" t="s">
        <v>131</v>
      </c>
      <c r="CL244" t="str">
        <f>""</f>
        <v/>
      </c>
      <c r="CM244" t="str">
        <f>""</f>
        <v/>
      </c>
      <c r="CN244" t="str">
        <f>""</f>
        <v/>
      </c>
      <c r="CO244" t="str">
        <f>""</f>
        <v/>
      </c>
      <c r="CP244" t="str">
        <f>"53-3033.00"</f>
        <v>53-3033.00</v>
      </c>
      <c r="CQ244" t="s">
        <v>1904</v>
      </c>
      <c r="CR244" t="s">
        <v>395</v>
      </c>
      <c r="CS244" t="s">
        <v>131</v>
      </c>
      <c r="CU244" t="s">
        <v>4300</v>
      </c>
      <c r="CW244" t="s">
        <v>19806</v>
      </c>
      <c r="CX244" t="s">
        <v>808</v>
      </c>
      <c r="CZ244" s="3" t="str">
        <f t="shared" ref="CZ244:CZ253" si="25">"85718"</f>
        <v>85718</v>
      </c>
      <c r="DA244" t="s">
        <v>131</v>
      </c>
      <c r="DB244" t="str">
        <f>"53-3033"</f>
        <v>53-3033</v>
      </c>
      <c r="DC244" t="s">
        <v>1904</v>
      </c>
      <c r="DD244" t="s">
        <v>134</v>
      </c>
      <c r="DE244" t="s">
        <v>134</v>
      </c>
      <c r="DF244" t="str">
        <f>""</f>
        <v/>
      </c>
      <c r="DH244" s="6">
        <v>17.190000000000001</v>
      </c>
      <c r="DI244" t="s">
        <v>344</v>
      </c>
      <c r="DK244" t="s">
        <v>345</v>
      </c>
      <c r="DR244" t="s">
        <v>4302</v>
      </c>
      <c r="DS244" s="6">
        <v>17.190000000000001</v>
      </c>
      <c r="DT244" t="s">
        <v>424</v>
      </c>
      <c r="DU244" s="1">
        <v>44354</v>
      </c>
      <c r="DV244" s="1">
        <v>44443</v>
      </c>
    </row>
    <row r="245" spans="1:126" ht="15" customHeight="1" x14ac:dyDescent="0.35">
      <c r="A245" t="s">
        <v>12464</v>
      </c>
      <c r="B245" t="s">
        <v>318</v>
      </c>
      <c r="C245" s="1">
        <v>44325</v>
      </c>
      <c r="D245" s="1">
        <v>44354</v>
      </c>
      <c r="H245" t="s">
        <v>319</v>
      </c>
      <c r="I245" t="s">
        <v>1894</v>
      </c>
      <c r="J245" t="s">
        <v>301</v>
      </c>
      <c r="L245" t="s">
        <v>395</v>
      </c>
      <c r="M245" t="s">
        <v>4296</v>
      </c>
      <c r="O245" t="s">
        <v>807</v>
      </c>
      <c r="P245" t="s">
        <v>857</v>
      </c>
      <c r="Q245" s="3">
        <v>85032</v>
      </c>
      <c r="R245" t="s">
        <v>128</v>
      </c>
      <c r="T245" s="4">
        <v>16238696757</v>
      </c>
      <c r="V245" t="s">
        <v>1897</v>
      </c>
      <c r="W245" t="s">
        <v>4297</v>
      </c>
      <c r="Y245" t="s">
        <v>4296</v>
      </c>
      <c r="AA245" t="s">
        <v>807</v>
      </c>
      <c r="AB245" t="s">
        <v>808</v>
      </c>
      <c r="AC245" s="3" t="str">
        <f t="shared" si="24"/>
        <v>85032</v>
      </c>
      <c r="AD245" t="s">
        <v>128</v>
      </c>
      <c r="AF245" s="4">
        <v>16238696757</v>
      </c>
      <c r="AH245" t="str">
        <f>"332996"</f>
        <v>332996</v>
      </c>
      <c r="AI245" t="s">
        <v>130</v>
      </c>
      <c r="AJ245" t="s">
        <v>1899</v>
      </c>
      <c r="AK245" t="s">
        <v>1900</v>
      </c>
      <c r="AM245" t="s">
        <v>1901</v>
      </c>
      <c r="AN245" t="s">
        <v>1902</v>
      </c>
      <c r="AO245" t="s">
        <v>494</v>
      </c>
      <c r="AP245" t="s">
        <v>3100</v>
      </c>
      <c r="AQ245" s="5">
        <v>10165</v>
      </c>
      <c r="AR245" t="s">
        <v>128</v>
      </c>
      <c r="AT245" s="4">
        <v>12127604400</v>
      </c>
      <c r="AV245" t="s">
        <v>1897</v>
      </c>
      <c r="AW245" t="s">
        <v>1903</v>
      </c>
      <c r="AX245" t="s">
        <v>131</v>
      </c>
      <c r="AY245" t="s">
        <v>131</v>
      </c>
      <c r="AZ245" t="s">
        <v>131</v>
      </c>
      <c r="BA245" t="s">
        <v>131</v>
      </c>
      <c r="BB245" t="s">
        <v>131</v>
      </c>
      <c r="BC245" t="s">
        <v>131</v>
      </c>
      <c r="BD245" t="s">
        <v>131</v>
      </c>
      <c r="BE245" t="s">
        <v>132</v>
      </c>
      <c r="BH245" t="s">
        <v>12465</v>
      </c>
      <c r="BI245" t="s">
        <v>131</v>
      </c>
      <c r="BL245" t="s">
        <v>167</v>
      </c>
      <c r="BO245" t="s">
        <v>131</v>
      </c>
      <c r="BP245" t="s">
        <v>134</v>
      </c>
      <c r="BQ245" t="s">
        <v>131</v>
      </c>
      <c r="BS245" t="str">
        <f t="shared" si="16"/>
        <v>N/A</v>
      </c>
      <c r="BT245" t="s">
        <v>135</v>
      </c>
      <c r="BU245">
        <v>1</v>
      </c>
      <c r="BV245" t="str">
        <f>"Irrigation Pipefitter
"</f>
        <v xml:space="preserve">Irrigation Pipefitter
</v>
      </c>
      <c r="BW245" t="s">
        <v>131</v>
      </c>
      <c r="BX245" t="str">
        <f>""</f>
        <v/>
      </c>
      <c r="BY245" t="str">
        <f>""</f>
        <v/>
      </c>
      <c r="BZ245" t="str">
        <f>""</f>
        <v/>
      </c>
      <c r="CA245" t="str">
        <f>""</f>
        <v/>
      </c>
      <c r="CB245" t="s">
        <v>131</v>
      </c>
      <c r="CF245" t="s">
        <v>131</v>
      </c>
      <c r="CH245" t="str">
        <f>""</f>
        <v/>
      </c>
      <c r="CI245" t="s">
        <v>131</v>
      </c>
      <c r="CK245" t="s">
        <v>131</v>
      </c>
      <c r="CL245" t="str">
        <f>""</f>
        <v/>
      </c>
      <c r="CM245" t="str">
        <f>""</f>
        <v/>
      </c>
      <c r="CN245" t="str">
        <f>""</f>
        <v/>
      </c>
      <c r="CO245" t="str">
        <f>""</f>
        <v/>
      </c>
      <c r="CP245" t="str">
        <f>"47-2152.01"</f>
        <v>47-2152.01</v>
      </c>
      <c r="CQ245" t="s">
        <v>7078</v>
      </c>
      <c r="CR245" t="s">
        <v>395</v>
      </c>
      <c r="CS245" t="s">
        <v>131</v>
      </c>
      <c r="CU245" t="s">
        <v>4300</v>
      </c>
      <c r="CW245" t="s">
        <v>4301</v>
      </c>
      <c r="CX245" t="s">
        <v>808</v>
      </c>
      <c r="CZ245" s="3" t="str">
        <f t="shared" si="25"/>
        <v>85718</v>
      </c>
      <c r="DA245" t="s">
        <v>131</v>
      </c>
      <c r="DB245" t="str">
        <f>"47-2152"</f>
        <v>47-2152</v>
      </c>
      <c r="DC245" t="s">
        <v>4043</v>
      </c>
      <c r="DD245" t="s">
        <v>10002</v>
      </c>
      <c r="DE245" t="s">
        <v>7078</v>
      </c>
      <c r="DF245" t="str">
        <f>""</f>
        <v/>
      </c>
      <c r="DH245" s="6">
        <v>22.43</v>
      </c>
      <c r="DI245" t="s">
        <v>344</v>
      </c>
      <c r="DK245" t="s">
        <v>345</v>
      </c>
      <c r="DR245" t="s">
        <v>4302</v>
      </c>
      <c r="DS245" s="6">
        <v>22.43</v>
      </c>
      <c r="DT245" t="s">
        <v>424</v>
      </c>
      <c r="DU245" s="1">
        <v>44354</v>
      </c>
      <c r="DV245" s="1">
        <v>44443</v>
      </c>
    </row>
    <row r="246" spans="1:126" ht="15" customHeight="1" x14ac:dyDescent="0.35">
      <c r="A246" t="s">
        <v>10122</v>
      </c>
      <c r="B246" t="s">
        <v>318</v>
      </c>
      <c r="C246" s="1">
        <v>44326</v>
      </c>
      <c r="D246" s="1">
        <v>44354</v>
      </c>
      <c r="H246" t="s">
        <v>319</v>
      </c>
      <c r="I246" t="s">
        <v>1894</v>
      </c>
      <c r="J246" t="s">
        <v>301</v>
      </c>
      <c r="L246" t="s">
        <v>395</v>
      </c>
      <c r="M246" t="s">
        <v>4296</v>
      </c>
      <c r="O246" t="s">
        <v>807</v>
      </c>
      <c r="P246" t="s">
        <v>857</v>
      </c>
      <c r="Q246" s="3">
        <v>85032</v>
      </c>
      <c r="R246" t="s">
        <v>128</v>
      </c>
      <c r="T246" s="4">
        <v>16238696757</v>
      </c>
      <c r="V246" t="s">
        <v>1897</v>
      </c>
      <c r="W246" t="s">
        <v>4297</v>
      </c>
      <c r="Y246" t="s">
        <v>4296</v>
      </c>
      <c r="AA246" t="s">
        <v>807</v>
      </c>
      <c r="AB246" t="s">
        <v>808</v>
      </c>
      <c r="AC246" s="3" t="str">
        <f t="shared" si="24"/>
        <v>85032</v>
      </c>
      <c r="AD246" t="s">
        <v>128</v>
      </c>
      <c r="AF246" s="4">
        <v>16238696757</v>
      </c>
      <c r="AH246" t="str">
        <f>"56173"</f>
        <v>56173</v>
      </c>
      <c r="AI246" t="s">
        <v>130</v>
      </c>
      <c r="AJ246" t="s">
        <v>1899</v>
      </c>
      <c r="AK246" t="s">
        <v>1900</v>
      </c>
      <c r="AM246" t="s">
        <v>1901</v>
      </c>
      <c r="AN246" t="s">
        <v>1902</v>
      </c>
      <c r="AO246" t="s">
        <v>494</v>
      </c>
      <c r="AP246" t="s">
        <v>129</v>
      </c>
      <c r="AQ246" s="5">
        <v>10165</v>
      </c>
      <c r="AR246" t="s">
        <v>128</v>
      </c>
      <c r="AT246" s="4">
        <v>12127604400</v>
      </c>
      <c r="AV246" t="s">
        <v>1897</v>
      </c>
      <c r="AW246" t="s">
        <v>1903</v>
      </c>
      <c r="AX246" t="s">
        <v>131</v>
      </c>
      <c r="AY246" t="s">
        <v>131</v>
      </c>
      <c r="AZ246" t="s">
        <v>131</v>
      </c>
      <c r="BA246" t="s">
        <v>131</v>
      </c>
      <c r="BB246" t="s">
        <v>131</v>
      </c>
      <c r="BC246" t="s">
        <v>131</v>
      </c>
      <c r="BD246" t="s">
        <v>131</v>
      </c>
      <c r="BE246" t="s">
        <v>132</v>
      </c>
      <c r="BH246" t="s">
        <v>2215</v>
      </c>
      <c r="BI246" t="s">
        <v>131</v>
      </c>
      <c r="BL246" t="s">
        <v>167</v>
      </c>
      <c r="BO246" t="s">
        <v>131</v>
      </c>
      <c r="BP246" t="s">
        <v>134</v>
      </c>
      <c r="BQ246" t="s">
        <v>131</v>
      </c>
      <c r="BS246" t="str">
        <f t="shared" si="16"/>
        <v>N/A</v>
      </c>
      <c r="BT246" t="s">
        <v>135</v>
      </c>
      <c r="BU246">
        <v>1</v>
      </c>
      <c r="BV246" t="str">
        <f>"Landscape Laborer"</f>
        <v>Landscape Laborer</v>
      </c>
      <c r="BW246" t="s">
        <v>131</v>
      </c>
      <c r="BX246" t="str">
        <f>""</f>
        <v/>
      </c>
      <c r="BY246" t="str">
        <f>""</f>
        <v/>
      </c>
      <c r="BZ246" t="str">
        <f>""</f>
        <v/>
      </c>
      <c r="CA246" t="str">
        <f>""</f>
        <v/>
      </c>
      <c r="CB246" t="s">
        <v>131</v>
      </c>
      <c r="CF246" t="s">
        <v>131</v>
      </c>
      <c r="CH246" t="str">
        <f>""</f>
        <v/>
      </c>
      <c r="CI246" t="s">
        <v>131</v>
      </c>
      <c r="CK246" t="s">
        <v>131</v>
      </c>
      <c r="CL246" t="str">
        <f>""</f>
        <v/>
      </c>
      <c r="CM246" t="str">
        <f>""</f>
        <v/>
      </c>
      <c r="CN246" t="str">
        <f>""</f>
        <v/>
      </c>
      <c r="CO246" t="str">
        <f>""</f>
        <v/>
      </c>
      <c r="CP246" t="str">
        <f>"37-3011.00"</f>
        <v>37-3011.00</v>
      </c>
      <c r="CQ246" t="s">
        <v>920</v>
      </c>
      <c r="CR246" t="s">
        <v>395</v>
      </c>
      <c r="CS246" t="s">
        <v>131</v>
      </c>
      <c r="CU246" t="s">
        <v>4300</v>
      </c>
      <c r="CW246" t="s">
        <v>4301</v>
      </c>
      <c r="CX246" t="s">
        <v>808</v>
      </c>
      <c r="CZ246" s="3" t="str">
        <f t="shared" si="25"/>
        <v>85718</v>
      </c>
      <c r="DA246" t="s">
        <v>131</v>
      </c>
      <c r="DB246" t="str">
        <f>"37-3011"</f>
        <v>37-3011</v>
      </c>
      <c r="DC246" t="s">
        <v>920</v>
      </c>
      <c r="DD246" t="s">
        <v>134</v>
      </c>
      <c r="DE246" t="s">
        <v>134</v>
      </c>
      <c r="DF246" t="str">
        <f>""</f>
        <v/>
      </c>
      <c r="DH246" s="6">
        <v>14.17</v>
      </c>
      <c r="DI246" t="s">
        <v>344</v>
      </c>
      <c r="DK246" t="s">
        <v>345</v>
      </c>
      <c r="DR246" t="s">
        <v>4302</v>
      </c>
      <c r="DS246" s="6">
        <v>14.17</v>
      </c>
      <c r="DT246" t="s">
        <v>424</v>
      </c>
      <c r="DU246" s="1">
        <v>44354</v>
      </c>
      <c r="DV246" s="1">
        <v>44443</v>
      </c>
    </row>
    <row r="247" spans="1:126" ht="15" customHeight="1" x14ac:dyDescent="0.35">
      <c r="A247" t="s">
        <v>14194</v>
      </c>
      <c r="B247" t="s">
        <v>318</v>
      </c>
      <c r="C247" s="1">
        <v>44326</v>
      </c>
      <c r="D247" s="1">
        <v>44354</v>
      </c>
      <c r="H247" t="s">
        <v>319</v>
      </c>
      <c r="I247" t="s">
        <v>1894</v>
      </c>
      <c r="J247" t="s">
        <v>1895</v>
      </c>
      <c r="L247" t="s">
        <v>395</v>
      </c>
      <c r="M247" t="s">
        <v>4296</v>
      </c>
      <c r="O247" t="s">
        <v>807</v>
      </c>
      <c r="P247" t="s">
        <v>857</v>
      </c>
      <c r="Q247" s="3">
        <v>85032</v>
      </c>
      <c r="R247" t="s">
        <v>128</v>
      </c>
      <c r="T247" s="4">
        <v>16238696757</v>
      </c>
      <c r="V247" t="s">
        <v>1897</v>
      </c>
      <c r="W247" t="s">
        <v>4297</v>
      </c>
      <c r="Y247" t="s">
        <v>4296</v>
      </c>
      <c r="AA247" t="s">
        <v>807</v>
      </c>
      <c r="AB247" t="s">
        <v>808</v>
      </c>
      <c r="AC247" s="3" t="str">
        <f t="shared" si="24"/>
        <v>85032</v>
      </c>
      <c r="AD247" t="s">
        <v>128</v>
      </c>
      <c r="AF247" s="4">
        <v>16238696757</v>
      </c>
      <c r="AH247" t="str">
        <f>"561730"</f>
        <v>561730</v>
      </c>
      <c r="AI247" t="s">
        <v>130</v>
      </c>
      <c r="AJ247" t="s">
        <v>1899</v>
      </c>
      <c r="AK247" t="s">
        <v>1900</v>
      </c>
      <c r="AM247" t="s">
        <v>1901</v>
      </c>
      <c r="AN247" t="s">
        <v>1902</v>
      </c>
      <c r="AO247" t="s">
        <v>494</v>
      </c>
      <c r="AP247" t="s">
        <v>129</v>
      </c>
      <c r="AQ247" s="5">
        <v>10165</v>
      </c>
      <c r="AR247" t="s">
        <v>128</v>
      </c>
      <c r="AT247" s="4">
        <v>12127604400</v>
      </c>
      <c r="AV247" t="s">
        <v>1897</v>
      </c>
      <c r="AW247" t="s">
        <v>1903</v>
      </c>
      <c r="AX247" t="s">
        <v>131</v>
      </c>
      <c r="AY247" t="s">
        <v>131</v>
      </c>
      <c r="AZ247" t="s">
        <v>131</v>
      </c>
      <c r="BA247" t="s">
        <v>131</v>
      </c>
      <c r="BB247" t="s">
        <v>131</v>
      </c>
      <c r="BC247" t="s">
        <v>131</v>
      </c>
      <c r="BD247" t="s">
        <v>131</v>
      </c>
      <c r="BE247" t="s">
        <v>132</v>
      </c>
      <c r="BH247" t="s">
        <v>14195</v>
      </c>
      <c r="BI247" t="s">
        <v>131</v>
      </c>
      <c r="BL247" t="s">
        <v>167</v>
      </c>
      <c r="BO247" t="s">
        <v>131</v>
      </c>
      <c r="BP247" t="s">
        <v>134</v>
      </c>
      <c r="BQ247" t="s">
        <v>131</v>
      </c>
      <c r="BS247" t="str">
        <f t="shared" si="16"/>
        <v>N/A</v>
      </c>
      <c r="BT247" t="s">
        <v>135</v>
      </c>
      <c r="BU247">
        <v>1</v>
      </c>
      <c r="BV247" t="str">
        <f>"Landscape Maintenance Worker"</f>
        <v>Landscape Maintenance Worker</v>
      </c>
      <c r="BW247" t="s">
        <v>131</v>
      </c>
      <c r="BX247" t="str">
        <f>""</f>
        <v/>
      </c>
      <c r="BY247" t="str">
        <f>""</f>
        <v/>
      </c>
      <c r="BZ247" t="str">
        <f>""</f>
        <v/>
      </c>
      <c r="CA247" t="str">
        <f>""</f>
        <v/>
      </c>
      <c r="CB247" t="s">
        <v>131</v>
      </c>
      <c r="CF247" t="s">
        <v>131</v>
      </c>
      <c r="CH247" t="str">
        <f>""</f>
        <v/>
      </c>
      <c r="CI247" t="s">
        <v>131</v>
      </c>
      <c r="CK247" t="s">
        <v>131</v>
      </c>
      <c r="CL247" t="str">
        <f>""</f>
        <v/>
      </c>
      <c r="CM247" t="str">
        <f>""</f>
        <v/>
      </c>
      <c r="CN247" t="str">
        <f>""</f>
        <v/>
      </c>
      <c r="CO247" t="str">
        <f>""</f>
        <v/>
      </c>
      <c r="CP247" t="str">
        <f>"37-3019.00"</f>
        <v>37-3019.00</v>
      </c>
      <c r="CQ247" t="s">
        <v>2096</v>
      </c>
      <c r="CR247" t="s">
        <v>395</v>
      </c>
      <c r="CS247" t="s">
        <v>131</v>
      </c>
      <c r="CU247" t="s">
        <v>4300</v>
      </c>
      <c r="CW247" t="s">
        <v>4301</v>
      </c>
      <c r="CX247" t="s">
        <v>808</v>
      </c>
      <c r="CZ247" s="3" t="str">
        <f t="shared" si="25"/>
        <v>85718</v>
      </c>
      <c r="DA247" t="s">
        <v>131</v>
      </c>
      <c r="DB247" t="str">
        <f>"37-3011"</f>
        <v>37-3011</v>
      </c>
      <c r="DC247" t="s">
        <v>920</v>
      </c>
      <c r="DD247" t="s">
        <v>134</v>
      </c>
      <c r="DE247" t="s">
        <v>134</v>
      </c>
      <c r="DF247" t="str">
        <f>""</f>
        <v/>
      </c>
      <c r="DH247" s="6">
        <v>14.17</v>
      </c>
      <c r="DI247" t="s">
        <v>344</v>
      </c>
      <c r="DK247" t="s">
        <v>345</v>
      </c>
      <c r="DR247" t="s">
        <v>4302</v>
      </c>
      <c r="DS247" s="6">
        <v>14.17</v>
      </c>
      <c r="DT247" t="s">
        <v>424</v>
      </c>
      <c r="DU247" s="1">
        <v>44354</v>
      </c>
      <c r="DV247" s="1">
        <v>44443</v>
      </c>
    </row>
    <row r="248" spans="1:126" ht="15" customHeight="1" x14ac:dyDescent="0.35">
      <c r="A248" t="s">
        <v>5054</v>
      </c>
      <c r="B248" t="s">
        <v>318</v>
      </c>
      <c r="C248" s="1">
        <v>44326</v>
      </c>
      <c r="D248" s="1">
        <v>44354</v>
      </c>
      <c r="H248" t="s">
        <v>319</v>
      </c>
      <c r="I248" t="s">
        <v>1894</v>
      </c>
      <c r="J248" t="s">
        <v>1895</v>
      </c>
      <c r="L248" t="s">
        <v>395</v>
      </c>
      <c r="M248" t="s">
        <v>4296</v>
      </c>
      <c r="O248" t="s">
        <v>807</v>
      </c>
      <c r="P248" t="s">
        <v>857</v>
      </c>
      <c r="Q248" s="3">
        <v>85032</v>
      </c>
      <c r="R248" t="s">
        <v>128</v>
      </c>
      <c r="T248" s="4">
        <v>16238696757</v>
      </c>
      <c r="V248" t="s">
        <v>1897</v>
      </c>
      <c r="W248" t="s">
        <v>4297</v>
      </c>
      <c r="Y248" t="s">
        <v>4296</v>
      </c>
      <c r="AA248" t="s">
        <v>807</v>
      </c>
      <c r="AB248" t="s">
        <v>808</v>
      </c>
      <c r="AC248" s="3" t="str">
        <f t="shared" si="24"/>
        <v>85032</v>
      </c>
      <c r="AD248" t="s">
        <v>128</v>
      </c>
      <c r="AF248" s="4">
        <v>16238696757</v>
      </c>
      <c r="AH248" t="str">
        <f>"221310"</f>
        <v>221310</v>
      </c>
      <c r="AI248" t="s">
        <v>130</v>
      </c>
      <c r="AJ248" t="s">
        <v>1899</v>
      </c>
      <c r="AK248" t="s">
        <v>1900</v>
      </c>
      <c r="AM248" t="s">
        <v>1901</v>
      </c>
      <c r="AN248" t="s">
        <v>1902</v>
      </c>
      <c r="AO248" t="s">
        <v>494</v>
      </c>
      <c r="AP248" t="s">
        <v>129</v>
      </c>
      <c r="AQ248" s="5">
        <v>10165</v>
      </c>
      <c r="AR248" t="s">
        <v>128</v>
      </c>
      <c r="AT248" s="4">
        <v>12127604400</v>
      </c>
      <c r="AV248" t="s">
        <v>1897</v>
      </c>
      <c r="AW248" t="s">
        <v>1903</v>
      </c>
      <c r="AX248" t="s">
        <v>131</v>
      </c>
      <c r="AY248" t="s">
        <v>131</v>
      </c>
      <c r="AZ248" t="s">
        <v>131</v>
      </c>
      <c r="BA248" t="s">
        <v>131</v>
      </c>
      <c r="BB248" t="s">
        <v>131</v>
      </c>
      <c r="BC248" t="s">
        <v>131</v>
      </c>
      <c r="BD248" t="s">
        <v>131</v>
      </c>
      <c r="BE248" t="s">
        <v>132</v>
      </c>
      <c r="BH248" t="s">
        <v>5055</v>
      </c>
      <c r="BI248" t="s">
        <v>131</v>
      </c>
      <c r="BL248" t="s">
        <v>167</v>
      </c>
      <c r="BO248" t="s">
        <v>131</v>
      </c>
      <c r="BP248" t="s">
        <v>134</v>
      </c>
      <c r="BQ248" t="s">
        <v>131</v>
      </c>
      <c r="BS248" t="str">
        <f t="shared" si="16"/>
        <v>N/A</v>
      </c>
      <c r="BT248" t="s">
        <v>135</v>
      </c>
      <c r="BU248">
        <v>1</v>
      </c>
      <c r="BV248" t="str">
        <f>"Irrigation Technician"</f>
        <v>Irrigation Technician</v>
      </c>
      <c r="BW248" t="s">
        <v>131</v>
      </c>
      <c r="BX248" t="str">
        <f>""</f>
        <v/>
      </c>
      <c r="BY248" t="str">
        <f>""</f>
        <v/>
      </c>
      <c r="BZ248" t="str">
        <f>""</f>
        <v/>
      </c>
      <c r="CA248" t="str">
        <f>""</f>
        <v/>
      </c>
      <c r="CB248" t="s">
        <v>131</v>
      </c>
      <c r="CF248" t="s">
        <v>131</v>
      </c>
      <c r="CH248" t="str">
        <f>""</f>
        <v/>
      </c>
      <c r="CI248" t="s">
        <v>131</v>
      </c>
      <c r="CK248" t="s">
        <v>131</v>
      </c>
      <c r="CL248" t="str">
        <f>""</f>
        <v/>
      </c>
      <c r="CM248" t="str">
        <f>""</f>
        <v/>
      </c>
      <c r="CN248" t="str">
        <f>""</f>
        <v/>
      </c>
      <c r="CO248" t="str">
        <f>""</f>
        <v/>
      </c>
      <c r="CP248" t="str">
        <f>"37-3019.00"</f>
        <v>37-3019.00</v>
      </c>
      <c r="CQ248" t="s">
        <v>2096</v>
      </c>
      <c r="CR248" t="s">
        <v>395</v>
      </c>
      <c r="CS248" t="s">
        <v>131</v>
      </c>
      <c r="CU248" t="s">
        <v>4300</v>
      </c>
      <c r="CW248" t="s">
        <v>4301</v>
      </c>
      <c r="CX248" t="s">
        <v>808</v>
      </c>
      <c r="CZ248" s="3" t="str">
        <f t="shared" si="25"/>
        <v>85718</v>
      </c>
      <c r="DA248" t="s">
        <v>131</v>
      </c>
      <c r="DB248" t="str">
        <f>"37-3011"</f>
        <v>37-3011</v>
      </c>
      <c r="DC248" t="s">
        <v>920</v>
      </c>
      <c r="DD248" t="s">
        <v>134</v>
      </c>
      <c r="DE248" t="s">
        <v>134</v>
      </c>
      <c r="DF248" t="str">
        <f>""</f>
        <v/>
      </c>
      <c r="DH248" s="6">
        <v>14.17</v>
      </c>
      <c r="DI248" t="s">
        <v>344</v>
      </c>
      <c r="DK248" t="s">
        <v>345</v>
      </c>
      <c r="DR248" t="s">
        <v>4302</v>
      </c>
      <c r="DS248" s="6">
        <v>14.17</v>
      </c>
      <c r="DT248" t="s">
        <v>424</v>
      </c>
      <c r="DU248" s="1">
        <v>44354</v>
      </c>
      <c r="DV248" s="1">
        <v>44443</v>
      </c>
    </row>
    <row r="249" spans="1:126" ht="15" customHeight="1" x14ac:dyDescent="0.35">
      <c r="A249" t="s">
        <v>4295</v>
      </c>
      <c r="B249" t="s">
        <v>318</v>
      </c>
      <c r="C249" s="1">
        <v>44326</v>
      </c>
      <c r="D249" s="1">
        <v>44354</v>
      </c>
      <c r="H249" t="s">
        <v>319</v>
      </c>
      <c r="I249" t="s">
        <v>1894</v>
      </c>
      <c r="J249" t="s">
        <v>301</v>
      </c>
      <c r="L249" t="s">
        <v>395</v>
      </c>
      <c r="M249" t="s">
        <v>4296</v>
      </c>
      <c r="O249" t="s">
        <v>807</v>
      </c>
      <c r="P249" t="s">
        <v>857</v>
      </c>
      <c r="Q249" s="3">
        <v>85032</v>
      </c>
      <c r="R249" t="s">
        <v>128</v>
      </c>
      <c r="T249" s="4">
        <v>16238696757</v>
      </c>
      <c r="V249" t="s">
        <v>1897</v>
      </c>
      <c r="W249" t="s">
        <v>4297</v>
      </c>
      <c r="Y249" t="s">
        <v>4296</v>
      </c>
      <c r="AA249" t="s">
        <v>807</v>
      </c>
      <c r="AB249" t="s">
        <v>808</v>
      </c>
      <c r="AC249" s="3" t="str">
        <f t="shared" si="24"/>
        <v>85032</v>
      </c>
      <c r="AD249" t="s">
        <v>128</v>
      </c>
      <c r="AF249" s="4">
        <v>16238696757</v>
      </c>
      <c r="AH249" t="str">
        <f>"561730"</f>
        <v>561730</v>
      </c>
      <c r="AI249" t="s">
        <v>130</v>
      </c>
      <c r="AJ249" t="s">
        <v>1899</v>
      </c>
      <c r="AK249" t="s">
        <v>1900</v>
      </c>
      <c r="AM249" t="s">
        <v>1901</v>
      </c>
      <c r="AN249" t="s">
        <v>1902</v>
      </c>
      <c r="AO249" t="s">
        <v>494</v>
      </c>
      <c r="AP249" t="s">
        <v>129</v>
      </c>
      <c r="AQ249" s="5">
        <v>10165</v>
      </c>
      <c r="AR249" t="s">
        <v>128</v>
      </c>
      <c r="AT249" s="4">
        <v>12127604400</v>
      </c>
      <c r="AV249" t="s">
        <v>1897</v>
      </c>
      <c r="AW249" t="s">
        <v>1903</v>
      </c>
      <c r="AX249" t="s">
        <v>131</v>
      </c>
      <c r="AY249" t="s">
        <v>131</v>
      </c>
      <c r="AZ249" t="s">
        <v>131</v>
      </c>
      <c r="BA249" t="s">
        <v>131</v>
      </c>
      <c r="BB249" t="s">
        <v>131</v>
      </c>
      <c r="BC249" t="s">
        <v>131</v>
      </c>
      <c r="BD249" t="s">
        <v>131</v>
      </c>
      <c r="BE249" t="s">
        <v>132</v>
      </c>
      <c r="BH249" t="s">
        <v>4298</v>
      </c>
      <c r="BI249" t="s">
        <v>131</v>
      </c>
      <c r="BL249" t="s">
        <v>167</v>
      </c>
      <c r="BO249" t="s">
        <v>131</v>
      </c>
      <c r="BP249" t="s">
        <v>134</v>
      </c>
      <c r="BQ249" t="s">
        <v>131</v>
      </c>
      <c r="BS249" t="str">
        <f t="shared" si="16"/>
        <v>N/A</v>
      </c>
      <c r="BT249" t="s">
        <v>135</v>
      </c>
      <c r="BU249">
        <v>1</v>
      </c>
      <c r="BV249" t="str">
        <f>"Arborist
"</f>
        <v xml:space="preserve">Arborist
</v>
      </c>
      <c r="BW249" t="s">
        <v>131</v>
      </c>
      <c r="BX249" t="str">
        <f>""</f>
        <v/>
      </c>
      <c r="BY249" t="str">
        <f>""</f>
        <v/>
      </c>
      <c r="BZ249" t="str">
        <f>""</f>
        <v/>
      </c>
      <c r="CA249" t="str">
        <f>""</f>
        <v/>
      </c>
      <c r="CB249" t="s">
        <v>131</v>
      </c>
      <c r="CF249" t="s">
        <v>131</v>
      </c>
      <c r="CH249" t="str">
        <f>""</f>
        <v/>
      </c>
      <c r="CI249" t="s">
        <v>131</v>
      </c>
      <c r="CK249" t="s">
        <v>131</v>
      </c>
      <c r="CL249" t="str">
        <f>""</f>
        <v/>
      </c>
      <c r="CM249" t="str">
        <f>""</f>
        <v/>
      </c>
      <c r="CN249" t="str">
        <f>""</f>
        <v/>
      </c>
      <c r="CO249" t="str">
        <f>""</f>
        <v/>
      </c>
      <c r="CP249" t="str">
        <f>"37-3013.00"</f>
        <v>37-3013.00</v>
      </c>
      <c r="CQ249" t="s">
        <v>4299</v>
      </c>
      <c r="CR249" t="s">
        <v>395</v>
      </c>
      <c r="CS249" t="s">
        <v>131</v>
      </c>
      <c r="CU249" t="s">
        <v>4300</v>
      </c>
      <c r="CW249" t="s">
        <v>4301</v>
      </c>
      <c r="CX249" t="s">
        <v>808</v>
      </c>
      <c r="CZ249" s="3" t="str">
        <f t="shared" si="25"/>
        <v>85718</v>
      </c>
      <c r="DA249" t="s">
        <v>131</v>
      </c>
      <c r="DB249" t="str">
        <f>"37-3013"</f>
        <v>37-3013</v>
      </c>
      <c r="DC249" t="s">
        <v>4299</v>
      </c>
      <c r="DD249" t="s">
        <v>134</v>
      </c>
      <c r="DE249" t="s">
        <v>134</v>
      </c>
      <c r="DF249" t="str">
        <f>""</f>
        <v/>
      </c>
      <c r="DH249" s="6">
        <v>18.760000000000002</v>
      </c>
      <c r="DI249" t="s">
        <v>344</v>
      </c>
      <c r="DK249" t="s">
        <v>345</v>
      </c>
      <c r="DR249" t="s">
        <v>4302</v>
      </c>
      <c r="DS249" s="6">
        <v>18.760000000000002</v>
      </c>
      <c r="DT249" t="s">
        <v>424</v>
      </c>
      <c r="DU249" s="1">
        <v>44354</v>
      </c>
      <c r="DV249" s="1">
        <v>44443</v>
      </c>
    </row>
    <row r="250" spans="1:126" ht="15" customHeight="1" x14ac:dyDescent="0.35">
      <c r="A250" t="s">
        <v>8322</v>
      </c>
      <c r="B250" t="s">
        <v>318</v>
      </c>
      <c r="C250" s="1">
        <v>44326</v>
      </c>
      <c r="D250" s="1">
        <v>44354</v>
      </c>
      <c r="H250" t="s">
        <v>319</v>
      </c>
      <c r="I250" t="s">
        <v>1894</v>
      </c>
      <c r="J250" t="s">
        <v>301</v>
      </c>
      <c r="L250" t="s">
        <v>395</v>
      </c>
      <c r="M250" t="s">
        <v>4296</v>
      </c>
      <c r="O250" t="s">
        <v>807</v>
      </c>
      <c r="P250" t="s">
        <v>857</v>
      </c>
      <c r="Q250" s="3">
        <v>85032</v>
      </c>
      <c r="R250" t="s">
        <v>128</v>
      </c>
      <c r="T250" s="4">
        <v>16238696757</v>
      </c>
      <c r="V250" t="s">
        <v>1897</v>
      </c>
      <c r="W250" t="s">
        <v>4297</v>
      </c>
      <c r="Y250" t="s">
        <v>4296</v>
      </c>
      <c r="AA250" t="s">
        <v>807</v>
      </c>
      <c r="AB250" t="s">
        <v>808</v>
      </c>
      <c r="AC250" s="3" t="str">
        <f t="shared" si="24"/>
        <v>85032</v>
      </c>
      <c r="AD250" t="s">
        <v>128</v>
      </c>
      <c r="AF250" s="4">
        <v>16238696757</v>
      </c>
      <c r="AH250" t="str">
        <f>"238210"</f>
        <v>238210</v>
      </c>
      <c r="AI250" t="s">
        <v>130</v>
      </c>
      <c r="AJ250" t="s">
        <v>1899</v>
      </c>
      <c r="AK250" t="s">
        <v>1900</v>
      </c>
      <c r="AM250" t="s">
        <v>1901</v>
      </c>
      <c r="AN250" t="s">
        <v>1902</v>
      </c>
      <c r="AO250" t="s">
        <v>494</v>
      </c>
      <c r="AP250" t="s">
        <v>129</v>
      </c>
      <c r="AQ250" s="5">
        <v>10165</v>
      </c>
      <c r="AR250" t="s">
        <v>128</v>
      </c>
      <c r="AT250" s="4">
        <v>12127604400</v>
      </c>
      <c r="AV250" t="s">
        <v>1897</v>
      </c>
      <c r="AW250" t="s">
        <v>1903</v>
      </c>
      <c r="AX250" t="s">
        <v>131</v>
      </c>
      <c r="AY250" t="s">
        <v>131</v>
      </c>
      <c r="AZ250" t="s">
        <v>131</v>
      </c>
      <c r="BA250" t="s">
        <v>131</v>
      </c>
      <c r="BB250" t="s">
        <v>131</v>
      </c>
      <c r="BC250" t="s">
        <v>131</v>
      </c>
      <c r="BD250" t="s">
        <v>131</v>
      </c>
      <c r="BE250" t="s">
        <v>132</v>
      </c>
      <c r="BH250" t="s">
        <v>8323</v>
      </c>
      <c r="BI250" t="s">
        <v>131</v>
      </c>
      <c r="BL250" t="s">
        <v>167</v>
      </c>
      <c r="BO250" t="s">
        <v>131</v>
      </c>
      <c r="BP250" t="s">
        <v>134</v>
      </c>
      <c r="BQ250" t="s">
        <v>131</v>
      </c>
      <c r="BS250" t="str">
        <f t="shared" si="16"/>
        <v>N/A</v>
      </c>
      <c r="BT250" t="s">
        <v>135</v>
      </c>
      <c r="BU250">
        <v>1</v>
      </c>
      <c r="BV250" t="str">
        <f>"Low Voltage Technician
"</f>
        <v xml:space="preserve">Low Voltage Technician
</v>
      </c>
      <c r="BW250" t="s">
        <v>131</v>
      </c>
      <c r="BX250" t="str">
        <f>""</f>
        <v/>
      </c>
      <c r="BY250" t="str">
        <f>""</f>
        <v/>
      </c>
      <c r="BZ250" t="str">
        <f>""</f>
        <v/>
      </c>
      <c r="CA250" t="str">
        <f>""</f>
        <v/>
      </c>
      <c r="CB250" t="s">
        <v>131</v>
      </c>
      <c r="CF250" t="s">
        <v>131</v>
      </c>
      <c r="CH250" t="str">
        <f>""</f>
        <v/>
      </c>
      <c r="CI250" t="s">
        <v>131</v>
      </c>
      <c r="CK250" t="s">
        <v>131</v>
      </c>
      <c r="CL250" t="str">
        <f>""</f>
        <v/>
      </c>
      <c r="CM250" t="str">
        <f>""</f>
        <v/>
      </c>
      <c r="CN250" t="str">
        <f>""</f>
        <v/>
      </c>
      <c r="CO250" t="str">
        <f>""</f>
        <v/>
      </c>
      <c r="CP250" t="str">
        <f>"49-2094.00"</f>
        <v>49-2094.00</v>
      </c>
      <c r="CQ250" t="s">
        <v>8324</v>
      </c>
      <c r="CR250" t="s">
        <v>395</v>
      </c>
      <c r="CS250" t="s">
        <v>131</v>
      </c>
      <c r="CU250" t="s">
        <v>4300</v>
      </c>
      <c r="CW250" t="s">
        <v>4301</v>
      </c>
      <c r="CX250" t="s">
        <v>808</v>
      </c>
      <c r="CZ250" s="3" t="str">
        <f t="shared" si="25"/>
        <v>85718</v>
      </c>
      <c r="DA250" t="s">
        <v>131</v>
      </c>
      <c r="DB250" t="str">
        <f>"49-2094"</f>
        <v>49-2094</v>
      </c>
      <c r="DC250" t="s">
        <v>8324</v>
      </c>
      <c r="DD250" t="s">
        <v>134</v>
      </c>
      <c r="DE250" t="s">
        <v>134</v>
      </c>
      <c r="DF250" t="str">
        <f>""</f>
        <v/>
      </c>
      <c r="DH250" s="6">
        <v>28.12</v>
      </c>
      <c r="DI250" t="s">
        <v>344</v>
      </c>
      <c r="DK250" t="s">
        <v>345</v>
      </c>
      <c r="DR250" t="s">
        <v>4302</v>
      </c>
      <c r="DS250" s="6">
        <v>28.12</v>
      </c>
      <c r="DT250" t="s">
        <v>424</v>
      </c>
      <c r="DU250" s="1">
        <v>44354</v>
      </c>
      <c r="DV250" s="1">
        <v>44443</v>
      </c>
    </row>
    <row r="251" spans="1:126" ht="15" customHeight="1" x14ac:dyDescent="0.35">
      <c r="A251" t="s">
        <v>17341</v>
      </c>
      <c r="B251" t="s">
        <v>318</v>
      </c>
      <c r="C251" s="1">
        <v>44326</v>
      </c>
      <c r="D251" s="1">
        <v>44354</v>
      </c>
      <c r="H251" t="s">
        <v>319</v>
      </c>
      <c r="I251" t="s">
        <v>1894</v>
      </c>
      <c r="J251" t="s">
        <v>301</v>
      </c>
      <c r="L251" t="s">
        <v>395</v>
      </c>
      <c r="M251" t="s">
        <v>4296</v>
      </c>
      <c r="O251" t="s">
        <v>807</v>
      </c>
      <c r="P251" t="s">
        <v>857</v>
      </c>
      <c r="Q251" s="3">
        <v>85032</v>
      </c>
      <c r="R251" t="s">
        <v>128</v>
      </c>
      <c r="T251" s="4">
        <v>16238696757</v>
      </c>
      <c r="V251" t="s">
        <v>1897</v>
      </c>
      <c r="W251" t="s">
        <v>4297</v>
      </c>
      <c r="Y251" t="s">
        <v>4296</v>
      </c>
      <c r="AA251" t="s">
        <v>807</v>
      </c>
      <c r="AB251" t="s">
        <v>808</v>
      </c>
      <c r="AC251" s="3" t="str">
        <f t="shared" si="24"/>
        <v>85032</v>
      </c>
      <c r="AD251" t="s">
        <v>128</v>
      </c>
      <c r="AF251" s="4">
        <v>16238696757</v>
      </c>
      <c r="AH251" t="str">
        <f>"238110"</f>
        <v>238110</v>
      </c>
      <c r="AI251" t="s">
        <v>130</v>
      </c>
      <c r="AJ251" t="s">
        <v>1899</v>
      </c>
      <c r="AK251" t="s">
        <v>1900</v>
      </c>
      <c r="AM251" t="s">
        <v>1901</v>
      </c>
      <c r="AN251" t="s">
        <v>1902</v>
      </c>
      <c r="AO251" t="s">
        <v>494</v>
      </c>
      <c r="AP251" t="s">
        <v>129</v>
      </c>
      <c r="AQ251" s="5">
        <v>10165</v>
      </c>
      <c r="AR251" t="s">
        <v>128</v>
      </c>
      <c r="AT251" s="4">
        <v>12127604400</v>
      </c>
      <c r="AV251" t="s">
        <v>1897</v>
      </c>
      <c r="AW251" t="s">
        <v>1903</v>
      </c>
      <c r="AX251" t="s">
        <v>131</v>
      </c>
      <c r="AY251" t="s">
        <v>131</v>
      </c>
      <c r="AZ251" t="s">
        <v>131</v>
      </c>
      <c r="BA251" t="s">
        <v>131</v>
      </c>
      <c r="BB251" t="s">
        <v>131</v>
      </c>
      <c r="BC251" t="s">
        <v>131</v>
      </c>
      <c r="BD251" t="s">
        <v>131</v>
      </c>
      <c r="BE251" t="s">
        <v>132</v>
      </c>
      <c r="BH251" t="s">
        <v>6294</v>
      </c>
      <c r="BI251" t="s">
        <v>131</v>
      </c>
      <c r="BL251" t="s">
        <v>167</v>
      </c>
      <c r="BO251" t="s">
        <v>131</v>
      </c>
      <c r="BP251" t="s">
        <v>134</v>
      </c>
      <c r="BQ251" t="s">
        <v>131</v>
      </c>
      <c r="BS251" t="str">
        <f t="shared" si="16"/>
        <v>N/A</v>
      </c>
      <c r="BT251" t="s">
        <v>135</v>
      </c>
      <c r="BU251">
        <v>1</v>
      </c>
      <c r="BV251" t="str">
        <f>"Concrete Finisher
"</f>
        <v xml:space="preserve">Concrete Finisher
</v>
      </c>
      <c r="BW251" t="s">
        <v>131</v>
      </c>
      <c r="BX251" t="str">
        <f>""</f>
        <v/>
      </c>
      <c r="BY251" t="str">
        <f>""</f>
        <v/>
      </c>
      <c r="BZ251" t="str">
        <f>""</f>
        <v/>
      </c>
      <c r="CA251" t="str">
        <f>""</f>
        <v/>
      </c>
      <c r="CB251" t="s">
        <v>131</v>
      </c>
      <c r="CF251" t="s">
        <v>131</v>
      </c>
      <c r="CH251" t="str">
        <f>""</f>
        <v/>
      </c>
      <c r="CI251" t="s">
        <v>131</v>
      </c>
      <c r="CK251" t="s">
        <v>131</v>
      </c>
      <c r="CL251" t="str">
        <f>""</f>
        <v/>
      </c>
      <c r="CM251" t="str">
        <f>""</f>
        <v/>
      </c>
      <c r="CN251" t="str">
        <f>""</f>
        <v/>
      </c>
      <c r="CO251" t="str">
        <f>""</f>
        <v/>
      </c>
      <c r="CP251" t="str">
        <f>"47-2051.00"</f>
        <v>47-2051.00</v>
      </c>
      <c r="CQ251" t="s">
        <v>5057</v>
      </c>
      <c r="CR251" t="s">
        <v>395</v>
      </c>
      <c r="CS251" t="s">
        <v>131</v>
      </c>
      <c r="CU251" t="s">
        <v>4300</v>
      </c>
      <c r="CW251" t="s">
        <v>4301</v>
      </c>
      <c r="CX251" t="s">
        <v>808</v>
      </c>
      <c r="CZ251" s="3" t="str">
        <f t="shared" si="25"/>
        <v>85718</v>
      </c>
      <c r="DA251" t="s">
        <v>131</v>
      </c>
      <c r="DB251" t="str">
        <f>"47-2051"</f>
        <v>47-2051</v>
      </c>
      <c r="DC251" t="s">
        <v>5057</v>
      </c>
      <c r="DD251" t="s">
        <v>134</v>
      </c>
      <c r="DE251" t="s">
        <v>134</v>
      </c>
      <c r="DF251" t="str">
        <f>""</f>
        <v/>
      </c>
      <c r="DH251" s="6">
        <v>19.05</v>
      </c>
      <c r="DI251" t="s">
        <v>344</v>
      </c>
      <c r="DK251" t="s">
        <v>345</v>
      </c>
      <c r="DR251" t="s">
        <v>4302</v>
      </c>
      <c r="DS251" s="6">
        <v>19.05</v>
      </c>
      <c r="DT251" t="s">
        <v>424</v>
      </c>
      <c r="DU251" s="1">
        <v>44354</v>
      </c>
      <c r="DV251" s="1">
        <v>44443</v>
      </c>
    </row>
    <row r="252" spans="1:126" ht="15" customHeight="1" x14ac:dyDescent="0.35">
      <c r="A252" t="s">
        <v>18955</v>
      </c>
      <c r="B252" t="s">
        <v>318</v>
      </c>
      <c r="C252" s="1">
        <v>44326</v>
      </c>
      <c r="D252" s="1">
        <v>44354</v>
      </c>
      <c r="H252" t="s">
        <v>319</v>
      </c>
      <c r="I252" t="s">
        <v>1894</v>
      </c>
      <c r="J252" t="s">
        <v>301</v>
      </c>
      <c r="L252" t="s">
        <v>395</v>
      </c>
      <c r="M252" t="s">
        <v>4296</v>
      </c>
      <c r="O252" t="s">
        <v>807</v>
      </c>
      <c r="P252" t="s">
        <v>857</v>
      </c>
      <c r="Q252" s="3">
        <v>85032</v>
      </c>
      <c r="R252" t="s">
        <v>128</v>
      </c>
      <c r="T252" s="4">
        <v>16238696757</v>
      </c>
      <c r="V252" t="s">
        <v>1897</v>
      </c>
      <c r="W252" t="s">
        <v>4297</v>
      </c>
      <c r="Y252" t="s">
        <v>4296</v>
      </c>
      <c r="AA252" t="s">
        <v>807</v>
      </c>
      <c r="AB252" t="s">
        <v>808</v>
      </c>
      <c r="AC252" s="3" t="str">
        <f t="shared" si="24"/>
        <v>85032</v>
      </c>
      <c r="AD252" t="s">
        <v>128</v>
      </c>
      <c r="AF252" s="4">
        <v>16238696757</v>
      </c>
      <c r="AH252" t="str">
        <f>"238910"</f>
        <v>238910</v>
      </c>
      <c r="AI252" t="s">
        <v>130</v>
      </c>
      <c r="AJ252" t="s">
        <v>1899</v>
      </c>
      <c r="AK252" t="s">
        <v>1900</v>
      </c>
      <c r="AM252" t="s">
        <v>1901</v>
      </c>
      <c r="AN252" t="s">
        <v>1902</v>
      </c>
      <c r="AO252" t="s">
        <v>494</v>
      </c>
      <c r="AP252" t="s">
        <v>129</v>
      </c>
      <c r="AQ252" s="5">
        <v>10165</v>
      </c>
      <c r="AR252" t="s">
        <v>128</v>
      </c>
      <c r="AT252" s="4">
        <v>12127604400</v>
      </c>
      <c r="AV252" t="s">
        <v>1897</v>
      </c>
      <c r="AW252" t="s">
        <v>1903</v>
      </c>
      <c r="AX252" t="s">
        <v>131</v>
      </c>
      <c r="AY252" t="s">
        <v>131</v>
      </c>
      <c r="AZ252" t="s">
        <v>131</v>
      </c>
      <c r="BA252" t="s">
        <v>131</v>
      </c>
      <c r="BB252" t="s">
        <v>131</v>
      </c>
      <c r="BC252" t="s">
        <v>131</v>
      </c>
      <c r="BD252" t="s">
        <v>131</v>
      </c>
      <c r="BE252" t="s">
        <v>132</v>
      </c>
      <c r="BH252" t="s">
        <v>2947</v>
      </c>
      <c r="BI252" t="s">
        <v>131</v>
      </c>
      <c r="BL252" t="s">
        <v>167</v>
      </c>
      <c r="BO252" t="s">
        <v>131</v>
      </c>
      <c r="BP252" t="s">
        <v>134</v>
      </c>
      <c r="BQ252" t="s">
        <v>131</v>
      </c>
      <c r="BS252" t="str">
        <f t="shared" si="16"/>
        <v>N/A</v>
      </c>
      <c r="BT252" t="s">
        <v>135</v>
      </c>
      <c r="BU252">
        <v>1</v>
      </c>
      <c r="BV252" t="str">
        <f>"Machine Operator"</f>
        <v>Machine Operator</v>
      </c>
      <c r="BW252" t="s">
        <v>131</v>
      </c>
      <c r="BX252" t="str">
        <f>""</f>
        <v/>
      </c>
      <c r="BY252" t="str">
        <f>""</f>
        <v/>
      </c>
      <c r="BZ252" t="str">
        <f>""</f>
        <v/>
      </c>
      <c r="CA252" t="str">
        <f>""</f>
        <v/>
      </c>
      <c r="CB252" t="s">
        <v>131</v>
      </c>
      <c r="CF252" t="s">
        <v>131</v>
      </c>
      <c r="CH252" t="str">
        <f>""</f>
        <v/>
      </c>
      <c r="CI252" t="s">
        <v>131</v>
      </c>
      <c r="CK252" t="s">
        <v>131</v>
      </c>
      <c r="CL252" t="str">
        <f>""</f>
        <v/>
      </c>
      <c r="CM252" t="str">
        <f>""</f>
        <v/>
      </c>
      <c r="CN252" t="str">
        <f>""</f>
        <v/>
      </c>
      <c r="CO252" t="str">
        <f>""</f>
        <v/>
      </c>
      <c r="CP252" t="str">
        <f>"47-2073.00"</f>
        <v>47-2073.00</v>
      </c>
      <c r="CQ252" t="s">
        <v>402</v>
      </c>
      <c r="CR252" t="s">
        <v>395</v>
      </c>
      <c r="CS252" t="s">
        <v>131</v>
      </c>
      <c r="CU252" t="s">
        <v>4300</v>
      </c>
      <c r="CW252" t="s">
        <v>4301</v>
      </c>
      <c r="CX252" t="s">
        <v>808</v>
      </c>
      <c r="CZ252" s="3" t="str">
        <f t="shared" si="25"/>
        <v>85718</v>
      </c>
      <c r="DA252" t="s">
        <v>131</v>
      </c>
      <c r="DB252" t="str">
        <f>"47-2073"</f>
        <v>47-2073</v>
      </c>
      <c r="DC252" t="s">
        <v>402</v>
      </c>
      <c r="DD252" t="s">
        <v>134</v>
      </c>
      <c r="DE252" t="s">
        <v>134</v>
      </c>
      <c r="DF252" t="str">
        <f>""</f>
        <v/>
      </c>
      <c r="DH252" s="6">
        <v>19.04</v>
      </c>
      <c r="DI252" t="s">
        <v>344</v>
      </c>
      <c r="DK252" t="s">
        <v>345</v>
      </c>
      <c r="DR252" t="s">
        <v>4302</v>
      </c>
      <c r="DS252" s="6">
        <v>19.04</v>
      </c>
      <c r="DT252" t="s">
        <v>424</v>
      </c>
      <c r="DU252" s="1">
        <v>44354</v>
      </c>
      <c r="DV252" s="1">
        <v>44443</v>
      </c>
    </row>
    <row r="253" spans="1:126" ht="15" customHeight="1" x14ac:dyDescent="0.35">
      <c r="A253" t="s">
        <v>12104</v>
      </c>
      <c r="B253" t="s">
        <v>318</v>
      </c>
      <c r="C253" s="1">
        <v>44326</v>
      </c>
      <c r="D253" s="1">
        <v>44354</v>
      </c>
      <c r="H253" t="s">
        <v>319</v>
      </c>
      <c r="I253" t="s">
        <v>1894</v>
      </c>
      <c r="J253" t="s">
        <v>12105</v>
      </c>
      <c r="L253" t="s">
        <v>395</v>
      </c>
      <c r="M253" t="s">
        <v>4296</v>
      </c>
      <c r="O253" t="s">
        <v>807</v>
      </c>
      <c r="P253" t="s">
        <v>857</v>
      </c>
      <c r="Q253" s="3">
        <v>85032</v>
      </c>
      <c r="R253" t="s">
        <v>128</v>
      </c>
      <c r="T253" s="4">
        <v>16238696757</v>
      </c>
      <c r="V253" t="s">
        <v>1897</v>
      </c>
      <c r="W253" t="s">
        <v>4297</v>
      </c>
      <c r="Y253" t="s">
        <v>4296</v>
      </c>
      <c r="AA253" t="s">
        <v>807</v>
      </c>
      <c r="AB253" t="s">
        <v>808</v>
      </c>
      <c r="AC253" s="3" t="str">
        <f t="shared" si="24"/>
        <v>85032</v>
      </c>
      <c r="AD253" t="s">
        <v>128</v>
      </c>
      <c r="AF253" s="4">
        <v>16238696757</v>
      </c>
      <c r="AH253" t="str">
        <f>"238910"</f>
        <v>238910</v>
      </c>
      <c r="AI253" t="s">
        <v>130</v>
      </c>
      <c r="AJ253" t="s">
        <v>1899</v>
      </c>
      <c r="AK253" t="s">
        <v>1900</v>
      </c>
      <c r="AM253" t="s">
        <v>1901</v>
      </c>
      <c r="AN253" t="s">
        <v>1902</v>
      </c>
      <c r="AO253" t="s">
        <v>494</v>
      </c>
      <c r="AP253" t="s">
        <v>129</v>
      </c>
      <c r="AQ253" s="5">
        <v>10165</v>
      </c>
      <c r="AR253" t="s">
        <v>128</v>
      </c>
      <c r="AT253" s="4">
        <v>12127604400</v>
      </c>
      <c r="AV253" t="s">
        <v>1897</v>
      </c>
      <c r="AW253" t="s">
        <v>1903</v>
      </c>
      <c r="AX253" t="s">
        <v>131</v>
      </c>
      <c r="AY253" t="s">
        <v>131</v>
      </c>
      <c r="AZ253" t="s">
        <v>131</v>
      </c>
      <c r="BA253" t="s">
        <v>131</v>
      </c>
      <c r="BB253" t="s">
        <v>131</v>
      </c>
      <c r="BC253" t="s">
        <v>131</v>
      </c>
      <c r="BD253" t="s">
        <v>131</v>
      </c>
      <c r="BE253" t="s">
        <v>132</v>
      </c>
      <c r="BH253" t="s">
        <v>12106</v>
      </c>
      <c r="BI253" t="s">
        <v>131</v>
      </c>
      <c r="BL253" t="s">
        <v>167</v>
      </c>
      <c r="BO253" t="s">
        <v>131</v>
      </c>
      <c r="BP253" t="s">
        <v>134</v>
      </c>
      <c r="BQ253" t="s">
        <v>131</v>
      </c>
      <c r="BS253" t="str">
        <f t="shared" si="16"/>
        <v>N/A</v>
      </c>
      <c r="BT253" t="s">
        <v>135</v>
      </c>
      <c r="BU253">
        <v>1</v>
      </c>
      <c r="BV253" t="str">
        <f>"Landscape Operator"</f>
        <v>Landscape Operator</v>
      </c>
      <c r="BW253" t="s">
        <v>131</v>
      </c>
      <c r="BX253" t="str">
        <f>""</f>
        <v/>
      </c>
      <c r="BY253" t="str">
        <f>""</f>
        <v/>
      </c>
      <c r="BZ253" t="str">
        <f>""</f>
        <v/>
      </c>
      <c r="CA253" t="str">
        <f>""</f>
        <v/>
      </c>
      <c r="CB253" t="s">
        <v>131</v>
      </c>
      <c r="CF253" t="s">
        <v>131</v>
      </c>
      <c r="CH253" t="str">
        <f>""</f>
        <v/>
      </c>
      <c r="CI253" t="s">
        <v>131</v>
      </c>
      <c r="CK253" t="s">
        <v>131</v>
      </c>
      <c r="CL253" t="str">
        <f>""</f>
        <v/>
      </c>
      <c r="CM253" t="str">
        <f>""</f>
        <v/>
      </c>
      <c r="CN253" t="str">
        <f>""</f>
        <v/>
      </c>
      <c r="CO253" t="str">
        <f>""</f>
        <v/>
      </c>
      <c r="CP253" t="str">
        <f>"53-7032.00"</f>
        <v>53-7032.00</v>
      </c>
      <c r="CQ253" t="s">
        <v>12107</v>
      </c>
      <c r="CR253" t="s">
        <v>395</v>
      </c>
      <c r="CS253" t="s">
        <v>131</v>
      </c>
      <c r="CU253" t="s">
        <v>4300</v>
      </c>
      <c r="CW253" t="s">
        <v>4301</v>
      </c>
      <c r="CX253" t="s">
        <v>808</v>
      </c>
      <c r="CZ253" s="3" t="str">
        <f t="shared" si="25"/>
        <v>85718</v>
      </c>
      <c r="DA253" t="s">
        <v>131</v>
      </c>
      <c r="DB253" t="str">
        <f>"53-7032"</f>
        <v>53-7032</v>
      </c>
      <c r="DC253" t="s">
        <v>12107</v>
      </c>
      <c r="DD253" t="s">
        <v>134</v>
      </c>
      <c r="DE253" t="s">
        <v>134</v>
      </c>
      <c r="DF253" t="str">
        <f>""</f>
        <v/>
      </c>
      <c r="DH253" s="6">
        <v>26.84</v>
      </c>
      <c r="DI253" t="s">
        <v>344</v>
      </c>
      <c r="DK253" t="s">
        <v>345</v>
      </c>
      <c r="DR253" t="s">
        <v>4302</v>
      </c>
      <c r="DS253" s="6">
        <v>26.84</v>
      </c>
      <c r="DT253" t="s">
        <v>424</v>
      </c>
      <c r="DU253" s="1">
        <v>44354</v>
      </c>
      <c r="DV253" s="1">
        <v>44443</v>
      </c>
    </row>
    <row r="254" spans="1:126" ht="15" customHeight="1" x14ac:dyDescent="0.35">
      <c r="A254" t="s">
        <v>11650</v>
      </c>
      <c r="B254" t="s">
        <v>318</v>
      </c>
      <c r="C254" s="1">
        <v>44326</v>
      </c>
      <c r="D254" s="1">
        <v>44354</v>
      </c>
      <c r="H254" t="s">
        <v>319</v>
      </c>
      <c r="I254" t="s">
        <v>10618</v>
      </c>
      <c r="J254" t="s">
        <v>1278</v>
      </c>
      <c r="L254" t="s">
        <v>11651</v>
      </c>
      <c r="M254" t="s">
        <v>11652</v>
      </c>
      <c r="O254" t="s">
        <v>11653</v>
      </c>
      <c r="P254" t="s">
        <v>441</v>
      </c>
      <c r="Q254" s="3">
        <v>44072</v>
      </c>
      <c r="R254" t="s">
        <v>128</v>
      </c>
      <c r="T254" s="4">
        <v>14403388200</v>
      </c>
      <c r="V254" t="s">
        <v>134</v>
      </c>
      <c r="W254" t="s">
        <v>11654</v>
      </c>
      <c r="X254" t="s">
        <v>11655</v>
      </c>
      <c r="Y254" t="s">
        <v>11652</v>
      </c>
      <c r="AA254" t="s">
        <v>11653</v>
      </c>
      <c r="AB254" t="s">
        <v>444</v>
      </c>
      <c r="AC254" s="3" t="str">
        <f>"44072"</f>
        <v>44072</v>
      </c>
      <c r="AD254" t="s">
        <v>128</v>
      </c>
      <c r="AF254" s="4">
        <v>14403388200</v>
      </c>
      <c r="AH254" t="str">
        <f>"56173"</f>
        <v>56173</v>
      </c>
      <c r="AI254" t="s">
        <v>287</v>
      </c>
      <c r="AJ254" t="s">
        <v>2917</v>
      </c>
      <c r="AK254" t="s">
        <v>2918</v>
      </c>
      <c r="AM254" t="s">
        <v>2919</v>
      </c>
      <c r="AN254" t="s">
        <v>2920</v>
      </c>
      <c r="AO254" t="s">
        <v>2921</v>
      </c>
      <c r="AP254" t="s">
        <v>306</v>
      </c>
      <c r="AQ254" s="5">
        <v>22949</v>
      </c>
      <c r="AR254" t="s">
        <v>128</v>
      </c>
      <c r="AT254" s="4">
        <v>14342634300</v>
      </c>
      <c r="AV254" t="s">
        <v>5183</v>
      </c>
      <c r="AW254" t="s">
        <v>2923</v>
      </c>
      <c r="AX254" t="s">
        <v>131</v>
      </c>
      <c r="AY254" t="s">
        <v>131</v>
      </c>
      <c r="AZ254" t="s">
        <v>131</v>
      </c>
      <c r="BA254" t="s">
        <v>131</v>
      </c>
      <c r="BB254" t="s">
        <v>131</v>
      </c>
      <c r="BC254" t="s">
        <v>131</v>
      </c>
      <c r="BD254" t="s">
        <v>131</v>
      </c>
      <c r="BE254" t="s">
        <v>132</v>
      </c>
      <c r="BH254" t="s">
        <v>920</v>
      </c>
      <c r="BI254" t="s">
        <v>131</v>
      </c>
      <c r="BL254" t="s">
        <v>167</v>
      </c>
      <c r="BO254" t="s">
        <v>131</v>
      </c>
      <c r="BP254" t="s">
        <v>134</v>
      </c>
      <c r="BQ254" t="s">
        <v>131</v>
      </c>
      <c r="BS254" t="str">
        <f t="shared" si="16"/>
        <v>N/A</v>
      </c>
      <c r="BT254" t="s">
        <v>131</v>
      </c>
      <c r="BV254" t="str">
        <f>""</f>
        <v/>
      </c>
      <c r="BW254" t="s">
        <v>135</v>
      </c>
      <c r="BX254" t="str">
        <f>""</f>
        <v/>
      </c>
      <c r="BY254" t="str">
        <f>""</f>
        <v/>
      </c>
      <c r="BZ254" t="str">
        <f>""</f>
        <v/>
      </c>
      <c r="CA254" t="s">
        <v>11656</v>
      </c>
      <c r="CB254" t="s">
        <v>131</v>
      </c>
      <c r="CF254" t="s">
        <v>131</v>
      </c>
      <c r="CH254" t="str">
        <f>""</f>
        <v/>
      </c>
      <c r="CI254" t="s">
        <v>131</v>
      </c>
      <c r="CK254" t="s">
        <v>131</v>
      </c>
      <c r="CL254" t="str">
        <f>""</f>
        <v/>
      </c>
      <c r="CM254" t="str">
        <f>""</f>
        <v/>
      </c>
      <c r="CN254" t="str">
        <f>""</f>
        <v/>
      </c>
      <c r="CO254" t="str">
        <f>""</f>
        <v/>
      </c>
      <c r="CP254" t="str">
        <f>"37-3011.00"</f>
        <v>37-3011.00</v>
      </c>
      <c r="CQ254" t="s">
        <v>920</v>
      </c>
      <c r="CR254" t="s">
        <v>2924</v>
      </c>
      <c r="CS254" t="s">
        <v>135</v>
      </c>
      <c r="CT254" t="s">
        <v>2925</v>
      </c>
      <c r="CU254" t="s">
        <v>11652</v>
      </c>
      <c r="CW254" t="s">
        <v>11653</v>
      </c>
      <c r="CX254" t="s">
        <v>444</v>
      </c>
      <c r="CZ254" s="3" t="str">
        <f>"44072"</f>
        <v>44072</v>
      </c>
      <c r="DA254" t="s">
        <v>135</v>
      </c>
      <c r="DB254" t="str">
        <f>"37-3011"</f>
        <v>37-3011</v>
      </c>
      <c r="DC254" t="s">
        <v>920</v>
      </c>
      <c r="DD254" t="s">
        <v>134</v>
      </c>
      <c r="DE254" t="s">
        <v>134</v>
      </c>
      <c r="DF254" t="str">
        <f>""</f>
        <v/>
      </c>
      <c r="DH254" s="6">
        <v>16.350000000000001</v>
      </c>
      <c r="DI254" t="s">
        <v>344</v>
      </c>
      <c r="DK254" t="s">
        <v>345</v>
      </c>
      <c r="DS254" s="6">
        <v>16.350000000000001</v>
      </c>
      <c r="DT254" s="2" t="s">
        <v>347</v>
      </c>
      <c r="DU254" s="1">
        <v>44354</v>
      </c>
      <c r="DV254" s="1">
        <v>44443</v>
      </c>
    </row>
    <row r="255" spans="1:126" ht="15" customHeight="1" x14ac:dyDescent="0.35">
      <c r="A255" t="s">
        <v>19473</v>
      </c>
      <c r="B255" t="s">
        <v>318</v>
      </c>
      <c r="C255" s="1">
        <v>44326</v>
      </c>
      <c r="D255" s="1">
        <v>44354</v>
      </c>
      <c r="H255" t="s">
        <v>319</v>
      </c>
      <c r="I255" t="s">
        <v>19474</v>
      </c>
      <c r="J255" t="s">
        <v>246</v>
      </c>
      <c r="L255" t="s">
        <v>303</v>
      </c>
      <c r="M255" t="s">
        <v>19475</v>
      </c>
      <c r="O255" t="s">
        <v>15834</v>
      </c>
      <c r="P255" t="s">
        <v>441</v>
      </c>
      <c r="Q255" s="3">
        <v>44026</v>
      </c>
      <c r="R255" t="s">
        <v>128</v>
      </c>
      <c r="T255" s="4">
        <v>14407293616</v>
      </c>
      <c r="V255" t="s">
        <v>134</v>
      </c>
      <c r="W255" t="s">
        <v>19476</v>
      </c>
      <c r="X255" t="s">
        <v>19477</v>
      </c>
      <c r="Y255" t="s">
        <v>19475</v>
      </c>
      <c r="AA255" t="s">
        <v>15834</v>
      </c>
      <c r="AB255" t="s">
        <v>444</v>
      </c>
      <c r="AC255" s="3" t="str">
        <f>"44026"</f>
        <v>44026</v>
      </c>
      <c r="AD255" t="s">
        <v>128</v>
      </c>
      <c r="AF255" s="4">
        <v>14407293616</v>
      </c>
      <c r="AH255" t="str">
        <f>"56173"</f>
        <v>56173</v>
      </c>
      <c r="AI255" t="s">
        <v>287</v>
      </c>
      <c r="AJ255" t="s">
        <v>2917</v>
      </c>
      <c r="AK255" t="s">
        <v>2918</v>
      </c>
      <c r="AM255" t="s">
        <v>2919</v>
      </c>
      <c r="AN255" t="s">
        <v>2920</v>
      </c>
      <c r="AO255" t="s">
        <v>2921</v>
      </c>
      <c r="AP255" t="s">
        <v>306</v>
      </c>
      <c r="AQ255" s="5">
        <v>22949</v>
      </c>
      <c r="AR255" t="s">
        <v>128</v>
      </c>
      <c r="AT255" s="4">
        <v>14342634300</v>
      </c>
      <c r="AV255" t="s">
        <v>2922</v>
      </c>
      <c r="AW255" t="s">
        <v>2923</v>
      </c>
      <c r="AX255" t="s">
        <v>131</v>
      </c>
      <c r="AY255" t="s">
        <v>131</v>
      </c>
      <c r="AZ255" t="s">
        <v>131</v>
      </c>
      <c r="BA255" t="s">
        <v>131</v>
      </c>
      <c r="BB255" t="s">
        <v>131</v>
      </c>
      <c r="BC255" t="s">
        <v>131</v>
      </c>
      <c r="BD255" t="s">
        <v>131</v>
      </c>
      <c r="BE255" t="s">
        <v>132</v>
      </c>
      <c r="BH255" t="s">
        <v>2215</v>
      </c>
      <c r="BI255" t="s">
        <v>131</v>
      </c>
      <c r="BL255" t="s">
        <v>167</v>
      </c>
      <c r="BO255" t="s">
        <v>131</v>
      </c>
      <c r="BP255" t="s">
        <v>134</v>
      </c>
      <c r="BQ255" t="s">
        <v>131</v>
      </c>
      <c r="BS255" t="str">
        <f t="shared" si="16"/>
        <v>N/A</v>
      </c>
      <c r="BT255" t="s">
        <v>131</v>
      </c>
      <c r="BV255" t="str">
        <f>""</f>
        <v/>
      </c>
      <c r="BW255" t="s">
        <v>135</v>
      </c>
      <c r="BX255" t="str">
        <f>""</f>
        <v/>
      </c>
      <c r="BY255" t="str">
        <f>""</f>
        <v/>
      </c>
      <c r="BZ255" t="str">
        <f>""</f>
        <v/>
      </c>
      <c r="CA255" t="str">
        <f>"Must lift/carry 50 lbs., when necessary.  Saturday and Sunday work required, when necessary.  Post-hire random and upon suspicion of use drug testing required of foreign and domestic workers."</f>
        <v>Must lift/carry 50 lbs., when necessary.  Saturday and Sunday work required, when necessary.  Post-hire random and upon suspicion of use drug testing required of foreign and domestic workers.</v>
      </c>
      <c r="CB255" t="s">
        <v>131</v>
      </c>
      <c r="CF255" t="s">
        <v>131</v>
      </c>
      <c r="CH255" t="str">
        <f>""</f>
        <v/>
      </c>
      <c r="CI255" t="s">
        <v>131</v>
      </c>
      <c r="CK255" t="s">
        <v>131</v>
      </c>
      <c r="CL255" t="str">
        <f>""</f>
        <v/>
      </c>
      <c r="CM255" t="str">
        <f>""</f>
        <v/>
      </c>
      <c r="CN255" t="str">
        <f>""</f>
        <v/>
      </c>
      <c r="CO255" t="str">
        <f>""</f>
        <v/>
      </c>
      <c r="CP255" t="str">
        <f>"37-3011.00"</f>
        <v>37-3011.00</v>
      </c>
      <c r="CQ255" t="s">
        <v>920</v>
      </c>
      <c r="CR255" t="s">
        <v>2924</v>
      </c>
      <c r="CS255" t="s">
        <v>135</v>
      </c>
      <c r="CT255" t="s">
        <v>2925</v>
      </c>
      <c r="CU255" t="s">
        <v>19475</v>
      </c>
      <c r="CW255" t="s">
        <v>15834</v>
      </c>
      <c r="CX255" t="s">
        <v>444</v>
      </c>
      <c r="CZ255" s="3" t="str">
        <f>"44026"</f>
        <v>44026</v>
      </c>
      <c r="DA255" t="s">
        <v>135</v>
      </c>
      <c r="DB255" t="str">
        <f>"37-3011"</f>
        <v>37-3011</v>
      </c>
      <c r="DC255" t="s">
        <v>920</v>
      </c>
      <c r="DD255" t="s">
        <v>134</v>
      </c>
      <c r="DE255" t="s">
        <v>134</v>
      </c>
      <c r="DF255" t="str">
        <f>""</f>
        <v/>
      </c>
      <c r="DH255" s="6">
        <v>16.350000000000001</v>
      </c>
      <c r="DI255" t="s">
        <v>344</v>
      </c>
      <c r="DK255" t="s">
        <v>345</v>
      </c>
      <c r="DS255" s="6">
        <v>16.350000000000001</v>
      </c>
      <c r="DT255" s="2" t="s">
        <v>347</v>
      </c>
      <c r="DU255" s="1">
        <v>44354</v>
      </c>
      <c r="DV255" s="1">
        <v>44443</v>
      </c>
    </row>
    <row r="256" spans="1:126" ht="15" customHeight="1" x14ac:dyDescent="0.35">
      <c r="A256" t="s">
        <v>18488</v>
      </c>
      <c r="B256" t="s">
        <v>318</v>
      </c>
      <c r="C256" s="1">
        <v>44326</v>
      </c>
      <c r="D256" s="1">
        <v>44354</v>
      </c>
      <c r="H256" t="s">
        <v>319</v>
      </c>
      <c r="I256" t="s">
        <v>6243</v>
      </c>
      <c r="J256" t="s">
        <v>285</v>
      </c>
      <c r="L256" t="s">
        <v>6244</v>
      </c>
      <c r="M256" t="s">
        <v>6245</v>
      </c>
      <c r="N256" t="s">
        <v>134</v>
      </c>
      <c r="O256" t="s">
        <v>4408</v>
      </c>
      <c r="P256" t="s">
        <v>194</v>
      </c>
      <c r="Q256" s="3">
        <v>34110</v>
      </c>
      <c r="R256" t="s">
        <v>128</v>
      </c>
      <c r="S256" t="s">
        <v>134</v>
      </c>
      <c r="T256" s="4">
        <v>12392543000</v>
      </c>
      <c r="V256" t="s">
        <v>6246</v>
      </c>
      <c r="W256" t="s">
        <v>11728</v>
      </c>
      <c r="X256" t="s">
        <v>134</v>
      </c>
      <c r="Y256" t="s">
        <v>6245</v>
      </c>
      <c r="Z256" t="s">
        <v>134</v>
      </c>
      <c r="AA256" t="s">
        <v>4408</v>
      </c>
      <c r="AB256" t="s">
        <v>195</v>
      </c>
      <c r="AC256" s="3" t="str">
        <f>"34110"</f>
        <v>34110</v>
      </c>
      <c r="AD256" t="s">
        <v>128</v>
      </c>
      <c r="AE256" t="s">
        <v>134</v>
      </c>
      <c r="AF256" s="4">
        <v>12392543000</v>
      </c>
      <c r="AH256" t="str">
        <f>"713910"</f>
        <v>713910</v>
      </c>
      <c r="AI256" t="s">
        <v>130</v>
      </c>
      <c r="AJ256" t="s">
        <v>1386</v>
      </c>
      <c r="AK256" t="s">
        <v>1387</v>
      </c>
      <c r="AL256" t="s">
        <v>1036</v>
      </c>
      <c r="AM256" t="s">
        <v>1388</v>
      </c>
      <c r="AN256" t="s">
        <v>997</v>
      </c>
      <c r="AO256" t="s">
        <v>719</v>
      </c>
      <c r="AP256" t="s">
        <v>377</v>
      </c>
      <c r="AQ256" s="5">
        <v>1701</v>
      </c>
      <c r="AR256" t="s">
        <v>128</v>
      </c>
      <c r="AS256" t="s">
        <v>134</v>
      </c>
      <c r="AT256" s="4">
        <v>16179399444</v>
      </c>
      <c r="AV256" t="s">
        <v>1389</v>
      </c>
      <c r="AW256" t="s">
        <v>1390</v>
      </c>
      <c r="AX256" t="s">
        <v>131</v>
      </c>
      <c r="AY256" t="s">
        <v>131</v>
      </c>
      <c r="AZ256" t="s">
        <v>131</v>
      </c>
      <c r="BA256" t="s">
        <v>131</v>
      </c>
      <c r="BB256" t="s">
        <v>131</v>
      </c>
      <c r="BC256" t="s">
        <v>131</v>
      </c>
      <c r="BD256" t="s">
        <v>131</v>
      </c>
      <c r="BE256" t="s">
        <v>132</v>
      </c>
      <c r="BH256" t="s">
        <v>16906</v>
      </c>
      <c r="BI256" t="s">
        <v>131</v>
      </c>
      <c r="BL256" t="s">
        <v>167</v>
      </c>
      <c r="BO256" t="s">
        <v>131</v>
      </c>
      <c r="BP256" t="s">
        <v>134</v>
      </c>
      <c r="BQ256" t="s">
        <v>131</v>
      </c>
      <c r="BS256" t="str">
        <f t="shared" si="16"/>
        <v>N/A</v>
      </c>
      <c r="BT256" t="s">
        <v>135</v>
      </c>
      <c r="BU256">
        <v>3</v>
      </c>
      <c r="BV256" t="str">
        <f>"Housekeeper "</f>
        <v xml:space="preserve">Housekeeper </v>
      </c>
      <c r="BW256" t="s">
        <v>135</v>
      </c>
      <c r="BX256" t="str">
        <f>""</f>
        <v/>
      </c>
      <c r="BY256" t="str">
        <f>""</f>
        <v/>
      </c>
      <c r="BZ256" t="str">
        <f>""</f>
        <v/>
      </c>
      <c r="CA256" t="str">
        <f>"The Petitioner will consider for employment any person who possesses at least three (3) months of experience at a high-end hotel, resort, or private club.  Applicant must complete pre-employment background check and drug screening."</f>
        <v>The Petitioner will consider for employment any person who possesses at least three (3) months of experience at a high-end hotel, resort, or private club.  Applicant must complete pre-employment background check and drug screening.</v>
      </c>
      <c r="CB256" t="s">
        <v>131</v>
      </c>
      <c r="CF256" t="s">
        <v>131</v>
      </c>
      <c r="CH256" t="str">
        <f>""</f>
        <v/>
      </c>
      <c r="CI256" t="s">
        <v>131</v>
      </c>
      <c r="CK256" t="s">
        <v>131</v>
      </c>
      <c r="CL256" t="str">
        <f>""</f>
        <v/>
      </c>
      <c r="CM256" t="str">
        <f>""</f>
        <v/>
      </c>
      <c r="CN256" t="str">
        <f>""</f>
        <v/>
      </c>
      <c r="CO256" t="str">
        <f>""</f>
        <v/>
      </c>
      <c r="CP256" t="str">
        <f>"37-2012.00"</f>
        <v>37-2012.00</v>
      </c>
      <c r="CQ256" t="s">
        <v>479</v>
      </c>
      <c r="CR256" t="s">
        <v>18489</v>
      </c>
      <c r="CS256" t="s">
        <v>135</v>
      </c>
      <c r="CT256" t="s">
        <v>11731</v>
      </c>
      <c r="CU256" t="s">
        <v>6245</v>
      </c>
      <c r="CV256" t="s">
        <v>134</v>
      </c>
      <c r="CW256" t="s">
        <v>4408</v>
      </c>
      <c r="CX256" t="s">
        <v>195</v>
      </c>
      <c r="CZ256" s="3" t="str">
        <f>"34110"</f>
        <v>34110</v>
      </c>
      <c r="DA256" t="s">
        <v>135</v>
      </c>
      <c r="DB256" t="str">
        <f>"37-2011"</f>
        <v>37-2011</v>
      </c>
      <c r="DC256" t="s">
        <v>794</v>
      </c>
      <c r="DD256" t="s">
        <v>134</v>
      </c>
      <c r="DE256" t="s">
        <v>134</v>
      </c>
      <c r="DF256" t="str">
        <f>"37-2012.00"</f>
        <v>37-2012.00</v>
      </c>
      <c r="DG256" t="s">
        <v>479</v>
      </c>
      <c r="DH256" s="6">
        <v>15.05</v>
      </c>
      <c r="DI256" t="s">
        <v>344</v>
      </c>
      <c r="DK256" t="s">
        <v>345</v>
      </c>
      <c r="DS256" s="6">
        <v>15.05</v>
      </c>
      <c r="DT256" t="s">
        <v>424</v>
      </c>
      <c r="DU256" s="1">
        <v>44354</v>
      </c>
      <c r="DV256" s="1">
        <v>44443</v>
      </c>
    </row>
    <row r="257" spans="1:126" ht="15" customHeight="1" x14ac:dyDescent="0.35">
      <c r="A257" t="s">
        <v>6242</v>
      </c>
      <c r="B257" t="s">
        <v>318</v>
      </c>
      <c r="C257" s="1">
        <v>44326</v>
      </c>
      <c r="D257" s="1">
        <v>44354</v>
      </c>
      <c r="H257" t="s">
        <v>319</v>
      </c>
      <c r="I257" t="s">
        <v>6243</v>
      </c>
      <c r="J257" t="s">
        <v>285</v>
      </c>
      <c r="L257" t="s">
        <v>6244</v>
      </c>
      <c r="M257" t="s">
        <v>6245</v>
      </c>
      <c r="N257" t="s">
        <v>134</v>
      </c>
      <c r="O257" t="s">
        <v>4408</v>
      </c>
      <c r="P257" t="s">
        <v>194</v>
      </c>
      <c r="Q257" s="3">
        <v>34110</v>
      </c>
      <c r="R257" t="s">
        <v>128</v>
      </c>
      <c r="S257" t="s">
        <v>134</v>
      </c>
      <c r="T257" s="4">
        <v>12392543000</v>
      </c>
      <c r="V257" t="s">
        <v>6246</v>
      </c>
      <c r="W257" t="s">
        <v>6247</v>
      </c>
      <c r="X257" t="s">
        <v>134</v>
      </c>
      <c r="Y257" t="s">
        <v>6245</v>
      </c>
      <c r="Z257" t="s">
        <v>134</v>
      </c>
      <c r="AA257" t="s">
        <v>4408</v>
      </c>
      <c r="AB257" t="s">
        <v>195</v>
      </c>
      <c r="AC257" s="3" t="str">
        <f>"34110"</f>
        <v>34110</v>
      </c>
      <c r="AD257" t="s">
        <v>128</v>
      </c>
      <c r="AE257" t="s">
        <v>134</v>
      </c>
      <c r="AF257" s="4">
        <v>12392543000</v>
      </c>
      <c r="AH257" t="str">
        <f>"713910"</f>
        <v>713910</v>
      </c>
      <c r="AI257" t="s">
        <v>130</v>
      </c>
      <c r="AJ257" t="s">
        <v>1386</v>
      </c>
      <c r="AK257" t="s">
        <v>1387</v>
      </c>
      <c r="AL257" t="s">
        <v>1036</v>
      </c>
      <c r="AM257" t="s">
        <v>1388</v>
      </c>
      <c r="AN257" t="s">
        <v>997</v>
      </c>
      <c r="AO257" t="s">
        <v>719</v>
      </c>
      <c r="AP257" t="s">
        <v>377</v>
      </c>
      <c r="AQ257" s="5">
        <v>1701</v>
      </c>
      <c r="AR257" t="s">
        <v>128</v>
      </c>
      <c r="AS257" t="s">
        <v>134</v>
      </c>
      <c r="AT257" s="4">
        <v>16179399444</v>
      </c>
      <c r="AV257" t="s">
        <v>1389</v>
      </c>
      <c r="AW257" t="s">
        <v>1390</v>
      </c>
      <c r="AX257" t="s">
        <v>131</v>
      </c>
      <c r="AY257" t="s">
        <v>131</v>
      </c>
      <c r="AZ257" t="s">
        <v>131</v>
      </c>
      <c r="BA257" t="s">
        <v>131</v>
      </c>
      <c r="BB257" t="s">
        <v>131</v>
      </c>
      <c r="BC257" t="s">
        <v>131</v>
      </c>
      <c r="BD257" t="s">
        <v>131</v>
      </c>
      <c r="BE257" t="s">
        <v>132</v>
      </c>
      <c r="BH257" t="s">
        <v>1213</v>
      </c>
      <c r="BI257" t="s">
        <v>131</v>
      </c>
      <c r="BL257" t="s">
        <v>167</v>
      </c>
      <c r="BO257" t="s">
        <v>131</v>
      </c>
      <c r="BP257" t="s">
        <v>134</v>
      </c>
      <c r="BQ257" t="s">
        <v>131</v>
      </c>
      <c r="BS257" t="str">
        <f t="shared" si="16"/>
        <v>N/A</v>
      </c>
      <c r="BT257" t="s">
        <v>135</v>
      </c>
      <c r="BU257">
        <v>3</v>
      </c>
      <c r="BV257" t="str">
        <f>"Server "</f>
        <v xml:space="preserve">Server </v>
      </c>
      <c r="BW257" t="s">
        <v>135</v>
      </c>
      <c r="BX257" t="str">
        <f>""</f>
        <v/>
      </c>
      <c r="BY257" t="str">
        <f>""</f>
        <v/>
      </c>
      <c r="BZ257" t="str">
        <f>""</f>
        <v/>
      </c>
      <c r="CA257" t="s">
        <v>6248</v>
      </c>
      <c r="CB257" t="s">
        <v>131</v>
      </c>
      <c r="CF257" t="s">
        <v>131</v>
      </c>
      <c r="CH257" t="str">
        <f>""</f>
        <v/>
      </c>
      <c r="CI257" t="s">
        <v>131</v>
      </c>
      <c r="CK257" t="s">
        <v>131</v>
      </c>
      <c r="CL257" t="str">
        <f>""</f>
        <v/>
      </c>
      <c r="CM257" t="str">
        <f>""</f>
        <v/>
      </c>
      <c r="CN257" t="str">
        <f>""</f>
        <v/>
      </c>
      <c r="CO257" t="str">
        <f>""</f>
        <v/>
      </c>
      <c r="CP257" t="str">
        <f>"35-3031.00"</f>
        <v>35-3031.00</v>
      </c>
      <c r="CQ257" t="s">
        <v>1214</v>
      </c>
      <c r="CR257" t="s">
        <v>6249</v>
      </c>
      <c r="CS257" t="s">
        <v>135</v>
      </c>
      <c r="CT257" t="s">
        <v>6250</v>
      </c>
      <c r="CU257" t="s">
        <v>6245</v>
      </c>
      <c r="CV257" t="s">
        <v>134</v>
      </c>
      <c r="CW257" t="s">
        <v>6251</v>
      </c>
      <c r="CX257" t="s">
        <v>195</v>
      </c>
      <c r="CZ257" s="3" t="str">
        <f>"34110"</f>
        <v>34110</v>
      </c>
      <c r="DA257" t="s">
        <v>135</v>
      </c>
      <c r="DB257" t="str">
        <f>"35-3031"</f>
        <v>35-3031</v>
      </c>
      <c r="DC257" t="s">
        <v>1214</v>
      </c>
      <c r="DD257" t="s">
        <v>134</v>
      </c>
      <c r="DE257" t="s">
        <v>134</v>
      </c>
      <c r="DF257" t="str">
        <f>""</f>
        <v/>
      </c>
      <c r="DH257" s="6">
        <v>15.48</v>
      </c>
      <c r="DI257" t="s">
        <v>344</v>
      </c>
      <c r="DK257" t="s">
        <v>345</v>
      </c>
      <c r="DS257" s="6">
        <v>15.48</v>
      </c>
      <c r="DT257" s="2" t="s">
        <v>347</v>
      </c>
      <c r="DU257" s="1">
        <v>44354</v>
      </c>
      <c r="DV257" s="1">
        <v>44443</v>
      </c>
    </row>
    <row r="258" spans="1:126" ht="15" customHeight="1" x14ac:dyDescent="0.35">
      <c r="A258" t="s">
        <v>11727</v>
      </c>
      <c r="B258" t="s">
        <v>318</v>
      </c>
      <c r="C258" s="1">
        <v>44326</v>
      </c>
      <c r="D258" s="1">
        <v>44354</v>
      </c>
      <c r="H258" t="s">
        <v>319</v>
      </c>
      <c r="I258" t="s">
        <v>6243</v>
      </c>
      <c r="J258" t="s">
        <v>285</v>
      </c>
      <c r="L258" t="s">
        <v>6244</v>
      </c>
      <c r="M258" t="s">
        <v>6245</v>
      </c>
      <c r="N258" t="s">
        <v>134</v>
      </c>
      <c r="O258" t="s">
        <v>4408</v>
      </c>
      <c r="P258" t="s">
        <v>194</v>
      </c>
      <c r="Q258" s="3">
        <v>34110</v>
      </c>
      <c r="R258" t="s">
        <v>128</v>
      </c>
      <c r="S258" t="s">
        <v>134</v>
      </c>
      <c r="T258" s="4">
        <v>12392543000</v>
      </c>
      <c r="V258" t="s">
        <v>6246</v>
      </c>
      <c r="W258" t="s">
        <v>11728</v>
      </c>
      <c r="X258" t="s">
        <v>134</v>
      </c>
      <c r="Y258" t="s">
        <v>6245</v>
      </c>
      <c r="Z258" t="s">
        <v>134</v>
      </c>
      <c r="AA258" t="s">
        <v>4408</v>
      </c>
      <c r="AB258" t="s">
        <v>195</v>
      </c>
      <c r="AC258" s="3" t="str">
        <f>"34110"</f>
        <v>34110</v>
      </c>
      <c r="AD258" t="s">
        <v>128</v>
      </c>
      <c r="AE258" t="s">
        <v>134</v>
      </c>
      <c r="AF258" s="4">
        <v>12392543000</v>
      </c>
      <c r="AH258" t="str">
        <f>"713910"</f>
        <v>713910</v>
      </c>
      <c r="AI258" t="s">
        <v>130</v>
      </c>
      <c r="AJ258" t="s">
        <v>1386</v>
      </c>
      <c r="AK258" t="s">
        <v>1387</v>
      </c>
      <c r="AL258" t="s">
        <v>1036</v>
      </c>
      <c r="AM258" t="s">
        <v>1388</v>
      </c>
      <c r="AN258" t="s">
        <v>997</v>
      </c>
      <c r="AO258" t="s">
        <v>719</v>
      </c>
      <c r="AP258" t="s">
        <v>377</v>
      </c>
      <c r="AQ258" s="5">
        <v>1701</v>
      </c>
      <c r="AR258" t="s">
        <v>128</v>
      </c>
      <c r="AS258" t="s">
        <v>134</v>
      </c>
      <c r="AT258" s="4">
        <v>16179399444</v>
      </c>
      <c r="AV258" t="s">
        <v>1389</v>
      </c>
      <c r="AW258" t="s">
        <v>1390</v>
      </c>
      <c r="AX258" t="s">
        <v>131</v>
      </c>
      <c r="AY258" t="s">
        <v>131</v>
      </c>
      <c r="AZ258" t="s">
        <v>131</v>
      </c>
      <c r="BA258" t="s">
        <v>131</v>
      </c>
      <c r="BB258" t="s">
        <v>131</v>
      </c>
      <c r="BC258" t="s">
        <v>131</v>
      </c>
      <c r="BD258" t="s">
        <v>131</v>
      </c>
      <c r="BE258" t="s">
        <v>132</v>
      </c>
      <c r="BH258" t="s">
        <v>11729</v>
      </c>
      <c r="BI258" t="s">
        <v>131</v>
      </c>
      <c r="BL258" t="s">
        <v>167</v>
      </c>
      <c r="BO258" t="s">
        <v>131</v>
      </c>
      <c r="BP258" t="s">
        <v>134</v>
      </c>
      <c r="BQ258" t="s">
        <v>131</v>
      </c>
      <c r="BS258" t="str">
        <f t="shared" ref="BS258:BS321" si="26">"N/A"</f>
        <v>N/A</v>
      </c>
      <c r="BT258" t="s">
        <v>135</v>
      </c>
      <c r="BU258">
        <v>6</v>
      </c>
      <c r="BV258" t="str">
        <f>"Line Cook"</f>
        <v>Line Cook</v>
      </c>
      <c r="BW258" t="s">
        <v>135</v>
      </c>
      <c r="BX258" t="str">
        <f>""</f>
        <v/>
      </c>
      <c r="BY258" t="str">
        <f>""</f>
        <v/>
      </c>
      <c r="BZ258" t="str">
        <f>""</f>
        <v/>
      </c>
      <c r="CA258" t="s">
        <v>7917</v>
      </c>
      <c r="CB258" t="s">
        <v>131</v>
      </c>
      <c r="CF258" t="s">
        <v>131</v>
      </c>
      <c r="CH258" t="str">
        <f>""</f>
        <v/>
      </c>
      <c r="CI258" t="s">
        <v>131</v>
      </c>
      <c r="CK258" t="s">
        <v>131</v>
      </c>
      <c r="CL258" t="str">
        <f>""</f>
        <v/>
      </c>
      <c r="CM258" t="str">
        <f>""</f>
        <v/>
      </c>
      <c r="CN258" t="str">
        <f>""</f>
        <v/>
      </c>
      <c r="CO258" t="str">
        <f>""</f>
        <v/>
      </c>
      <c r="CP258" t="str">
        <f>"35-2014.00"</f>
        <v>35-2014.00</v>
      </c>
      <c r="CQ258" t="s">
        <v>581</v>
      </c>
      <c r="CR258" t="s">
        <v>11730</v>
      </c>
      <c r="CS258" t="s">
        <v>135</v>
      </c>
      <c r="CT258" t="s">
        <v>11731</v>
      </c>
      <c r="CU258" t="s">
        <v>6245</v>
      </c>
      <c r="CV258" t="s">
        <v>134</v>
      </c>
      <c r="CW258" t="s">
        <v>4408</v>
      </c>
      <c r="CX258" t="s">
        <v>195</v>
      </c>
      <c r="CZ258" s="3" t="str">
        <f>"34110"</f>
        <v>34110</v>
      </c>
      <c r="DA258" t="s">
        <v>135</v>
      </c>
      <c r="DB258" t="str">
        <f>"35-2014"</f>
        <v>35-2014</v>
      </c>
      <c r="DC258" t="s">
        <v>581</v>
      </c>
      <c r="DD258" t="s">
        <v>134</v>
      </c>
      <c r="DE258" t="s">
        <v>134</v>
      </c>
      <c r="DF258" t="str">
        <f>""</f>
        <v/>
      </c>
      <c r="DH258" s="6">
        <v>15.46</v>
      </c>
      <c r="DI258" t="s">
        <v>344</v>
      </c>
      <c r="DK258" t="s">
        <v>345</v>
      </c>
      <c r="DS258" s="6">
        <v>15.46</v>
      </c>
      <c r="DT258" t="s">
        <v>424</v>
      </c>
      <c r="DU258" s="1">
        <v>44354</v>
      </c>
      <c r="DV258" s="1">
        <v>44443</v>
      </c>
    </row>
    <row r="259" spans="1:126" ht="15" customHeight="1" x14ac:dyDescent="0.35">
      <c r="A259" t="s">
        <v>19450</v>
      </c>
      <c r="B259" t="s">
        <v>318</v>
      </c>
      <c r="C259" s="1">
        <v>44326</v>
      </c>
      <c r="D259" s="1">
        <v>44354</v>
      </c>
      <c r="H259" t="s">
        <v>319</v>
      </c>
      <c r="I259" t="s">
        <v>6243</v>
      </c>
      <c r="J259" t="s">
        <v>285</v>
      </c>
      <c r="L259" t="s">
        <v>6244</v>
      </c>
      <c r="M259" t="s">
        <v>6245</v>
      </c>
      <c r="N259" t="s">
        <v>134</v>
      </c>
      <c r="O259" t="s">
        <v>4408</v>
      </c>
      <c r="P259" t="s">
        <v>194</v>
      </c>
      <c r="Q259" s="3">
        <v>34110</v>
      </c>
      <c r="R259" t="s">
        <v>128</v>
      </c>
      <c r="S259" t="s">
        <v>134</v>
      </c>
      <c r="T259" s="4">
        <v>12392543000</v>
      </c>
      <c r="V259" t="s">
        <v>6246</v>
      </c>
      <c r="W259" t="s">
        <v>11728</v>
      </c>
      <c r="X259" t="s">
        <v>134</v>
      </c>
      <c r="Y259" t="s">
        <v>6245</v>
      </c>
      <c r="Z259" t="s">
        <v>134</v>
      </c>
      <c r="AA259" t="s">
        <v>6251</v>
      </c>
      <c r="AB259" t="s">
        <v>195</v>
      </c>
      <c r="AC259" s="3" t="str">
        <f>"34110"</f>
        <v>34110</v>
      </c>
      <c r="AD259" t="s">
        <v>128</v>
      </c>
      <c r="AE259" t="s">
        <v>134</v>
      </c>
      <c r="AF259" s="4">
        <v>12392543000</v>
      </c>
      <c r="AH259" t="str">
        <f>"713910"</f>
        <v>713910</v>
      </c>
      <c r="AI259" t="s">
        <v>130</v>
      </c>
      <c r="AJ259" t="s">
        <v>1386</v>
      </c>
      <c r="AK259" t="s">
        <v>1387</v>
      </c>
      <c r="AL259" t="s">
        <v>1036</v>
      </c>
      <c r="AM259" t="s">
        <v>1388</v>
      </c>
      <c r="AN259" t="s">
        <v>997</v>
      </c>
      <c r="AO259" t="s">
        <v>719</v>
      </c>
      <c r="AP259" t="s">
        <v>377</v>
      </c>
      <c r="AQ259" s="5">
        <v>1701</v>
      </c>
      <c r="AR259" t="s">
        <v>128</v>
      </c>
      <c r="AS259" t="s">
        <v>134</v>
      </c>
      <c r="AT259" s="4">
        <v>16179399444</v>
      </c>
      <c r="AV259" t="s">
        <v>1389</v>
      </c>
      <c r="AW259" t="s">
        <v>1390</v>
      </c>
      <c r="AX259" t="s">
        <v>131</v>
      </c>
      <c r="AY259" t="s">
        <v>131</v>
      </c>
      <c r="AZ259" t="s">
        <v>131</v>
      </c>
      <c r="BA259" t="s">
        <v>131</v>
      </c>
      <c r="BB259" t="s">
        <v>131</v>
      </c>
      <c r="BC259" t="s">
        <v>131</v>
      </c>
      <c r="BD259" t="s">
        <v>131</v>
      </c>
      <c r="BE259" t="s">
        <v>132</v>
      </c>
      <c r="BH259" t="s">
        <v>19451</v>
      </c>
      <c r="BI259" t="s">
        <v>135</v>
      </c>
      <c r="BJ259" t="s">
        <v>4661</v>
      </c>
      <c r="BK259" t="s">
        <v>1214</v>
      </c>
      <c r="BL259" t="s">
        <v>167</v>
      </c>
      <c r="BO259" t="s">
        <v>131</v>
      </c>
      <c r="BP259" t="s">
        <v>134</v>
      </c>
      <c r="BQ259" t="s">
        <v>131</v>
      </c>
      <c r="BS259" t="str">
        <f t="shared" si="26"/>
        <v>N/A</v>
      </c>
      <c r="BT259" t="s">
        <v>135</v>
      </c>
      <c r="BU259">
        <v>6</v>
      </c>
      <c r="BV259" t="str">
        <f>"Server "</f>
        <v xml:space="preserve">Server </v>
      </c>
      <c r="BW259" t="s">
        <v>135</v>
      </c>
      <c r="BX259" t="str">
        <f>""</f>
        <v/>
      </c>
      <c r="BY259" t="str">
        <f>""</f>
        <v/>
      </c>
      <c r="BZ259" t="str">
        <f>""</f>
        <v/>
      </c>
      <c r="CA259" t="s">
        <v>16000</v>
      </c>
      <c r="CB259" t="s">
        <v>131</v>
      </c>
      <c r="CF259" t="s">
        <v>131</v>
      </c>
      <c r="CH259" t="str">
        <f>""</f>
        <v/>
      </c>
      <c r="CI259" t="s">
        <v>131</v>
      </c>
      <c r="CK259" t="s">
        <v>131</v>
      </c>
      <c r="CL259" t="str">
        <f>""</f>
        <v/>
      </c>
      <c r="CM259" t="str">
        <f>""</f>
        <v/>
      </c>
      <c r="CN259" t="str">
        <f>""</f>
        <v/>
      </c>
      <c r="CO259" t="str">
        <f>""</f>
        <v/>
      </c>
      <c r="CP259" t="str">
        <f>"35-3031.00"</f>
        <v>35-3031.00</v>
      </c>
      <c r="CQ259" t="s">
        <v>1214</v>
      </c>
      <c r="CR259" t="s">
        <v>6249</v>
      </c>
      <c r="CS259" t="s">
        <v>135</v>
      </c>
      <c r="CT259" t="s">
        <v>6250</v>
      </c>
      <c r="CU259" t="s">
        <v>6245</v>
      </c>
      <c r="CV259" t="s">
        <v>134</v>
      </c>
      <c r="CW259" t="s">
        <v>4408</v>
      </c>
      <c r="CX259" t="s">
        <v>195</v>
      </c>
      <c r="CZ259" s="3" t="str">
        <f>"34110"</f>
        <v>34110</v>
      </c>
      <c r="DA259" t="s">
        <v>135</v>
      </c>
      <c r="DB259" t="str">
        <f>"35-1012"</f>
        <v>35-1012</v>
      </c>
      <c r="DC259" t="s">
        <v>1132</v>
      </c>
      <c r="DD259" t="s">
        <v>134</v>
      </c>
      <c r="DE259" t="s">
        <v>134</v>
      </c>
      <c r="DF259" t="str">
        <f>""</f>
        <v/>
      </c>
      <c r="DH259" s="6">
        <v>23.08</v>
      </c>
      <c r="DI259" t="s">
        <v>344</v>
      </c>
      <c r="DK259" t="s">
        <v>345</v>
      </c>
      <c r="DS259" s="6">
        <v>23.08</v>
      </c>
      <c r="DT259" s="2" t="s">
        <v>347</v>
      </c>
      <c r="DU259" s="1">
        <v>44354</v>
      </c>
      <c r="DV259" s="1">
        <v>44443</v>
      </c>
    </row>
    <row r="260" spans="1:126" ht="15" customHeight="1" x14ac:dyDescent="0.35">
      <c r="A260" t="s">
        <v>18286</v>
      </c>
      <c r="B260" t="s">
        <v>318</v>
      </c>
      <c r="C260" s="1">
        <v>44326</v>
      </c>
      <c r="D260" s="1">
        <v>44354</v>
      </c>
      <c r="H260" t="s">
        <v>319</v>
      </c>
      <c r="I260" t="s">
        <v>6243</v>
      </c>
      <c r="J260" t="s">
        <v>285</v>
      </c>
      <c r="L260" t="s">
        <v>6244</v>
      </c>
      <c r="M260" t="s">
        <v>6245</v>
      </c>
      <c r="N260" t="s">
        <v>134</v>
      </c>
      <c r="O260" t="s">
        <v>4408</v>
      </c>
      <c r="P260" t="s">
        <v>194</v>
      </c>
      <c r="Q260" s="3">
        <v>34110</v>
      </c>
      <c r="R260" t="s">
        <v>128</v>
      </c>
      <c r="S260" t="s">
        <v>134</v>
      </c>
      <c r="T260" s="4">
        <v>12392543000</v>
      </c>
      <c r="V260" t="s">
        <v>6246</v>
      </c>
      <c r="W260" t="s">
        <v>11728</v>
      </c>
      <c r="X260" t="s">
        <v>134</v>
      </c>
      <c r="Y260" t="s">
        <v>6245</v>
      </c>
      <c r="Z260" t="s">
        <v>134</v>
      </c>
      <c r="AA260" t="s">
        <v>4408</v>
      </c>
      <c r="AB260" t="s">
        <v>195</v>
      </c>
      <c r="AC260" s="3" t="str">
        <f>"34110"</f>
        <v>34110</v>
      </c>
      <c r="AD260" t="s">
        <v>128</v>
      </c>
      <c r="AE260" t="s">
        <v>134</v>
      </c>
      <c r="AF260" s="4">
        <v>12392543000</v>
      </c>
      <c r="AH260" t="str">
        <f>"713910"</f>
        <v>713910</v>
      </c>
      <c r="AI260" t="s">
        <v>130</v>
      </c>
      <c r="AJ260" t="s">
        <v>1386</v>
      </c>
      <c r="AK260" t="s">
        <v>1387</v>
      </c>
      <c r="AL260" t="s">
        <v>1036</v>
      </c>
      <c r="AM260" t="s">
        <v>1388</v>
      </c>
      <c r="AN260" t="s">
        <v>997</v>
      </c>
      <c r="AO260" t="s">
        <v>719</v>
      </c>
      <c r="AP260" t="s">
        <v>377</v>
      </c>
      <c r="AQ260" s="5">
        <v>1701</v>
      </c>
      <c r="AR260" t="s">
        <v>128</v>
      </c>
      <c r="AS260" t="s">
        <v>134</v>
      </c>
      <c r="AT260" s="4">
        <v>16179399444</v>
      </c>
      <c r="AV260" t="s">
        <v>1389</v>
      </c>
      <c r="AW260" t="s">
        <v>1390</v>
      </c>
      <c r="AX260" t="s">
        <v>131</v>
      </c>
      <c r="AY260" t="s">
        <v>131</v>
      </c>
      <c r="AZ260" t="s">
        <v>131</v>
      </c>
      <c r="BA260" t="s">
        <v>131</v>
      </c>
      <c r="BB260" t="s">
        <v>131</v>
      </c>
      <c r="BC260" t="s">
        <v>131</v>
      </c>
      <c r="BD260" t="s">
        <v>131</v>
      </c>
      <c r="BE260" t="s">
        <v>132</v>
      </c>
      <c r="BH260" t="s">
        <v>8231</v>
      </c>
      <c r="BI260" t="s">
        <v>131</v>
      </c>
      <c r="BL260" t="s">
        <v>167</v>
      </c>
      <c r="BO260" t="s">
        <v>131</v>
      </c>
      <c r="BP260" t="s">
        <v>134</v>
      </c>
      <c r="BQ260" t="s">
        <v>131</v>
      </c>
      <c r="BS260" t="str">
        <f t="shared" si="26"/>
        <v>N/A</v>
      </c>
      <c r="BT260" t="s">
        <v>135</v>
      </c>
      <c r="BU260">
        <v>3</v>
      </c>
      <c r="BV260" t="str">
        <f>"Dishwasher "</f>
        <v xml:space="preserve">Dishwasher </v>
      </c>
      <c r="BW260" t="s">
        <v>135</v>
      </c>
      <c r="BX260" t="str">
        <f>""</f>
        <v/>
      </c>
      <c r="BY260" t="str">
        <f>""</f>
        <v/>
      </c>
      <c r="BZ260" t="str">
        <f>""</f>
        <v/>
      </c>
      <c r="CA260" t="str">
        <f>"The Petitioner will consider for employment any person who possesses at least three (3) months of experience at a high-end restaurant, resort, or private club. Applicant must complete pre-employment background check and drug screening."</f>
        <v>The Petitioner will consider for employment any person who possesses at least three (3) months of experience at a high-end restaurant, resort, or private club. Applicant must complete pre-employment background check and drug screening.</v>
      </c>
      <c r="CB260" t="s">
        <v>131</v>
      </c>
      <c r="CF260" t="s">
        <v>131</v>
      </c>
      <c r="CH260" t="str">
        <f>""</f>
        <v/>
      </c>
      <c r="CI260" t="s">
        <v>131</v>
      </c>
      <c r="CK260" t="s">
        <v>131</v>
      </c>
      <c r="CL260" t="str">
        <f>""</f>
        <v/>
      </c>
      <c r="CM260" t="str">
        <f>""</f>
        <v/>
      </c>
      <c r="CN260" t="str">
        <f>""</f>
        <v/>
      </c>
      <c r="CO260" t="str">
        <f>""</f>
        <v/>
      </c>
      <c r="CP260" t="str">
        <f>"35-9021.00"</f>
        <v>35-9021.00</v>
      </c>
      <c r="CQ260" t="s">
        <v>2552</v>
      </c>
      <c r="CR260" t="s">
        <v>7918</v>
      </c>
      <c r="CS260" t="s">
        <v>135</v>
      </c>
      <c r="CT260" t="s">
        <v>6250</v>
      </c>
      <c r="CU260" t="s">
        <v>6245</v>
      </c>
      <c r="CV260" t="s">
        <v>134</v>
      </c>
      <c r="CW260" t="s">
        <v>4408</v>
      </c>
      <c r="CX260" t="s">
        <v>195</v>
      </c>
      <c r="CZ260" s="3" t="str">
        <f>"34110"</f>
        <v>34110</v>
      </c>
      <c r="DA260" t="s">
        <v>135</v>
      </c>
      <c r="DB260" t="str">
        <f>"35-9021"</f>
        <v>35-9021</v>
      </c>
      <c r="DC260" t="s">
        <v>2552</v>
      </c>
      <c r="DD260" t="s">
        <v>134</v>
      </c>
      <c r="DE260" t="s">
        <v>134</v>
      </c>
      <c r="DF260" t="str">
        <f>""</f>
        <v/>
      </c>
      <c r="DH260" s="6">
        <v>11.77</v>
      </c>
      <c r="DI260" t="s">
        <v>344</v>
      </c>
      <c r="DK260" t="s">
        <v>345</v>
      </c>
      <c r="DS260" s="6">
        <v>11.77</v>
      </c>
      <c r="DT260" s="2" t="s">
        <v>347</v>
      </c>
      <c r="DU260" s="1">
        <v>44354</v>
      </c>
      <c r="DV260" s="1">
        <v>44443</v>
      </c>
    </row>
    <row r="261" spans="1:126" ht="15" customHeight="1" x14ac:dyDescent="0.35">
      <c r="A261" t="s">
        <v>17707</v>
      </c>
      <c r="B261" t="s">
        <v>318</v>
      </c>
      <c r="C261" s="1">
        <v>44326</v>
      </c>
      <c r="D261" s="1">
        <v>44354</v>
      </c>
      <c r="H261" t="s">
        <v>319</v>
      </c>
      <c r="I261" t="s">
        <v>12232</v>
      </c>
      <c r="J261" t="s">
        <v>2313</v>
      </c>
      <c r="L261" t="s">
        <v>1205</v>
      </c>
      <c r="M261" t="s">
        <v>17708</v>
      </c>
      <c r="N261" t="s">
        <v>17709</v>
      </c>
      <c r="O261" t="s">
        <v>17710</v>
      </c>
      <c r="P261" t="s">
        <v>539</v>
      </c>
      <c r="Q261" s="3">
        <v>60406</v>
      </c>
      <c r="R261" t="s">
        <v>128</v>
      </c>
      <c r="T261" s="4">
        <v>17088241020</v>
      </c>
      <c r="U261">
        <v>304</v>
      </c>
      <c r="V261" t="s">
        <v>134</v>
      </c>
      <c r="W261" t="s">
        <v>17711</v>
      </c>
      <c r="Y261" t="s">
        <v>17708</v>
      </c>
      <c r="Z261" t="s">
        <v>17709</v>
      </c>
      <c r="AA261" t="s">
        <v>17710</v>
      </c>
      <c r="AB261" t="s">
        <v>263</v>
      </c>
      <c r="AC261" s="3" t="str">
        <f>"60406"</f>
        <v>60406</v>
      </c>
      <c r="AD261" t="s">
        <v>128</v>
      </c>
      <c r="AF261" s="4">
        <v>17088241020</v>
      </c>
      <c r="AH261" t="str">
        <f>"56173"</f>
        <v>56173</v>
      </c>
      <c r="AI261" t="s">
        <v>287</v>
      </c>
      <c r="AJ261" t="s">
        <v>17712</v>
      </c>
      <c r="AK261" t="s">
        <v>2918</v>
      </c>
      <c r="AM261" t="s">
        <v>2919</v>
      </c>
      <c r="AN261" t="s">
        <v>2920</v>
      </c>
      <c r="AO261" t="s">
        <v>2921</v>
      </c>
      <c r="AP261" t="s">
        <v>306</v>
      </c>
      <c r="AQ261" s="5">
        <v>22949</v>
      </c>
      <c r="AR261" t="s">
        <v>128</v>
      </c>
      <c r="AT261" s="4">
        <v>14342634300</v>
      </c>
      <c r="AV261" t="s">
        <v>5183</v>
      </c>
      <c r="AW261" t="s">
        <v>2923</v>
      </c>
      <c r="AX261" t="s">
        <v>131</v>
      </c>
      <c r="AY261" t="s">
        <v>131</v>
      </c>
      <c r="AZ261" t="s">
        <v>131</v>
      </c>
      <c r="BA261" t="s">
        <v>131</v>
      </c>
      <c r="BB261" t="s">
        <v>131</v>
      </c>
      <c r="BC261" t="s">
        <v>131</v>
      </c>
      <c r="BD261" t="s">
        <v>131</v>
      </c>
      <c r="BE261" t="s">
        <v>132</v>
      </c>
      <c r="BH261" t="s">
        <v>2215</v>
      </c>
      <c r="BI261" t="s">
        <v>131</v>
      </c>
      <c r="BL261" t="s">
        <v>167</v>
      </c>
      <c r="BO261" t="s">
        <v>131</v>
      </c>
      <c r="BP261" t="s">
        <v>134</v>
      </c>
      <c r="BQ261" t="s">
        <v>131</v>
      </c>
      <c r="BS261" t="str">
        <f t="shared" si="26"/>
        <v>N/A</v>
      </c>
      <c r="BT261" t="s">
        <v>135</v>
      </c>
      <c r="BU261">
        <v>3</v>
      </c>
      <c r="BV261" t="str">
        <f>"Requires three months of previous landscape experience."</f>
        <v>Requires three months of previous landscape experience.</v>
      </c>
      <c r="BW261" t="s">
        <v>135</v>
      </c>
      <c r="BX261" t="str">
        <f>""</f>
        <v/>
      </c>
      <c r="BY261" t="str">
        <f>""</f>
        <v/>
      </c>
      <c r="BZ261" t="str">
        <f>""</f>
        <v/>
      </c>
      <c r="CA261" t="str">
        <f>"Must lift/carry 50 lbs., when necessary.  Saturday work required, when necessary."</f>
        <v>Must lift/carry 50 lbs., when necessary.  Saturday work required, when necessary.</v>
      </c>
      <c r="CB261" t="s">
        <v>131</v>
      </c>
      <c r="CF261" t="s">
        <v>131</v>
      </c>
      <c r="CH261" t="str">
        <f>""</f>
        <v/>
      </c>
      <c r="CI261" t="s">
        <v>131</v>
      </c>
      <c r="CK261" t="s">
        <v>131</v>
      </c>
      <c r="CL261" t="str">
        <f>""</f>
        <v/>
      </c>
      <c r="CM261" t="str">
        <f>""</f>
        <v/>
      </c>
      <c r="CN261" t="str">
        <f>""</f>
        <v/>
      </c>
      <c r="CO261" t="str">
        <f>""</f>
        <v/>
      </c>
      <c r="CP261" t="str">
        <f>"37-3011.00"</f>
        <v>37-3011.00</v>
      </c>
      <c r="CQ261" t="s">
        <v>920</v>
      </c>
      <c r="CR261" t="s">
        <v>2924</v>
      </c>
      <c r="CS261" t="s">
        <v>135</v>
      </c>
      <c r="CT261" t="s">
        <v>2925</v>
      </c>
      <c r="CU261" t="s">
        <v>17708</v>
      </c>
      <c r="CW261" t="s">
        <v>17710</v>
      </c>
      <c r="CX261" t="s">
        <v>263</v>
      </c>
      <c r="CZ261" s="3" t="str">
        <f>"60406"</f>
        <v>60406</v>
      </c>
      <c r="DA261" t="s">
        <v>135</v>
      </c>
      <c r="DB261" t="str">
        <f>"37-3011"</f>
        <v>37-3011</v>
      </c>
      <c r="DC261" t="s">
        <v>920</v>
      </c>
      <c r="DD261" t="s">
        <v>134</v>
      </c>
      <c r="DE261" t="s">
        <v>134</v>
      </c>
      <c r="DF261" t="str">
        <f>""</f>
        <v/>
      </c>
      <c r="DH261" s="6">
        <v>16.34</v>
      </c>
      <c r="DI261" t="s">
        <v>344</v>
      </c>
      <c r="DK261" t="s">
        <v>345</v>
      </c>
      <c r="DS261" s="6">
        <v>16.34</v>
      </c>
      <c r="DT261" s="2" t="s">
        <v>347</v>
      </c>
      <c r="DU261" s="1">
        <v>44354</v>
      </c>
      <c r="DV261" s="1">
        <v>44443</v>
      </c>
    </row>
    <row r="262" spans="1:126" ht="15" customHeight="1" x14ac:dyDescent="0.35">
      <c r="A262" t="s">
        <v>8662</v>
      </c>
      <c r="B262" t="s">
        <v>318</v>
      </c>
      <c r="C262" s="1">
        <v>44326</v>
      </c>
      <c r="D262" s="1">
        <v>44354</v>
      </c>
      <c r="H262" t="s">
        <v>319</v>
      </c>
      <c r="I262" t="s">
        <v>8663</v>
      </c>
      <c r="J262" t="s">
        <v>5151</v>
      </c>
      <c r="L262" t="s">
        <v>1205</v>
      </c>
      <c r="M262" t="s">
        <v>8664</v>
      </c>
      <c r="N262" t="s">
        <v>134</v>
      </c>
      <c r="O262" t="s">
        <v>4408</v>
      </c>
      <c r="P262" t="s">
        <v>194</v>
      </c>
      <c r="Q262" s="3">
        <v>34110</v>
      </c>
      <c r="R262" t="s">
        <v>128</v>
      </c>
      <c r="S262" t="s">
        <v>134</v>
      </c>
      <c r="T262" s="4">
        <v>12395977200</v>
      </c>
      <c r="V262" t="s">
        <v>8665</v>
      </c>
      <c r="W262" t="s">
        <v>8666</v>
      </c>
      <c r="X262" t="s">
        <v>134</v>
      </c>
      <c r="Y262" t="s">
        <v>8664</v>
      </c>
      <c r="Z262" t="s">
        <v>134</v>
      </c>
      <c r="AA262" t="s">
        <v>4408</v>
      </c>
      <c r="AB262" t="s">
        <v>195</v>
      </c>
      <c r="AC262" s="3" t="str">
        <f>"34110"</f>
        <v>34110</v>
      </c>
      <c r="AD262" t="s">
        <v>128</v>
      </c>
      <c r="AE262" t="s">
        <v>134</v>
      </c>
      <c r="AF262" s="4">
        <v>12395977200</v>
      </c>
      <c r="AH262" t="str">
        <f>"713910"</f>
        <v>713910</v>
      </c>
      <c r="AI262" t="s">
        <v>130</v>
      </c>
      <c r="AJ262" t="s">
        <v>1386</v>
      </c>
      <c r="AK262" t="s">
        <v>1387</v>
      </c>
      <c r="AL262" t="s">
        <v>1036</v>
      </c>
      <c r="AM262" t="s">
        <v>1388</v>
      </c>
      <c r="AN262" t="s">
        <v>997</v>
      </c>
      <c r="AO262" t="s">
        <v>719</v>
      </c>
      <c r="AP262" t="s">
        <v>377</v>
      </c>
      <c r="AQ262" s="5">
        <v>1701</v>
      </c>
      <c r="AR262" t="s">
        <v>128</v>
      </c>
      <c r="AS262" t="s">
        <v>134</v>
      </c>
      <c r="AT262" s="4">
        <v>16179399444</v>
      </c>
      <c r="AV262" t="s">
        <v>1389</v>
      </c>
      <c r="AW262" t="s">
        <v>1390</v>
      </c>
      <c r="AX262" t="s">
        <v>131</v>
      </c>
      <c r="AY262" t="s">
        <v>131</v>
      </c>
      <c r="AZ262" t="s">
        <v>131</v>
      </c>
      <c r="BA262" t="s">
        <v>131</v>
      </c>
      <c r="BB262" t="s">
        <v>131</v>
      </c>
      <c r="BC262" t="s">
        <v>131</v>
      </c>
      <c r="BD262" t="s">
        <v>131</v>
      </c>
      <c r="BE262" t="s">
        <v>132</v>
      </c>
      <c r="BH262" t="s">
        <v>5764</v>
      </c>
      <c r="BI262" t="s">
        <v>131</v>
      </c>
      <c r="BL262" t="s">
        <v>167</v>
      </c>
      <c r="BO262" t="s">
        <v>131</v>
      </c>
      <c r="BP262" t="s">
        <v>134</v>
      </c>
      <c r="BQ262" t="s">
        <v>131</v>
      </c>
      <c r="BS262" t="str">
        <f t="shared" si="26"/>
        <v>N/A</v>
      </c>
      <c r="BT262" t="s">
        <v>135</v>
      </c>
      <c r="BU262">
        <v>6</v>
      </c>
      <c r="BV262" t="str">
        <f>"Line Cook"</f>
        <v>Line Cook</v>
      </c>
      <c r="BW262" t="s">
        <v>135</v>
      </c>
      <c r="BX262" t="str">
        <f>""</f>
        <v/>
      </c>
      <c r="BY262" t="str">
        <f>""</f>
        <v/>
      </c>
      <c r="BZ262" t="str">
        <f>""</f>
        <v/>
      </c>
      <c r="CA262" t="s">
        <v>8667</v>
      </c>
      <c r="CB262" t="s">
        <v>131</v>
      </c>
      <c r="CF262" t="s">
        <v>131</v>
      </c>
      <c r="CH262" t="str">
        <f>""</f>
        <v/>
      </c>
      <c r="CI262" t="s">
        <v>131</v>
      </c>
      <c r="CK262" t="s">
        <v>131</v>
      </c>
      <c r="CL262" t="str">
        <f>""</f>
        <v/>
      </c>
      <c r="CM262" t="str">
        <f>""</f>
        <v/>
      </c>
      <c r="CN262" t="str">
        <f>""</f>
        <v/>
      </c>
      <c r="CO262" t="str">
        <f>""</f>
        <v/>
      </c>
      <c r="CP262" t="str">
        <f>"35-2014.00"</f>
        <v>35-2014.00</v>
      </c>
      <c r="CQ262" t="s">
        <v>581</v>
      </c>
      <c r="CR262" t="s">
        <v>1941</v>
      </c>
      <c r="CS262" t="s">
        <v>131</v>
      </c>
      <c r="CU262" t="s">
        <v>8664</v>
      </c>
      <c r="CV262" t="s">
        <v>134</v>
      </c>
      <c r="CW262" t="s">
        <v>4408</v>
      </c>
      <c r="CX262" t="s">
        <v>195</v>
      </c>
      <c r="CZ262" s="3" t="str">
        <f>"34110"</f>
        <v>34110</v>
      </c>
      <c r="DA262" t="s">
        <v>131</v>
      </c>
      <c r="DB262" t="str">
        <f>"35-2014"</f>
        <v>35-2014</v>
      </c>
      <c r="DC262" t="s">
        <v>581</v>
      </c>
      <c r="DD262" t="s">
        <v>134</v>
      </c>
      <c r="DE262" t="s">
        <v>134</v>
      </c>
      <c r="DF262" t="str">
        <f>""</f>
        <v/>
      </c>
      <c r="DH262" s="6">
        <v>15.46</v>
      </c>
      <c r="DI262" t="s">
        <v>344</v>
      </c>
      <c r="DK262" t="s">
        <v>345</v>
      </c>
      <c r="DS262" s="6">
        <v>15.46</v>
      </c>
      <c r="DT262" t="s">
        <v>424</v>
      </c>
      <c r="DU262" s="1">
        <v>44354</v>
      </c>
      <c r="DV262" s="1">
        <v>44443</v>
      </c>
    </row>
    <row r="263" spans="1:126" ht="15" customHeight="1" x14ac:dyDescent="0.35">
      <c r="A263" t="s">
        <v>16679</v>
      </c>
      <c r="B263" t="s">
        <v>318</v>
      </c>
      <c r="C263" s="1">
        <v>44326</v>
      </c>
      <c r="D263" s="1">
        <v>44354</v>
      </c>
      <c r="H263" t="s">
        <v>319</v>
      </c>
      <c r="I263" t="s">
        <v>8663</v>
      </c>
      <c r="J263" t="s">
        <v>5151</v>
      </c>
      <c r="L263" t="s">
        <v>1205</v>
      </c>
      <c r="M263" t="s">
        <v>8664</v>
      </c>
      <c r="N263" t="s">
        <v>134</v>
      </c>
      <c r="O263" t="s">
        <v>4408</v>
      </c>
      <c r="P263" t="s">
        <v>194</v>
      </c>
      <c r="Q263" s="3">
        <v>34110</v>
      </c>
      <c r="R263" t="s">
        <v>128</v>
      </c>
      <c r="S263" t="s">
        <v>134</v>
      </c>
      <c r="T263" s="4">
        <v>12395977200</v>
      </c>
      <c r="V263" t="s">
        <v>8665</v>
      </c>
      <c r="W263" t="s">
        <v>8666</v>
      </c>
      <c r="X263" t="s">
        <v>134</v>
      </c>
      <c r="Y263" t="s">
        <v>8664</v>
      </c>
      <c r="Z263" t="s">
        <v>134</v>
      </c>
      <c r="AA263" t="s">
        <v>4408</v>
      </c>
      <c r="AB263" t="s">
        <v>195</v>
      </c>
      <c r="AC263" s="3" t="str">
        <f>"34110"</f>
        <v>34110</v>
      </c>
      <c r="AD263" t="s">
        <v>128</v>
      </c>
      <c r="AE263" t="s">
        <v>134</v>
      </c>
      <c r="AF263" s="4">
        <v>12395977200</v>
      </c>
      <c r="AH263" t="str">
        <f>"713910"</f>
        <v>713910</v>
      </c>
      <c r="AI263" t="s">
        <v>130</v>
      </c>
      <c r="AJ263" t="s">
        <v>1386</v>
      </c>
      <c r="AK263" t="s">
        <v>1387</v>
      </c>
      <c r="AL263" t="s">
        <v>1036</v>
      </c>
      <c r="AM263" t="s">
        <v>1388</v>
      </c>
      <c r="AN263" t="s">
        <v>997</v>
      </c>
      <c r="AO263" t="s">
        <v>719</v>
      </c>
      <c r="AP263" t="s">
        <v>377</v>
      </c>
      <c r="AQ263" s="5">
        <v>1701</v>
      </c>
      <c r="AR263" t="s">
        <v>128</v>
      </c>
      <c r="AS263" t="s">
        <v>134</v>
      </c>
      <c r="AT263" s="4">
        <v>16179399444</v>
      </c>
      <c r="AV263" t="s">
        <v>1389</v>
      </c>
      <c r="AW263" t="s">
        <v>1390</v>
      </c>
      <c r="AX263" t="s">
        <v>131</v>
      </c>
      <c r="AY263" t="s">
        <v>131</v>
      </c>
      <c r="AZ263" t="s">
        <v>131</v>
      </c>
      <c r="BA263" t="s">
        <v>131</v>
      </c>
      <c r="BB263" t="s">
        <v>131</v>
      </c>
      <c r="BC263" t="s">
        <v>131</v>
      </c>
      <c r="BD263" t="s">
        <v>131</v>
      </c>
      <c r="BE263" t="s">
        <v>132</v>
      </c>
      <c r="BH263" t="s">
        <v>1213</v>
      </c>
      <c r="BI263" t="s">
        <v>131</v>
      </c>
      <c r="BL263" t="s">
        <v>167</v>
      </c>
      <c r="BO263" t="s">
        <v>131</v>
      </c>
      <c r="BP263" t="s">
        <v>134</v>
      </c>
      <c r="BQ263" t="s">
        <v>131</v>
      </c>
      <c r="BS263" t="str">
        <f t="shared" si="26"/>
        <v>N/A</v>
      </c>
      <c r="BT263" t="s">
        <v>135</v>
      </c>
      <c r="BU263">
        <v>6</v>
      </c>
      <c r="BV263" t="str">
        <f>"Server"</f>
        <v>Server</v>
      </c>
      <c r="BW263" t="s">
        <v>135</v>
      </c>
      <c r="BX263" t="str">
        <f>""</f>
        <v/>
      </c>
      <c r="BY263" t="str">
        <f>""</f>
        <v/>
      </c>
      <c r="BZ263" t="str">
        <f>""</f>
        <v/>
      </c>
      <c r="CA263" t="s">
        <v>4953</v>
      </c>
      <c r="CB263" t="s">
        <v>131</v>
      </c>
      <c r="CF263" t="s">
        <v>131</v>
      </c>
      <c r="CH263" t="str">
        <f>""</f>
        <v/>
      </c>
      <c r="CI263" t="s">
        <v>131</v>
      </c>
      <c r="CK263" t="s">
        <v>131</v>
      </c>
      <c r="CL263" t="str">
        <f>""</f>
        <v/>
      </c>
      <c r="CM263" t="str">
        <f>""</f>
        <v/>
      </c>
      <c r="CN263" t="str">
        <f>""</f>
        <v/>
      </c>
      <c r="CO263" t="str">
        <f>""</f>
        <v/>
      </c>
      <c r="CP263" t="str">
        <f>"35-3031.00"</f>
        <v>35-3031.00</v>
      </c>
      <c r="CQ263" t="s">
        <v>1214</v>
      </c>
      <c r="CR263" t="s">
        <v>7967</v>
      </c>
      <c r="CS263" t="s">
        <v>131</v>
      </c>
      <c r="CU263" t="s">
        <v>8664</v>
      </c>
      <c r="CV263" t="s">
        <v>134</v>
      </c>
      <c r="CW263" t="s">
        <v>4408</v>
      </c>
      <c r="CX263" t="s">
        <v>195</v>
      </c>
      <c r="CZ263" s="3" t="str">
        <f>"34110"</f>
        <v>34110</v>
      </c>
      <c r="DA263" t="s">
        <v>131</v>
      </c>
      <c r="DB263" t="str">
        <f>"35-3031"</f>
        <v>35-3031</v>
      </c>
      <c r="DC263" t="s">
        <v>1214</v>
      </c>
      <c r="DD263" t="s">
        <v>134</v>
      </c>
      <c r="DE263" t="s">
        <v>134</v>
      </c>
      <c r="DF263" t="str">
        <f>""</f>
        <v/>
      </c>
      <c r="DH263" s="6">
        <v>15.48</v>
      </c>
      <c r="DI263" t="s">
        <v>344</v>
      </c>
      <c r="DK263" t="s">
        <v>345</v>
      </c>
      <c r="DS263" s="6">
        <v>15.48</v>
      </c>
      <c r="DT263" t="s">
        <v>424</v>
      </c>
      <c r="DU263" s="1">
        <v>44354</v>
      </c>
      <c r="DV263" s="1">
        <v>44443</v>
      </c>
    </row>
    <row r="264" spans="1:126" ht="15" customHeight="1" x14ac:dyDescent="0.35">
      <c r="A264" t="s">
        <v>17806</v>
      </c>
      <c r="B264" t="s">
        <v>318</v>
      </c>
      <c r="C264" s="1">
        <v>44326</v>
      </c>
      <c r="D264" s="1">
        <v>44354</v>
      </c>
      <c r="H264" t="s">
        <v>319</v>
      </c>
      <c r="I264" t="s">
        <v>14020</v>
      </c>
      <c r="J264" t="s">
        <v>260</v>
      </c>
      <c r="L264" t="s">
        <v>907</v>
      </c>
      <c r="M264" t="s">
        <v>14021</v>
      </c>
      <c r="N264" t="s">
        <v>134</v>
      </c>
      <c r="O264" t="s">
        <v>4408</v>
      </c>
      <c r="P264" t="s">
        <v>194</v>
      </c>
      <c r="Q264" s="3">
        <v>34119</v>
      </c>
      <c r="R264" t="s">
        <v>128</v>
      </c>
      <c r="S264" t="s">
        <v>134</v>
      </c>
      <c r="T264" s="4">
        <v>12395964797</v>
      </c>
      <c r="V264" t="s">
        <v>14022</v>
      </c>
      <c r="W264" t="s">
        <v>14023</v>
      </c>
      <c r="X264" t="s">
        <v>14024</v>
      </c>
      <c r="Y264" t="s">
        <v>14021</v>
      </c>
      <c r="Z264" t="s">
        <v>134</v>
      </c>
      <c r="AA264" t="s">
        <v>4408</v>
      </c>
      <c r="AB264" t="s">
        <v>195</v>
      </c>
      <c r="AC264" s="3" t="str">
        <f>"34119"</f>
        <v>34119</v>
      </c>
      <c r="AD264" t="s">
        <v>128</v>
      </c>
      <c r="AE264" t="s">
        <v>134</v>
      </c>
      <c r="AF264" s="4">
        <v>12395964797</v>
      </c>
      <c r="AH264" t="str">
        <f>"713910"</f>
        <v>713910</v>
      </c>
      <c r="AI264" t="s">
        <v>130</v>
      </c>
      <c r="AJ264" t="s">
        <v>1386</v>
      </c>
      <c r="AK264" t="s">
        <v>1387</v>
      </c>
      <c r="AL264" t="s">
        <v>1036</v>
      </c>
      <c r="AM264" t="s">
        <v>1388</v>
      </c>
      <c r="AN264" t="s">
        <v>997</v>
      </c>
      <c r="AO264" t="s">
        <v>719</v>
      </c>
      <c r="AP264" t="s">
        <v>377</v>
      </c>
      <c r="AQ264" s="5">
        <v>1701</v>
      </c>
      <c r="AR264" t="s">
        <v>128</v>
      </c>
      <c r="AS264" t="s">
        <v>134</v>
      </c>
      <c r="AT264" s="4">
        <v>16179399444</v>
      </c>
      <c r="AV264" t="s">
        <v>1389</v>
      </c>
      <c r="AW264" t="s">
        <v>1390</v>
      </c>
      <c r="AX264" t="s">
        <v>131</v>
      </c>
      <c r="AY264" t="s">
        <v>131</v>
      </c>
      <c r="AZ264" t="s">
        <v>131</v>
      </c>
      <c r="BA264" t="s">
        <v>131</v>
      </c>
      <c r="BB264" t="s">
        <v>131</v>
      </c>
      <c r="BC264" t="s">
        <v>131</v>
      </c>
      <c r="BD264" t="s">
        <v>131</v>
      </c>
      <c r="BE264" t="s">
        <v>132</v>
      </c>
      <c r="BH264" t="s">
        <v>1213</v>
      </c>
      <c r="BI264" t="s">
        <v>131</v>
      </c>
      <c r="BL264" t="s">
        <v>167</v>
      </c>
      <c r="BO264" t="s">
        <v>131</v>
      </c>
      <c r="BP264" t="s">
        <v>134</v>
      </c>
      <c r="BQ264" t="s">
        <v>131</v>
      </c>
      <c r="BS264" t="str">
        <f t="shared" si="26"/>
        <v>N/A</v>
      </c>
      <c r="BT264" t="s">
        <v>135</v>
      </c>
      <c r="BU264">
        <v>12</v>
      </c>
      <c r="BV264" t="str">
        <f>"Server"</f>
        <v>Server</v>
      </c>
      <c r="BW264" t="s">
        <v>135</v>
      </c>
      <c r="BX264" t="str">
        <f>""</f>
        <v/>
      </c>
      <c r="BY264" t="str">
        <f>""</f>
        <v/>
      </c>
      <c r="BZ264" t="str">
        <f>""</f>
        <v/>
      </c>
      <c r="CA264" t="s">
        <v>12425</v>
      </c>
      <c r="CB264" t="s">
        <v>131</v>
      </c>
      <c r="CF264" t="s">
        <v>131</v>
      </c>
      <c r="CH264" t="str">
        <f>""</f>
        <v/>
      </c>
      <c r="CI264" t="s">
        <v>131</v>
      </c>
      <c r="CK264" t="s">
        <v>131</v>
      </c>
      <c r="CL264" t="str">
        <f>""</f>
        <v/>
      </c>
      <c r="CM264" t="str">
        <f>""</f>
        <v/>
      </c>
      <c r="CN264" t="str">
        <f>""</f>
        <v/>
      </c>
      <c r="CO264" t="str">
        <f>""</f>
        <v/>
      </c>
      <c r="CP264" t="str">
        <f>"35-3031.00"</f>
        <v>35-3031.00</v>
      </c>
      <c r="CQ264" t="s">
        <v>1214</v>
      </c>
      <c r="CR264" t="s">
        <v>13330</v>
      </c>
      <c r="CS264" t="s">
        <v>131</v>
      </c>
      <c r="CU264" t="s">
        <v>14021</v>
      </c>
      <c r="CV264" t="s">
        <v>134</v>
      </c>
      <c r="CW264" t="s">
        <v>4408</v>
      </c>
      <c r="CX264" t="s">
        <v>195</v>
      </c>
      <c r="CZ264" s="3" t="str">
        <f>"34119"</f>
        <v>34119</v>
      </c>
      <c r="DA264" t="s">
        <v>131</v>
      </c>
      <c r="DB264" t="str">
        <f>"35-3031"</f>
        <v>35-3031</v>
      </c>
      <c r="DC264" t="s">
        <v>1214</v>
      </c>
      <c r="DD264" t="s">
        <v>134</v>
      </c>
      <c r="DE264" t="s">
        <v>134</v>
      </c>
      <c r="DF264" t="str">
        <f>""</f>
        <v/>
      </c>
      <c r="DH264" s="6">
        <v>15.48</v>
      </c>
      <c r="DI264" t="s">
        <v>344</v>
      </c>
      <c r="DK264" t="s">
        <v>345</v>
      </c>
      <c r="DS264" s="6">
        <v>15.48</v>
      </c>
      <c r="DT264" t="s">
        <v>424</v>
      </c>
      <c r="DU264" s="1">
        <v>44354</v>
      </c>
      <c r="DV264" s="1">
        <v>44443</v>
      </c>
    </row>
    <row r="265" spans="1:126" ht="15" customHeight="1" x14ac:dyDescent="0.35">
      <c r="A265" t="s">
        <v>14877</v>
      </c>
      <c r="B265" t="s">
        <v>318</v>
      </c>
      <c r="C265" s="1">
        <v>44326</v>
      </c>
      <c r="D265" s="1">
        <v>44356</v>
      </c>
      <c r="H265" t="s">
        <v>319</v>
      </c>
      <c r="I265" t="s">
        <v>4256</v>
      </c>
      <c r="J265" t="s">
        <v>2673</v>
      </c>
      <c r="K265" t="s">
        <v>134</v>
      </c>
      <c r="L265" t="s">
        <v>395</v>
      </c>
      <c r="M265" t="s">
        <v>14878</v>
      </c>
      <c r="N265" t="s">
        <v>134</v>
      </c>
      <c r="O265" t="s">
        <v>228</v>
      </c>
      <c r="P265" t="s">
        <v>226</v>
      </c>
      <c r="Q265" s="3">
        <v>46226</v>
      </c>
      <c r="R265" t="s">
        <v>128</v>
      </c>
      <c r="S265" t="s">
        <v>134</v>
      </c>
      <c r="T265" s="4">
        <v>13178238842</v>
      </c>
      <c r="V265" t="s">
        <v>14879</v>
      </c>
      <c r="W265" t="s">
        <v>14880</v>
      </c>
      <c r="Y265" t="s">
        <v>14878</v>
      </c>
      <c r="Z265" t="s">
        <v>134</v>
      </c>
      <c r="AA265" t="s">
        <v>228</v>
      </c>
      <c r="AB265" t="s">
        <v>229</v>
      </c>
      <c r="AC265" s="3" t="str">
        <f>"46226"</f>
        <v>46226</v>
      </c>
      <c r="AD265" t="s">
        <v>128</v>
      </c>
      <c r="AE265" t="s">
        <v>134</v>
      </c>
      <c r="AF265" s="4">
        <v>13178238842</v>
      </c>
      <c r="AH265" t="str">
        <f>"561730"</f>
        <v>561730</v>
      </c>
      <c r="AI265" t="s">
        <v>287</v>
      </c>
      <c r="AJ265" t="s">
        <v>14881</v>
      </c>
      <c r="AK265" t="s">
        <v>1921</v>
      </c>
      <c r="AL265" t="s">
        <v>589</v>
      </c>
      <c r="AM265" t="s">
        <v>14882</v>
      </c>
      <c r="AN265" t="s">
        <v>134</v>
      </c>
      <c r="AO265" t="s">
        <v>3152</v>
      </c>
      <c r="AP265" t="s">
        <v>400</v>
      </c>
      <c r="AQ265" s="5">
        <v>77414</v>
      </c>
      <c r="AR265" t="s">
        <v>128</v>
      </c>
      <c r="AT265" s="4">
        <v>19792457577</v>
      </c>
      <c r="AU265">
        <v>114</v>
      </c>
      <c r="AV265" t="s">
        <v>14883</v>
      </c>
      <c r="AW265" t="s">
        <v>3154</v>
      </c>
      <c r="AX265" t="s">
        <v>131</v>
      </c>
      <c r="AY265" t="s">
        <v>131</v>
      </c>
      <c r="AZ265" t="s">
        <v>131</v>
      </c>
      <c r="BA265" t="s">
        <v>131</v>
      </c>
      <c r="BB265" t="s">
        <v>131</v>
      </c>
      <c r="BC265" t="s">
        <v>131</v>
      </c>
      <c r="BD265" t="s">
        <v>131</v>
      </c>
      <c r="BE265" t="s">
        <v>132</v>
      </c>
      <c r="BH265" t="s">
        <v>3994</v>
      </c>
      <c r="BI265" t="s">
        <v>131</v>
      </c>
      <c r="BL265" t="s">
        <v>167</v>
      </c>
      <c r="BO265" t="s">
        <v>131</v>
      </c>
      <c r="BP265" t="s">
        <v>134</v>
      </c>
      <c r="BQ265" t="s">
        <v>131</v>
      </c>
      <c r="BS265" t="str">
        <f t="shared" si="26"/>
        <v>N/A</v>
      </c>
      <c r="BT265" t="s">
        <v>131</v>
      </c>
      <c r="BV265" t="str">
        <f>""</f>
        <v/>
      </c>
      <c r="BW265" t="s">
        <v>135</v>
      </c>
      <c r="BX265" t="str">
        <f>""</f>
        <v/>
      </c>
      <c r="BY265" t="str">
        <f>""</f>
        <v/>
      </c>
      <c r="BZ265" t="str">
        <f>""</f>
        <v/>
      </c>
      <c r="CA265" t="str">
        <f>"Must be able to work in inclement weather. Monday-Friday, some Saturdays as needed, start/end times vary, schedule varies, overtime varies."</f>
        <v>Must be able to work in inclement weather. Monday-Friday, some Saturdays as needed, start/end times vary, schedule varies, overtime varies.</v>
      </c>
      <c r="CB265" t="s">
        <v>131</v>
      </c>
      <c r="CF265" t="s">
        <v>131</v>
      </c>
      <c r="CH265" t="str">
        <f>""</f>
        <v/>
      </c>
      <c r="CI265" t="s">
        <v>131</v>
      </c>
      <c r="CK265" t="s">
        <v>131</v>
      </c>
      <c r="CL265" t="str">
        <f>""</f>
        <v/>
      </c>
      <c r="CM265" t="str">
        <f>""</f>
        <v/>
      </c>
      <c r="CN265" t="str">
        <f>""</f>
        <v/>
      </c>
      <c r="CO265" t="str">
        <f>""</f>
        <v/>
      </c>
      <c r="CP265" t="str">
        <f>"37-3011.00"</f>
        <v>37-3011.00</v>
      </c>
      <c r="CQ265" t="s">
        <v>920</v>
      </c>
      <c r="CS265" t="s">
        <v>135</v>
      </c>
      <c r="CT265" t="s">
        <v>5308</v>
      </c>
      <c r="CU265" t="s">
        <v>14878</v>
      </c>
      <c r="CV265" t="s">
        <v>134</v>
      </c>
      <c r="CW265" t="s">
        <v>228</v>
      </c>
      <c r="CX265" t="s">
        <v>229</v>
      </c>
      <c r="CZ265" s="3" t="str">
        <f>"46226"</f>
        <v>46226</v>
      </c>
      <c r="DA265" t="s">
        <v>135</v>
      </c>
      <c r="DB265" t="str">
        <f>"37-3011"</f>
        <v>37-3011</v>
      </c>
      <c r="DC265" t="s">
        <v>920</v>
      </c>
      <c r="DD265" t="s">
        <v>134</v>
      </c>
      <c r="DE265" t="s">
        <v>134</v>
      </c>
      <c r="DF265" t="str">
        <f>""</f>
        <v/>
      </c>
      <c r="DH265" s="6">
        <v>15.51</v>
      </c>
      <c r="DI265" t="s">
        <v>344</v>
      </c>
      <c r="DK265" t="s">
        <v>345</v>
      </c>
      <c r="DS265" s="6">
        <v>15.51</v>
      </c>
      <c r="DT265" s="2" t="s">
        <v>347</v>
      </c>
      <c r="DU265" s="1">
        <v>44356</v>
      </c>
      <c r="DV265" s="1">
        <v>44445</v>
      </c>
    </row>
    <row r="266" spans="1:126" ht="15" customHeight="1" x14ac:dyDescent="0.35">
      <c r="A266" t="s">
        <v>14019</v>
      </c>
      <c r="B266" t="s">
        <v>318</v>
      </c>
      <c r="C266" s="1">
        <v>44326</v>
      </c>
      <c r="D266" s="1">
        <v>44354</v>
      </c>
      <c r="H266" t="s">
        <v>319</v>
      </c>
      <c r="I266" t="s">
        <v>14020</v>
      </c>
      <c r="J266" t="s">
        <v>260</v>
      </c>
      <c r="L266" t="s">
        <v>907</v>
      </c>
      <c r="M266" t="s">
        <v>14021</v>
      </c>
      <c r="N266" t="s">
        <v>134</v>
      </c>
      <c r="O266" t="s">
        <v>4408</v>
      </c>
      <c r="P266" t="s">
        <v>194</v>
      </c>
      <c r="Q266" s="3">
        <v>34119</v>
      </c>
      <c r="R266" t="s">
        <v>128</v>
      </c>
      <c r="S266" t="s">
        <v>134</v>
      </c>
      <c r="T266" s="4">
        <v>12395964797</v>
      </c>
      <c r="V266" t="s">
        <v>14022</v>
      </c>
      <c r="W266" t="s">
        <v>14023</v>
      </c>
      <c r="X266" t="s">
        <v>14024</v>
      </c>
      <c r="Y266" t="s">
        <v>14021</v>
      </c>
      <c r="Z266" t="s">
        <v>134</v>
      </c>
      <c r="AA266" t="s">
        <v>4408</v>
      </c>
      <c r="AB266" t="s">
        <v>195</v>
      </c>
      <c r="AC266" s="3" t="str">
        <f>"34119"</f>
        <v>34119</v>
      </c>
      <c r="AD266" t="s">
        <v>128</v>
      </c>
      <c r="AE266" t="s">
        <v>134</v>
      </c>
      <c r="AF266" s="4">
        <v>12395964797</v>
      </c>
      <c r="AH266" t="str">
        <f>"713910"</f>
        <v>713910</v>
      </c>
      <c r="AI266" t="s">
        <v>130</v>
      </c>
      <c r="AJ266" t="s">
        <v>1386</v>
      </c>
      <c r="AK266" t="s">
        <v>1387</v>
      </c>
      <c r="AL266" t="s">
        <v>1036</v>
      </c>
      <c r="AM266" t="s">
        <v>1388</v>
      </c>
      <c r="AN266" t="s">
        <v>997</v>
      </c>
      <c r="AO266" t="s">
        <v>719</v>
      </c>
      <c r="AP266" t="s">
        <v>377</v>
      </c>
      <c r="AQ266" s="5">
        <v>1701</v>
      </c>
      <c r="AR266" t="s">
        <v>128</v>
      </c>
      <c r="AS266" t="s">
        <v>134</v>
      </c>
      <c r="AT266" s="4">
        <v>16179399444</v>
      </c>
      <c r="AV266" t="s">
        <v>1389</v>
      </c>
      <c r="AW266" t="s">
        <v>1390</v>
      </c>
      <c r="AX266" t="s">
        <v>131</v>
      </c>
      <c r="AY266" t="s">
        <v>131</v>
      </c>
      <c r="AZ266" t="s">
        <v>131</v>
      </c>
      <c r="BA266" t="s">
        <v>131</v>
      </c>
      <c r="BB266" t="s">
        <v>131</v>
      </c>
      <c r="BC266" t="s">
        <v>131</v>
      </c>
      <c r="BD266" t="s">
        <v>131</v>
      </c>
      <c r="BE266" t="s">
        <v>132</v>
      </c>
      <c r="BH266" t="s">
        <v>5764</v>
      </c>
      <c r="BI266" t="s">
        <v>131</v>
      </c>
      <c r="BL266" t="s">
        <v>167</v>
      </c>
      <c r="BO266" t="s">
        <v>131</v>
      </c>
      <c r="BP266" t="s">
        <v>134</v>
      </c>
      <c r="BQ266" t="s">
        <v>131</v>
      </c>
      <c r="BS266" t="str">
        <f t="shared" si="26"/>
        <v>N/A</v>
      </c>
      <c r="BT266" t="s">
        <v>135</v>
      </c>
      <c r="BU266">
        <v>12</v>
      </c>
      <c r="BV266" t="str">
        <f>"Line Cook"</f>
        <v>Line Cook</v>
      </c>
      <c r="BW266" t="s">
        <v>135</v>
      </c>
      <c r="BX266" t="str">
        <f>""</f>
        <v/>
      </c>
      <c r="BY266" t="str">
        <f>""</f>
        <v/>
      </c>
      <c r="BZ266" t="str">
        <f>""</f>
        <v/>
      </c>
      <c r="CA266" t="s">
        <v>5765</v>
      </c>
      <c r="CB266" t="s">
        <v>131</v>
      </c>
      <c r="CF266" t="s">
        <v>131</v>
      </c>
      <c r="CH266" t="str">
        <f>""</f>
        <v/>
      </c>
      <c r="CI266" t="s">
        <v>131</v>
      </c>
      <c r="CK266" t="s">
        <v>131</v>
      </c>
      <c r="CL266" t="str">
        <f>""</f>
        <v/>
      </c>
      <c r="CM266" t="str">
        <f>""</f>
        <v/>
      </c>
      <c r="CN266" t="str">
        <f>""</f>
        <v/>
      </c>
      <c r="CO266" t="str">
        <f>""</f>
        <v/>
      </c>
      <c r="CP266" t="str">
        <f>"35-2014.00"</f>
        <v>35-2014.00</v>
      </c>
      <c r="CQ266" t="s">
        <v>581</v>
      </c>
      <c r="CR266" t="s">
        <v>1941</v>
      </c>
      <c r="CS266" t="s">
        <v>131</v>
      </c>
      <c r="CU266" t="s">
        <v>14021</v>
      </c>
      <c r="CV266" t="s">
        <v>134</v>
      </c>
      <c r="CW266" t="s">
        <v>4408</v>
      </c>
      <c r="CX266" t="s">
        <v>195</v>
      </c>
      <c r="CZ266" s="3" t="str">
        <f>"34119"</f>
        <v>34119</v>
      </c>
      <c r="DA266" t="s">
        <v>131</v>
      </c>
      <c r="DB266" t="str">
        <f>"35-2014"</f>
        <v>35-2014</v>
      </c>
      <c r="DC266" t="s">
        <v>581</v>
      </c>
      <c r="DD266" t="s">
        <v>134</v>
      </c>
      <c r="DE266" t="s">
        <v>134</v>
      </c>
      <c r="DF266" t="str">
        <f>""</f>
        <v/>
      </c>
      <c r="DH266" s="6">
        <v>15.46</v>
      </c>
      <c r="DI266" t="s">
        <v>344</v>
      </c>
      <c r="DK266" t="s">
        <v>345</v>
      </c>
      <c r="DS266" s="6">
        <v>15.46</v>
      </c>
      <c r="DT266" t="s">
        <v>424</v>
      </c>
      <c r="DU266" s="1">
        <v>44354</v>
      </c>
      <c r="DV266" s="1">
        <v>44443</v>
      </c>
    </row>
    <row r="267" spans="1:126" ht="15" customHeight="1" x14ac:dyDescent="0.35">
      <c r="A267" t="s">
        <v>8793</v>
      </c>
      <c r="B267" t="s">
        <v>318</v>
      </c>
      <c r="C267" s="1">
        <v>44326</v>
      </c>
      <c r="D267" s="1">
        <v>44354</v>
      </c>
      <c r="H267" t="s">
        <v>319</v>
      </c>
      <c r="I267" t="s">
        <v>5394</v>
      </c>
      <c r="J267" t="s">
        <v>737</v>
      </c>
      <c r="L267" t="s">
        <v>628</v>
      </c>
      <c r="M267" t="s">
        <v>8794</v>
      </c>
      <c r="N267" t="s">
        <v>134</v>
      </c>
      <c r="O267" t="s">
        <v>8795</v>
      </c>
      <c r="P267" t="s">
        <v>857</v>
      </c>
      <c r="Q267" s="3">
        <v>85253</v>
      </c>
      <c r="R267" t="s">
        <v>128</v>
      </c>
      <c r="S267" t="s">
        <v>134</v>
      </c>
      <c r="T267" s="4">
        <v>14806072371</v>
      </c>
      <c r="V267" t="s">
        <v>8796</v>
      </c>
      <c r="W267" t="s">
        <v>8797</v>
      </c>
      <c r="X267" t="s">
        <v>8798</v>
      </c>
      <c r="Y267" t="s">
        <v>8799</v>
      </c>
      <c r="Z267" t="s">
        <v>134</v>
      </c>
      <c r="AA267" t="s">
        <v>8795</v>
      </c>
      <c r="AB267" t="s">
        <v>808</v>
      </c>
      <c r="AC267" s="3" t="str">
        <f>"85253"</f>
        <v>85253</v>
      </c>
      <c r="AD267" t="s">
        <v>128</v>
      </c>
      <c r="AE267" t="s">
        <v>134</v>
      </c>
      <c r="AF267" s="4">
        <v>14809482100</v>
      </c>
      <c r="AH267" t="str">
        <f>"721110"</f>
        <v>721110</v>
      </c>
      <c r="AI267" t="s">
        <v>130</v>
      </c>
      <c r="AJ267" t="s">
        <v>1386</v>
      </c>
      <c r="AK267" t="s">
        <v>1387</v>
      </c>
      <c r="AL267" t="s">
        <v>1036</v>
      </c>
      <c r="AM267" t="s">
        <v>1388</v>
      </c>
      <c r="AN267" t="s">
        <v>997</v>
      </c>
      <c r="AO267" t="s">
        <v>719</v>
      </c>
      <c r="AP267" t="s">
        <v>377</v>
      </c>
      <c r="AQ267" s="5">
        <v>1701</v>
      </c>
      <c r="AR267" t="s">
        <v>128</v>
      </c>
      <c r="AS267" t="s">
        <v>134</v>
      </c>
      <c r="AT267" s="4">
        <v>16179399444</v>
      </c>
      <c r="AV267" t="s">
        <v>1389</v>
      </c>
      <c r="AW267" t="s">
        <v>1390</v>
      </c>
      <c r="AX267" t="s">
        <v>131</v>
      </c>
      <c r="AY267" t="s">
        <v>131</v>
      </c>
      <c r="AZ267" t="s">
        <v>131</v>
      </c>
      <c r="BA267" t="s">
        <v>131</v>
      </c>
      <c r="BB267" t="s">
        <v>131</v>
      </c>
      <c r="BC267" t="s">
        <v>131</v>
      </c>
      <c r="BD267" t="s">
        <v>131</v>
      </c>
      <c r="BE267" t="s">
        <v>132</v>
      </c>
      <c r="BH267" t="s">
        <v>8800</v>
      </c>
      <c r="BI267" t="s">
        <v>131</v>
      </c>
      <c r="BL267" t="s">
        <v>167</v>
      </c>
      <c r="BO267" t="s">
        <v>131</v>
      </c>
      <c r="BP267" t="s">
        <v>134</v>
      </c>
      <c r="BQ267" t="s">
        <v>131</v>
      </c>
      <c r="BS267" t="str">
        <f t="shared" si="26"/>
        <v>N/A</v>
      </c>
      <c r="BT267" t="s">
        <v>135</v>
      </c>
      <c r="BU267">
        <v>3</v>
      </c>
      <c r="BV267" t="str">
        <f>"Housekeeping Room Attendant"</f>
        <v>Housekeeping Room Attendant</v>
      </c>
      <c r="BW267" t="s">
        <v>135</v>
      </c>
      <c r="BX267" t="str">
        <f>""</f>
        <v/>
      </c>
      <c r="BY267" t="str">
        <f>""</f>
        <v/>
      </c>
      <c r="BZ267" t="str">
        <f>""</f>
        <v/>
      </c>
      <c r="CA267" t="str">
        <f>"The Petitioner will consider for employment any person who possesses at least three (3) months of experience at a high-end hotel, resort, or private club.  Applicant must complete pre-employment background check and drug screening."</f>
        <v>The Petitioner will consider for employment any person who possesses at least three (3) months of experience at a high-end hotel, resort, or private club.  Applicant must complete pre-employment background check and drug screening.</v>
      </c>
      <c r="CB267" t="s">
        <v>131</v>
      </c>
      <c r="CF267" t="s">
        <v>131</v>
      </c>
      <c r="CH267" t="str">
        <f>""</f>
        <v/>
      </c>
      <c r="CI267" t="s">
        <v>131</v>
      </c>
      <c r="CK267" t="s">
        <v>131</v>
      </c>
      <c r="CL267" t="str">
        <f>""</f>
        <v/>
      </c>
      <c r="CM267" t="str">
        <f>""</f>
        <v/>
      </c>
      <c r="CN267" t="str">
        <f>""</f>
        <v/>
      </c>
      <c r="CO267" t="str">
        <f>""</f>
        <v/>
      </c>
      <c r="CP267" t="str">
        <f>"37-2012.00"</f>
        <v>37-2012.00</v>
      </c>
      <c r="CQ267" t="s">
        <v>479</v>
      </c>
      <c r="CR267" t="s">
        <v>8801</v>
      </c>
      <c r="CS267" t="s">
        <v>131</v>
      </c>
      <c r="CU267" t="s">
        <v>8794</v>
      </c>
      <c r="CV267" t="s">
        <v>134</v>
      </c>
      <c r="CW267" t="s">
        <v>8795</v>
      </c>
      <c r="CX267" t="s">
        <v>808</v>
      </c>
      <c r="CZ267" s="3" t="str">
        <f>"85253"</f>
        <v>85253</v>
      </c>
      <c r="DA267" t="s">
        <v>131</v>
      </c>
      <c r="DB267" t="str">
        <f>"37-2012"</f>
        <v>37-2012</v>
      </c>
      <c r="DC267" t="s">
        <v>479</v>
      </c>
      <c r="DD267" t="s">
        <v>134</v>
      </c>
      <c r="DE267" t="s">
        <v>134</v>
      </c>
      <c r="DF267" t="str">
        <f>""</f>
        <v/>
      </c>
      <c r="DH267" s="6">
        <v>12.45</v>
      </c>
      <c r="DI267" t="s">
        <v>344</v>
      </c>
      <c r="DK267" t="s">
        <v>345</v>
      </c>
      <c r="DS267" s="6">
        <v>12.45</v>
      </c>
      <c r="DT267" t="s">
        <v>424</v>
      </c>
      <c r="DU267" s="1">
        <v>44354</v>
      </c>
      <c r="DV267" s="1">
        <v>44443</v>
      </c>
    </row>
    <row r="268" spans="1:126" ht="15" customHeight="1" x14ac:dyDescent="0.35">
      <c r="A268" t="s">
        <v>19124</v>
      </c>
      <c r="B268" t="s">
        <v>318</v>
      </c>
      <c r="C268" s="1">
        <v>44326</v>
      </c>
      <c r="D268" s="1">
        <v>44354</v>
      </c>
      <c r="H268" t="s">
        <v>319</v>
      </c>
      <c r="I268" t="s">
        <v>5394</v>
      </c>
      <c r="J268" t="s">
        <v>737</v>
      </c>
      <c r="L268" t="s">
        <v>628</v>
      </c>
      <c r="M268" t="s">
        <v>8799</v>
      </c>
      <c r="N268" t="s">
        <v>134</v>
      </c>
      <c r="O268" t="s">
        <v>8795</v>
      </c>
      <c r="P268" t="s">
        <v>857</v>
      </c>
      <c r="Q268" s="3">
        <v>85253</v>
      </c>
      <c r="R268" t="s">
        <v>128</v>
      </c>
      <c r="S268" t="s">
        <v>134</v>
      </c>
      <c r="T268" s="4">
        <v>14806072371</v>
      </c>
      <c r="V268" t="s">
        <v>8796</v>
      </c>
      <c r="W268" t="s">
        <v>8797</v>
      </c>
      <c r="X268" t="s">
        <v>8798</v>
      </c>
      <c r="Y268" t="s">
        <v>8799</v>
      </c>
      <c r="Z268" t="s">
        <v>134</v>
      </c>
      <c r="AA268" t="s">
        <v>8795</v>
      </c>
      <c r="AB268" t="s">
        <v>808</v>
      </c>
      <c r="AC268" s="3" t="str">
        <f>"85253"</f>
        <v>85253</v>
      </c>
      <c r="AD268" t="s">
        <v>128</v>
      </c>
      <c r="AE268" t="s">
        <v>134</v>
      </c>
      <c r="AF268" s="4">
        <v>14809482100</v>
      </c>
      <c r="AH268" t="str">
        <f>"721110"</f>
        <v>721110</v>
      </c>
      <c r="AI268" t="s">
        <v>130</v>
      </c>
      <c r="AJ268" t="s">
        <v>1386</v>
      </c>
      <c r="AK268" t="s">
        <v>1387</v>
      </c>
      <c r="AL268" t="s">
        <v>1036</v>
      </c>
      <c r="AM268" t="s">
        <v>1388</v>
      </c>
      <c r="AN268" t="s">
        <v>997</v>
      </c>
      <c r="AO268" t="s">
        <v>719</v>
      </c>
      <c r="AP268" t="s">
        <v>377</v>
      </c>
      <c r="AQ268" s="5">
        <v>1701</v>
      </c>
      <c r="AR268" t="s">
        <v>128</v>
      </c>
      <c r="AS268" t="s">
        <v>134</v>
      </c>
      <c r="AT268" s="4">
        <v>16179399444</v>
      </c>
      <c r="AV268" t="s">
        <v>1389</v>
      </c>
      <c r="AW268" t="s">
        <v>1390</v>
      </c>
      <c r="AX268" t="s">
        <v>131</v>
      </c>
      <c r="AY268" t="s">
        <v>131</v>
      </c>
      <c r="AZ268" t="s">
        <v>131</v>
      </c>
      <c r="BA268" t="s">
        <v>131</v>
      </c>
      <c r="BB268" t="s">
        <v>131</v>
      </c>
      <c r="BC268" t="s">
        <v>131</v>
      </c>
      <c r="BD268" t="s">
        <v>131</v>
      </c>
      <c r="BE268" t="s">
        <v>132</v>
      </c>
      <c r="BH268" t="s">
        <v>6385</v>
      </c>
      <c r="BI268" t="s">
        <v>131</v>
      </c>
      <c r="BL268" t="s">
        <v>167</v>
      </c>
      <c r="BO268" t="s">
        <v>131</v>
      </c>
      <c r="BP268" t="s">
        <v>134</v>
      </c>
      <c r="BQ268" t="s">
        <v>131</v>
      </c>
      <c r="BS268" t="str">
        <f t="shared" si="26"/>
        <v>N/A</v>
      </c>
      <c r="BT268" t="s">
        <v>135</v>
      </c>
      <c r="BU268">
        <v>3</v>
      </c>
      <c r="BV268" t="str">
        <f>"Steward"</f>
        <v>Steward</v>
      </c>
      <c r="BW268" t="s">
        <v>135</v>
      </c>
      <c r="BX268" t="str">
        <f>""</f>
        <v/>
      </c>
      <c r="BY268" t="str">
        <f>""</f>
        <v/>
      </c>
      <c r="BZ268" t="str">
        <f>""</f>
        <v/>
      </c>
      <c r="CA268" t="str">
        <f>"The Petitioner will consider for employment any person who possesses at least three (3) months of experience at a high-end restaurant, resort, or private club.  Applicant must complete pre-employment background check and drug screening."</f>
        <v>The Petitioner will consider for employment any person who possesses at least three (3) months of experience at a high-end restaurant, resort, or private club.  Applicant must complete pre-employment background check and drug screening.</v>
      </c>
      <c r="CB268" t="s">
        <v>131</v>
      </c>
      <c r="CF268" t="s">
        <v>131</v>
      </c>
      <c r="CH268" t="str">
        <f>""</f>
        <v/>
      </c>
      <c r="CI268" t="s">
        <v>131</v>
      </c>
      <c r="CK268" t="s">
        <v>131</v>
      </c>
      <c r="CL268" t="str">
        <f>""</f>
        <v/>
      </c>
      <c r="CM268" t="str">
        <f>""</f>
        <v/>
      </c>
      <c r="CN268" t="str">
        <f>""</f>
        <v/>
      </c>
      <c r="CO268" t="str">
        <f>""</f>
        <v/>
      </c>
      <c r="CP268" t="str">
        <f>"35-9021.00"</f>
        <v>35-9021.00</v>
      </c>
      <c r="CQ268" t="s">
        <v>2552</v>
      </c>
      <c r="CR268" t="s">
        <v>16868</v>
      </c>
      <c r="CS268" t="s">
        <v>131</v>
      </c>
      <c r="CU268" t="s">
        <v>8794</v>
      </c>
      <c r="CV268" t="s">
        <v>134</v>
      </c>
      <c r="CW268" t="s">
        <v>8795</v>
      </c>
      <c r="CX268" t="s">
        <v>808</v>
      </c>
      <c r="CZ268" s="3" t="str">
        <f>"85253"</f>
        <v>85253</v>
      </c>
      <c r="DA268" t="s">
        <v>131</v>
      </c>
      <c r="DB268" t="str">
        <f>"35-9021"</f>
        <v>35-9021</v>
      </c>
      <c r="DC268" t="s">
        <v>2552</v>
      </c>
      <c r="DD268" t="s">
        <v>134</v>
      </c>
      <c r="DE268" t="s">
        <v>134</v>
      </c>
      <c r="DF268" t="str">
        <f>""</f>
        <v/>
      </c>
      <c r="DH268" s="6">
        <v>12.33</v>
      </c>
      <c r="DI268" t="s">
        <v>344</v>
      </c>
      <c r="DK268" t="s">
        <v>345</v>
      </c>
      <c r="DS268" s="6">
        <v>12.33</v>
      </c>
      <c r="DT268" t="s">
        <v>424</v>
      </c>
      <c r="DU268" s="1">
        <v>44354</v>
      </c>
      <c r="DV268" s="1">
        <v>44443</v>
      </c>
    </row>
    <row r="269" spans="1:126" ht="15" customHeight="1" x14ac:dyDescent="0.35">
      <c r="A269" t="s">
        <v>11790</v>
      </c>
      <c r="B269" t="s">
        <v>318</v>
      </c>
      <c r="C269" s="1">
        <v>44326</v>
      </c>
      <c r="D269" s="1">
        <v>44354</v>
      </c>
      <c r="H269" t="s">
        <v>319</v>
      </c>
      <c r="I269" t="s">
        <v>11791</v>
      </c>
      <c r="J269" t="s">
        <v>3343</v>
      </c>
      <c r="L269" t="s">
        <v>1851</v>
      </c>
      <c r="M269" t="s">
        <v>11792</v>
      </c>
      <c r="N269" t="s">
        <v>134</v>
      </c>
      <c r="O269" t="s">
        <v>4035</v>
      </c>
      <c r="P269" t="s">
        <v>194</v>
      </c>
      <c r="Q269" s="3">
        <v>34134</v>
      </c>
      <c r="R269" t="s">
        <v>128</v>
      </c>
      <c r="S269" t="s">
        <v>134</v>
      </c>
      <c r="T269" s="4">
        <v>12394950200</v>
      </c>
      <c r="V269" t="s">
        <v>11793</v>
      </c>
      <c r="W269" t="s">
        <v>11794</v>
      </c>
      <c r="X269" t="s">
        <v>134</v>
      </c>
      <c r="Y269" t="s">
        <v>11792</v>
      </c>
      <c r="Z269" t="s">
        <v>134</v>
      </c>
      <c r="AA269" t="s">
        <v>4035</v>
      </c>
      <c r="AB269" t="s">
        <v>195</v>
      </c>
      <c r="AC269" s="3" t="str">
        <f>"34134"</f>
        <v>34134</v>
      </c>
      <c r="AD269" t="s">
        <v>128</v>
      </c>
      <c r="AE269" t="s">
        <v>134</v>
      </c>
      <c r="AF269" s="4">
        <v>12394950200</v>
      </c>
      <c r="AH269" t="str">
        <f>"713910"</f>
        <v>713910</v>
      </c>
      <c r="AI269" t="s">
        <v>130</v>
      </c>
      <c r="AJ269" t="s">
        <v>1386</v>
      </c>
      <c r="AK269" t="s">
        <v>1387</v>
      </c>
      <c r="AL269" t="s">
        <v>1036</v>
      </c>
      <c r="AM269" t="s">
        <v>1388</v>
      </c>
      <c r="AN269" t="s">
        <v>997</v>
      </c>
      <c r="AO269" t="s">
        <v>719</v>
      </c>
      <c r="AP269" t="s">
        <v>377</v>
      </c>
      <c r="AQ269" s="5">
        <v>1701</v>
      </c>
      <c r="AR269" t="s">
        <v>128</v>
      </c>
      <c r="AS269" t="s">
        <v>134</v>
      </c>
      <c r="AT269" s="4">
        <v>16179399444</v>
      </c>
      <c r="AV269" t="s">
        <v>1389</v>
      </c>
      <c r="AW269" t="s">
        <v>1390</v>
      </c>
      <c r="AX269" t="s">
        <v>131</v>
      </c>
      <c r="AY269" t="s">
        <v>131</v>
      </c>
      <c r="AZ269" t="s">
        <v>131</v>
      </c>
      <c r="BA269" t="s">
        <v>131</v>
      </c>
      <c r="BB269" t="s">
        <v>131</v>
      </c>
      <c r="BC269" t="s">
        <v>131</v>
      </c>
      <c r="BD269" t="s">
        <v>131</v>
      </c>
      <c r="BE269" t="s">
        <v>132</v>
      </c>
      <c r="BH269" t="s">
        <v>1080</v>
      </c>
      <c r="BI269" t="s">
        <v>131</v>
      </c>
      <c r="BL269" t="s">
        <v>167</v>
      </c>
      <c r="BO269" t="s">
        <v>131</v>
      </c>
      <c r="BP269" t="s">
        <v>134</v>
      </c>
      <c r="BQ269" t="s">
        <v>131</v>
      </c>
      <c r="BS269" t="str">
        <f t="shared" si="26"/>
        <v>N/A</v>
      </c>
      <c r="BT269" t="s">
        <v>135</v>
      </c>
      <c r="BU269">
        <v>12</v>
      </c>
      <c r="BV269" t="str">
        <f>"Cook"</f>
        <v>Cook</v>
      </c>
      <c r="BW269" t="s">
        <v>135</v>
      </c>
      <c r="BX269" t="str">
        <f>""</f>
        <v/>
      </c>
      <c r="BY269" t="str">
        <f>""</f>
        <v/>
      </c>
      <c r="BZ269" t="str">
        <f>""</f>
        <v/>
      </c>
      <c r="CA269" t="str">
        <f>"The Petitioner will consider for employment any person who possesses at least one (1) year of culinary experience in a fine-dining or high-volume environment at a high-end restaurant, resort, or private club.  "</f>
        <v xml:space="preserve">The Petitioner will consider for employment any person who possesses at least one (1) year of culinary experience in a fine-dining or high-volume environment at a high-end restaurant, resort, or private club.  </v>
      </c>
      <c r="CB269" t="s">
        <v>131</v>
      </c>
      <c r="CF269" t="s">
        <v>131</v>
      </c>
      <c r="CH269" t="str">
        <f>""</f>
        <v/>
      </c>
      <c r="CI269" t="s">
        <v>131</v>
      </c>
      <c r="CK269" t="s">
        <v>131</v>
      </c>
      <c r="CL269" t="str">
        <f>""</f>
        <v/>
      </c>
      <c r="CM269" t="str">
        <f>""</f>
        <v/>
      </c>
      <c r="CN269" t="str">
        <f>""</f>
        <v/>
      </c>
      <c r="CO269" t="str">
        <f>""</f>
        <v/>
      </c>
      <c r="CP269" t="str">
        <f>"35-2014.00"</f>
        <v>35-2014.00</v>
      </c>
      <c r="CQ269" t="s">
        <v>581</v>
      </c>
      <c r="CR269" t="s">
        <v>11795</v>
      </c>
      <c r="CS269" t="s">
        <v>131</v>
      </c>
      <c r="CU269" t="s">
        <v>11792</v>
      </c>
      <c r="CV269" t="s">
        <v>134</v>
      </c>
      <c r="CW269" t="s">
        <v>4035</v>
      </c>
      <c r="CX269" t="s">
        <v>195</v>
      </c>
      <c r="CZ269" s="3" t="str">
        <f>"34134"</f>
        <v>34134</v>
      </c>
      <c r="DA269" t="s">
        <v>131</v>
      </c>
      <c r="DB269" t="str">
        <f>"35-2014"</f>
        <v>35-2014</v>
      </c>
      <c r="DC269" t="s">
        <v>581</v>
      </c>
      <c r="DD269" t="s">
        <v>134</v>
      </c>
      <c r="DE269" t="s">
        <v>134</v>
      </c>
      <c r="DF269" t="str">
        <f>""</f>
        <v/>
      </c>
      <c r="DH269" s="6">
        <v>14.08</v>
      </c>
      <c r="DI269" t="s">
        <v>344</v>
      </c>
      <c r="DK269" t="s">
        <v>345</v>
      </c>
      <c r="DS269" s="6">
        <v>14.08</v>
      </c>
      <c r="DT269" t="s">
        <v>424</v>
      </c>
      <c r="DU269" s="1">
        <v>44354</v>
      </c>
      <c r="DV269" s="1">
        <v>44443</v>
      </c>
    </row>
    <row r="270" spans="1:126" ht="15" customHeight="1" x14ac:dyDescent="0.35">
      <c r="A270" t="s">
        <v>4140</v>
      </c>
      <c r="B270" t="s">
        <v>318</v>
      </c>
      <c r="C270" s="1">
        <v>44326</v>
      </c>
      <c r="D270" s="1">
        <v>44354</v>
      </c>
      <c r="H270" t="s">
        <v>319</v>
      </c>
      <c r="I270" t="s">
        <v>1849</v>
      </c>
      <c r="J270" t="s">
        <v>1850</v>
      </c>
      <c r="L270" t="s">
        <v>1851</v>
      </c>
      <c r="M270" t="s">
        <v>1852</v>
      </c>
      <c r="O270" t="s">
        <v>1853</v>
      </c>
      <c r="P270" t="s">
        <v>194</v>
      </c>
      <c r="Q270" s="3">
        <v>33912</v>
      </c>
      <c r="R270" t="s">
        <v>128</v>
      </c>
      <c r="T270" s="4">
        <v>12395618740</v>
      </c>
      <c r="V270" t="s">
        <v>1854</v>
      </c>
      <c r="W270" t="s">
        <v>1855</v>
      </c>
      <c r="X270" t="s">
        <v>1856</v>
      </c>
      <c r="Y270" t="s">
        <v>1852</v>
      </c>
      <c r="AA270" t="s">
        <v>1853</v>
      </c>
      <c r="AB270" t="s">
        <v>195</v>
      </c>
      <c r="AC270" s="3" t="str">
        <f>"33912"</f>
        <v>33912</v>
      </c>
      <c r="AD270" t="s">
        <v>128</v>
      </c>
      <c r="AF270" s="4">
        <v>12395618740</v>
      </c>
      <c r="AH270" t="str">
        <f>"713910"</f>
        <v>713910</v>
      </c>
      <c r="AI270" t="s">
        <v>130</v>
      </c>
      <c r="AJ270" t="s">
        <v>1386</v>
      </c>
      <c r="AK270" t="s">
        <v>1387</v>
      </c>
      <c r="AL270" t="s">
        <v>1036</v>
      </c>
      <c r="AM270" t="s">
        <v>1388</v>
      </c>
      <c r="AN270" t="s">
        <v>997</v>
      </c>
      <c r="AO270" t="s">
        <v>719</v>
      </c>
      <c r="AP270" t="s">
        <v>377</v>
      </c>
      <c r="AQ270" s="5">
        <v>1701</v>
      </c>
      <c r="AR270" t="s">
        <v>128</v>
      </c>
      <c r="AS270" t="s">
        <v>134</v>
      </c>
      <c r="AT270" s="4">
        <v>16179399444</v>
      </c>
      <c r="AV270" t="s">
        <v>1389</v>
      </c>
      <c r="AW270" t="s">
        <v>1390</v>
      </c>
      <c r="AX270" t="s">
        <v>131</v>
      </c>
      <c r="AY270" t="s">
        <v>131</v>
      </c>
      <c r="AZ270" t="s">
        <v>131</v>
      </c>
      <c r="BA270" t="s">
        <v>131</v>
      </c>
      <c r="BB270" t="s">
        <v>131</v>
      </c>
      <c r="BC270" t="s">
        <v>131</v>
      </c>
      <c r="BD270" t="s">
        <v>131</v>
      </c>
      <c r="BE270" t="s">
        <v>132</v>
      </c>
      <c r="BH270" t="s">
        <v>1213</v>
      </c>
      <c r="BI270" t="s">
        <v>131</v>
      </c>
      <c r="BL270" t="s">
        <v>167</v>
      </c>
      <c r="BO270" t="s">
        <v>131</v>
      </c>
      <c r="BP270" t="s">
        <v>134</v>
      </c>
      <c r="BQ270" t="s">
        <v>131</v>
      </c>
      <c r="BS270" t="str">
        <f t="shared" si="26"/>
        <v>N/A</v>
      </c>
      <c r="BT270" t="s">
        <v>135</v>
      </c>
      <c r="BU270">
        <v>6</v>
      </c>
      <c r="BV270" t="str">
        <f>"Server"</f>
        <v>Server</v>
      </c>
      <c r="BW270" t="s">
        <v>135</v>
      </c>
      <c r="BX270" t="str">
        <f>""</f>
        <v/>
      </c>
      <c r="BY270" t="str">
        <f>""</f>
        <v/>
      </c>
      <c r="BZ270" t="str">
        <f>""</f>
        <v/>
      </c>
      <c r="CA270" s="2" t="s">
        <v>4141</v>
      </c>
      <c r="CB270" t="s">
        <v>131</v>
      </c>
      <c r="CF270" t="s">
        <v>131</v>
      </c>
      <c r="CH270" t="str">
        <f>""</f>
        <v/>
      </c>
      <c r="CI270" t="s">
        <v>131</v>
      </c>
      <c r="CK270" t="s">
        <v>131</v>
      </c>
      <c r="CL270" t="str">
        <f>""</f>
        <v/>
      </c>
      <c r="CM270" t="str">
        <f>""</f>
        <v/>
      </c>
      <c r="CN270" t="str">
        <f>""</f>
        <v/>
      </c>
      <c r="CO270" t="str">
        <f>""</f>
        <v/>
      </c>
      <c r="CP270" t="str">
        <f>"35-3031.00"</f>
        <v>35-3031.00</v>
      </c>
      <c r="CQ270" t="s">
        <v>1214</v>
      </c>
      <c r="CR270" t="s">
        <v>1860</v>
      </c>
      <c r="CS270" t="s">
        <v>131</v>
      </c>
      <c r="CU270" t="s">
        <v>1852</v>
      </c>
      <c r="CW270" t="s">
        <v>1853</v>
      </c>
      <c r="CX270" t="s">
        <v>195</v>
      </c>
      <c r="CZ270" s="3" t="str">
        <f>"33912"</f>
        <v>33912</v>
      </c>
      <c r="DA270" t="s">
        <v>131</v>
      </c>
      <c r="DB270" t="str">
        <f>"35-3031"</f>
        <v>35-3031</v>
      </c>
      <c r="DC270" t="s">
        <v>1214</v>
      </c>
      <c r="DD270" t="s">
        <v>134</v>
      </c>
      <c r="DE270" t="s">
        <v>134</v>
      </c>
      <c r="DF270" t="str">
        <f>""</f>
        <v/>
      </c>
      <c r="DH270" s="6">
        <v>11.29</v>
      </c>
      <c r="DI270" t="s">
        <v>344</v>
      </c>
      <c r="DK270" t="s">
        <v>345</v>
      </c>
      <c r="DS270" s="6">
        <v>11.29</v>
      </c>
      <c r="DT270" t="s">
        <v>424</v>
      </c>
      <c r="DU270" s="1">
        <v>44354</v>
      </c>
      <c r="DV270" s="1">
        <v>44443</v>
      </c>
    </row>
    <row r="271" spans="1:126" ht="15" customHeight="1" x14ac:dyDescent="0.35">
      <c r="A271" t="s">
        <v>16706</v>
      </c>
      <c r="B271" t="s">
        <v>318</v>
      </c>
      <c r="C271" s="1">
        <v>44326</v>
      </c>
      <c r="D271" s="1">
        <v>44354</v>
      </c>
      <c r="H271" t="s">
        <v>319</v>
      </c>
      <c r="I271" t="s">
        <v>1849</v>
      </c>
      <c r="J271" t="s">
        <v>1850</v>
      </c>
      <c r="L271" t="s">
        <v>1851</v>
      </c>
      <c r="M271" t="s">
        <v>1852</v>
      </c>
      <c r="O271" t="s">
        <v>1853</v>
      </c>
      <c r="P271" t="s">
        <v>194</v>
      </c>
      <c r="Q271" s="3">
        <v>33912</v>
      </c>
      <c r="R271" t="s">
        <v>128</v>
      </c>
      <c r="T271" s="4">
        <v>12395618740</v>
      </c>
      <c r="V271" t="s">
        <v>1854</v>
      </c>
      <c r="W271" t="s">
        <v>1855</v>
      </c>
      <c r="X271" t="s">
        <v>1856</v>
      </c>
      <c r="Y271" t="s">
        <v>1852</v>
      </c>
      <c r="AA271" t="s">
        <v>1853</v>
      </c>
      <c r="AB271" t="s">
        <v>195</v>
      </c>
      <c r="AC271" s="3" t="str">
        <f>"33912"</f>
        <v>33912</v>
      </c>
      <c r="AD271" t="s">
        <v>128</v>
      </c>
      <c r="AF271" s="4">
        <v>12395618740</v>
      </c>
      <c r="AH271" t="str">
        <f>"713910"</f>
        <v>713910</v>
      </c>
      <c r="AI271" t="s">
        <v>130</v>
      </c>
      <c r="AJ271" t="s">
        <v>1386</v>
      </c>
      <c r="AK271" t="s">
        <v>1387</v>
      </c>
      <c r="AL271" t="s">
        <v>1036</v>
      </c>
      <c r="AM271" t="s">
        <v>1388</v>
      </c>
      <c r="AN271" t="s">
        <v>997</v>
      </c>
      <c r="AO271" t="s">
        <v>719</v>
      </c>
      <c r="AP271" t="s">
        <v>377</v>
      </c>
      <c r="AQ271" s="5">
        <v>1701</v>
      </c>
      <c r="AR271" t="s">
        <v>128</v>
      </c>
      <c r="AS271" t="s">
        <v>134</v>
      </c>
      <c r="AT271" s="4">
        <v>16179399444</v>
      </c>
      <c r="AV271" t="s">
        <v>1389</v>
      </c>
      <c r="AW271" t="s">
        <v>1390</v>
      </c>
      <c r="AX271" t="s">
        <v>131</v>
      </c>
      <c r="AY271" t="s">
        <v>131</v>
      </c>
      <c r="AZ271" t="s">
        <v>131</v>
      </c>
      <c r="BA271" t="s">
        <v>131</v>
      </c>
      <c r="BB271" t="s">
        <v>131</v>
      </c>
      <c r="BC271" t="s">
        <v>131</v>
      </c>
      <c r="BD271" t="s">
        <v>131</v>
      </c>
      <c r="BE271" t="s">
        <v>132</v>
      </c>
      <c r="BH271" t="s">
        <v>1080</v>
      </c>
      <c r="BI271" t="s">
        <v>131</v>
      </c>
      <c r="BL271" t="s">
        <v>167</v>
      </c>
      <c r="BO271" t="s">
        <v>131</v>
      </c>
      <c r="BP271" t="s">
        <v>134</v>
      </c>
      <c r="BQ271" t="s">
        <v>131</v>
      </c>
      <c r="BS271" t="str">
        <f t="shared" si="26"/>
        <v>N/A</v>
      </c>
      <c r="BT271" t="s">
        <v>135</v>
      </c>
      <c r="BU271">
        <v>6</v>
      </c>
      <c r="BV271" t="str">
        <f>"Cook"</f>
        <v>Cook</v>
      </c>
      <c r="BW271" t="s">
        <v>135</v>
      </c>
      <c r="BX271" t="str">
        <f>""</f>
        <v/>
      </c>
      <c r="BY271" t="str">
        <f>""</f>
        <v/>
      </c>
      <c r="BZ271" t="str">
        <f>""</f>
        <v/>
      </c>
      <c r="CA271" s="2" t="s">
        <v>13825</v>
      </c>
      <c r="CB271" t="s">
        <v>131</v>
      </c>
      <c r="CF271" t="s">
        <v>131</v>
      </c>
      <c r="CH271" t="str">
        <f>""</f>
        <v/>
      </c>
      <c r="CI271" t="s">
        <v>131</v>
      </c>
      <c r="CK271" t="s">
        <v>131</v>
      </c>
      <c r="CL271" t="str">
        <f>""</f>
        <v/>
      </c>
      <c r="CM271" t="str">
        <f>""</f>
        <v/>
      </c>
      <c r="CN271" t="str">
        <f>""</f>
        <v/>
      </c>
      <c r="CO271" t="str">
        <f>""</f>
        <v/>
      </c>
      <c r="CP271" t="str">
        <f>"35-2014.00"</f>
        <v>35-2014.00</v>
      </c>
      <c r="CQ271" t="s">
        <v>581</v>
      </c>
      <c r="CR271" t="s">
        <v>1860</v>
      </c>
      <c r="CS271" t="s">
        <v>131</v>
      </c>
      <c r="CU271" t="s">
        <v>1852</v>
      </c>
      <c r="CW271" t="s">
        <v>1853</v>
      </c>
      <c r="CX271" t="s">
        <v>195</v>
      </c>
      <c r="CZ271" s="3" t="str">
        <f>"33912"</f>
        <v>33912</v>
      </c>
      <c r="DA271" t="s">
        <v>131</v>
      </c>
      <c r="DB271" t="str">
        <f>"35-2014"</f>
        <v>35-2014</v>
      </c>
      <c r="DC271" t="s">
        <v>581</v>
      </c>
      <c r="DD271" t="s">
        <v>134</v>
      </c>
      <c r="DE271" t="s">
        <v>134</v>
      </c>
      <c r="DF271" t="str">
        <f>""</f>
        <v/>
      </c>
      <c r="DH271" s="6">
        <v>14.08</v>
      </c>
      <c r="DI271" t="s">
        <v>344</v>
      </c>
      <c r="DK271" t="s">
        <v>345</v>
      </c>
      <c r="DS271" s="6">
        <v>14.08</v>
      </c>
      <c r="DT271" t="s">
        <v>424</v>
      </c>
      <c r="DU271" s="1">
        <v>44354</v>
      </c>
      <c r="DV271" s="1">
        <v>44443</v>
      </c>
    </row>
    <row r="272" spans="1:126" ht="15" customHeight="1" x14ac:dyDescent="0.35">
      <c r="A272" t="s">
        <v>1848</v>
      </c>
      <c r="B272" t="s">
        <v>318</v>
      </c>
      <c r="C272" s="1">
        <v>44326</v>
      </c>
      <c r="D272" s="1">
        <v>44354</v>
      </c>
      <c r="H272" t="s">
        <v>319</v>
      </c>
      <c r="I272" t="s">
        <v>1849</v>
      </c>
      <c r="J272" t="s">
        <v>1850</v>
      </c>
      <c r="L272" t="s">
        <v>1851</v>
      </c>
      <c r="M272" t="s">
        <v>1852</v>
      </c>
      <c r="O272" t="s">
        <v>1853</v>
      </c>
      <c r="P272" t="s">
        <v>194</v>
      </c>
      <c r="Q272" s="3">
        <v>33912</v>
      </c>
      <c r="R272" t="s">
        <v>128</v>
      </c>
      <c r="T272" s="4">
        <v>12395618740</v>
      </c>
      <c r="V272" t="s">
        <v>1854</v>
      </c>
      <c r="W272" t="s">
        <v>1855</v>
      </c>
      <c r="X272" t="s">
        <v>1856</v>
      </c>
      <c r="Y272" t="s">
        <v>1852</v>
      </c>
      <c r="AA272" t="s">
        <v>1853</v>
      </c>
      <c r="AB272" t="s">
        <v>195</v>
      </c>
      <c r="AC272" s="3" t="str">
        <f>"33912"</f>
        <v>33912</v>
      </c>
      <c r="AD272" t="s">
        <v>128</v>
      </c>
      <c r="AF272" s="4">
        <v>12395618740</v>
      </c>
      <c r="AH272" t="str">
        <f>"713910"</f>
        <v>713910</v>
      </c>
      <c r="AI272" t="s">
        <v>130</v>
      </c>
      <c r="AJ272" t="s">
        <v>1386</v>
      </c>
      <c r="AK272" t="s">
        <v>1387</v>
      </c>
      <c r="AL272" t="s">
        <v>1036</v>
      </c>
      <c r="AM272" t="s">
        <v>1388</v>
      </c>
      <c r="AN272" t="s">
        <v>997</v>
      </c>
      <c r="AO272" t="s">
        <v>719</v>
      </c>
      <c r="AP272" t="s">
        <v>377</v>
      </c>
      <c r="AQ272" s="5">
        <v>1701</v>
      </c>
      <c r="AR272" t="s">
        <v>128</v>
      </c>
      <c r="AS272" t="s">
        <v>134</v>
      </c>
      <c r="AT272" s="4">
        <v>16179399444</v>
      </c>
      <c r="AV272" t="s">
        <v>1389</v>
      </c>
      <c r="AW272" t="s">
        <v>1390</v>
      </c>
      <c r="AX272" t="s">
        <v>131</v>
      </c>
      <c r="AY272" t="s">
        <v>131</v>
      </c>
      <c r="AZ272" t="s">
        <v>131</v>
      </c>
      <c r="BA272" t="s">
        <v>131</v>
      </c>
      <c r="BB272" t="s">
        <v>131</v>
      </c>
      <c r="BC272" t="s">
        <v>131</v>
      </c>
      <c r="BD272" t="s">
        <v>131</v>
      </c>
      <c r="BE272" t="s">
        <v>132</v>
      </c>
      <c r="BH272" t="s">
        <v>1857</v>
      </c>
      <c r="BI272" t="s">
        <v>131</v>
      </c>
      <c r="BL272" t="s">
        <v>167</v>
      </c>
      <c r="BO272" t="s">
        <v>131</v>
      </c>
      <c r="BP272" t="s">
        <v>134</v>
      </c>
      <c r="BQ272" t="s">
        <v>131</v>
      </c>
      <c r="BS272" t="str">
        <f t="shared" si="26"/>
        <v>N/A</v>
      </c>
      <c r="BT272" t="s">
        <v>135</v>
      </c>
      <c r="BU272">
        <v>6</v>
      </c>
      <c r="BV272" t="str">
        <f>"Bartender"</f>
        <v>Bartender</v>
      </c>
      <c r="BW272" t="s">
        <v>135</v>
      </c>
      <c r="BX272" t="str">
        <f>""</f>
        <v/>
      </c>
      <c r="BY272" t="str">
        <f>""</f>
        <v/>
      </c>
      <c r="BZ272" t="str">
        <f>""</f>
        <v/>
      </c>
      <c r="CA272" s="2" t="s">
        <v>1858</v>
      </c>
      <c r="CB272" t="s">
        <v>131</v>
      </c>
      <c r="CF272" t="s">
        <v>131</v>
      </c>
      <c r="CH272" t="str">
        <f>""</f>
        <v/>
      </c>
      <c r="CI272" t="s">
        <v>131</v>
      </c>
      <c r="CK272" t="s">
        <v>131</v>
      </c>
      <c r="CL272" t="str">
        <f>""</f>
        <v/>
      </c>
      <c r="CM272" t="str">
        <f>""</f>
        <v/>
      </c>
      <c r="CN272" t="str">
        <f>""</f>
        <v/>
      </c>
      <c r="CO272" t="str">
        <f>""</f>
        <v/>
      </c>
      <c r="CP272" t="str">
        <f>"35-3011.00"</f>
        <v>35-3011.00</v>
      </c>
      <c r="CQ272" t="s">
        <v>1859</v>
      </c>
      <c r="CR272" t="s">
        <v>1860</v>
      </c>
      <c r="CS272" t="s">
        <v>131</v>
      </c>
      <c r="CU272" t="s">
        <v>1852</v>
      </c>
      <c r="CW272" t="s">
        <v>1853</v>
      </c>
      <c r="CX272" t="s">
        <v>195</v>
      </c>
      <c r="CZ272" s="3" t="str">
        <f>"33912"</f>
        <v>33912</v>
      </c>
      <c r="DA272" t="s">
        <v>131</v>
      </c>
      <c r="DB272" t="str">
        <f>"35-3011"</f>
        <v>35-3011</v>
      </c>
      <c r="DC272" t="s">
        <v>1859</v>
      </c>
      <c r="DD272" t="s">
        <v>134</v>
      </c>
      <c r="DE272" t="s">
        <v>134</v>
      </c>
      <c r="DF272" t="str">
        <f>""</f>
        <v/>
      </c>
      <c r="DH272" s="6">
        <v>12.83</v>
      </c>
      <c r="DI272" t="s">
        <v>344</v>
      </c>
      <c r="DK272" t="s">
        <v>345</v>
      </c>
      <c r="DS272" s="6">
        <v>12.83</v>
      </c>
      <c r="DT272" t="s">
        <v>424</v>
      </c>
      <c r="DU272" s="1">
        <v>44354</v>
      </c>
      <c r="DV272" s="1">
        <v>44443</v>
      </c>
    </row>
    <row r="273" spans="1:126" ht="15" customHeight="1" x14ac:dyDescent="0.35">
      <c r="A273" t="s">
        <v>8233</v>
      </c>
      <c r="B273" t="s">
        <v>318</v>
      </c>
      <c r="C273" s="1">
        <v>44326</v>
      </c>
      <c r="D273" s="1">
        <v>44354</v>
      </c>
      <c r="H273" t="s">
        <v>319</v>
      </c>
      <c r="I273" t="s">
        <v>8234</v>
      </c>
      <c r="J273" t="s">
        <v>568</v>
      </c>
      <c r="L273" t="s">
        <v>2110</v>
      </c>
      <c r="M273" t="s">
        <v>8235</v>
      </c>
      <c r="O273" t="s">
        <v>4614</v>
      </c>
      <c r="P273" t="s">
        <v>412</v>
      </c>
      <c r="Q273" s="3">
        <v>75056</v>
      </c>
      <c r="R273" t="s">
        <v>128</v>
      </c>
      <c r="T273" s="4">
        <v>14695212200</v>
      </c>
      <c r="V273" t="s">
        <v>8236</v>
      </c>
      <c r="W273" t="s">
        <v>8237</v>
      </c>
      <c r="Y273" t="s">
        <v>8235</v>
      </c>
      <c r="AA273" t="s">
        <v>4614</v>
      </c>
      <c r="AB273" t="s">
        <v>400</v>
      </c>
      <c r="AC273" s="3" t="str">
        <f>"75056"</f>
        <v>75056</v>
      </c>
      <c r="AD273" t="s">
        <v>128</v>
      </c>
      <c r="AF273" s="4">
        <v>14695212200</v>
      </c>
      <c r="AH273" t="str">
        <f>"5617"</f>
        <v>5617</v>
      </c>
      <c r="AI273" t="s">
        <v>287</v>
      </c>
      <c r="AJ273" t="s">
        <v>2209</v>
      </c>
      <c r="AK273" t="s">
        <v>1459</v>
      </c>
      <c r="AL273" t="s">
        <v>2210</v>
      </c>
      <c r="AM273" t="s">
        <v>2211</v>
      </c>
      <c r="AN273" t="s">
        <v>788</v>
      </c>
      <c r="AO273" t="s">
        <v>2212</v>
      </c>
      <c r="AP273" t="s">
        <v>400</v>
      </c>
      <c r="AQ273" s="5">
        <v>75033</v>
      </c>
      <c r="AR273" t="s">
        <v>128</v>
      </c>
      <c r="AT273" s="4">
        <v>19727789690</v>
      </c>
      <c r="AV273" t="s">
        <v>2320</v>
      </c>
      <c r="AW273" t="s">
        <v>2214</v>
      </c>
      <c r="AX273" t="s">
        <v>131</v>
      </c>
      <c r="AY273" t="s">
        <v>131</v>
      </c>
      <c r="AZ273" t="s">
        <v>131</v>
      </c>
      <c r="BA273" t="s">
        <v>131</v>
      </c>
      <c r="BB273" t="s">
        <v>131</v>
      </c>
      <c r="BC273" t="s">
        <v>131</v>
      </c>
      <c r="BD273" t="s">
        <v>131</v>
      </c>
      <c r="BE273" t="s">
        <v>132</v>
      </c>
      <c r="BH273" t="s">
        <v>2215</v>
      </c>
      <c r="BI273" t="s">
        <v>131</v>
      </c>
      <c r="BL273" t="s">
        <v>167</v>
      </c>
      <c r="BO273" t="s">
        <v>131</v>
      </c>
      <c r="BP273" t="s">
        <v>134</v>
      </c>
      <c r="BQ273" t="s">
        <v>131</v>
      </c>
      <c r="BS273" t="str">
        <f t="shared" si="26"/>
        <v>N/A</v>
      </c>
      <c r="BT273" t="s">
        <v>131</v>
      </c>
      <c r="BV273" t="str">
        <f>""</f>
        <v/>
      </c>
      <c r="BW273" t="s">
        <v>135</v>
      </c>
      <c r="BX273" t="str">
        <f>""</f>
        <v/>
      </c>
      <c r="BY273" t="str">
        <f>""</f>
        <v/>
      </c>
      <c r="BZ273" t="str">
        <f>""</f>
        <v/>
      </c>
      <c r="CA273" t="str">
        <f>"Must be able to lift 50 lbs.  
Must be able to continuously bend and squat.
Applicants must complete an employment application. "</f>
        <v xml:space="preserve">Must be able to lift 50 lbs.  
Must be able to continuously bend and squat.
Applicants must complete an employment application. </v>
      </c>
      <c r="CB273" t="s">
        <v>131</v>
      </c>
      <c r="CF273" t="s">
        <v>131</v>
      </c>
      <c r="CH273" t="str">
        <f>""</f>
        <v/>
      </c>
      <c r="CI273" t="s">
        <v>131</v>
      </c>
      <c r="CK273" t="s">
        <v>131</v>
      </c>
      <c r="CL273" t="str">
        <f>""</f>
        <v/>
      </c>
      <c r="CM273" t="str">
        <f>""</f>
        <v/>
      </c>
      <c r="CN273" t="str">
        <f>""</f>
        <v/>
      </c>
      <c r="CO273" t="str">
        <f>""</f>
        <v/>
      </c>
      <c r="CP273" t="str">
        <f>"37-3011.00"</f>
        <v>37-3011.00</v>
      </c>
      <c r="CQ273" t="s">
        <v>920</v>
      </c>
      <c r="CS273" t="s">
        <v>135</v>
      </c>
      <c r="CT273" t="s">
        <v>2321</v>
      </c>
      <c r="CU273" t="s">
        <v>8238</v>
      </c>
      <c r="CW273" t="s">
        <v>5561</v>
      </c>
      <c r="CX273" t="s">
        <v>400</v>
      </c>
      <c r="CZ273" s="3" t="str">
        <f>"75056"</f>
        <v>75056</v>
      </c>
      <c r="DA273" t="s">
        <v>131</v>
      </c>
      <c r="DB273" t="str">
        <f>"37-3011"</f>
        <v>37-3011</v>
      </c>
      <c r="DC273" t="s">
        <v>920</v>
      </c>
      <c r="DD273" t="s">
        <v>134</v>
      </c>
      <c r="DE273" t="s">
        <v>134</v>
      </c>
      <c r="DF273" t="str">
        <f>""</f>
        <v/>
      </c>
      <c r="DH273" s="6">
        <v>15.23</v>
      </c>
      <c r="DI273" t="s">
        <v>344</v>
      </c>
      <c r="DK273" t="s">
        <v>345</v>
      </c>
      <c r="DR273" t="s">
        <v>423</v>
      </c>
      <c r="DS273" s="6">
        <v>15.23</v>
      </c>
      <c r="DT273" s="2" t="s">
        <v>347</v>
      </c>
      <c r="DU273" s="1">
        <v>44354</v>
      </c>
      <c r="DV273" s="1">
        <v>44443</v>
      </c>
    </row>
    <row r="274" spans="1:126" ht="15" customHeight="1" x14ac:dyDescent="0.35">
      <c r="A274" t="s">
        <v>1359</v>
      </c>
      <c r="B274" t="s">
        <v>318</v>
      </c>
      <c r="C274" s="1">
        <v>44326</v>
      </c>
      <c r="D274" s="1">
        <v>44354</v>
      </c>
      <c r="H274" t="s">
        <v>319</v>
      </c>
      <c r="I274" t="s">
        <v>1360</v>
      </c>
      <c r="J274" t="s">
        <v>1361</v>
      </c>
      <c r="L274" t="s">
        <v>395</v>
      </c>
      <c r="M274" t="s">
        <v>1362</v>
      </c>
      <c r="O274" t="s">
        <v>1363</v>
      </c>
      <c r="P274" t="s">
        <v>194</v>
      </c>
      <c r="Q274" s="3">
        <v>34442</v>
      </c>
      <c r="R274" t="s">
        <v>128</v>
      </c>
      <c r="T274" s="4">
        <v>13528957701</v>
      </c>
      <c r="U274">
        <v>0</v>
      </c>
      <c r="V274" t="s">
        <v>1364</v>
      </c>
      <c r="W274" t="s">
        <v>1365</v>
      </c>
      <c r="Y274" t="s">
        <v>1362</v>
      </c>
      <c r="AA274" t="s">
        <v>1363</v>
      </c>
      <c r="AB274" t="s">
        <v>195</v>
      </c>
      <c r="AC274" s="3" t="str">
        <f>"34442"</f>
        <v>34442</v>
      </c>
      <c r="AD274" t="s">
        <v>128</v>
      </c>
      <c r="AF274" s="4">
        <v>13528957701</v>
      </c>
      <c r="AG274">
        <v>0</v>
      </c>
      <c r="AH274" t="str">
        <f>"713990"</f>
        <v>713990</v>
      </c>
      <c r="AI274" t="s">
        <v>287</v>
      </c>
      <c r="AJ274" t="s">
        <v>1366</v>
      </c>
      <c r="AK274" t="s">
        <v>1071</v>
      </c>
      <c r="AL274" t="s">
        <v>1367</v>
      </c>
      <c r="AM274" t="s">
        <v>1368</v>
      </c>
      <c r="AN274" t="s">
        <v>1369</v>
      </c>
      <c r="AO274" t="s">
        <v>1370</v>
      </c>
      <c r="AP274" t="s">
        <v>400</v>
      </c>
      <c r="AQ274" s="5">
        <v>78550</v>
      </c>
      <c r="AR274" t="s">
        <v>128</v>
      </c>
      <c r="AS274" t="s">
        <v>134</v>
      </c>
      <c r="AT274" s="4">
        <v>19564408720</v>
      </c>
      <c r="AU274">
        <v>0</v>
      </c>
      <c r="AV274" t="s">
        <v>1371</v>
      </c>
      <c r="AW274" t="s">
        <v>1372</v>
      </c>
      <c r="AX274" t="s">
        <v>131</v>
      </c>
      <c r="AY274" t="s">
        <v>131</v>
      </c>
      <c r="AZ274" t="s">
        <v>131</v>
      </c>
      <c r="BA274" t="s">
        <v>131</v>
      </c>
      <c r="BB274" t="s">
        <v>131</v>
      </c>
      <c r="BC274" t="s">
        <v>131</v>
      </c>
      <c r="BD274" t="s">
        <v>131</v>
      </c>
      <c r="BE274" t="s">
        <v>132</v>
      </c>
      <c r="BH274" t="s">
        <v>1373</v>
      </c>
      <c r="BI274" t="s">
        <v>131</v>
      </c>
      <c r="BL274" t="s">
        <v>167</v>
      </c>
      <c r="BO274" t="s">
        <v>131</v>
      </c>
      <c r="BP274" t="s">
        <v>134</v>
      </c>
      <c r="BQ274" t="s">
        <v>131</v>
      </c>
      <c r="BS274" t="str">
        <f t="shared" si="26"/>
        <v>N/A</v>
      </c>
      <c r="BT274" t="s">
        <v>131</v>
      </c>
      <c r="BV274" t="str">
        <f>""</f>
        <v/>
      </c>
      <c r="BW274" t="s">
        <v>131</v>
      </c>
      <c r="BX274" t="str">
        <f>""</f>
        <v/>
      </c>
      <c r="BY274" t="str">
        <f>""</f>
        <v/>
      </c>
      <c r="BZ274" t="str">
        <f>""</f>
        <v/>
      </c>
      <c r="CA274" t="str">
        <f>""</f>
        <v/>
      </c>
      <c r="CB274" t="s">
        <v>131</v>
      </c>
      <c r="CF274" t="s">
        <v>131</v>
      </c>
      <c r="CH274" t="str">
        <f>""</f>
        <v/>
      </c>
      <c r="CI274" t="s">
        <v>131</v>
      </c>
      <c r="CK274" t="s">
        <v>131</v>
      </c>
      <c r="CL274" t="str">
        <f>""</f>
        <v/>
      </c>
      <c r="CM274" t="str">
        <f>""</f>
        <v/>
      </c>
      <c r="CN274" t="str">
        <f>""</f>
        <v/>
      </c>
      <c r="CO274" t="str">
        <f>""</f>
        <v/>
      </c>
      <c r="CP274" t="str">
        <f>"39-3091.00"</f>
        <v>39-3091.00</v>
      </c>
      <c r="CQ274" t="s">
        <v>1374</v>
      </c>
      <c r="CR274" t="s">
        <v>1375</v>
      </c>
      <c r="CS274" t="s">
        <v>135</v>
      </c>
      <c r="CT274" s="2" t="s">
        <v>1376</v>
      </c>
      <c r="CU274" t="s">
        <v>1377</v>
      </c>
      <c r="CW274" t="s">
        <v>1363</v>
      </c>
      <c r="CX274" t="s">
        <v>195</v>
      </c>
      <c r="CZ274" s="3" t="str">
        <f>"34442"</f>
        <v>34442</v>
      </c>
      <c r="DA274" t="s">
        <v>135</v>
      </c>
      <c r="DB274" t="str">
        <f>"39-3091"</f>
        <v>39-3091</v>
      </c>
      <c r="DC274" t="s">
        <v>1374</v>
      </c>
      <c r="DD274" t="s">
        <v>134</v>
      </c>
      <c r="DE274" t="s">
        <v>134</v>
      </c>
      <c r="DF274" t="str">
        <f>"39-3091.00"</f>
        <v>39-3091.00</v>
      </c>
      <c r="DG274" t="s">
        <v>1374</v>
      </c>
      <c r="DH274" s="6">
        <v>10.3</v>
      </c>
      <c r="DI274" t="s">
        <v>344</v>
      </c>
      <c r="DK274" t="s">
        <v>345</v>
      </c>
      <c r="DS274" s="6">
        <v>16.68</v>
      </c>
      <c r="DT274" t="s">
        <v>424</v>
      </c>
      <c r="DU274" s="1">
        <v>44354</v>
      </c>
      <c r="DV274" s="1">
        <v>44443</v>
      </c>
    </row>
    <row r="275" spans="1:126" ht="15" customHeight="1" x14ac:dyDescent="0.35">
      <c r="A275" t="s">
        <v>11667</v>
      </c>
      <c r="B275" t="s">
        <v>318</v>
      </c>
      <c r="C275" s="1">
        <v>44326</v>
      </c>
      <c r="D275" s="1">
        <v>44356</v>
      </c>
      <c r="H275" t="s">
        <v>319</v>
      </c>
      <c r="I275" t="s">
        <v>11668</v>
      </c>
      <c r="J275" t="s">
        <v>745</v>
      </c>
      <c r="L275" t="s">
        <v>11669</v>
      </c>
      <c r="M275" t="s">
        <v>11670</v>
      </c>
      <c r="O275" t="s">
        <v>11671</v>
      </c>
      <c r="P275" t="s">
        <v>857</v>
      </c>
      <c r="Q275" s="3">
        <v>85268</v>
      </c>
      <c r="R275" t="s">
        <v>128</v>
      </c>
      <c r="T275" s="4">
        <v>14802310251</v>
      </c>
      <c r="U275">
        <v>0</v>
      </c>
      <c r="V275" t="s">
        <v>11672</v>
      </c>
      <c r="W275" t="s">
        <v>11673</v>
      </c>
      <c r="X275" t="s">
        <v>11674</v>
      </c>
      <c r="Y275" t="s">
        <v>11670</v>
      </c>
      <c r="Z275" t="s">
        <v>11670</v>
      </c>
      <c r="AA275" t="s">
        <v>11671</v>
      </c>
      <c r="AB275" t="s">
        <v>808</v>
      </c>
      <c r="AC275" s="3" t="str">
        <f>"85268"</f>
        <v>85268</v>
      </c>
      <c r="AD275" t="s">
        <v>128</v>
      </c>
      <c r="AF275" s="4">
        <v>14802310251</v>
      </c>
      <c r="AG275">
        <v>0</v>
      </c>
      <c r="AH275" t="str">
        <f>"711190"</f>
        <v>711190</v>
      </c>
      <c r="AI275" t="s">
        <v>287</v>
      </c>
      <c r="AJ275" t="s">
        <v>1366</v>
      </c>
      <c r="AK275" t="s">
        <v>1071</v>
      </c>
      <c r="AL275" t="s">
        <v>1367</v>
      </c>
      <c r="AM275" t="s">
        <v>1368</v>
      </c>
      <c r="AN275" t="s">
        <v>1369</v>
      </c>
      <c r="AO275" t="s">
        <v>1370</v>
      </c>
      <c r="AP275" t="s">
        <v>400</v>
      </c>
      <c r="AQ275" s="5">
        <v>78550</v>
      </c>
      <c r="AR275" t="s">
        <v>128</v>
      </c>
      <c r="AS275" t="s">
        <v>134</v>
      </c>
      <c r="AT275" s="4">
        <v>19564408720</v>
      </c>
      <c r="AU275">
        <v>0</v>
      </c>
      <c r="AV275" t="s">
        <v>1371</v>
      </c>
      <c r="AW275" t="s">
        <v>1372</v>
      </c>
      <c r="AX275" t="s">
        <v>131</v>
      </c>
      <c r="AY275" t="s">
        <v>131</v>
      </c>
      <c r="AZ275" t="s">
        <v>131</v>
      </c>
      <c r="BA275" t="s">
        <v>131</v>
      </c>
      <c r="BB275" t="s">
        <v>131</v>
      </c>
      <c r="BC275" t="s">
        <v>131</v>
      </c>
      <c r="BD275" t="s">
        <v>131</v>
      </c>
      <c r="BE275" t="s">
        <v>132</v>
      </c>
      <c r="BH275" t="s">
        <v>11675</v>
      </c>
      <c r="BI275" t="s">
        <v>131</v>
      </c>
      <c r="BL275" t="s">
        <v>167</v>
      </c>
      <c r="BO275" t="s">
        <v>131</v>
      </c>
      <c r="BP275" t="s">
        <v>134</v>
      </c>
      <c r="BQ275" t="s">
        <v>131</v>
      </c>
      <c r="BS275" t="str">
        <f t="shared" si="26"/>
        <v>N/A</v>
      </c>
      <c r="BT275" t="s">
        <v>131</v>
      </c>
      <c r="BV275" t="str">
        <f>""</f>
        <v/>
      </c>
      <c r="BW275" t="s">
        <v>131</v>
      </c>
      <c r="BX275" t="str">
        <f>""</f>
        <v/>
      </c>
      <c r="BY275" t="str">
        <f>""</f>
        <v/>
      </c>
      <c r="BZ275" t="str">
        <f>""</f>
        <v/>
      </c>
      <c r="CA275" t="str">
        <f>""</f>
        <v/>
      </c>
      <c r="CB275" t="s">
        <v>131</v>
      </c>
      <c r="CF275" t="s">
        <v>131</v>
      </c>
      <c r="CH275" t="str">
        <f>""</f>
        <v/>
      </c>
      <c r="CI275" t="s">
        <v>131</v>
      </c>
      <c r="CK275" t="s">
        <v>131</v>
      </c>
      <c r="CL275" t="str">
        <f>""</f>
        <v/>
      </c>
      <c r="CM275" t="str">
        <f>""</f>
        <v/>
      </c>
      <c r="CN275" t="str">
        <f>""</f>
        <v/>
      </c>
      <c r="CO275" t="str">
        <f>""</f>
        <v/>
      </c>
      <c r="CP275" t="str">
        <f>"39-3091.00"</f>
        <v>39-3091.00</v>
      </c>
      <c r="CQ275" t="s">
        <v>1374</v>
      </c>
      <c r="CR275" t="s">
        <v>1375</v>
      </c>
      <c r="CS275" t="s">
        <v>135</v>
      </c>
      <c r="CT275" s="2" t="s">
        <v>1376</v>
      </c>
      <c r="CU275" t="s">
        <v>11670</v>
      </c>
      <c r="CW275" t="s">
        <v>11671</v>
      </c>
      <c r="CX275" t="s">
        <v>808</v>
      </c>
      <c r="CZ275" s="3" t="str">
        <f>"85268"</f>
        <v>85268</v>
      </c>
      <c r="DA275" t="s">
        <v>135</v>
      </c>
      <c r="DB275" t="str">
        <f>"39-3091"</f>
        <v>39-3091</v>
      </c>
      <c r="DC275" t="s">
        <v>1374</v>
      </c>
      <c r="DD275" t="s">
        <v>134</v>
      </c>
      <c r="DE275" t="s">
        <v>134</v>
      </c>
      <c r="DF275" t="str">
        <f>""</f>
        <v/>
      </c>
      <c r="DH275" s="6">
        <v>12.54</v>
      </c>
      <c r="DI275" t="s">
        <v>344</v>
      </c>
      <c r="DK275" t="s">
        <v>345</v>
      </c>
      <c r="DS275" s="6">
        <v>13.83</v>
      </c>
      <c r="DT275" s="2" t="s">
        <v>347</v>
      </c>
      <c r="DU275" s="1">
        <v>44356</v>
      </c>
      <c r="DV275" s="1">
        <v>44445</v>
      </c>
    </row>
    <row r="276" spans="1:126" ht="15" customHeight="1" x14ac:dyDescent="0.35">
      <c r="A276" t="s">
        <v>16419</v>
      </c>
      <c r="B276" t="s">
        <v>318</v>
      </c>
      <c r="C276" s="1">
        <v>44326</v>
      </c>
      <c r="D276" s="1">
        <v>44354</v>
      </c>
      <c r="H276" t="s">
        <v>319</v>
      </c>
      <c r="I276" t="s">
        <v>12148</v>
      </c>
      <c r="J276" t="s">
        <v>4392</v>
      </c>
      <c r="K276" t="s">
        <v>1916</v>
      </c>
      <c r="L276" t="s">
        <v>199</v>
      </c>
      <c r="M276" t="s">
        <v>12149</v>
      </c>
      <c r="O276" t="s">
        <v>12150</v>
      </c>
      <c r="P276" t="s">
        <v>629</v>
      </c>
      <c r="Q276" s="3">
        <v>39044</v>
      </c>
      <c r="R276" t="s">
        <v>128</v>
      </c>
      <c r="T276" s="4">
        <v>16018243592</v>
      </c>
      <c r="V276" t="s">
        <v>12151</v>
      </c>
      <c r="W276" t="s">
        <v>12152</v>
      </c>
      <c r="Y276" t="s">
        <v>12149</v>
      </c>
      <c r="AA276" t="s">
        <v>12150</v>
      </c>
      <c r="AB276" t="s">
        <v>630</v>
      </c>
      <c r="AC276" s="3" t="str">
        <f>"39044"</f>
        <v>39044</v>
      </c>
      <c r="AD276" t="s">
        <v>128</v>
      </c>
      <c r="AF276" s="4">
        <v>16018243592</v>
      </c>
      <c r="AH276" t="str">
        <f>"1153"</f>
        <v>1153</v>
      </c>
      <c r="AI276" t="s">
        <v>287</v>
      </c>
      <c r="AJ276" t="s">
        <v>4134</v>
      </c>
      <c r="AK276" t="s">
        <v>3493</v>
      </c>
      <c r="AM276" t="s">
        <v>4135</v>
      </c>
      <c r="AO276" t="s">
        <v>4136</v>
      </c>
      <c r="AP276" t="s">
        <v>643</v>
      </c>
      <c r="AQ276" s="5">
        <v>31636</v>
      </c>
      <c r="AR276" t="s">
        <v>128</v>
      </c>
      <c r="AT276" s="4">
        <v>12295596879</v>
      </c>
      <c r="AV276" t="s">
        <v>4137</v>
      </c>
      <c r="AW276" t="s">
        <v>4138</v>
      </c>
      <c r="AX276" t="s">
        <v>131</v>
      </c>
      <c r="AY276" t="s">
        <v>131</v>
      </c>
      <c r="AZ276" t="s">
        <v>131</v>
      </c>
      <c r="BA276" t="s">
        <v>131</v>
      </c>
      <c r="BB276" t="s">
        <v>131</v>
      </c>
      <c r="BC276" t="s">
        <v>131</v>
      </c>
      <c r="BD276" t="s">
        <v>131</v>
      </c>
      <c r="BE276" t="s">
        <v>132</v>
      </c>
      <c r="BH276" t="s">
        <v>4308</v>
      </c>
      <c r="BI276" t="s">
        <v>131</v>
      </c>
      <c r="BL276" t="s">
        <v>167</v>
      </c>
      <c r="BO276" t="s">
        <v>131</v>
      </c>
      <c r="BP276" t="s">
        <v>134</v>
      </c>
      <c r="BQ276" t="s">
        <v>131</v>
      </c>
      <c r="BS276" t="str">
        <f t="shared" si="26"/>
        <v>N/A</v>
      </c>
      <c r="BT276" t="s">
        <v>131</v>
      </c>
      <c r="BV276" t="str">
        <f>""</f>
        <v/>
      </c>
      <c r="BW276" t="s">
        <v>135</v>
      </c>
      <c r="BX276" t="str">
        <f>""</f>
        <v/>
      </c>
      <c r="BY276" t="str">
        <f>""</f>
        <v/>
      </c>
      <c r="BZ276" t="str">
        <f>""</f>
        <v/>
      </c>
      <c r="CA276" t="s">
        <v>12153</v>
      </c>
      <c r="CB276" t="s">
        <v>131</v>
      </c>
      <c r="CF276" t="s">
        <v>131</v>
      </c>
      <c r="CH276" t="str">
        <f>""</f>
        <v/>
      </c>
      <c r="CI276" t="s">
        <v>131</v>
      </c>
      <c r="CK276" t="s">
        <v>131</v>
      </c>
      <c r="CL276" t="str">
        <f>""</f>
        <v/>
      </c>
      <c r="CM276" t="str">
        <f>""</f>
        <v/>
      </c>
      <c r="CN276" t="str">
        <f>""</f>
        <v/>
      </c>
      <c r="CO276" t="str">
        <f>""</f>
        <v/>
      </c>
      <c r="CP276" t="str">
        <f>"45-4011.00"</f>
        <v>45-4011.00</v>
      </c>
      <c r="CQ276" t="s">
        <v>4310</v>
      </c>
      <c r="CS276" t="s">
        <v>135</v>
      </c>
      <c r="CT276" t="s">
        <v>2925</v>
      </c>
      <c r="CU276" t="s">
        <v>12149</v>
      </c>
      <c r="CW276" t="s">
        <v>12150</v>
      </c>
      <c r="CX276" t="s">
        <v>630</v>
      </c>
      <c r="CZ276" s="3" t="str">
        <f>"39044"</f>
        <v>39044</v>
      </c>
      <c r="DA276" t="s">
        <v>135</v>
      </c>
      <c r="DB276" t="str">
        <f>"45-4011"</f>
        <v>45-4011</v>
      </c>
      <c r="DC276" t="s">
        <v>4310</v>
      </c>
      <c r="DD276" t="s">
        <v>134</v>
      </c>
      <c r="DE276" t="s">
        <v>134</v>
      </c>
      <c r="DF276" t="str">
        <f>""</f>
        <v/>
      </c>
      <c r="DH276" s="6">
        <v>15.76</v>
      </c>
      <c r="DI276" t="s">
        <v>344</v>
      </c>
      <c r="DK276" t="s">
        <v>345</v>
      </c>
      <c r="DR276" t="s">
        <v>16420</v>
      </c>
      <c r="DS276" s="6">
        <v>21.04</v>
      </c>
      <c r="DT276" s="2" t="s">
        <v>347</v>
      </c>
      <c r="DU276" s="1">
        <v>44354</v>
      </c>
      <c r="DV276" s="1">
        <v>44443</v>
      </c>
    </row>
    <row r="277" spans="1:126" ht="15" customHeight="1" x14ac:dyDescent="0.35">
      <c r="A277" t="s">
        <v>19552</v>
      </c>
      <c r="B277" t="s">
        <v>318</v>
      </c>
      <c r="C277" s="1">
        <v>44326</v>
      </c>
      <c r="D277" s="1">
        <v>44356</v>
      </c>
      <c r="H277" t="s">
        <v>319</v>
      </c>
      <c r="I277" t="s">
        <v>2757</v>
      </c>
      <c r="J277" t="s">
        <v>2758</v>
      </c>
      <c r="K277" t="s">
        <v>474</v>
      </c>
      <c r="L277" t="s">
        <v>395</v>
      </c>
      <c r="M277" t="s">
        <v>19284</v>
      </c>
      <c r="N277" t="s">
        <v>19285</v>
      </c>
      <c r="O277" t="s">
        <v>19286</v>
      </c>
      <c r="P277" t="s">
        <v>593</v>
      </c>
      <c r="Q277" s="3">
        <v>28509</v>
      </c>
      <c r="R277" t="s">
        <v>128</v>
      </c>
      <c r="T277" s="4">
        <v>12522490123</v>
      </c>
      <c r="V277" t="s">
        <v>19218</v>
      </c>
      <c r="W277" t="s">
        <v>19287</v>
      </c>
      <c r="Y277" t="s">
        <v>19284</v>
      </c>
      <c r="Z277" t="s">
        <v>19285</v>
      </c>
      <c r="AA277" t="s">
        <v>2760</v>
      </c>
      <c r="AB277" t="s">
        <v>594</v>
      </c>
      <c r="AC277" s="3" t="str">
        <f>"28571"</f>
        <v>28571</v>
      </c>
      <c r="AD277" t="s">
        <v>128</v>
      </c>
      <c r="AF277" s="4">
        <v>12522490123</v>
      </c>
      <c r="AH277" t="str">
        <f>"31171"</f>
        <v>31171</v>
      </c>
      <c r="AI277" t="s">
        <v>287</v>
      </c>
      <c r="AJ277" t="s">
        <v>1106</v>
      </c>
      <c r="AK277" t="s">
        <v>1107</v>
      </c>
      <c r="AL277" t="s">
        <v>1108</v>
      </c>
      <c r="AM277" t="s">
        <v>1109</v>
      </c>
      <c r="AN277" t="s">
        <v>1110</v>
      </c>
      <c r="AO277" t="s">
        <v>1111</v>
      </c>
      <c r="AP277" t="s">
        <v>306</v>
      </c>
      <c r="AQ277" s="5">
        <v>24521</v>
      </c>
      <c r="AR277" t="s">
        <v>128</v>
      </c>
      <c r="AT277" s="4">
        <v>14349460035</v>
      </c>
      <c r="AU277">
        <v>11</v>
      </c>
      <c r="AV277" t="s">
        <v>1112</v>
      </c>
      <c r="AW277" t="s">
        <v>1113</v>
      </c>
      <c r="AX277" t="s">
        <v>131</v>
      </c>
      <c r="AY277" t="s">
        <v>131</v>
      </c>
      <c r="AZ277" t="s">
        <v>131</v>
      </c>
      <c r="BA277" t="s">
        <v>131</v>
      </c>
      <c r="BB277" t="s">
        <v>131</v>
      </c>
      <c r="BC277" t="s">
        <v>131</v>
      </c>
      <c r="BD277" t="s">
        <v>131</v>
      </c>
      <c r="BE277" t="s">
        <v>132</v>
      </c>
      <c r="BH277" t="s">
        <v>19288</v>
      </c>
      <c r="BI277" t="s">
        <v>131</v>
      </c>
      <c r="BL277" t="s">
        <v>167</v>
      </c>
      <c r="BO277" t="s">
        <v>131</v>
      </c>
      <c r="BP277" t="s">
        <v>134</v>
      </c>
      <c r="BQ277" t="s">
        <v>131</v>
      </c>
      <c r="BS277" t="str">
        <f t="shared" si="26"/>
        <v>N/A</v>
      </c>
      <c r="BT277" t="s">
        <v>131</v>
      </c>
      <c r="BV277" t="str">
        <f>""</f>
        <v/>
      </c>
      <c r="BW277" t="s">
        <v>135</v>
      </c>
      <c r="BX277" t="str">
        <f>""</f>
        <v/>
      </c>
      <c r="BY277" t="str">
        <f>""</f>
        <v/>
      </c>
      <c r="BZ277" t="str">
        <f>""</f>
        <v/>
      </c>
      <c r="CA277" t="str">
        <f>"Lift/carry up to 50 pounds."</f>
        <v>Lift/carry up to 50 pounds.</v>
      </c>
      <c r="CB277" t="s">
        <v>131</v>
      </c>
      <c r="CF277" t="s">
        <v>131</v>
      </c>
      <c r="CH277" t="str">
        <f>""</f>
        <v/>
      </c>
      <c r="CI277" t="s">
        <v>131</v>
      </c>
      <c r="CK277" t="s">
        <v>131</v>
      </c>
      <c r="CL277" t="str">
        <f>""</f>
        <v/>
      </c>
      <c r="CM277" t="str">
        <f>""</f>
        <v/>
      </c>
      <c r="CN277" t="str">
        <f>""</f>
        <v/>
      </c>
      <c r="CO277" t="str">
        <f>""</f>
        <v/>
      </c>
      <c r="CP277" t="str">
        <f>"51-3022.00"</f>
        <v>51-3022.00</v>
      </c>
      <c r="CQ277" t="s">
        <v>1114</v>
      </c>
      <c r="CR277" t="s">
        <v>2403</v>
      </c>
      <c r="CS277" t="s">
        <v>131</v>
      </c>
      <c r="CU277" t="s">
        <v>19284</v>
      </c>
      <c r="CW277" t="s">
        <v>19286</v>
      </c>
      <c r="CX277" t="s">
        <v>594</v>
      </c>
      <c r="CZ277" s="3" t="str">
        <f>"28509"</f>
        <v>28509</v>
      </c>
      <c r="DA277" t="s">
        <v>131</v>
      </c>
      <c r="DB277" t="str">
        <f>"51-3022"</f>
        <v>51-3022</v>
      </c>
      <c r="DC277" t="s">
        <v>1114</v>
      </c>
      <c r="DD277" t="s">
        <v>134</v>
      </c>
      <c r="DE277" t="s">
        <v>134</v>
      </c>
      <c r="DF277" t="str">
        <f>""</f>
        <v/>
      </c>
      <c r="DH277" s="6">
        <v>9.0500000000000007</v>
      </c>
      <c r="DI277" t="s">
        <v>344</v>
      </c>
      <c r="DK277" t="s">
        <v>345</v>
      </c>
      <c r="DR277" t="s">
        <v>2767</v>
      </c>
      <c r="DS277" s="6">
        <v>9.0500000000000007</v>
      </c>
      <c r="DT277" t="s">
        <v>424</v>
      </c>
      <c r="DU277" s="1">
        <v>44356</v>
      </c>
      <c r="DV277" s="1">
        <v>44445</v>
      </c>
    </row>
    <row r="278" spans="1:126" ht="15" customHeight="1" x14ac:dyDescent="0.35">
      <c r="A278" t="s">
        <v>12470</v>
      </c>
      <c r="B278" t="s">
        <v>318</v>
      </c>
      <c r="C278" s="1">
        <v>44326</v>
      </c>
      <c r="D278" s="1">
        <v>44356</v>
      </c>
      <c r="H278" t="s">
        <v>319</v>
      </c>
      <c r="I278" t="s">
        <v>4470</v>
      </c>
      <c r="J278" t="s">
        <v>12471</v>
      </c>
      <c r="L278" t="s">
        <v>7279</v>
      </c>
      <c r="M278" t="s">
        <v>12472</v>
      </c>
      <c r="O278" t="s">
        <v>1040</v>
      </c>
      <c r="P278" t="s">
        <v>412</v>
      </c>
      <c r="Q278" s="3">
        <v>78704</v>
      </c>
      <c r="R278" t="s">
        <v>128</v>
      </c>
      <c r="T278" s="4">
        <v>15126629746</v>
      </c>
      <c r="V278" t="s">
        <v>12473</v>
      </c>
      <c r="W278" t="s">
        <v>12474</v>
      </c>
      <c r="Y278" t="s">
        <v>12475</v>
      </c>
      <c r="AA278" t="s">
        <v>1040</v>
      </c>
      <c r="AB278" t="s">
        <v>400</v>
      </c>
      <c r="AC278" s="3" t="str">
        <f>"78704"</f>
        <v>78704</v>
      </c>
      <c r="AD278" t="s">
        <v>128</v>
      </c>
      <c r="AF278" s="4">
        <v>15124623627</v>
      </c>
      <c r="AH278" t="str">
        <f>"621111"</f>
        <v>621111</v>
      </c>
      <c r="AI278" t="s">
        <v>167</v>
      </c>
      <c r="AX278" t="s">
        <v>131</v>
      </c>
      <c r="AY278" t="s">
        <v>131</v>
      </c>
      <c r="AZ278" t="s">
        <v>131</v>
      </c>
      <c r="BA278" t="s">
        <v>131</v>
      </c>
      <c r="BB278" t="s">
        <v>131</v>
      </c>
      <c r="BC278" t="s">
        <v>131</v>
      </c>
      <c r="BD278" t="s">
        <v>131</v>
      </c>
      <c r="BE278" t="s">
        <v>132</v>
      </c>
      <c r="BH278" t="s">
        <v>12476</v>
      </c>
      <c r="BI278" t="s">
        <v>131</v>
      </c>
      <c r="BL278" t="s">
        <v>167</v>
      </c>
      <c r="BO278" t="s">
        <v>131</v>
      </c>
      <c r="BP278" t="s">
        <v>134</v>
      </c>
      <c r="BQ278" t="s">
        <v>131</v>
      </c>
      <c r="BS278" t="str">
        <f t="shared" si="26"/>
        <v>N/A</v>
      </c>
      <c r="BT278" t="s">
        <v>131</v>
      </c>
      <c r="BV278" t="str">
        <f>"Groundskeeping and Maintenance, experience in these fields and/or doing work related to these fields."</f>
        <v>Groundskeeping and Maintenance, experience in these fields and/or doing work related to these fields.</v>
      </c>
      <c r="BW278" t="s">
        <v>131</v>
      </c>
      <c r="BX278" t="str">
        <f>""</f>
        <v/>
      </c>
      <c r="BY278" t="str">
        <f>""</f>
        <v/>
      </c>
      <c r="BZ278" t="str">
        <f>""</f>
        <v/>
      </c>
      <c r="CA278" t="str">
        <f>""</f>
        <v/>
      </c>
      <c r="CB278" t="s">
        <v>131</v>
      </c>
      <c r="CF278" t="s">
        <v>131</v>
      </c>
      <c r="CH278" t="str">
        <f>""</f>
        <v/>
      </c>
      <c r="CI278" t="s">
        <v>131</v>
      </c>
      <c r="CK278" t="s">
        <v>131</v>
      </c>
      <c r="CL278" t="str">
        <f>""</f>
        <v/>
      </c>
      <c r="CM278" t="str">
        <f>""</f>
        <v/>
      </c>
      <c r="CN278" t="str">
        <f>""</f>
        <v/>
      </c>
      <c r="CO278" t="str">
        <f>""</f>
        <v/>
      </c>
      <c r="CP278" t="str">
        <f>"37-3019.00"</f>
        <v>37-3019.00</v>
      </c>
      <c r="CQ278" t="s">
        <v>2096</v>
      </c>
      <c r="CR278" t="s">
        <v>12477</v>
      </c>
      <c r="CS278" t="s">
        <v>131</v>
      </c>
      <c r="CU278" t="s">
        <v>12478</v>
      </c>
      <c r="CW278" t="s">
        <v>1040</v>
      </c>
      <c r="CX278" t="s">
        <v>400</v>
      </c>
      <c r="CZ278" s="3" t="str">
        <f>"78704"</f>
        <v>78704</v>
      </c>
      <c r="DA278" t="s">
        <v>131</v>
      </c>
      <c r="DB278" t="str">
        <f>"49-9071"</f>
        <v>49-9071</v>
      </c>
      <c r="DC278" t="s">
        <v>4022</v>
      </c>
      <c r="DD278" t="s">
        <v>134</v>
      </c>
      <c r="DE278" t="s">
        <v>134</v>
      </c>
      <c r="DF278" t="str">
        <f>"37-3011.00"</f>
        <v>37-3011.00</v>
      </c>
      <c r="DG278" t="s">
        <v>920</v>
      </c>
      <c r="DH278" s="6">
        <v>18.350000000000001</v>
      </c>
      <c r="DI278" t="s">
        <v>344</v>
      </c>
      <c r="DK278" t="s">
        <v>345</v>
      </c>
      <c r="DS278" s="6">
        <v>18.350000000000001</v>
      </c>
      <c r="DT278" t="s">
        <v>424</v>
      </c>
      <c r="DU278" s="1">
        <v>44356</v>
      </c>
      <c r="DV278" s="1">
        <v>44445</v>
      </c>
    </row>
    <row r="279" spans="1:126" ht="15" customHeight="1" x14ac:dyDescent="0.35">
      <c r="A279" t="s">
        <v>19163</v>
      </c>
      <c r="B279" t="s">
        <v>318</v>
      </c>
      <c r="C279" s="1">
        <v>44326</v>
      </c>
      <c r="D279" s="1">
        <v>44354</v>
      </c>
      <c r="H279" t="s">
        <v>319</v>
      </c>
      <c r="I279" t="s">
        <v>1215</v>
      </c>
      <c r="J279" t="s">
        <v>13292</v>
      </c>
      <c r="L279" t="s">
        <v>907</v>
      </c>
      <c r="M279" t="s">
        <v>13293</v>
      </c>
      <c r="N279" t="s">
        <v>134</v>
      </c>
      <c r="O279" t="s">
        <v>2737</v>
      </c>
      <c r="P279" t="s">
        <v>194</v>
      </c>
      <c r="Q279" s="3">
        <v>33418</v>
      </c>
      <c r="R279" t="s">
        <v>128</v>
      </c>
      <c r="S279" t="s">
        <v>134</v>
      </c>
      <c r="T279" s="4">
        <v>15616267400</v>
      </c>
      <c r="V279" t="s">
        <v>13294</v>
      </c>
      <c r="W279" t="s">
        <v>13295</v>
      </c>
      <c r="X279" t="s">
        <v>134</v>
      </c>
      <c r="Y279" t="s">
        <v>13293</v>
      </c>
      <c r="Z279" t="s">
        <v>134</v>
      </c>
      <c r="AA279" t="s">
        <v>2737</v>
      </c>
      <c r="AB279" t="s">
        <v>195</v>
      </c>
      <c r="AC279" s="3" t="str">
        <f>"33418"</f>
        <v>33418</v>
      </c>
      <c r="AD279" t="s">
        <v>128</v>
      </c>
      <c r="AE279" t="s">
        <v>134</v>
      </c>
      <c r="AF279" s="4">
        <v>15616267400</v>
      </c>
      <c r="AH279" t="str">
        <f>"713910"</f>
        <v>713910</v>
      </c>
      <c r="AI279" t="s">
        <v>130</v>
      </c>
      <c r="AJ279" t="s">
        <v>1386</v>
      </c>
      <c r="AK279" t="s">
        <v>1387</v>
      </c>
      <c r="AL279" t="s">
        <v>1036</v>
      </c>
      <c r="AM279" t="s">
        <v>1388</v>
      </c>
      <c r="AN279" t="s">
        <v>997</v>
      </c>
      <c r="AO279" t="s">
        <v>719</v>
      </c>
      <c r="AP279" t="s">
        <v>377</v>
      </c>
      <c r="AQ279" s="5">
        <v>1701</v>
      </c>
      <c r="AR279" t="s">
        <v>128</v>
      </c>
      <c r="AS279" t="s">
        <v>134</v>
      </c>
      <c r="AT279" s="4">
        <v>16179399444</v>
      </c>
      <c r="AV279" t="s">
        <v>1389</v>
      </c>
      <c r="AW279" t="s">
        <v>1390</v>
      </c>
      <c r="AX279" t="s">
        <v>131</v>
      </c>
      <c r="AY279" t="s">
        <v>131</v>
      </c>
      <c r="AZ279" t="s">
        <v>131</v>
      </c>
      <c r="BA279" t="s">
        <v>131</v>
      </c>
      <c r="BB279" t="s">
        <v>131</v>
      </c>
      <c r="BC279" t="s">
        <v>131</v>
      </c>
      <c r="BD279" t="s">
        <v>131</v>
      </c>
      <c r="BE279" t="s">
        <v>132</v>
      </c>
      <c r="BH279" t="s">
        <v>1213</v>
      </c>
      <c r="BI279" t="s">
        <v>131</v>
      </c>
      <c r="BL279" t="s">
        <v>167</v>
      </c>
      <c r="BO279" t="s">
        <v>131</v>
      </c>
      <c r="BP279" t="s">
        <v>134</v>
      </c>
      <c r="BQ279" t="s">
        <v>131</v>
      </c>
      <c r="BS279" t="str">
        <f t="shared" si="26"/>
        <v>N/A</v>
      </c>
      <c r="BT279" t="s">
        <v>135</v>
      </c>
      <c r="BU279">
        <v>6</v>
      </c>
      <c r="BV279" t="str">
        <f>"Server"</f>
        <v>Server</v>
      </c>
      <c r="BW279" t="s">
        <v>135</v>
      </c>
      <c r="BX279" t="str">
        <f>""</f>
        <v/>
      </c>
      <c r="BY279" t="str">
        <f>""</f>
        <v/>
      </c>
      <c r="BZ279" t="str">
        <f>""</f>
        <v/>
      </c>
      <c r="CA279" s="2" t="s">
        <v>4141</v>
      </c>
      <c r="CB279" t="s">
        <v>131</v>
      </c>
      <c r="CF279" t="s">
        <v>131</v>
      </c>
      <c r="CH279" t="str">
        <f>""</f>
        <v/>
      </c>
      <c r="CI279" t="s">
        <v>131</v>
      </c>
      <c r="CK279" t="s">
        <v>131</v>
      </c>
      <c r="CL279" t="str">
        <f>""</f>
        <v/>
      </c>
      <c r="CM279" t="str">
        <f>""</f>
        <v/>
      </c>
      <c r="CN279" t="str">
        <f>""</f>
        <v/>
      </c>
      <c r="CO279" t="str">
        <f>""</f>
        <v/>
      </c>
      <c r="CP279" t="str">
        <f>"35-3031.00"</f>
        <v>35-3031.00</v>
      </c>
      <c r="CQ279" t="s">
        <v>1214</v>
      </c>
      <c r="CR279" t="s">
        <v>12426</v>
      </c>
      <c r="CS279" t="s">
        <v>131</v>
      </c>
      <c r="CU279" t="s">
        <v>13293</v>
      </c>
      <c r="CV279" t="s">
        <v>134</v>
      </c>
      <c r="CW279" t="s">
        <v>2737</v>
      </c>
      <c r="CX279" t="s">
        <v>195</v>
      </c>
      <c r="CZ279" s="3" t="str">
        <f>"33418"</f>
        <v>33418</v>
      </c>
      <c r="DA279" t="s">
        <v>131</v>
      </c>
      <c r="DB279" t="str">
        <f>"35-3031"</f>
        <v>35-3031</v>
      </c>
      <c r="DC279" t="s">
        <v>1214</v>
      </c>
      <c r="DD279" t="s">
        <v>134</v>
      </c>
      <c r="DE279" t="s">
        <v>134</v>
      </c>
      <c r="DF279" t="str">
        <f>""</f>
        <v/>
      </c>
      <c r="DH279" s="6">
        <v>12.55</v>
      </c>
      <c r="DI279" t="s">
        <v>344</v>
      </c>
      <c r="DK279" t="s">
        <v>345</v>
      </c>
      <c r="DS279" s="6">
        <v>12.55</v>
      </c>
      <c r="DT279" t="s">
        <v>424</v>
      </c>
      <c r="DU279" s="1">
        <v>44354</v>
      </c>
      <c r="DV279" s="1">
        <v>44443</v>
      </c>
    </row>
    <row r="280" spans="1:126" ht="15" customHeight="1" x14ac:dyDescent="0.35">
      <c r="A280" t="s">
        <v>13291</v>
      </c>
      <c r="B280" t="s">
        <v>318</v>
      </c>
      <c r="C280" s="1">
        <v>44326</v>
      </c>
      <c r="D280" s="1">
        <v>44354</v>
      </c>
      <c r="H280" t="s">
        <v>319</v>
      </c>
      <c r="I280" t="s">
        <v>1215</v>
      </c>
      <c r="J280" t="s">
        <v>13292</v>
      </c>
      <c r="L280" t="s">
        <v>907</v>
      </c>
      <c r="M280" t="s">
        <v>13293</v>
      </c>
      <c r="N280" t="s">
        <v>134</v>
      </c>
      <c r="O280" t="s">
        <v>2737</v>
      </c>
      <c r="P280" t="s">
        <v>194</v>
      </c>
      <c r="Q280" s="3">
        <v>33418</v>
      </c>
      <c r="R280" t="s">
        <v>128</v>
      </c>
      <c r="S280" t="s">
        <v>134</v>
      </c>
      <c r="T280" s="4">
        <v>15616267400</v>
      </c>
      <c r="V280" t="s">
        <v>13294</v>
      </c>
      <c r="W280" t="s">
        <v>13295</v>
      </c>
      <c r="X280" t="s">
        <v>134</v>
      </c>
      <c r="Y280" t="s">
        <v>13293</v>
      </c>
      <c r="Z280" t="s">
        <v>134</v>
      </c>
      <c r="AA280" t="s">
        <v>2737</v>
      </c>
      <c r="AB280" t="s">
        <v>195</v>
      </c>
      <c r="AC280" s="3" t="str">
        <f>"33418"</f>
        <v>33418</v>
      </c>
      <c r="AD280" t="s">
        <v>128</v>
      </c>
      <c r="AE280" t="s">
        <v>134</v>
      </c>
      <c r="AF280" s="4">
        <v>15616267400</v>
      </c>
      <c r="AH280" t="str">
        <f>"713910"</f>
        <v>713910</v>
      </c>
      <c r="AI280" t="s">
        <v>130</v>
      </c>
      <c r="AJ280" t="s">
        <v>1386</v>
      </c>
      <c r="AK280" t="s">
        <v>1387</v>
      </c>
      <c r="AL280" t="s">
        <v>1036</v>
      </c>
      <c r="AM280" t="s">
        <v>1388</v>
      </c>
      <c r="AN280" t="s">
        <v>997</v>
      </c>
      <c r="AO280" t="s">
        <v>719</v>
      </c>
      <c r="AP280" t="s">
        <v>377</v>
      </c>
      <c r="AQ280" s="5">
        <v>1701</v>
      </c>
      <c r="AR280" t="s">
        <v>128</v>
      </c>
      <c r="AS280" t="s">
        <v>134</v>
      </c>
      <c r="AT280" s="4">
        <v>16179399444</v>
      </c>
      <c r="AV280" t="s">
        <v>1389</v>
      </c>
      <c r="AW280" t="s">
        <v>1390</v>
      </c>
      <c r="AX280" t="s">
        <v>131</v>
      </c>
      <c r="AY280" t="s">
        <v>131</v>
      </c>
      <c r="AZ280" t="s">
        <v>131</v>
      </c>
      <c r="BA280" t="s">
        <v>131</v>
      </c>
      <c r="BB280" t="s">
        <v>131</v>
      </c>
      <c r="BC280" t="s">
        <v>131</v>
      </c>
      <c r="BD280" t="s">
        <v>131</v>
      </c>
      <c r="BE280" t="s">
        <v>132</v>
      </c>
      <c r="BH280" t="s">
        <v>1080</v>
      </c>
      <c r="BI280" t="s">
        <v>131</v>
      </c>
      <c r="BL280" t="s">
        <v>167</v>
      </c>
      <c r="BO280" t="s">
        <v>131</v>
      </c>
      <c r="BP280" t="s">
        <v>134</v>
      </c>
      <c r="BQ280" t="s">
        <v>131</v>
      </c>
      <c r="BS280" t="str">
        <f t="shared" si="26"/>
        <v>N/A</v>
      </c>
      <c r="BT280" t="s">
        <v>135</v>
      </c>
      <c r="BU280">
        <v>12</v>
      </c>
      <c r="BV280" t="str">
        <f>"Cook"</f>
        <v>Cook</v>
      </c>
      <c r="BW280" t="s">
        <v>135</v>
      </c>
      <c r="BX280" t="str">
        <f>""</f>
        <v/>
      </c>
      <c r="BY280" t="str">
        <f>""</f>
        <v/>
      </c>
      <c r="BZ280" t="str">
        <f>""</f>
        <v/>
      </c>
      <c r="CA280" t="s">
        <v>13296</v>
      </c>
      <c r="CB280" t="s">
        <v>131</v>
      </c>
      <c r="CF280" t="s">
        <v>131</v>
      </c>
      <c r="CH280" t="str">
        <f>""</f>
        <v/>
      </c>
      <c r="CI280" t="s">
        <v>131</v>
      </c>
      <c r="CK280" t="s">
        <v>131</v>
      </c>
      <c r="CL280" t="str">
        <f>""</f>
        <v/>
      </c>
      <c r="CM280" t="str">
        <f>""</f>
        <v/>
      </c>
      <c r="CN280" t="str">
        <f>""</f>
        <v/>
      </c>
      <c r="CO280" t="str">
        <f>""</f>
        <v/>
      </c>
      <c r="CP280" t="str">
        <f>"35-2014.00"</f>
        <v>35-2014.00</v>
      </c>
      <c r="CQ280" t="s">
        <v>581</v>
      </c>
      <c r="CR280" t="s">
        <v>1941</v>
      </c>
      <c r="CS280" t="s">
        <v>131</v>
      </c>
      <c r="CU280" t="s">
        <v>13293</v>
      </c>
      <c r="CV280" t="s">
        <v>134</v>
      </c>
      <c r="CW280" t="s">
        <v>2737</v>
      </c>
      <c r="CX280" t="s">
        <v>195</v>
      </c>
      <c r="CZ280" s="3" t="str">
        <f>"33418"</f>
        <v>33418</v>
      </c>
      <c r="DA280" t="s">
        <v>131</v>
      </c>
      <c r="DB280" t="str">
        <f>"35-2014"</f>
        <v>35-2014</v>
      </c>
      <c r="DC280" t="s">
        <v>581</v>
      </c>
      <c r="DD280" t="s">
        <v>134</v>
      </c>
      <c r="DE280" t="s">
        <v>134</v>
      </c>
      <c r="DF280" t="str">
        <f>""</f>
        <v/>
      </c>
      <c r="DH280" s="6">
        <v>14.63</v>
      </c>
      <c r="DI280" t="s">
        <v>344</v>
      </c>
      <c r="DK280" t="s">
        <v>345</v>
      </c>
      <c r="DS280" s="6">
        <v>14.63</v>
      </c>
      <c r="DT280" t="s">
        <v>424</v>
      </c>
      <c r="DU280" s="1">
        <v>44354</v>
      </c>
      <c r="DV280" s="1">
        <v>44443</v>
      </c>
    </row>
    <row r="281" spans="1:126" ht="15" customHeight="1" x14ac:dyDescent="0.35">
      <c r="A281" t="s">
        <v>3409</v>
      </c>
      <c r="B281" t="s">
        <v>318</v>
      </c>
      <c r="C281" s="1">
        <v>44326</v>
      </c>
      <c r="D281" s="1">
        <v>44354</v>
      </c>
      <c r="H281" t="s">
        <v>319</v>
      </c>
      <c r="I281" t="s">
        <v>3410</v>
      </c>
      <c r="J281" t="s">
        <v>3411</v>
      </c>
      <c r="L281" t="s">
        <v>1105</v>
      </c>
      <c r="M281" t="s">
        <v>3412</v>
      </c>
      <c r="O281" t="s">
        <v>3413</v>
      </c>
      <c r="P281" t="s">
        <v>412</v>
      </c>
      <c r="Q281" s="3">
        <v>78164</v>
      </c>
      <c r="R281" t="s">
        <v>128</v>
      </c>
      <c r="T281" s="4">
        <v>13615649504</v>
      </c>
      <c r="V281" t="s">
        <v>3414</v>
      </c>
      <c r="W281" t="s">
        <v>3415</v>
      </c>
      <c r="X281" t="s">
        <v>3416</v>
      </c>
      <c r="Y281" t="s">
        <v>3412</v>
      </c>
      <c r="AA281" t="s">
        <v>3417</v>
      </c>
      <c r="AB281" t="s">
        <v>400</v>
      </c>
      <c r="AC281" s="3" t="str">
        <f>"78164"</f>
        <v>78164</v>
      </c>
      <c r="AD281" t="s">
        <v>128</v>
      </c>
      <c r="AF281" s="4">
        <v>13615649504</v>
      </c>
      <c r="AH281" t="str">
        <f>"722511"</f>
        <v>722511</v>
      </c>
      <c r="AI281" t="s">
        <v>130</v>
      </c>
      <c r="AJ281" t="s">
        <v>3418</v>
      </c>
      <c r="AK281" t="s">
        <v>3419</v>
      </c>
      <c r="AL281" t="s">
        <v>3420</v>
      </c>
      <c r="AM281" t="s">
        <v>3421</v>
      </c>
      <c r="AO281" t="s">
        <v>699</v>
      </c>
      <c r="AP281" t="s">
        <v>400</v>
      </c>
      <c r="AQ281" s="5">
        <v>78278</v>
      </c>
      <c r="AR281" t="s">
        <v>128</v>
      </c>
      <c r="AT281" s="4">
        <v>12102513972</v>
      </c>
      <c r="AV281" t="s">
        <v>3422</v>
      </c>
      <c r="AW281" t="s">
        <v>3423</v>
      </c>
      <c r="AX281" t="s">
        <v>131</v>
      </c>
      <c r="AY281" t="s">
        <v>131</v>
      </c>
      <c r="AZ281" t="s">
        <v>131</v>
      </c>
      <c r="BA281" t="s">
        <v>131</v>
      </c>
      <c r="BB281" t="s">
        <v>131</v>
      </c>
      <c r="BC281" t="s">
        <v>131</v>
      </c>
      <c r="BD281" t="s">
        <v>131</v>
      </c>
      <c r="BE281" t="s">
        <v>132</v>
      </c>
      <c r="BH281" t="s">
        <v>1080</v>
      </c>
      <c r="BI281" t="s">
        <v>131</v>
      </c>
      <c r="BL281" t="s">
        <v>167</v>
      </c>
      <c r="BO281" t="s">
        <v>131</v>
      </c>
      <c r="BP281" t="s">
        <v>134</v>
      </c>
      <c r="BQ281" t="s">
        <v>131</v>
      </c>
      <c r="BS281" t="str">
        <f t="shared" si="26"/>
        <v>N/A</v>
      </c>
      <c r="BT281" t="s">
        <v>131</v>
      </c>
      <c r="BV281" t="str">
        <f>""</f>
        <v/>
      </c>
      <c r="BW281" t="s">
        <v>135</v>
      </c>
      <c r="BX281" t="str">
        <f>""</f>
        <v/>
      </c>
      <c r="BY281" t="str">
        <f>""</f>
        <v/>
      </c>
      <c r="BZ281" t="str">
        <f>""</f>
        <v/>
      </c>
      <c r="CA281" t="s">
        <v>3424</v>
      </c>
      <c r="CB281" t="s">
        <v>131</v>
      </c>
      <c r="CF281" t="s">
        <v>131</v>
      </c>
      <c r="CH281" t="str">
        <f>""</f>
        <v/>
      </c>
      <c r="CI281" t="s">
        <v>131</v>
      </c>
      <c r="CK281" t="s">
        <v>131</v>
      </c>
      <c r="CL281" t="str">
        <f>""</f>
        <v/>
      </c>
      <c r="CM281" t="str">
        <f>""</f>
        <v/>
      </c>
      <c r="CN281" t="str">
        <f>""</f>
        <v/>
      </c>
      <c r="CO281" t="str">
        <f>""</f>
        <v/>
      </c>
      <c r="CP281" t="str">
        <f>"35-2015.00"</f>
        <v>35-2015.00</v>
      </c>
      <c r="CQ281" t="s">
        <v>3425</v>
      </c>
      <c r="CS281" t="s">
        <v>131</v>
      </c>
      <c r="CU281" t="s">
        <v>3426</v>
      </c>
      <c r="CW281" t="s">
        <v>3427</v>
      </c>
      <c r="CX281" t="s">
        <v>400</v>
      </c>
      <c r="CZ281" s="3" t="str">
        <f>"77904"</f>
        <v>77904</v>
      </c>
      <c r="DA281" t="s">
        <v>131</v>
      </c>
      <c r="DB281" t="str">
        <f>"35-2015"</f>
        <v>35-2015</v>
      </c>
      <c r="DC281" t="s">
        <v>3425</v>
      </c>
      <c r="DD281" t="s">
        <v>134</v>
      </c>
      <c r="DE281" t="s">
        <v>134</v>
      </c>
      <c r="DF281" t="str">
        <f>""</f>
        <v/>
      </c>
      <c r="DH281" s="6">
        <v>10.63</v>
      </c>
      <c r="DI281" t="s">
        <v>344</v>
      </c>
      <c r="DK281" t="s">
        <v>345</v>
      </c>
      <c r="DR281" t="s">
        <v>3428</v>
      </c>
      <c r="DS281" s="6">
        <v>10.63</v>
      </c>
      <c r="DT281" t="s">
        <v>424</v>
      </c>
      <c r="DU281" s="1">
        <v>44354</v>
      </c>
      <c r="DV281" s="1">
        <v>44443</v>
      </c>
    </row>
    <row r="282" spans="1:126" ht="15" customHeight="1" x14ac:dyDescent="0.35">
      <c r="A282" t="s">
        <v>11863</v>
      </c>
      <c r="B282" t="s">
        <v>318</v>
      </c>
      <c r="C282" s="1">
        <v>44326</v>
      </c>
      <c r="D282" s="1">
        <v>44356</v>
      </c>
      <c r="H282" t="s">
        <v>319</v>
      </c>
      <c r="I282" t="s">
        <v>10730</v>
      </c>
      <c r="J282" t="s">
        <v>4747</v>
      </c>
      <c r="K282" t="s">
        <v>610</v>
      </c>
      <c r="L282" t="s">
        <v>583</v>
      </c>
      <c r="M282" t="s">
        <v>11864</v>
      </c>
      <c r="N282" t="s">
        <v>5552</v>
      </c>
      <c r="O282" t="s">
        <v>10731</v>
      </c>
      <c r="P282" t="s">
        <v>311</v>
      </c>
      <c r="Q282" s="3">
        <v>18073</v>
      </c>
      <c r="R282" t="s">
        <v>128</v>
      </c>
      <c r="S282" t="s">
        <v>134</v>
      </c>
      <c r="T282" s="4">
        <v>12155414627</v>
      </c>
      <c r="V282" t="s">
        <v>10732</v>
      </c>
      <c r="W282" t="s">
        <v>10733</v>
      </c>
      <c r="Y282" t="s">
        <v>11864</v>
      </c>
      <c r="Z282" t="s">
        <v>5552</v>
      </c>
      <c r="AA282" t="s">
        <v>10731</v>
      </c>
      <c r="AB282" t="s">
        <v>312</v>
      </c>
      <c r="AC282" s="3" t="str">
        <f>"18073"</f>
        <v>18073</v>
      </c>
      <c r="AD282" t="s">
        <v>128</v>
      </c>
      <c r="AE282" t="s">
        <v>134</v>
      </c>
      <c r="AF282" s="4">
        <v>12155414627</v>
      </c>
      <c r="AH282" t="str">
        <f>"327390"</f>
        <v>327390</v>
      </c>
      <c r="AI282" t="s">
        <v>287</v>
      </c>
      <c r="AJ282" t="s">
        <v>11865</v>
      </c>
      <c r="AK282" t="s">
        <v>1723</v>
      </c>
      <c r="AL282" t="s">
        <v>192</v>
      </c>
      <c r="AM282" t="s">
        <v>5307</v>
      </c>
      <c r="AN282" t="s">
        <v>134</v>
      </c>
      <c r="AO282" t="s">
        <v>3152</v>
      </c>
      <c r="AP282" t="s">
        <v>400</v>
      </c>
      <c r="AQ282" s="5">
        <v>77414</v>
      </c>
      <c r="AR282" t="s">
        <v>128</v>
      </c>
      <c r="AT282" s="4">
        <v>19792457577</v>
      </c>
      <c r="AU282">
        <v>103</v>
      </c>
      <c r="AV282" t="s">
        <v>11866</v>
      </c>
      <c r="AW282" t="s">
        <v>3154</v>
      </c>
      <c r="AX282" t="s">
        <v>131</v>
      </c>
      <c r="AY282" t="s">
        <v>131</v>
      </c>
      <c r="AZ282" t="s">
        <v>131</v>
      </c>
      <c r="BA282" t="s">
        <v>131</v>
      </c>
      <c r="BB282" t="s">
        <v>131</v>
      </c>
      <c r="BC282" t="s">
        <v>131</v>
      </c>
      <c r="BD282" t="s">
        <v>131</v>
      </c>
      <c r="BE282" t="s">
        <v>132</v>
      </c>
      <c r="BH282" t="s">
        <v>11177</v>
      </c>
      <c r="BI282" t="s">
        <v>131</v>
      </c>
      <c r="BL282" t="s">
        <v>167</v>
      </c>
      <c r="BO282" t="s">
        <v>131</v>
      </c>
      <c r="BP282" t="s">
        <v>134</v>
      </c>
      <c r="BQ282" t="s">
        <v>131</v>
      </c>
      <c r="BS282" t="str">
        <f t="shared" si="26"/>
        <v>N/A</v>
      </c>
      <c r="BT282" t="s">
        <v>131</v>
      </c>
      <c r="BV282" t="str">
        <f>""</f>
        <v/>
      </c>
      <c r="BW282" t="s">
        <v>135</v>
      </c>
      <c r="BX282" t="str">
        <f>""</f>
        <v/>
      </c>
      <c r="BY282" t="str">
        <f>""</f>
        <v/>
      </c>
      <c r="BZ282" t="str">
        <f>""</f>
        <v/>
      </c>
      <c r="CA282" t="str">
        <f>"Able to lift 70lbs. Random drug testing during employment. Mon-Fri, Saturdays may be required 6a-2:15p, schedule varies. Must be willing to work some holidays. overtime varies"</f>
        <v>Able to lift 70lbs. Random drug testing during employment. Mon-Fri, Saturdays may be required 6a-2:15p, schedule varies. Must be willing to work some holidays. overtime varies</v>
      </c>
      <c r="CB282" t="s">
        <v>131</v>
      </c>
      <c r="CF282" t="s">
        <v>131</v>
      </c>
      <c r="CH282" t="str">
        <f>""</f>
        <v/>
      </c>
      <c r="CI282" t="s">
        <v>131</v>
      </c>
      <c r="CK282" t="s">
        <v>131</v>
      </c>
      <c r="CL282" t="str">
        <f>""</f>
        <v/>
      </c>
      <c r="CM282" t="str">
        <f>""</f>
        <v/>
      </c>
      <c r="CN282" t="str">
        <f>""</f>
        <v/>
      </c>
      <c r="CO282" t="str">
        <f>""</f>
        <v/>
      </c>
      <c r="CP282" t="str">
        <f>"51-9198.00"</f>
        <v>51-9198.00</v>
      </c>
      <c r="CQ282" t="s">
        <v>2685</v>
      </c>
      <c r="CS282" t="s">
        <v>131</v>
      </c>
      <c r="CU282" t="s">
        <v>11867</v>
      </c>
      <c r="CV282" t="s">
        <v>5552</v>
      </c>
      <c r="CW282" t="s">
        <v>10731</v>
      </c>
      <c r="CX282" t="s">
        <v>312</v>
      </c>
      <c r="CZ282" s="3" t="str">
        <f>"18073"</f>
        <v>18073</v>
      </c>
      <c r="DA282" t="s">
        <v>131</v>
      </c>
      <c r="DB282" t="str">
        <f>"51-9198"</f>
        <v>51-9198</v>
      </c>
      <c r="DC282" t="s">
        <v>2685</v>
      </c>
      <c r="DD282" t="s">
        <v>134</v>
      </c>
      <c r="DE282" t="s">
        <v>134</v>
      </c>
      <c r="DF282" t="str">
        <f>""</f>
        <v/>
      </c>
      <c r="DH282" s="6">
        <v>15.93</v>
      </c>
      <c r="DI282" t="s">
        <v>344</v>
      </c>
      <c r="DK282" t="s">
        <v>345</v>
      </c>
      <c r="DS282" s="6">
        <v>15.93</v>
      </c>
      <c r="DT282" t="s">
        <v>424</v>
      </c>
      <c r="DU282" s="1">
        <v>44356</v>
      </c>
      <c r="DV282" s="1">
        <v>44445</v>
      </c>
    </row>
    <row r="283" spans="1:126" ht="15" customHeight="1" x14ac:dyDescent="0.35">
      <c r="A283" t="s">
        <v>19929</v>
      </c>
      <c r="B283" t="s">
        <v>318</v>
      </c>
      <c r="C283" s="1">
        <v>44326</v>
      </c>
      <c r="D283" s="1">
        <v>44354</v>
      </c>
      <c r="H283" t="s">
        <v>319</v>
      </c>
      <c r="I283" t="s">
        <v>13009</v>
      </c>
      <c r="J283" t="s">
        <v>4653</v>
      </c>
      <c r="K283" t="s">
        <v>2600</v>
      </c>
      <c r="L283" t="s">
        <v>13010</v>
      </c>
      <c r="M283" t="s">
        <v>13011</v>
      </c>
      <c r="O283" t="s">
        <v>10973</v>
      </c>
      <c r="P283" t="s">
        <v>811</v>
      </c>
      <c r="Q283" s="3">
        <v>29928</v>
      </c>
      <c r="R283" t="s">
        <v>128</v>
      </c>
      <c r="T283" s="4">
        <v>18433418073</v>
      </c>
      <c r="V283" t="s">
        <v>13012</v>
      </c>
      <c r="W283" t="s">
        <v>13013</v>
      </c>
      <c r="X283" t="s">
        <v>13014</v>
      </c>
      <c r="Y283" t="s">
        <v>13011</v>
      </c>
      <c r="AA283" t="s">
        <v>10973</v>
      </c>
      <c r="AB283" t="s">
        <v>812</v>
      </c>
      <c r="AC283" s="3" t="str">
        <f>"29928"</f>
        <v>29928</v>
      </c>
      <c r="AD283" t="s">
        <v>128</v>
      </c>
      <c r="AF283" s="4">
        <v>18433418073</v>
      </c>
      <c r="AH283" t="str">
        <f>"7211"</f>
        <v>7211</v>
      </c>
      <c r="AI283" t="s">
        <v>287</v>
      </c>
      <c r="AJ283" t="s">
        <v>2209</v>
      </c>
      <c r="AK283" t="s">
        <v>1459</v>
      </c>
      <c r="AL283" t="s">
        <v>2210</v>
      </c>
      <c r="AM283" t="s">
        <v>2211</v>
      </c>
      <c r="AN283" t="s">
        <v>788</v>
      </c>
      <c r="AO283" t="s">
        <v>2212</v>
      </c>
      <c r="AP283" t="s">
        <v>400</v>
      </c>
      <c r="AQ283" s="5">
        <v>75033</v>
      </c>
      <c r="AR283" t="s">
        <v>128</v>
      </c>
      <c r="AT283" s="4">
        <v>19727789690</v>
      </c>
      <c r="AV283" t="s">
        <v>2320</v>
      </c>
      <c r="AW283" t="s">
        <v>2214</v>
      </c>
      <c r="AX283" t="s">
        <v>131</v>
      </c>
      <c r="AY283" t="s">
        <v>131</v>
      </c>
      <c r="AZ283" t="s">
        <v>131</v>
      </c>
      <c r="BA283" t="s">
        <v>131</v>
      </c>
      <c r="BB283" t="s">
        <v>131</v>
      </c>
      <c r="BC283" t="s">
        <v>131</v>
      </c>
      <c r="BD283" t="s">
        <v>131</v>
      </c>
      <c r="BE283" t="s">
        <v>132</v>
      </c>
      <c r="BH283" t="s">
        <v>15539</v>
      </c>
      <c r="BI283" t="s">
        <v>131</v>
      </c>
      <c r="BL283" t="s">
        <v>167</v>
      </c>
      <c r="BO283" t="s">
        <v>131</v>
      </c>
      <c r="BP283" t="s">
        <v>134</v>
      </c>
      <c r="BQ283" t="s">
        <v>131</v>
      </c>
      <c r="BS283" t="str">
        <f t="shared" si="26"/>
        <v>N/A</v>
      </c>
      <c r="BT283" t="s">
        <v>135</v>
      </c>
      <c r="BU283">
        <v>6</v>
      </c>
      <c r="BV283" t="str">
        <f>"Front Desk Clerk at a hotel/resort"</f>
        <v>Front Desk Clerk at a hotel/resort</v>
      </c>
      <c r="BW283" t="s">
        <v>135</v>
      </c>
      <c r="BX283" t="str">
        <f>""</f>
        <v/>
      </c>
      <c r="BY283" t="str">
        <f>""</f>
        <v/>
      </c>
      <c r="BZ283" t="str">
        <f>""</f>
        <v/>
      </c>
      <c r="CA283" t="str">
        <f>"Must be able to work weekends and holidays.
Applicants must complete an employment application. "</f>
        <v xml:space="preserve">Must be able to work weekends and holidays.
Applicants must complete an employment application. </v>
      </c>
      <c r="CB283" t="s">
        <v>131</v>
      </c>
      <c r="CF283" t="s">
        <v>131</v>
      </c>
      <c r="CH283" t="str">
        <f>""</f>
        <v/>
      </c>
      <c r="CI283" t="s">
        <v>131</v>
      </c>
      <c r="CK283" t="s">
        <v>131</v>
      </c>
      <c r="CL283" t="str">
        <f>""</f>
        <v/>
      </c>
      <c r="CM283" t="str">
        <f>""</f>
        <v/>
      </c>
      <c r="CN283" t="str">
        <f>""</f>
        <v/>
      </c>
      <c r="CO283" t="str">
        <f>""</f>
        <v/>
      </c>
      <c r="CP283" t="str">
        <f>"43-4081.00"</f>
        <v>43-4081.00</v>
      </c>
      <c r="CQ283" t="s">
        <v>4499</v>
      </c>
      <c r="CS283" t="s">
        <v>131</v>
      </c>
      <c r="CU283" t="s">
        <v>13011</v>
      </c>
      <c r="CW283" t="s">
        <v>10973</v>
      </c>
      <c r="CX283" t="s">
        <v>812</v>
      </c>
      <c r="CZ283" s="3" t="str">
        <f>"29928"</f>
        <v>29928</v>
      </c>
      <c r="DA283" t="s">
        <v>131</v>
      </c>
      <c r="DB283" t="str">
        <f>"43-4081"</f>
        <v>43-4081</v>
      </c>
      <c r="DC283" t="s">
        <v>4499</v>
      </c>
      <c r="DD283" t="s">
        <v>134</v>
      </c>
      <c r="DE283" t="s">
        <v>134</v>
      </c>
      <c r="DF283" t="str">
        <f>""</f>
        <v/>
      </c>
      <c r="DH283" s="6">
        <v>12.37</v>
      </c>
      <c r="DI283" t="s">
        <v>344</v>
      </c>
      <c r="DK283" t="s">
        <v>345</v>
      </c>
      <c r="DR283" t="s">
        <v>6420</v>
      </c>
      <c r="DS283" s="6">
        <v>12.37</v>
      </c>
      <c r="DT283" t="s">
        <v>424</v>
      </c>
      <c r="DU283" s="1">
        <v>44354</v>
      </c>
      <c r="DV283" s="1">
        <v>44443</v>
      </c>
    </row>
    <row r="284" spans="1:126" ht="15" customHeight="1" x14ac:dyDescent="0.35">
      <c r="A284" t="s">
        <v>18876</v>
      </c>
      <c r="B284" t="s">
        <v>318</v>
      </c>
      <c r="C284" s="1">
        <v>44326</v>
      </c>
      <c r="D284" s="1">
        <v>44354</v>
      </c>
      <c r="H284" t="s">
        <v>319</v>
      </c>
      <c r="I284" t="s">
        <v>3410</v>
      </c>
      <c r="J284" t="s">
        <v>3411</v>
      </c>
      <c r="L284" t="s">
        <v>1105</v>
      </c>
      <c r="M284" t="s">
        <v>3412</v>
      </c>
      <c r="O284" t="s">
        <v>3413</v>
      </c>
      <c r="P284" t="s">
        <v>412</v>
      </c>
      <c r="Q284" s="3">
        <v>78164</v>
      </c>
      <c r="R284" t="s">
        <v>128</v>
      </c>
      <c r="T284" s="4">
        <v>13615649504</v>
      </c>
      <c r="V284" t="s">
        <v>3414</v>
      </c>
      <c r="W284" t="s">
        <v>3415</v>
      </c>
      <c r="X284" t="s">
        <v>3416</v>
      </c>
      <c r="Y284" t="s">
        <v>3412</v>
      </c>
      <c r="AA284" t="s">
        <v>3413</v>
      </c>
      <c r="AB284" t="s">
        <v>400</v>
      </c>
      <c r="AC284" s="3" t="str">
        <f>"78164"</f>
        <v>78164</v>
      </c>
      <c r="AD284" t="s">
        <v>128</v>
      </c>
      <c r="AF284" s="4">
        <v>13615649504</v>
      </c>
      <c r="AH284" t="str">
        <f>"722511"</f>
        <v>722511</v>
      </c>
      <c r="AI284" t="s">
        <v>130</v>
      </c>
      <c r="AJ284" t="s">
        <v>3418</v>
      </c>
      <c r="AK284" t="s">
        <v>3419</v>
      </c>
      <c r="AL284" t="s">
        <v>3420</v>
      </c>
      <c r="AM284" t="s">
        <v>3421</v>
      </c>
      <c r="AO284" t="s">
        <v>699</v>
      </c>
      <c r="AP284" t="s">
        <v>400</v>
      </c>
      <c r="AQ284" s="5">
        <v>78278</v>
      </c>
      <c r="AR284" t="s">
        <v>128</v>
      </c>
      <c r="AT284" s="4">
        <v>12102513972</v>
      </c>
      <c r="AV284" t="s">
        <v>3422</v>
      </c>
      <c r="AW284" t="s">
        <v>18877</v>
      </c>
      <c r="AX284" t="s">
        <v>131</v>
      </c>
      <c r="AY284" t="s">
        <v>131</v>
      </c>
      <c r="AZ284" t="s">
        <v>131</v>
      </c>
      <c r="BA284" t="s">
        <v>131</v>
      </c>
      <c r="BB284" t="s">
        <v>131</v>
      </c>
      <c r="BC284" t="s">
        <v>131</v>
      </c>
      <c r="BD284" t="s">
        <v>131</v>
      </c>
      <c r="BE284" t="s">
        <v>132</v>
      </c>
      <c r="BH284" t="s">
        <v>18878</v>
      </c>
      <c r="BI284" t="s">
        <v>131</v>
      </c>
      <c r="BL284" t="s">
        <v>167</v>
      </c>
      <c r="BO284" t="s">
        <v>131</v>
      </c>
      <c r="BP284" t="s">
        <v>134</v>
      </c>
      <c r="BQ284" t="s">
        <v>131</v>
      </c>
      <c r="BS284" t="str">
        <f t="shared" si="26"/>
        <v>N/A</v>
      </c>
      <c r="BT284" t="s">
        <v>131</v>
      </c>
      <c r="BV284" t="str">
        <f>""</f>
        <v/>
      </c>
      <c r="BW284" t="s">
        <v>135</v>
      </c>
      <c r="BX284" t="str">
        <f>""</f>
        <v/>
      </c>
      <c r="BY284" t="str">
        <f>""</f>
        <v/>
      </c>
      <c r="BZ284" t="str">
        <f>""</f>
        <v/>
      </c>
      <c r="CA284" t="s">
        <v>18879</v>
      </c>
      <c r="CB284" t="s">
        <v>131</v>
      </c>
      <c r="CF284" t="s">
        <v>131</v>
      </c>
      <c r="CH284" t="str">
        <f>""</f>
        <v/>
      </c>
      <c r="CI284" t="s">
        <v>131</v>
      </c>
      <c r="CK284" t="s">
        <v>131</v>
      </c>
      <c r="CL284" t="str">
        <f>""</f>
        <v/>
      </c>
      <c r="CM284" t="str">
        <f>""</f>
        <v/>
      </c>
      <c r="CN284" t="str">
        <f>""</f>
        <v/>
      </c>
      <c r="CO284" t="str">
        <f>""</f>
        <v/>
      </c>
      <c r="CP284" t="str">
        <f>"35-3031.00"</f>
        <v>35-3031.00</v>
      </c>
      <c r="CQ284" t="s">
        <v>1214</v>
      </c>
      <c r="CS284" t="s">
        <v>131</v>
      </c>
      <c r="CU284" t="s">
        <v>3426</v>
      </c>
      <c r="CW284" t="s">
        <v>3706</v>
      </c>
      <c r="CX284" t="s">
        <v>400</v>
      </c>
      <c r="CZ284" s="3" t="str">
        <f>"77904"</f>
        <v>77904</v>
      </c>
      <c r="DA284" t="s">
        <v>131</v>
      </c>
      <c r="DB284" t="str">
        <f>"35-3031"</f>
        <v>35-3031</v>
      </c>
      <c r="DC284" t="s">
        <v>1214</v>
      </c>
      <c r="DD284" t="s">
        <v>134</v>
      </c>
      <c r="DE284" t="s">
        <v>134</v>
      </c>
      <c r="DF284" t="str">
        <f>""</f>
        <v/>
      </c>
      <c r="DH284" s="6">
        <v>10.29</v>
      </c>
      <c r="DI284" t="s">
        <v>344</v>
      </c>
      <c r="DK284" t="s">
        <v>345</v>
      </c>
      <c r="DR284" t="s">
        <v>3428</v>
      </c>
      <c r="DS284" s="6">
        <v>10.29</v>
      </c>
      <c r="DT284" t="s">
        <v>424</v>
      </c>
      <c r="DU284" s="1">
        <v>44354</v>
      </c>
      <c r="DV284" s="1">
        <v>44443</v>
      </c>
    </row>
    <row r="285" spans="1:126" ht="15" customHeight="1" x14ac:dyDescent="0.35">
      <c r="A285" t="s">
        <v>13008</v>
      </c>
      <c r="B285" t="s">
        <v>318</v>
      </c>
      <c r="C285" s="1">
        <v>44326</v>
      </c>
      <c r="D285" s="1">
        <v>44354</v>
      </c>
      <c r="H285" t="s">
        <v>319</v>
      </c>
      <c r="I285" t="s">
        <v>13009</v>
      </c>
      <c r="J285" t="s">
        <v>4653</v>
      </c>
      <c r="K285" t="s">
        <v>2600</v>
      </c>
      <c r="L285" t="s">
        <v>13010</v>
      </c>
      <c r="M285" t="s">
        <v>13011</v>
      </c>
      <c r="O285" t="s">
        <v>10973</v>
      </c>
      <c r="P285" t="s">
        <v>811</v>
      </c>
      <c r="Q285" s="3">
        <v>29928</v>
      </c>
      <c r="R285" t="s">
        <v>128</v>
      </c>
      <c r="T285" s="4">
        <v>18433418073</v>
      </c>
      <c r="V285" t="s">
        <v>13012</v>
      </c>
      <c r="W285" t="s">
        <v>13013</v>
      </c>
      <c r="X285" t="s">
        <v>13014</v>
      </c>
      <c r="Y285" t="s">
        <v>13011</v>
      </c>
      <c r="AA285" t="s">
        <v>10973</v>
      </c>
      <c r="AB285" t="s">
        <v>812</v>
      </c>
      <c r="AC285" s="3" t="str">
        <f>"29928"</f>
        <v>29928</v>
      </c>
      <c r="AD285" t="s">
        <v>128</v>
      </c>
      <c r="AF285" s="4">
        <v>18433418073</v>
      </c>
      <c r="AH285" t="str">
        <f>"7211"</f>
        <v>7211</v>
      </c>
      <c r="AI285" t="s">
        <v>287</v>
      </c>
      <c r="AJ285" t="s">
        <v>2209</v>
      </c>
      <c r="AK285" t="s">
        <v>1459</v>
      </c>
      <c r="AL285" t="s">
        <v>2210</v>
      </c>
      <c r="AM285" t="s">
        <v>2211</v>
      </c>
      <c r="AN285" t="s">
        <v>788</v>
      </c>
      <c r="AO285" t="s">
        <v>2212</v>
      </c>
      <c r="AP285" t="s">
        <v>400</v>
      </c>
      <c r="AQ285" s="5">
        <v>75033</v>
      </c>
      <c r="AR285" t="s">
        <v>128</v>
      </c>
      <c r="AT285" s="4">
        <v>19727789690</v>
      </c>
      <c r="AV285" t="s">
        <v>2320</v>
      </c>
      <c r="AW285" t="s">
        <v>2214</v>
      </c>
      <c r="AX285" t="s">
        <v>131</v>
      </c>
      <c r="AY285" t="s">
        <v>131</v>
      </c>
      <c r="AZ285" t="s">
        <v>131</v>
      </c>
      <c r="BA285" t="s">
        <v>131</v>
      </c>
      <c r="BB285" t="s">
        <v>131</v>
      </c>
      <c r="BC285" t="s">
        <v>131</v>
      </c>
      <c r="BD285" t="s">
        <v>131</v>
      </c>
      <c r="BE285" t="s">
        <v>132</v>
      </c>
      <c r="BH285" t="s">
        <v>1639</v>
      </c>
      <c r="BI285" t="s">
        <v>131</v>
      </c>
      <c r="BL285" t="s">
        <v>167</v>
      </c>
      <c r="BO285" t="s">
        <v>131</v>
      </c>
      <c r="BP285" t="s">
        <v>134</v>
      </c>
      <c r="BQ285" t="s">
        <v>131</v>
      </c>
      <c r="BS285" t="str">
        <f t="shared" si="26"/>
        <v>N/A</v>
      </c>
      <c r="BT285" t="s">
        <v>135</v>
      </c>
      <c r="BU285">
        <v>1</v>
      </c>
      <c r="BV285" t="str">
        <f>"hotel/resort Housekeeper"</f>
        <v>hotel/resort Housekeeper</v>
      </c>
      <c r="BW285" t="s">
        <v>135</v>
      </c>
      <c r="BX285" t="str">
        <f>""</f>
        <v/>
      </c>
      <c r="BY285" t="str">
        <f>""</f>
        <v/>
      </c>
      <c r="BZ285" t="str">
        <f>""</f>
        <v/>
      </c>
      <c r="CA285" t="str">
        <f>"Must be able to lift, push, and pull 50 lbs.
Must be able to work weekends and holidays.
Applicants must complete an employment application. "</f>
        <v xml:space="preserve">Must be able to lift, push, and pull 50 lbs.
Must be able to work weekends and holidays.
Applicants must complete an employment application. </v>
      </c>
      <c r="CB285" t="s">
        <v>131</v>
      </c>
      <c r="CF285" t="s">
        <v>131</v>
      </c>
      <c r="CH285" t="str">
        <f>""</f>
        <v/>
      </c>
      <c r="CI285" t="s">
        <v>131</v>
      </c>
      <c r="CK285" t="s">
        <v>131</v>
      </c>
      <c r="CL285" t="str">
        <f>""</f>
        <v/>
      </c>
      <c r="CM285" t="str">
        <f>""</f>
        <v/>
      </c>
      <c r="CN285" t="str">
        <f>""</f>
        <v/>
      </c>
      <c r="CO285" t="str">
        <f>""</f>
        <v/>
      </c>
      <c r="CP285" t="str">
        <f>"37-2012.00"</f>
        <v>37-2012.00</v>
      </c>
      <c r="CQ285" t="s">
        <v>479</v>
      </c>
      <c r="CS285" t="s">
        <v>131</v>
      </c>
      <c r="CU285" t="s">
        <v>13011</v>
      </c>
      <c r="CW285" t="s">
        <v>10973</v>
      </c>
      <c r="CX285" t="s">
        <v>812</v>
      </c>
      <c r="CZ285" s="3" t="str">
        <f>"29928"</f>
        <v>29928</v>
      </c>
      <c r="DA285" t="s">
        <v>131</v>
      </c>
      <c r="DB285" t="str">
        <f>"37-2012"</f>
        <v>37-2012</v>
      </c>
      <c r="DC285" t="s">
        <v>479</v>
      </c>
      <c r="DD285" t="s">
        <v>134</v>
      </c>
      <c r="DE285" t="s">
        <v>134</v>
      </c>
      <c r="DF285" t="str">
        <f>""</f>
        <v/>
      </c>
      <c r="DH285" s="6">
        <v>11.61</v>
      </c>
      <c r="DI285" t="s">
        <v>344</v>
      </c>
      <c r="DK285" t="s">
        <v>345</v>
      </c>
      <c r="DR285" t="s">
        <v>6420</v>
      </c>
      <c r="DS285" s="6">
        <v>11.61</v>
      </c>
      <c r="DT285" t="s">
        <v>424</v>
      </c>
      <c r="DU285" s="1">
        <v>44354</v>
      </c>
      <c r="DV285" s="1">
        <v>44443</v>
      </c>
    </row>
    <row r="286" spans="1:126" ht="15" customHeight="1" x14ac:dyDescent="0.35">
      <c r="A286" t="s">
        <v>19909</v>
      </c>
      <c r="B286" t="s">
        <v>318</v>
      </c>
      <c r="C286" s="1">
        <v>44326</v>
      </c>
      <c r="D286" s="1">
        <v>44354</v>
      </c>
      <c r="H286" t="s">
        <v>319</v>
      </c>
      <c r="I286" t="s">
        <v>13009</v>
      </c>
      <c r="J286" t="s">
        <v>4653</v>
      </c>
      <c r="K286" t="s">
        <v>2600</v>
      </c>
      <c r="L286" t="s">
        <v>13010</v>
      </c>
      <c r="M286" t="s">
        <v>13011</v>
      </c>
      <c r="O286" t="s">
        <v>10973</v>
      </c>
      <c r="P286" t="s">
        <v>811</v>
      </c>
      <c r="Q286" s="3">
        <v>29928</v>
      </c>
      <c r="R286" t="s">
        <v>128</v>
      </c>
      <c r="T286" s="4">
        <v>18433418073</v>
      </c>
      <c r="V286" t="s">
        <v>13012</v>
      </c>
      <c r="W286" t="s">
        <v>13013</v>
      </c>
      <c r="X286" t="s">
        <v>13014</v>
      </c>
      <c r="Y286" t="s">
        <v>13011</v>
      </c>
      <c r="AA286" t="s">
        <v>10973</v>
      </c>
      <c r="AB286" t="s">
        <v>812</v>
      </c>
      <c r="AC286" s="3" t="str">
        <f>"29928"</f>
        <v>29928</v>
      </c>
      <c r="AD286" t="s">
        <v>128</v>
      </c>
      <c r="AF286" s="4">
        <v>18433418073</v>
      </c>
      <c r="AH286" t="str">
        <f>"7211"</f>
        <v>7211</v>
      </c>
      <c r="AI286" t="s">
        <v>287</v>
      </c>
      <c r="AJ286" t="s">
        <v>2209</v>
      </c>
      <c r="AK286" t="s">
        <v>1459</v>
      </c>
      <c r="AL286" t="s">
        <v>2210</v>
      </c>
      <c r="AM286" t="s">
        <v>2211</v>
      </c>
      <c r="AN286" t="s">
        <v>788</v>
      </c>
      <c r="AO286" t="s">
        <v>2212</v>
      </c>
      <c r="AP286" t="s">
        <v>400</v>
      </c>
      <c r="AQ286" s="5">
        <v>75033</v>
      </c>
      <c r="AR286" t="s">
        <v>128</v>
      </c>
      <c r="AT286" s="4">
        <v>19727789690</v>
      </c>
      <c r="AV286" t="s">
        <v>2320</v>
      </c>
      <c r="AW286" t="s">
        <v>2214</v>
      </c>
      <c r="AX286" t="s">
        <v>131</v>
      </c>
      <c r="AY286" t="s">
        <v>131</v>
      </c>
      <c r="AZ286" t="s">
        <v>131</v>
      </c>
      <c r="BA286" t="s">
        <v>131</v>
      </c>
      <c r="BB286" t="s">
        <v>131</v>
      </c>
      <c r="BC286" t="s">
        <v>131</v>
      </c>
      <c r="BD286" t="s">
        <v>131</v>
      </c>
      <c r="BE286" t="s">
        <v>132</v>
      </c>
      <c r="BH286" t="s">
        <v>6385</v>
      </c>
      <c r="BI286" t="s">
        <v>131</v>
      </c>
      <c r="BL286" t="s">
        <v>167</v>
      </c>
      <c r="BO286" t="s">
        <v>131</v>
      </c>
      <c r="BP286" t="s">
        <v>134</v>
      </c>
      <c r="BQ286" t="s">
        <v>131</v>
      </c>
      <c r="BS286" t="str">
        <f t="shared" si="26"/>
        <v>N/A</v>
      </c>
      <c r="BT286" t="s">
        <v>135</v>
      </c>
      <c r="BU286">
        <v>1</v>
      </c>
      <c r="BV286" t="str">
        <f>"hotel/resort Dishwasher"</f>
        <v>hotel/resort Dishwasher</v>
      </c>
      <c r="BW286" t="s">
        <v>135</v>
      </c>
      <c r="BX286" t="str">
        <f>"ServSafe Food Handler certification required."</f>
        <v>ServSafe Food Handler certification required.</v>
      </c>
      <c r="BY286" t="str">
        <f>""</f>
        <v/>
      </c>
      <c r="BZ286" t="str">
        <f>""</f>
        <v/>
      </c>
      <c r="CA286" t="str">
        <f>"Must be able to lift, push, and pull 50 lbs. 
Must be able to work weekends and holidays.
Applicants must complete an employment application. "</f>
        <v xml:space="preserve">Must be able to lift, push, and pull 50 lbs. 
Must be able to work weekends and holidays.
Applicants must complete an employment application. </v>
      </c>
      <c r="CB286" t="s">
        <v>131</v>
      </c>
      <c r="CF286" t="s">
        <v>131</v>
      </c>
      <c r="CH286" t="str">
        <f>""</f>
        <v/>
      </c>
      <c r="CI286" t="s">
        <v>131</v>
      </c>
      <c r="CK286" t="s">
        <v>131</v>
      </c>
      <c r="CL286" t="str">
        <f>""</f>
        <v/>
      </c>
      <c r="CM286" t="str">
        <f>""</f>
        <v/>
      </c>
      <c r="CN286" t="str">
        <f>""</f>
        <v/>
      </c>
      <c r="CO286" t="str">
        <f>""</f>
        <v/>
      </c>
      <c r="CP286" t="str">
        <f>"35-9021.00"</f>
        <v>35-9021.00</v>
      </c>
      <c r="CQ286" t="s">
        <v>2552</v>
      </c>
      <c r="CS286" t="s">
        <v>131</v>
      </c>
      <c r="CU286" t="s">
        <v>13011</v>
      </c>
      <c r="CW286" t="s">
        <v>10973</v>
      </c>
      <c r="CX286" t="s">
        <v>812</v>
      </c>
      <c r="CZ286" s="3" t="str">
        <f>"29928"</f>
        <v>29928</v>
      </c>
      <c r="DA286" t="s">
        <v>131</v>
      </c>
      <c r="DB286" t="str">
        <f>"35-9021"</f>
        <v>35-9021</v>
      </c>
      <c r="DC286" t="s">
        <v>2552</v>
      </c>
      <c r="DD286" t="s">
        <v>134</v>
      </c>
      <c r="DE286" t="s">
        <v>134</v>
      </c>
      <c r="DF286" t="str">
        <f>""</f>
        <v/>
      </c>
      <c r="DH286" s="6">
        <v>11.45</v>
      </c>
      <c r="DI286" t="s">
        <v>344</v>
      </c>
      <c r="DK286" t="s">
        <v>345</v>
      </c>
      <c r="DR286" t="s">
        <v>6420</v>
      </c>
      <c r="DS286" s="6">
        <v>11.45</v>
      </c>
      <c r="DT286" t="s">
        <v>424</v>
      </c>
      <c r="DU286" s="1">
        <v>44354</v>
      </c>
      <c r="DV286" s="1">
        <v>44443</v>
      </c>
    </row>
    <row r="287" spans="1:126" ht="15" customHeight="1" x14ac:dyDescent="0.35">
      <c r="A287" t="s">
        <v>16294</v>
      </c>
      <c r="B287" t="s">
        <v>318</v>
      </c>
      <c r="C287" s="1">
        <v>44326</v>
      </c>
      <c r="D287" s="1">
        <v>44354</v>
      </c>
      <c r="H287" t="s">
        <v>319</v>
      </c>
      <c r="I287" t="s">
        <v>13009</v>
      </c>
      <c r="J287" t="s">
        <v>4653</v>
      </c>
      <c r="K287" t="s">
        <v>2600</v>
      </c>
      <c r="L287" t="s">
        <v>13010</v>
      </c>
      <c r="M287" t="s">
        <v>13011</v>
      </c>
      <c r="O287" t="s">
        <v>10973</v>
      </c>
      <c r="P287" t="s">
        <v>811</v>
      </c>
      <c r="Q287" s="3">
        <v>29928</v>
      </c>
      <c r="R287" t="s">
        <v>128</v>
      </c>
      <c r="T287" s="4">
        <v>18433418073</v>
      </c>
      <c r="V287" t="s">
        <v>13012</v>
      </c>
      <c r="W287" t="s">
        <v>13013</v>
      </c>
      <c r="X287" t="s">
        <v>13014</v>
      </c>
      <c r="Y287" t="s">
        <v>13011</v>
      </c>
      <c r="AA287" t="s">
        <v>10973</v>
      </c>
      <c r="AB287" t="s">
        <v>812</v>
      </c>
      <c r="AC287" s="3" t="str">
        <f>"29928"</f>
        <v>29928</v>
      </c>
      <c r="AD287" t="s">
        <v>128</v>
      </c>
      <c r="AF287" s="4">
        <v>18433418073</v>
      </c>
      <c r="AH287" t="str">
        <f>"7211"</f>
        <v>7211</v>
      </c>
      <c r="AI287" t="s">
        <v>287</v>
      </c>
      <c r="AJ287" t="s">
        <v>2209</v>
      </c>
      <c r="AK287" t="s">
        <v>1459</v>
      </c>
      <c r="AL287" t="s">
        <v>2210</v>
      </c>
      <c r="AM287" t="s">
        <v>2211</v>
      </c>
      <c r="AN287" t="s">
        <v>788</v>
      </c>
      <c r="AO287" t="s">
        <v>2212</v>
      </c>
      <c r="AP287" t="s">
        <v>400</v>
      </c>
      <c r="AQ287" s="5">
        <v>75033</v>
      </c>
      <c r="AR287" t="s">
        <v>128</v>
      </c>
      <c r="AT287" s="4">
        <v>19727789690</v>
      </c>
      <c r="AV287" t="s">
        <v>2320</v>
      </c>
      <c r="AW287" t="s">
        <v>2214</v>
      </c>
      <c r="AX287" t="s">
        <v>131</v>
      </c>
      <c r="AY287" t="s">
        <v>131</v>
      </c>
      <c r="AZ287" t="s">
        <v>131</v>
      </c>
      <c r="BA287" t="s">
        <v>131</v>
      </c>
      <c r="BB287" t="s">
        <v>131</v>
      </c>
      <c r="BC287" t="s">
        <v>131</v>
      </c>
      <c r="BD287" t="s">
        <v>131</v>
      </c>
      <c r="BE287" t="s">
        <v>132</v>
      </c>
      <c r="BH287" t="s">
        <v>16295</v>
      </c>
      <c r="BI287" t="s">
        <v>131</v>
      </c>
      <c r="BL287" t="s">
        <v>167</v>
      </c>
      <c r="BO287" t="s">
        <v>131</v>
      </c>
      <c r="BP287" t="s">
        <v>134</v>
      </c>
      <c r="BQ287" t="s">
        <v>131</v>
      </c>
      <c r="BS287" t="str">
        <f t="shared" si="26"/>
        <v>N/A</v>
      </c>
      <c r="BT287" t="s">
        <v>135</v>
      </c>
      <c r="BU287">
        <v>2</v>
      </c>
      <c r="BV287" t="str">
        <f>"hotel/resort Bell Person"</f>
        <v>hotel/resort Bell Person</v>
      </c>
      <c r="BW287" t="s">
        <v>135</v>
      </c>
      <c r="BX287" t="str">
        <f>"Valid driver's license required."</f>
        <v>Valid driver's license required.</v>
      </c>
      <c r="BY287" t="str">
        <f>""</f>
        <v/>
      </c>
      <c r="BZ287" t="str">
        <f>""</f>
        <v/>
      </c>
      <c r="CA287" t="str">
        <f>"Must be able to lift 50 lbs. 
Must be able to work weekends and holidays.
Applicants must complete an employment application. "</f>
        <v xml:space="preserve">Must be able to lift 50 lbs. 
Must be able to work weekends and holidays.
Applicants must complete an employment application. </v>
      </c>
      <c r="CB287" t="s">
        <v>131</v>
      </c>
      <c r="CF287" t="s">
        <v>131</v>
      </c>
      <c r="CH287" t="str">
        <f>""</f>
        <v/>
      </c>
      <c r="CI287" t="s">
        <v>131</v>
      </c>
      <c r="CK287" t="s">
        <v>131</v>
      </c>
      <c r="CL287" t="str">
        <f>""</f>
        <v/>
      </c>
      <c r="CM287" t="str">
        <f>""</f>
        <v/>
      </c>
      <c r="CN287" t="str">
        <f>""</f>
        <v/>
      </c>
      <c r="CO287" t="str">
        <f>""</f>
        <v/>
      </c>
      <c r="CP287" t="str">
        <f>"39-6011.00"</f>
        <v>39-6011.00</v>
      </c>
      <c r="CQ287" t="s">
        <v>7982</v>
      </c>
      <c r="CS287" t="s">
        <v>131</v>
      </c>
      <c r="CU287" t="s">
        <v>13011</v>
      </c>
      <c r="CW287" t="s">
        <v>10973</v>
      </c>
      <c r="CX287" t="s">
        <v>812</v>
      </c>
      <c r="CZ287" s="3" t="str">
        <f>"29928"</f>
        <v>29928</v>
      </c>
      <c r="DA287" t="s">
        <v>131</v>
      </c>
      <c r="DB287" t="str">
        <f>"39-6011"</f>
        <v>39-6011</v>
      </c>
      <c r="DC287" t="s">
        <v>7982</v>
      </c>
      <c r="DD287" t="s">
        <v>134</v>
      </c>
      <c r="DE287" t="s">
        <v>134</v>
      </c>
      <c r="DF287" t="str">
        <f>""</f>
        <v/>
      </c>
      <c r="DH287" s="6">
        <v>9.7799999999999994</v>
      </c>
      <c r="DI287" t="s">
        <v>344</v>
      </c>
      <c r="DK287" t="s">
        <v>345</v>
      </c>
      <c r="DR287" t="s">
        <v>6420</v>
      </c>
      <c r="DS287" s="6">
        <v>9.7799999999999994</v>
      </c>
      <c r="DT287" t="s">
        <v>424</v>
      </c>
      <c r="DU287" s="1">
        <v>44354</v>
      </c>
      <c r="DV287" s="1">
        <v>44443</v>
      </c>
    </row>
    <row r="288" spans="1:126" ht="15" customHeight="1" x14ac:dyDescent="0.35">
      <c r="A288" t="s">
        <v>13905</v>
      </c>
      <c r="B288" t="s">
        <v>318</v>
      </c>
      <c r="C288" s="1">
        <v>44326</v>
      </c>
      <c r="D288" s="1">
        <v>44354</v>
      </c>
      <c r="H288" t="s">
        <v>319</v>
      </c>
      <c r="I288" t="s">
        <v>13906</v>
      </c>
      <c r="J288" t="s">
        <v>13907</v>
      </c>
      <c r="K288" t="s">
        <v>13908</v>
      </c>
      <c r="L288" t="s">
        <v>460</v>
      </c>
      <c r="M288" t="s">
        <v>13909</v>
      </c>
      <c r="O288" t="s">
        <v>13910</v>
      </c>
      <c r="P288" t="s">
        <v>412</v>
      </c>
      <c r="Q288" s="3">
        <v>78013</v>
      </c>
      <c r="R288" t="s">
        <v>128</v>
      </c>
      <c r="T288" s="4">
        <v>12102605516</v>
      </c>
      <c r="V288" t="s">
        <v>13911</v>
      </c>
      <c r="W288" t="s">
        <v>13912</v>
      </c>
      <c r="Y288" t="s">
        <v>13913</v>
      </c>
      <c r="AA288" t="s">
        <v>13910</v>
      </c>
      <c r="AB288" t="s">
        <v>400</v>
      </c>
      <c r="AC288" s="3" t="str">
        <f>"78013"</f>
        <v>78013</v>
      </c>
      <c r="AD288" t="s">
        <v>128</v>
      </c>
      <c r="AF288" s="4">
        <v>18309955509</v>
      </c>
      <c r="AH288" t="str">
        <f>"44521"</f>
        <v>44521</v>
      </c>
      <c r="AI288" t="s">
        <v>167</v>
      </c>
      <c r="AX288" t="s">
        <v>131</v>
      </c>
      <c r="AY288" t="s">
        <v>131</v>
      </c>
      <c r="AZ288" t="s">
        <v>131</v>
      </c>
      <c r="BA288" t="s">
        <v>131</v>
      </c>
      <c r="BB288" t="s">
        <v>131</v>
      </c>
      <c r="BC288" t="s">
        <v>131</v>
      </c>
      <c r="BD288" t="s">
        <v>131</v>
      </c>
      <c r="BE288" t="s">
        <v>132</v>
      </c>
      <c r="BH288" t="s">
        <v>13914</v>
      </c>
      <c r="BI288" t="s">
        <v>131</v>
      </c>
      <c r="BL288" t="s">
        <v>167</v>
      </c>
      <c r="BO288" t="s">
        <v>131</v>
      </c>
      <c r="BP288" t="s">
        <v>134</v>
      </c>
      <c r="BQ288" t="s">
        <v>131</v>
      </c>
      <c r="BS288" t="str">
        <f t="shared" si="26"/>
        <v>N/A</v>
      </c>
      <c r="BT288" t="s">
        <v>131</v>
      </c>
      <c r="BV288" t="str">
        <f>""</f>
        <v/>
      </c>
      <c r="BW288" t="s">
        <v>131</v>
      </c>
      <c r="BX288" t="str">
        <f>""</f>
        <v/>
      </c>
      <c r="BY288" t="str">
        <f>""</f>
        <v/>
      </c>
      <c r="BZ288" t="str">
        <f>""</f>
        <v/>
      </c>
      <c r="CA288" t="str">
        <f>""</f>
        <v/>
      </c>
      <c r="CB288" t="s">
        <v>131</v>
      </c>
      <c r="CF288" t="s">
        <v>131</v>
      </c>
      <c r="CH288" t="str">
        <f>""</f>
        <v/>
      </c>
      <c r="CI288" t="s">
        <v>131</v>
      </c>
      <c r="CK288" t="s">
        <v>131</v>
      </c>
      <c r="CL288" t="str">
        <f>""</f>
        <v/>
      </c>
      <c r="CM288" t="str">
        <f>""</f>
        <v/>
      </c>
      <c r="CN288" t="str">
        <f>""</f>
        <v/>
      </c>
      <c r="CO288" t="str">
        <f>""</f>
        <v/>
      </c>
      <c r="CP288" t="str">
        <f>"51-3099.00"</f>
        <v>51-3099.00</v>
      </c>
      <c r="CQ288" t="s">
        <v>12787</v>
      </c>
      <c r="CS288" t="s">
        <v>131</v>
      </c>
      <c r="CU288" t="s">
        <v>13913</v>
      </c>
      <c r="CW288" t="s">
        <v>13910</v>
      </c>
      <c r="CX288" t="s">
        <v>400</v>
      </c>
      <c r="CZ288" s="3" t="str">
        <f>"78013"</f>
        <v>78013</v>
      </c>
      <c r="DA288" t="s">
        <v>131</v>
      </c>
      <c r="DB288" t="str">
        <f>"51-3091"</f>
        <v>51-3091</v>
      </c>
      <c r="DC288" t="s">
        <v>5663</v>
      </c>
      <c r="DD288" t="s">
        <v>134</v>
      </c>
      <c r="DE288" t="s">
        <v>134</v>
      </c>
      <c r="DF288" t="str">
        <f>""</f>
        <v/>
      </c>
      <c r="DH288" s="6">
        <v>14.21</v>
      </c>
      <c r="DI288" t="s">
        <v>344</v>
      </c>
      <c r="DK288" t="s">
        <v>345</v>
      </c>
      <c r="DR288" t="s">
        <v>3920</v>
      </c>
      <c r="DS288" s="6">
        <v>14.21</v>
      </c>
      <c r="DT288" t="s">
        <v>424</v>
      </c>
      <c r="DU288" s="1">
        <v>44354</v>
      </c>
      <c r="DV288" s="1">
        <v>44443</v>
      </c>
    </row>
    <row r="289" spans="1:126" ht="15" customHeight="1" x14ac:dyDescent="0.35">
      <c r="A289" t="s">
        <v>19673</v>
      </c>
      <c r="B289" t="s">
        <v>318</v>
      </c>
      <c r="C289" s="1">
        <v>44326</v>
      </c>
      <c r="D289" s="1">
        <v>44354</v>
      </c>
      <c r="H289" t="s">
        <v>319</v>
      </c>
      <c r="I289" t="s">
        <v>13590</v>
      </c>
      <c r="J289" t="s">
        <v>13591</v>
      </c>
      <c r="L289" t="s">
        <v>907</v>
      </c>
      <c r="M289" t="s">
        <v>13592</v>
      </c>
      <c r="N289" t="s">
        <v>134</v>
      </c>
      <c r="O289" t="s">
        <v>1677</v>
      </c>
      <c r="P289" t="s">
        <v>857</v>
      </c>
      <c r="Q289" s="3">
        <v>85260</v>
      </c>
      <c r="R289" t="s">
        <v>128</v>
      </c>
      <c r="S289" t="s">
        <v>134</v>
      </c>
      <c r="T289" s="4">
        <v>16027614568</v>
      </c>
      <c r="V289" t="s">
        <v>13593</v>
      </c>
      <c r="W289" t="s">
        <v>13594</v>
      </c>
      <c r="X289" t="s">
        <v>13595</v>
      </c>
      <c r="Y289" t="s">
        <v>13592</v>
      </c>
      <c r="Z289" t="s">
        <v>134</v>
      </c>
      <c r="AA289" t="s">
        <v>1677</v>
      </c>
      <c r="AB289" t="s">
        <v>808</v>
      </c>
      <c r="AC289" s="3" t="str">
        <f>"85260"</f>
        <v>85260</v>
      </c>
      <c r="AD289" t="s">
        <v>128</v>
      </c>
      <c r="AE289" t="s">
        <v>134</v>
      </c>
      <c r="AF289" s="4">
        <v>16027614570</v>
      </c>
      <c r="AH289" t="str">
        <f>"721110"</f>
        <v>721110</v>
      </c>
      <c r="AI289" t="s">
        <v>130</v>
      </c>
      <c r="AJ289" t="s">
        <v>1386</v>
      </c>
      <c r="AK289" t="s">
        <v>1387</v>
      </c>
      <c r="AL289" t="s">
        <v>1036</v>
      </c>
      <c r="AM289" t="s">
        <v>1388</v>
      </c>
      <c r="AN289" t="s">
        <v>997</v>
      </c>
      <c r="AO289" t="s">
        <v>719</v>
      </c>
      <c r="AP289" t="s">
        <v>377</v>
      </c>
      <c r="AQ289" s="5">
        <v>1701</v>
      </c>
      <c r="AR289" t="s">
        <v>128</v>
      </c>
      <c r="AS289" t="s">
        <v>134</v>
      </c>
      <c r="AT289" s="4">
        <v>16179399444</v>
      </c>
      <c r="AV289" t="s">
        <v>1389</v>
      </c>
      <c r="AW289" t="s">
        <v>1390</v>
      </c>
      <c r="AX289" t="s">
        <v>131</v>
      </c>
      <c r="AY289" t="s">
        <v>131</v>
      </c>
      <c r="AZ289" t="s">
        <v>131</v>
      </c>
      <c r="BA289" t="s">
        <v>131</v>
      </c>
      <c r="BB289" t="s">
        <v>131</v>
      </c>
      <c r="BC289" t="s">
        <v>131</v>
      </c>
      <c r="BD289" t="s">
        <v>131</v>
      </c>
      <c r="BE289" t="s">
        <v>132</v>
      </c>
      <c r="BH289" t="s">
        <v>6385</v>
      </c>
      <c r="BI289" t="s">
        <v>131</v>
      </c>
      <c r="BL289" t="s">
        <v>167</v>
      </c>
      <c r="BO289" t="s">
        <v>131</v>
      </c>
      <c r="BP289" t="s">
        <v>134</v>
      </c>
      <c r="BQ289" t="s">
        <v>131</v>
      </c>
      <c r="BS289" t="str">
        <f t="shared" si="26"/>
        <v>N/A</v>
      </c>
      <c r="BT289" t="s">
        <v>135</v>
      </c>
      <c r="BU289">
        <v>3</v>
      </c>
      <c r="BV289" t="str">
        <f>"Steward"</f>
        <v>Steward</v>
      </c>
      <c r="BW289" t="s">
        <v>135</v>
      </c>
      <c r="BX289" t="str">
        <f>""</f>
        <v/>
      </c>
      <c r="BY289" t="str">
        <f>""</f>
        <v/>
      </c>
      <c r="BZ289" t="str">
        <f>""</f>
        <v/>
      </c>
      <c r="CA289" s="2" t="s">
        <v>19674</v>
      </c>
      <c r="CB289" t="s">
        <v>131</v>
      </c>
      <c r="CF289" t="s">
        <v>131</v>
      </c>
      <c r="CH289" t="str">
        <f>""</f>
        <v/>
      </c>
      <c r="CI289" t="s">
        <v>131</v>
      </c>
      <c r="CK289" t="s">
        <v>131</v>
      </c>
      <c r="CL289" t="str">
        <f>""</f>
        <v/>
      </c>
      <c r="CM289" t="str">
        <f>""</f>
        <v/>
      </c>
      <c r="CN289" t="str">
        <f>""</f>
        <v/>
      </c>
      <c r="CO289" t="str">
        <f>""</f>
        <v/>
      </c>
      <c r="CP289" t="str">
        <f>"35-9021.00"</f>
        <v>35-9021.00</v>
      </c>
      <c r="CQ289" t="s">
        <v>2552</v>
      </c>
      <c r="CR289" t="s">
        <v>1941</v>
      </c>
      <c r="CS289" t="s">
        <v>131</v>
      </c>
      <c r="CU289" t="s">
        <v>19675</v>
      </c>
      <c r="CV289" t="s">
        <v>134</v>
      </c>
      <c r="CW289" t="s">
        <v>2474</v>
      </c>
      <c r="CX289" t="s">
        <v>808</v>
      </c>
      <c r="CZ289" s="3" t="str">
        <f>"85342"</f>
        <v>85342</v>
      </c>
      <c r="DA289" t="s">
        <v>131</v>
      </c>
      <c r="DB289" t="str">
        <f>"35-9021"</f>
        <v>35-9021</v>
      </c>
      <c r="DC289" t="s">
        <v>2552</v>
      </c>
      <c r="DD289" t="s">
        <v>134</v>
      </c>
      <c r="DE289" t="s">
        <v>134</v>
      </c>
      <c r="DF289" t="str">
        <f>""</f>
        <v/>
      </c>
      <c r="DH289" s="6">
        <v>12.17</v>
      </c>
      <c r="DI289" t="s">
        <v>344</v>
      </c>
      <c r="DK289" t="s">
        <v>345</v>
      </c>
      <c r="DS289" s="6">
        <v>12.17</v>
      </c>
      <c r="DT289" t="s">
        <v>424</v>
      </c>
      <c r="DU289" s="1">
        <v>44354</v>
      </c>
      <c r="DV289" s="1">
        <v>44443</v>
      </c>
    </row>
    <row r="290" spans="1:126" ht="15" customHeight="1" x14ac:dyDescent="0.35">
      <c r="A290" t="s">
        <v>19407</v>
      </c>
      <c r="B290" t="s">
        <v>318</v>
      </c>
      <c r="C290" s="1">
        <v>44326</v>
      </c>
      <c r="D290" s="1">
        <v>44354</v>
      </c>
      <c r="H290" t="s">
        <v>319</v>
      </c>
      <c r="I290" t="s">
        <v>13590</v>
      </c>
      <c r="J290" t="s">
        <v>13591</v>
      </c>
      <c r="L290" t="s">
        <v>907</v>
      </c>
      <c r="M290" t="s">
        <v>13592</v>
      </c>
      <c r="N290" t="s">
        <v>134</v>
      </c>
      <c r="O290" t="s">
        <v>1677</v>
      </c>
      <c r="P290" t="s">
        <v>857</v>
      </c>
      <c r="Q290" s="3">
        <v>85260</v>
      </c>
      <c r="R290" t="s">
        <v>128</v>
      </c>
      <c r="S290" t="s">
        <v>134</v>
      </c>
      <c r="T290" s="4">
        <v>16027614568</v>
      </c>
      <c r="V290" t="s">
        <v>13593</v>
      </c>
      <c r="W290" t="s">
        <v>13594</v>
      </c>
      <c r="X290" t="s">
        <v>13595</v>
      </c>
      <c r="Y290" t="s">
        <v>13592</v>
      </c>
      <c r="Z290" t="s">
        <v>134</v>
      </c>
      <c r="AA290" t="s">
        <v>1677</v>
      </c>
      <c r="AB290" t="s">
        <v>808</v>
      </c>
      <c r="AC290" s="3" t="str">
        <f>"85260"</f>
        <v>85260</v>
      </c>
      <c r="AD290" t="s">
        <v>128</v>
      </c>
      <c r="AE290" t="s">
        <v>134</v>
      </c>
      <c r="AF290" s="4">
        <v>16027614570</v>
      </c>
      <c r="AH290" t="str">
        <f>"721110"</f>
        <v>721110</v>
      </c>
      <c r="AI290" t="s">
        <v>130</v>
      </c>
      <c r="AJ290" t="s">
        <v>1386</v>
      </c>
      <c r="AK290" t="s">
        <v>1387</v>
      </c>
      <c r="AL290" t="s">
        <v>1036</v>
      </c>
      <c r="AM290" t="s">
        <v>1388</v>
      </c>
      <c r="AN290" t="s">
        <v>997</v>
      </c>
      <c r="AO290" t="s">
        <v>719</v>
      </c>
      <c r="AP290" t="s">
        <v>377</v>
      </c>
      <c r="AQ290" s="5">
        <v>1701</v>
      </c>
      <c r="AR290" t="s">
        <v>128</v>
      </c>
      <c r="AS290" t="s">
        <v>134</v>
      </c>
      <c r="AT290" s="4">
        <v>16179399444</v>
      </c>
      <c r="AV290" t="s">
        <v>1389</v>
      </c>
      <c r="AW290" t="s">
        <v>1390</v>
      </c>
      <c r="AX290" t="s">
        <v>131</v>
      </c>
      <c r="AY290" t="s">
        <v>131</v>
      </c>
      <c r="AZ290" t="s">
        <v>131</v>
      </c>
      <c r="BA290" t="s">
        <v>131</v>
      </c>
      <c r="BB290" t="s">
        <v>131</v>
      </c>
      <c r="BC290" t="s">
        <v>131</v>
      </c>
      <c r="BD290" t="s">
        <v>131</v>
      </c>
      <c r="BE290" t="s">
        <v>132</v>
      </c>
      <c r="BH290" t="s">
        <v>1213</v>
      </c>
      <c r="BI290" t="s">
        <v>131</v>
      </c>
      <c r="BL290" t="s">
        <v>167</v>
      </c>
      <c r="BO290" t="s">
        <v>131</v>
      </c>
      <c r="BP290" t="s">
        <v>134</v>
      </c>
      <c r="BQ290" t="s">
        <v>131</v>
      </c>
      <c r="BS290" t="str">
        <f t="shared" si="26"/>
        <v>N/A</v>
      </c>
      <c r="BT290" t="s">
        <v>135</v>
      </c>
      <c r="BU290">
        <v>6</v>
      </c>
      <c r="BV290" t="str">
        <f>"Server"</f>
        <v>Server</v>
      </c>
      <c r="BW290" t="s">
        <v>135</v>
      </c>
      <c r="BX290" t="str">
        <f>""</f>
        <v/>
      </c>
      <c r="BY290" t="str">
        <f>""</f>
        <v/>
      </c>
      <c r="BZ290" t="str">
        <f>""</f>
        <v/>
      </c>
      <c r="CA290" s="2" t="s">
        <v>4141</v>
      </c>
      <c r="CB290" t="s">
        <v>131</v>
      </c>
      <c r="CF290" t="s">
        <v>131</v>
      </c>
      <c r="CH290" t="str">
        <f>""</f>
        <v/>
      </c>
      <c r="CI290" t="s">
        <v>131</v>
      </c>
      <c r="CK290" t="s">
        <v>131</v>
      </c>
      <c r="CL290" t="str">
        <f>""</f>
        <v/>
      </c>
      <c r="CM290" t="str">
        <f>""</f>
        <v/>
      </c>
      <c r="CN290" t="str">
        <f>""</f>
        <v/>
      </c>
      <c r="CO290" t="str">
        <f>""</f>
        <v/>
      </c>
      <c r="CP290" t="str">
        <f>"35-3031.00"</f>
        <v>35-3031.00</v>
      </c>
      <c r="CQ290" t="s">
        <v>1214</v>
      </c>
      <c r="CR290" t="s">
        <v>1391</v>
      </c>
      <c r="CS290" t="s">
        <v>131</v>
      </c>
      <c r="CU290" t="s">
        <v>13597</v>
      </c>
      <c r="CV290" t="s">
        <v>134</v>
      </c>
      <c r="CW290" t="s">
        <v>2474</v>
      </c>
      <c r="CX290" t="s">
        <v>808</v>
      </c>
      <c r="CZ290" s="3" t="str">
        <f>"85342"</f>
        <v>85342</v>
      </c>
      <c r="DA290" t="s">
        <v>131</v>
      </c>
      <c r="DB290" t="str">
        <f>"35-3031"</f>
        <v>35-3031</v>
      </c>
      <c r="DC290" t="s">
        <v>1214</v>
      </c>
      <c r="DD290" t="s">
        <v>134</v>
      </c>
      <c r="DE290" t="s">
        <v>134</v>
      </c>
      <c r="DF290" t="str">
        <f>""</f>
        <v/>
      </c>
      <c r="DH290" s="6">
        <v>14.68</v>
      </c>
      <c r="DI290" t="s">
        <v>344</v>
      </c>
      <c r="DK290" t="s">
        <v>345</v>
      </c>
      <c r="DS290" s="6">
        <v>14.68</v>
      </c>
      <c r="DT290" t="s">
        <v>424</v>
      </c>
      <c r="DU290" s="1">
        <v>44354</v>
      </c>
      <c r="DV290" s="1">
        <v>44443</v>
      </c>
    </row>
    <row r="291" spans="1:126" ht="15" customHeight="1" x14ac:dyDescent="0.35">
      <c r="A291" t="s">
        <v>13589</v>
      </c>
      <c r="B291" t="s">
        <v>318</v>
      </c>
      <c r="C291" s="1">
        <v>44326</v>
      </c>
      <c r="D291" s="1">
        <v>44354</v>
      </c>
      <c r="H291" t="s">
        <v>319</v>
      </c>
      <c r="I291" t="s">
        <v>13590</v>
      </c>
      <c r="J291" t="s">
        <v>13591</v>
      </c>
      <c r="L291" t="s">
        <v>907</v>
      </c>
      <c r="M291" t="s">
        <v>13592</v>
      </c>
      <c r="N291" t="s">
        <v>134</v>
      </c>
      <c r="O291" t="s">
        <v>1677</v>
      </c>
      <c r="P291" t="s">
        <v>857</v>
      </c>
      <c r="Q291" s="3">
        <v>85260</v>
      </c>
      <c r="R291" t="s">
        <v>128</v>
      </c>
      <c r="S291" t="s">
        <v>134</v>
      </c>
      <c r="T291" s="4">
        <v>16027614568</v>
      </c>
      <c r="V291" t="s">
        <v>13593</v>
      </c>
      <c r="W291" t="s">
        <v>13594</v>
      </c>
      <c r="X291" t="s">
        <v>13595</v>
      </c>
      <c r="Y291" t="s">
        <v>13592</v>
      </c>
      <c r="Z291" t="s">
        <v>134</v>
      </c>
      <c r="AA291" t="s">
        <v>1677</v>
      </c>
      <c r="AB291" t="s">
        <v>808</v>
      </c>
      <c r="AC291" s="3" t="str">
        <f>"85260"</f>
        <v>85260</v>
      </c>
      <c r="AD291" t="s">
        <v>128</v>
      </c>
      <c r="AE291" t="s">
        <v>134</v>
      </c>
      <c r="AF291" s="4">
        <v>16027614570</v>
      </c>
      <c r="AH291" t="str">
        <f>"721110"</f>
        <v>721110</v>
      </c>
      <c r="AI291" t="s">
        <v>130</v>
      </c>
      <c r="AJ291" t="s">
        <v>1386</v>
      </c>
      <c r="AK291" t="s">
        <v>1387</v>
      </c>
      <c r="AL291" t="s">
        <v>1036</v>
      </c>
      <c r="AM291" t="s">
        <v>1388</v>
      </c>
      <c r="AN291" t="s">
        <v>997</v>
      </c>
      <c r="AO291" t="s">
        <v>719</v>
      </c>
      <c r="AP291" t="s">
        <v>377</v>
      </c>
      <c r="AQ291" s="5">
        <v>1701</v>
      </c>
      <c r="AR291" t="s">
        <v>128</v>
      </c>
      <c r="AS291" t="s">
        <v>134</v>
      </c>
      <c r="AT291" s="4">
        <v>16179399444</v>
      </c>
      <c r="AV291" t="s">
        <v>1389</v>
      </c>
      <c r="AW291" t="s">
        <v>1390</v>
      </c>
      <c r="AX291" t="s">
        <v>131</v>
      </c>
      <c r="AY291" t="s">
        <v>131</v>
      </c>
      <c r="AZ291" t="s">
        <v>131</v>
      </c>
      <c r="BA291" t="s">
        <v>131</v>
      </c>
      <c r="BB291" t="s">
        <v>131</v>
      </c>
      <c r="BC291" t="s">
        <v>131</v>
      </c>
      <c r="BD291" t="s">
        <v>131</v>
      </c>
      <c r="BE291" t="s">
        <v>132</v>
      </c>
      <c r="BH291" t="s">
        <v>1639</v>
      </c>
      <c r="BI291" t="s">
        <v>131</v>
      </c>
      <c r="BL291" t="s">
        <v>167</v>
      </c>
      <c r="BO291" t="s">
        <v>131</v>
      </c>
      <c r="BP291" t="s">
        <v>134</v>
      </c>
      <c r="BQ291" t="s">
        <v>131</v>
      </c>
      <c r="BS291" t="str">
        <f t="shared" si="26"/>
        <v>N/A</v>
      </c>
      <c r="BT291" t="s">
        <v>135</v>
      </c>
      <c r="BU291">
        <v>6</v>
      </c>
      <c r="BV291" t="str">
        <f>"Housekeeper"</f>
        <v>Housekeeper</v>
      </c>
      <c r="BW291" t="s">
        <v>135</v>
      </c>
      <c r="BX291" t="str">
        <f>""</f>
        <v/>
      </c>
      <c r="BY291" t="str">
        <f>""</f>
        <v/>
      </c>
      <c r="BZ291" t="str">
        <f>""</f>
        <v/>
      </c>
      <c r="CA291" s="2" t="s">
        <v>13596</v>
      </c>
      <c r="CB291" t="s">
        <v>131</v>
      </c>
      <c r="CF291" t="s">
        <v>131</v>
      </c>
      <c r="CH291" t="str">
        <f>""</f>
        <v/>
      </c>
      <c r="CI291" t="s">
        <v>131</v>
      </c>
      <c r="CK291" t="s">
        <v>131</v>
      </c>
      <c r="CL291" t="str">
        <f>""</f>
        <v/>
      </c>
      <c r="CM291" t="str">
        <f>""</f>
        <v/>
      </c>
      <c r="CN291" t="str">
        <f>""</f>
        <v/>
      </c>
      <c r="CO291" t="str">
        <f>""</f>
        <v/>
      </c>
      <c r="CP291" t="str">
        <f>"37-2012.00"</f>
        <v>37-2012.00</v>
      </c>
      <c r="CQ291" t="s">
        <v>479</v>
      </c>
      <c r="CR291" t="s">
        <v>8801</v>
      </c>
      <c r="CS291" t="s">
        <v>131</v>
      </c>
      <c r="CU291" t="s">
        <v>13597</v>
      </c>
      <c r="CV291" t="s">
        <v>134</v>
      </c>
      <c r="CW291" t="s">
        <v>2474</v>
      </c>
      <c r="CX291" t="s">
        <v>808</v>
      </c>
      <c r="CZ291" s="3" t="str">
        <f>"85342"</f>
        <v>85342</v>
      </c>
      <c r="DA291" t="s">
        <v>131</v>
      </c>
      <c r="DB291" t="str">
        <f>"37-2012"</f>
        <v>37-2012</v>
      </c>
      <c r="DC291" t="s">
        <v>479</v>
      </c>
      <c r="DD291" t="s">
        <v>134</v>
      </c>
      <c r="DE291" t="s">
        <v>134</v>
      </c>
      <c r="DF291" t="str">
        <f>""</f>
        <v/>
      </c>
      <c r="DH291" s="6">
        <v>12.91</v>
      </c>
      <c r="DI291" t="s">
        <v>344</v>
      </c>
      <c r="DK291" t="s">
        <v>345</v>
      </c>
      <c r="DS291" s="6">
        <v>12.91</v>
      </c>
      <c r="DT291" t="s">
        <v>424</v>
      </c>
      <c r="DU291" s="1">
        <v>44354</v>
      </c>
      <c r="DV291" s="1">
        <v>44443</v>
      </c>
    </row>
    <row r="292" spans="1:126" ht="15" customHeight="1" x14ac:dyDescent="0.35">
      <c r="A292" t="s">
        <v>11957</v>
      </c>
      <c r="B292" t="s">
        <v>318</v>
      </c>
      <c r="C292" s="1">
        <v>44326</v>
      </c>
      <c r="D292" s="1">
        <v>44354</v>
      </c>
      <c r="H292" t="s">
        <v>319</v>
      </c>
      <c r="I292" t="s">
        <v>11958</v>
      </c>
      <c r="J292" t="s">
        <v>435</v>
      </c>
      <c r="L292" t="s">
        <v>395</v>
      </c>
      <c r="M292" t="s">
        <v>11959</v>
      </c>
      <c r="O292" t="s">
        <v>2770</v>
      </c>
      <c r="P292" t="s">
        <v>273</v>
      </c>
      <c r="Q292" s="3">
        <v>8515</v>
      </c>
      <c r="R292" t="s">
        <v>128</v>
      </c>
      <c r="T292" s="4">
        <v>16092919663</v>
      </c>
      <c r="V292" t="s">
        <v>134</v>
      </c>
      <c r="W292" t="s">
        <v>11960</v>
      </c>
      <c r="Y292" t="s">
        <v>11959</v>
      </c>
      <c r="AA292" t="s">
        <v>2770</v>
      </c>
      <c r="AB292" t="s">
        <v>276</v>
      </c>
      <c r="AC292" s="3" t="str">
        <f>"08515"</f>
        <v>08515</v>
      </c>
      <c r="AD292" t="s">
        <v>128</v>
      </c>
      <c r="AF292" s="4">
        <v>16092919663</v>
      </c>
      <c r="AH292" t="str">
        <f>"56173"</f>
        <v>56173</v>
      </c>
      <c r="AI292" t="s">
        <v>287</v>
      </c>
      <c r="AJ292" t="s">
        <v>2917</v>
      </c>
      <c r="AK292" t="s">
        <v>2918</v>
      </c>
      <c r="AM292" t="s">
        <v>2919</v>
      </c>
      <c r="AN292" t="s">
        <v>2920</v>
      </c>
      <c r="AO292" t="s">
        <v>2921</v>
      </c>
      <c r="AP292" t="s">
        <v>306</v>
      </c>
      <c r="AQ292" s="5">
        <v>22949</v>
      </c>
      <c r="AR292" t="s">
        <v>128</v>
      </c>
      <c r="AT292" s="4">
        <v>14342634300</v>
      </c>
      <c r="AV292" t="s">
        <v>5183</v>
      </c>
      <c r="AW292" t="s">
        <v>2923</v>
      </c>
      <c r="AX292" t="s">
        <v>131</v>
      </c>
      <c r="AY292" t="s">
        <v>131</v>
      </c>
      <c r="AZ292" t="s">
        <v>131</v>
      </c>
      <c r="BA292" t="s">
        <v>131</v>
      </c>
      <c r="BB292" t="s">
        <v>131</v>
      </c>
      <c r="BC292" t="s">
        <v>131</v>
      </c>
      <c r="BD292" t="s">
        <v>131</v>
      </c>
      <c r="BE292" t="s">
        <v>132</v>
      </c>
      <c r="BH292" t="s">
        <v>11961</v>
      </c>
      <c r="BI292" t="s">
        <v>131</v>
      </c>
      <c r="BL292" t="s">
        <v>167</v>
      </c>
      <c r="BO292" t="s">
        <v>131</v>
      </c>
      <c r="BP292" t="s">
        <v>134</v>
      </c>
      <c r="BQ292" t="s">
        <v>131</v>
      </c>
      <c r="BS292" t="str">
        <f t="shared" si="26"/>
        <v>N/A</v>
      </c>
      <c r="BT292" t="s">
        <v>135</v>
      </c>
      <c r="BU292">
        <v>3</v>
      </c>
      <c r="BV292" t="str">
        <f>"Requires three months of previous landscape experience."</f>
        <v>Requires three months of previous landscape experience.</v>
      </c>
      <c r="BW292" t="s">
        <v>135</v>
      </c>
      <c r="BX292" t="str">
        <f>""</f>
        <v/>
      </c>
      <c r="BY292" t="str">
        <f>""</f>
        <v/>
      </c>
      <c r="BZ292" t="str">
        <f>""</f>
        <v/>
      </c>
      <c r="CA292" t="str">
        <f>"Must lift/carry 50 lbs., when necessary.  Saturday and Sunday work required, when necessary.  Employer-paid drug testing required of foreign and domestic workers prior to commencing work and post-hire at random, upon suspicion of use, and post-accident."</f>
        <v>Must lift/carry 50 lbs., when necessary.  Saturday and Sunday work required, when necessary.  Employer-paid drug testing required of foreign and domestic workers prior to commencing work and post-hire at random, upon suspicion of use, and post-accident.</v>
      </c>
      <c r="CB292" t="s">
        <v>131</v>
      </c>
      <c r="CF292" t="s">
        <v>131</v>
      </c>
      <c r="CH292" t="str">
        <f>""</f>
        <v/>
      </c>
      <c r="CI292" t="s">
        <v>131</v>
      </c>
      <c r="CK292" t="s">
        <v>131</v>
      </c>
      <c r="CL292" t="str">
        <f>""</f>
        <v/>
      </c>
      <c r="CM292" t="str">
        <f>""</f>
        <v/>
      </c>
      <c r="CN292" t="str">
        <f>""</f>
        <v/>
      </c>
      <c r="CO292" t="str">
        <f>""</f>
        <v/>
      </c>
      <c r="CP292" t="str">
        <f>"37-3011.00"</f>
        <v>37-3011.00</v>
      </c>
      <c r="CQ292" t="s">
        <v>920</v>
      </c>
      <c r="CR292" t="s">
        <v>2924</v>
      </c>
      <c r="CS292" t="s">
        <v>135</v>
      </c>
      <c r="CT292" t="s">
        <v>2925</v>
      </c>
      <c r="CU292" t="s">
        <v>11959</v>
      </c>
      <c r="CW292" t="s">
        <v>2770</v>
      </c>
      <c r="CX292" t="s">
        <v>276</v>
      </c>
      <c r="CZ292" s="3" t="str">
        <f>"08515"</f>
        <v>08515</v>
      </c>
      <c r="DA292" t="s">
        <v>135</v>
      </c>
      <c r="DB292" t="str">
        <f>"37-3011"</f>
        <v>37-3011</v>
      </c>
      <c r="DC292" t="s">
        <v>920</v>
      </c>
      <c r="DD292" t="s">
        <v>134</v>
      </c>
      <c r="DE292" t="s">
        <v>134</v>
      </c>
      <c r="DF292" t="str">
        <f>""</f>
        <v/>
      </c>
      <c r="DH292" s="6">
        <v>16.600000000000001</v>
      </c>
      <c r="DI292" t="s">
        <v>344</v>
      </c>
      <c r="DK292" t="s">
        <v>345</v>
      </c>
      <c r="DS292" s="6">
        <v>16.600000000000001</v>
      </c>
      <c r="DT292" s="2" t="s">
        <v>347</v>
      </c>
      <c r="DU292" s="1">
        <v>44354</v>
      </c>
      <c r="DV292" s="1">
        <v>44443</v>
      </c>
    </row>
    <row r="293" spans="1:126" ht="15" customHeight="1" x14ac:dyDescent="0.35">
      <c r="A293" t="s">
        <v>18754</v>
      </c>
      <c r="B293" t="s">
        <v>318</v>
      </c>
      <c r="C293" s="1">
        <v>44326</v>
      </c>
      <c r="D293" s="1">
        <v>44355</v>
      </c>
      <c r="H293" t="s">
        <v>319</v>
      </c>
      <c r="I293" t="s">
        <v>10902</v>
      </c>
      <c r="J293" t="s">
        <v>2070</v>
      </c>
      <c r="L293" t="s">
        <v>930</v>
      </c>
      <c r="M293" t="s">
        <v>14500</v>
      </c>
      <c r="O293" t="s">
        <v>4478</v>
      </c>
      <c r="P293" t="s">
        <v>3075</v>
      </c>
      <c r="Q293" s="3">
        <v>83702</v>
      </c>
      <c r="R293" t="s">
        <v>128</v>
      </c>
      <c r="T293" s="4">
        <v>12083423006</v>
      </c>
      <c r="V293" t="s">
        <v>14501</v>
      </c>
      <c r="W293" t="s">
        <v>14502</v>
      </c>
      <c r="X293" t="s">
        <v>14503</v>
      </c>
      <c r="Y293" t="s">
        <v>14504</v>
      </c>
      <c r="AA293" t="s">
        <v>11359</v>
      </c>
      <c r="AB293" t="s">
        <v>1243</v>
      </c>
      <c r="AC293" s="3" t="str">
        <f>"83638"</f>
        <v>83638</v>
      </c>
      <c r="AD293" t="s">
        <v>128</v>
      </c>
      <c r="AF293" s="4">
        <v>12086304337</v>
      </c>
      <c r="AH293" t="str">
        <f>"722513"</f>
        <v>722513</v>
      </c>
      <c r="AI293" t="s">
        <v>167</v>
      </c>
      <c r="AX293" t="s">
        <v>131</v>
      </c>
      <c r="AY293" t="s">
        <v>131</v>
      </c>
      <c r="AZ293" t="s">
        <v>131</v>
      </c>
      <c r="BA293" t="s">
        <v>131</v>
      </c>
      <c r="BB293" t="s">
        <v>131</v>
      </c>
      <c r="BC293" t="s">
        <v>131</v>
      </c>
      <c r="BD293" t="s">
        <v>131</v>
      </c>
      <c r="BE293" t="s">
        <v>132</v>
      </c>
      <c r="BH293" t="s">
        <v>12051</v>
      </c>
      <c r="BI293" t="s">
        <v>131</v>
      </c>
      <c r="BL293" t="s">
        <v>401</v>
      </c>
      <c r="BO293" t="s">
        <v>131</v>
      </c>
      <c r="BP293" t="s">
        <v>134</v>
      </c>
      <c r="BQ293" t="s">
        <v>131</v>
      </c>
      <c r="BS293" t="str">
        <f t="shared" si="26"/>
        <v>N/A</v>
      </c>
      <c r="BT293" t="s">
        <v>131</v>
      </c>
      <c r="BV293" t="str">
        <f>""</f>
        <v/>
      </c>
      <c r="BW293" t="s">
        <v>131</v>
      </c>
      <c r="BX293" t="str">
        <f>""</f>
        <v/>
      </c>
      <c r="BY293" t="str">
        <f>""</f>
        <v/>
      </c>
      <c r="BZ293" t="str">
        <f>""</f>
        <v/>
      </c>
      <c r="CA293" t="str">
        <f>""</f>
        <v/>
      </c>
      <c r="CB293" t="s">
        <v>131</v>
      </c>
      <c r="CF293" t="s">
        <v>131</v>
      </c>
      <c r="CH293" t="str">
        <f>""</f>
        <v/>
      </c>
      <c r="CI293" t="s">
        <v>131</v>
      </c>
      <c r="CK293" t="s">
        <v>131</v>
      </c>
      <c r="CL293" t="str">
        <f>""</f>
        <v/>
      </c>
      <c r="CM293" t="str">
        <f>""</f>
        <v/>
      </c>
      <c r="CN293" t="str">
        <f>""</f>
        <v/>
      </c>
      <c r="CO293" t="str">
        <f>""</f>
        <v/>
      </c>
      <c r="CP293" t="str">
        <f>"35-2014.00"</f>
        <v>35-2014.00</v>
      </c>
      <c r="CQ293" t="s">
        <v>581</v>
      </c>
      <c r="CR293" t="s">
        <v>14506</v>
      </c>
      <c r="CS293" t="s">
        <v>131</v>
      </c>
      <c r="CU293" t="s">
        <v>14504</v>
      </c>
      <c r="CW293" t="s">
        <v>14507</v>
      </c>
      <c r="CX293" t="s">
        <v>1243</v>
      </c>
      <c r="CZ293" s="3" t="str">
        <f>"83638"</f>
        <v>83638</v>
      </c>
      <c r="DA293" t="s">
        <v>131</v>
      </c>
      <c r="DB293" t="str">
        <f>"35-2015"</f>
        <v>35-2015</v>
      </c>
      <c r="DC293" t="s">
        <v>3425</v>
      </c>
      <c r="DD293" t="s">
        <v>134</v>
      </c>
      <c r="DE293" t="s">
        <v>134</v>
      </c>
      <c r="DF293" t="str">
        <f>""</f>
        <v/>
      </c>
      <c r="DH293" s="6">
        <v>8.64</v>
      </c>
      <c r="DI293" t="s">
        <v>344</v>
      </c>
      <c r="DK293" t="s">
        <v>345</v>
      </c>
      <c r="DR293" t="s">
        <v>14508</v>
      </c>
      <c r="DS293" s="6">
        <v>8.64</v>
      </c>
      <c r="DT293" t="s">
        <v>424</v>
      </c>
      <c r="DU293" s="1">
        <v>44355</v>
      </c>
      <c r="DV293" s="1">
        <v>44444</v>
      </c>
    </row>
    <row r="294" spans="1:126" ht="15" customHeight="1" x14ac:dyDescent="0.35">
      <c r="A294" t="s">
        <v>14499</v>
      </c>
      <c r="B294" t="s">
        <v>318</v>
      </c>
      <c r="C294" s="1">
        <v>44326</v>
      </c>
      <c r="D294" s="1">
        <v>44354</v>
      </c>
      <c r="H294" t="s">
        <v>319</v>
      </c>
      <c r="I294" t="s">
        <v>10902</v>
      </c>
      <c r="J294" t="s">
        <v>2070</v>
      </c>
      <c r="L294" t="s">
        <v>930</v>
      </c>
      <c r="M294" t="s">
        <v>14500</v>
      </c>
      <c r="O294" t="s">
        <v>4478</v>
      </c>
      <c r="P294" t="s">
        <v>3075</v>
      </c>
      <c r="Q294" s="3">
        <v>83702</v>
      </c>
      <c r="R294" t="s">
        <v>128</v>
      </c>
      <c r="T294" s="4">
        <v>12083423006</v>
      </c>
      <c r="V294" t="s">
        <v>14501</v>
      </c>
      <c r="W294" t="s">
        <v>14502</v>
      </c>
      <c r="X294" t="s">
        <v>14503</v>
      </c>
      <c r="Y294" t="s">
        <v>14504</v>
      </c>
      <c r="AA294" t="s">
        <v>11359</v>
      </c>
      <c r="AB294" t="s">
        <v>1243</v>
      </c>
      <c r="AC294" s="3" t="str">
        <f>"83638"</f>
        <v>83638</v>
      </c>
      <c r="AD294" t="s">
        <v>128</v>
      </c>
      <c r="AF294" s="4">
        <v>12086304337</v>
      </c>
      <c r="AH294" t="str">
        <f>"722513"</f>
        <v>722513</v>
      </c>
      <c r="AI294" t="s">
        <v>167</v>
      </c>
      <c r="AX294" t="s">
        <v>131</v>
      </c>
      <c r="AY294" t="s">
        <v>131</v>
      </c>
      <c r="AZ294" t="s">
        <v>131</v>
      </c>
      <c r="BA294" t="s">
        <v>131</v>
      </c>
      <c r="BB294" t="s">
        <v>131</v>
      </c>
      <c r="BC294" t="s">
        <v>131</v>
      </c>
      <c r="BD294" t="s">
        <v>131</v>
      </c>
      <c r="BE294" t="s">
        <v>132</v>
      </c>
      <c r="BH294" t="s">
        <v>14505</v>
      </c>
      <c r="BI294" t="s">
        <v>131</v>
      </c>
      <c r="BL294" t="s">
        <v>401</v>
      </c>
      <c r="BO294" t="s">
        <v>131</v>
      </c>
      <c r="BP294" t="s">
        <v>134</v>
      </c>
      <c r="BQ294" t="s">
        <v>131</v>
      </c>
      <c r="BS294" t="str">
        <f t="shared" si="26"/>
        <v>N/A</v>
      </c>
      <c r="BT294" t="s">
        <v>131</v>
      </c>
      <c r="BV294" t="str">
        <f>""</f>
        <v/>
      </c>
      <c r="BW294" t="s">
        <v>131</v>
      </c>
      <c r="BX294" t="str">
        <f>""</f>
        <v/>
      </c>
      <c r="BY294" t="str">
        <f>""</f>
        <v/>
      </c>
      <c r="BZ294" t="str">
        <f>""</f>
        <v/>
      </c>
      <c r="CA294" t="str">
        <f>""</f>
        <v/>
      </c>
      <c r="CB294" t="s">
        <v>131</v>
      </c>
      <c r="CF294" t="s">
        <v>131</v>
      </c>
      <c r="CH294" t="str">
        <f>""</f>
        <v/>
      </c>
      <c r="CI294" t="s">
        <v>131</v>
      </c>
      <c r="CK294" t="s">
        <v>131</v>
      </c>
      <c r="CL294" t="str">
        <f>""</f>
        <v/>
      </c>
      <c r="CM294" t="str">
        <f>""</f>
        <v/>
      </c>
      <c r="CN294" t="str">
        <f>""</f>
        <v/>
      </c>
      <c r="CO294" t="str">
        <f>""</f>
        <v/>
      </c>
      <c r="CP294" t="str">
        <f>"35-3021.00"</f>
        <v>35-3021.00</v>
      </c>
      <c r="CQ294" t="s">
        <v>2581</v>
      </c>
      <c r="CR294" t="s">
        <v>14506</v>
      </c>
      <c r="CS294" t="s">
        <v>131</v>
      </c>
      <c r="CU294" t="s">
        <v>14504</v>
      </c>
      <c r="CW294" t="s">
        <v>14507</v>
      </c>
      <c r="CX294" t="s">
        <v>1243</v>
      </c>
      <c r="CZ294" s="3" t="str">
        <f>"83638"</f>
        <v>83638</v>
      </c>
      <c r="DA294" t="s">
        <v>131</v>
      </c>
      <c r="DB294" t="str">
        <f>"35-3021"</f>
        <v>35-3021</v>
      </c>
      <c r="DC294" t="s">
        <v>2581</v>
      </c>
      <c r="DD294" t="s">
        <v>134</v>
      </c>
      <c r="DE294" t="s">
        <v>134</v>
      </c>
      <c r="DF294" t="str">
        <f>""</f>
        <v/>
      </c>
      <c r="DH294" s="6">
        <v>10.94</v>
      </c>
      <c r="DI294" t="s">
        <v>344</v>
      </c>
      <c r="DK294" t="s">
        <v>345</v>
      </c>
      <c r="DR294" t="s">
        <v>14508</v>
      </c>
      <c r="DS294" s="6">
        <v>10.94</v>
      </c>
      <c r="DT294" t="s">
        <v>424</v>
      </c>
      <c r="DU294" s="1">
        <v>44354</v>
      </c>
      <c r="DV294" s="1">
        <v>44443</v>
      </c>
    </row>
    <row r="295" spans="1:126" ht="15" customHeight="1" x14ac:dyDescent="0.35">
      <c r="A295" t="s">
        <v>17141</v>
      </c>
      <c r="B295" t="s">
        <v>318</v>
      </c>
      <c r="C295" s="1">
        <v>44326</v>
      </c>
      <c r="D295" s="1">
        <v>44354</v>
      </c>
      <c r="H295" t="s">
        <v>319</v>
      </c>
      <c r="I295" t="s">
        <v>14689</v>
      </c>
      <c r="J295" t="s">
        <v>2787</v>
      </c>
      <c r="K295" t="s">
        <v>3946</v>
      </c>
      <c r="L295" t="s">
        <v>3922</v>
      </c>
      <c r="M295" t="s">
        <v>17142</v>
      </c>
      <c r="O295" t="s">
        <v>11275</v>
      </c>
      <c r="P295" t="s">
        <v>507</v>
      </c>
      <c r="Q295" s="3">
        <v>48044</v>
      </c>
      <c r="R295" t="s">
        <v>128</v>
      </c>
      <c r="T295" s="4">
        <v>15862630641</v>
      </c>
      <c r="V295" t="s">
        <v>134</v>
      </c>
      <c r="W295" t="s">
        <v>17143</v>
      </c>
      <c r="Y295" t="s">
        <v>17142</v>
      </c>
      <c r="AA295" t="s">
        <v>11275</v>
      </c>
      <c r="AB295" t="s">
        <v>511</v>
      </c>
      <c r="AC295" s="3" t="str">
        <f>"48044"</f>
        <v>48044</v>
      </c>
      <c r="AD295" t="s">
        <v>128</v>
      </c>
      <c r="AF295" s="4">
        <v>15862630641</v>
      </c>
      <c r="AH295" t="str">
        <f>"56173"</f>
        <v>56173</v>
      </c>
      <c r="AI295" t="s">
        <v>287</v>
      </c>
      <c r="AJ295" t="s">
        <v>2917</v>
      </c>
      <c r="AK295" t="s">
        <v>2918</v>
      </c>
      <c r="AM295" t="s">
        <v>2919</v>
      </c>
      <c r="AN295" t="s">
        <v>2920</v>
      </c>
      <c r="AO295" t="s">
        <v>2921</v>
      </c>
      <c r="AP295" t="s">
        <v>306</v>
      </c>
      <c r="AQ295" s="5">
        <v>22949</v>
      </c>
      <c r="AR295" t="s">
        <v>128</v>
      </c>
      <c r="AT295" s="4">
        <v>14342634300</v>
      </c>
      <c r="AV295" t="s">
        <v>2922</v>
      </c>
      <c r="AW295" t="s">
        <v>2923</v>
      </c>
      <c r="AX295" t="s">
        <v>131</v>
      </c>
      <c r="AY295" t="s">
        <v>131</v>
      </c>
      <c r="AZ295" t="s">
        <v>131</v>
      </c>
      <c r="BA295" t="s">
        <v>131</v>
      </c>
      <c r="BB295" t="s">
        <v>131</v>
      </c>
      <c r="BC295" t="s">
        <v>131</v>
      </c>
      <c r="BD295" t="s">
        <v>131</v>
      </c>
      <c r="BE295" t="s">
        <v>132</v>
      </c>
      <c r="BH295" t="s">
        <v>3780</v>
      </c>
      <c r="BI295" t="s">
        <v>131</v>
      </c>
      <c r="BL295" t="s">
        <v>167</v>
      </c>
      <c r="BO295" t="s">
        <v>131</v>
      </c>
      <c r="BP295" t="s">
        <v>134</v>
      </c>
      <c r="BQ295" t="s">
        <v>131</v>
      </c>
      <c r="BS295" t="str">
        <f t="shared" si="26"/>
        <v>N/A</v>
      </c>
      <c r="BT295" t="s">
        <v>131</v>
      </c>
      <c r="BV295" t="str">
        <f>""</f>
        <v/>
      </c>
      <c r="BW295" t="s">
        <v>135</v>
      </c>
      <c r="BX295" t="str">
        <f>""</f>
        <v/>
      </c>
      <c r="BY295" t="str">
        <f>""</f>
        <v/>
      </c>
      <c r="BZ295" t="str">
        <f>""</f>
        <v/>
      </c>
      <c r="CA295" t="str">
        <f>"Must lift/carry 50 lbs., when necessary.  Saturday and Sunday work required, when necessary."</f>
        <v>Must lift/carry 50 lbs., when necessary.  Saturday and Sunday work required, when necessary.</v>
      </c>
      <c r="CB295" t="s">
        <v>131</v>
      </c>
      <c r="CF295" t="s">
        <v>131</v>
      </c>
      <c r="CH295" t="str">
        <f>""</f>
        <v/>
      </c>
      <c r="CI295" t="s">
        <v>131</v>
      </c>
      <c r="CK295" t="s">
        <v>131</v>
      </c>
      <c r="CL295" t="str">
        <f>""</f>
        <v/>
      </c>
      <c r="CM295" t="str">
        <f>""</f>
        <v/>
      </c>
      <c r="CN295" t="str">
        <f>""</f>
        <v/>
      </c>
      <c r="CO295" t="str">
        <f>""</f>
        <v/>
      </c>
      <c r="CP295" t="str">
        <f>"37-3011.00"</f>
        <v>37-3011.00</v>
      </c>
      <c r="CQ295" t="s">
        <v>920</v>
      </c>
      <c r="CR295" t="s">
        <v>2924</v>
      </c>
      <c r="CS295" t="s">
        <v>135</v>
      </c>
      <c r="CT295" t="s">
        <v>2925</v>
      </c>
      <c r="CU295" t="s">
        <v>17144</v>
      </c>
      <c r="CW295" t="s">
        <v>16785</v>
      </c>
      <c r="CX295" t="s">
        <v>511</v>
      </c>
      <c r="CZ295" s="3" t="str">
        <f>"48036"</f>
        <v>48036</v>
      </c>
      <c r="DA295" t="s">
        <v>135</v>
      </c>
      <c r="DB295" t="str">
        <f>"37-3011"</f>
        <v>37-3011</v>
      </c>
      <c r="DC295" t="s">
        <v>920</v>
      </c>
      <c r="DD295" t="s">
        <v>134</v>
      </c>
      <c r="DE295" t="s">
        <v>134</v>
      </c>
      <c r="DF295" t="str">
        <f>""</f>
        <v/>
      </c>
      <c r="DH295" s="6">
        <v>14.95</v>
      </c>
      <c r="DI295" t="s">
        <v>344</v>
      </c>
      <c r="DK295" t="s">
        <v>345</v>
      </c>
      <c r="DS295" s="6">
        <v>14.95</v>
      </c>
      <c r="DT295" s="2" t="s">
        <v>347</v>
      </c>
      <c r="DU295" s="1">
        <v>44354</v>
      </c>
      <c r="DV295" s="1">
        <v>44443</v>
      </c>
    </row>
    <row r="296" spans="1:126" ht="15" customHeight="1" x14ac:dyDescent="0.35">
      <c r="A296" t="s">
        <v>17440</v>
      </c>
      <c r="B296" t="s">
        <v>318</v>
      </c>
      <c r="C296" s="1">
        <v>44326</v>
      </c>
      <c r="D296" s="1">
        <v>44354</v>
      </c>
      <c r="H296" t="s">
        <v>319</v>
      </c>
      <c r="I296" t="s">
        <v>560</v>
      </c>
      <c r="J296" t="s">
        <v>1732</v>
      </c>
      <c r="K296" t="s">
        <v>803</v>
      </c>
      <c r="L296" t="s">
        <v>130</v>
      </c>
      <c r="M296" t="s">
        <v>17441</v>
      </c>
      <c r="N296" t="s">
        <v>17442</v>
      </c>
      <c r="O296" t="s">
        <v>1735</v>
      </c>
      <c r="P296" t="s">
        <v>467</v>
      </c>
      <c r="Q296" s="3">
        <v>81658</v>
      </c>
      <c r="R296" t="s">
        <v>128</v>
      </c>
      <c r="T296" s="4">
        <v>19703066476</v>
      </c>
      <c r="V296" t="s">
        <v>1736</v>
      </c>
      <c r="W296" t="s">
        <v>17443</v>
      </c>
      <c r="X296" t="s">
        <v>17444</v>
      </c>
      <c r="Y296" t="s">
        <v>17445</v>
      </c>
      <c r="Z296" t="s">
        <v>17446</v>
      </c>
      <c r="AA296" t="s">
        <v>1735</v>
      </c>
      <c r="AB296" t="s">
        <v>471</v>
      </c>
      <c r="AC296" s="3" t="str">
        <f>"81620"</f>
        <v>81620</v>
      </c>
      <c r="AD296" t="s">
        <v>128</v>
      </c>
      <c r="AF296" s="4">
        <v>19704770555</v>
      </c>
      <c r="AH296" t="str">
        <f>"722511"</f>
        <v>722511</v>
      </c>
      <c r="AI296" t="s">
        <v>130</v>
      </c>
      <c r="AJ296" t="s">
        <v>1732</v>
      </c>
      <c r="AK296" t="s">
        <v>560</v>
      </c>
      <c r="AL296" t="s">
        <v>803</v>
      </c>
      <c r="AM296" t="s">
        <v>17447</v>
      </c>
      <c r="AN296" t="s">
        <v>3978</v>
      </c>
      <c r="AO296" t="s">
        <v>1735</v>
      </c>
      <c r="AP296" t="s">
        <v>471</v>
      </c>
      <c r="AQ296" s="5">
        <v>81658</v>
      </c>
      <c r="AR296" t="s">
        <v>128</v>
      </c>
      <c r="AT296" s="4">
        <v>19703066476</v>
      </c>
      <c r="AV296" t="s">
        <v>1736</v>
      </c>
      <c r="AW296" t="s">
        <v>1743</v>
      </c>
      <c r="AX296" t="s">
        <v>131</v>
      </c>
      <c r="AY296" t="s">
        <v>131</v>
      </c>
      <c r="AZ296" t="s">
        <v>131</v>
      </c>
      <c r="BA296" t="s">
        <v>131</v>
      </c>
      <c r="BB296" t="s">
        <v>131</v>
      </c>
      <c r="BC296" t="s">
        <v>131</v>
      </c>
      <c r="BD296" t="s">
        <v>131</v>
      </c>
      <c r="BE296" t="s">
        <v>132</v>
      </c>
      <c r="BH296" t="s">
        <v>1945</v>
      </c>
      <c r="BI296" t="s">
        <v>131</v>
      </c>
      <c r="BL296" t="s">
        <v>167</v>
      </c>
      <c r="BO296" t="s">
        <v>131</v>
      </c>
      <c r="BP296" t="s">
        <v>134</v>
      </c>
      <c r="BQ296" t="s">
        <v>131</v>
      </c>
      <c r="BS296" t="str">
        <f t="shared" si="26"/>
        <v>N/A</v>
      </c>
      <c r="BT296" t="s">
        <v>135</v>
      </c>
      <c r="BU296">
        <v>3</v>
      </c>
      <c r="BV296" t="str">
        <f>"Food Preparation Worker"</f>
        <v>Food Preparation Worker</v>
      </c>
      <c r="BW296" t="s">
        <v>131</v>
      </c>
      <c r="BX296" t="str">
        <f>""</f>
        <v/>
      </c>
      <c r="BY296" t="str">
        <f>""</f>
        <v/>
      </c>
      <c r="BZ296" t="str">
        <f>""</f>
        <v/>
      </c>
      <c r="CA296" t="str">
        <f>""</f>
        <v/>
      </c>
      <c r="CB296" t="s">
        <v>131</v>
      </c>
      <c r="CF296" t="s">
        <v>131</v>
      </c>
      <c r="CH296" t="str">
        <f>""</f>
        <v/>
      </c>
      <c r="CI296" t="s">
        <v>131</v>
      </c>
      <c r="CK296" t="s">
        <v>131</v>
      </c>
      <c r="CL296" t="str">
        <f>""</f>
        <v/>
      </c>
      <c r="CM296" t="str">
        <f>""</f>
        <v/>
      </c>
      <c r="CN296" t="str">
        <f>""</f>
        <v/>
      </c>
      <c r="CO296" t="str">
        <f>""</f>
        <v/>
      </c>
      <c r="CP296" t="str">
        <f>"35-2021.00"</f>
        <v>35-2021.00</v>
      </c>
      <c r="CQ296" t="s">
        <v>1749</v>
      </c>
      <c r="CR296" t="s">
        <v>1745</v>
      </c>
      <c r="CS296" t="s">
        <v>131</v>
      </c>
      <c r="CU296" t="s">
        <v>6877</v>
      </c>
      <c r="CW296" t="s">
        <v>1735</v>
      </c>
      <c r="CX296" t="s">
        <v>471</v>
      </c>
      <c r="CZ296" s="3" t="str">
        <f>"81657"</f>
        <v>81657</v>
      </c>
      <c r="DA296" t="s">
        <v>131</v>
      </c>
      <c r="DB296" t="str">
        <f>"35-2021"</f>
        <v>35-2021</v>
      </c>
      <c r="DC296" t="s">
        <v>1749</v>
      </c>
      <c r="DD296" t="s">
        <v>134</v>
      </c>
      <c r="DE296" t="s">
        <v>134</v>
      </c>
      <c r="DF296" t="str">
        <f>""</f>
        <v/>
      </c>
      <c r="DH296" s="6">
        <v>16.23</v>
      </c>
      <c r="DI296" t="s">
        <v>344</v>
      </c>
      <c r="DK296" t="s">
        <v>345</v>
      </c>
      <c r="DR296" t="s">
        <v>1750</v>
      </c>
      <c r="DS296" s="6">
        <v>16.23</v>
      </c>
      <c r="DT296" t="s">
        <v>424</v>
      </c>
      <c r="DU296" s="1">
        <v>44354</v>
      </c>
      <c r="DV296" s="1">
        <v>44443</v>
      </c>
    </row>
    <row r="297" spans="1:126" ht="15" customHeight="1" x14ac:dyDescent="0.35">
      <c r="A297" t="s">
        <v>14067</v>
      </c>
      <c r="B297" t="s">
        <v>318</v>
      </c>
      <c r="C297" s="1">
        <v>44326</v>
      </c>
      <c r="D297" s="1">
        <v>44354</v>
      </c>
      <c r="H297" t="s">
        <v>319</v>
      </c>
      <c r="I297" t="s">
        <v>14068</v>
      </c>
      <c r="J297" t="s">
        <v>14069</v>
      </c>
      <c r="K297" t="s">
        <v>268</v>
      </c>
      <c r="L297" t="s">
        <v>1105</v>
      </c>
      <c r="M297" t="s">
        <v>14070</v>
      </c>
      <c r="N297" t="s">
        <v>14071</v>
      </c>
      <c r="O297" t="s">
        <v>3874</v>
      </c>
      <c r="P297" t="s">
        <v>1760</v>
      </c>
      <c r="Q297" s="3">
        <v>70814</v>
      </c>
      <c r="R297" t="s">
        <v>128</v>
      </c>
      <c r="T297" s="4">
        <v>12258034733</v>
      </c>
      <c r="V297" t="s">
        <v>14072</v>
      </c>
      <c r="W297" t="s">
        <v>14073</v>
      </c>
      <c r="Y297" t="s">
        <v>14074</v>
      </c>
      <c r="Z297" t="s">
        <v>14075</v>
      </c>
      <c r="AA297" t="s">
        <v>3874</v>
      </c>
      <c r="AB297" t="s">
        <v>1763</v>
      </c>
      <c r="AC297" s="3" t="str">
        <f>"70814"</f>
        <v>70814</v>
      </c>
      <c r="AD297" t="s">
        <v>128</v>
      </c>
      <c r="AF297" s="4">
        <v>12258034733</v>
      </c>
      <c r="AH297" t="str">
        <f>"56173"</f>
        <v>56173</v>
      </c>
      <c r="AI297" t="s">
        <v>287</v>
      </c>
      <c r="AJ297" t="s">
        <v>2304</v>
      </c>
      <c r="AK297" t="s">
        <v>5773</v>
      </c>
      <c r="AL297" t="s">
        <v>589</v>
      </c>
      <c r="AM297" t="s">
        <v>5774</v>
      </c>
      <c r="AN297" t="s">
        <v>5775</v>
      </c>
      <c r="AO297" t="s">
        <v>5776</v>
      </c>
      <c r="AP297" t="s">
        <v>1763</v>
      </c>
      <c r="AQ297" s="5">
        <v>70754</v>
      </c>
      <c r="AR297" t="s">
        <v>128</v>
      </c>
      <c r="AS297" t="s">
        <v>1763</v>
      </c>
      <c r="AT297" s="4">
        <v>12256863033</v>
      </c>
      <c r="AV297" t="s">
        <v>5777</v>
      </c>
      <c r="AW297" t="s">
        <v>5778</v>
      </c>
      <c r="AX297" t="s">
        <v>131</v>
      </c>
      <c r="AY297" t="s">
        <v>131</v>
      </c>
      <c r="AZ297" t="s">
        <v>131</v>
      </c>
      <c r="BA297" t="s">
        <v>131</v>
      </c>
      <c r="BB297" t="s">
        <v>131</v>
      </c>
      <c r="BC297" t="s">
        <v>131</v>
      </c>
      <c r="BD297" t="s">
        <v>131</v>
      </c>
      <c r="BE297" t="s">
        <v>132</v>
      </c>
      <c r="BH297" t="s">
        <v>14076</v>
      </c>
      <c r="BI297" t="s">
        <v>131</v>
      </c>
      <c r="BL297" t="s">
        <v>167</v>
      </c>
      <c r="BO297" t="s">
        <v>131</v>
      </c>
      <c r="BP297" t="s">
        <v>134</v>
      </c>
      <c r="BQ297" t="s">
        <v>131</v>
      </c>
      <c r="BS297" t="str">
        <f t="shared" si="26"/>
        <v>N/A</v>
      </c>
      <c r="BT297" t="s">
        <v>131</v>
      </c>
      <c r="BV297" t="str">
        <f>""</f>
        <v/>
      </c>
      <c r="BW297" t="s">
        <v>135</v>
      </c>
      <c r="BX297" t="str">
        <f>""</f>
        <v/>
      </c>
      <c r="BY297" t="str">
        <f>""</f>
        <v/>
      </c>
      <c r="BZ297" t="str">
        <f>""</f>
        <v/>
      </c>
      <c r="CA297" s="2" t="s">
        <v>14077</v>
      </c>
      <c r="CB297" t="s">
        <v>131</v>
      </c>
      <c r="CF297" t="s">
        <v>131</v>
      </c>
      <c r="CH297" t="str">
        <f>""</f>
        <v/>
      </c>
      <c r="CI297" t="s">
        <v>131</v>
      </c>
      <c r="CK297" t="s">
        <v>131</v>
      </c>
      <c r="CL297" t="str">
        <f>""</f>
        <v/>
      </c>
      <c r="CM297" t="str">
        <f>""</f>
        <v/>
      </c>
      <c r="CN297" t="str">
        <f>""</f>
        <v/>
      </c>
      <c r="CO297" t="str">
        <f>""</f>
        <v/>
      </c>
      <c r="CP297" t="str">
        <f>"37-3011.00"</f>
        <v>37-3011.00</v>
      </c>
      <c r="CQ297" t="s">
        <v>920</v>
      </c>
      <c r="CS297" t="s">
        <v>135</v>
      </c>
      <c r="CT297" t="s">
        <v>14078</v>
      </c>
      <c r="CU297" t="s">
        <v>14079</v>
      </c>
      <c r="CW297" t="s">
        <v>12035</v>
      </c>
      <c r="CX297" t="s">
        <v>1763</v>
      </c>
      <c r="CZ297" s="3" t="str">
        <f>"70814"</f>
        <v>70814</v>
      </c>
      <c r="DA297" t="s">
        <v>135</v>
      </c>
      <c r="DB297" t="str">
        <f>"37-3011"</f>
        <v>37-3011</v>
      </c>
      <c r="DC297" t="s">
        <v>920</v>
      </c>
      <c r="DD297" t="s">
        <v>134</v>
      </c>
      <c r="DE297" t="s">
        <v>134</v>
      </c>
      <c r="DF297" t="str">
        <f>""</f>
        <v/>
      </c>
      <c r="DH297" s="6">
        <v>14.59</v>
      </c>
      <c r="DI297" t="s">
        <v>344</v>
      </c>
      <c r="DK297" t="s">
        <v>345</v>
      </c>
      <c r="DR297" t="s">
        <v>3877</v>
      </c>
      <c r="DS297" s="6">
        <v>14.59</v>
      </c>
      <c r="DT297" s="2" t="s">
        <v>347</v>
      </c>
      <c r="DU297" s="1">
        <v>44354</v>
      </c>
      <c r="DV297" s="1">
        <v>44443</v>
      </c>
    </row>
    <row r="298" spans="1:126" ht="15" customHeight="1" x14ac:dyDescent="0.35">
      <c r="A298" t="s">
        <v>15641</v>
      </c>
      <c r="B298" t="s">
        <v>318</v>
      </c>
      <c r="C298" s="1">
        <v>44326</v>
      </c>
      <c r="D298" s="1">
        <v>44354</v>
      </c>
      <c r="H298" t="s">
        <v>319</v>
      </c>
      <c r="I298" t="s">
        <v>2090</v>
      </c>
      <c r="J298" t="s">
        <v>409</v>
      </c>
      <c r="K298" t="s">
        <v>2930</v>
      </c>
      <c r="L298" t="s">
        <v>10845</v>
      </c>
      <c r="M298" t="s">
        <v>15642</v>
      </c>
      <c r="O298" t="s">
        <v>15643</v>
      </c>
      <c r="P298" t="s">
        <v>1760</v>
      </c>
      <c r="Q298" s="3">
        <v>70301</v>
      </c>
      <c r="R298" t="s">
        <v>128</v>
      </c>
      <c r="T298" s="4">
        <v>19854475296</v>
      </c>
      <c r="V298" t="s">
        <v>15644</v>
      </c>
      <c r="W298" t="s">
        <v>15645</v>
      </c>
      <c r="Y298" t="s">
        <v>15642</v>
      </c>
      <c r="AA298" t="s">
        <v>15643</v>
      </c>
      <c r="AB298" t="s">
        <v>1763</v>
      </c>
      <c r="AC298" s="3" t="str">
        <f>"70301"</f>
        <v>70301</v>
      </c>
      <c r="AD298" t="s">
        <v>128</v>
      </c>
      <c r="AF298" s="4">
        <v>19854475296</v>
      </c>
      <c r="AH298" t="str">
        <f>"5617"</f>
        <v>5617</v>
      </c>
      <c r="AI298" t="s">
        <v>287</v>
      </c>
      <c r="AJ298" t="s">
        <v>2209</v>
      </c>
      <c r="AK298" t="s">
        <v>1459</v>
      </c>
      <c r="AL298" t="s">
        <v>2210</v>
      </c>
      <c r="AM298" t="s">
        <v>2211</v>
      </c>
      <c r="AN298" t="s">
        <v>788</v>
      </c>
      <c r="AO298" t="s">
        <v>2212</v>
      </c>
      <c r="AP298" t="s">
        <v>400</v>
      </c>
      <c r="AQ298" s="5">
        <v>75033</v>
      </c>
      <c r="AR298" t="s">
        <v>128</v>
      </c>
      <c r="AT298" s="4">
        <v>19727789690</v>
      </c>
      <c r="AV298" t="s">
        <v>2320</v>
      </c>
      <c r="AW298" t="s">
        <v>2214</v>
      </c>
      <c r="AX298" t="s">
        <v>131</v>
      </c>
      <c r="AY298" t="s">
        <v>131</v>
      </c>
      <c r="AZ298" t="s">
        <v>131</v>
      </c>
      <c r="BA298" t="s">
        <v>131</v>
      </c>
      <c r="BB298" t="s">
        <v>131</v>
      </c>
      <c r="BC298" t="s">
        <v>131</v>
      </c>
      <c r="BD298" t="s">
        <v>131</v>
      </c>
      <c r="BE298" t="s">
        <v>132</v>
      </c>
      <c r="BH298" t="s">
        <v>2215</v>
      </c>
      <c r="BI298" t="s">
        <v>131</v>
      </c>
      <c r="BL298" t="s">
        <v>167</v>
      </c>
      <c r="BO298" t="s">
        <v>131</v>
      </c>
      <c r="BP298" t="s">
        <v>134</v>
      </c>
      <c r="BQ298" t="s">
        <v>131</v>
      </c>
      <c r="BS298" t="str">
        <f t="shared" si="26"/>
        <v>N/A</v>
      </c>
      <c r="BT298" t="s">
        <v>131</v>
      </c>
      <c r="BV298" t="str">
        <f>""</f>
        <v/>
      </c>
      <c r="BW298" t="s">
        <v>135</v>
      </c>
      <c r="BX298" t="str">
        <f>""</f>
        <v/>
      </c>
      <c r="BY298" t="str">
        <f>""</f>
        <v/>
      </c>
      <c r="BZ298" t="str">
        <f>""</f>
        <v/>
      </c>
      <c r="CA298" t="str">
        <f>"Must be able to lift 50 lbs. Must pass a pre-employment criminal background check and drug test. Workers are subject to post injury/incident drug testing. Applicants must complete an employment application.
"</f>
        <v xml:space="preserve">Must be able to lift 50 lbs. Must pass a pre-employment criminal background check and drug test. Workers are subject to post injury/incident drug testing. Applicants must complete an employment application.
</v>
      </c>
      <c r="CB298" t="s">
        <v>131</v>
      </c>
      <c r="CF298" t="s">
        <v>131</v>
      </c>
      <c r="CH298" t="str">
        <f>""</f>
        <v/>
      </c>
      <c r="CI298" t="s">
        <v>131</v>
      </c>
      <c r="CK298" t="s">
        <v>131</v>
      </c>
      <c r="CL298" t="str">
        <f>""</f>
        <v/>
      </c>
      <c r="CM298" t="str">
        <f>""</f>
        <v/>
      </c>
      <c r="CN298" t="str">
        <f>""</f>
        <v/>
      </c>
      <c r="CO298" t="str">
        <f>""</f>
        <v/>
      </c>
      <c r="CP298" t="str">
        <f>"37-3011.00"</f>
        <v>37-3011.00</v>
      </c>
      <c r="CQ298" t="s">
        <v>920</v>
      </c>
      <c r="CS298" t="s">
        <v>135</v>
      </c>
      <c r="CT298" t="s">
        <v>2321</v>
      </c>
      <c r="CU298" t="s">
        <v>15642</v>
      </c>
      <c r="CW298" t="s">
        <v>15643</v>
      </c>
      <c r="CX298" t="s">
        <v>1763</v>
      </c>
      <c r="CZ298" s="3" t="str">
        <f>"70301"</f>
        <v>70301</v>
      </c>
      <c r="DA298" t="s">
        <v>131</v>
      </c>
      <c r="DB298" t="str">
        <f>"37-3011"</f>
        <v>37-3011</v>
      </c>
      <c r="DC298" t="s">
        <v>920</v>
      </c>
      <c r="DD298" t="s">
        <v>134</v>
      </c>
      <c r="DE298" t="s">
        <v>134</v>
      </c>
      <c r="DF298" t="str">
        <f>""</f>
        <v/>
      </c>
      <c r="DH298" s="6">
        <v>15.51</v>
      </c>
      <c r="DI298" t="s">
        <v>344</v>
      </c>
      <c r="DK298" t="s">
        <v>345</v>
      </c>
      <c r="DR298" t="s">
        <v>1774</v>
      </c>
      <c r="DS298" s="6">
        <v>15.51</v>
      </c>
      <c r="DT298" s="2" t="s">
        <v>347</v>
      </c>
      <c r="DU298" s="1">
        <v>44354</v>
      </c>
      <c r="DV298" s="1">
        <v>44443</v>
      </c>
    </row>
    <row r="299" spans="1:126" ht="15" customHeight="1" x14ac:dyDescent="0.35">
      <c r="A299" t="s">
        <v>19787</v>
      </c>
      <c r="B299" t="s">
        <v>318</v>
      </c>
      <c r="C299" s="1">
        <v>44326</v>
      </c>
      <c r="D299" s="1">
        <v>44354</v>
      </c>
      <c r="H299" t="s">
        <v>319</v>
      </c>
      <c r="I299" t="s">
        <v>2028</v>
      </c>
      <c r="J299" t="s">
        <v>16156</v>
      </c>
      <c r="L299" t="s">
        <v>303</v>
      </c>
      <c r="M299" t="s">
        <v>19788</v>
      </c>
      <c r="O299" t="s">
        <v>399</v>
      </c>
      <c r="P299" t="s">
        <v>412</v>
      </c>
      <c r="Q299" s="3">
        <v>75229</v>
      </c>
      <c r="R299" t="s">
        <v>128</v>
      </c>
      <c r="T299" s="4">
        <v>19722417663</v>
      </c>
      <c r="V299" t="s">
        <v>19789</v>
      </c>
      <c r="W299" t="s">
        <v>19790</v>
      </c>
      <c r="X299" t="s">
        <v>19791</v>
      </c>
      <c r="Y299" t="s">
        <v>19788</v>
      </c>
      <c r="AA299" t="s">
        <v>399</v>
      </c>
      <c r="AB299" t="s">
        <v>400</v>
      </c>
      <c r="AC299" s="3" t="str">
        <f>"75229"</f>
        <v>75229</v>
      </c>
      <c r="AD299" t="s">
        <v>128</v>
      </c>
      <c r="AF299" s="4">
        <v>19722417663</v>
      </c>
      <c r="AH299" t="str">
        <f>"56173"</f>
        <v>56173</v>
      </c>
      <c r="AI299" t="s">
        <v>287</v>
      </c>
      <c r="AJ299" t="s">
        <v>2209</v>
      </c>
      <c r="AK299" t="s">
        <v>1459</v>
      </c>
      <c r="AL299" t="s">
        <v>2210</v>
      </c>
      <c r="AM299" t="s">
        <v>2211</v>
      </c>
      <c r="AN299" t="s">
        <v>788</v>
      </c>
      <c r="AO299" t="s">
        <v>2212</v>
      </c>
      <c r="AP299" t="s">
        <v>400</v>
      </c>
      <c r="AQ299" s="5">
        <v>75033</v>
      </c>
      <c r="AR299" t="s">
        <v>128</v>
      </c>
      <c r="AT299" s="4">
        <v>19727789690</v>
      </c>
      <c r="AV299" t="s">
        <v>2320</v>
      </c>
      <c r="AW299" t="s">
        <v>2214</v>
      </c>
      <c r="AX299" t="s">
        <v>131</v>
      </c>
      <c r="AY299" t="s">
        <v>131</v>
      </c>
      <c r="AZ299" t="s">
        <v>131</v>
      </c>
      <c r="BA299" t="s">
        <v>131</v>
      </c>
      <c r="BB299" t="s">
        <v>131</v>
      </c>
      <c r="BC299" t="s">
        <v>131</v>
      </c>
      <c r="BD299" t="s">
        <v>131</v>
      </c>
      <c r="BE299" t="s">
        <v>132</v>
      </c>
      <c r="BH299" t="s">
        <v>2215</v>
      </c>
      <c r="BI299" t="s">
        <v>131</v>
      </c>
      <c r="BL299" t="s">
        <v>167</v>
      </c>
      <c r="BO299" t="s">
        <v>131</v>
      </c>
      <c r="BP299" t="s">
        <v>134</v>
      </c>
      <c r="BQ299" t="s">
        <v>131</v>
      </c>
      <c r="BS299" t="str">
        <f t="shared" si="26"/>
        <v>N/A</v>
      </c>
      <c r="BT299" t="s">
        <v>131</v>
      </c>
      <c r="BV299" t="str">
        <f>""</f>
        <v/>
      </c>
      <c r="BW299" t="s">
        <v>135</v>
      </c>
      <c r="BX299" t="str">
        <f>""</f>
        <v/>
      </c>
      <c r="BY299" t="str">
        <f>""</f>
        <v/>
      </c>
      <c r="BZ299" t="str">
        <f>""</f>
        <v/>
      </c>
      <c r="CA299" t="str">
        <f>"Must be able to lift 50 lbs. Applicants must complete an employment application."</f>
        <v>Must be able to lift 50 lbs. Applicants must complete an employment application.</v>
      </c>
      <c r="CB299" t="s">
        <v>131</v>
      </c>
      <c r="CF299" t="s">
        <v>131</v>
      </c>
      <c r="CH299" t="str">
        <f>""</f>
        <v/>
      </c>
      <c r="CI299" t="s">
        <v>131</v>
      </c>
      <c r="CK299" t="s">
        <v>131</v>
      </c>
      <c r="CL299" t="str">
        <f>""</f>
        <v/>
      </c>
      <c r="CM299" t="str">
        <f>""</f>
        <v/>
      </c>
      <c r="CN299" t="str">
        <f>""</f>
        <v/>
      </c>
      <c r="CO299" t="str">
        <f>""</f>
        <v/>
      </c>
      <c r="CP299" t="str">
        <f>"37-3011.00"</f>
        <v>37-3011.00</v>
      </c>
      <c r="CQ299" t="s">
        <v>920</v>
      </c>
      <c r="CS299" t="s">
        <v>135</v>
      </c>
      <c r="CT299" t="s">
        <v>2321</v>
      </c>
      <c r="CU299" t="s">
        <v>19788</v>
      </c>
      <c r="CW299" t="s">
        <v>399</v>
      </c>
      <c r="CX299" t="s">
        <v>400</v>
      </c>
      <c r="CZ299" s="3" t="str">
        <f>"75229"</f>
        <v>75229</v>
      </c>
      <c r="DA299" t="s">
        <v>131</v>
      </c>
      <c r="DB299" t="str">
        <f>"37-3011"</f>
        <v>37-3011</v>
      </c>
      <c r="DC299" t="s">
        <v>920</v>
      </c>
      <c r="DD299" t="s">
        <v>134</v>
      </c>
      <c r="DE299" t="s">
        <v>134</v>
      </c>
      <c r="DF299" t="str">
        <f>""</f>
        <v/>
      </c>
      <c r="DH299" s="6">
        <v>15.23</v>
      </c>
      <c r="DI299" t="s">
        <v>344</v>
      </c>
      <c r="DK299" t="s">
        <v>345</v>
      </c>
      <c r="DR299" t="s">
        <v>423</v>
      </c>
      <c r="DS299" s="6">
        <v>15.23</v>
      </c>
      <c r="DT299" s="2" t="s">
        <v>347</v>
      </c>
      <c r="DU299" s="1">
        <v>44354</v>
      </c>
      <c r="DV299" s="1">
        <v>44443</v>
      </c>
    </row>
    <row r="300" spans="1:126" ht="15" customHeight="1" x14ac:dyDescent="0.35">
      <c r="A300" t="s">
        <v>9876</v>
      </c>
      <c r="B300" t="s">
        <v>318</v>
      </c>
      <c r="C300" s="1">
        <v>44326</v>
      </c>
      <c r="D300" s="1">
        <v>44354</v>
      </c>
      <c r="H300" t="s">
        <v>319</v>
      </c>
      <c r="I300" t="s">
        <v>9877</v>
      </c>
      <c r="J300" t="s">
        <v>1594</v>
      </c>
      <c r="K300" t="s">
        <v>2872</v>
      </c>
      <c r="L300" t="s">
        <v>303</v>
      </c>
      <c r="M300" t="s">
        <v>9878</v>
      </c>
      <c r="O300" t="s">
        <v>6421</v>
      </c>
      <c r="P300" t="s">
        <v>467</v>
      </c>
      <c r="Q300" s="3">
        <v>80504</v>
      </c>
      <c r="R300" t="s">
        <v>128</v>
      </c>
      <c r="T300" s="4">
        <v>13037725530</v>
      </c>
      <c r="V300" t="s">
        <v>9879</v>
      </c>
      <c r="W300" t="s">
        <v>9880</v>
      </c>
      <c r="Y300" t="s">
        <v>9878</v>
      </c>
      <c r="AA300" t="s">
        <v>6421</v>
      </c>
      <c r="AB300" t="s">
        <v>471</v>
      </c>
      <c r="AC300" s="3" t="str">
        <f>"80504"</f>
        <v>80504</v>
      </c>
      <c r="AD300" t="s">
        <v>128</v>
      </c>
      <c r="AF300" s="4">
        <v>13037725530</v>
      </c>
      <c r="AH300" t="str">
        <f>"11142"</f>
        <v>11142</v>
      </c>
      <c r="AI300" t="s">
        <v>287</v>
      </c>
      <c r="AJ300" t="s">
        <v>2209</v>
      </c>
      <c r="AK300" t="s">
        <v>1459</v>
      </c>
      <c r="AL300" t="s">
        <v>2210</v>
      </c>
      <c r="AM300" t="s">
        <v>2211</v>
      </c>
      <c r="AN300" t="s">
        <v>788</v>
      </c>
      <c r="AO300" t="s">
        <v>2212</v>
      </c>
      <c r="AP300" t="s">
        <v>400</v>
      </c>
      <c r="AQ300" s="5">
        <v>75033</v>
      </c>
      <c r="AR300" t="s">
        <v>128</v>
      </c>
      <c r="AT300" s="4">
        <v>19727789690</v>
      </c>
      <c r="AV300" t="s">
        <v>2320</v>
      </c>
      <c r="AW300" t="s">
        <v>2214</v>
      </c>
      <c r="AX300" t="s">
        <v>131</v>
      </c>
      <c r="AY300" t="s">
        <v>131</v>
      </c>
      <c r="AZ300" t="s">
        <v>131</v>
      </c>
      <c r="BA300" t="s">
        <v>131</v>
      </c>
      <c r="BB300" t="s">
        <v>131</v>
      </c>
      <c r="BC300" t="s">
        <v>131</v>
      </c>
      <c r="BD300" t="s">
        <v>131</v>
      </c>
      <c r="BE300" t="s">
        <v>132</v>
      </c>
      <c r="BH300" t="s">
        <v>2215</v>
      </c>
      <c r="BI300" t="s">
        <v>131</v>
      </c>
      <c r="BL300" t="s">
        <v>167</v>
      </c>
      <c r="BO300" t="s">
        <v>131</v>
      </c>
      <c r="BP300" t="s">
        <v>134</v>
      </c>
      <c r="BQ300" t="s">
        <v>131</v>
      </c>
      <c r="BS300" t="str">
        <f t="shared" si="26"/>
        <v>N/A</v>
      </c>
      <c r="BT300" t="s">
        <v>131</v>
      </c>
      <c r="BV300" t="str">
        <f>""</f>
        <v/>
      </c>
      <c r="BW300" t="s">
        <v>135</v>
      </c>
      <c r="BX300" t="str">
        <f>""</f>
        <v/>
      </c>
      <c r="BY300" t="str">
        <f>""</f>
        <v/>
      </c>
      <c r="BZ300" t="str">
        <f>""</f>
        <v/>
      </c>
      <c r="CA300" t="str">
        <f>"Must be able to lift 50 lbs.  Applicants must complete an employment application. "</f>
        <v xml:space="preserve">Must be able to lift 50 lbs.  Applicants must complete an employment application. </v>
      </c>
      <c r="CB300" t="s">
        <v>131</v>
      </c>
      <c r="CF300" t="s">
        <v>131</v>
      </c>
      <c r="CH300" t="str">
        <f>""</f>
        <v/>
      </c>
      <c r="CI300" t="s">
        <v>131</v>
      </c>
      <c r="CK300" t="s">
        <v>131</v>
      </c>
      <c r="CL300" t="str">
        <f>""</f>
        <v/>
      </c>
      <c r="CM300" t="str">
        <f>""</f>
        <v/>
      </c>
      <c r="CN300" t="str">
        <f>""</f>
        <v/>
      </c>
      <c r="CO300" t="str">
        <f>""</f>
        <v/>
      </c>
      <c r="CP300" t="str">
        <f>"37-3011.00"</f>
        <v>37-3011.00</v>
      </c>
      <c r="CQ300" t="s">
        <v>920</v>
      </c>
      <c r="CS300" t="s">
        <v>135</v>
      </c>
      <c r="CT300" t="s">
        <v>2321</v>
      </c>
      <c r="CU300" t="s">
        <v>9878</v>
      </c>
      <c r="CW300" t="s">
        <v>6421</v>
      </c>
      <c r="CX300" t="s">
        <v>471</v>
      </c>
      <c r="CZ300" s="3" t="str">
        <f>"80504"</f>
        <v>80504</v>
      </c>
      <c r="DA300" t="s">
        <v>131</v>
      </c>
      <c r="DB300" t="str">
        <f>"37-3011"</f>
        <v>37-3011</v>
      </c>
      <c r="DC300" t="s">
        <v>920</v>
      </c>
      <c r="DD300" t="s">
        <v>134</v>
      </c>
      <c r="DE300" t="s">
        <v>134</v>
      </c>
      <c r="DF300" t="str">
        <f>""</f>
        <v/>
      </c>
      <c r="DH300" s="6">
        <v>18.670000000000002</v>
      </c>
      <c r="DI300" t="s">
        <v>344</v>
      </c>
      <c r="DK300" t="s">
        <v>345</v>
      </c>
      <c r="DR300" t="s">
        <v>9881</v>
      </c>
      <c r="DS300" s="6">
        <v>18.670000000000002</v>
      </c>
      <c r="DT300" s="2" t="s">
        <v>347</v>
      </c>
      <c r="DU300" s="1">
        <v>44354</v>
      </c>
      <c r="DV300" s="1">
        <v>44443</v>
      </c>
    </row>
    <row r="301" spans="1:126" ht="15" customHeight="1" x14ac:dyDescent="0.35">
      <c r="A301" t="s">
        <v>2379</v>
      </c>
      <c r="B301" t="s">
        <v>318</v>
      </c>
      <c r="C301" s="1">
        <v>44326</v>
      </c>
      <c r="D301" s="1">
        <v>44354</v>
      </c>
      <c r="H301" t="s">
        <v>319</v>
      </c>
      <c r="I301" t="s">
        <v>2380</v>
      </c>
      <c r="J301" t="s">
        <v>2381</v>
      </c>
      <c r="K301" t="s">
        <v>387</v>
      </c>
      <c r="L301" t="s">
        <v>395</v>
      </c>
      <c r="M301" t="s">
        <v>2382</v>
      </c>
      <c r="O301" t="s">
        <v>2383</v>
      </c>
      <c r="P301" t="s">
        <v>441</v>
      </c>
      <c r="Q301" s="3">
        <v>45424</v>
      </c>
      <c r="R301" t="s">
        <v>128</v>
      </c>
      <c r="T301" s="4">
        <v>19376695388</v>
      </c>
      <c r="V301" t="s">
        <v>2384</v>
      </c>
      <c r="W301" t="s">
        <v>2385</v>
      </c>
      <c r="Y301" t="s">
        <v>2382</v>
      </c>
      <c r="AA301" t="s">
        <v>2383</v>
      </c>
      <c r="AB301" t="s">
        <v>444</v>
      </c>
      <c r="AC301" s="3" t="str">
        <f>"45424"</f>
        <v>45424</v>
      </c>
      <c r="AD301" t="s">
        <v>128</v>
      </c>
      <c r="AF301" s="4">
        <v>19376695388</v>
      </c>
      <c r="AH301" t="str">
        <f>"5617"</f>
        <v>5617</v>
      </c>
      <c r="AI301" t="s">
        <v>287</v>
      </c>
      <c r="AJ301" t="s">
        <v>2209</v>
      </c>
      <c r="AK301" t="s">
        <v>1459</v>
      </c>
      <c r="AL301" t="s">
        <v>2210</v>
      </c>
      <c r="AM301" t="s">
        <v>2211</v>
      </c>
      <c r="AN301" t="s">
        <v>788</v>
      </c>
      <c r="AO301" t="s">
        <v>2212</v>
      </c>
      <c r="AP301" t="s">
        <v>400</v>
      </c>
      <c r="AQ301" s="5">
        <v>75033</v>
      </c>
      <c r="AR301" t="s">
        <v>128</v>
      </c>
      <c r="AT301" s="4">
        <v>19727789690</v>
      </c>
      <c r="AV301" t="s">
        <v>2320</v>
      </c>
      <c r="AW301" t="s">
        <v>2214</v>
      </c>
      <c r="AX301" t="s">
        <v>131</v>
      </c>
      <c r="AY301" t="s">
        <v>131</v>
      </c>
      <c r="AZ301" t="s">
        <v>131</v>
      </c>
      <c r="BA301" t="s">
        <v>131</v>
      </c>
      <c r="BB301" t="s">
        <v>131</v>
      </c>
      <c r="BC301" t="s">
        <v>131</v>
      </c>
      <c r="BD301" t="s">
        <v>131</v>
      </c>
      <c r="BE301" t="s">
        <v>132</v>
      </c>
      <c r="BH301" t="s">
        <v>2215</v>
      </c>
      <c r="BI301" t="s">
        <v>131</v>
      </c>
      <c r="BL301" t="s">
        <v>167</v>
      </c>
      <c r="BO301" t="s">
        <v>131</v>
      </c>
      <c r="BP301" t="s">
        <v>134</v>
      </c>
      <c r="BQ301" t="s">
        <v>131</v>
      </c>
      <c r="BS301" t="str">
        <f t="shared" si="26"/>
        <v>N/A</v>
      </c>
      <c r="BT301" t="s">
        <v>131</v>
      </c>
      <c r="BV301" t="str">
        <f>""</f>
        <v/>
      </c>
      <c r="BW301" t="s">
        <v>135</v>
      </c>
      <c r="BX301" t="str">
        <f>""</f>
        <v/>
      </c>
      <c r="BY301" t="str">
        <f>""</f>
        <v/>
      </c>
      <c r="BZ301" t="str">
        <f>""</f>
        <v/>
      </c>
      <c r="CA301" t="str">
        <f>"Must be able to lift 50 lbs. Applicants must complete an employment application. "</f>
        <v xml:space="preserve">Must be able to lift 50 lbs. Applicants must complete an employment application. </v>
      </c>
      <c r="CB301" t="s">
        <v>131</v>
      </c>
      <c r="CF301" t="s">
        <v>131</v>
      </c>
      <c r="CH301" t="str">
        <f>""</f>
        <v/>
      </c>
      <c r="CI301" t="s">
        <v>131</v>
      </c>
      <c r="CK301" t="s">
        <v>131</v>
      </c>
      <c r="CL301" t="str">
        <f>""</f>
        <v/>
      </c>
      <c r="CM301" t="str">
        <f>""</f>
        <v/>
      </c>
      <c r="CN301" t="str">
        <f>""</f>
        <v/>
      </c>
      <c r="CO301" t="str">
        <f>""</f>
        <v/>
      </c>
      <c r="CP301" t="str">
        <f>"37-3011.00"</f>
        <v>37-3011.00</v>
      </c>
      <c r="CQ301" t="s">
        <v>920</v>
      </c>
      <c r="CS301" t="s">
        <v>135</v>
      </c>
      <c r="CT301" t="s">
        <v>2321</v>
      </c>
      <c r="CU301" t="s">
        <v>2382</v>
      </c>
      <c r="CW301" t="s">
        <v>2383</v>
      </c>
      <c r="CX301" t="s">
        <v>444</v>
      </c>
      <c r="CZ301" s="3" t="str">
        <f>"45424"</f>
        <v>45424</v>
      </c>
      <c r="DA301" t="s">
        <v>135</v>
      </c>
      <c r="DB301" t="str">
        <f>"37-3011"</f>
        <v>37-3011</v>
      </c>
      <c r="DC301" t="s">
        <v>920</v>
      </c>
      <c r="DD301" t="s">
        <v>134</v>
      </c>
      <c r="DE301" t="s">
        <v>134</v>
      </c>
      <c r="DF301" t="str">
        <f>""</f>
        <v/>
      </c>
      <c r="DH301" s="6">
        <v>14.45</v>
      </c>
      <c r="DI301" t="s">
        <v>344</v>
      </c>
      <c r="DK301" t="s">
        <v>345</v>
      </c>
      <c r="DR301" t="s">
        <v>2386</v>
      </c>
      <c r="DS301" s="6">
        <v>14.88</v>
      </c>
      <c r="DT301" s="2" t="s">
        <v>347</v>
      </c>
      <c r="DU301" s="1">
        <v>44354</v>
      </c>
      <c r="DV301" s="1">
        <v>44443</v>
      </c>
    </row>
    <row r="302" spans="1:126" ht="15" customHeight="1" x14ac:dyDescent="0.35">
      <c r="A302" t="s">
        <v>19553</v>
      </c>
      <c r="B302" t="s">
        <v>318</v>
      </c>
      <c r="C302" s="1">
        <v>44326</v>
      </c>
      <c r="D302" s="1">
        <v>44354</v>
      </c>
      <c r="H302" t="s">
        <v>319</v>
      </c>
      <c r="I302" t="s">
        <v>19554</v>
      </c>
      <c r="J302" t="s">
        <v>560</v>
      </c>
      <c r="K302" t="s">
        <v>667</v>
      </c>
      <c r="L302" t="s">
        <v>6622</v>
      </c>
      <c r="M302" t="s">
        <v>19555</v>
      </c>
      <c r="O302" t="s">
        <v>915</v>
      </c>
      <c r="P302" t="s">
        <v>593</v>
      </c>
      <c r="Q302" s="3">
        <v>27915</v>
      </c>
      <c r="R302" t="s">
        <v>128</v>
      </c>
      <c r="T302" s="4">
        <v>12529863007</v>
      </c>
      <c r="V302" t="s">
        <v>19556</v>
      </c>
      <c r="W302" t="s">
        <v>19557</v>
      </c>
      <c r="Y302" t="s">
        <v>19555</v>
      </c>
      <c r="AA302" t="s">
        <v>915</v>
      </c>
      <c r="AB302" t="s">
        <v>594</v>
      </c>
      <c r="AC302" s="3" t="str">
        <f>"27915"</f>
        <v>27915</v>
      </c>
      <c r="AD302" t="s">
        <v>128</v>
      </c>
      <c r="AF302" s="4">
        <v>12524894333</v>
      </c>
      <c r="AH302" t="str">
        <f>"7211"</f>
        <v>7211</v>
      </c>
      <c r="AI302" t="s">
        <v>287</v>
      </c>
      <c r="AJ302" t="s">
        <v>2209</v>
      </c>
      <c r="AK302" t="s">
        <v>1459</v>
      </c>
      <c r="AL302" t="s">
        <v>2210</v>
      </c>
      <c r="AM302" t="s">
        <v>2211</v>
      </c>
      <c r="AN302" t="s">
        <v>788</v>
      </c>
      <c r="AO302" t="s">
        <v>2212</v>
      </c>
      <c r="AP302" t="s">
        <v>400</v>
      </c>
      <c r="AQ302" s="5">
        <v>75033</v>
      </c>
      <c r="AR302" t="s">
        <v>128</v>
      </c>
      <c r="AT302" s="4">
        <v>19727789690</v>
      </c>
      <c r="AV302" t="s">
        <v>2320</v>
      </c>
      <c r="AW302" t="s">
        <v>2214</v>
      </c>
      <c r="AX302" t="s">
        <v>131</v>
      </c>
      <c r="AY302" t="s">
        <v>131</v>
      </c>
      <c r="AZ302" t="s">
        <v>131</v>
      </c>
      <c r="BA302" t="s">
        <v>131</v>
      </c>
      <c r="BB302" t="s">
        <v>131</v>
      </c>
      <c r="BC302" t="s">
        <v>131</v>
      </c>
      <c r="BD302" t="s">
        <v>131</v>
      </c>
      <c r="BE302" t="s">
        <v>132</v>
      </c>
      <c r="BH302" t="s">
        <v>1639</v>
      </c>
      <c r="BI302" t="s">
        <v>131</v>
      </c>
      <c r="BL302" t="s">
        <v>167</v>
      </c>
      <c r="BO302" t="s">
        <v>131</v>
      </c>
      <c r="BP302" t="s">
        <v>134</v>
      </c>
      <c r="BQ302" t="s">
        <v>131</v>
      </c>
      <c r="BS302" t="str">
        <f t="shared" si="26"/>
        <v>N/A</v>
      </c>
      <c r="BT302" t="s">
        <v>131</v>
      </c>
      <c r="BV302" t="str">
        <f>""</f>
        <v/>
      </c>
      <c r="BW302" t="s">
        <v>135</v>
      </c>
      <c r="BX302" t="str">
        <f>""</f>
        <v/>
      </c>
      <c r="BY302" t="str">
        <f>""</f>
        <v/>
      </c>
      <c r="BZ302" t="str">
        <f>""</f>
        <v/>
      </c>
      <c r="CA302" t="str">
        <f>"Must pass a post-employment criminal background check. Applicants must complete an employment application. "</f>
        <v xml:space="preserve">Must pass a post-employment criminal background check. Applicants must complete an employment application. </v>
      </c>
      <c r="CB302" t="s">
        <v>131</v>
      </c>
      <c r="CF302" t="s">
        <v>131</v>
      </c>
      <c r="CH302" t="str">
        <f>""</f>
        <v/>
      </c>
      <c r="CI302" t="s">
        <v>131</v>
      </c>
      <c r="CK302" t="s">
        <v>131</v>
      </c>
      <c r="CL302" t="str">
        <f>""</f>
        <v/>
      </c>
      <c r="CM302" t="str">
        <f>""</f>
        <v/>
      </c>
      <c r="CN302" t="str">
        <f>""</f>
        <v/>
      </c>
      <c r="CO302" t="str">
        <f>""</f>
        <v/>
      </c>
      <c r="CP302" t="str">
        <f>"37-2012.00"</f>
        <v>37-2012.00</v>
      </c>
      <c r="CQ302" t="s">
        <v>479</v>
      </c>
      <c r="CS302" t="s">
        <v>135</v>
      </c>
      <c r="CT302" t="s">
        <v>2321</v>
      </c>
      <c r="CU302" t="s">
        <v>19555</v>
      </c>
      <c r="CW302" t="s">
        <v>915</v>
      </c>
      <c r="CX302" t="s">
        <v>594</v>
      </c>
      <c r="CZ302" s="3" t="str">
        <f>"27915"</f>
        <v>27915</v>
      </c>
      <c r="DA302" t="s">
        <v>131</v>
      </c>
      <c r="DB302" t="str">
        <f>"37-2012"</f>
        <v>37-2012</v>
      </c>
      <c r="DC302" t="s">
        <v>479</v>
      </c>
      <c r="DD302" t="s">
        <v>134</v>
      </c>
      <c r="DE302" t="s">
        <v>134</v>
      </c>
      <c r="DF302" t="str">
        <f>""</f>
        <v/>
      </c>
      <c r="DH302" s="6">
        <v>12.73</v>
      </c>
      <c r="DI302" t="s">
        <v>344</v>
      </c>
      <c r="DK302" t="s">
        <v>345</v>
      </c>
      <c r="DR302" t="s">
        <v>19558</v>
      </c>
      <c r="DS302" s="6">
        <v>12.73</v>
      </c>
      <c r="DT302" s="2" t="s">
        <v>347</v>
      </c>
      <c r="DU302" s="1">
        <v>44354</v>
      </c>
      <c r="DV302" s="1">
        <v>44443</v>
      </c>
    </row>
    <row r="303" spans="1:126" ht="15" customHeight="1" x14ac:dyDescent="0.35">
      <c r="A303" t="s">
        <v>19219</v>
      </c>
      <c r="B303" t="s">
        <v>318</v>
      </c>
      <c r="C303" s="1">
        <v>44326</v>
      </c>
      <c r="D303" s="1">
        <v>44354</v>
      </c>
      <c r="H303" t="s">
        <v>319</v>
      </c>
      <c r="I303" t="s">
        <v>1732</v>
      </c>
      <c r="J303" t="s">
        <v>560</v>
      </c>
      <c r="K303" t="s">
        <v>803</v>
      </c>
      <c r="L303" t="s">
        <v>130</v>
      </c>
      <c r="M303" t="s">
        <v>8017</v>
      </c>
      <c r="N303" t="s">
        <v>3978</v>
      </c>
      <c r="O303" t="s">
        <v>1735</v>
      </c>
      <c r="P303" t="s">
        <v>467</v>
      </c>
      <c r="Q303" s="3">
        <v>81658</v>
      </c>
      <c r="R303" t="s">
        <v>128</v>
      </c>
      <c r="T303" s="4">
        <v>19703066476</v>
      </c>
      <c r="V303" t="s">
        <v>1736</v>
      </c>
      <c r="W303" t="s">
        <v>19220</v>
      </c>
      <c r="X303" t="s">
        <v>19221</v>
      </c>
      <c r="Y303" t="s">
        <v>19222</v>
      </c>
      <c r="Z303" t="s">
        <v>19223</v>
      </c>
      <c r="AA303" t="s">
        <v>915</v>
      </c>
      <c r="AB303" t="s">
        <v>471</v>
      </c>
      <c r="AC303" s="3" t="str">
        <f>"81620"</f>
        <v>81620</v>
      </c>
      <c r="AD303" t="s">
        <v>128</v>
      </c>
      <c r="AF303" s="4">
        <v>19709497728</v>
      </c>
      <c r="AH303" t="str">
        <f>"722511"</f>
        <v>722511</v>
      </c>
      <c r="AI303" t="s">
        <v>130</v>
      </c>
      <c r="AJ303" t="s">
        <v>1732</v>
      </c>
      <c r="AK303" t="s">
        <v>560</v>
      </c>
      <c r="AL303" t="s">
        <v>803</v>
      </c>
      <c r="AM303" t="s">
        <v>19224</v>
      </c>
      <c r="AO303" t="s">
        <v>1735</v>
      </c>
      <c r="AP303" t="s">
        <v>471</v>
      </c>
      <c r="AQ303" s="5">
        <v>81658</v>
      </c>
      <c r="AR303" t="s">
        <v>128</v>
      </c>
      <c r="AT303" s="4">
        <v>19703066476</v>
      </c>
      <c r="AV303" t="s">
        <v>1736</v>
      </c>
      <c r="AW303" t="s">
        <v>1743</v>
      </c>
      <c r="AX303" t="s">
        <v>131</v>
      </c>
      <c r="AY303" t="s">
        <v>131</v>
      </c>
      <c r="AZ303" t="s">
        <v>131</v>
      </c>
      <c r="BA303" t="s">
        <v>131</v>
      </c>
      <c r="BB303" t="s">
        <v>131</v>
      </c>
      <c r="BC303" t="s">
        <v>131</v>
      </c>
      <c r="BD303" t="s">
        <v>131</v>
      </c>
      <c r="BE303" t="s">
        <v>132</v>
      </c>
      <c r="BH303" t="s">
        <v>1080</v>
      </c>
      <c r="BI303" t="s">
        <v>131</v>
      </c>
      <c r="BL303" t="s">
        <v>401</v>
      </c>
      <c r="BO303" t="s">
        <v>131</v>
      </c>
      <c r="BP303" t="s">
        <v>134</v>
      </c>
      <c r="BQ303" t="s">
        <v>131</v>
      </c>
      <c r="BS303" t="str">
        <f t="shared" si="26"/>
        <v>N/A</v>
      </c>
      <c r="BT303" t="s">
        <v>135</v>
      </c>
      <c r="BU303">
        <v>6</v>
      </c>
      <c r="BV303" t="str">
        <f>"Cook"</f>
        <v>Cook</v>
      </c>
      <c r="BW303" t="s">
        <v>135</v>
      </c>
      <c r="BX303" t="str">
        <f>""</f>
        <v/>
      </c>
      <c r="BY303" t="str">
        <f>""</f>
        <v/>
      </c>
      <c r="BZ303" t="str">
        <f>""</f>
        <v/>
      </c>
      <c r="CA303" t="str">
        <f>"Previous employment experience preferred to be in fine dining French restaurant."</f>
        <v>Previous employment experience preferred to be in fine dining French restaurant.</v>
      </c>
      <c r="CB303" t="s">
        <v>131</v>
      </c>
      <c r="CF303" t="s">
        <v>131</v>
      </c>
      <c r="CH303" t="str">
        <f>""</f>
        <v/>
      </c>
      <c r="CI303" t="s">
        <v>131</v>
      </c>
      <c r="CK303" t="s">
        <v>131</v>
      </c>
      <c r="CL303" t="str">
        <f>""</f>
        <v/>
      </c>
      <c r="CM303" t="str">
        <f>""</f>
        <v/>
      </c>
      <c r="CN303" t="str">
        <f>""</f>
        <v/>
      </c>
      <c r="CO303" t="str">
        <f>""</f>
        <v/>
      </c>
      <c r="CP303" t="str">
        <f>"35-2014.00"</f>
        <v>35-2014.00</v>
      </c>
      <c r="CQ303" t="s">
        <v>581</v>
      </c>
      <c r="CR303" t="s">
        <v>1745</v>
      </c>
      <c r="CS303" t="s">
        <v>131</v>
      </c>
      <c r="CU303" t="s">
        <v>19225</v>
      </c>
      <c r="CW303" t="s">
        <v>915</v>
      </c>
      <c r="CX303" t="s">
        <v>471</v>
      </c>
      <c r="CZ303" s="3" t="str">
        <f>"81620"</f>
        <v>81620</v>
      </c>
      <c r="DA303" t="s">
        <v>131</v>
      </c>
      <c r="DB303" t="str">
        <f>"35-2014"</f>
        <v>35-2014</v>
      </c>
      <c r="DC303" t="s">
        <v>581</v>
      </c>
      <c r="DD303" t="s">
        <v>134</v>
      </c>
      <c r="DE303" t="s">
        <v>134</v>
      </c>
      <c r="DF303" t="str">
        <f>""</f>
        <v/>
      </c>
      <c r="DH303" s="6">
        <v>16.7</v>
      </c>
      <c r="DI303" t="s">
        <v>344</v>
      </c>
      <c r="DK303" t="s">
        <v>345</v>
      </c>
      <c r="DS303" s="6">
        <v>16.7</v>
      </c>
      <c r="DT303" t="s">
        <v>424</v>
      </c>
      <c r="DU303" s="1">
        <v>44354</v>
      </c>
      <c r="DV303" s="1">
        <v>44443</v>
      </c>
    </row>
    <row r="304" spans="1:126" ht="15" customHeight="1" x14ac:dyDescent="0.35">
      <c r="A304" t="s">
        <v>14910</v>
      </c>
      <c r="B304" t="s">
        <v>318</v>
      </c>
      <c r="C304" s="1">
        <v>44326</v>
      </c>
      <c r="D304" s="1">
        <v>44354</v>
      </c>
      <c r="H304" t="s">
        <v>319</v>
      </c>
      <c r="I304" t="s">
        <v>4645</v>
      </c>
      <c r="J304" t="s">
        <v>254</v>
      </c>
      <c r="L304" t="s">
        <v>4646</v>
      </c>
      <c r="M304" t="s">
        <v>4647</v>
      </c>
      <c r="N304" t="s">
        <v>134</v>
      </c>
      <c r="O304" t="s">
        <v>4648</v>
      </c>
      <c r="P304" t="s">
        <v>194</v>
      </c>
      <c r="Q304" s="3">
        <v>33408</v>
      </c>
      <c r="R304" t="s">
        <v>128</v>
      </c>
      <c r="S304" t="s">
        <v>134</v>
      </c>
      <c r="T304" s="4">
        <v>15616261501</v>
      </c>
      <c r="V304" t="s">
        <v>4649</v>
      </c>
      <c r="W304" t="s">
        <v>4650</v>
      </c>
      <c r="Y304" t="s">
        <v>4647</v>
      </c>
      <c r="Z304" t="s">
        <v>134</v>
      </c>
      <c r="AA304" t="s">
        <v>4648</v>
      </c>
      <c r="AB304" t="s">
        <v>195</v>
      </c>
      <c r="AC304" s="3" t="str">
        <f>"33408"</f>
        <v>33408</v>
      </c>
      <c r="AD304" t="s">
        <v>128</v>
      </c>
      <c r="AE304" t="s">
        <v>134</v>
      </c>
      <c r="AF304" s="4">
        <v>15616261501</v>
      </c>
      <c r="AH304" t="str">
        <f>"713910"</f>
        <v>713910</v>
      </c>
      <c r="AI304" t="s">
        <v>130</v>
      </c>
      <c r="AJ304" t="s">
        <v>1386</v>
      </c>
      <c r="AK304" t="s">
        <v>1387</v>
      </c>
      <c r="AL304" t="s">
        <v>1036</v>
      </c>
      <c r="AM304" t="s">
        <v>1388</v>
      </c>
      <c r="AN304" t="s">
        <v>997</v>
      </c>
      <c r="AO304" t="s">
        <v>719</v>
      </c>
      <c r="AP304" t="s">
        <v>377</v>
      </c>
      <c r="AQ304" s="5">
        <v>1701</v>
      </c>
      <c r="AR304" t="s">
        <v>128</v>
      </c>
      <c r="AS304" t="s">
        <v>134</v>
      </c>
      <c r="AT304" s="4">
        <v>16179399444</v>
      </c>
      <c r="AV304" t="s">
        <v>1389</v>
      </c>
      <c r="AW304" t="s">
        <v>1390</v>
      </c>
      <c r="AX304" t="s">
        <v>131</v>
      </c>
      <c r="AY304" t="s">
        <v>131</v>
      </c>
      <c r="AZ304" t="s">
        <v>131</v>
      </c>
      <c r="BA304" t="s">
        <v>131</v>
      </c>
      <c r="BB304" t="s">
        <v>131</v>
      </c>
      <c r="BC304" t="s">
        <v>131</v>
      </c>
      <c r="BD304" t="s">
        <v>131</v>
      </c>
      <c r="BE304" t="s">
        <v>132</v>
      </c>
      <c r="BH304" t="s">
        <v>14911</v>
      </c>
      <c r="BI304" t="s">
        <v>131</v>
      </c>
      <c r="BL304" t="s">
        <v>167</v>
      </c>
      <c r="BO304" t="s">
        <v>131</v>
      </c>
      <c r="BP304" t="s">
        <v>134</v>
      </c>
      <c r="BQ304" t="s">
        <v>131</v>
      </c>
      <c r="BS304" t="str">
        <f t="shared" si="26"/>
        <v>N/A</v>
      </c>
      <c r="BT304" t="s">
        <v>135</v>
      </c>
      <c r="BU304">
        <v>6</v>
      </c>
      <c r="BV304" t="str">
        <f>"Front Desk/Concierge"</f>
        <v>Front Desk/Concierge</v>
      </c>
      <c r="BW304" t="s">
        <v>135</v>
      </c>
      <c r="BX304" t="str">
        <f>""</f>
        <v/>
      </c>
      <c r="BY304" t="str">
        <f>""</f>
        <v/>
      </c>
      <c r="BZ304" t="str">
        <f>""</f>
        <v/>
      </c>
      <c r="CA304" t="s">
        <v>14912</v>
      </c>
      <c r="CB304" t="s">
        <v>131</v>
      </c>
      <c r="CF304" t="s">
        <v>131</v>
      </c>
      <c r="CH304" t="str">
        <f>""</f>
        <v/>
      </c>
      <c r="CI304" t="s">
        <v>131</v>
      </c>
      <c r="CK304" t="s">
        <v>131</v>
      </c>
      <c r="CL304" t="str">
        <f>""</f>
        <v/>
      </c>
      <c r="CM304" t="str">
        <f>""</f>
        <v/>
      </c>
      <c r="CN304" t="str">
        <f>""</f>
        <v/>
      </c>
      <c r="CO304" t="str">
        <f>""</f>
        <v/>
      </c>
      <c r="CP304" t="str">
        <f>"43-4081.00"</f>
        <v>43-4081.00</v>
      </c>
      <c r="CQ304" t="s">
        <v>4499</v>
      </c>
      <c r="CR304" t="s">
        <v>4652</v>
      </c>
      <c r="CS304" t="s">
        <v>131</v>
      </c>
      <c r="CU304" t="s">
        <v>4647</v>
      </c>
      <c r="CV304" t="s">
        <v>134</v>
      </c>
      <c r="CW304" t="s">
        <v>4648</v>
      </c>
      <c r="CX304" t="s">
        <v>195</v>
      </c>
      <c r="CZ304" s="3" t="str">
        <f>"33408"</f>
        <v>33408</v>
      </c>
      <c r="DA304" t="s">
        <v>131</v>
      </c>
      <c r="DB304" t="str">
        <f>"43-4081"</f>
        <v>43-4081</v>
      </c>
      <c r="DC304" t="s">
        <v>4499</v>
      </c>
      <c r="DD304" t="s">
        <v>134</v>
      </c>
      <c r="DE304" t="s">
        <v>134</v>
      </c>
      <c r="DF304" t="str">
        <f>""</f>
        <v/>
      </c>
      <c r="DH304" s="6">
        <v>12.85</v>
      </c>
      <c r="DI304" t="s">
        <v>344</v>
      </c>
      <c r="DK304" t="s">
        <v>345</v>
      </c>
      <c r="DS304" s="6">
        <v>12.85</v>
      </c>
      <c r="DT304" t="s">
        <v>424</v>
      </c>
      <c r="DU304" s="1">
        <v>44354</v>
      </c>
      <c r="DV304" s="1">
        <v>44443</v>
      </c>
    </row>
    <row r="305" spans="1:126" ht="15" customHeight="1" x14ac:dyDescent="0.35">
      <c r="A305" t="s">
        <v>20173</v>
      </c>
      <c r="B305" t="s">
        <v>318</v>
      </c>
      <c r="C305" s="1">
        <v>44326</v>
      </c>
      <c r="D305" s="1">
        <v>44354</v>
      </c>
      <c r="H305" t="s">
        <v>319</v>
      </c>
      <c r="I305" t="s">
        <v>4645</v>
      </c>
      <c r="J305" t="s">
        <v>254</v>
      </c>
      <c r="L305" t="s">
        <v>4646</v>
      </c>
      <c r="M305" t="s">
        <v>4647</v>
      </c>
      <c r="N305" t="s">
        <v>134</v>
      </c>
      <c r="O305" t="s">
        <v>4648</v>
      </c>
      <c r="P305" t="s">
        <v>194</v>
      </c>
      <c r="Q305" s="3">
        <v>33408</v>
      </c>
      <c r="R305" t="s">
        <v>128</v>
      </c>
      <c r="S305" t="s">
        <v>1794</v>
      </c>
      <c r="T305" s="4">
        <v>15616261501</v>
      </c>
      <c r="V305" t="s">
        <v>4649</v>
      </c>
      <c r="W305" t="s">
        <v>4650</v>
      </c>
      <c r="Y305" t="s">
        <v>4647</v>
      </c>
      <c r="Z305" t="s">
        <v>134</v>
      </c>
      <c r="AA305" t="s">
        <v>4648</v>
      </c>
      <c r="AB305" t="s">
        <v>195</v>
      </c>
      <c r="AC305" s="3" t="str">
        <f>"33408"</f>
        <v>33408</v>
      </c>
      <c r="AD305" t="s">
        <v>128</v>
      </c>
      <c r="AE305" t="s">
        <v>134</v>
      </c>
      <c r="AF305" s="4">
        <v>15616261501</v>
      </c>
      <c r="AH305" t="str">
        <f>"713910"</f>
        <v>713910</v>
      </c>
      <c r="AI305" t="s">
        <v>130</v>
      </c>
      <c r="AJ305" t="s">
        <v>1386</v>
      </c>
      <c r="AK305" t="s">
        <v>1387</v>
      </c>
      <c r="AL305" t="s">
        <v>1036</v>
      </c>
      <c r="AM305" t="s">
        <v>1388</v>
      </c>
      <c r="AN305" t="s">
        <v>997</v>
      </c>
      <c r="AO305" t="s">
        <v>719</v>
      </c>
      <c r="AP305" t="s">
        <v>377</v>
      </c>
      <c r="AQ305" s="5">
        <v>1701</v>
      </c>
      <c r="AR305" t="s">
        <v>128</v>
      </c>
      <c r="AS305" t="s">
        <v>134</v>
      </c>
      <c r="AT305" s="4">
        <v>16179399444</v>
      </c>
      <c r="AV305" t="s">
        <v>1389</v>
      </c>
      <c r="AW305" t="s">
        <v>1390</v>
      </c>
      <c r="AX305" t="s">
        <v>131</v>
      </c>
      <c r="AY305" t="s">
        <v>131</v>
      </c>
      <c r="AZ305" t="s">
        <v>131</v>
      </c>
      <c r="BA305" t="s">
        <v>131</v>
      </c>
      <c r="BB305" t="s">
        <v>131</v>
      </c>
      <c r="BC305" t="s">
        <v>131</v>
      </c>
      <c r="BD305" t="s">
        <v>131</v>
      </c>
      <c r="BE305" t="s">
        <v>132</v>
      </c>
      <c r="BH305" t="s">
        <v>1639</v>
      </c>
      <c r="BI305" t="s">
        <v>131</v>
      </c>
      <c r="BL305" t="s">
        <v>167</v>
      </c>
      <c r="BO305" t="s">
        <v>131</v>
      </c>
      <c r="BP305" t="s">
        <v>134</v>
      </c>
      <c r="BQ305" t="s">
        <v>131</v>
      </c>
      <c r="BS305" t="str">
        <f t="shared" si="26"/>
        <v>N/A</v>
      </c>
      <c r="BT305" t="s">
        <v>135</v>
      </c>
      <c r="BU305">
        <v>3</v>
      </c>
      <c r="BV305" t="str">
        <f>"Housekeeper"</f>
        <v>Housekeeper</v>
      </c>
      <c r="BW305" t="s">
        <v>135</v>
      </c>
      <c r="BX305" t="str">
        <f>""</f>
        <v/>
      </c>
      <c r="BY305" t="str">
        <f>""</f>
        <v/>
      </c>
      <c r="BZ305" t="str">
        <f>""</f>
        <v/>
      </c>
      <c r="CA305" t="s">
        <v>20174</v>
      </c>
      <c r="CB305" t="s">
        <v>131</v>
      </c>
      <c r="CF305" t="s">
        <v>131</v>
      </c>
      <c r="CH305" t="str">
        <f>""</f>
        <v/>
      </c>
      <c r="CI305" t="s">
        <v>131</v>
      </c>
      <c r="CK305" t="s">
        <v>131</v>
      </c>
      <c r="CL305" t="str">
        <f>""</f>
        <v/>
      </c>
      <c r="CM305" t="str">
        <f>""</f>
        <v/>
      </c>
      <c r="CN305" t="str">
        <f>""</f>
        <v/>
      </c>
      <c r="CO305" t="str">
        <f>""</f>
        <v/>
      </c>
      <c r="CP305" t="str">
        <f>"37-2012.00"</f>
        <v>37-2012.00</v>
      </c>
      <c r="CQ305" t="s">
        <v>479</v>
      </c>
      <c r="CR305" t="s">
        <v>20175</v>
      </c>
      <c r="CS305" t="s">
        <v>131</v>
      </c>
      <c r="CU305" t="s">
        <v>4647</v>
      </c>
      <c r="CV305" t="s">
        <v>134</v>
      </c>
      <c r="CW305" t="s">
        <v>4648</v>
      </c>
      <c r="CX305" t="s">
        <v>195</v>
      </c>
      <c r="CZ305" s="3" t="str">
        <f>"33408"</f>
        <v>33408</v>
      </c>
      <c r="DA305" t="s">
        <v>131</v>
      </c>
      <c r="DB305" t="str">
        <f>"37-2012"</f>
        <v>37-2012</v>
      </c>
      <c r="DC305" t="s">
        <v>479</v>
      </c>
      <c r="DD305" t="s">
        <v>134</v>
      </c>
      <c r="DE305" t="s">
        <v>134</v>
      </c>
      <c r="DF305" t="str">
        <f>""</f>
        <v/>
      </c>
      <c r="DH305" s="6">
        <v>11.7</v>
      </c>
      <c r="DI305" t="s">
        <v>344</v>
      </c>
      <c r="DK305" t="s">
        <v>345</v>
      </c>
      <c r="DS305" s="6">
        <v>11.7</v>
      </c>
      <c r="DT305" t="s">
        <v>424</v>
      </c>
      <c r="DU305" s="1">
        <v>44354</v>
      </c>
      <c r="DV305" s="1">
        <v>44443</v>
      </c>
    </row>
    <row r="306" spans="1:126" ht="15" customHeight="1" x14ac:dyDescent="0.35">
      <c r="A306" t="s">
        <v>8011</v>
      </c>
      <c r="B306" t="s">
        <v>318</v>
      </c>
      <c r="C306" s="1">
        <v>44326</v>
      </c>
      <c r="D306" s="1">
        <v>44354</v>
      </c>
      <c r="H306" t="s">
        <v>319</v>
      </c>
      <c r="I306" t="s">
        <v>1732</v>
      </c>
      <c r="J306" t="s">
        <v>560</v>
      </c>
      <c r="K306" t="s">
        <v>803</v>
      </c>
      <c r="L306" t="s">
        <v>130</v>
      </c>
      <c r="M306" t="s">
        <v>8012</v>
      </c>
      <c r="N306" t="s">
        <v>3978</v>
      </c>
      <c r="O306" t="s">
        <v>1735</v>
      </c>
      <c r="P306" t="s">
        <v>467</v>
      </c>
      <c r="Q306" s="3">
        <v>81658</v>
      </c>
      <c r="R306" t="s">
        <v>128</v>
      </c>
      <c r="T306" s="4">
        <v>19703066476</v>
      </c>
      <c r="V306" t="s">
        <v>1736</v>
      </c>
      <c r="W306" t="s">
        <v>8013</v>
      </c>
      <c r="X306" t="s">
        <v>8014</v>
      </c>
      <c r="Y306" t="s">
        <v>8015</v>
      </c>
      <c r="Z306" t="s">
        <v>8016</v>
      </c>
      <c r="AA306" t="s">
        <v>915</v>
      </c>
      <c r="AB306" t="s">
        <v>471</v>
      </c>
      <c r="AC306" s="3" t="str">
        <f>"81620"</f>
        <v>81620</v>
      </c>
      <c r="AD306" t="s">
        <v>128</v>
      </c>
      <c r="AF306" s="4">
        <v>19708450555</v>
      </c>
      <c r="AH306" t="str">
        <f>"722511"</f>
        <v>722511</v>
      </c>
      <c r="AI306" t="s">
        <v>130</v>
      </c>
      <c r="AJ306" t="s">
        <v>1732</v>
      </c>
      <c r="AK306" t="s">
        <v>560</v>
      </c>
      <c r="AL306" t="s">
        <v>803</v>
      </c>
      <c r="AM306" t="s">
        <v>8017</v>
      </c>
      <c r="AN306" t="s">
        <v>3984</v>
      </c>
      <c r="AO306" t="s">
        <v>1735</v>
      </c>
      <c r="AP306" t="s">
        <v>471</v>
      </c>
      <c r="AQ306" s="5">
        <v>81658</v>
      </c>
      <c r="AR306" t="s">
        <v>128</v>
      </c>
      <c r="AT306" s="4">
        <v>19703066476</v>
      </c>
      <c r="AV306" t="s">
        <v>1736</v>
      </c>
      <c r="AW306" t="s">
        <v>1743</v>
      </c>
      <c r="AX306" t="s">
        <v>131</v>
      </c>
      <c r="AY306" t="s">
        <v>131</v>
      </c>
      <c r="AZ306" t="s">
        <v>131</v>
      </c>
      <c r="BA306" t="s">
        <v>131</v>
      </c>
      <c r="BB306" t="s">
        <v>131</v>
      </c>
      <c r="BC306" t="s">
        <v>131</v>
      </c>
      <c r="BD306" t="s">
        <v>131</v>
      </c>
      <c r="BE306" t="s">
        <v>132</v>
      </c>
      <c r="BH306" t="s">
        <v>1749</v>
      </c>
      <c r="BI306" t="s">
        <v>131</v>
      </c>
      <c r="BL306" t="s">
        <v>167</v>
      </c>
      <c r="BO306" t="s">
        <v>131</v>
      </c>
      <c r="BP306" t="s">
        <v>134</v>
      </c>
      <c r="BQ306" t="s">
        <v>131</v>
      </c>
      <c r="BS306" t="str">
        <f t="shared" si="26"/>
        <v>N/A</v>
      </c>
      <c r="BT306" t="s">
        <v>135</v>
      </c>
      <c r="BU306">
        <v>3</v>
      </c>
      <c r="BV306" t="str">
        <f>"Food Preparation Worker"</f>
        <v>Food Preparation Worker</v>
      </c>
      <c r="BW306" t="s">
        <v>131</v>
      </c>
      <c r="BX306" t="str">
        <f>""</f>
        <v/>
      </c>
      <c r="BY306" t="str">
        <f>""</f>
        <v/>
      </c>
      <c r="BZ306" t="str">
        <f>""</f>
        <v/>
      </c>
      <c r="CA306" t="str">
        <f>""</f>
        <v/>
      </c>
      <c r="CB306" t="s">
        <v>131</v>
      </c>
      <c r="CF306" t="s">
        <v>131</v>
      </c>
      <c r="CH306" t="str">
        <f>""</f>
        <v/>
      </c>
      <c r="CI306" t="s">
        <v>131</v>
      </c>
      <c r="CK306" t="s">
        <v>131</v>
      </c>
      <c r="CL306" t="str">
        <f>""</f>
        <v/>
      </c>
      <c r="CM306" t="str">
        <f>""</f>
        <v/>
      </c>
      <c r="CN306" t="str">
        <f>""</f>
        <v/>
      </c>
      <c r="CO306" t="str">
        <f>""</f>
        <v/>
      </c>
      <c r="CP306" t="str">
        <f>"35-2021.00"</f>
        <v>35-2021.00</v>
      </c>
      <c r="CQ306" t="s">
        <v>1749</v>
      </c>
      <c r="CR306" t="s">
        <v>1745</v>
      </c>
      <c r="CS306" t="s">
        <v>131</v>
      </c>
      <c r="CU306" t="s">
        <v>8018</v>
      </c>
      <c r="CW306" t="s">
        <v>915</v>
      </c>
      <c r="CX306" t="s">
        <v>471</v>
      </c>
      <c r="CZ306" s="3" t="str">
        <f>"81620"</f>
        <v>81620</v>
      </c>
      <c r="DA306" t="s">
        <v>131</v>
      </c>
      <c r="DB306" t="str">
        <f>"35-2021"</f>
        <v>35-2021</v>
      </c>
      <c r="DC306" t="s">
        <v>1749</v>
      </c>
      <c r="DD306" t="s">
        <v>134</v>
      </c>
      <c r="DE306" t="s">
        <v>134</v>
      </c>
      <c r="DF306" t="str">
        <f>""</f>
        <v/>
      </c>
      <c r="DH306" s="6">
        <v>16.23</v>
      </c>
      <c r="DI306" t="s">
        <v>344</v>
      </c>
      <c r="DK306" t="s">
        <v>345</v>
      </c>
      <c r="DS306" s="6">
        <v>16.23</v>
      </c>
      <c r="DT306" t="s">
        <v>424</v>
      </c>
      <c r="DU306" s="1">
        <v>44354</v>
      </c>
      <c r="DV306" s="1">
        <v>44443</v>
      </c>
    </row>
    <row r="307" spans="1:126" ht="15" customHeight="1" x14ac:dyDescent="0.35">
      <c r="A307" t="s">
        <v>19574</v>
      </c>
      <c r="B307" t="s">
        <v>318</v>
      </c>
      <c r="C307" s="1">
        <v>44326</v>
      </c>
      <c r="D307" s="1">
        <v>44354</v>
      </c>
      <c r="H307" t="s">
        <v>319</v>
      </c>
      <c r="I307" t="s">
        <v>4645</v>
      </c>
      <c r="J307" t="s">
        <v>254</v>
      </c>
      <c r="L307" t="s">
        <v>4646</v>
      </c>
      <c r="M307" t="s">
        <v>4647</v>
      </c>
      <c r="N307" t="s">
        <v>134</v>
      </c>
      <c r="O307" t="s">
        <v>4648</v>
      </c>
      <c r="P307" t="s">
        <v>194</v>
      </c>
      <c r="Q307" s="3">
        <v>33408</v>
      </c>
      <c r="R307" t="s">
        <v>128</v>
      </c>
      <c r="S307" t="s">
        <v>134</v>
      </c>
      <c r="T307" s="4">
        <v>15616261501</v>
      </c>
      <c r="V307" t="s">
        <v>4649</v>
      </c>
      <c r="W307" t="s">
        <v>4650</v>
      </c>
      <c r="Y307" t="s">
        <v>4647</v>
      </c>
      <c r="Z307" t="s">
        <v>134</v>
      </c>
      <c r="AA307" t="s">
        <v>4648</v>
      </c>
      <c r="AB307" t="s">
        <v>195</v>
      </c>
      <c r="AC307" s="3" t="str">
        <f>"33408"</f>
        <v>33408</v>
      </c>
      <c r="AD307" t="s">
        <v>128</v>
      </c>
      <c r="AE307" t="s">
        <v>134</v>
      </c>
      <c r="AF307" s="4">
        <v>15616261501</v>
      </c>
      <c r="AH307" t="str">
        <f>"713910"</f>
        <v>713910</v>
      </c>
      <c r="AI307" t="s">
        <v>130</v>
      </c>
      <c r="AJ307" t="s">
        <v>1386</v>
      </c>
      <c r="AK307" t="s">
        <v>1387</v>
      </c>
      <c r="AL307" t="s">
        <v>1036</v>
      </c>
      <c r="AM307" t="s">
        <v>1388</v>
      </c>
      <c r="AN307" t="s">
        <v>997</v>
      </c>
      <c r="AO307" t="s">
        <v>719</v>
      </c>
      <c r="AP307" t="s">
        <v>377</v>
      </c>
      <c r="AQ307" s="5">
        <v>1701</v>
      </c>
      <c r="AR307" t="s">
        <v>128</v>
      </c>
      <c r="AS307" t="s">
        <v>134</v>
      </c>
      <c r="AT307" s="4">
        <v>16179399444</v>
      </c>
      <c r="AV307" t="s">
        <v>1389</v>
      </c>
      <c r="AW307" t="s">
        <v>1390</v>
      </c>
      <c r="AX307" t="s">
        <v>131</v>
      </c>
      <c r="AY307" t="s">
        <v>131</v>
      </c>
      <c r="AZ307" t="s">
        <v>131</v>
      </c>
      <c r="BA307" t="s">
        <v>131</v>
      </c>
      <c r="BB307" t="s">
        <v>131</v>
      </c>
      <c r="BC307" t="s">
        <v>131</v>
      </c>
      <c r="BD307" t="s">
        <v>131</v>
      </c>
      <c r="BE307" t="s">
        <v>132</v>
      </c>
      <c r="BH307" t="s">
        <v>5764</v>
      </c>
      <c r="BI307" t="s">
        <v>131</v>
      </c>
      <c r="BL307" t="s">
        <v>167</v>
      </c>
      <c r="BO307" t="s">
        <v>131</v>
      </c>
      <c r="BP307" t="s">
        <v>134</v>
      </c>
      <c r="BQ307" t="s">
        <v>131</v>
      </c>
      <c r="BS307" t="str">
        <f t="shared" si="26"/>
        <v>N/A</v>
      </c>
      <c r="BT307" t="s">
        <v>135</v>
      </c>
      <c r="BU307">
        <v>12</v>
      </c>
      <c r="BV307" t="str">
        <f>"Line Cook"</f>
        <v>Line Cook</v>
      </c>
      <c r="BW307" t="s">
        <v>135</v>
      </c>
      <c r="BX307" t="str">
        <f>""</f>
        <v/>
      </c>
      <c r="BY307" t="str">
        <f>""</f>
        <v/>
      </c>
      <c r="BZ307" t="str">
        <f>""</f>
        <v/>
      </c>
      <c r="CA307" t="s">
        <v>19575</v>
      </c>
      <c r="CB307" t="s">
        <v>131</v>
      </c>
      <c r="CF307" t="s">
        <v>131</v>
      </c>
      <c r="CH307" t="str">
        <f>""</f>
        <v/>
      </c>
      <c r="CI307" t="s">
        <v>131</v>
      </c>
      <c r="CK307" t="s">
        <v>131</v>
      </c>
      <c r="CL307" t="str">
        <f>""</f>
        <v/>
      </c>
      <c r="CM307" t="str">
        <f>""</f>
        <v/>
      </c>
      <c r="CN307" t="str">
        <f>""</f>
        <v/>
      </c>
      <c r="CO307" t="str">
        <f>""</f>
        <v/>
      </c>
      <c r="CP307" t="str">
        <f>"35-2014.00"</f>
        <v>35-2014.00</v>
      </c>
      <c r="CQ307" t="s">
        <v>581</v>
      </c>
      <c r="CR307" t="s">
        <v>7918</v>
      </c>
      <c r="CS307" t="s">
        <v>131</v>
      </c>
      <c r="CU307" t="s">
        <v>4647</v>
      </c>
      <c r="CV307" t="s">
        <v>134</v>
      </c>
      <c r="CW307" t="s">
        <v>4648</v>
      </c>
      <c r="CX307" t="s">
        <v>195</v>
      </c>
      <c r="CZ307" s="3" t="str">
        <f>"33408"</f>
        <v>33408</v>
      </c>
      <c r="DA307" t="s">
        <v>131</v>
      </c>
      <c r="DB307" t="str">
        <f>"35-2014"</f>
        <v>35-2014</v>
      </c>
      <c r="DC307" t="s">
        <v>581</v>
      </c>
      <c r="DD307" t="s">
        <v>134</v>
      </c>
      <c r="DE307" t="s">
        <v>134</v>
      </c>
      <c r="DF307" t="str">
        <f>""</f>
        <v/>
      </c>
      <c r="DH307" s="6">
        <v>14.63</v>
      </c>
      <c r="DI307" t="s">
        <v>344</v>
      </c>
      <c r="DK307" t="s">
        <v>345</v>
      </c>
      <c r="DS307" s="6">
        <v>14.63</v>
      </c>
      <c r="DT307" t="s">
        <v>424</v>
      </c>
      <c r="DU307" s="1">
        <v>44354</v>
      </c>
      <c r="DV307" s="1">
        <v>44443</v>
      </c>
    </row>
    <row r="308" spans="1:126" ht="15" customHeight="1" x14ac:dyDescent="0.35">
      <c r="A308" t="s">
        <v>4644</v>
      </c>
      <c r="B308" t="s">
        <v>318</v>
      </c>
      <c r="C308" s="1">
        <v>44326</v>
      </c>
      <c r="D308" s="1">
        <v>44354</v>
      </c>
      <c r="H308" t="s">
        <v>319</v>
      </c>
      <c r="I308" t="s">
        <v>4645</v>
      </c>
      <c r="J308" t="s">
        <v>254</v>
      </c>
      <c r="L308" t="s">
        <v>4646</v>
      </c>
      <c r="M308" t="s">
        <v>4647</v>
      </c>
      <c r="N308" t="s">
        <v>134</v>
      </c>
      <c r="O308" t="s">
        <v>4648</v>
      </c>
      <c r="P308" t="s">
        <v>194</v>
      </c>
      <c r="Q308" s="3">
        <v>33408</v>
      </c>
      <c r="R308" t="s">
        <v>128</v>
      </c>
      <c r="S308" t="s">
        <v>134</v>
      </c>
      <c r="T308" s="4">
        <v>15616261501</v>
      </c>
      <c r="V308" t="s">
        <v>4649</v>
      </c>
      <c r="W308" t="s">
        <v>4650</v>
      </c>
      <c r="Y308" t="s">
        <v>4647</v>
      </c>
      <c r="Z308" t="s">
        <v>134</v>
      </c>
      <c r="AA308" t="s">
        <v>4648</v>
      </c>
      <c r="AB308" t="s">
        <v>195</v>
      </c>
      <c r="AC308" s="3" t="str">
        <f>"33408"</f>
        <v>33408</v>
      </c>
      <c r="AD308" t="s">
        <v>128</v>
      </c>
      <c r="AE308" t="s">
        <v>134</v>
      </c>
      <c r="AF308" s="4">
        <v>15616261501</v>
      </c>
      <c r="AH308" t="str">
        <f>"713910"</f>
        <v>713910</v>
      </c>
      <c r="AI308" t="s">
        <v>130</v>
      </c>
      <c r="AJ308" t="s">
        <v>1386</v>
      </c>
      <c r="AK308" t="s">
        <v>1387</v>
      </c>
      <c r="AL308" t="s">
        <v>1036</v>
      </c>
      <c r="AM308" t="s">
        <v>1388</v>
      </c>
      <c r="AN308" t="s">
        <v>997</v>
      </c>
      <c r="AO308" t="s">
        <v>719</v>
      </c>
      <c r="AP308" t="s">
        <v>377</v>
      </c>
      <c r="AQ308" s="5">
        <v>1701</v>
      </c>
      <c r="AR308" t="s">
        <v>128</v>
      </c>
      <c r="AS308" t="s">
        <v>134</v>
      </c>
      <c r="AT308" s="4">
        <v>16179399444</v>
      </c>
      <c r="AV308" t="s">
        <v>1389</v>
      </c>
      <c r="AW308" t="s">
        <v>1390</v>
      </c>
      <c r="AX308" t="s">
        <v>131</v>
      </c>
      <c r="AY308" t="s">
        <v>131</v>
      </c>
      <c r="AZ308" t="s">
        <v>131</v>
      </c>
      <c r="BA308" t="s">
        <v>131</v>
      </c>
      <c r="BB308" t="s">
        <v>131</v>
      </c>
      <c r="BC308" t="s">
        <v>131</v>
      </c>
      <c r="BD308" t="s">
        <v>131</v>
      </c>
      <c r="BE308" t="s">
        <v>132</v>
      </c>
      <c r="BH308" t="s">
        <v>1213</v>
      </c>
      <c r="BI308" t="s">
        <v>131</v>
      </c>
      <c r="BL308" t="s">
        <v>167</v>
      </c>
      <c r="BO308" t="s">
        <v>131</v>
      </c>
      <c r="BP308" t="s">
        <v>134</v>
      </c>
      <c r="BQ308" t="s">
        <v>131</v>
      </c>
      <c r="BS308" t="str">
        <f t="shared" si="26"/>
        <v>N/A</v>
      </c>
      <c r="BT308" t="s">
        <v>135</v>
      </c>
      <c r="BU308">
        <v>12</v>
      </c>
      <c r="BV308" t="str">
        <f>"Server"</f>
        <v>Server</v>
      </c>
      <c r="BW308" t="s">
        <v>135</v>
      </c>
      <c r="BX308" t="str">
        <f>""</f>
        <v/>
      </c>
      <c r="BY308" t="str">
        <f>""</f>
        <v/>
      </c>
      <c r="BZ308" t="str">
        <f>""</f>
        <v/>
      </c>
      <c r="CA308" t="s">
        <v>4651</v>
      </c>
      <c r="CB308" t="s">
        <v>131</v>
      </c>
      <c r="CF308" t="s">
        <v>131</v>
      </c>
      <c r="CH308" t="str">
        <f>""</f>
        <v/>
      </c>
      <c r="CI308" t="s">
        <v>131</v>
      </c>
      <c r="CK308" t="s">
        <v>131</v>
      </c>
      <c r="CL308" t="str">
        <f>""</f>
        <v/>
      </c>
      <c r="CM308" t="str">
        <f>""</f>
        <v/>
      </c>
      <c r="CN308" t="str">
        <f>""</f>
        <v/>
      </c>
      <c r="CO308" t="str">
        <f>""</f>
        <v/>
      </c>
      <c r="CP308" t="str">
        <f>"35-3031.00"</f>
        <v>35-3031.00</v>
      </c>
      <c r="CQ308" t="s">
        <v>1214</v>
      </c>
      <c r="CR308" t="s">
        <v>4652</v>
      </c>
      <c r="CS308" t="s">
        <v>131</v>
      </c>
      <c r="CU308" t="s">
        <v>4647</v>
      </c>
      <c r="CV308" t="s">
        <v>134</v>
      </c>
      <c r="CW308" t="s">
        <v>4648</v>
      </c>
      <c r="CX308" t="s">
        <v>195</v>
      </c>
      <c r="CZ308" s="3" t="str">
        <f>"33408"</f>
        <v>33408</v>
      </c>
      <c r="DA308" t="s">
        <v>131</v>
      </c>
      <c r="DB308" t="str">
        <f>"35-3031"</f>
        <v>35-3031</v>
      </c>
      <c r="DC308" t="s">
        <v>1214</v>
      </c>
      <c r="DD308" t="s">
        <v>134</v>
      </c>
      <c r="DE308" t="s">
        <v>134</v>
      </c>
      <c r="DF308" t="str">
        <f>""</f>
        <v/>
      </c>
      <c r="DH308" s="6">
        <v>12.55</v>
      </c>
      <c r="DI308" t="s">
        <v>344</v>
      </c>
      <c r="DK308" t="s">
        <v>345</v>
      </c>
      <c r="DS308" s="6">
        <v>12.55</v>
      </c>
      <c r="DT308" t="s">
        <v>424</v>
      </c>
      <c r="DU308" s="1">
        <v>44354</v>
      </c>
      <c r="DV308" s="1">
        <v>44443</v>
      </c>
    </row>
    <row r="309" spans="1:126" ht="15" customHeight="1" x14ac:dyDescent="0.35">
      <c r="A309" t="s">
        <v>11452</v>
      </c>
      <c r="B309" t="s">
        <v>318</v>
      </c>
      <c r="C309" s="1">
        <v>44326</v>
      </c>
      <c r="D309" s="1">
        <v>44354</v>
      </c>
      <c r="H309" t="s">
        <v>319</v>
      </c>
      <c r="I309" t="s">
        <v>4645</v>
      </c>
      <c r="J309" t="s">
        <v>254</v>
      </c>
      <c r="L309" t="s">
        <v>4646</v>
      </c>
      <c r="M309" t="s">
        <v>4647</v>
      </c>
      <c r="N309" t="s">
        <v>134</v>
      </c>
      <c r="O309" t="s">
        <v>4648</v>
      </c>
      <c r="P309" t="s">
        <v>194</v>
      </c>
      <c r="Q309" s="3">
        <v>33408</v>
      </c>
      <c r="R309" t="s">
        <v>128</v>
      </c>
      <c r="S309" t="s">
        <v>134</v>
      </c>
      <c r="T309" s="4">
        <v>15616261501</v>
      </c>
      <c r="V309" t="s">
        <v>4649</v>
      </c>
      <c r="W309" t="s">
        <v>4650</v>
      </c>
      <c r="Y309" t="s">
        <v>4647</v>
      </c>
      <c r="Z309" t="s">
        <v>134</v>
      </c>
      <c r="AA309" t="s">
        <v>4648</v>
      </c>
      <c r="AB309" t="s">
        <v>195</v>
      </c>
      <c r="AC309" s="3" t="str">
        <f>"33408"</f>
        <v>33408</v>
      </c>
      <c r="AD309" t="s">
        <v>128</v>
      </c>
      <c r="AE309" t="s">
        <v>134</v>
      </c>
      <c r="AF309" s="4">
        <v>15616261501</v>
      </c>
      <c r="AH309" t="str">
        <f>"713910"</f>
        <v>713910</v>
      </c>
      <c r="AI309" t="s">
        <v>130</v>
      </c>
      <c r="AJ309" t="s">
        <v>1386</v>
      </c>
      <c r="AK309" t="s">
        <v>1387</v>
      </c>
      <c r="AL309" t="s">
        <v>1036</v>
      </c>
      <c r="AM309" t="s">
        <v>1388</v>
      </c>
      <c r="AN309" t="s">
        <v>997</v>
      </c>
      <c r="AO309" t="s">
        <v>719</v>
      </c>
      <c r="AP309" t="s">
        <v>377</v>
      </c>
      <c r="AQ309" s="5">
        <v>1701</v>
      </c>
      <c r="AR309" t="s">
        <v>128</v>
      </c>
      <c r="AS309" t="s">
        <v>134</v>
      </c>
      <c r="AT309" s="4">
        <v>16179399444</v>
      </c>
      <c r="AV309" t="s">
        <v>1389</v>
      </c>
      <c r="AW309" t="s">
        <v>1390</v>
      </c>
      <c r="AX309" t="s">
        <v>131</v>
      </c>
      <c r="AY309" t="s">
        <v>131</v>
      </c>
      <c r="AZ309" t="s">
        <v>131</v>
      </c>
      <c r="BA309" t="s">
        <v>131</v>
      </c>
      <c r="BB309" t="s">
        <v>131</v>
      </c>
      <c r="BC309" t="s">
        <v>131</v>
      </c>
      <c r="BD309" t="s">
        <v>131</v>
      </c>
      <c r="BE309" t="s">
        <v>132</v>
      </c>
      <c r="BH309" t="s">
        <v>6385</v>
      </c>
      <c r="BI309" t="s">
        <v>131</v>
      </c>
      <c r="BL309" t="s">
        <v>167</v>
      </c>
      <c r="BO309" t="s">
        <v>131</v>
      </c>
      <c r="BP309" t="s">
        <v>134</v>
      </c>
      <c r="BQ309" t="s">
        <v>131</v>
      </c>
      <c r="BS309" t="str">
        <f t="shared" si="26"/>
        <v>N/A</v>
      </c>
      <c r="BT309" t="s">
        <v>135</v>
      </c>
      <c r="BU309">
        <v>3</v>
      </c>
      <c r="BV309" t="str">
        <f>"Steward"</f>
        <v>Steward</v>
      </c>
      <c r="BW309" t="s">
        <v>135</v>
      </c>
      <c r="BX309" t="str">
        <f>""</f>
        <v/>
      </c>
      <c r="BY309" t="str">
        <f>""</f>
        <v/>
      </c>
      <c r="BZ309" t="str">
        <f>""</f>
        <v/>
      </c>
      <c r="CA309" t="s">
        <v>11453</v>
      </c>
      <c r="CB309" t="s">
        <v>131</v>
      </c>
      <c r="CF309" t="s">
        <v>131</v>
      </c>
      <c r="CH309" t="str">
        <f>""</f>
        <v/>
      </c>
      <c r="CI309" t="s">
        <v>131</v>
      </c>
      <c r="CK309" t="s">
        <v>131</v>
      </c>
      <c r="CL309" t="str">
        <f>""</f>
        <v/>
      </c>
      <c r="CM309" t="str">
        <f>""</f>
        <v/>
      </c>
      <c r="CN309" t="str">
        <f>""</f>
        <v/>
      </c>
      <c r="CO309" t="str">
        <f>""</f>
        <v/>
      </c>
      <c r="CP309" t="str">
        <f>"35-9021.00"</f>
        <v>35-9021.00</v>
      </c>
      <c r="CQ309" t="s">
        <v>2552</v>
      </c>
      <c r="CR309" t="s">
        <v>7918</v>
      </c>
      <c r="CS309" t="s">
        <v>131</v>
      </c>
      <c r="CU309" t="s">
        <v>4647</v>
      </c>
      <c r="CV309" t="s">
        <v>134</v>
      </c>
      <c r="CW309" t="s">
        <v>4648</v>
      </c>
      <c r="CX309" t="s">
        <v>195</v>
      </c>
      <c r="CZ309" s="3" t="str">
        <f>"33408"</f>
        <v>33408</v>
      </c>
      <c r="DA309" t="s">
        <v>131</v>
      </c>
      <c r="DB309" t="str">
        <f>"35-9021"</f>
        <v>35-9021</v>
      </c>
      <c r="DC309" t="s">
        <v>2552</v>
      </c>
      <c r="DD309" t="s">
        <v>134</v>
      </c>
      <c r="DE309" t="s">
        <v>134</v>
      </c>
      <c r="DF309" t="str">
        <f>""</f>
        <v/>
      </c>
      <c r="DH309" s="6">
        <v>11.01</v>
      </c>
      <c r="DI309" t="s">
        <v>344</v>
      </c>
      <c r="DK309" t="s">
        <v>345</v>
      </c>
      <c r="DS309" s="6">
        <v>11.01</v>
      </c>
      <c r="DT309" t="s">
        <v>424</v>
      </c>
      <c r="DU309" s="1">
        <v>44354</v>
      </c>
      <c r="DV309" s="1">
        <v>44443</v>
      </c>
    </row>
    <row r="310" spans="1:126" ht="15" customHeight="1" x14ac:dyDescent="0.35">
      <c r="A310" t="s">
        <v>19559</v>
      </c>
      <c r="B310" t="s">
        <v>318</v>
      </c>
      <c r="C310" s="1">
        <v>44326</v>
      </c>
      <c r="D310" s="1">
        <v>44356</v>
      </c>
      <c r="H310" t="s">
        <v>319</v>
      </c>
      <c r="I310" t="s">
        <v>8861</v>
      </c>
      <c r="J310" t="s">
        <v>4565</v>
      </c>
      <c r="L310" t="s">
        <v>8862</v>
      </c>
      <c r="M310" t="s">
        <v>14320</v>
      </c>
      <c r="O310" t="s">
        <v>14321</v>
      </c>
      <c r="P310" t="s">
        <v>311</v>
      </c>
      <c r="Q310" s="3">
        <v>19374</v>
      </c>
      <c r="R310" t="s">
        <v>128</v>
      </c>
      <c r="T310" s="4">
        <v>16109252711</v>
      </c>
      <c r="V310" t="s">
        <v>134</v>
      </c>
      <c r="W310" t="s">
        <v>8863</v>
      </c>
      <c r="Y310" t="s">
        <v>14320</v>
      </c>
      <c r="AA310" t="s">
        <v>14321</v>
      </c>
      <c r="AB310" t="s">
        <v>312</v>
      </c>
      <c r="AC310" s="3" t="str">
        <f>"19374"</f>
        <v>19374</v>
      </c>
      <c r="AD310" t="s">
        <v>128</v>
      </c>
      <c r="AF310" s="4">
        <v>16109252711</v>
      </c>
      <c r="AH310" t="str">
        <f>"56173"</f>
        <v>56173</v>
      </c>
      <c r="AI310" t="s">
        <v>287</v>
      </c>
      <c r="AJ310" t="s">
        <v>414</v>
      </c>
      <c r="AK310" t="s">
        <v>301</v>
      </c>
      <c r="AL310" t="s">
        <v>415</v>
      </c>
      <c r="AM310" t="s">
        <v>416</v>
      </c>
      <c r="AN310" t="s">
        <v>417</v>
      </c>
      <c r="AO310" t="s">
        <v>399</v>
      </c>
      <c r="AP310" t="s">
        <v>400</v>
      </c>
      <c r="AQ310" s="5">
        <v>75231</v>
      </c>
      <c r="AR310" t="s">
        <v>128</v>
      </c>
      <c r="AT310" s="4">
        <v>12145265665</v>
      </c>
      <c r="AV310" t="s">
        <v>418</v>
      </c>
      <c r="AW310" t="s">
        <v>419</v>
      </c>
      <c r="AX310" t="s">
        <v>131</v>
      </c>
      <c r="AY310" t="s">
        <v>131</v>
      </c>
      <c r="AZ310" t="s">
        <v>131</v>
      </c>
      <c r="BA310" t="s">
        <v>131</v>
      </c>
      <c r="BB310" t="s">
        <v>131</v>
      </c>
      <c r="BC310" t="s">
        <v>131</v>
      </c>
      <c r="BD310" t="s">
        <v>131</v>
      </c>
      <c r="BE310" t="s">
        <v>132</v>
      </c>
      <c r="BH310" t="s">
        <v>2215</v>
      </c>
      <c r="BI310" t="s">
        <v>131</v>
      </c>
      <c r="BL310" t="s">
        <v>167</v>
      </c>
      <c r="BO310" t="s">
        <v>131</v>
      </c>
      <c r="BP310" t="s">
        <v>134</v>
      </c>
      <c r="BQ310" t="s">
        <v>131</v>
      </c>
      <c r="BS310" t="str">
        <f t="shared" si="26"/>
        <v>N/A</v>
      </c>
      <c r="BT310" t="s">
        <v>131</v>
      </c>
      <c r="BV310" t="str">
        <f>""</f>
        <v/>
      </c>
      <c r="BW310" t="s">
        <v>135</v>
      </c>
      <c r="BX310" t="str">
        <f>""</f>
        <v/>
      </c>
      <c r="BY310" t="str">
        <f>""</f>
        <v/>
      </c>
      <c r="BZ310" t="str">
        <f>""</f>
        <v/>
      </c>
      <c r="CA310" t="str">
        <f>"Must be able to lift 50 lbs, work in adverse weather conditions.
Must pass a post-employment drug test paid by the employer.  "</f>
        <v xml:space="preserve">Must be able to lift 50 lbs, work in adverse weather conditions.
Must pass a post-employment drug test paid by the employer.  </v>
      </c>
      <c r="CB310" t="s">
        <v>131</v>
      </c>
      <c r="CF310" t="s">
        <v>131</v>
      </c>
      <c r="CH310" t="str">
        <f>""</f>
        <v/>
      </c>
      <c r="CI310" t="s">
        <v>131</v>
      </c>
      <c r="CK310" t="s">
        <v>131</v>
      </c>
      <c r="CL310" t="str">
        <f>""</f>
        <v/>
      </c>
      <c r="CM310" t="str">
        <f>""</f>
        <v/>
      </c>
      <c r="CN310" t="str">
        <f>""</f>
        <v/>
      </c>
      <c r="CO310" t="str">
        <f>""</f>
        <v/>
      </c>
      <c r="CP310" t="str">
        <f t="shared" ref="CP310:CP316" si="27">"37-3011.00"</f>
        <v>37-3011.00</v>
      </c>
      <c r="CQ310" t="s">
        <v>920</v>
      </c>
      <c r="CS310" t="s">
        <v>131</v>
      </c>
      <c r="CU310" t="s">
        <v>14320</v>
      </c>
      <c r="CW310" t="s">
        <v>14321</v>
      </c>
      <c r="CX310" t="s">
        <v>312</v>
      </c>
      <c r="CZ310" s="3" t="str">
        <f>"19374"</f>
        <v>19374</v>
      </c>
      <c r="DA310" t="s">
        <v>135</v>
      </c>
      <c r="DB310" t="str">
        <f t="shared" ref="DB310:DB316" si="28">"37-3011"</f>
        <v>37-3011</v>
      </c>
      <c r="DC310" t="s">
        <v>920</v>
      </c>
      <c r="DD310" t="s">
        <v>134</v>
      </c>
      <c r="DE310" t="s">
        <v>134</v>
      </c>
      <c r="DF310" t="str">
        <f>""</f>
        <v/>
      </c>
      <c r="DH310" s="6">
        <v>16.600000000000001</v>
      </c>
      <c r="DI310" t="s">
        <v>344</v>
      </c>
      <c r="DK310" t="s">
        <v>345</v>
      </c>
      <c r="DR310" t="s">
        <v>12670</v>
      </c>
      <c r="DS310" s="6">
        <v>16.600000000000001</v>
      </c>
      <c r="DT310" t="s">
        <v>424</v>
      </c>
      <c r="DU310" s="1">
        <v>44356</v>
      </c>
      <c r="DV310" s="1">
        <v>44445</v>
      </c>
    </row>
    <row r="311" spans="1:126" ht="15" customHeight="1" x14ac:dyDescent="0.35">
      <c r="A311" t="s">
        <v>18026</v>
      </c>
      <c r="B311" t="s">
        <v>318</v>
      </c>
      <c r="C311" s="1">
        <v>44326</v>
      </c>
      <c r="D311" s="1">
        <v>44354</v>
      </c>
      <c r="H311" t="s">
        <v>319</v>
      </c>
      <c r="I311" t="s">
        <v>7720</v>
      </c>
      <c r="J311" t="s">
        <v>3392</v>
      </c>
      <c r="L311" t="s">
        <v>1105</v>
      </c>
      <c r="M311" t="s">
        <v>18027</v>
      </c>
      <c r="O311" t="s">
        <v>18028</v>
      </c>
      <c r="P311" t="s">
        <v>539</v>
      </c>
      <c r="Q311" s="3">
        <v>60033</v>
      </c>
      <c r="R311" t="s">
        <v>128</v>
      </c>
      <c r="T311" s="4">
        <v>18159431214</v>
      </c>
      <c r="V311" t="s">
        <v>134</v>
      </c>
      <c r="W311" t="s">
        <v>18029</v>
      </c>
      <c r="Y311" t="s">
        <v>18027</v>
      </c>
      <c r="AA311" t="s">
        <v>18028</v>
      </c>
      <c r="AB311" t="s">
        <v>263</v>
      </c>
      <c r="AC311" s="3" t="str">
        <f>"60033"</f>
        <v>60033</v>
      </c>
      <c r="AD311" t="s">
        <v>128</v>
      </c>
      <c r="AF311" s="4">
        <v>18159431214</v>
      </c>
      <c r="AH311" t="str">
        <f>"56173"</f>
        <v>56173</v>
      </c>
      <c r="AI311" t="s">
        <v>287</v>
      </c>
      <c r="AJ311" t="s">
        <v>2917</v>
      </c>
      <c r="AK311" t="s">
        <v>2918</v>
      </c>
      <c r="AM311" t="s">
        <v>15872</v>
      </c>
      <c r="AO311" t="s">
        <v>3773</v>
      </c>
      <c r="AP311" t="s">
        <v>306</v>
      </c>
      <c r="AQ311" s="5">
        <v>22903</v>
      </c>
      <c r="AR311" t="s">
        <v>128</v>
      </c>
      <c r="AT311" s="4">
        <v>14342634300</v>
      </c>
      <c r="AV311" t="s">
        <v>9074</v>
      </c>
      <c r="AW311" t="s">
        <v>2923</v>
      </c>
      <c r="AX311" t="s">
        <v>131</v>
      </c>
      <c r="AY311" t="s">
        <v>131</v>
      </c>
      <c r="AZ311" t="s">
        <v>131</v>
      </c>
      <c r="BA311" t="s">
        <v>131</v>
      </c>
      <c r="BB311" t="s">
        <v>131</v>
      </c>
      <c r="BC311" t="s">
        <v>131</v>
      </c>
      <c r="BD311" t="s">
        <v>131</v>
      </c>
      <c r="BE311" t="s">
        <v>132</v>
      </c>
      <c r="BH311" t="s">
        <v>2215</v>
      </c>
      <c r="BI311" t="s">
        <v>131</v>
      </c>
      <c r="BL311" t="s">
        <v>167</v>
      </c>
      <c r="BO311" t="s">
        <v>131</v>
      </c>
      <c r="BP311" t="s">
        <v>134</v>
      </c>
      <c r="BQ311" t="s">
        <v>131</v>
      </c>
      <c r="BS311" t="str">
        <f t="shared" si="26"/>
        <v>N/A</v>
      </c>
      <c r="BT311" t="s">
        <v>131</v>
      </c>
      <c r="BV311" t="str">
        <f>""</f>
        <v/>
      </c>
      <c r="BW311" t="s">
        <v>135</v>
      </c>
      <c r="BX311" t="str">
        <f>""</f>
        <v/>
      </c>
      <c r="BY311" t="str">
        <f>""</f>
        <v/>
      </c>
      <c r="BZ311" t="str">
        <f>""</f>
        <v/>
      </c>
      <c r="CA311" t="str">
        <f>"Must lift/carry 50 lbs., when necessary."</f>
        <v>Must lift/carry 50 lbs., when necessary.</v>
      </c>
      <c r="CB311" t="s">
        <v>131</v>
      </c>
      <c r="CF311" t="s">
        <v>131</v>
      </c>
      <c r="CH311" t="str">
        <f>""</f>
        <v/>
      </c>
      <c r="CI311" t="s">
        <v>131</v>
      </c>
      <c r="CK311" t="s">
        <v>131</v>
      </c>
      <c r="CL311" t="str">
        <f>""</f>
        <v/>
      </c>
      <c r="CM311" t="str">
        <f>""</f>
        <v/>
      </c>
      <c r="CN311" t="str">
        <f>""</f>
        <v/>
      </c>
      <c r="CO311" t="str">
        <f>""</f>
        <v/>
      </c>
      <c r="CP311" t="str">
        <f t="shared" si="27"/>
        <v>37-3011.00</v>
      </c>
      <c r="CQ311" t="s">
        <v>920</v>
      </c>
      <c r="CR311" t="s">
        <v>2924</v>
      </c>
      <c r="CS311" t="s">
        <v>135</v>
      </c>
      <c r="CT311" t="s">
        <v>2925</v>
      </c>
      <c r="CU311" t="s">
        <v>18030</v>
      </c>
      <c r="CW311" t="s">
        <v>18028</v>
      </c>
      <c r="CX311" t="s">
        <v>263</v>
      </c>
      <c r="CZ311" s="3" t="str">
        <f>"60033"</f>
        <v>60033</v>
      </c>
      <c r="DA311" t="s">
        <v>135</v>
      </c>
      <c r="DB311" t="str">
        <f t="shared" si="28"/>
        <v>37-3011</v>
      </c>
      <c r="DC311" t="s">
        <v>920</v>
      </c>
      <c r="DD311" t="s">
        <v>134</v>
      </c>
      <c r="DE311" t="s">
        <v>134</v>
      </c>
      <c r="DF311" t="str">
        <f>""</f>
        <v/>
      </c>
      <c r="DH311" s="6">
        <v>16.34</v>
      </c>
      <c r="DI311" t="s">
        <v>344</v>
      </c>
      <c r="DK311" t="s">
        <v>345</v>
      </c>
      <c r="DS311" s="6">
        <v>16.34</v>
      </c>
      <c r="DT311" s="2" t="s">
        <v>347</v>
      </c>
      <c r="DU311" s="1">
        <v>44354</v>
      </c>
      <c r="DV311" s="1">
        <v>44443</v>
      </c>
    </row>
    <row r="312" spans="1:126" ht="15" customHeight="1" x14ac:dyDescent="0.35">
      <c r="A312" t="s">
        <v>15845</v>
      </c>
      <c r="B312" t="s">
        <v>318</v>
      </c>
      <c r="C312" s="1">
        <v>44326</v>
      </c>
      <c r="D312" s="1">
        <v>44354</v>
      </c>
      <c r="H312" t="s">
        <v>319</v>
      </c>
      <c r="I312" t="s">
        <v>15846</v>
      </c>
      <c r="J312" t="s">
        <v>7814</v>
      </c>
      <c r="L312" t="s">
        <v>1031</v>
      </c>
      <c r="M312" t="s">
        <v>15847</v>
      </c>
      <c r="O312" t="s">
        <v>149</v>
      </c>
      <c r="P312" t="s">
        <v>311</v>
      </c>
      <c r="Q312" s="3">
        <v>15301</v>
      </c>
      <c r="R312" t="s">
        <v>128</v>
      </c>
      <c r="T312" s="4">
        <v>17177125515</v>
      </c>
      <c r="V312" t="s">
        <v>15848</v>
      </c>
      <c r="W312" t="s">
        <v>15849</v>
      </c>
      <c r="Y312" t="s">
        <v>15850</v>
      </c>
      <c r="Z312" t="s">
        <v>15847</v>
      </c>
      <c r="AA312" t="s">
        <v>149</v>
      </c>
      <c r="AB312" t="s">
        <v>312</v>
      </c>
      <c r="AC312" s="3" t="str">
        <f>"15301"</f>
        <v>15301</v>
      </c>
      <c r="AD312" t="s">
        <v>128</v>
      </c>
      <c r="AF312" s="4">
        <v>17177125515</v>
      </c>
      <c r="AH312" t="str">
        <f>"56173"</f>
        <v>56173</v>
      </c>
      <c r="AI312" t="s">
        <v>130</v>
      </c>
      <c r="AJ312" t="s">
        <v>3252</v>
      </c>
      <c r="AK312" t="s">
        <v>3253</v>
      </c>
      <c r="AL312" t="s">
        <v>589</v>
      </c>
      <c r="AM312" t="s">
        <v>3254</v>
      </c>
      <c r="AO312" t="s">
        <v>3255</v>
      </c>
      <c r="AP312" t="s">
        <v>779</v>
      </c>
      <c r="AQ312" s="5">
        <v>37110</v>
      </c>
      <c r="AR312" t="s">
        <v>128</v>
      </c>
      <c r="AT312" s="4">
        <v>19312747811</v>
      </c>
      <c r="AV312" t="s">
        <v>3256</v>
      </c>
      <c r="AW312" t="s">
        <v>3257</v>
      </c>
      <c r="AX312" t="s">
        <v>131</v>
      </c>
      <c r="AY312" t="s">
        <v>131</v>
      </c>
      <c r="AZ312" t="s">
        <v>131</v>
      </c>
      <c r="BA312" t="s">
        <v>131</v>
      </c>
      <c r="BB312" t="s">
        <v>131</v>
      </c>
      <c r="BC312" t="s">
        <v>131</v>
      </c>
      <c r="BD312" t="s">
        <v>131</v>
      </c>
      <c r="BE312" t="s">
        <v>132</v>
      </c>
      <c r="BH312" t="s">
        <v>6545</v>
      </c>
      <c r="BI312" t="s">
        <v>131</v>
      </c>
      <c r="BL312" t="s">
        <v>167</v>
      </c>
      <c r="BO312" t="s">
        <v>131</v>
      </c>
      <c r="BP312" t="s">
        <v>134</v>
      </c>
      <c r="BQ312" t="s">
        <v>131</v>
      </c>
      <c r="BS312" t="str">
        <f t="shared" si="26"/>
        <v>N/A</v>
      </c>
      <c r="BT312" t="s">
        <v>135</v>
      </c>
      <c r="BU312">
        <v>3</v>
      </c>
      <c r="BV312" t="str">
        <f>"LANDSCAPING"</f>
        <v>LANDSCAPING</v>
      </c>
      <c r="BW312" t="s">
        <v>135</v>
      </c>
      <c r="BX312" t="str">
        <f>""</f>
        <v/>
      </c>
      <c r="BY312" t="str">
        <f>""</f>
        <v/>
      </c>
      <c r="BZ312" t="str">
        <f>""</f>
        <v/>
      </c>
      <c r="CA312" t="str">
        <f>"Must have a valid Drivers License. Post-hire drug screen at employer's expense."</f>
        <v>Must have a valid Drivers License. Post-hire drug screen at employer's expense.</v>
      </c>
      <c r="CB312" t="s">
        <v>131</v>
      </c>
      <c r="CF312" t="s">
        <v>131</v>
      </c>
      <c r="CH312" t="str">
        <f>""</f>
        <v/>
      </c>
      <c r="CI312" t="s">
        <v>131</v>
      </c>
      <c r="CK312" t="s">
        <v>131</v>
      </c>
      <c r="CL312" t="str">
        <f>""</f>
        <v/>
      </c>
      <c r="CM312" t="str">
        <f>""</f>
        <v/>
      </c>
      <c r="CN312" t="str">
        <f>""</f>
        <v/>
      </c>
      <c r="CO312" t="str">
        <f>""</f>
        <v/>
      </c>
      <c r="CP312" t="str">
        <f t="shared" si="27"/>
        <v>37-3011.00</v>
      </c>
      <c r="CQ312" t="s">
        <v>920</v>
      </c>
      <c r="CS312" t="s">
        <v>131</v>
      </c>
      <c r="CU312" t="s">
        <v>15851</v>
      </c>
      <c r="CW312" t="s">
        <v>149</v>
      </c>
      <c r="CX312" t="s">
        <v>312</v>
      </c>
      <c r="CZ312" s="3" t="str">
        <f>"15301"</f>
        <v>15301</v>
      </c>
      <c r="DA312" t="s">
        <v>135</v>
      </c>
      <c r="DB312" t="str">
        <f t="shared" si="28"/>
        <v>37-3011</v>
      </c>
      <c r="DC312" t="s">
        <v>920</v>
      </c>
      <c r="DD312" t="s">
        <v>134</v>
      </c>
      <c r="DE312" t="s">
        <v>134</v>
      </c>
      <c r="DF312" t="str">
        <f>""</f>
        <v/>
      </c>
      <c r="DH312" s="6">
        <v>14.66</v>
      </c>
      <c r="DI312" t="s">
        <v>344</v>
      </c>
      <c r="DK312" t="s">
        <v>345</v>
      </c>
      <c r="DR312" t="s">
        <v>15852</v>
      </c>
      <c r="DS312" s="6">
        <v>14.66</v>
      </c>
      <c r="DT312" t="s">
        <v>424</v>
      </c>
      <c r="DU312" s="1">
        <v>44354</v>
      </c>
      <c r="DV312" s="1">
        <v>44443</v>
      </c>
    </row>
    <row r="313" spans="1:126" ht="15" customHeight="1" x14ac:dyDescent="0.35">
      <c r="A313" t="s">
        <v>14188</v>
      </c>
      <c r="B313" t="s">
        <v>318</v>
      </c>
      <c r="C313" s="1">
        <v>44326</v>
      </c>
      <c r="D313" s="1">
        <v>44354</v>
      </c>
      <c r="H313" t="s">
        <v>319</v>
      </c>
      <c r="I313" t="s">
        <v>8861</v>
      </c>
      <c r="J313" t="s">
        <v>4565</v>
      </c>
      <c r="L313" t="s">
        <v>8862</v>
      </c>
      <c r="M313" t="s">
        <v>14189</v>
      </c>
      <c r="O313" t="s">
        <v>14190</v>
      </c>
      <c r="P313" t="s">
        <v>487</v>
      </c>
      <c r="Q313" s="3">
        <v>19939</v>
      </c>
      <c r="R313" t="s">
        <v>128</v>
      </c>
      <c r="T313" s="4">
        <v>13025372771</v>
      </c>
      <c r="V313" t="s">
        <v>134</v>
      </c>
      <c r="W313" t="s">
        <v>8863</v>
      </c>
      <c r="Y313" t="s">
        <v>14189</v>
      </c>
      <c r="AA313" t="s">
        <v>14190</v>
      </c>
      <c r="AB313" t="s">
        <v>490</v>
      </c>
      <c r="AC313" s="3" t="str">
        <f>"19939"</f>
        <v>19939</v>
      </c>
      <c r="AD313" t="s">
        <v>128</v>
      </c>
      <c r="AF313" s="4">
        <v>13025372771</v>
      </c>
      <c r="AH313" t="str">
        <f>"5617"</f>
        <v>5617</v>
      </c>
      <c r="AI313" t="s">
        <v>287</v>
      </c>
      <c r="AJ313" t="s">
        <v>414</v>
      </c>
      <c r="AK313" t="s">
        <v>301</v>
      </c>
      <c r="AL313" t="s">
        <v>415</v>
      </c>
      <c r="AM313" t="s">
        <v>416</v>
      </c>
      <c r="AN313" t="s">
        <v>417</v>
      </c>
      <c r="AO313" t="s">
        <v>399</v>
      </c>
      <c r="AP313" t="s">
        <v>400</v>
      </c>
      <c r="AQ313" s="5">
        <v>75231</v>
      </c>
      <c r="AR313" t="s">
        <v>128</v>
      </c>
      <c r="AT313" s="4">
        <v>12145265665</v>
      </c>
      <c r="AV313" t="s">
        <v>7758</v>
      </c>
      <c r="AW313" t="s">
        <v>7363</v>
      </c>
      <c r="AX313" t="s">
        <v>131</v>
      </c>
      <c r="AY313" t="s">
        <v>131</v>
      </c>
      <c r="AZ313" t="s">
        <v>131</v>
      </c>
      <c r="BA313" t="s">
        <v>131</v>
      </c>
      <c r="BB313" t="s">
        <v>131</v>
      </c>
      <c r="BC313" t="s">
        <v>131</v>
      </c>
      <c r="BD313" t="s">
        <v>131</v>
      </c>
      <c r="BE313" t="s">
        <v>132</v>
      </c>
      <c r="BH313" t="s">
        <v>2215</v>
      </c>
      <c r="BI313" t="s">
        <v>131</v>
      </c>
      <c r="BL313" t="s">
        <v>167</v>
      </c>
      <c r="BO313" t="s">
        <v>131</v>
      </c>
      <c r="BP313" t="s">
        <v>134</v>
      </c>
      <c r="BQ313" t="s">
        <v>131</v>
      </c>
      <c r="BS313" t="str">
        <f t="shared" si="26"/>
        <v>N/A</v>
      </c>
      <c r="BT313" t="s">
        <v>131</v>
      </c>
      <c r="BV313" t="str">
        <f>""</f>
        <v/>
      </c>
      <c r="BW313" t="s">
        <v>135</v>
      </c>
      <c r="BX313" t="str">
        <f>""</f>
        <v/>
      </c>
      <c r="BY313" t="str">
        <f>""</f>
        <v/>
      </c>
      <c r="BZ313" t="str">
        <f>""</f>
        <v/>
      </c>
      <c r="CA313" t="str">
        <f>"MUST BE ABLE TO LIFT 50 POUNDS &amp; WORK IN ADVERSE WEATHER CONDITIONS. WILL BE SUBJECT TO PASSING POST-EMPLOYMENT DRUG TEST PAID BY EMPLOYER."</f>
        <v>MUST BE ABLE TO LIFT 50 POUNDS &amp; WORK IN ADVERSE WEATHER CONDITIONS. WILL BE SUBJECT TO PASSING POST-EMPLOYMENT DRUG TEST PAID BY EMPLOYER.</v>
      </c>
      <c r="CB313" t="s">
        <v>131</v>
      </c>
      <c r="CF313" t="s">
        <v>131</v>
      </c>
      <c r="CH313" t="str">
        <f>""</f>
        <v/>
      </c>
      <c r="CI313" t="s">
        <v>131</v>
      </c>
      <c r="CK313" t="s">
        <v>131</v>
      </c>
      <c r="CL313" t="str">
        <f>""</f>
        <v/>
      </c>
      <c r="CM313" t="str">
        <f>""</f>
        <v/>
      </c>
      <c r="CN313" t="str">
        <f>""</f>
        <v/>
      </c>
      <c r="CO313" t="str">
        <f>""</f>
        <v/>
      </c>
      <c r="CP313" t="str">
        <f t="shared" si="27"/>
        <v>37-3011.00</v>
      </c>
      <c r="CQ313" t="s">
        <v>920</v>
      </c>
      <c r="CS313" t="s">
        <v>131</v>
      </c>
      <c r="CU313" t="s">
        <v>14189</v>
      </c>
      <c r="CW313" t="s">
        <v>14190</v>
      </c>
      <c r="CX313" t="s">
        <v>490</v>
      </c>
      <c r="CZ313" s="3" t="str">
        <f>"19939"</f>
        <v>19939</v>
      </c>
      <c r="DA313" t="s">
        <v>135</v>
      </c>
      <c r="DB313" t="str">
        <f t="shared" si="28"/>
        <v>37-3011</v>
      </c>
      <c r="DC313" t="s">
        <v>920</v>
      </c>
      <c r="DD313" t="s">
        <v>134</v>
      </c>
      <c r="DE313" t="s">
        <v>134</v>
      </c>
      <c r="DF313" t="str">
        <f>""</f>
        <v/>
      </c>
      <c r="DH313" s="6">
        <v>14.15</v>
      </c>
      <c r="DI313" t="s">
        <v>344</v>
      </c>
      <c r="DK313" t="s">
        <v>345</v>
      </c>
      <c r="DR313" t="s">
        <v>14191</v>
      </c>
      <c r="DS313" s="6">
        <v>14.15</v>
      </c>
      <c r="DT313" t="s">
        <v>424</v>
      </c>
      <c r="DU313" s="1">
        <v>44354</v>
      </c>
      <c r="DV313" s="1">
        <v>44443</v>
      </c>
    </row>
    <row r="314" spans="1:126" ht="15" customHeight="1" x14ac:dyDescent="0.35">
      <c r="A314" t="s">
        <v>17421</v>
      </c>
      <c r="B314" t="s">
        <v>318</v>
      </c>
      <c r="C314" s="1">
        <v>44326</v>
      </c>
      <c r="D314" s="1">
        <v>44354</v>
      </c>
      <c r="H314" t="s">
        <v>319</v>
      </c>
      <c r="I314" t="s">
        <v>8861</v>
      </c>
      <c r="J314" t="s">
        <v>4565</v>
      </c>
      <c r="L314" t="s">
        <v>8862</v>
      </c>
      <c r="M314" t="s">
        <v>17422</v>
      </c>
      <c r="O314" t="s">
        <v>17423</v>
      </c>
      <c r="P314" t="s">
        <v>826</v>
      </c>
      <c r="Q314" s="3">
        <v>21798</v>
      </c>
      <c r="R314" t="s">
        <v>128</v>
      </c>
      <c r="T314" s="4">
        <v>13016207551</v>
      </c>
      <c r="V314" t="s">
        <v>134</v>
      </c>
      <c r="W314" t="s">
        <v>8863</v>
      </c>
      <c r="Y314" t="s">
        <v>17424</v>
      </c>
      <c r="AA314" t="s">
        <v>17423</v>
      </c>
      <c r="AB314" t="s">
        <v>382</v>
      </c>
      <c r="AC314" s="3" t="str">
        <f>"21798"</f>
        <v>21798</v>
      </c>
      <c r="AD314" t="s">
        <v>128</v>
      </c>
      <c r="AF314" s="4">
        <v>13016207551</v>
      </c>
      <c r="AH314" t="str">
        <f>"56173"</f>
        <v>56173</v>
      </c>
      <c r="AI314" t="s">
        <v>287</v>
      </c>
      <c r="AJ314" t="s">
        <v>414</v>
      </c>
      <c r="AK314" t="s">
        <v>301</v>
      </c>
      <c r="AL314" t="s">
        <v>415</v>
      </c>
      <c r="AM314" t="s">
        <v>416</v>
      </c>
      <c r="AN314" t="s">
        <v>417</v>
      </c>
      <c r="AO314" t="s">
        <v>399</v>
      </c>
      <c r="AP314" t="s">
        <v>400</v>
      </c>
      <c r="AQ314" s="5">
        <v>75231</v>
      </c>
      <c r="AR314" t="s">
        <v>128</v>
      </c>
      <c r="AT314" s="4">
        <v>12145265665</v>
      </c>
      <c r="AV314" t="s">
        <v>7758</v>
      </c>
      <c r="AW314" t="s">
        <v>7363</v>
      </c>
      <c r="AX314" t="s">
        <v>131</v>
      </c>
      <c r="AY314" t="s">
        <v>131</v>
      </c>
      <c r="AZ314" t="s">
        <v>131</v>
      </c>
      <c r="BA314" t="s">
        <v>131</v>
      </c>
      <c r="BB314" t="s">
        <v>131</v>
      </c>
      <c r="BC314" t="s">
        <v>131</v>
      </c>
      <c r="BD314" t="s">
        <v>131</v>
      </c>
      <c r="BE314" t="s">
        <v>132</v>
      </c>
      <c r="BH314" t="s">
        <v>2215</v>
      </c>
      <c r="BI314" t="s">
        <v>131</v>
      </c>
      <c r="BL314" t="s">
        <v>167</v>
      </c>
      <c r="BO314" t="s">
        <v>131</v>
      </c>
      <c r="BP314" t="s">
        <v>134</v>
      </c>
      <c r="BQ314" t="s">
        <v>131</v>
      </c>
      <c r="BS314" t="str">
        <f t="shared" si="26"/>
        <v>N/A</v>
      </c>
      <c r="BT314" t="s">
        <v>131</v>
      </c>
      <c r="BV314" t="str">
        <f>""</f>
        <v/>
      </c>
      <c r="BW314" t="s">
        <v>135</v>
      </c>
      <c r="BX314" t="str">
        <f>""</f>
        <v/>
      </c>
      <c r="BY314" t="str">
        <f>""</f>
        <v/>
      </c>
      <c r="BZ314" t="str">
        <f>""</f>
        <v/>
      </c>
      <c r="CA314" t="str">
        <f>"MUST BE ABLE TO LIFT 50 POUNDS &amp; WORK IN ADVERSE WEATHER CONDITIONS. WILL BE SUBJECT TO PASSING POST-EMPLOYMENT DRUG TEST PAID BY EMPLOYER."</f>
        <v>MUST BE ABLE TO LIFT 50 POUNDS &amp; WORK IN ADVERSE WEATHER CONDITIONS. WILL BE SUBJECT TO PASSING POST-EMPLOYMENT DRUG TEST PAID BY EMPLOYER.</v>
      </c>
      <c r="CB314" t="s">
        <v>131</v>
      </c>
      <c r="CF314" t="s">
        <v>131</v>
      </c>
      <c r="CH314" t="str">
        <f>""</f>
        <v/>
      </c>
      <c r="CI314" t="s">
        <v>131</v>
      </c>
      <c r="CK314" t="s">
        <v>131</v>
      </c>
      <c r="CL314" t="str">
        <f>""</f>
        <v/>
      </c>
      <c r="CM314" t="str">
        <f>""</f>
        <v/>
      </c>
      <c r="CN314" t="str">
        <f>""</f>
        <v/>
      </c>
      <c r="CO314" t="str">
        <f>""</f>
        <v/>
      </c>
      <c r="CP314" t="str">
        <f t="shared" si="27"/>
        <v>37-3011.00</v>
      </c>
      <c r="CQ314" t="s">
        <v>920</v>
      </c>
      <c r="CS314" t="s">
        <v>131</v>
      </c>
      <c r="CU314" t="s">
        <v>17422</v>
      </c>
      <c r="CW314" t="s">
        <v>17423</v>
      </c>
      <c r="CX314" t="s">
        <v>382</v>
      </c>
      <c r="CZ314" s="3" t="str">
        <f>"21798"</f>
        <v>21798</v>
      </c>
      <c r="DA314" t="s">
        <v>135</v>
      </c>
      <c r="DB314" t="str">
        <f t="shared" si="28"/>
        <v>37-3011</v>
      </c>
      <c r="DC314" t="s">
        <v>920</v>
      </c>
      <c r="DD314" t="s">
        <v>134</v>
      </c>
      <c r="DE314" t="s">
        <v>134</v>
      </c>
      <c r="DF314" t="str">
        <f>""</f>
        <v/>
      </c>
      <c r="DH314" s="6">
        <v>16.25</v>
      </c>
      <c r="DI314" t="s">
        <v>344</v>
      </c>
      <c r="DK314" t="s">
        <v>345</v>
      </c>
      <c r="DR314" t="s">
        <v>9742</v>
      </c>
      <c r="DS314" s="6">
        <v>16.89</v>
      </c>
      <c r="DT314" t="s">
        <v>424</v>
      </c>
      <c r="DU314" s="1">
        <v>44354</v>
      </c>
      <c r="DV314" s="1">
        <v>44443</v>
      </c>
    </row>
    <row r="315" spans="1:126" ht="15" customHeight="1" x14ac:dyDescent="0.35">
      <c r="A315" t="s">
        <v>12037</v>
      </c>
      <c r="B315" t="s">
        <v>318</v>
      </c>
      <c r="C315" s="1">
        <v>44326</v>
      </c>
      <c r="D315" s="1">
        <v>44354</v>
      </c>
      <c r="H315" t="s">
        <v>319</v>
      </c>
      <c r="I315" t="s">
        <v>6127</v>
      </c>
      <c r="J315" t="s">
        <v>10376</v>
      </c>
      <c r="K315" t="s">
        <v>1050</v>
      </c>
      <c r="L315" t="s">
        <v>1281</v>
      </c>
      <c r="M315" t="s">
        <v>12038</v>
      </c>
      <c r="O315" t="s">
        <v>1012</v>
      </c>
      <c r="P315" t="s">
        <v>1004</v>
      </c>
      <c r="Q315" s="3">
        <v>84104</v>
      </c>
      <c r="R315" t="s">
        <v>128</v>
      </c>
      <c r="T315" s="4">
        <v>18016190200</v>
      </c>
      <c r="V315" t="s">
        <v>12039</v>
      </c>
      <c r="W315" t="s">
        <v>12040</v>
      </c>
      <c r="Y315" t="s">
        <v>12038</v>
      </c>
      <c r="AA315" t="s">
        <v>1012</v>
      </c>
      <c r="AB315" t="s">
        <v>1008</v>
      </c>
      <c r="AC315" s="3" t="str">
        <f>"84104"</f>
        <v>84104</v>
      </c>
      <c r="AD315" t="s">
        <v>128</v>
      </c>
      <c r="AF315" s="4">
        <v>18016190200</v>
      </c>
      <c r="AH315" t="str">
        <f>"56173"</f>
        <v>56173</v>
      </c>
      <c r="AI315" t="s">
        <v>287</v>
      </c>
      <c r="AJ315" t="s">
        <v>2209</v>
      </c>
      <c r="AK315" t="s">
        <v>1459</v>
      </c>
      <c r="AL315" t="s">
        <v>2210</v>
      </c>
      <c r="AM315" t="s">
        <v>2211</v>
      </c>
      <c r="AN315" t="s">
        <v>788</v>
      </c>
      <c r="AO315" t="s">
        <v>2212</v>
      </c>
      <c r="AP315" t="s">
        <v>400</v>
      </c>
      <c r="AQ315" s="5">
        <v>75033</v>
      </c>
      <c r="AR315" t="s">
        <v>128</v>
      </c>
      <c r="AT315" s="4">
        <v>19727789690</v>
      </c>
      <c r="AV315" t="s">
        <v>2320</v>
      </c>
      <c r="AW315" t="s">
        <v>2214</v>
      </c>
      <c r="AX315" t="s">
        <v>131</v>
      </c>
      <c r="AY315" t="s">
        <v>131</v>
      </c>
      <c r="AZ315" t="s">
        <v>131</v>
      </c>
      <c r="BA315" t="s">
        <v>131</v>
      </c>
      <c r="BB315" t="s">
        <v>131</v>
      </c>
      <c r="BC315" t="s">
        <v>131</v>
      </c>
      <c r="BD315" t="s">
        <v>131</v>
      </c>
      <c r="BE315" t="s">
        <v>132</v>
      </c>
      <c r="BH315" t="s">
        <v>2215</v>
      </c>
      <c r="BI315" t="s">
        <v>131</v>
      </c>
      <c r="BL315" t="s">
        <v>167</v>
      </c>
      <c r="BO315" t="s">
        <v>131</v>
      </c>
      <c r="BP315" t="s">
        <v>134</v>
      </c>
      <c r="BQ315" t="s">
        <v>131</v>
      </c>
      <c r="BS315" t="str">
        <f t="shared" si="26"/>
        <v>N/A</v>
      </c>
      <c r="BT315" t="s">
        <v>131</v>
      </c>
      <c r="BV315" t="str">
        <f>""</f>
        <v/>
      </c>
      <c r="BW315" t="s">
        <v>135</v>
      </c>
      <c r="BX315" t="str">
        <f>""</f>
        <v/>
      </c>
      <c r="BY315" t="str">
        <f>""</f>
        <v/>
      </c>
      <c r="BZ315" t="str">
        <f>""</f>
        <v/>
      </c>
      <c r="CA315" t="str">
        <f>"Must be able to lift 50 lbs. Must pass a pre-employment criminal background check and drug test. Workers are subject to post-injury/incident drug testing. Applicants must complete an employment application.
"</f>
        <v xml:space="preserve">Must be able to lift 50 lbs. Must pass a pre-employment criminal background check and drug test. Workers are subject to post-injury/incident drug testing. Applicants must complete an employment application.
</v>
      </c>
      <c r="CB315" t="s">
        <v>131</v>
      </c>
      <c r="CF315" t="s">
        <v>131</v>
      </c>
      <c r="CH315" t="str">
        <f>""</f>
        <v/>
      </c>
      <c r="CI315" t="s">
        <v>131</v>
      </c>
      <c r="CK315" t="s">
        <v>131</v>
      </c>
      <c r="CL315" t="str">
        <f>""</f>
        <v/>
      </c>
      <c r="CM315" t="str">
        <f>""</f>
        <v/>
      </c>
      <c r="CN315" t="str">
        <f>""</f>
        <v/>
      </c>
      <c r="CO315" t="str">
        <f>""</f>
        <v/>
      </c>
      <c r="CP315" t="str">
        <f t="shared" si="27"/>
        <v>37-3011.00</v>
      </c>
      <c r="CQ315" t="s">
        <v>920</v>
      </c>
      <c r="CS315" t="s">
        <v>135</v>
      </c>
      <c r="CT315" t="s">
        <v>2321</v>
      </c>
      <c r="CU315" t="s">
        <v>12041</v>
      </c>
      <c r="CW315" t="s">
        <v>4478</v>
      </c>
      <c r="CX315" t="s">
        <v>1243</v>
      </c>
      <c r="CZ315" s="3" t="str">
        <f>"83709"</f>
        <v>83709</v>
      </c>
      <c r="DA315" t="s">
        <v>131</v>
      </c>
      <c r="DB315" t="str">
        <f t="shared" si="28"/>
        <v>37-3011</v>
      </c>
      <c r="DC315" t="s">
        <v>920</v>
      </c>
      <c r="DD315" t="s">
        <v>134</v>
      </c>
      <c r="DE315" t="s">
        <v>134</v>
      </c>
      <c r="DF315" t="str">
        <f>""</f>
        <v/>
      </c>
      <c r="DH315" s="6">
        <v>15.53</v>
      </c>
      <c r="DI315" t="s">
        <v>344</v>
      </c>
      <c r="DK315" t="s">
        <v>345</v>
      </c>
      <c r="DR315" t="s">
        <v>11332</v>
      </c>
      <c r="DS315" s="6">
        <v>15.53</v>
      </c>
      <c r="DT315" s="2" t="s">
        <v>347</v>
      </c>
      <c r="DU315" s="1">
        <v>44354</v>
      </c>
      <c r="DV315" s="1">
        <v>44443</v>
      </c>
    </row>
    <row r="316" spans="1:126" ht="15" customHeight="1" x14ac:dyDescent="0.35">
      <c r="A316" t="s">
        <v>11225</v>
      </c>
      <c r="B316" t="s">
        <v>318</v>
      </c>
      <c r="C316" s="1">
        <v>44326</v>
      </c>
      <c r="D316" s="1">
        <v>44354</v>
      </c>
      <c r="H316" t="s">
        <v>319</v>
      </c>
      <c r="I316" t="s">
        <v>11226</v>
      </c>
      <c r="J316" t="s">
        <v>11227</v>
      </c>
      <c r="K316" t="s">
        <v>2210</v>
      </c>
      <c r="L316" t="s">
        <v>199</v>
      </c>
      <c r="M316" t="s">
        <v>11228</v>
      </c>
      <c r="O316" t="s">
        <v>7123</v>
      </c>
      <c r="P316" t="s">
        <v>818</v>
      </c>
      <c r="Q316" s="3">
        <v>30115</v>
      </c>
      <c r="R316" t="s">
        <v>128</v>
      </c>
      <c r="T316" s="4">
        <v>17705929154</v>
      </c>
      <c r="V316" t="s">
        <v>11229</v>
      </c>
      <c r="W316" t="s">
        <v>11230</v>
      </c>
      <c r="X316" t="s">
        <v>11231</v>
      </c>
      <c r="Y316" t="s">
        <v>11228</v>
      </c>
      <c r="AA316" t="s">
        <v>7123</v>
      </c>
      <c r="AB316" t="s">
        <v>643</v>
      </c>
      <c r="AC316" s="3" t="str">
        <f>"30115"</f>
        <v>30115</v>
      </c>
      <c r="AD316" t="s">
        <v>128</v>
      </c>
      <c r="AF316" s="4">
        <v>17705929154</v>
      </c>
      <c r="AH316" t="str">
        <f>"56173"</f>
        <v>56173</v>
      </c>
      <c r="AI316" t="s">
        <v>287</v>
      </c>
      <c r="AJ316" t="s">
        <v>2209</v>
      </c>
      <c r="AK316" t="s">
        <v>1459</v>
      </c>
      <c r="AL316" t="s">
        <v>2210</v>
      </c>
      <c r="AM316" t="s">
        <v>2211</v>
      </c>
      <c r="AN316" t="s">
        <v>788</v>
      </c>
      <c r="AO316" t="s">
        <v>2212</v>
      </c>
      <c r="AP316" t="s">
        <v>400</v>
      </c>
      <c r="AQ316" s="5">
        <v>75033</v>
      </c>
      <c r="AR316" t="s">
        <v>128</v>
      </c>
      <c r="AT316" s="4">
        <v>19727789690</v>
      </c>
      <c r="AV316" t="s">
        <v>2320</v>
      </c>
      <c r="AW316" t="s">
        <v>2214</v>
      </c>
      <c r="AX316" t="s">
        <v>131</v>
      </c>
      <c r="AY316" t="s">
        <v>131</v>
      </c>
      <c r="AZ316" t="s">
        <v>131</v>
      </c>
      <c r="BA316" t="s">
        <v>131</v>
      </c>
      <c r="BB316" t="s">
        <v>131</v>
      </c>
      <c r="BC316" t="s">
        <v>131</v>
      </c>
      <c r="BD316" t="s">
        <v>131</v>
      </c>
      <c r="BE316" t="s">
        <v>132</v>
      </c>
      <c r="BH316" t="s">
        <v>2215</v>
      </c>
      <c r="BI316" t="s">
        <v>131</v>
      </c>
      <c r="BL316" t="s">
        <v>167</v>
      </c>
      <c r="BO316" t="s">
        <v>131</v>
      </c>
      <c r="BP316" t="s">
        <v>134</v>
      </c>
      <c r="BQ316" t="s">
        <v>131</v>
      </c>
      <c r="BS316" t="str">
        <f t="shared" si="26"/>
        <v>N/A</v>
      </c>
      <c r="BT316" t="s">
        <v>131</v>
      </c>
      <c r="BV316" t="str">
        <f>""</f>
        <v/>
      </c>
      <c r="BW316" t="s">
        <v>135</v>
      </c>
      <c r="BX316" t="str">
        <f>""</f>
        <v/>
      </c>
      <c r="BY316" t="str">
        <f>""</f>
        <v/>
      </c>
      <c r="BZ316" t="str">
        <f>""</f>
        <v/>
      </c>
      <c r="CA316" t="str">
        <f>"Must be able to lift 50 lbs. Must pass a pre-employment criminal background check and drug test. Workers are subject to post-injury/incident drug testing. Applicants must complete an employment application."</f>
        <v>Must be able to lift 50 lbs. Must pass a pre-employment criminal background check and drug test. Workers are subject to post-injury/incident drug testing. Applicants must complete an employment application.</v>
      </c>
      <c r="CB316" t="s">
        <v>131</v>
      </c>
      <c r="CF316" t="s">
        <v>131</v>
      </c>
      <c r="CH316" t="str">
        <f>""</f>
        <v/>
      </c>
      <c r="CI316" t="s">
        <v>131</v>
      </c>
      <c r="CK316" t="s">
        <v>131</v>
      </c>
      <c r="CL316" t="str">
        <f>""</f>
        <v/>
      </c>
      <c r="CM316" t="str">
        <f>""</f>
        <v/>
      </c>
      <c r="CN316" t="str">
        <f>""</f>
        <v/>
      </c>
      <c r="CO316" t="str">
        <f>""</f>
        <v/>
      </c>
      <c r="CP316" t="str">
        <f t="shared" si="27"/>
        <v>37-3011.00</v>
      </c>
      <c r="CQ316" t="s">
        <v>920</v>
      </c>
      <c r="CS316" t="s">
        <v>135</v>
      </c>
      <c r="CT316" t="s">
        <v>2321</v>
      </c>
      <c r="CU316" t="s">
        <v>11228</v>
      </c>
      <c r="CW316" t="s">
        <v>7123</v>
      </c>
      <c r="CX316" t="s">
        <v>643</v>
      </c>
      <c r="CZ316" s="3" t="str">
        <f>"30115"</f>
        <v>30115</v>
      </c>
      <c r="DA316" t="s">
        <v>135</v>
      </c>
      <c r="DB316" t="str">
        <f t="shared" si="28"/>
        <v>37-3011</v>
      </c>
      <c r="DC316" t="s">
        <v>920</v>
      </c>
      <c r="DD316" t="s">
        <v>134</v>
      </c>
      <c r="DE316" t="s">
        <v>134</v>
      </c>
      <c r="DF316" t="str">
        <f>""</f>
        <v/>
      </c>
      <c r="DH316" s="6">
        <v>14.72</v>
      </c>
      <c r="DI316" t="s">
        <v>344</v>
      </c>
      <c r="DK316" t="s">
        <v>345</v>
      </c>
      <c r="DR316" t="s">
        <v>2218</v>
      </c>
      <c r="DS316" s="6">
        <v>14.85</v>
      </c>
      <c r="DT316" s="2" t="s">
        <v>347</v>
      </c>
      <c r="DU316" s="1">
        <v>44354</v>
      </c>
      <c r="DV316" s="1">
        <v>44443</v>
      </c>
    </row>
    <row r="317" spans="1:126" ht="15" customHeight="1" x14ac:dyDescent="0.35">
      <c r="A317" t="s">
        <v>13093</v>
      </c>
      <c r="B317" t="s">
        <v>318</v>
      </c>
      <c r="C317" s="1">
        <v>44326</v>
      </c>
      <c r="D317" s="1">
        <v>44354</v>
      </c>
      <c r="H317" t="s">
        <v>319</v>
      </c>
      <c r="I317" t="s">
        <v>1522</v>
      </c>
      <c r="J317" t="s">
        <v>313</v>
      </c>
      <c r="L317" t="s">
        <v>1523</v>
      </c>
      <c r="M317" t="s">
        <v>13094</v>
      </c>
      <c r="O317" t="s">
        <v>1525</v>
      </c>
      <c r="P317" t="s">
        <v>720</v>
      </c>
      <c r="Q317" s="3">
        <v>1742</v>
      </c>
      <c r="R317" t="s">
        <v>128</v>
      </c>
      <c r="T317" s="4">
        <v>19783698955</v>
      </c>
      <c r="V317" t="s">
        <v>1526</v>
      </c>
      <c r="W317" t="s">
        <v>13095</v>
      </c>
      <c r="X317" t="s">
        <v>1527</v>
      </c>
      <c r="Y317" t="s">
        <v>13094</v>
      </c>
      <c r="AA317" t="s">
        <v>1525</v>
      </c>
      <c r="AB317" t="s">
        <v>377</v>
      </c>
      <c r="AC317" s="3" t="str">
        <f>"01742"</f>
        <v>01742</v>
      </c>
      <c r="AD317" t="s">
        <v>128</v>
      </c>
      <c r="AF317" s="4">
        <v>19783698955</v>
      </c>
      <c r="AH317" t="str">
        <f>"2383"</f>
        <v>2383</v>
      </c>
      <c r="AI317" t="s">
        <v>287</v>
      </c>
      <c r="AJ317" t="s">
        <v>2209</v>
      </c>
      <c r="AK317" t="s">
        <v>1459</v>
      </c>
      <c r="AL317" t="s">
        <v>2210</v>
      </c>
      <c r="AM317" t="s">
        <v>2211</v>
      </c>
      <c r="AN317" t="s">
        <v>788</v>
      </c>
      <c r="AO317" t="s">
        <v>2212</v>
      </c>
      <c r="AP317" t="s">
        <v>400</v>
      </c>
      <c r="AQ317" s="5">
        <v>75033</v>
      </c>
      <c r="AR317" t="s">
        <v>128</v>
      </c>
      <c r="AT317" s="4">
        <v>19727789690</v>
      </c>
      <c r="AV317" t="s">
        <v>2320</v>
      </c>
      <c r="AW317" t="s">
        <v>2214</v>
      </c>
      <c r="AX317" t="s">
        <v>131</v>
      </c>
      <c r="AY317" t="s">
        <v>131</v>
      </c>
      <c r="AZ317" t="s">
        <v>131</v>
      </c>
      <c r="BA317" t="s">
        <v>131</v>
      </c>
      <c r="BB317" t="s">
        <v>131</v>
      </c>
      <c r="BC317" t="s">
        <v>131</v>
      </c>
      <c r="BD317" t="s">
        <v>131</v>
      </c>
      <c r="BE317" t="s">
        <v>132</v>
      </c>
      <c r="BH317" t="s">
        <v>13096</v>
      </c>
      <c r="BI317" t="s">
        <v>131</v>
      </c>
      <c r="BL317" t="s">
        <v>167</v>
      </c>
      <c r="BO317" t="s">
        <v>131</v>
      </c>
      <c r="BP317" t="s">
        <v>134</v>
      </c>
      <c r="BQ317" t="s">
        <v>131</v>
      </c>
      <c r="BS317" t="str">
        <f t="shared" si="26"/>
        <v>N/A</v>
      </c>
      <c r="BT317" t="s">
        <v>131</v>
      </c>
      <c r="BV317" t="str">
        <f>""</f>
        <v/>
      </c>
      <c r="BW317" t="s">
        <v>135</v>
      </c>
      <c r="BX317" t="str">
        <f>""</f>
        <v/>
      </c>
      <c r="BY317" t="str">
        <f>""</f>
        <v/>
      </c>
      <c r="BZ317" t="str">
        <f>""</f>
        <v/>
      </c>
      <c r="CA317" t="str">
        <f>"Must be able to lift 100 lbs  (i.e. plaster).  Must pass a pre-employment criminal background check and drug test. Must be able to work a 5-day workweek, including weekends and holidays as required. Applicants must complete an employment application.
"</f>
        <v xml:space="preserve">Must be able to lift 100 lbs  (i.e. plaster).  Must pass a pre-employment criminal background check and drug test. Must be able to work a 5-day workweek, including weekends and holidays as required. Applicants must complete an employment application.
</v>
      </c>
      <c r="CB317" t="s">
        <v>131</v>
      </c>
      <c r="CF317" t="s">
        <v>131</v>
      </c>
      <c r="CH317" t="str">
        <f>""</f>
        <v/>
      </c>
      <c r="CI317" t="s">
        <v>131</v>
      </c>
      <c r="CK317" t="s">
        <v>131</v>
      </c>
      <c r="CL317" t="str">
        <f>""</f>
        <v/>
      </c>
      <c r="CM317" t="str">
        <f>""</f>
        <v/>
      </c>
      <c r="CN317" t="str">
        <f>""</f>
        <v/>
      </c>
      <c r="CO317" t="str">
        <f>""</f>
        <v/>
      </c>
      <c r="CP317" t="str">
        <f>"47-3014.00"</f>
        <v>47-3014.00</v>
      </c>
      <c r="CQ317" t="s">
        <v>1535</v>
      </c>
      <c r="CS317" t="s">
        <v>135</v>
      </c>
      <c r="CT317" t="s">
        <v>2321</v>
      </c>
      <c r="CU317" t="s">
        <v>1536</v>
      </c>
      <c r="CW317" t="s">
        <v>1537</v>
      </c>
      <c r="CX317" t="s">
        <v>377</v>
      </c>
      <c r="CZ317" s="3" t="str">
        <f>"01754"</f>
        <v>01754</v>
      </c>
      <c r="DA317" t="s">
        <v>135</v>
      </c>
      <c r="DB317" t="str">
        <f>"47-3014"</f>
        <v>47-3014</v>
      </c>
      <c r="DC317" t="s">
        <v>1535</v>
      </c>
      <c r="DD317" t="s">
        <v>134</v>
      </c>
      <c r="DE317" t="s">
        <v>134</v>
      </c>
      <c r="DF317" t="str">
        <f>""</f>
        <v/>
      </c>
      <c r="DH317" s="6">
        <v>22.33</v>
      </c>
      <c r="DI317" t="s">
        <v>344</v>
      </c>
      <c r="DK317" t="s">
        <v>345</v>
      </c>
      <c r="DR317" t="s">
        <v>7504</v>
      </c>
      <c r="DS317" s="6">
        <v>22.33</v>
      </c>
      <c r="DT317" s="2" t="s">
        <v>347</v>
      </c>
      <c r="DU317" s="1">
        <v>44354</v>
      </c>
      <c r="DV317" s="1">
        <v>44443</v>
      </c>
    </row>
    <row r="318" spans="1:126" ht="15" customHeight="1" x14ac:dyDescent="0.35">
      <c r="A318" t="s">
        <v>2039</v>
      </c>
      <c r="B318" t="s">
        <v>318</v>
      </c>
      <c r="C318" s="1">
        <v>44326</v>
      </c>
      <c r="D318" s="1">
        <v>44354</v>
      </c>
      <c r="H318" t="s">
        <v>319</v>
      </c>
      <c r="I318" t="s">
        <v>2040</v>
      </c>
      <c r="J318" t="s">
        <v>2041</v>
      </c>
      <c r="K318" t="s">
        <v>134</v>
      </c>
      <c r="L318" t="s">
        <v>1078</v>
      </c>
      <c r="M318" t="s">
        <v>2042</v>
      </c>
      <c r="O318" t="s">
        <v>2043</v>
      </c>
      <c r="P318" t="s">
        <v>441</v>
      </c>
      <c r="Q318" s="3">
        <v>44505</v>
      </c>
      <c r="R318" t="s">
        <v>128</v>
      </c>
      <c r="T318" s="4">
        <v>13307551692</v>
      </c>
      <c r="V318" t="s">
        <v>2044</v>
      </c>
      <c r="W318" t="s">
        <v>2045</v>
      </c>
      <c r="Y318" t="s">
        <v>2042</v>
      </c>
      <c r="AA318" t="s">
        <v>2043</v>
      </c>
      <c r="AB318" t="s">
        <v>444</v>
      </c>
      <c r="AC318" s="3" t="str">
        <f>"44505"</f>
        <v>44505</v>
      </c>
      <c r="AD318" t="s">
        <v>128</v>
      </c>
      <c r="AF318" s="4">
        <v>13307551692</v>
      </c>
      <c r="AH318" t="str">
        <f>"238320"</f>
        <v>238320</v>
      </c>
      <c r="AI318" t="s">
        <v>287</v>
      </c>
      <c r="AJ318" t="s">
        <v>2046</v>
      </c>
      <c r="AK318" t="s">
        <v>2047</v>
      </c>
      <c r="AL318" t="s">
        <v>134</v>
      </c>
      <c r="AM318" t="s">
        <v>2048</v>
      </c>
      <c r="AN318" t="s">
        <v>2049</v>
      </c>
      <c r="AO318" t="s">
        <v>2050</v>
      </c>
      <c r="AP318" t="s">
        <v>1243</v>
      </c>
      <c r="AQ318" s="5">
        <v>83814</v>
      </c>
      <c r="AR318" t="s">
        <v>128</v>
      </c>
      <c r="AT318" s="4">
        <v>12087772654</v>
      </c>
      <c r="AV318" t="s">
        <v>2051</v>
      </c>
      <c r="AW318" t="s">
        <v>2052</v>
      </c>
      <c r="AX318" t="s">
        <v>131</v>
      </c>
      <c r="AY318" t="s">
        <v>131</v>
      </c>
      <c r="AZ318" t="s">
        <v>131</v>
      </c>
      <c r="BA318" t="s">
        <v>131</v>
      </c>
      <c r="BB318" t="s">
        <v>131</v>
      </c>
      <c r="BC318" t="s">
        <v>131</v>
      </c>
      <c r="BD318" t="s">
        <v>131</v>
      </c>
      <c r="BE318" t="s">
        <v>132</v>
      </c>
      <c r="BH318" t="s">
        <v>2053</v>
      </c>
      <c r="BI318" t="s">
        <v>131</v>
      </c>
      <c r="BL318" t="s">
        <v>167</v>
      </c>
      <c r="BO318" t="s">
        <v>131</v>
      </c>
      <c r="BP318" t="s">
        <v>134</v>
      </c>
      <c r="BQ318" t="s">
        <v>131</v>
      </c>
      <c r="BS318" t="str">
        <f t="shared" si="26"/>
        <v>N/A</v>
      </c>
      <c r="BT318" t="s">
        <v>131</v>
      </c>
      <c r="BV318" t="str">
        <f>""</f>
        <v/>
      </c>
      <c r="BW318" t="s">
        <v>135</v>
      </c>
      <c r="BX318" t="str">
        <f>""</f>
        <v/>
      </c>
      <c r="BY318" t="str">
        <f>""</f>
        <v/>
      </c>
      <c r="BZ318" t="str">
        <f>""</f>
        <v/>
      </c>
      <c r="CA318" t="s">
        <v>2054</v>
      </c>
      <c r="CB318" t="s">
        <v>131</v>
      </c>
      <c r="CF318" t="s">
        <v>131</v>
      </c>
      <c r="CH318" t="str">
        <f>""</f>
        <v/>
      </c>
      <c r="CI318" t="s">
        <v>131</v>
      </c>
      <c r="CK318" t="s">
        <v>131</v>
      </c>
      <c r="CL318" t="str">
        <f>""</f>
        <v/>
      </c>
      <c r="CM318" t="str">
        <f>""</f>
        <v/>
      </c>
      <c r="CN318" t="str">
        <f>""</f>
        <v/>
      </c>
      <c r="CO318" t="str">
        <f>""</f>
        <v/>
      </c>
      <c r="CP318" t="str">
        <f>"47-2141.00"</f>
        <v>47-2141.00</v>
      </c>
      <c r="CQ318" t="s">
        <v>1273</v>
      </c>
      <c r="CR318" t="s">
        <v>2053</v>
      </c>
      <c r="CS318" t="s">
        <v>135</v>
      </c>
      <c r="CT318" t="s">
        <v>2055</v>
      </c>
      <c r="CU318" t="s">
        <v>2056</v>
      </c>
      <c r="CW318" t="s">
        <v>2057</v>
      </c>
      <c r="CX318" t="s">
        <v>444</v>
      </c>
      <c r="CZ318" s="3" t="str">
        <f>"44505"</f>
        <v>44505</v>
      </c>
      <c r="DA318" t="s">
        <v>135</v>
      </c>
      <c r="DB318" t="str">
        <f>"47-2141"</f>
        <v>47-2141</v>
      </c>
      <c r="DC318" t="s">
        <v>1273</v>
      </c>
      <c r="DD318" t="s">
        <v>134</v>
      </c>
      <c r="DE318" t="s">
        <v>134</v>
      </c>
      <c r="DF318" t="str">
        <f>""</f>
        <v/>
      </c>
      <c r="DH318" s="6">
        <v>25.3</v>
      </c>
      <c r="DI318" t="s">
        <v>344</v>
      </c>
      <c r="DK318" t="s">
        <v>345</v>
      </c>
      <c r="DR318" t="s">
        <v>2058</v>
      </c>
      <c r="DS318" s="6">
        <v>27.48</v>
      </c>
      <c r="DT318" s="2" t="s">
        <v>347</v>
      </c>
      <c r="DU318" s="1">
        <v>44354</v>
      </c>
      <c r="DV318" s="1">
        <v>44443</v>
      </c>
    </row>
    <row r="319" spans="1:126" ht="15" customHeight="1" x14ac:dyDescent="0.35">
      <c r="A319" t="s">
        <v>11344</v>
      </c>
      <c r="B319" t="s">
        <v>318</v>
      </c>
      <c r="C319" s="1">
        <v>44327</v>
      </c>
      <c r="D319" s="1">
        <v>44354</v>
      </c>
      <c r="H319" t="s">
        <v>319</v>
      </c>
      <c r="I319" t="s">
        <v>11345</v>
      </c>
      <c r="J319" t="s">
        <v>2529</v>
      </c>
      <c r="L319" t="s">
        <v>675</v>
      </c>
      <c r="M319" t="s">
        <v>11346</v>
      </c>
      <c r="N319" t="s">
        <v>134</v>
      </c>
      <c r="O319" t="s">
        <v>2156</v>
      </c>
      <c r="P319" t="s">
        <v>194</v>
      </c>
      <c r="Q319" s="3">
        <v>33480</v>
      </c>
      <c r="R319" t="s">
        <v>128</v>
      </c>
      <c r="S319" t="s">
        <v>134</v>
      </c>
      <c r="T319" s="4">
        <v>15618635500</v>
      </c>
      <c r="V319" t="s">
        <v>11347</v>
      </c>
      <c r="W319" t="s">
        <v>11348</v>
      </c>
      <c r="X319" t="s">
        <v>134</v>
      </c>
      <c r="Y319" t="s">
        <v>11346</v>
      </c>
      <c r="Z319" t="s">
        <v>134</v>
      </c>
      <c r="AA319" t="s">
        <v>2156</v>
      </c>
      <c r="AB319" t="s">
        <v>195</v>
      </c>
      <c r="AC319" s="3" t="str">
        <f>"33480"</f>
        <v>33480</v>
      </c>
      <c r="AD319" t="s">
        <v>128</v>
      </c>
      <c r="AE319" t="s">
        <v>134</v>
      </c>
      <c r="AF319" s="4">
        <v>15618635500</v>
      </c>
      <c r="AH319" t="str">
        <f>"713910"</f>
        <v>713910</v>
      </c>
      <c r="AI319" t="s">
        <v>130</v>
      </c>
      <c r="AJ319" t="s">
        <v>1386</v>
      </c>
      <c r="AK319" t="s">
        <v>1387</v>
      </c>
      <c r="AL319" t="s">
        <v>1036</v>
      </c>
      <c r="AM319" t="s">
        <v>1388</v>
      </c>
      <c r="AN319" t="s">
        <v>997</v>
      </c>
      <c r="AO319" t="s">
        <v>719</v>
      </c>
      <c r="AP319" t="s">
        <v>377</v>
      </c>
      <c r="AQ319" s="5">
        <v>1701</v>
      </c>
      <c r="AR319" t="s">
        <v>128</v>
      </c>
      <c r="AS319" t="s">
        <v>134</v>
      </c>
      <c r="AT319" s="4">
        <v>16179399444</v>
      </c>
      <c r="AV319" t="s">
        <v>1389</v>
      </c>
      <c r="AW319" t="s">
        <v>1390</v>
      </c>
      <c r="AX319" t="s">
        <v>131</v>
      </c>
      <c r="AY319" t="s">
        <v>131</v>
      </c>
      <c r="AZ319" t="s">
        <v>131</v>
      </c>
      <c r="BA319" t="s">
        <v>131</v>
      </c>
      <c r="BB319" t="s">
        <v>131</v>
      </c>
      <c r="BC319" t="s">
        <v>131</v>
      </c>
      <c r="BD319" t="s">
        <v>131</v>
      </c>
      <c r="BE319" t="s">
        <v>132</v>
      </c>
      <c r="BH319" t="s">
        <v>6385</v>
      </c>
      <c r="BI319" t="s">
        <v>131</v>
      </c>
      <c r="BL319" t="s">
        <v>167</v>
      </c>
      <c r="BO319" t="s">
        <v>131</v>
      </c>
      <c r="BP319" t="s">
        <v>134</v>
      </c>
      <c r="BQ319" t="s">
        <v>131</v>
      </c>
      <c r="BS319" t="str">
        <f t="shared" si="26"/>
        <v>N/A</v>
      </c>
      <c r="BT319" t="s">
        <v>135</v>
      </c>
      <c r="BU319">
        <v>3</v>
      </c>
      <c r="BV319" t="str">
        <f>"Steward"</f>
        <v>Steward</v>
      </c>
      <c r="BW319" t="s">
        <v>135</v>
      </c>
      <c r="BX319" t="str">
        <f>""</f>
        <v/>
      </c>
      <c r="BY319" t="str">
        <f>""</f>
        <v/>
      </c>
      <c r="BZ319" t="str">
        <f>""</f>
        <v/>
      </c>
      <c r="CA319" t="str">
        <f>"The Petitioner will consider for employment any person who possesses at least three (3) months of experience at a high-end restaurant, resort, or private club.
Applicant must complete pre-employment COVID-19 test.  "</f>
        <v xml:space="preserve">The Petitioner will consider for employment any person who possesses at least three (3) months of experience at a high-end restaurant, resort, or private club.
Applicant must complete pre-employment COVID-19 test.  </v>
      </c>
      <c r="CB319" t="s">
        <v>131</v>
      </c>
      <c r="CF319" t="s">
        <v>131</v>
      </c>
      <c r="CH319" t="str">
        <f>""</f>
        <v/>
      </c>
      <c r="CI319" t="s">
        <v>131</v>
      </c>
      <c r="CK319" t="s">
        <v>131</v>
      </c>
      <c r="CL319" t="str">
        <f>""</f>
        <v/>
      </c>
      <c r="CM319" t="str">
        <f>""</f>
        <v/>
      </c>
      <c r="CN319" t="str">
        <f>""</f>
        <v/>
      </c>
      <c r="CO319" t="str">
        <f>""</f>
        <v/>
      </c>
      <c r="CP319" t="str">
        <f>"35-9021.00"</f>
        <v>35-9021.00</v>
      </c>
      <c r="CQ319" t="s">
        <v>2552</v>
      </c>
      <c r="CS319" t="s">
        <v>131</v>
      </c>
      <c r="CU319" t="s">
        <v>11346</v>
      </c>
      <c r="CV319" t="s">
        <v>134</v>
      </c>
      <c r="CW319" t="s">
        <v>2156</v>
      </c>
      <c r="CX319" t="s">
        <v>195</v>
      </c>
      <c r="CZ319" s="3" t="str">
        <f>"33480"</f>
        <v>33480</v>
      </c>
      <c r="DA319" t="s">
        <v>131</v>
      </c>
      <c r="DB319" t="str">
        <f>"35-9021"</f>
        <v>35-9021</v>
      </c>
      <c r="DC319" t="s">
        <v>2552</v>
      </c>
      <c r="DD319" t="s">
        <v>134</v>
      </c>
      <c r="DE319" t="s">
        <v>134</v>
      </c>
      <c r="DF319" t="str">
        <f>""</f>
        <v/>
      </c>
      <c r="DH319" s="6">
        <v>11.01</v>
      </c>
      <c r="DI319" t="s">
        <v>344</v>
      </c>
      <c r="DK319" t="s">
        <v>345</v>
      </c>
      <c r="DS319" s="6">
        <v>11.01</v>
      </c>
      <c r="DT319" t="s">
        <v>424</v>
      </c>
      <c r="DU319" s="1">
        <v>44354</v>
      </c>
      <c r="DV319" s="1">
        <v>44443</v>
      </c>
    </row>
    <row r="320" spans="1:126" ht="15" customHeight="1" x14ac:dyDescent="0.35">
      <c r="A320" t="s">
        <v>18766</v>
      </c>
      <c r="B320" t="s">
        <v>318</v>
      </c>
      <c r="C320" s="1">
        <v>44327</v>
      </c>
      <c r="D320" s="1">
        <v>44354</v>
      </c>
      <c r="H320" t="s">
        <v>319</v>
      </c>
      <c r="I320" t="s">
        <v>11345</v>
      </c>
      <c r="J320" t="s">
        <v>2529</v>
      </c>
      <c r="L320" t="s">
        <v>675</v>
      </c>
      <c r="M320" t="s">
        <v>11346</v>
      </c>
      <c r="N320" t="s">
        <v>134</v>
      </c>
      <c r="O320" t="s">
        <v>2156</v>
      </c>
      <c r="P320" t="s">
        <v>194</v>
      </c>
      <c r="Q320" s="3">
        <v>33480</v>
      </c>
      <c r="R320" t="s">
        <v>128</v>
      </c>
      <c r="S320" t="s">
        <v>134</v>
      </c>
      <c r="T320" s="4">
        <v>15618635500</v>
      </c>
      <c r="V320" t="s">
        <v>11347</v>
      </c>
      <c r="W320" t="s">
        <v>11348</v>
      </c>
      <c r="X320" t="s">
        <v>134</v>
      </c>
      <c r="Y320" t="s">
        <v>11346</v>
      </c>
      <c r="Z320" t="s">
        <v>134</v>
      </c>
      <c r="AA320" t="s">
        <v>2156</v>
      </c>
      <c r="AB320" t="s">
        <v>195</v>
      </c>
      <c r="AC320" s="3" t="str">
        <f>"33480"</f>
        <v>33480</v>
      </c>
      <c r="AD320" t="s">
        <v>128</v>
      </c>
      <c r="AE320" t="s">
        <v>134</v>
      </c>
      <c r="AF320" s="4">
        <v>15618635500</v>
      </c>
      <c r="AH320" t="str">
        <f>"713910"</f>
        <v>713910</v>
      </c>
      <c r="AI320" t="s">
        <v>130</v>
      </c>
      <c r="AJ320" t="s">
        <v>1386</v>
      </c>
      <c r="AK320" t="s">
        <v>1387</v>
      </c>
      <c r="AL320" t="s">
        <v>1036</v>
      </c>
      <c r="AM320" t="s">
        <v>1388</v>
      </c>
      <c r="AN320" t="s">
        <v>997</v>
      </c>
      <c r="AO320" t="s">
        <v>719</v>
      </c>
      <c r="AP320" t="s">
        <v>377</v>
      </c>
      <c r="AQ320" s="5">
        <v>1701</v>
      </c>
      <c r="AR320" t="s">
        <v>128</v>
      </c>
      <c r="AS320" t="s">
        <v>134</v>
      </c>
      <c r="AT320" s="4">
        <v>16179399444</v>
      </c>
      <c r="AV320" t="s">
        <v>1389</v>
      </c>
      <c r="AW320" t="s">
        <v>1390</v>
      </c>
      <c r="AX320" t="s">
        <v>131</v>
      </c>
      <c r="AY320" t="s">
        <v>131</v>
      </c>
      <c r="AZ320" t="s">
        <v>131</v>
      </c>
      <c r="BA320" t="s">
        <v>131</v>
      </c>
      <c r="BB320" t="s">
        <v>131</v>
      </c>
      <c r="BC320" t="s">
        <v>131</v>
      </c>
      <c r="BD320" t="s">
        <v>131</v>
      </c>
      <c r="BE320" t="s">
        <v>132</v>
      </c>
      <c r="BH320" t="s">
        <v>1213</v>
      </c>
      <c r="BI320" t="s">
        <v>131</v>
      </c>
      <c r="BL320" t="s">
        <v>167</v>
      </c>
      <c r="BO320" t="s">
        <v>131</v>
      </c>
      <c r="BP320" t="s">
        <v>134</v>
      </c>
      <c r="BQ320" t="s">
        <v>131</v>
      </c>
      <c r="BS320" t="str">
        <f t="shared" si="26"/>
        <v>N/A</v>
      </c>
      <c r="BT320" t="s">
        <v>135</v>
      </c>
      <c r="BU320">
        <v>6</v>
      </c>
      <c r="BV320" t="str">
        <f>"Server"</f>
        <v>Server</v>
      </c>
      <c r="BW320" t="s">
        <v>135</v>
      </c>
      <c r="BX320" t="str">
        <f>""</f>
        <v/>
      </c>
      <c r="BY320" t="str">
        <f>""</f>
        <v/>
      </c>
      <c r="BZ320" t="str">
        <f>""</f>
        <v/>
      </c>
      <c r="CA320" s="2" t="s">
        <v>18767</v>
      </c>
      <c r="CB320" t="s">
        <v>131</v>
      </c>
      <c r="CF320" t="s">
        <v>131</v>
      </c>
      <c r="CH320" t="str">
        <f>""</f>
        <v/>
      </c>
      <c r="CI320" t="s">
        <v>131</v>
      </c>
      <c r="CK320" t="s">
        <v>131</v>
      </c>
      <c r="CL320" t="str">
        <f>""</f>
        <v/>
      </c>
      <c r="CM320" t="str">
        <f>""</f>
        <v/>
      </c>
      <c r="CN320" t="str">
        <f>""</f>
        <v/>
      </c>
      <c r="CO320" t="str">
        <f>""</f>
        <v/>
      </c>
      <c r="CP320" t="str">
        <f>"35-3031.00"</f>
        <v>35-3031.00</v>
      </c>
      <c r="CQ320" t="s">
        <v>1214</v>
      </c>
      <c r="CR320" t="s">
        <v>7021</v>
      </c>
      <c r="CS320" t="s">
        <v>131</v>
      </c>
      <c r="CU320" t="s">
        <v>11346</v>
      </c>
      <c r="CV320" t="s">
        <v>134</v>
      </c>
      <c r="CW320" t="s">
        <v>2156</v>
      </c>
      <c r="CX320" t="s">
        <v>195</v>
      </c>
      <c r="CZ320" s="3" t="str">
        <f>"33480"</f>
        <v>33480</v>
      </c>
      <c r="DA320" t="s">
        <v>131</v>
      </c>
      <c r="DB320" t="str">
        <f>"35-3031"</f>
        <v>35-3031</v>
      </c>
      <c r="DC320" t="s">
        <v>1214</v>
      </c>
      <c r="DD320" t="s">
        <v>134</v>
      </c>
      <c r="DE320" t="s">
        <v>134</v>
      </c>
      <c r="DF320" t="str">
        <f>""</f>
        <v/>
      </c>
      <c r="DH320" s="6">
        <v>12.55</v>
      </c>
      <c r="DI320" t="s">
        <v>344</v>
      </c>
      <c r="DK320" t="s">
        <v>345</v>
      </c>
      <c r="DS320" s="6">
        <v>12.55</v>
      </c>
      <c r="DT320" t="s">
        <v>424</v>
      </c>
      <c r="DU320" s="1">
        <v>44354</v>
      </c>
      <c r="DV320" s="1">
        <v>44443</v>
      </c>
    </row>
    <row r="321" spans="1:126" ht="15" customHeight="1" x14ac:dyDescent="0.35">
      <c r="A321" t="s">
        <v>16380</v>
      </c>
      <c r="B321" t="s">
        <v>318</v>
      </c>
      <c r="C321" s="1">
        <v>44327</v>
      </c>
      <c r="D321" s="1">
        <v>44354</v>
      </c>
      <c r="H321" t="s">
        <v>319</v>
      </c>
      <c r="I321" t="s">
        <v>11345</v>
      </c>
      <c r="J321" t="s">
        <v>2529</v>
      </c>
      <c r="L321" t="s">
        <v>675</v>
      </c>
      <c r="M321" t="s">
        <v>11346</v>
      </c>
      <c r="N321" t="s">
        <v>134</v>
      </c>
      <c r="O321" t="s">
        <v>2156</v>
      </c>
      <c r="P321" t="s">
        <v>194</v>
      </c>
      <c r="Q321" s="3">
        <v>33480</v>
      </c>
      <c r="R321" t="s">
        <v>128</v>
      </c>
      <c r="S321" t="s">
        <v>134</v>
      </c>
      <c r="T321" s="4">
        <v>15618635500</v>
      </c>
      <c r="V321" t="s">
        <v>11347</v>
      </c>
      <c r="W321" t="s">
        <v>11348</v>
      </c>
      <c r="X321" t="s">
        <v>134</v>
      </c>
      <c r="Y321" t="s">
        <v>11346</v>
      </c>
      <c r="Z321" t="s">
        <v>134</v>
      </c>
      <c r="AA321" t="s">
        <v>2156</v>
      </c>
      <c r="AB321" t="s">
        <v>195</v>
      </c>
      <c r="AC321" s="3" t="str">
        <f>"33480"</f>
        <v>33480</v>
      </c>
      <c r="AD321" t="s">
        <v>128</v>
      </c>
      <c r="AE321" t="s">
        <v>134</v>
      </c>
      <c r="AF321" s="4">
        <v>15618635500</v>
      </c>
      <c r="AH321" t="str">
        <f>"713910"</f>
        <v>713910</v>
      </c>
      <c r="AI321" t="s">
        <v>130</v>
      </c>
      <c r="AJ321" t="s">
        <v>1386</v>
      </c>
      <c r="AK321" t="s">
        <v>1387</v>
      </c>
      <c r="AL321" t="s">
        <v>1036</v>
      </c>
      <c r="AM321" t="s">
        <v>1388</v>
      </c>
      <c r="AN321" t="s">
        <v>997</v>
      </c>
      <c r="AO321" t="s">
        <v>719</v>
      </c>
      <c r="AP321" t="s">
        <v>377</v>
      </c>
      <c r="AQ321" s="5">
        <v>1701</v>
      </c>
      <c r="AR321" t="s">
        <v>128</v>
      </c>
      <c r="AS321" t="s">
        <v>134</v>
      </c>
      <c r="AT321" s="4">
        <v>16179399444</v>
      </c>
      <c r="AV321" t="s">
        <v>1389</v>
      </c>
      <c r="AW321" t="s">
        <v>1390</v>
      </c>
      <c r="AX321" t="s">
        <v>131</v>
      </c>
      <c r="AY321" t="s">
        <v>131</v>
      </c>
      <c r="AZ321" t="s">
        <v>131</v>
      </c>
      <c r="BA321" t="s">
        <v>131</v>
      </c>
      <c r="BB321" t="s">
        <v>131</v>
      </c>
      <c r="BC321" t="s">
        <v>131</v>
      </c>
      <c r="BD321" t="s">
        <v>131</v>
      </c>
      <c r="BE321" t="s">
        <v>132</v>
      </c>
      <c r="BH321" t="s">
        <v>1080</v>
      </c>
      <c r="BI321" t="s">
        <v>131</v>
      </c>
      <c r="BL321" t="s">
        <v>167</v>
      </c>
      <c r="BO321" t="s">
        <v>131</v>
      </c>
      <c r="BP321" t="s">
        <v>134</v>
      </c>
      <c r="BQ321" t="s">
        <v>131</v>
      </c>
      <c r="BS321" t="str">
        <f t="shared" si="26"/>
        <v>N/A</v>
      </c>
      <c r="BT321" t="s">
        <v>135</v>
      </c>
      <c r="BU321">
        <v>6</v>
      </c>
      <c r="BV321" t="str">
        <f>"Cook"</f>
        <v>Cook</v>
      </c>
      <c r="BW321" t="s">
        <v>135</v>
      </c>
      <c r="BX321" t="str">
        <f>""</f>
        <v/>
      </c>
      <c r="BY321" t="str">
        <f>""</f>
        <v/>
      </c>
      <c r="BZ321" t="str">
        <f>""</f>
        <v/>
      </c>
      <c r="CA321" s="2" t="s">
        <v>16381</v>
      </c>
      <c r="CB321" t="s">
        <v>131</v>
      </c>
      <c r="CF321" t="s">
        <v>131</v>
      </c>
      <c r="CH321" t="str">
        <f>""</f>
        <v/>
      </c>
      <c r="CI321" t="s">
        <v>131</v>
      </c>
      <c r="CK321" t="s">
        <v>131</v>
      </c>
      <c r="CL321" t="str">
        <f>""</f>
        <v/>
      </c>
      <c r="CM321" t="str">
        <f>""</f>
        <v/>
      </c>
      <c r="CN321" t="str">
        <f>""</f>
        <v/>
      </c>
      <c r="CO321" t="str">
        <f>""</f>
        <v/>
      </c>
      <c r="CP321" t="str">
        <f>"35-2014.00"</f>
        <v>35-2014.00</v>
      </c>
      <c r="CQ321" t="s">
        <v>581</v>
      </c>
      <c r="CR321" t="s">
        <v>1941</v>
      </c>
      <c r="CS321" t="s">
        <v>131</v>
      </c>
      <c r="CU321" t="s">
        <v>11346</v>
      </c>
      <c r="CV321" t="s">
        <v>134</v>
      </c>
      <c r="CW321" t="s">
        <v>2156</v>
      </c>
      <c r="CX321" t="s">
        <v>195</v>
      </c>
      <c r="CZ321" s="3" t="str">
        <f>"33480"</f>
        <v>33480</v>
      </c>
      <c r="DA321" t="s">
        <v>131</v>
      </c>
      <c r="DB321" t="str">
        <f>"35-2014"</f>
        <v>35-2014</v>
      </c>
      <c r="DC321" t="s">
        <v>581</v>
      </c>
      <c r="DD321" t="s">
        <v>134</v>
      </c>
      <c r="DE321" t="s">
        <v>134</v>
      </c>
      <c r="DF321" t="str">
        <f>""</f>
        <v/>
      </c>
      <c r="DH321" s="6">
        <v>14.63</v>
      </c>
      <c r="DI321" t="s">
        <v>344</v>
      </c>
      <c r="DK321" t="s">
        <v>345</v>
      </c>
      <c r="DS321" s="6">
        <v>14.63</v>
      </c>
      <c r="DT321" t="s">
        <v>424</v>
      </c>
      <c r="DU321" s="1">
        <v>44354</v>
      </c>
      <c r="DV321" s="1">
        <v>44443</v>
      </c>
    </row>
    <row r="322" spans="1:126" ht="15" customHeight="1" x14ac:dyDescent="0.35">
      <c r="A322" t="s">
        <v>18108</v>
      </c>
      <c r="B322" t="s">
        <v>318</v>
      </c>
      <c r="C322" s="1">
        <v>44327</v>
      </c>
      <c r="D322" s="1">
        <v>44354</v>
      </c>
      <c r="H322" t="s">
        <v>319</v>
      </c>
      <c r="I322" t="s">
        <v>18109</v>
      </c>
      <c r="J322" t="s">
        <v>804</v>
      </c>
      <c r="L322" t="s">
        <v>1264</v>
      </c>
      <c r="M322" t="s">
        <v>18110</v>
      </c>
      <c r="O322" t="s">
        <v>4408</v>
      </c>
      <c r="P322" t="s">
        <v>194</v>
      </c>
      <c r="Q322" s="3">
        <v>34109</v>
      </c>
      <c r="R322" t="s">
        <v>128</v>
      </c>
      <c r="T322" s="4">
        <v>12394402900</v>
      </c>
      <c r="V322" t="s">
        <v>18111</v>
      </c>
      <c r="W322" t="s">
        <v>18112</v>
      </c>
      <c r="Y322" t="s">
        <v>18110</v>
      </c>
      <c r="Z322" t="s">
        <v>1524</v>
      </c>
      <c r="AA322" t="s">
        <v>4408</v>
      </c>
      <c r="AB322" t="s">
        <v>195</v>
      </c>
      <c r="AC322" s="3" t="str">
        <f>"34109"</f>
        <v>34109</v>
      </c>
      <c r="AD322" t="s">
        <v>128</v>
      </c>
      <c r="AF322" s="4">
        <v>12394402900</v>
      </c>
      <c r="AH322" t="str">
        <f>"6216"</f>
        <v>6216</v>
      </c>
      <c r="AI322" t="s">
        <v>130</v>
      </c>
      <c r="AJ322" t="s">
        <v>1386</v>
      </c>
      <c r="AK322" t="s">
        <v>1387</v>
      </c>
      <c r="AL322" t="s">
        <v>1036</v>
      </c>
      <c r="AM322" t="s">
        <v>1388</v>
      </c>
      <c r="AN322" t="s">
        <v>997</v>
      </c>
      <c r="AO322" t="s">
        <v>719</v>
      </c>
      <c r="AP322" t="s">
        <v>377</v>
      </c>
      <c r="AQ322" s="5">
        <v>1701</v>
      </c>
      <c r="AR322" t="s">
        <v>128</v>
      </c>
      <c r="AS322" t="s">
        <v>134</v>
      </c>
      <c r="AT322" s="4">
        <v>16179399444</v>
      </c>
      <c r="AV322" t="s">
        <v>1389</v>
      </c>
      <c r="AW322" t="s">
        <v>1390</v>
      </c>
      <c r="AX322" t="s">
        <v>131</v>
      </c>
      <c r="AY322" t="s">
        <v>131</v>
      </c>
      <c r="AZ322" t="s">
        <v>131</v>
      </c>
      <c r="BA322" t="s">
        <v>131</v>
      </c>
      <c r="BB322" t="s">
        <v>131</v>
      </c>
      <c r="BC322" t="s">
        <v>131</v>
      </c>
      <c r="BD322" t="s">
        <v>131</v>
      </c>
      <c r="BE322" t="s">
        <v>132</v>
      </c>
      <c r="BH322" t="s">
        <v>11370</v>
      </c>
      <c r="BI322" t="s">
        <v>131</v>
      </c>
      <c r="BL322" t="s">
        <v>167</v>
      </c>
      <c r="BO322" t="s">
        <v>131</v>
      </c>
      <c r="BP322" t="s">
        <v>134</v>
      </c>
      <c r="BQ322" t="s">
        <v>131</v>
      </c>
      <c r="BS322" t="str">
        <f t="shared" ref="BS322:BS385" si="29">"N/A"</f>
        <v>N/A</v>
      </c>
      <c r="BT322" t="s">
        <v>135</v>
      </c>
      <c r="BU322">
        <v>12</v>
      </c>
      <c r="BV322" t="str">
        <f>"Home Health Aide"</f>
        <v>Home Health Aide</v>
      </c>
      <c r="BW322" t="s">
        <v>135</v>
      </c>
      <c r="BX322" t="str">
        <f>""</f>
        <v/>
      </c>
      <c r="BY322" t="str">
        <f>""</f>
        <v/>
      </c>
      <c r="BZ322" t="str">
        <f>""</f>
        <v/>
      </c>
      <c r="CA322" s="2" t="s">
        <v>18113</v>
      </c>
      <c r="CB322" t="s">
        <v>131</v>
      </c>
      <c r="CF322" t="s">
        <v>131</v>
      </c>
      <c r="CH322" t="str">
        <f>""</f>
        <v/>
      </c>
      <c r="CI322" t="s">
        <v>131</v>
      </c>
      <c r="CK322" t="s">
        <v>131</v>
      </c>
      <c r="CL322" t="str">
        <f>""</f>
        <v/>
      </c>
      <c r="CM322" t="str">
        <f>""</f>
        <v/>
      </c>
      <c r="CN322" t="str">
        <f>""</f>
        <v/>
      </c>
      <c r="CO322" t="str">
        <f>""</f>
        <v/>
      </c>
      <c r="CP322" t="str">
        <f>"31-1011.00"</f>
        <v>31-1011.00</v>
      </c>
      <c r="CQ322" t="s">
        <v>499</v>
      </c>
      <c r="CR322" t="s">
        <v>8559</v>
      </c>
      <c r="CS322" t="s">
        <v>135</v>
      </c>
      <c r="CT322" t="s">
        <v>18114</v>
      </c>
      <c r="CU322" t="s">
        <v>18110</v>
      </c>
      <c r="CV322" t="s">
        <v>1524</v>
      </c>
      <c r="CW322" t="s">
        <v>4408</v>
      </c>
      <c r="CX322" t="s">
        <v>195</v>
      </c>
      <c r="CZ322" s="3" t="str">
        <f>"34109"</f>
        <v>34109</v>
      </c>
      <c r="DA322" t="s">
        <v>135</v>
      </c>
      <c r="DB322" t="str">
        <f>"31-1011"</f>
        <v>31-1011</v>
      </c>
      <c r="DC322" t="s">
        <v>499</v>
      </c>
      <c r="DD322" t="s">
        <v>134</v>
      </c>
      <c r="DE322" t="s">
        <v>134</v>
      </c>
      <c r="DF322" t="str">
        <f>""</f>
        <v/>
      </c>
      <c r="DH322" s="6">
        <v>13.19</v>
      </c>
      <c r="DI322" t="s">
        <v>344</v>
      </c>
      <c r="DK322" t="s">
        <v>345</v>
      </c>
      <c r="DS322" s="6">
        <v>13.19</v>
      </c>
      <c r="DT322" s="2" t="s">
        <v>347</v>
      </c>
      <c r="DU322" s="1">
        <v>44354</v>
      </c>
      <c r="DV322" s="1">
        <v>44443</v>
      </c>
    </row>
    <row r="323" spans="1:126" ht="15" customHeight="1" x14ac:dyDescent="0.35">
      <c r="A323" t="s">
        <v>8221</v>
      </c>
      <c r="B323" t="s">
        <v>318</v>
      </c>
      <c r="C323" s="1">
        <v>44327</v>
      </c>
      <c r="D323" s="1">
        <v>44354</v>
      </c>
      <c r="H323" t="s">
        <v>319</v>
      </c>
      <c r="I323" t="s">
        <v>8222</v>
      </c>
      <c r="J323" t="s">
        <v>313</v>
      </c>
      <c r="K323" t="s">
        <v>2661</v>
      </c>
      <c r="L323" t="s">
        <v>668</v>
      </c>
      <c r="M323" t="s">
        <v>8223</v>
      </c>
      <c r="N323" t="s">
        <v>8224</v>
      </c>
      <c r="O323" t="s">
        <v>600</v>
      </c>
      <c r="P323" t="s">
        <v>593</v>
      </c>
      <c r="Q323" s="3">
        <v>28205</v>
      </c>
      <c r="R323" t="s">
        <v>128</v>
      </c>
      <c r="T323" s="4">
        <v>17044416916</v>
      </c>
      <c r="V323" t="s">
        <v>134</v>
      </c>
      <c r="W323" t="s">
        <v>8225</v>
      </c>
      <c r="Y323" t="s">
        <v>8223</v>
      </c>
      <c r="Z323" t="s">
        <v>8224</v>
      </c>
      <c r="AA323" t="s">
        <v>600</v>
      </c>
      <c r="AB323" t="s">
        <v>594</v>
      </c>
      <c r="AC323" s="3" t="str">
        <f>"28205"</f>
        <v>28205</v>
      </c>
      <c r="AD323" t="s">
        <v>128</v>
      </c>
      <c r="AF323" s="4">
        <v>17044416916</v>
      </c>
      <c r="AH323" t="str">
        <f>"56173"</f>
        <v>56173</v>
      </c>
      <c r="AI323" t="s">
        <v>287</v>
      </c>
      <c r="AJ323" t="s">
        <v>2917</v>
      </c>
      <c r="AK323" t="s">
        <v>2918</v>
      </c>
      <c r="AL323" t="s">
        <v>387</v>
      </c>
      <c r="AM323" t="s">
        <v>3772</v>
      </c>
      <c r="AO323" t="s">
        <v>6299</v>
      </c>
      <c r="AP323" t="s">
        <v>306</v>
      </c>
      <c r="AQ323" s="5">
        <v>22903</v>
      </c>
      <c r="AR323" t="s">
        <v>128</v>
      </c>
      <c r="AT323" s="4">
        <v>14342634300</v>
      </c>
      <c r="AV323" t="s">
        <v>4374</v>
      </c>
      <c r="AW323" t="s">
        <v>2923</v>
      </c>
      <c r="AX323" t="s">
        <v>131</v>
      </c>
      <c r="AY323" t="s">
        <v>131</v>
      </c>
      <c r="AZ323" t="s">
        <v>131</v>
      </c>
      <c r="BA323" t="s">
        <v>131</v>
      </c>
      <c r="BB323" t="s">
        <v>131</v>
      </c>
      <c r="BC323" t="s">
        <v>131</v>
      </c>
      <c r="BD323" t="s">
        <v>131</v>
      </c>
      <c r="BE323" t="s">
        <v>132</v>
      </c>
      <c r="BH323" t="s">
        <v>5346</v>
      </c>
      <c r="BI323" t="s">
        <v>131</v>
      </c>
      <c r="BL323" t="s">
        <v>167</v>
      </c>
      <c r="BO323" t="s">
        <v>131</v>
      </c>
      <c r="BP323" t="s">
        <v>134</v>
      </c>
      <c r="BQ323" t="s">
        <v>131</v>
      </c>
      <c r="BS323" t="str">
        <f t="shared" si="29"/>
        <v>N/A</v>
      </c>
      <c r="BT323" t="s">
        <v>135</v>
      </c>
      <c r="BU323">
        <v>3</v>
      </c>
      <c r="BV323" t="str">
        <f>"Requires three months of previous landscape experience."</f>
        <v>Requires three months of previous landscape experience.</v>
      </c>
      <c r="BW323" t="s">
        <v>135</v>
      </c>
      <c r="BX323" t="str">
        <f>""</f>
        <v/>
      </c>
      <c r="BY323" t="str">
        <f>""</f>
        <v/>
      </c>
      <c r="BZ323" t="str">
        <f>""</f>
        <v/>
      </c>
      <c r="CA323" t="s">
        <v>8226</v>
      </c>
      <c r="CB323" t="s">
        <v>131</v>
      </c>
      <c r="CF323" t="s">
        <v>131</v>
      </c>
      <c r="CH323" t="str">
        <f>""</f>
        <v/>
      </c>
      <c r="CI323" t="s">
        <v>131</v>
      </c>
      <c r="CK323" t="s">
        <v>131</v>
      </c>
      <c r="CL323" t="str">
        <f>""</f>
        <v/>
      </c>
      <c r="CM323" t="str">
        <f>""</f>
        <v/>
      </c>
      <c r="CN323" t="str">
        <f>""</f>
        <v/>
      </c>
      <c r="CO323" t="str">
        <f>""</f>
        <v/>
      </c>
      <c r="CP323" t="str">
        <f>"37-3011.00"</f>
        <v>37-3011.00</v>
      </c>
      <c r="CQ323" t="s">
        <v>920</v>
      </c>
      <c r="CR323" t="s">
        <v>3086</v>
      </c>
      <c r="CS323" t="s">
        <v>135</v>
      </c>
      <c r="CT323" t="s">
        <v>2925</v>
      </c>
      <c r="CU323" t="s">
        <v>8223</v>
      </c>
      <c r="CW323" t="s">
        <v>600</v>
      </c>
      <c r="CX323" t="s">
        <v>594</v>
      </c>
      <c r="CZ323" s="3" t="str">
        <f>"28205"</f>
        <v>28205</v>
      </c>
      <c r="DA323" t="s">
        <v>135</v>
      </c>
      <c r="DB323" t="str">
        <f>"37-3011"</f>
        <v>37-3011</v>
      </c>
      <c r="DC323" t="s">
        <v>920</v>
      </c>
      <c r="DD323" t="s">
        <v>134</v>
      </c>
      <c r="DE323" t="s">
        <v>134</v>
      </c>
      <c r="DF323" t="str">
        <f>""</f>
        <v/>
      </c>
      <c r="DH323" s="6">
        <v>14.31</v>
      </c>
      <c r="DI323" t="s">
        <v>344</v>
      </c>
      <c r="DK323" t="s">
        <v>345</v>
      </c>
      <c r="DS323" s="6">
        <v>14.31</v>
      </c>
      <c r="DT323" s="2" t="s">
        <v>347</v>
      </c>
      <c r="DU323" s="1">
        <v>44354</v>
      </c>
      <c r="DV323" s="1">
        <v>44443</v>
      </c>
    </row>
    <row r="324" spans="1:126" ht="15" customHeight="1" x14ac:dyDescent="0.35">
      <c r="A324" t="s">
        <v>12168</v>
      </c>
      <c r="B324" t="s">
        <v>318</v>
      </c>
      <c r="C324" s="1">
        <v>44327</v>
      </c>
      <c r="D324" s="1">
        <v>44354</v>
      </c>
      <c r="H324" t="s">
        <v>319</v>
      </c>
      <c r="I324" t="s">
        <v>12169</v>
      </c>
      <c r="J324" t="s">
        <v>1157</v>
      </c>
      <c r="L324" t="s">
        <v>460</v>
      </c>
      <c r="M324" t="s">
        <v>12170</v>
      </c>
      <c r="N324" t="s">
        <v>12171</v>
      </c>
      <c r="O324" t="s">
        <v>5047</v>
      </c>
      <c r="P324" t="s">
        <v>311</v>
      </c>
      <c r="Q324" s="3">
        <v>15001</v>
      </c>
      <c r="R324" t="s">
        <v>128</v>
      </c>
      <c r="T324" s="4">
        <v>17247284819</v>
      </c>
      <c r="V324" t="s">
        <v>134</v>
      </c>
      <c r="W324" t="s">
        <v>12172</v>
      </c>
      <c r="Y324" t="s">
        <v>12170</v>
      </c>
      <c r="Z324" t="s">
        <v>12171</v>
      </c>
      <c r="AA324" t="s">
        <v>5047</v>
      </c>
      <c r="AB324" t="s">
        <v>312</v>
      </c>
      <c r="AC324" s="3" t="str">
        <f>"15001"</f>
        <v>15001</v>
      </c>
      <c r="AD324" t="s">
        <v>128</v>
      </c>
      <c r="AF324" s="4">
        <v>17247284819</v>
      </c>
      <c r="AH324" t="str">
        <f>"56173"</f>
        <v>56173</v>
      </c>
      <c r="AI324" t="s">
        <v>287</v>
      </c>
      <c r="AJ324" t="s">
        <v>2917</v>
      </c>
      <c r="AK324" t="s">
        <v>2918</v>
      </c>
      <c r="AL324" t="s">
        <v>387</v>
      </c>
      <c r="AM324" t="s">
        <v>3772</v>
      </c>
      <c r="AO324" t="s">
        <v>6299</v>
      </c>
      <c r="AP324" t="s">
        <v>306</v>
      </c>
      <c r="AQ324" s="5">
        <v>22903</v>
      </c>
      <c r="AR324" t="s">
        <v>128</v>
      </c>
      <c r="AT324" s="4">
        <v>14342634300</v>
      </c>
      <c r="AV324" t="s">
        <v>4374</v>
      </c>
      <c r="AW324" t="s">
        <v>2923</v>
      </c>
      <c r="AX324" t="s">
        <v>131</v>
      </c>
      <c r="AY324" t="s">
        <v>131</v>
      </c>
      <c r="AZ324" t="s">
        <v>131</v>
      </c>
      <c r="BA324" t="s">
        <v>131</v>
      </c>
      <c r="BB324" t="s">
        <v>131</v>
      </c>
      <c r="BC324" t="s">
        <v>131</v>
      </c>
      <c r="BD324" t="s">
        <v>131</v>
      </c>
      <c r="BE324" t="s">
        <v>132</v>
      </c>
      <c r="BH324" t="s">
        <v>2215</v>
      </c>
      <c r="BI324" t="s">
        <v>131</v>
      </c>
      <c r="BL324" t="s">
        <v>167</v>
      </c>
      <c r="BO324" t="s">
        <v>131</v>
      </c>
      <c r="BP324" t="s">
        <v>134</v>
      </c>
      <c r="BQ324" t="s">
        <v>131</v>
      </c>
      <c r="BS324" t="str">
        <f t="shared" si="29"/>
        <v>N/A</v>
      </c>
      <c r="BT324" t="s">
        <v>135</v>
      </c>
      <c r="BU324">
        <v>3</v>
      </c>
      <c r="BV324" t="str">
        <f>"Requires three months of previous landscape experience."</f>
        <v>Requires three months of previous landscape experience.</v>
      </c>
      <c r="BW324" t="s">
        <v>135</v>
      </c>
      <c r="BX324" t="str">
        <f>""</f>
        <v/>
      </c>
      <c r="BY324" t="str">
        <f>""</f>
        <v/>
      </c>
      <c r="BZ324" t="str">
        <f>""</f>
        <v/>
      </c>
      <c r="CA324" t="str">
        <f>"Must lift/carry 50 lbs., when necessary.  Saturday and Sunday work required, when necessary."</f>
        <v>Must lift/carry 50 lbs., when necessary.  Saturday and Sunday work required, when necessary.</v>
      </c>
      <c r="CB324" t="s">
        <v>131</v>
      </c>
      <c r="CF324" t="s">
        <v>131</v>
      </c>
      <c r="CH324" t="str">
        <f>""</f>
        <v/>
      </c>
      <c r="CI324" t="s">
        <v>131</v>
      </c>
      <c r="CK324" t="s">
        <v>131</v>
      </c>
      <c r="CL324" t="str">
        <f>""</f>
        <v/>
      </c>
      <c r="CM324" t="str">
        <f>""</f>
        <v/>
      </c>
      <c r="CN324" t="str">
        <f>""</f>
        <v/>
      </c>
      <c r="CO324" t="str">
        <f>""</f>
        <v/>
      </c>
      <c r="CP324" t="str">
        <f>"37-3011.00"</f>
        <v>37-3011.00</v>
      </c>
      <c r="CQ324" t="s">
        <v>920</v>
      </c>
      <c r="CR324" t="s">
        <v>2924</v>
      </c>
      <c r="CS324" t="s">
        <v>135</v>
      </c>
      <c r="CT324" t="s">
        <v>2925</v>
      </c>
      <c r="CU324" t="s">
        <v>12173</v>
      </c>
      <c r="CW324" t="s">
        <v>5047</v>
      </c>
      <c r="CX324" t="s">
        <v>312</v>
      </c>
      <c r="CZ324" s="3" t="str">
        <f>"15001"</f>
        <v>15001</v>
      </c>
      <c r="DA324" t="s">
        <v>135</v>
      </c>
      <c r="DB324" t="str">
        <f>"37-3011"</f>
        <v>37-3011</v>
      </c>
      <c r="DC324" t="s">
        <v>920</v>
      </c>
      <c r="DD324" t="s">
        <v>134</v>
      </c>
      <c r="DE324" t="s">
        <v>134</v>
      </c>
      <c r="DF324" t="str">
        <f>""</f>
        <v/>
      </c>
      <c r="DH324" s="6">
        <v>14.66</v>
      </c>
      <c r="DI324" t="s">
        <v>344</v>
      </c>
      <c r="DK324" t="s">
        <v>345</v>
      </c>
      <c r="DS324" s="6">
        <v>14.66</v>
      </c>
      <c r="DT324" s="2" t="s">
        <v>347</v>
      </c>
      <c r="DU324" s="1">
        <v>44354</v>
      </c>
      <c r="DV324" s="1">
        <v>44443</v>
      </c>
    </row>
    <row r="325" spans="1:126" ht="15" customHeight="1" x14ac:dyDescent="0.35">
      <c r="A325" t="s">
        <v>11657</v>
      </c>
      <c r="B325" t="s">
        <v>318</v>
      </c>
      <c r="C325" s="1">
        <v>44327</v>
      </c>
      <c r="D325" s="1">
        <v>44356</v>
      </c>
      <c r="H325" t="s">
        <v>319</v>
      </c>
      <c r="I325" t="s">
        <v>408</v>
      </c>
      <c r="J325" t="s">
        <v>409</v>
      </c>
      <c r="L325" t="s">
        <v>395</v>
      </c>
      <c r="M325" t="s">
        <v>410</v>
      </c>
      <c r="O325" t="s">
        <v>411</v>
      </c>
      <c r="P325" t="s">
        <v>412</v>
      </c>
      <c r="Q325" s="3">
        <v>76244</v>
      </c>
      <c r="R325" t="s">
        <v>128</v>
      </c>
      <c r="T325" s="4">
        <v>18173796578</v>
      </c>
      <c r="V325" t="s">
        <v>134</v>
      </c>
      <c r="W325" t="s">
        <v>413</v>
      </c>
      <c r="Y325" t="s">
        <v>410</v>
      </c>
      <c r="AA325" t="s">
        <v>411</v>
      </c>
      <c r="AB325" t="s">
        <v>400</v>
      </c>
      <c r="AC325" s="3" t="str">
        <f>"76244"</f>
        <v>76244</v>
      </c>
      <c r="AD325" t="s">
        <v>128</v>
      </c>
      <c r="AF325" s="4">
        <v>18173796578</v>
      </c>
      <c r="AH325" t="str">
        <f>"23814"</f>
        <v>23814</v>
      </c>
      <c r="AI325" t="s">
        <v>287</v>
      </c>
      <c r="AJ325" t="s">
        <v>414</v>
      </c>
      <c r="AK325" t="s">
        <v>301</v>
      </c>
      <c r="AL325" t="s">
        <v>415</v>
      </c>
      <c r="AM325" t="s">
        <v>416</v>
      </c>
      <c r="AN325" t="s">
        <v>417</v>
      </c>
      <c r="AO325" t="s">
        <v>399</v>
      </c>
      <c r="AP325" t="s">
        <v>400</v>
      </c>
      <c r="AQ325" s="5">
        <v>75231</v>
      </c>
      <c r="AR325" t="s">
        <v>128</v>
      </c>
      <c r="AT325" s="4">
        <v>12145265665</v>
      </c>
      <c r="AV325" t="s">
        <v>418</v>
      </c>
      <c r="AW325" t="s">
        <v>419</v>
      </c>
      <c r="AX325" t="s">
        <v>131</v>
      </c>
      <c r="AY325" t="s">
        <v>131</v>
      </c>
      <c r="AZ325" t="s">
        <v>131</v>
      </c>
      <c r="BA325" t="s">
        <v>131</v>
      </c>
      <c r="BB325" t="s">
        <v>131</v>
      </c>
      <c r="BC325" t="s">
        <v>131</v>
      </c>
      <c r="BD325" t="s">
        <v>131</v>
      </c>
      <c r="BE325" t="s">
        <v>132</v>
      </c>
      <c r="BH325" t="s">
        <v>11658</v>
      </c>
      <c r="BI325" t="s">
        <v>131</v>
      </c>
      <c r="BL325" t="s">
        <v>167</v>
      </c>
      <c r="BO325" t="s">
        <v>131</v>
      </c>
      <c r="BP325" t="s">
        <v>134</v>
      </c>
      <c r="BQ325" t="s">
        <v>131</v>
      </c>
      <c r="BS325" t="str">
        <f t="shared" si="29"/>
        <v>N/A</v>
      </c>
      <c r="BT325" t="s">
        <v>135</v>
      </c>
      <c r="BU325">
        <v>3</v>
      </c>
      <c r="BV325" t="str">
        <f>"Refractory Materials Repairer."</f>
        <v>Refractory Materials Repairer.</v>
      </c>
      <c r="BW325" t="s">
        <v>135</v>
      </c>
      <c r="BX325" t="str">
        <f>""</f>
        <v/>
      </c>
      <c r="BY325" t="str">
        <f>""</f>
        <v/>
      </c>
      <c r="BZ325" t="str">
        <f>""</f>
        <v/>
      </c>
      <c r="CA325" s="2" t="s">
        <v>11659</v>
      </c>
      <c r="CB325" t="s">
        <v>131</v>
      </c>
      <c r="CF325" t="s">
        <v>131</v>
      </c>
      <c r="CH325" t="str">
        <f>""</f>
        <v/>
      </c>
      <c r="CI325" t="s">
        <v>131</v>
      </c>
      <c r="CK325" t="s">
        <v>131</v>
      </c>
      <c r="CL325" t="str">
        <f>""</f>
        <v/>
      </c>
      <c r="CM325" t="str">
        <f>""</f>
        <v/>
      </c>
      <c r="CN325" t="str">
        <f>""</f>
        <v/>
      </c>
      <c r="CO325" t="str">
        <f>""</f>
        <v/>
      </c>
      <c r="CP325" t="str">
        <f>"49-9045.00"</f>
        <v>49-9045.00</v>
      </c>
      <c r="CQ325" t="s">
        <v>11660</v>
      </c>
      <c r="CS325" t="s">
        <v>131</v>
      </c>
      <c r="CU325" t="s">
        <v>410</v>
      </c>
      <c r="CW325" t="s">
        <v>411</v>
      </c>
      <c r="CX325" t="s">
        <v>400</v>
      </c>
      <c r="CZ325" s="3" t="str">
        <f>"76244"</f>
        <v>76244</v>
      </c>
      <c r="DA325" t="s">
        <v>135</v>
      </c>
      <c r="DB325" t="str">
        <f>"49-9045"</f>
        <v>49-9045</v>
      </c>
      <c r="DC325" t="s">
        <v>11660</v>
      </c>
      <c r="DD325" t="s">
        <v>134</v>
      </c>
      <c r="DE325" t="s">
        <v>134</v>
      </c>
      <c r="DF325" t="str">
        <f>""</f>
        <v/>
      </c>
      <c r="DH325" s="6">
        <v>27.26</v>
      </c>
      <c r="DI325" t="s">
        <v>344</v>
      </c>
      <c r="DK325" t="s">
        <v>345</v>
      </c>
      <c r="DR325" t="s">
        <v>423</v>
      </c>
      <c r="DS325" s="6">
        <v>27.26</v>
      </c>
      <c r="DT325" t="s">
        <v>424</v>
      </c>
      <c r="DU325" s="1">
        <v>44356</v>
      </c>
      <c r="DV325" s="1">
        <v>44445</v>
      </c>
    </row>
    <row r="326" spans="1:126" ht="15" customHeight="1" x14ac:dyDescent="0.35">
      <c r="A326" t="s">
        <v>17932</v>
      </c>
      <c r="B326" t="s">
        <v>318</v>
      </c>
      <c r="C326" s="1">
        <v>44327</v>
      </c>
      <c r="D326" s="1">
        <v>44354</v>
      </c>
      <c r="H326" t="s">
        <v>319</v>
      </c>
      <c r="I326" t="s">
        <v>17933</v>
      </c>
      <c r="J326" t="s">
        <v>8188</v>
      </c>
      <c r="L326" t="s">
        <v>2754</v>
      </c>
      <c r="M326" t="s">
        <v>17934</v>
      </c>
      <c r="O326" t="s">
        <v>1759</v>
      </c>
      <c r="P326" t="s">
        <v>1760</v>
      </c>
      <c r="Q326" s="3">
        <v>70363</v>
      </c>
      <c r="R326" t="s">
        <v>128</v>
      </c>
      <c r="T326" s="4">
        <v>19858041178</v>
      </c>
      <c r="V326" t="s">
        <v>17935</v>
      </c>
      <c r="W326" t="s">
        <v>17936</v>
      </c>
      <c r="Y326" t="s">
        <v>17934</v>
      </c>
      <c r="AA326" t="s">
        <v>1759</v>
      </c>
      <c r="AB326" t="s">
        <v>1763</v>
      </c>
      <c r="AC326" s="3" t="str">
        <f>"70363"</f>
        <v>70363</v>
      </c>
      <c r="AD326" t="s">
        <v>128</v>
      </c>
      <c r="AF326" s="4">
        <v>19858041178</v>
      </c>
      <c r="AH326" t="str">
        <f>"114112"</f>
        <v>114112</v>
      </c>
      <c r="AI326" t="s">
        <v>130</v>
      </c>
      <c r="AJ326" t="s">
        <v>1764</v>
      </c>
      <c r="AK326" t="s">
        <v>1261</v>
      </c>
      <c r="AL326" t="s">
        <v>655</v>
      </c>
      <c r="AM326" t="s">
        <v>1765</v>
      </c>
      <c r="AO326" t="s">
        <v>1766</v>
      </c>
      <c r="AP326" t="s">
        <v>1763</v>
      </c>
      <c r="AQ326" s="5">
        <v>70130</v>
      </c>
      <c r="AR326" t="s">
        <v>128</v>
      </c>
      <c r="AT326" s="4">
        <v>15045861922</v>
      </c>
      <c r="AV326" t="s">
        <v>1767</v>
      </c>
      <c r="AW326" t="s">
        <v>1768</v>
      </c>
      <c r="AX326" t="s">
        <v>131</v>
      </c>
      <c r="AY326" t="s">
        <v>131</v>
      </c>
      <c r="AZ326" t="s">
        <v>131</v>
      </c>
      <c r="BA326" t="s">
        <v>131</v>
      </c>
      <c r="BB326" t="s">
        <v>131</v>
      </c>
      <c r="BC326" t="s">
        <v>131</v>
      </c>
      <c r="BD326" t="s">
        <v>131</v>
      </c>
      <c r="BE326" t="s">
        <v>132</v>
      </c>
      <c r="BH326" t="s">
        <v>1769</v>
      </c>
      <c r="BI326" t="s">
        <v>131</v>
      </c>
      <c r="BL326" t="s">
        <v>167</v>
      </c>
      <c r="BO326" t="s">
        <v>131</v>
      </c>
      <c r="BP326" t="s">
        <v>134</v>
      </c>
      <c r="BQ326" t="s">
        <v>131</v>
      </c>
      <c r="BS326" t="str">
        <f t="shared" si="29"/>
        <v>N/A</v>
      </c>
      <c r="BT326" t="s">
        <v>131</v>
      </c>
      <c r="BV326" t="str">
        <f>""</f>
        <v/>
      </c>
      <c r="BW326" t="s">
        <v>131</v>
      </c>
      <c r="BX326" t="str">
        <f>""</f>
        <v/>
      </c>
      <c r="BY326" t="str">
        <f>""</f>
        <v/>
      </c>
      <c r="BZ326" t="str">
        <f>""</f>
        <v/>
      </c>
      <c r="CA326" t="str">
        <f>""</f>
        <v/>
      </c>
      <c r="CB326" t="s">
        <v>131</v>
      </c>
      <c r="CF326" t="s">
        <v>131</v>
      </c>
      <c r="CH326" t="str">
        <f>""</f>
        <v/>
      </c>
      <c r="CI326" t="s">
        <v>131</v>
      </c>
      <c r="CK326" t="s">
        <v>131</v>
      </c>
      <c r="CL326" t="str">
        <f>""</f>
        <v/>
      </c>
      <c r="CM326" t="str">
        <f>""</f>
        <v/>
      </c>
      <c r="CN326" t="str">
        <f>""</f>
        <v/>
      </c>
      <c r="CO326" t="str">
        <f>""</f>
        <v/>
      </c>
      <c r="CP326" t="str">
        <f>"45-3011.00"</f>
        <v>45-3011.00</v>
      </c>
      <c r="CQ326" t="s">
        <v>1770</v>
      </c>
      <c r="CR326" t="s">
        <v>1771</v>
      </c>
      <c r="CS326" t="s">
        <v>131</v>
      </c>
      <c r="CU326" t="s">
        <v>17937</v>
      </c>
      <c r="CW326" t="s">
        <v>7413</v>
      </c>
      <c r="CX326" t="s">
        <v>400</v>
      </c>
      <c r="CZ326" s="3" t="str">
        <f>"77983"</f>
        <v>77983</v>
      </c>
      <c r="DA326" t="s">
        <v>131</v>
      </c>
      <c r="DB326" t="str">
        <f>"45-3011"</f>
        <v>45-3011</v>
      </c>
      <c r="DC326" t="s">
        <v>1770</v>
      </c>
      <c r="DD326" t="s">
        <v>134</v>
      </c>
      <c r="DE326" t="s">
        <v>134</v>
      </c>
      <c r="DF326" t="str">
        <f>""</f>
        <v/>
      </c>
      <c r="DH326" s="6">
        <v>14.29</v>
      </c>
      <c r="DI326" t="s">
        <v>344</v>
      </c>
      <c r="DK326" t="s">
        <v>345</v>
      </c>
      <c r="DR326" t="s">
        <v>15675</v>
      </c>
      <c r="DS326" s="6">
        <v>14.29</v>
      </c>
      <c r="DT326" t="s">
        <v>424</v>
      </c>
      <c r="DU326" s="1">
        <v>44354</v>
      </c>
      <c r="DV326" s="1">
        <v>44443</v>
      </c>
    </row>
    <row r="327" spans="1:126" ht="15" customHeight="1" x14ac:dyDescent="0.35">
      <c r="A327" t="s">
        <v>6297</v>
      </c>
      <c r="B327" t="s">
        <v>318</v>
      </c>
      <c r="C327" s="1">
        <v>44327</v>
      </c>
      <c r="D327" s="1">
        <v>44354</v>
      </c>
      <c r="H327" t="s">
        <v>319</v>
      </c>
      <c r="I327" t="s">
        <v>1319</v>
      </c>
      <c r="J327" t="s">
        <v>3832</v>
      </c>
      <c r="L327" t="s">
        <v>907</v>
      </c>
      <c r="M327" t="s">
        <v>5229</v>
      </c>
      <c r="O327" t="s">
        <v>5230</v>
      </c>
      <c r="P327" t="s">
        <v>226</v>
      </c>
      <c r="Q327" s="3">
        <v>46074</v>
      </c>
      <c r="R327" t="s">
        <v>128</v>
      </c>
      <c r="T327" s="4">
        <v>13178673112</v>
      </c>
      <c r="V327" t="s">
        <v>134</v>
      </c>
      <c r="W327" t="s">
        <v>6298</v>
      </c>
      <c r="Y327" t="s">
        <v>5229</v>
      </c>
      <c r="AA327" t="s">
        <v>5230</v>
      </c>
      <c r="AB327" t="s">
        <v>229</v>
      </c>
      <c r="AC327" s="3" t="str">
        <f>"46074"</f>
        <v>46074</v>
      </c>
      <c r="AD327" t="s">
        <v>128</v>
      </c>
      <c r="AF327" s="4">
        <v>13178673112</v>
      </c>
      <c r="AH327" t="str">
        <f>"56173"</f>
        <v>56173</v>
      </c>
      <c r="AI327" t="s">
        <v>287</v>
      </c>
      <c r="AJ327" t="s">
        <v>2917</v>
      </c>
      <c r="AK327" t="s">
        <v>2918</v>
      </c>
      <c r="AL327" t="s">
        <v>387</v>
      </c>
      <c r="AM327" t="s">
        <v>3772</v>
      </c>
      <c r="AO327" t="s">
        <v>6299</v>
      </c>
      <c r="AP327" t="s">
        <v>306</v>
      </c>
      <c r="AQ327" s="5">
        <v>22903</v>
      </c>
      <c r="AR327" t="s">
        <v>128</v>
      </c>
      <c r="AT327" s="4">
        <v>14342634300</v>
      </c>
      <c r="AV327" t="s">
        <v>4374</v>
      </c>
      <c r="AW327" t="s">
        <v>2923</v>
      </c>
      <c r="AX327" t="s">
        <v>131</v>
      </c>
      <c r="AY327" t="s">
        <v>131</v>
      </c>
      <c r="AZ327" t="s">
        <v>131</v>
      </c>
      <c r="BA327" t="s">
        <v>131</v>
      </c>
      <c r="BB327" t="s">
        <v>131</v>
      </c>
      <c r="BC327" t="s">
        <v>131</v>
      </c>
      <c r="BD327" t="s">
        <v>131</v>
      </c>
      <c r="BE327" t="s">
        <v>132</v>
      </c>
      <c r="BH327" t="s">
        <v>6300</v>
      </c>
      <c r="BI327" t="s">
        <v>131</v>
      </c>
      <c r="BL327" t="s">
        <v>167</v>
      </c>
      <c r="BO327" t="s">
        <v>131</v>
      </c>
      <c r="BP327" t="s">
        <v>134</v>
      </c>
      <c r="BQ327" t="s">
        <v>131</v>
      </c>
      <c r="BS327" t="str">
        <f t="shared" si="29"/>
        <v>N/A</v>
      </c>
      <c r="BT327" t="s">
        <v>135</v>
      </c>
      <c r="BU327">
        <v>3</v>
      </c>
      <c r="BV327" t="str">
        <f>"Requires three months of previous landscape experience."</f>
        <v>Requires three months of previous landscape experience.</v>
      </c>
      <c r="BW327" t="s">
        <v>135</v>
      </c>
      <c r="BX327" t="str">
        <f>""</f>
        <v/>
      </c>
      <c r="BY327" t="str">
        <f>""</f>
        <v/>
      </c>
      <c r="BZ327" t="str">
        <f>""</f>
        <v/>
      </c>
      <c r="CA327" t="s">
        <v>6301</v>
      </c>
      <c r="CB327" t="s">
        <v>131</v>
      </c>
      <c r="CF327" t="s">
        <v>131</v>
      </c>
      <c r="CH327" t="str">
        <f>""</f>
        <v/>
      </c>
      <c r="CI327" t="s">
        <v>131</v>
      </c>
      <c r="CK327" t="s">
        <v>131</v>
      </c>
      <c r="CL327" t="str">
        <f>""</f>
        <v/>
      </c>
      <c r="CM327" t="str">
        <f>""</f>
        <v/>
      </c>
      <c r="CN327" t="str">
        <f>""</f>
        <v/>
      </c>
      <c r="CO327" t="str">
        <f>""</f>
        <v/>
      </c>
      <c r="CP327" t="str">
        <f>"37-3011.00"</f>
        <v>37-3011.00</v>
      </c>
      <c r="CQ327" t="s">
        <v>920</v>
      </c>
      <c r="CR327" t="s">
        <v>3086</v>
      </c>
      <c r="CS327" t="s">
        <v>135</v>
      </c>
      <c r="CT327" t="s">
        <v>2925</v>
      </c>
      <c r="CU327" t="s">
        <v>5229</v>
      </c>
      <c r="CW327" t="s">
        <v>5230</v>
      </c>
      <c r="CX327" t="s">
        <v>229</v>
      </c>
      <c r="CZ327" s="3" t="str">
        <f>"46074"</f>
        <v>46074</v>
      </c>
      <c r="DA327" t="s">
        <v>135</v>
      </c>
      <c r="DB327" t="str">
        <f>"37-3011"</f>
        <v>37-3011</v>
      </c>
      <c r="DC327" t="s">
        <v>920</v>
      </c>
      <c r="DD327" t="s">
        <v>134</v>
      </c>
      <c r="DE327" t="s">
        <v>134</v>
      </c>
      <c r="DF327" t="str">
        <f>""</f>
        <v/>
      </c>
      <c r="DH327" s="6">
        <v>15.51</v>
      </c>
      <c r="DI327" t="s">
        <v>344</v>
      </c>
      <c r="DK327" t="s">
        <v>345</v>
      </c>
      <c r="DS327" s="6">
        <v>15.51</v>
      </c>
      <c r="DT327" s="2" t="s">
        <v>347</v>
      </c>
      <c r="DU327" s="1">
        <v>44354</v>
      </c>
      <c r="DV327" s="1">
        <v>44443</v>
      </c>
    </row>
    <row r="328" spans="1:126" ht="15" customHeight="1" x14ac:dyDescent="0.35">
      <c r="A328" t="s">
        <v>6155</v>
      </c>
      <c r="B328" t="s">
        <v>318</v>
      </c>
      <c r="C328" s="1">
        <v>44327</v>
      </c>
      <c r="D328" s="1">
        <v>44356</v>
      </c>
      <c r="H328" t="s">
        <v>319</v>
      </c>
      <c r="I328" t="s">
        <v>2414</v>
      </c>
      <c r="J328" t="s">
        <v>6156</v>
      </c>
      <c r="L328" t="s">
        <v>628</v>
      </c>
      <c r="M328" t="s">
        <v>6157</v>
      </c>
      <c r="O328" t="s">
        <v>6158</v>
      </c>
      <c r="P328" t="s">
        <v>194</v>
      </c>
      <c r="Q328" s="3">
        <v>33140</v>
      </c>
      <c r="R328" t="s">
        <v>128</v>
      </c>
      <c r="T328" s="4">
        <v>17863691539</v>
      </c>
      <c r="V328" t="s">
        <v>6159</v>
      </c>
      <c r="W328" t="s">
        <v>6160</v>
      </c>
      <c r="Y328" t="s">
        <v>6157</v>
      </c>
      <c r="AA328" t="s">
        <v>6158</v>
      </c>
      <c r="AB328" t="s">
        <v>195</v>
      </c>
      <c r="AC328" s="3" t="str">
        <f>"33140"</f>
        <v>33140</v>
      </c>
      <c r="AD328" t="s">
        <v>128</v>
      </c>
      <c r="AF328" s="4">
        <v>17863691539</v>
      </c>
      <c r="AH328" t="str">
        <f>"721110"</f>
        <v>721110</v>
      </c>
      <c r="AI328" t="s">
        <v>130</v>
      </c>
      <c r="AJ328" t="s">
        <v>3252</v>
      </c>
      <c r="AK328" t="s">
        <v>3253</v>
      </c>
      <c r="AL328" t="s">
        <v>589</v>
      </c>
      <c r="AM328" t="s">
        <v>3254</v>
      </c>
      <c r="AO328" t="s">
        <v>3255</v>
      </c>
      <c r="AP328" t="s">
        <v>779</v>
      </c>
      <c r="AQ328" s="5">
        <v>37110</v>
      </c>
      <c r="AR328" t="s">
        <v>128</v>
      </c>
      <c r="AT328" s="4">
        <v>19312747811</v>
      </c>
      <c r="AV328" t="s">
        <v>3256</v>
      </c>
      <c r="AW328" t="s">
        <v>3257</v>
      </c>
      <c r="AX328" t="s">
        <v>131</v>
      </c>
      <c r="AY328" t="s">
        <v>131</v>
      </c>
      <c r="AZ328" t="s">
        <v>131</v>
      </c>
      <c r="BA328" t="s">
        <v>131</v>
      </c>
      <c r="BB328" t="s">
        <v>131</v>
      </c>
      <c r="BC328" t="s">
        <v>131</v>
      </c>
      <c r="BD328" t="s">
        <v>131</v>
      </c>
      <c r="BE328" t="s">
        <v>132</v>
      </c>
      <c r="BH328" t="s">
        <v>6161</v>
      </c>
      <c r="BI328" t="s">
        <v>131</v>
      </c>
      <c r="BL328" t="s">
        <v>167</v>
      </c>
      <c r="BO328" t="s">
        <v>131</v>
      </c>
      <c r="BP328" t="s">
        <v>134</v>
      </c>
      <c r="BQ328" t="s">
        <v>131</v>
      </c>
      <c r="BS328" t="str">
        <f t="shared" si="29"/>
        <v>N/A</v>
      </c>
      <c r="BT328" t="s">
        <v>131</v>
      </c>
      <c r="BV328" t="str">
        <f>""</f>
        <v/>
      </c>
      <c r="BW328" t="s">
        <v>135</v>
      </c>
      <c r="BX328" t="str">
        <f>""</f>
        <v/>
      </c>
      <c r="BY328" t="str">
        <f>""</f>
        <v/>
      </c>
      <c r="BZ328" t="str">
        <f>""</f>
        <v/>
      </c>
      <c r="CA328" t="str">
        <f>"Must be able to push, stand, stoop, bend, and lift items weighing up to 25 pounds repetitively during entire shift."</f>
        <v>Must be able to push, stand, stoop, bend, and lift items weighing up to 25 pounds repetitively during entire shift.</v>
      </c>
      <c r="CB328" t="s">
        <v>131</v>
      </c>
      <c r="CF328" t="s">
        <v>131</v>
      </c>
      <c r="CH328" t="str">
        <f>""</f>
        <v/>
      </c>
      <c r="CI328" t="s">
        <v>131</v>
      </c>
      <c r="CK328" t="s">
        <v>131</v>
      </c>
      <c r="CL328" t="str">
        <f>""</f>
        <v/>
      </c>
      <c r="CM328" t="str">
        <f>""</f>
        <v/>
      </c>
      <c r="CN328" t="str">
        <f>""</f>
        <v/>
      </c>
      <c r="CO328" t="str">
        <f>""</f>
        <v/>
      </c>
      <c r="CP328" t="str">
        <f>"37-2012.00"</f>
        <v>37-2012.00</v>
      </c>
      <c r="CQ328" t="s">
        <v>479</v>
      </c>
      <c r="CS328" t="s">
        <v>131</v>
      </c>
      <c r="CU328" t="s">
        <v>6157</v>
      </c>
      <c r="CW328" t="s">
        <v>6158</v>
      </c>
      <c r="CX328" t="s">
        <v>195</v>
      </c>
      <c r="CZ328" s="3" t="str">
        <f>"33140"</f>
        <v>33140</v>
      </c>
      <c r="DA328" t="s">
        <v>135</v>
      </c>
      <c r="DB328" t="str">
        <f>"37-2012"</f>
        <v>37-2012</v>
      </c>
      <c r="DC328" t="s">
        <v>479</v>
      </c>
      <c r="DD328" t="s">
        <v>134</v>
      </c>
      <c r="DE328" t="s">
        <v>134</v>
      </c>
      <c r="DF328" t="str">
        <f>""</f>
        <v/>
      </c>
      <c r="DH328" s="6">
        <v>11.7</v>
      </c>
      <c r="DI328" t="s">
        <v>344</v>
      </c>
      <c r="DK328" t="s">
        <v>345</v>
      </c>
      <c r="DR328" t="s">
        <v>2160</v>
      </c>
      <c r="DS328" s="6">
        <v>11.7</v>
      </c>
      <c r="DT328" t="s">
        <v>424</v>
      </c>
      <c r="DU328" s="1">
        <v>44356</v>
      </c>
      <c r="DV328" s="1">
        <v>44445</v>
      </c>
    </row>
    <row r="329" spans="1:126" ht="15" customHeight="1" x14ac:dyDescent="0.35">
      <c r="A329" t="s">
        <v>16316</v>
      </c>
      <c r="B329" t="s">
        <v>318</v>
      </c>
      <c r="C329" s="1">
        <v>44327</v>
      </c>
      <c r="D329" s="1">
        <v>44354</v>
      </c>
      <c r="H329" t="s">
        <v>319</v>
      </c>
      <c r="I329" t="s">
        <v>3518</v>
      </c>
      <c r="J329" t="s">
        <v>3519</v>
      </c>
      <c r="L329" t="s">
        <v>3767</v>
      </c>
      <c r="M329" t="s">
        <v>16134</v>
      </c>
      <c r="O329" t="s">
        <v>3521</v>
      </c>
      <c r="P329" t="s">
        <v>1760</v>
      </c>
      <c r="Q329" s="3">
        <v>70001</v>
      </c>
      <c r="R329" t="s">
        <v>128</v>
      </c>
      <c r="T329" s="4">
        <v>19858763799</v>
      </c>
      <c r="V329" t="s">
        <v>16135</v>
      </c>
      <c r="W329" t="s">
        <v>16317</v>
      </c>
      <c r="Y329" t="s">
        <v>16134</v>
      </c>
      <c r="AA329" t="s">
        <v>3521</v>
      </c>
      <c r="AB329" t="s">
        <v>1763</v>
      </c>
      <c r="AC329" s="3" t="str">
        <f>"70001"</f>
        <v>70001</v>
      </c>
      <c r="AD329" t="s">
        <v>128</v>
      </c>
      <c r="AF329" s="4">
        <v>19858763799</v>
      </c>
      <c r="AH329" t="str">
        <f>"114112"</f>
        <v>114112</v>
      </c>
      <c r="AI329" t="s">
        <v>130</v>
      </c>
      <c r="AJ329" t="s">
        <v>1764</v>
      </c>
      <c r="AK329" t="s">
        <v>1261</v>
      </c>
      <c r="AL329" t="s">
        <v>655</v>
      </c>
      <c r="AM329" t="s">
        <v>1765</v>
      </c>
      <c r="AO329" t="s">
        <v>1766</v>
      </c>
      <c r="AP329" t="s">
        <v>1763</v>
      </c>
      <c r="AQ329" s="5">
        <v>70130</v>
      </c>
      <c r="AR329" t="s">
        <v>128</v>
      </c>
      <c r="AT329" s="4">
        <v>15045861922</v>
      </c>
      <c r="AV329" t="s">
        <v>1767</v>
      </c>
      <c r="AW329" t="s">
        <v>1768</v>
      </c>
      <c r="AX329" t="s">
        <v>131</v>
      </c>
      <c r="AY329" t="s">
        <v>131</v>
      </c>
      <c r="AZ329" t="s">
        <v>131</v>
      </c>
      <c r="BA329" t="s">
        <v>131</v>
      </c>
      <c r="BB329" t="s">
        <v>131</v>
      </c>
      <c r="BC329" t="s">
        <v>131</v>
      </c>
      <c r="BD329" t="s">
        <v>131</v>
      </c>
      <c r="BE329" t="s">
        <v>132</v>
      </c>
      <c r="BH329" t="s">
        <v>1769</v>
      </c>
      <c r="BI329" t="s">
        <v>131</v>
      </c>
      <c r="BL329" t="s">
        <v>167</v>
      </c>
      <c r="BO329" t="s">
        <v>131</v>
      </c>
      <c r="BP329" t="s">
        <v>134</v>
      </c>
      <c r="BQ329" t="s">
        <v>131</v>
      </c>
      <c r="BS329" t="str">
        <f t="shared" si="29"/>
        <v>N/A</v>
      </c>
      <c r="BT329" t="s">
        <v>131</v>
      </c>
      <c r="BV329" t="str">
        <f>""</f>
        <v/>
      </c>
      <c r="BW329" t="s">
        <v>131</v>
      </c>
      <c r="BX329" t="str">
        <f>""</f>
        <v/>
      </c>
      <c r="BY329" t="str">
        <f>""</f>
        <v/>
      </c>
      <c r="BZ329" t="str">
        <f>""</f>
        <v/>
      </c>
      <c r="CA329" t="str">
        <f>""</f>
        <v/>
      </c>
      <c r="CB329" t="s">
        <v>131</v>
      </c>
      <c r="CF329" t="s">
        <v>131</v>
      </c>
      <c r="CH329" t="str">
        <f>""</f>
        <v/>
      </c>
      <c r="CI329" t="s">
        <v>131</v>
      </c>
      <c r="CK329" t="s">
        <v>131</v>
      </c>
      <c r="CL329" t="str">
        <f>""</f>
        <v/>
      </c>
      <c r="CM329" t="str">
        <f>""</f>
        <v/>
      </c>
      <c r="CN329" t="str">
        <f>""</f>
        <v/>
      </c>
      <c r="CO329" t="str">
        <f>""</f>
        <v/>
      </c>
      <c r="CP329" t="str">
        <f>"45-3011.00"</f>
        <v>45-3011.00</v>
      </c>
      <c r="CQ329" t="s">
        <v>1770</v>
      </c>
      <c r="CR329" t="s">
        <v>1771</v>
      </c>
      <c r="CS329" t="s">
        <v>131</v>
      </c>
      <c r="CU329" t="s">
        <v>7412</v>
      </c>
      <c r="CW329" t="s">
        <v>7413</v>
      </c>
      <c r="CX329" t="s">
        <v>400</v>
      </c>
      <c r="CZ329" s="3" t="str">
        <f>"77983"</f>
        <v>77983</v>
      </c>
      <c r="DA329" t="s">
        <v>135</v>
      </c>
      <c r="DB329" t="str">
        <f>"45-3011"</f>
        <v>45-3011</v>
      </c>
      <c r="DC329" t="s">
        <v>1770</v>
      </c>
      <c r="DD329" t="s">
        <v>134</v>
      </c>
      <c r="DE329" t="s">
        <v>134</v>
      </c>
      <c r="DF329" t="str">
        <f>""</f>
        <v/>
      </c>
      <c r="DH329" s="6">
        <v>14.29</v>
      </c>
      <c r="DI329" t="s">
        <v>344</v>
      </c>
      <c r="DK329" t="s">
        <v>345</v>
      </c>
      <c r="DR329" t="s">
        <v>15675</v>
      </c>
      <c r="DS329" s="6">
        <v>14.29</v>
      </c>
      <c r="DT329" t="s">
        <v>424</v>
      </c>
      <c r="DU329" s="1">
        <v>44354</v>
      </c>
      <c r="DV329" s="1">
        <v>44443</v>
      </c>
    </row>
    <row r="330" spans="1:126" ht="15" customHeight="1" x14ac:dyDescent="0.35">
      <c r="A330" t="s">
        <v>15177</v>
      </c>
      <c r="B330" t="s">
        <v>318</v>
      </c>
      <c r="C330" s="1">
        <v>44327</v>
      </c>
      <c r="D330" s="1">
        <v>44356</v>
      </c>
      <c r="H330" t="s">
        <v>319</v>
      </c>
      <c r="I330" t="s">
        <v>2414</v>
      </c>
      <c r="J330" t="s">
        <v>6156</v>
      </c>
      <c r="L330" t="s">
        <v>2076</v>
      </c>
      <c r="M330" t="s">
        <v>6157</v>
      </c>
      <c r="O330" t="s">
        <v>6158</v>
      </c>
      <c r="P330" t="s">
        <v>194</v>
      </c>
      <c r="Q330" s="3">
        <v>33140</v>
      </c>
      <c r="R330" t="s">
        <v>128</v>
      </c>
      <c r="T330" s="4">
        <v>17863691539</v>
      </c>
      <c r="V330" t="s">
        <v>15178</v>
      </c>
      <c r="W330" t="s">
        <v>15179</v>
      </c>
      <c r="Y330" t="s">
        <v>6157</v>
      </c>
      <c r="AA330" t="s">
        <v>6158</v>
      </c>
      <c r="AB330" t="s">
        <v>195</v>
      </c>
      <c r="AC330" s="3" t="str">
        <f>"33140"</f>
        <v>33140</v>
      </c>
      <c r="AD330" t="s">
        <v>128</v>
      </c>
      <c r="AF330" s="4">
        <v>17863691539</v>
      </c>
      <c r="AH330" t="str">
        <f>"721110"</f>
        <v>721110</v>
      </c>
      <c r="AI330" t="s">
        <v>130</v>
      </c>
      <c r="AJ330" t="s">
        <v>3252</v>
      </c>
      <c r="AK330" t="s">
        <v>3253</v>
      </c>
      <c r="AL330" t="s">
        <v>589</v>
      </c>
      <c r="AM330" t="s">
        <v>3254</v>
      </c>
      <c r="AO330" t="s">
        <v>3255</v>
      </c>
      <c r="AP330" t="s">
        <v>779</v>
      </c>
      <c r="AQ330" s="5">
        <v>37110</v>
      </c>
      <c r="AR330" t="s">
        <v>128</v>
      </c>
      <c r="AT330" s="4">
        <v>19312747811</v>
      </c>
      <c r="AV330" t="s">
        <v>3256</v>
      </c>
      <c r="AW330" t="s">
        <v>3257</v>
      </c>
      <c r="AX330" t="s">
        <v>131</v>
      </c>
      <c r="AY330" t="s">
        <v>131</v>
      </c>
      <c r="AZ330" t="s">
        <v>131</v>
      </c>
      <c r="BA330" t="s">
        <v>131</v>
      </c>
      <c r="BB330" t="s">
        <v>131</v>
      </c>
      <c r="BC330" t="s">
        <v>131</v>
      </c>
      <c r="BD330" t="s">
        <v>131</v>
      </c>
      <c r="BE330" t="s">
        <v>132</v>
      </c>
      <c r="BH330" t="s">
        <v>6161</v>
      </c>
      <c r="BI330" t="s">
        <v>131</v>
      </c>
      <c r="BL330" t="s">
        <v>167</v>
      </c>
      <c r="BO330" t="s">
        <v>131</v>
      </c>
      <c r="BP330" t="s">
        <v>134</v>
      </c>
      <c r="BQ330" t="s">
        <v>131</v>
      </c>
      <c r="BS330" t="str">
        <f t="shared" si="29"/>
        <v>N/A</v>
      </c>
      <c r="BT330" t="s">
        <v>131</v>
      </c>
      <c r="BV330" t="str">
        <f>""</f>
        <v/>
      </c>
      <c r="BW330" t="s">
        <v>135</v>
      </c>
      <c r="BX330" t="str">
        <f>""</f>
        <v/>
      </c>
      <c r="BY330" t="str">
        <f>""</f>
        <v/>
      </c>
      <c r="BZ330" t="str">
        <f>""</f>
        <v/>
      </c>
      <c r="CA330" t="str">
        <f>"MUST BE ABLE TO PUSH, STAND, STOOP, BEND, AND LIFT ITEMS WEIGHING UP TO 25 POUNDS REPETITIVELY DURING ENTIRE SHIFT"</f>
        <v>MUST BE ABLE TO PUSH, STAND, STOOP, BEND, AND LIFT ITEMS WEIGHING UP TO 25 POUNDS REPETITIVELY DURING ENTIRE SHIFT</v>
      </c>
      <c r="CB330" t="s">
        <v>131</v>
      </c>
      <c r="CF330" t="s">
        <v>131</v>
      </c>
      <c r="CH330" t="str">
        <f>""</f>
        <v/>
      </c>
      <c r="CI330" t="s">
        <v>131</v>
      </c>
      <c r="CK330" t="s">
        <v>131</v>
      </c>
      <c r="CL330" t="str">
        <f>""</f>
        <v/>
      </c>
      <c r="CM330" t="str">
        <f>""</f>
        <v/>
      </c>
      <c r="CN330" t="str">
        <f>""</f>
        <v/>
      </c>
      <c r="CO330" t="str">
        <f>""</f>
        <v/>
      </c>
      <c r="CP330" t="str">
        <f>"37-2012.00"</f>
        <v>37-2012.00</v>
      </c>
      <c r="CQ330" t="s">
        <v>479</v>
      </c>
      <c r="CS330" t="s">
        <v>131</v>
      </c>
      <c r="CU330" t="s">
        <v>6157</v>
      </c>
      <c r="CW330" t="s">
        <v>6158</v>
      </c>
      <c r="CX330" t="s">
        <v>195</v>
      </c>
      <c r="CZ330" s="3" t="str">
        <f>"33140"</f>
        <v>33140</v>
      </c>
      <c r="DA330" t="s">
        <v>131</v>
      </c>
      <c r="DB330" t="str">
        <f>"37-2012"</f>
        <v>37-2012</v>
      </c>
      <c r="DC330" t="s">
        <v>479</v>
      </c>
      <c r="DD330" t="s">
        <v>134</v>
      </c>
      <c r="DE330" t="s">
        <v>134</v>
      </c>
      <c r="DF330" t="str">
        <f>""</f>
        <v/>
      </c>
      <c r="DH330" s="6">
        <v>11.7</v>
      </c>
      <c r="DI330" t="s">
        <v>344</v>
      </c>
      <c r="DK330" t="s">
        <v>345</v>
      </c>
      <c r="DR330" t="s">
        <v>2160</v>
      </c>
      <c r="DS330" s="6">
        <v>11.7</v>
      </c>
      <c r="DT330" t="s">
        <v>424</v>
      </c>
      <c r="DU330" s="1">
        <v>44356</v>
      </c>
      <c r="DV330" s="1">
        <v>44445</v>
      </c>
    </row>
    <row r="331" spans="1:126" ht="15" customHeight="1" x14ac:dyDescent="0.35">
      <c r="A331" t="s">
        <v>1754</v>
      </c>
      <c r="B331" t="s">
        <v>318</v>
      </c>
      <c r="C331" s="1">
        <v>44327</v>
      </c>
      <c r="D331" s="1">
        <v>44354</v>
      </c>
      <c r="H331" t="s">
        <v>319</v>
      </c>
      <c r="I331" t="s">
        <v>1755</v>
      </c>
      <c r="J331" t="s">
        <v>1756</v>
      </c>
      <c r="L331" t="s">
        <v>1757</v>
      </c>
      <c r="M331" t="s">
        <v>1758</v>
      </c>
      <c r="O331" t="s">
        <v>1759</v>
      </c>
      <c r="P331" t="s">
        <v>1760</v>
      </c>
      <c r="Q331" s="3">
        <v>70363</v>
      </c>
      <c r="R331" t="s">
        <v>128</v>
      </c>
      <c r="T331" s="4">
        <v>19858567645</v>
      </c>
      <c r="V331" t="s">
        <v>1761</v>
      </c>
      <c r="W331" t="s">
        <v>1762</v>
      </c>
      <c r="Y331" t="s">
        <v>1758</v>
      </c>
      <c r="AA331" t="s">
        <v>1759</v>
      </c>
      <c r="AB331" t="s">
        <v>1763</v>
      </c>
      <c r="AC331" s="3" t="str">
        <f>"70363"</f>
        <v>70363</v>
      </c>
      <c r="AD331" t="s">
        <v>128</v>
      </c>
      <c r="AF331" s="4">
        <v>19858567465</v>
      </c>
      <c r="AH331" t="str">
        <f>"114112"</f>
        <v>114112</v>
      </c>
      <c r="AI331" t="s">
        <v>130</v>
      </c>
      <c r="AJ331" t="s">
        <v>1764</v>
      </c>
      <c r="AK331" t="s">
        <v>1261</v>
      </c>
      <c r="AL331" t="s">
        <v>655</v>
      </c>
      <c r="AM331" t="s">
        <v>1765</v>
      </c>
      <c r="AO331" t="s">
        <v>1766</v>
      </c>
      <c r="AP331" t="s">
        <v>1763</v>
      </c>
      <c r="AQ331" s="5">
        <v>70130</v>
      </c>
      <c r="AR331" t="s">
        <v>128</v>
      </c>
      <c r="AT331" s="4">
        <v>15045861922</v>
      </c>
      <c r="AV331" t="s">
        <v>1767</v>
      </c>
      <c r="AW331" t="s">
        <v>1768</v>
      </c>
      <c r="AX331" t="s">
        <v>131</v>
      </c>
      <c r="AY331" t="s">
        <v>131</v>
      </c>
      <c r="AZ331" t="s">
        <v>131</v>
      </c>
      <c r="BA331" t="s">
        <v>131</v>
      </c>
      <c r="BB331" t="s">
        <v>131</v>
      </c>
      <c r="BC331" t="s">
        <v>131</v>
      </c>
      <c r="BD331" t="s">
        <v>131</v>
      </c>
      <c r="BE331" t="s">
        <v>132</v>
      </c>
      <c r="BH331" t="s">
        <v>1769</v>
      </c>
      <c r="BI331" t="s">
        <v>131</v>
      </c>
      <c r="BL331" t="s">
        <v>167</v>
      </c>
      <c r="BO331" t="s">
        <v>131</v>
      </c>
      <c r="BP331" t="s">
        <v>134</v>
      </c>
      <c r="BQ331" t="s">
        <v>131</v>
      </c>
      <c r="BS331" t="str">
        <f t="shared" si="29"/>
        <v>N/A</v>
      </c>
      <c r="BT331" t="s">
        <v>131</v>
      </c>
      <c r="BV331" t="str">
        <f>""</f>
        <v/>
      </c>
      <c r="BW331" t="s">
        <v>131</v>
      </c>
      <c r="BX331" t="str">
        <f>""</f>
        <v/>
      </c>
      <c r="BY331" t="str">
        <f>""</f>
        <v/>
      </c>
      <c r="BZ331" t="str">
        <f>""</f>
        <v/>
      </c>
      <c r="CA331" t="str">
        <f>""</f>
        <v/>
      </c>
      <c r="CB331" t="s">
        <v>131</v>
      </c>
      <c r="CF331" t="s">
        <v>131</v>
      </c>
      <c r="CH331" t="str">
        <f>""</f>
        <v/>
      </c>
      <c r="CI331" t="s">
        <v>131</v>
      </c>
      <c r="CK331" t="s">
        <v>131</v>
      </c>
      <c r="CL331" t="str">
        <f>""</f>
        <v/>
      </c>
      <c r="CM331" t="str">
        <f>""</f>
        <v/>
      </c>
      <c r="CN331" t="str">
        <f>""</f>
        <v/>
      </c>
      <c r="CO331" t="str">
        <f>""</f>
        <v/>
      </c>
      <c r="CP331" t="str">
        <f>"45-3011.00"</f>
        <v>45-3011.00</v>
      </c>
      <c r="CQ331" t="s">
        <v>1770</v>
      </c>
      <c r="CR331" t="s">
        <v>1771</v>
      </c>
      <c r="CS331" t="s">
        <v>131</v>
      </c>
      <c r="CU331" t="s">
        <v>1772</v>
      </c>
      <c r="CW331" t="s">
        <v>1773</v>
      </c>
      <c r="CX331" t="s">
        <v>1763</v>
      </c>
      <c r="CZ331" s="3" t="str">
        <f>"70344"</f>
        <v>70344</v>
      </c>
      <c r="DA331" t="s">
        <v>135</v>
      </c>
      <c r="DB331" t="str">
        <f>"45-3011"</f>
        <v>45-3011</v>
      </c>
      <c r="DC331" t="s">
        <v>1770</v>
      </c>
      <c r="DD331" t="s">
        <v>134</v>
      </c>
      <c r="DE331" t="s">
        <v>134</v>
      </c>
      <c r="DF331" t="str">
        <f>""</f>
        <v/>
      </c>
      <c r="DH331" s="6">
        <v>23.69</v>
      </c>
      <c r="DI331" t="s">
        <v>344</v>
      </c>
      <c r="DK331" t="s">
        <v>345</v>
      </c>
      <c r="DR331" t="s">
        <v>1774</v>
      </c>
      <c r="DS331" s="6">
        <v>23.69</v>
      </c>
      <c r="DT331" t="s">
        <v>424</v>
      </c>
      <c r="DU331" s="1">
        <v>44354</v>
      </c>
      <c r="DV331" s="1">
        <v>44443</v>
      </c>
    </row>
    <row r="332" spans="1:126" ht="15" customHeight="1" x14ac:dyDescent="0.35">
      <c r="A332" t="s">
        <v>9882</v>
      </c>
      <c r="B332" t="s">
        <v>318</v>
      </c>
      <c r="C332" s="1">
        <v>44327</v>
      </c>
      <c r="D332" s="1">
        <v>44354</v>
      </c>
      <c r="H332" t="s">
        <v>319</v>
      </c>
      <c r="I332" t="s">
        <v>1448</v>
      </c>
      <c r="J332" t="s">
        <v>1846</v>
      </c>
      <c r="L332" t="s">
        <v>907</v>
      </c>
      <c r="M332" t="s">
        <v>9883</v>
      </c>
      <c r="N332" t="s">
        <v>9884</v>
      </c>
      <c r="O332" t="s">
        <v>600</v>
      </c>
      <c r="P332" t="s">
        <v>593</v>
      </c>
      <c r="Q332" s="3">
        <v>28217</v>
      </c>
      <c r="R332" t="s">
        <v>128</v>
      </c>
      <c r="T332" s="4">
        <v>17049323348</v>
      </c>
      <c r="V332" t="s">
        <v>134</v>
      </c>
      <c r="W332" t="s">
        <v>9885</v>
      </c>
      <c r="X332" t="s">
        <v>9886</v>
      </c>
      <c r="Y332" t="s">
        <v>9883</v>
      </c>
      <c r="Z332" t="s">
        <v>9884</v>
      </c>
      <c r="AA332" t="s">
        <v>600</v>
      </c>
      <c r="AB332" t="s">
        <v>594</v>
      </c>
      <c r="AC332" s="3" t="str">
        <f>"28217"</f>
        <v>28217</v>
      </c>
      <c r="AD332" t="s">
        <v>128</v>
      </c>
      <c r="AF332" s="4">
        <v>17049323348</v>
      </c>
      <c r="AH332" t="str">
        <f>"56173"</f>
        <v>56173</v>
      </c>
      <c r="AI332" t="s">
        <v>287</v>
      </c>
      <c r="AJ332" t="s">
        <v>2917</v>
      </c>
      <c r="AK332" t="s">
        <v>2918</v>
      </c>
      <c r="AL332" t="s">
        <v>387</v>
      </c>
      <c r="AM332" t="s">
        <v>3772</v>
      </c>
      <c r="AO332" t="s">
        <v>6299</v>
      </c>
      <c r="AP332" t="s">
        <v>306</v>
      </c>
      <c r="AQ332" s="5">
        <v>22903</v>
      </c>
      <c r="AR332" t="s">
        <v>128</v>
      </c>
      <c r="AT332" s="4">
        <v>14342634300</v>
      </c>
      <c r="AV332" t="s">
        <v>4374</v>
      </c>
      <c r="AW332" t="s">
        <v>2923</v>
      </c>
      <c r="AX332" t="s">
        <v>131</v>
      </c>
      <c r="AY332" t="s">
        <v>131</v>
      </c>
      <c r="AZ332" t="s">
        <v>131</v>
      </c>
      <c r="BA332" t="s">
        <v>131</v>
      </c>
      <c r="BB332" t="s">
        <v>131</v>
      </c>
      <c r="BC332" t="s">
        <v>131</v>
      </c>
      <c r="BD332" t="s">
        <v>131</v>
      </c>
      <c r="BE332" t="s">
        <v>132</v>
      </c>
      <c r="BH332" t="s">
        <v>2215</v>
      </c>
      <c r="BI332" t="s">
        <v>131</v>
      </c>
      <c r="BL332" t="s">
        <v>167</v>
      </c>
      <c r="BO332" t="s">
        <v>131</v>
      </c>
      <c r="BP332" t="s">
        <v>134</v>
      </c>
      <c r="BQ332" t="s">
        <v>131</v>
      </c>
      <c r="BS332" t="str">
        <f t="shared" si="29"/>
        <v>N/A</v>
      </c>
      <c r="BT332" t="s">
        <v>135</v>
      </c>
      <c r="BU332">
        <v>3</v>
      </c>
      <c r="BV332" t="str">
        <f>"Requires three months of previous landscape experience."</f>
        <v>Requires three months of previous landscape experience.</v>
      </c>
      <c r="BW332" t="s">
        <v>135</v>
      </c>
      <c r="BX332" t="str">
        <f>""</f>
        <v/>
      </c>
      <c r="BY332" t="str">
        <f>""</f>
        <v/>
      </c>
      <c r="BZ332" t="str">
        <f>""</f>
        <v/>
      </c>
      <c r="CA332" t="s">
        <v>9887</v>
      </c>
      <c r="CB332" t="s">
        <v>131</v>
      </c>
      <c r="CF332" t="s">
        <v>131</v>
      </c>
      <c r="CH332" t="str">
        <f>""</f>
        <v/>
      </c>
      <c r="CI332" t="s">
        <v>131</v>
      </c>
      <c r="CK332" t="s">
        <v>131</v>
      </c>
      <c r="CL332" t="str">
        <f>""</f>
        <v/>
      </c>
      <c r="CM332" t="str">
        <f>""</f>
        <v/>
      </c>
      <c r="CN332" t="str">
        <f>""</f>
        <v/>
      </c>
      <c r="CO332" t="str">
        <f>""</f>
        <v/>
      </c>
      <c r="CP332" t="str">
        <f>"37-3011.00"</f>
        <v>37-3011.00</v>
      </c>
      <c r="CQ332" t="s">
        <v>920</v>
      </c>
      <c r="CR332" t="s">
        <v>3086</v>
      </c>
      <c r="CS332" t="s">
        <v>135</v>
      </c>
      <c r="CT332" t="s">
        <v>2925</v>
      </c>
      <c r="CU332" t="s">
        <v>9888</v>
      </c>
      <c r="CW332" t="s">
        <v>9454</v>
      </c>
      <c r="CX332" t="s">
        <v>812</v>
      </c>
      <c r="CZ332" s="3" t="str">
        <f>"29730"</f>
        <v>29730</v>
      </c>
      <c r="DA332" t="s">
        <v>135</v>
      </c>
      <c r="DB332" t="str">
        <f>"37-3011"</f>
        <v>37-3011</v>
      </c>
      <c r="DC332" t="s">
        <v>920</v>
      </c>
      <c r="DD332" t="s">
        <v>134</v>
      </c>
      <c r="DE332" t="s">
        <v>134</v>
      </c>
      <c r="DF332" t="str">
        <f>""</f>
        <v/>
      </c>
      <c r="DH332" s="6">
        <v>14.31</v>
      </c>
      <c r="DI332" t="s">
        <v>344</v>
      </c>
      <c r="DK332" t="s">
        <v>345</v>
      </c>
      <c r="DS332" s="6">
        <v>14.31</v>
      </c>
      <c r="DT332" s="2" t="s">
        <v>347</v>
      </c>
      <c r="DU332" s="1">
        <v>44354</v>
      </c>
      <c r="DV332" s="1">
        <v>44443</v>
      </c>
    </row>
    <row r="333" spans="1:126" ht="15" customHeight="1" x14ac:dyDescent="0.35">
      <c r="A333" t="s">
        <v>19414</v>
      </c>
      <c r="B333" t="s">
        <v>318</v>
      </c>
      <c r="C333" s="1">
        <v>44327</v>
      </c>
      <c r="D333" s="1">
        <v>44354</v>
      </c>
      <c r="H333" t="s">
        <v>319</v>
      </c>
      <c r="I333" t="s">
        <v>19415</v>
      </c>
      <c r="J333" t="s">
        <v>301</v>
      </c>
      <c r="L333" t="s">
        <v>395</v>
      </c>
      <c r="M333" t="s">
        <v>19416</v>
      </c>
      <c r="N333" t="s">
        <v>19417</v>
      </c>
      <c r="O333" t="s">
        <v>1943</v>
      </c>
      <c r="P333" t="s">
        <v>720</v>
      </c>
      <c r="Q333" s="3">
        <v>1801</v>
      </c>
      <c r="R333" t="s">
        <v>128</v>
      </c>
      <c r="T333" s="4">
        <v>18579912201</v>
      </c>
      <c r="V333" t="s">
        <v>134</v>
      </c>
      <c r="W333" t="s">
        <v>19418</v>
      </c>
      <c r="Y333" t="s">
        <v>19416</v>
      </c>
      <c r="Z333" t="s">
        <v>19417</v>
      </c>
      <c r="AA333" t="s">
        <v>1943</v>
      </c>
      <c r="AB333" t="s">
        <v>377</v>
      </c>
      <c r="AC333" s="3" t="str">
        <f>"01801"</f>
        <v>01801</v>
      </c>
      <c r="AD333" t="s">
        <v>128</v>
      </c>
      <c r="AF333" s="4">
        <v>18579912201</v>
      </c>
      <c r="AH333" t="str">
        <f>"56173"</f>
        <v>56173</v>
      </c>
      <c r="AI333" t="s">
        <v>287</v>
      </c>
      <c r="AJ333" t="s">
        <v>2917</v>
      </c>
      <c r="AK333" t="s">
        <v>2918</v>
      </c>
      <c r="AM333" t="s">
        <v>2919</v>
      </c>
      <c r="AN333" t="s">
        <v>2920</v>
      </c>
      <c r="AO333" t="s">
        <v>2921</v>
      </c>
      <c r="AP333" t="s">
        <v>306</v>
      </c>
      <c r="AQ333" s="5">
        <v>22949</v>
      </c>
      <c r="AR333" t="s">
        <v>128</v>
      </c>
      <c r="AT333" s="4">
        <v>14342634300</v>
      </c>
      <c r="AV333" t="s">
        <v>2922</v>
      </c>
      <c r="AW333" t="s">
        <v>2923</v>
      </c>
      <c r="AX333" t="s">
        <v>131</v>
      </c>
      <c r="AY333" t="s">
        <v>131</v>
      </c>
      <c r="AZ333" t="s">
        <v>131</v>
      </c>
      <c r="BA333" t="s">
        <v>131</v>
      </c>
      <c r="BB333" t="s">
        <v>131</v>
      </c>
      <c r="BC333" t="s">
        <v>131</v>
      </c>
      <c r="BD333" t="s">
        <v>131</v>
      </c>
      <c r="BE333" t="s">
        <v>132</v>
      </c>
      <c r="BH333" t="s">
        <v>2215</v>
      </c>
      <c r="BI333" t="s">
        <v>131</v>
      </c>
      <c r="BL333" t="s">
        <v>167</v>
      </c>
      <c r="BO333" t="s">
        <v>131</v>
      </c>
      <c r="BP333" t="s">
        <v>134</v>
      </c>
      <c r="BQ333" t="s">
        <v>131</v>
      </c>
      <c r="BS333" t="str">
        <f t="shared" si="29"/>
        <v>N/A</v>
      </c>
      <c r="BT333" t="s">
        <v>135</v>
      </c>
      <c r="BU333">
        <v>3</v>
      </c>
      <c r="BV333" t="str">
        <f>"Landscape"</f>
        <v>Landscape</v>
      </c>
      <c r="BW333" t="s">
        <v>135</v>
      </c>
      <c r="BX333" t="str">
        <f>""</f>
        <v/>
      </c>
      <c r="BY333" t="str">
        <f>""</f>
        <v/>
      </c>
      <c r="BZ333" t="str">
        <f>""</f>
        <v/>
      </c>
      <c r="CA333" t="str">
        <f>"Must lift/carry 50 lbs., when necessary.  Saturday work required, when necessary."</f>
        <v>Must lift/carry 50 lbs., when necessary.  Saturday work required, when necessary.</v>
      </c>
      <c r="CB333" t="s">
        <v>131</v>
      </c>
      <c r="CF333" t="s">
        <v>131</v>
      </c>
      <c r="CH333" t="str">
        <f>""</f>
        <v/>
      </c>
      <c r="CI333" t="s">
        <v>131</v>
      </c>
      <c r="CK333" t="s">
        <v>131</v>
      </c>
      <c r="CL333" t="str">
        <f>""</f>
        <v/>
      </c>
      <c r="CM333" t="str">
        <f>""</f>
        <v/>
      </c>
      <c r="CN333" t="str">
        <f>""</f>
        <v/>
      </c>
      <c r="CO333" t="str">
        <f>""</f>
        <v/>
      </c>
      <c r="CP333" t="str">
        <f>"37-3011.00"</f>
        <v>37-3011.00</v>
      </c>
      <c r="CQ333" t="s">
        <v>920</v>
      </c>
      <c r="CR333" t="s">
        <v>2924</v>
      </c>
      <c r="CS333" t="s">
        <v>135</v>
      </c>
      <c r="CT333" t="s">
        <v>2925</v>
      </c>
      <c r="CU333" t="s">
        <v>19419</v>
      </c>
      <c r="CW333" t="s">
        <v>19420</v>
      </c>
      <c r="CX333" t="s">
        <v>377</v>
      </c>
      <c r="CZ333" s="3" t="str">
        <f>"01801"</f>
        <v>01801</v>
      </c>
      <c r="DA333" t="s">
        <v>135</v>
      </c>
      <c r="DB333" t="str">
        <f>"37-3011"</f>
        <v>37-3011</v>
      </c>
      <c r="DC333" t="s">
        <v>920</v>
      </c>
      <c r="DD333" t="s">
        <v>134</v>
      </c>
      <c r="DE333" t="s">
        <v>134</v>
      </c>
      <c r="DF333" t="str">
        <f>""</f>
        <v/>
      </c>
      <c r="DH333" s="6">
        <v>19.079999999999998</v>
      </c>
      <c r="DI333" t="s">
        <v>344</v>
      </c>
      <c r="DK333" t="s">
        <v>345</v>
      </c>
      <c r="DS333" s="6">
        <v>19.079999999999998</v>
      </c>
      <c r="DT333" s="2" t="s">
        <v>347</v>
      </c>
      <c r="DU333" s="1">
        <v>44354</v>
      </c>
      <c r="DV333" s="1">
        <v>44443</v>
      </c>
    </row>
    <row r="334" spans="1:126" ht="15" customHeight="1" x14ac:dyDescent="0.35">
      <c r="A334" t="s">
        <v>18742</v>
      </c>
      <c r="B334" t="s">
        <v>318</v>
      </c>
      <c r="C334" s="1">
        <v>44327</v>
      </c>
      <c r="D334" s="1">
        <v>44354</v>
      </c>
      <c r="H334" t="s">
        <v>319</v>
      </c>
      <c r="I334" t="s">
        <v>4405</v>
      </c>
      <c r="J334" t="s">
        <v>1419</v>
      </c>
      <c r="L334" t="s">
        <v>1089</v>
      </c>
      <c r="M334" t="s">
        <v>8632</v>
      </c>
      <c r="N334" t="s">
        <v>134</v>
      </c>
      <c r="O334" t="s">
        <v>1677</v>
      </c>
      <c r="P334" t="s">
        <v>857</v>
      </c>
      <c r="Q334" s="3">
        <v>85262</v>
      </c>
      <c r="R334" t="s">
        <v>128</v>
      </c>
      <c r="S334" t="s">
        <v>134</v>
      </c>
      <c r="T334" s="4">
        <v>14805954002</v>
      </c>
      <c r="V334" t="s">
        <v>8633</v>
      </c>
      <c r="W334" t="s">
        <v>8634</v>
      </c>
      <c r="X334" t="s">
        <v>134</v>
      </c>
      <c r="Y334" t="s">
        <v>8632</v>
      </c>
      <c r="Z334" t="s">
        <v>134</v>
      </c>
      <c r="AA334" t="s">
        <v>1677</v>
      </c>
      <c r="AB334" t="s">
        <v>808</v>
      </c>
      <c r="AC334" s="3" t="str">
        <f>"85262"</f>
        <v>85262</v>
      </c>
      <c r="AD334" t="s">
        <v>128</v>
      </c>
      <c r="AE334" t="s">
        <v>134</v>
      </c>
      <c r="AF334" s="4">
        <v>14805954002</v>
      </c>
      <c r="AH334" t="str">
        <f>"713910"</f>
        <v>713910</v>
      </c>
      <c r="AI334" t="s">
        <v>130</v>
      </c>
      <c r="AJ334" t="s">
        <v>1386</v>
      </c>
      <c r="AK334" t="s">
        <v>1387</v>
      </c>
      <c r="AL334" t="s">
        <v>1036</v>
      </c>
      <c r="AM334" t="s">
        <v>1388</v>
      </c>
      <c r="AN334" t="s">
        <v>997</v>
      </c>
      <c r="AO334" t="s">
        <v>719</v>
      </c>
      <c r="AP334" t="s">
        <v>377</v>
      </c>
      <c r="AQ334" s="5">
        <v>1701</v>
      </c>
      <c r="AR334" t="s">
        <v>128</v>
      </c>
      <c r="AS334" t="s">
        <v>134</v>
      </c>
      <c r="AT334" s="4">
        <v>16179399444</v>
      </c>
      <c r="AV334" t="s">
        <v>1389</v>
      </c>
      <c r="AW334" t="s">
        <v>1390</v>
      </c>
      <c r="AX334" t="s">
        <v>131</v>
      </c>
      <c r="AY334" t="s">
        <v>131</v>
      </c>
      <c r="AZ334" t="s">
        <v>131</v>
      </c>
      <c r="BA334" t="s">
        <v>131</v>
      </c>
      <c r="BB334" t="s">
        <v>131</v>
      </c>
      <c r="BC334" t="s">
        <v>131</v>
      </c>
      <c r="BD334" t="s">
        <v>131</v>
      </c>
      <c r="BE334" t="s">
        <v>132</v>
      </c>
      <c r="BH334" t="s">
        <v>1639</v>
      </c>
      <c r="BI334" t="s">
        <v>131</v>
      </c>
      <c r="BL334" t="s">
        <v>167</v>
      </c>
      <c r="BO334" t="s">
        <v>131</v>
      </c>
      <c r="BP334" t="s">
        <v>134</v>
      </c>
      <c r="BQ334" t="s">
        <v>131</v>
      </c>
      <c r="BS334" t="str">
        <f t="shared" si="29"/>
        <v>N/A</v>
      </c>
      <c r="BT334" t="s">
        <v>135</v>
      </c>
      <c r="BU334">
        <v>6</v>
      </c>
      <c r="BV334" t="str">
        <f>"Housekeeper"</f>
        <v>Housekeeper</v>
      </c>
      <c r="BW334" t="s">
        <v>135</v>
      </c>
      <c r="BX334" t="str">
        <f>""</f>
        <v/>
      </c>
      <c r="BY334" t="str">
        <f>""</f>
        <v/>
      </c>
      <c r="BZ334" t="str">
        <f>""</f>
        <v/>
      </c>
      <c r="CA334" t="str">
        <f>"The Petitioner will consider for employment any person who possesses at least six (6) months of cleaning experience at a high-end or high-volume hotel, resort, or private club.  
Applicant must complete pre-employment background check.
"</f>
        <v xml:space="preserve">The Petitioner will consider for employment any person who possesses at least six (6) months of cleaning experience at a high-end or high-volume hotel, resort, or private club.  
Applicant must complete pre-employment background check.
</v>
      </c>
      <c r="CB334" t="s">
        <v>131</v>
      </c>
      <c r="CF334" t="s">
        <v>131</v>
      </c>
      <c r="CH334" t="str">
        <f>""</f>
        <v/>
      </c>
      <c r="CI334" t="s">
        <v>131</v>
      </c>
      <c r="CK334" t="s">
        <v>131</v>
      </c>
      <c r="CL334" t="str">
        <f>""</f>
        <v/>
      </c>
      <c r="CM334" t="str">
        <f>""</f>
        <v/>
      </c>
      <c r="CN334" t="str">
        <f>""</f>
        <v/>
      </c>
      <c r="CO334" t="str">
        <f>""</f>
        <v/>
      </c>
      <c r="CP334" t="str">
        <f>"37-2012.00"</f>
        <v>37-2012.00</v>
      </c>
      <c r="CQ334" t="s">
        <v>479</v>
      </c>
      <c r="CR334" t="s">
        <v>18743</v>
      </c>
      <c r="CS334" t="s">
        <v>131</v>
      </c>
      <c r="CU334" t="s">
        <v>8632</v>
      </c>
      <c r="CV334" t="s">
        <v>134</v>
      </c>
      <c r="CW334" t="s">
        <v>1677</v>
      </c>
      <c r="CX334" t="s">
        <v>808</v>
      </c>
      <c r="CZ334" s="3" t="str">
        <f>"85262"</f>
        <v>85262</v>
      </c>
      <c r="DA334" t="s">
        <v>131</v>
      </c>
      <c r="DB334" t="str">
        <f>"37-2012"</f>
        <v>37-2012</v>
      </c>
      <c r="DC334" t="s">
        <v>479</v>
      </c>
      <c r="DD334" t="s">
        <v>134</v>
      </c>
      <c r="DE334" t="s">
        <v>134</v>
      </c>
      <c r="DF334" t="str">
        <f>""</f>
        <v/>
      </c>
      <c r="DH334" s="6">
        <v>12.45</v>
      </c>
      <c r="DI334" t="s">
        <v>344</v>
      </c>
      <c r="DK334" t="s">
        <v>345</v>
      </c>
      <c r="DS334" s="6">
        <v>12.45</v>
      </c>
      <c r="DT334" t="s">
        <v>424</v>
      </c>
      <c r="DU334" s="1">
        <v>44354</v>
      </c>
      <c r="DV334" s="1">
        <v>44443</v>
      </c>
    </row>
    <row r="335" spans="1:126" ht="15" customHeight="1" x14ac:dyDescent="0.35">
      <c r="A335" t="s">
        <v>17165</v>
      </c>
      <c r="B335" t="s">
        <v>318</v>
      </c>
      <c r="C335" s="1">
        <v>44327</v>
      </c>
      <c r="D335" s="1">
        <v>44354</v>
      </c>
      <c r="H335" t="s">
        <v>319</v>
      </c>
      <c r="I335" t="s">
        <v>4405</v>
      </c>
      <c r="J335" t="s">
        <v>1419</v>
      </c>
      <c r="L335" t="s">
        <v>1089</v>
      </c>
      <c r="M335" t="s">
        <v>8632</v>
      </c>
      <c r="N335" t="s">
        <v>134</v>
      </c>
      <c r="O335" t="s">
        <v>1677</v>
      </c>
      <c r="P335" t="s">
        <v>857</v>
      </c>
      <c r="Q335" s="3">
        <v>85262</v>
      </c>
      <c r="R335" t="s">
        <v>128</v>
      </c>
      <c r="S335" t="s">
        <v>134</v>
      </c>
      <c r="T335" s="4">
        <v>14805954002</v>
      </c>
      <c r="V335" t="s">
        <v>8633</v>
      </c>
      <c r="W335" t="s">
        <v>8634</v>
      </c>
      <c r="X335" t="s">
        <v>134</v>
      </c>
      <c r="Y335" t="s">
        <v>8632</v>
      </c>
      <c r="Z335" t="s">
        <v>134</v>
      </c>
      <c r="AA335" t="s">
        <v>1677</v>
      </c>
      <c r="AB335" t="s">
        <v>808</v>
      </c>
      <c r="AC335" s="3" t="str">
        <f>"85262"</f>
        <v>85262</v>
      </c>
      <c r="AD335" t="s">
        <v>128</v>
      </c>
      <c r="AE335" t="s">
        <v>134</v>
      </c>
      <c r="AF335" s="4">
        <v>14805954002</v>
      </c>
      <c r="AH335" t="str">
        <f>"713910"</f>
        <v>713910</v>
      </c>
      <c r="AI335" t="s">
        <v>130</v>
      </c>
      <c r="AJ335" t="s">
        <v>1386</v>
      </c>
      <c r="AK335" t="s">
        <v>1387</v>
      </c>
      <c r="AL335" t="s">
        <v>1036</v>
      </c>
      <c r="AM335" t="s">
        <v>1388</v>
      </c>
      <c r="AN335" t="s">
        <v>997</v>
      </c>
      <c r="AO335" t="s">
        <v>719</v>
      </c>
      <c r="AP335" t="s">
        <v>377</v>
      </c>
      <c r="AQ335" s="5">
        <v>1701</v>
      </c>
      <c r="AR335" t="s">
        <v>128</v>
      </c>
      <c r="AS335" t="s">
        <v>134</v>
      </c>
      <c r="AT335" s="4">
        <v>16179399444</v>
      </c>
      <c r="AV335" t="s">
        <v>1389</v>
      </c>
      <c r="AW335" t="s">
        <v>1390</v>
      </c>
      <c r="AX335" t="s">
        <v>131</v>
      </c>
      <c r="AY335" t="s">
        <v>131</v>
      </c>
      <c r="AZ335" t="s">
        <v>131</v>
      </c>
      <c r="BA335" t="s">
        <v>131</v>
      </c>
      <c r="BB335" t="s">
        <v>131</v>
      </c>
      <c r="BC335" t="s">
        <v>131</v>
      </c>
      <c r="BD335" t="s">
        <v>131</v>
      </c>
      <c r="BE335" t="s">
        <v>132</v>
      </c>
      <c r="BH335" t="s">
        <v>17166</v>
      </c>
      <c r="BI335" t="s">
        <v>131</v>
      </c>
      <c r="BL335" t="s">
        <v>167</v>
      </c>
      <c r="BO335" t="s">
        <v>131</v>
      </c>
      <c r="BP335" t="s">
        <v>134</v>
      </c>
      <c r="BQ335" t="s">
        <v>131</v>
      </c>
      <c r="BS335" t="str">
        <f t="shared" si="29"/>
        <v>N/A</v>
      </c>
      <c r="BT335" t="s">
        <v>135</v>
      </c>
      <c r="BU335">
        <v>3</v>
      </c>
      <c r="BV335" t="str">
        <f>"Golf Course Maintenance Worker"</f>
        <v>Golf Course Maintenance Worker</v>
      </c>
      <c r="BW335" t="s">
        <v>135</v>
      </c>
      <c r="BX335" t="str">
        <f>""</f>
        <v/>
      </c>
      <c r="BY335" t="str">
        <f>""</f>
        <v/>
      </c>
      <c r="BZ335" t="str">
        <f>""</f>
        <v/>
      </c>
      <c r="CA335" t="str">
        <f>"The Petitioner will consider for employment any person who possesses at least three (3) months of experience maintaining grounds at a high-end or high-volume hotel, resort, or private club.  
Applicant must complete pre-employment background check.
"</f>
        <v xml:space="preserve">The Petitioner will consider for employment any person who possesses at least three (3) months of experience maintaining grounds at a high-end or high-volume hotel, resort, or private club.  
Applicant must complete pre-employment background check.
</v>
      </c>
      <c r="CB335" t="s">
        <v>131</v>
      </c>
      <c r="CF335" t="s">
        <v>131</v>
      </c>
      <c r="CH335" t="str">
        <f>""</f>
        <v/>
      </c>
      <c r="CI335" t="s">
        <v>131</v>
      </c>
      <c r="CK335" t="s">
        <v>131</v>
      </c>
      <c r="CL335" t="str">
        <f>""</f>
        <v/>
      </c>
      <c r="CM335" t="str">
        <f>""</f>
        <v/>
      </c>
      <c r="CN335" t="str">
        <f>""</f>
        <v/>
      </c>
      <c r="CO335" t="str">
        <f>""</f>
        <v/>
      </c>
      <c r="CP335" t="str">
        <f>"37-3011.00"</f>
        <v>37-3011.00</v>
      </c>
      <c r="CQ335" t="s">
        <v>920</v>
      </c>
      <c r="CR335" t="s">
        <v>17167</v>
      </c>
      <c r="CS335" t="s">
        <v>131</v>
      </c>
      <c r="CU335" t="s">
        <v>8632</v>
      </c>
      <c r="CV335" t="s">
        <v>134</v>
      </c>
      <c r="CW335" t="s">
        <v>1677</v>
      </c>
      <c r="CX335" t="s">
        <v>808</v>
      </c>
      <c r="CZ335" s="3" t="str">
        <f>"85262"</f>
        <v>85262</v>
      </c>
      <c r="DA335" t="s">
        <v>131</v>
      </c>
      <c r="DB335" t="str">
        <f>"37-3011"</f>
        <v>37-3011</v>
      </c>
      <c r="DC335" t="s">
        <v>920</v>
      </c>
      <c r="DD335" t="s">
        <v>134</v>
      </c>
      <c r="DE335" t="s">
        <v>134</v>
      </c>
      <c r="DF335" t="str">
        <f>""</f>
        <v/>
      </c>
      <c r="DH335" s="6">
        <v>14.47</v>
      </c>
      <c r="DI335" t="s">
        <v>344</v>
      </c>
      <c r="DK335" t="s">
        <v>345</v>
      </c>
      <c r="DS335" s="6">
        <v>14.47</v>
      </c>
      <c r="DT335" t="s">
        <v>424</v>
      </c>
      <c r="DU335" s="1">
        <v>44354</v>
      </c>
      <c r="DV335" s="1">
        <v>44443</v>
      </c>
    </row>
    <row r="336" spans="1:126" ht="15" customHeight="1" x14ac:dyDescent="0.35">
      <c r="A336" t="s">
        <v>8631</v>
      </c>
      <c r="B336" t="s">
        <v>318</v>
      </c>
      <c r="C336" s="1">
        <v>44327</v>
      </c>
      <c r="D336" s="1">
        <v>44354</v>
      </c>
      <c r="H336" t="s">
        <v>319</v>
      </c>
      <c r="I336" t="s">
        <v>4405</v>
      </c>
      <c r="J336" t="s">
        <v>1419</v>
      </c>
      <c r="L336" t="s">
        <v>1089</v>
      </c>
      <c r="M336" t="s">
        <v>8632</v>
      </c>
      <c r="N336" t="s">
        <v>134</v>
      </c>
      <c r="O336" t="s">
        <v>1677</v>
      </c>
      <c r="P336" t="s">
        <v>857</v>
      </c>
      <c r="Q336" s="3">
        <v>85262</v>
      </c>
      <c r="R336" t="s">
        <v>128</v>
      </c>
      <c r="S336" t="s">
        <v>134</v>
      </c>
      <c r="T336" s="4">
        <v>14805954002</v>
      </c>
      <c r="V336" t="s">
        <v>8633</v>
      </c>
      <c r="W336" t="s">
        <v>8634</v>
      </c>
      <c r="X336" t="s">
        <v>134</v>
      </c>
      <c r="Y336" t="s">
        <v>8632</v>
      </c>
      <c r="Z336" t="s">
        <v>134</v>
      </c>
      <c r="AA336" t="s">
        <v>1677</v>
      </c>
      <c r="AB336" t="s">
        <v>808</v>
      </c>
      <c r="AC336" s="3" t="str">
        <f>"85262"</f>
        <v>85262</v>
      </c>
      <c r="AD336" t="s">
        <v>128</v>
      </c>
      <c r="AF336" s="4">
        <v>14805954002</v>
      </c>
      <c r="AH336" t="str">
        <f>"713910"</f>
        <v>713910</v>
      </c>
      <c r="AI336" t="s">
        <v>130</v>
      </c>
      <c r="AJ336" t="s">
        <v>1386</v>
      </c>
      <c r="AK336" t="s">
        <v>1387</v>
      </c>
      <c r="AL336" t="s">
        <v>1036</v>
      </c>
      <c r="AM336" t="s">
        <v>1388</v>
      </c>
      <c r="AN336" t="s">
        <v>997</v>
      </c>
      <c r="AO336" t="s">
        <v>719</v>
      </c>
      <c r="AP336" t="s">
        <v>377</v>
      </c>
      <c r="AQ336" s="5">
        <v>1701</v>
      </c>
      <c r="AR336" t="s">
        <v>128</v>
      </c>
      <c r="AS336" t="s">
        <v>134</v>
      </c>
      <c r="AT336" s="4">
        <v>16179399444</v>
      </c>
      <c r="AV336" t="s">
        <v>1389</v>
      </c>
      <c r="AW336" t="s">
        <v>1390</v>
      </c>
      <c r="AX336" t="s">
        <v>131</v>
      </c>
      <c r="AY336" t="s">
        <v>131</v>
      </c>
      <c r="AZ336" t="s">
        <v>131</v>
      </c>
      <c r="BA336" t="s">
        <v>131</v>
      </c>
      <c r="BB336" t="s">
        <v>131</v>
      </c>
      <c r="BC336" t="s">
        <v>131</v>
      </c>
      <c r="BD336" t="s">
        <v>131</v>
      </c>
      <c r="BE336" t="s">
        <v>132</v>
      </c>
      <c r="BH336" t="s">
        <v>2550</v>
      </c>
      <c r="BI336" t="s">
        <v>131</v>
      </c>
      <c r="BL336" t="s">
        <v>167</v>
      </c>
      <c r="BO336" t="s">
        <v>131</v>
      </c>
      <c r="BP336" t="s">
        <v>134</v>
      </c>
      <c r="BQ336" t="s">
        <v>131</v>
      </c>
      <c r="BS336" t="str">
        <f t="shared" si="29"/>
        <v>N/A</v>
      </c>
      <c r="BT336" t="s">
        <v>135</v>
      </c>
      <c r="BU336">
        <v>3</v>
      </c>
      <c r="BV336" t="str">
        <f>"Dishwasher"</f>
        <v>Dishwasher</v>
      </c>
      <c r="BW336" t="s">
        <v>135</v>
      </c>
      <c r="BX336" t="str">
        <f>""</f>
        <v/>
      </c>
      <c r="BY336" t="str">
        <f>""</f>
        <v/>
      </c>
      <c r="BZ336" t="str">
        <f>""</f>
        <v/>
      </c>
      <c r="CA336" s="2" t="s">
        <v>8635</v>
      </c>
      <c r="CB336" t="s">
        <v>131</v>
      </c>
      <c r="CF336" t="s">
        <v>131</v>
      </c>
      <c r="CH336" t="str">
        <f>""</f>
        <v/>
      </c>
      <c r="CI336" t="s">
        <v>131</v>
      </c>
      <c r="CK336" t="s">
        <v>131</v>
      </c>
      <c r="CL336" t="str">
        <f>""</f>
        <v/>
      </c>
      <c r="CM336" t="str">
        <f>""</f>
        <v/>
      </c>
      <c r="CN336" t="str">
        <f>""</f>
        <v/>
      </c>
      <c r="CO336" t="str">
        <f>""</f>
        <v/>
      </c>
      <c r="CP336" t="str">
        <f>"35-9021.00"</f>
        <v>35-9021.00</v>
      </c>
      <c r="CQ336" t="s">
        <v>2552</v>
      </c>
      <c r="CR336" t="s">
        <v>8636</v>
      </c>
      <c r="CS336" t="s">
        <v>131</v>
      </c>
      <c r="CU336" t="s">
        <v>8632</v>
      </c>
      <c r="CV336" t="s">
        <v>134</v>
      </c>
      <c r="CW336" t="s">
        <v>1677</v>
      </c>
      <c r="CX336" t="s">
        <v>808</v>
      </c>
      <c r="CZ336" s="3" t="str">
        <f>"85262"</f>
        <v>85262</v>
      </c>
      <c r="DA336" t="s">
        <v>131</v>
      </c>
      <c r="DB336" t="str">
        <f>"35-9021"</f>
        <v>35-9021</v>
      </c>
      <c r="DC336" t="s">
        <v>2552</v>
      </c>
      <c r="DD336" t="s">
        <v>134</v>
      </c>
      <c r="DE336" t="s">
        <v>134</v>
      </c>
      <c r="DF336" t="str">
        <f>""</f>
        <v/>
      </c>
      <c r="DH336" s="6">
        <v>12.33</v>
      </c>
      <c r="DI336" t="s">
        <v>344</v>
      </c>
      <c r="DK336" t="s">
        <v>345</v>
      </c>
      <c r="DS336" s="6">
        <v>12.33</v>
      </c>
      <c r="DT336" t="s">
        <v>424</v>
      </c>
      <c r="DU336" s="1">
        <v>44354</v>
      </c>
      <c r="DV336" s="1">
        <v>44443</v>
      </c>
    </row>
    <row r="337" spans="1:126" ht="15" customHeight="1" x14ac:dyDescent="0.35">
      <c r="A337" t="s">
        <v>10757</v>
      </c>
      <c r="B337" t="s">
        <v>318</v>
      </c>
      <c r="C337" s="1">
        <v>44327</v>
      </c>
      <c r="D337" s="1">
        <v>44354</v>
      </c>
      <c r="H337" t="s">
        <v>319</v>
      </c>
      <c r="I337" t="s">
        <v>4405</v>
      </c>
      <c r="J337" t="s">
        <v>1419</v>
      </c>
      <c r="L337" t="s">
        <v>1089</v>
      </c>
      <c r="M337" t="s">
        <v>8632</v>
      </c>
      <c r="N337" t="s">
        <v>134</v>
      </c>
      <c r="O337" t="s">
        <v>1677</v>
      </c>
      <c r="P337" t="s">
        <v>857</v>
      </c>
      <c r="Q337" s="3">
        <v>85262</v>
      </c>
      <c r="R337" t="s">
        <v>128</v>
      </c>
      <c r="S337" t="s">
        <v>134</v>
      </c>
      <c r="T337" s="4">
        <v>14805954002</v>
      </c>
      <c r="V337" t="s">
        <v>8633</v>
      </c>
      <c r="W337" t="s">
        <v>8634</v>
      </c>
      <c r="X337" t="s">
        <v>134</v>
      </c>
      <c r="Y337" t="s">
        <v>8632</v>
      </c>
      <c r="Z337" t="s">
        <v>134</v>
      </c>
      <c r="AA337" t="s">
        <v>1677</v>
      </c>
      <c r="AB337" t="s">
        <v>808</v>
      </c>
      <c r="AC337" s="3" t="str">
        <f>"85262"</f>
        <v>85262</v>
      </c>
      <c r="AD337" t="s">
        <v>128</v>
      </c>
      <c r="AE337" t="s">
        <v>134</v>
      </c>
      <c r="AF337" s="4">
        <v>14805954002</v>
      </c>
      <c r="AH337" t="str">
        <f>"713910"</f>
        <v>713910</v>
      </c>
      <c r="AI337" t="s">
        <v>130</v>
      </c>
      <c r="AJ337" t="s">
        <v>1386</v>
      </c>
      <c r="AK337" t="s">
        <v>1387</v>
      </c>
      <c r="AL337" t="s">
        <v>1036</v>
      </c>
      <c r="AM337" t="s">
        <v>1388</v>
      </c>
      <c r="AN337" t="s">
        <v>997</v>
      </c>
      <c r="AO337" t="s">
        <v>719</v>
      </c>
      <c r="AP337" t="s">
        <v>377</v>
      </c>
      <c r="AQ337" s="5">
        <v>1701</v>
      </c>
      <c r="AR337" t="s">
        <v>128</v>
      </c>
      <c r="AS337" t="s">
        <v>134</v>
      </c>
      <c r="AT337" s="4">
        <v>16179399444</v>
      </c>
      <c r="AV337" t="s">
        <v>1389</v>
      </c>
      <c r="AW337" t="s">
        <v>1390</v>
      </c>
      <c r="AX337" t="s">
        <v>131</v>
      </c>
      <c r="AY337" t="s">
        <v>131</v>
      </c>
      <c r="AZ337" t="s">
        <v>131</v>
      </c>
      <c r="BA337" t="s">
        <v>131</v>
      </c>
      <c r="BB337" t="s">
        <v>131</v>
      </c>
      <c r="BC337" t="s">
        <v>131</v>
      </c>
      <c r="BD337" t="s">
        <v>131</v>
      </c>
      <c r="BE337" t="s">
        <v>132</v>
      </c>
      <c r="BH337" t="s">
        <v>1080</v>
      </c>
      <c r="BI337" t="s">
        <v>131</v>
      </c>
      <c r="BL337" t="s">
        <v>167</v>
      </c>
      <c r="BO337" t="s">
        <v>131</v>
      </c>
      <c r="BP337" t="s">
        <v>134</v>
      </c>
      <c r="BQ337" t="s">
        <v>131</v>
      </c>
      <c r="BS337" t="str">
        <f t="shared" si="29"/>
        <v>N/A</v>
      </c>
      <c r="BT337" t="s">
        <v>135</v>
      </c>
      <c r="BU337">
        <v>6</v>
      </c>
      <c r="BV337" t="str">
        <f>"Cook"</f>
        <v>Cook</v>
      </c>
      <c r="BW337" t="s">
        <v>135</v>
      </c>
      <c r="BX337" t="str">
        <f>""</f>
        <v/>
      </c>
      <c r="BY337" t="str">
        <f>""</f>
        <v/>
      </c>
      <c r="BZ337" t="str">
        <f>""</f>
        <v/>
      </c>
      <c r="CA337" s="2" t="s">
        <v>10758</v>
      </c>
      <c r="CB337" t="s">
        <v>131</v>
      </c>
      <c r="CF337" t="s">
        <v>131</v>
      </c>
      <c r="CH337" t="str">
        <f>""</f>
        <v/>
      </c>
      <c r="CI337" t="s">
        <v>131</v>
      </c>
      <c r="CK337" t="s">
        <v>131</v>
      </c>
      <c r="CL337" t="str">
        <f>""</f>
        <v/>
      </c>
      <c r="CM337" t="str">
        <f>""</f>
        <v/>
      </c>
      <c r="CN337" t="str">
        <f>""</f>
        <v/>
      </c>
      <c r="CO337" t="str">
        <f>""</f>
        <v/>
      </c>
      <c r="CP337" t="str">
        <f>"35-2014.00"</f>
        <v>35-2014.00</v>
      </c>
      <c r="CQ337" t="s">
        <v>581</v>
      </c>
      <c r="CR337" t="s">
        <v>8636</v>
      </c>
      <c r="CS337" t="s">
        <v>131</v>
      </c>
      <c r="CU337" t="s">
        <v>8632</v>
      </c>
      <c r="CV337" t="s">
        <v>134</v>
      </c>
      <c r="CW337" t="s">
        <v>1677</v>
      </c>
      <c r="CX337" t="s">
        <v>808</v>
      </c>
      <c r="CZ337" s="3" t="str">
        <f>"85262"</f>
        <v>85262</v>
      </c>
      <c r="DA337" t="s">
        <v>131</v>
      </c>
      <c r="DB337" t="str">
        <f>"35-2014"</f>
        <v>35-2014</v>
      </c>
      <c r="DC337" t="s">
        <v>581</v>
      </c>
      <c r="DD337" t="s">
        <v>134</v>
      </c>
      <c r="DE337" t="s">
        <v>134</v>
      </c>
      <c r="DF337" t="str">
        <f>""</f>
        <v/>
      </c>
      <c r="DH337" s="6">
        <v>14.17</v>
      </c>
      <c r="DI337" t="s">
        <v>344</v>
      </c>
      <c r="DK337" t="s">
        <v>345</v>
      </c>
      <c r="DS337" s="6">
        <v>14.17</v>
      </c>
      <c r="DT337" t="s">
        <v>424</v>
      </c>
      <c r="DU337" s="1">
        <v>44354</v>
      </c>
      <c r="DV337" s="1">
        <v>44443</v>
      </c>
    </row>
    <row r="338" spans="1:126" ht="15" customHeight="1" x14ac:dyDescent="0.35">
      <c r="A338" t="s">
        <v>9059</v>
      </c>
      <c r="B338" t="s">
        <v>318</v>
      </c>
      <c r="C338" s="1">
        <v>44327</v>
      </c>
      <c r="D338" s="1">
        <v>44354</v>
      </c>
      <c r="H338" t="s">
        <v>319</v>
      </c>
      <c r="I338" t="s">
        <v>4405</v>
      </c>
      <c r="J338" t="s">
        <v>1419</v>
      </c>
      <c r="L338" t="s">
        <v>1089</v>
      </c>
      <c r="M338" t="s">
        <v>8632</v>
      </c>
      <c r="N338" t="s">
        <v>134</v>
      </c>
      <c r="O338" t="s">
        <v>1677</v>
      </c>
      <c r="P338" t="s">
        <v>857</v>
      </c>
      <c r="Q338" s="3">
        <v>85262</v>
      </c>
      <c r="R338" t="s">
        <v>128</v>
      </c>
      <c r="S338" t="s">
        <v>134</v>
      </c>
      <c r="T338" s="4">
        <v>14805954002</v>
      </c>
      <c r="V338" t="s">
        <v>8633</v>
      </c>
      <c r="W338" t="s">
        <v>8634</v>
      </c>
      <c r="X338" t="s">
        <v>134</v>
      </c>
      <c r="Y338" t="s">
        <v>8632</v>
      </c>
      <c r="Z338" t="s">
        <v>134</v>
      </c>
      <c r="AA338" t="s">
        <v>1677</v>
      </c>
      <c r="AB338" t="s">
        <v>808</v>
      </c>
      <c r="AC338" s="3" t="str">
        <f>"85262"</f>
        <v>85262</v>
      </c>
      <c r="AD338" t="s">
        <v>128</v>
      </c>
      <c r="AE338" t="s">
        <v>134</v>
      </c>
      <c r="AF338" s="4">
        <v>14805954002</v>
      </c>
      <c r="AH338" t="str">
        <f>"713910"</f>
        <v>713910</v>
      </c>
      <c r="AI338" t="s">
        <v>130</v>
      </c>
      <c r="AJ338" t="s">
        <v>1386</v>
      </c>
      <c r="AK338" t="s">
        <v>1387</v>
      </c>
      <c r="AL338" t="s">
        <v>1036</v>
      </c>
      <c r="AM338" t="s">
        <v>1388</v>
      </c>
      <c r="AN338" t="s">
        <v>997</v>
      </c>
      <c r="AO338" t="s">
        <v>719</v>
      </c>
      <c r="AP338" t="s">
        <v>377</v>
      </c>
      <c r="AQ338" s="5">
        <v>1701</v>
      </c>
      <c r="AR338" t="s">
        <v>128</v>
      </c>
      <c r="AS338" t="s">
        <v>134</v>
      </c>
      <c r="AT338" s="4">
        <v>16179399444</v>
      </c>
      <c r="AV338" t="s">
        <v>1389</v>
      </c>
      <c r="AW338" t="s">
        <v>1390</v>
      </c>
      <c r="AX338" t="s">
        <v>131</v>
      </c>
      <c r="AY338" t="s">
        <v>131</v>
      </c>
      <c r="AZ338" t="s">
        <v>131</v>
      </c>
      <c r="BA338" t="s">
        <v>131</v>
      </c>
      <c r="BB338" t="s">
        <v>131</v>
      </c>
      <c r="BC338" t="s">
        <v>131</v>
      </c>
      <c r="BD338" t="s">
        <v>131</v>
      </c>
      <c r="BE338" t="s">
        <v>132</v>
      </c>
      <c r="BH338" t="s">
        <v>5408</v>
      </c>
      <c r="BI338" t="s">
        <v>131</v>
      </c>
      <c r="BL338" t="s">
        <v>167</v>
      </c>
      <c r="BO338" t="s">
        <v>131</v>
      </c>
      <c r="BP338" t="s">
        <v>134</v>
      </c>
      <c r="BQ338" t="s">
        <v>131</v>
      </c>
      <c r="BS338" t="str">
        <f t="shared" si="29"/>
        <v>N/A</v>
      </c>
      <c r="BT338" t="s">
        <v>135</v>
      </c>
      <c r="BU338">
        <v>3</v>
      </c>
      <c r="BV338" t="str">
        <f>"Busser/Food Runner"</f>
        <v>Busser/Food Runner</v>
      </c>
      <c r="BW338" t="s">
        <v>135</v>
      </c>
      <c r="BX338" t="str">
        <f>""</f>
        <v/>
      </c>
      <c r="BY338" t="str">
        <f>""</f>
        <v/>
      </c>
      <c r="BZ338" t="str">
        <f>""</f>
        <v/>
      </c>
      <c r="CA338" s="2" t="s">
        <v>8635</v>
      </c>
      <c r="CB338" t="s">
        <v>131</v>
      </c>
      <c r="CF338" t="s">
        <v>131</v>
      </c>
      <c r="CH338" t="str">
        <f>""</f>
        <v/>
      </c>
      <c r="CI338" t="s">
        <v>131</v>
      </c>
      <c r="CK338" t="s">
        <v>131</v>
      </c>
      <c r="CL338" t="str">
        <f>""</f>
        <v/>
      </c>
      <c r="CM338" t="str">
        <f>""</f>
        <v/>
      </c>
      <c r="CN338" t="str">
        <f>""</f>
        <v/>
      </c>
      <c r="CO338" t="str">
        <f>""</f>
        <v/>
      </c>
      <c r="CP338" t="str">
        <f>"35-9011.00"</f>
        <v>35-9011.00</v>
      </c>
      <c r="CQ338" t="s">
        <v>1016</v>
      </c>
      <c r="CR338" t="s">
        <v>4652</v>
      </c>
      <c r="CS338" t="s">
        <v>131</v>
      </c>
      <c r="CU338" t="s">
        <v>8632</v>
      </c>
      <c r="CV338" t="s">
        <v>134</v>
      </c>
      <c r="CW338" t="s">
        <v>1677</v>
      </c>
      <c r="CX338" t="s">
        <v>808</v>
      </c>
      <c r="CZ338" s="3" t="str">
        <f>"85262"</f>
        <v>85262</v>
      </c>
      <c r="DA338" t="s">
        <v>131</v>
      </c>
      <c r="DB338" t="str">
        <f>"35-9011"</f>
        <v>35-9011</v>
      </c>
      <c r="DC338" t="s">
        <v>1016</v>
      </c>
      <c r="DD338" t="s">
        <v>134</v>
      </c>
      <c r="DE338" t="s">
        <v>134</v>
      </c>
      <c r="DF338" t="str">
        <f>""</f>
        <v/>
      </c>
      <c r="DH338" s="6">
        <v>13.81</v>
      </c>
      <c r="DI338" t="s">
        <v>344</v>
      </c>
      <c r="DK338" t="s">
        <v>345</v>
      </c>
      <c r="DS338" s="6">
        <v>13.81</v>
      </c>
      <c r="DT338" t="s">
        <v>424</v>
      </c>
      <c r="DU338" s="1">
        <v>44354</v>
      </c>
      <c r="DV338" s="1">
        <v>44443</v>
      </c>
    </row>
    <row r="339" spans="1:126" ht="15" customHeight="1" x14ac:dyDescent="0.35">
      <c r="A339" t="s">
        <v>2642</v>
      </c>
      <c r="B339" t="s">
        <v>318</v>
      </c>
      <c r="C339" s="1">
        <v>44327</v>
      </c>
      <c r="D339" s="1">
        <v>44354</v>
      </c>
      <c r="H339" t="s">
        <v>319</v>
      </c>
      <c r="I339" t="s">
        <v>2643</v>
      </c>
      <c r="J339" t="s">
        <v>1266</v>
      </c>
      <c r="L339" t="s">
        <v>583</v>
      </c>
      <c r="M339" t="s">
        <v>2644</v>
      </c>
      <c r="N339" t="s">
        <v>2645</v>
      </c>
      <c r="O339" t="s">
        <v>2646</v>
      </c>
      <c r="P339" t="s">
        <v>1004</v>
      </c>
      <c r="Q339" s="3">
        <v>84720</v>
      </c>
      <c r="R339" t="s">
        <v>128</v>
      </c>
      <c r="T339" s="4">
        <v>13174902915</v>
      </c>
      <c r="V339" t="s">
        <v>2647</v>
      </c>
      <c r="W339" t="s">
        <v>2648</v>
      </c>
      <c r="Y339" t="s">
        <v>2644</v>
      </c>
      <c r="AA339" t="s">
        <v>2646</v>
      </c>
      <c r="AB339" t="s">
        <v>1008</v>
      </c>
      <c r="AC339" s="3" t="str">
        <f>"84720"</f>
        <v>84720</v>
      </c>
      <c r="AD339" t="s">
        <v>128</v>
      </c>
      <c r="AF339" s="4">
        <v>13174902915</v>
      </c>
      <c r="AH339" t="str">
        <f>"484110"</f>
        <v>484110</v>
      </c>
      <c r="AI339" t="s">
        <v>287</v>
      </c>
      <c r="AJ339" t="s">
        <v>2649</v>
      </c>
      <c r="AK339" t="s">
        <v>2371</v>
      </c>
      <c r="AM339" t="s">
        <v>2650</v>
      </c>
      <c r="AO339" t="s">
        <v>2651</v>
      </c>
      <c r="AP339" t="s">
        <v>1336</v>
      </c>
      <c r="AQ339" s="5">
        <v>74132</v>
      </c>
      <c r="AR339" t="s">
        <v>128</v>
      </c>
      <c r="AS339" t="s">
        <v>2652</v>
      </c>
      <c r="AT339" s="4">
        <v>19189065212</v>
      </c>
      <c r="AV339" t="s">
        <v>2647</v>
      </c>
      <c r="AW339" t="s">
        <v>2653</v>
      </c>
      <c r="AX339" t="s">
        <v>131</v>
      </c>
      <c r="AY339" t="s">
        <v>131</v>
      </c>
      <c r="AZ339" t="s">
        <v>131</v>
      </c>
      <c r="BA339" t="s">
        <v>131</v>
      </c>
      <c r="BB339" t="s">
        <v>131</v>
      </c>
      <c r="BC339" t="s">
        <v>131</v>
      </c>
      <c r="BD339" t="s">
        <v>131</v>
      </c>
      <c r="BE339" t="s">
        <v>132</v>
      </c>
      <c r="BH339" t="s">
        <v>2654</v>
      </c>
      <c r="BI339" t="s">
        <v>131</v>
      </c>
      <c r="BL339" t="s">
        <v>167</v>
      </c>
      <c r="BO339" t="s">
        <v>131</v>
      </c>
      <c r="BP339" t="s">
        <v>134</v>
      </c>
      <c r="BQ339" t="s">
        <v>131</v>
      </c>
      <c r="BS339" t="str">
        <f t="shared" si="29"/>
        <v>N/A</v>
      </c>
      <c r="BT339" t="s">
        <v>131</v>
      </c>
      <c r="BV339" t="str">
        <f>""</f>
        <v/>
      </c>
      <c r="BW339" t="s">
        <v>135</v>
      </c>
      <c r="BX339" t="str">
        <f>""</f>
        <v/>
      </c>
      <c r="BY339" t="str">
        <f>""</f>
        <v/>
      </c>
      <c r="BZ339" t="str">
        <f>""</f>
        <v/>
      </c>
      <c r="CA339" t="str">
        <f>"Clean driving record, post hire drug test "</f>
        <v xml:space="preserve">Clean driving record, post hire drug test </v>
      </c>
      <c r="CB339" t="s">
        <v>131</v>
      </c>
      <c r="CF339" t="s">
        <v>131</v>
      </c>
      <c r="CH339" t="str">
        <f>""</f>
        <v/>
      </c>
      <c r="CI339" t="s">
        <v>131</v>
      </c>
      <c r="CK339" t="s">
        <v>131</v>
      </c>
      <c r="CL339" t="str">
        <f>""</f>
        <v/>
      </c>
      <c r="CM339" t="str">
        <f>""</f>
        <v/>
      </c>
      <c r="CN339" t="str">
        <f>""</f>
        <v/>
      </c>
      <c r="CO339" t="str">
        <f>""</f>
        <v/>
      </c>
      <c r="CP339" t="str">
        <f>"53-3033.00"</f>
        <v>53-3033.00</v>
      </c>
      <c r="CQ339" t="s">
        <v>1904</v>
      </c>
      <c r="CR339" t="s">
        <v>918</v>
      </c>
      <c r="CS339" t="s">
        <v>131</v>
      </c>
      <c r="CU339" t="s">
        <v>2655</v>
      </c>
      <c r="CV339" t="s">
        <v>2377</v>
      </c>
      <c r="CW339" t="s">
        <v>228</v>
      </c>
      <c r="CX339" t="s">
        <v>229</v>
      </c>
      <c r="CZ339" s="3" t="str">
        <f>"46203"</f>
        <v>46203</v>
      </c>
      <c r="DA339" t="s">
        <v>135</v>
      </c>
      <c r="DB339" t="str">
        <f>"53-3033"</f>
        <v>53-3033</v>
      </c>
      <c r="DC339" t="s">
        <v>1904</v>
      </c>
      <c r="DD339" t="s">
        <v>134</v>
      </c>
      <c r="DE339" t="s">
        <v>134</v>
      </c>
      <c r="DF339" t="str">
        <f>""</f>
        <v/>
      </c>
      <c r="DH339" s="6">
        <v>18.350000000000001</v>
      </c>
      <c r="DI339" t="s">
        <v>344</v>
      </c>
      <c r="DK339" t="s">
        <v>345</v>
      </c>
      <c r="DR339" t="s">
        <v>2656</v>
      </c>
      <c r="DS339" s="6">
        <v>18.670000000000002</v>
      </c>
      <c r="DT339" t="s">
        <v>424</v>
      </c>
      <c r="DU339" s="1">
        <v>44354</v>
      </c>
      <c r="DV339" s="1">
        <v>44443</v>
      </c>
    </row>
    <row r="340" spans="1:126" ht="15" customHeight="1" x14ac:dyDescent="0.35">
      <c r="A340" t="s">
        <v>19265</v>
      </c>
      <c r="B340" t="s">
        <v>318</v>
      </c>
      <c r="C340" s="1">
        <v>44327</v>
      </c>
      <c r="D340" s="1">
        <v>44354</v>
      </c>
      <c r="H340" t="s">
        <v>319</v>
      </c>
      <c r="I340" t="s">
        <v>8126</v>
      </c>
      <c r="J340" t="s">
        <v>8127</v>
      </c>
      <c r="L340" t="s">
        <v>3767</v>
      </c>
      <c r="M340" t="s">
        <v>14978</v>
      </c>
      <c r="O340" t="s">
        <v>1759</v>
      </c>
      <c r="P340" t="s">
        <v>1760</v>
      </c>
      <c r="Q340" s="3">
        <v>70364</v>
      </c>
      <c r="R340" t="s">
        <v>128</v>
      </c>
      <c r="T340" s="4">
        <v>19856965558</v>
      </c>
      <c r="V340" t="s">
        <v>8128</v>
      </c>
      <c r="W340" t="s">
        <v>14979</v>
      </c>
      <c r="Y340" t="s">
        <v>14978</v>
      </c>
      <c r="AA340" t="s">
        <v>1759</v>
      </c>
      <c r="AB340" t="s">
        <v>1763</v>
      </c>
      <c r="AC340" s="3" t="str">
        <f>"70364"</f>
        <v>70364</v>
      </c>
      <c r="AD340" t="s">
        <v>128</v>
      </c>
      <c r="AF340" s="4">
        <v>19856965558</v>
      </c>
      <c r="AH340" t="str">
        <f>"114112"</f>
        <v>114112</v>
      </c>
      <c r="AI340" t="s">
        <v>130</v>
      </c>
      <c r="AJ340" t="s">
        <v>1764</v>
      </c>
      <c r="AK340" t="s">
        <v>1261</v>
      </c>
      <c r="AL340" t="s">
        <v>655</v>
      </c>
      <c r="AM340" t="s">
        <v>1765</v>
      </c>
      <c r="AO340" t="s">
        <v>1766</v>
      </c>
      <c r="AP340" t="s">
        <v>1763</v>
      </c>
      <c r="AQ340" s="5">
        <v>70130</v>
      </c>
      <c r="AR340" t="s">
        <v>128</v>
      </c>
      <c r="AT340" s="4">
        <v>15045861922</v>
      </c>
      <c r="AV340" t="s">
        <v>1767</v>
      </c>
      <c r="AW340" t="s">
        <v>1768</v>
      </c>
      <c r="AX340" t="s">
        <v>131</v>
      </c>
      <c r="AY340" t="s">
        <v>131</v>
      </c>
      <c r="AZ340" t="s">
        <v>131</v>
      </c>
      <c r="BA340" t="s">
        <v>131</v>
      </c>
      <c r="BB340" t="s">
        <v>131</v>
      </c>
      <c r="BC340" t="s">
        <v>131</v>
      </c>
      <c r="BD340" t="s">
        <v>131</v>
      </c>
      <c r="BE340" t="s">
        <v>132</v>
      </c>
      <c r="BH340" t="s">
        <v>1769</v>
      </c>
      <c r="BI340" t="s">
        <v>131</v>
      </c>
      <c r="BL340" t="s">
        <v>167</v>
      </c>
      <c r="BO340" t="s">
        <v>131</v>
      </c>
      <c r="BP340" t="s">
        <v>134</v>
      </c>
      <c r="BQ340" t="s">
        <v>131</v>
      </c>
      <c r="BS340" t="str">
        <f t="shared" si="29"/>
        <v>N/A</v>
      </c>
      <c r="BT340" t="s">
        <v>131</v>
      </c>
      <c r="BV340" t="str">
        <f>""</f>
        <v/>
      </c>
      <c r="BW340" t="s">
        <v>131</v>
      </c>
      <c r="BX340" t="str">
        <f>""</f>
        <v/>
      </c>
      <c r="BY340" t="str">
        <f>""</f>
        <v/>
      </c>
      <c r="BZ340" t="str">
        <f>""</f>
        <v/>
      </c>
      <c r="CA340" t="str">
        <f>""</f>
        <v/>
      </c>
      <c r="CB340" t="s">
        <v>131</v>
      </c>
      <c r="CF340" t="s">
        <v>131</v>
      </c>
      <c r="CH340" t="str">
        <f>""</f>
        <v/>
      </c>
      <c r="CI340" t="s">
        <v>131</v>
      </c>
      <c r="CK340" t="s">
        <v>131</v>
      </c>
      <c r="CL340" t="str">
        <f>""</f>
        <v/>
      </c>
      <c r="CM340" t="str">
        <f>""</f>
        <v/>
      </c>
      <c r="CN340" t="str">
        <f>""</f>
        <v/>
      </c>
      <c r="CO340" t="str">
        <f>""</f>
        <v/>
      </c>
      <c r="CP340" t="str">
        <f>"45-3011.00"</f>
        <v>45-3011.00</v>
      </c>
      <c r="CQ340" t="s">
        <v>1770</v>
      </c>
      <c r="CR340" t="s">
        <v>1771</v>
      </c>
      <c r="CS340" t="s">
        <v>131</v>
      </c>
      <c r="CU340" t="s">
        <v>14978</v>
      </c>
      <c r="CW340" t="s">
        <v>1759</v>
      </c>
      <c r="CX340" t="s">
        <v>1763</v>
      </c>
      <c r="CZ340" s="3" t="str">
        <f>"70364"</f>
        <v>70364</v>
      </c>
      <c r="DA340" t="s">
        <v>135</v>
      </c>
      <c r="DB340" t="str">
        <f>"45-3011"</f>
        <v>45-3011</v>
      </c>
      <c r="DC340" t="s">
        <v>1770</v>
      </c>
      <c r="DD340" t="s">
        <v>134</v>
      </c>
      <c r="DE340" t="s">
        <v>134</v>
      </c>
      <c r="DF340" t="str">
        <f>""</f>
        <v/>
      </c>
      <c r="DH340" s="6">
        <v>23.69</v>
      </c>
      <c r="DI340" t="s">
        <v>344</v>
      </c>
      <c r="DK340" t="s">
        <v>345</v>
      </c>
      <c r="DR340" t="s">
        <v>1774</v>
      </c>
      <c r="DS340" s="6">
        <v>23.69</v>
      </c>
      <c r="DT340" t="s">
        <v>424</v>
      </c>
      <c r="DU340" s="1">
        <v>44354</v>
      </c>
      <c r="DV340" s="1">
        <v>44443</v>
      </c>
    </row>
    <row r="341" spans="1:126" ht="15" customHeight="1" x14ac:dyDescent="0.35">
      <c r="A341" t="s">
        <v>17797</v>
      </c>
      <c r="B341" t="s">
        <v>318</v>
      </c>
      <c r="C341" s="1">
        <v>44327</v>
      </c>
      <c r="D341" s="1">
        <v>44354</v>
      </c>
      <c r="H341" t="s">
        <v>319</v>
      </c>
      <c r="I341" t="s">
        <v>10097</v>
      </c>
      <c r="J341" t="s">
        <v>17798</v>
      </c>
      <c r="K341" t="s">
        <v>15698</v>
      </c>
      <c r="L341" t="s">
        <v>583</v>
      </c>
      <c r="M341" t="s">
        <v>17799</v>
      </c>
      <c r="N341" t="s">
        <v>1930</v>
      </c>
      <c r="O341" t="s">
        <v>17631</v>
      </c>
      <c r="P341" t="s">
        <v>194</v>
      </c>
      <c r="Q341" s="3">
        <v>33404</v>
      </c>
      <c r="R341" t="s">
        <v>128</v>
      </c>
      <c r="T341" s="4">
        <v>15617660884</v>
      </c>
      <c r="U341">
        <v>0</v>
      </c>
      <c r="V341" t="s">
        <v>17800</v>
      </c>
      <c r="W341" t="s">
        <v>17801</v>
      </c>
      <c r="X341" t="s">
        <v>17801</v>
      </c>
      <c r="Y341" t="s">
        <v>17802</v>
      </c>
      <c r="Z341" t="s">
        <v>5943</v>
      </c>
      <c r="AA341" t="s">
        <v>17631</v>
      </c>
      <c r="AB341" t="s">
        <v>195</v>
      </c>
      <c r="AC341" s="3" t="str">
        <f>"33404"</f>
        <v>33404</v>
      </c>
      <c r="AD341" t="s">
        <v>128</v>
      </c>
      <c r="AF341" s="4">
        <v>15614047365</v>
      </c>
      <c r="AH341" t="str">
        <f>"561320"</f>
        <v>561320</v>
      </c>
      <c r="AI341" t="s">
        <v>167</v>
      </c>
      <c r="AX341" t="s">
        <v>131</v>
      </c>
      <c r="AY341" t="s">
        <v>131</v>
      </c>
      <c r="AZ341" t="s">
        <v>131</v>
      </c>
      <c r="BA341" t="s">
        <v>131</v>
      </c>
      <c r="BB341" t="s">
        <v>131</v>
      </c>
      <c r="BC341" t="s">
        <v>131</v>
      </c>
      <c r="BD341" t="s">
        <v>131</v>
      </c>
      <c r="BE341" t="s">
        <v>132</v>
      </c>
      <c r="BH341" t="s">
        <v>17803</v>
      </c>
      <c r="BI341" t="s">
        <v>131</v>
      </c>
      <c r="BL341" t="s">
        <v>401</v>
      </c>
      <c r="BO341" t="s">
        <v>131</v>
      </c>
      <c r="BP341" t="s">
        <v>134</v>
      </c>
      <c r="BQ341" t="s">
        <v>131</v>
      </c>
      <c r="BS341" t="str">
        <f t="shared" si="29"/>
        <v>N/A</v>
      </c>
      <c r="BT341" t="s">
        <v>131</v>
      </c>
      <c r="BV341" t="str">
        <f>""</f>
        <v/>
      </c>
      <c r="BW341" t="s">
        <v>131</v>
      </c>
      <c r="BX341" t="str">
        <f>""</f>
        <v/>
      </c>
      <c r="BY341" t="str">
        <f>""</f>
        <v/>
      </c>
      <c r="BZ341" t="str">
        <f>""</f>
        <v/>
      </c>
      <c r="CA341" t="str">
        <f>""</f>
        <v/>
      </c>
      <c r="CB341" t="s">
        <v>131</v>
      </c>
      <c r="CF341" t="s">
        <v>131</v>
      </c>
      <c r="CH341" t="str">
        <f>""</f>
        <v/>
      </c>
      <c r="CI341" t="s">
        <v>131</v>
      </c>
      <c r="CK341" t="s">
        <v>131</v>
      </c>
      <c r="CL341" t="str">
        <f>""</f>
        <v/>
      </c>
      <c r="CM341" t="str">
        <f>""</f>
        <v/>
      </c>
      <c r="CN341" t="str">
        <f>""</f>
        <v/>
      </c>
      <c r="CO341" t="str">
        <f>""</f>
        <v/>
      </c>
      <c r="CP341" t="str">
        <f>"53-7081.00"</f>
        <v>53-7081.00</v>
      </c>
      <c r="CQ341" t="s">
        <v>17804</v>
      </c>
      <c r="CR341" t="s">
        <v>303</v>
      </c>
      <c r="CS341" t="s">
        <v>131</v>
      </c>
      <c r="CU341" t="s">
        <v>17805</v>
      </c>
      <c r="CW341" t="s">
        <v>2482</v>
      </c>
      <c r="CX341" t="s">
        <v>195</v>
      </c>
      <c r="CZ341" s="3" t="str">
        <f>"32807"</f>
        <v>32807</v>
      </c>
      <c r="DA341" t="s">
        <v>131</v>
      </c>
      <c r="DB341" t="str">
        <f>"53-7081"</f>
        <v>53-7081</v>
      </c>
      <c r="DC341" t="s">
        <v>17804</v>
      </c>
      <c r="DD341" t="s">
        <v>134</v>
      </c>
      <c r="DE341" t="s">
        <v>134</v>
      </c>
      <c r="DF341" t="str">
        <f>""</f>
        <v/>
      </c>
      <c r="DH341" s="6">
        <v>17.059999999999999</v>
      </c>
      <c r="DI341" t="s">
        <v>344</v>
      </c>
      <c r="DK341" t="s">
        <v>345</v>
      </c>
      <c r="DR341" t="s">
        <v>15254</v>
      </c>
      <c r="DS341" s="6">
        <v>17.059999999999999</v>
      </c>
      <c r="DT341" t="s">
        <v>424</v>
      </c>
      <c r="DU341" s="1">
        <v>44354</v>
      </c>
      <c r="DV341" s="1">
        <v>44443</v>
      </c>
    </row>
    <row r="342" spans="1:126" ht="15" customHeight="1" x14ac:dyDescent="0.35">
      <c r="A342" t="s">
        <v>4366</v>
      </c>
      <c r="B342" t="s">
        <v>318</v>
      </c>
      <c r="C342" s="1">
        <v>44327</v>
      </c>
      <c r="D342" s="1">
        <v>44354</v>
      </c>
      <c r="H342" t="s">
        <v>319</v>
      </c>
      <c r="I342" t="s">
        <v>4367</v>
      </c>
      <c r="J342" t="s">
        <v>4368</v>
      </c>
      <c r="K342" t="s">
        <v>667</v>
      </c>
      <c r="L342" t="s">
        <v>395</v>
      </c>
      <c r="M342" t="s">
        <v>4369</v>
      </c>
      <c r="N342" t="s">
        <v>4370</v>
      </c>
      <c r="O342" t="s">
        <v>4371</v>
      </c>
      <c r="P342" t="s">
        <v>311</v>
      </c>
      <c r="Q342" s="3">
        <v>19533</v>
      </c>
      <c r="R342" t="s">
        <v>128</v>
      </c>
      <c r="T342" s="4">
        <v>16109264264</v>
      </c>
      <c r="V342" t="s">
        <v>134</v>
      </c>
      <c r="W342" t="s">
        <v>4372</v>
      </c>
      <c r="Y342" t="s">
        <v>4369</v>
      </c>
      <c r="Z342" t="s">
        <v>4370</v>
      </c>
      <c r="AA342" t="s">
        <v>4371</v>
      </c>
      <c r="AB342" t="s">
        <v>312</v>
      </c>
      <c r="AC342" s="3" t="str">
        <f>"19533"</f>
        <v>19533</v>
      </c>
      <c r="AD342" t="s">
        <v>128</v>
      </c>
      <c r="AF342" s="4">
        <v>16109264264</v>
      </c>
      <c r="AH342" t="str">
        <f>"56173"</f>
        <v>56173</v>
      </c>
      <c r="AI342" t="s">
        <v>287</v>
      </c>
      <c r="AJ342" t="s">
        <v>2917</v>
      </c>
      <c r="AK342" t="s">
        <v>2918</v>
      </c>
      <c r="AL342" t="s">
        <v>387</v>
      </c>
      <c r="AM342" t="s">
        <v>4373</v>
      </c>
      <c r="AO342" t="s">
        <v>3773</v>
      </c>
      <c r="AP342" t="s">
        <v>306</v>
      </c>
      <c r="AQ342" s="5">
        <v>22903</v>
      </c>
      <c r="AR342" t="s">
        <v>128</v>
      </c>
      <c r="AT342" s="4">
        <v>14342634300</v>
      </c>
      <c r="AV342" t="s">
        <v>4374</v>
      </c>
      <c r="AW342" t="s">
        <v>2923</v>
      </c>
      <c r="AX342" t="s">
        <v>131</v>
      </c>
      <c r="AY342" t="s">
        <v>131</v>
      </c>
      <c r="AZ342" t="s">
        <v>131</v>
      </c>
      <c r="BA342" t="s">
        <v>131</v>
      </c>
      <c r="BB342" t="s">
        <v>131</v>
      </c>
      <c r="BC342" t="s">
        <v>131</v>
      </c>
      <c r="BD342" t="s">
        <v>131</v>
      </c>
      <c r="BE342" t="s">
        <v>132</v>
      </c>
      <c r="BH342" t="s">
        <v>3780</v>
      </c>
      <c r="BI342" t="s">
        <v>131</v>
      </c>
      <c r="BL342" t="s">
        <v>167</v>
      </c>
      <c r="BO342" t="s">
        <v>131</v>
      </c>
      <c r="BP342" t="s">
        <v>134</v>
      </c>
      <c r="BQ342" t="s">
        <v>131</v>
      </c>
      <c r="BS342" t="str">
        <f t="shared" si="29"/>
        <v>N/A</v>
      </c>
      <c r="BT342" t="s">
        <v>135</v>
      </c>
      <c r="BU342">
        <v>3</v>
      </c>
      <c r="BV342" t="str">
        <f>"Requires three months of previous landscape experience."</f>
        <v>Requires three months of previous landscape experience.</v>
      </c>
      <c r="BW342" t="s">
        <v>135</v>
      </c>
      <c r="BX342" t="str">
        <f>""</f>
        <v/>
      </c>
      <c r="BY342" t="str">
        <f>""</f>
        <v/>
      </c>
      <c r="BZ342" t="str">
        <f>""</f>
        <v/>
      </c>
      <c r="CA342" t="str">
        <f>"Must lift/carry 50 lbs., when necessary.  Saturday and Sunday work required, when necessary.  Employer-paid drug test required of foreign and domestic workers prior to commencing work."</f>
        <v>Must lift/carry 50 lbs., when necessary.  Saturday and Sunday work required, when necessary.  Employer-paid drug test required of foreign and domestic workers prior to commencing work.</v>
      </c>
      <c r="CB342" t="s">
        <v>131</v>
      </c>
      <c r="CF342" t="s">
        <v>131</v>
      </c>
      <c r="CH342" t="str">
        <f>""</f>
        <v/>
      </c>
      <c r="CI342" t="s">
        <v>131</v>
      </c>
      <c r="CK342" t="s">
        <v>131</v>
      </c>
      <c r="CL342" t="str">
        <f>""</f>
        <v/>
      </c>
      <c r="CM342" t="str">
        <f>""</f>
        <v/>
      </c>
      <c r="CN342" t="str">
        <f>""</f>
        <v/>
      </c>
      <c r="CO342" t="str">
        <f>""</f>
        <v/>
      </c>
      <c r="CP342" t="str">
        <f>"37-3011.00"</f>
        <v>37-3011.00</v>
      </c>
      <c r="CQ342" t="s">
        <v>920</v>
      </c>
      <c r="CR342" t="s">
        <v>2924</v>
      </c>
      <c r="CS342" t="s">
        <v>135</v>
      </c>
      <c r="CT342" t="s">
        <v>2925</v>
      </c>
      <c r="CU342" t="s">
        <v>4369</v>
      </c>
      <c r="CW342" t="s">
        <v>4371</v>
      </c>
      <c r="CX342" t="s">
        <v>312</v>
      </c>
      <c r="CZ342" s="3" t="str">
        <f>"19533"</f>
        <v>19533</v>
      </c>
      <c r="DA342" t="s">
        <v>135</v>
      </c>
      <c r="DB342" t="str">
        <f>"37-3011"</f>
        <v>37-3011</v>
      </c>
      <c r="DC342" t="s">
        <v>920</v>
      </c>
      <c r="DD342" t="s">
        <v>134</v>
      </c>
      <c r="DE342" t="s">
        <v>134</v>
      </c>
      <c r="DF342" t="str">
        <f>""</f>
        <v/>
      </c>
      <c r="DH342" s="6">
        <v>14.31</v>
      </c>
      <c r="DI342" t="s">
        <v>344</v>
      </c>
      <c r="DK342" t="s">
        <v>345</v>
      </c>
      <c r="DS342" s="6">
        <v>14.31</v>
      </c>
      <c r="DT342" s="2" t="s">
        <v>347</v>
      </c>
      <c r="DU342" s="1">
        <v>44354</v>
      </c>
      <c r="DV342" s="1">
        <v>44443</v>
      </c>
    </row>
    <row r="343" spans="1:126" ht="15" customHeight="1" x14ac:dyDescent="0.35">
      <c r="A343" t="s">
        <v>14977</v>
      </c>
      <c r="B343" t="s">
        <v>318</v>
      </c>
      <c r="C343" s="1">
        <v>44327</v>
      </c>
      <c r="D343" s="1">
        <v>44354</v>
      </c>
      <c r="H343" t="s">
        <v>319</v>
      </c>
      <c r="I343" t="s">
        <v>8126</v>
      </c>
      <c r="J343" t="s">
        <v>8127</v>
      </c>
      <c r="L343" t="s">
        <v>3767</v>
      </c>
      <c r="M343" t="s">
        <v>14978</v>
      </c>
      <c r="O343" t="s">
        <v>1759</v>
      </c>
      <c r="P343" t="s">
        <v>1760</v>
      </c>
      <c r="Q343" s="3">
        <v>70364</v>
      </c>
      <c r="R343" t="s">
        <v>128</v>
      </c>
      <c r="T343" s="4">
        <v>19856965558</v>
      </c>
      <c r="V343" t="s">
        <v>8128</v>
      </c>
      <c r="W343" t="s">
        <v>14979</v>
      </c>
      <c r="Y343" t="s">
        <v>14978</v>
      </c>
      <c r="AA343" t="s">
        <v>1759</v>
      </c>
      <c r="AB343" t="s">
        <v>1763</v>
      </c>
      <c r="AC343" s="3" t="str">
        <f>"70364"</f>
        <v>70364</v>
      </c>
      <c r="AD343" t="s">
        <v>128</v>
      </c>
      <c r="AF343" s="4">
        <v>19854316307</v>
      </c>
      <c r="AH343" t="str">
        <f>"114112"</f>
        <v>114112</v>
      </c>
      <c r="AI343" t="s">
        <v>130</v>
      </c>
      <c r="AJ343" t="s">
        <v>1764</v>
      </c>
      <c r="AK343" t="s">
        <v>1261</v>
      </c>
      <c r="AL343" t="s">
        <v>655</v>
      </c>
      <c r="AM343" t="s">
        <v>1765</v>
      </c>
      <c r="AO343" t="s">
        <v>1766</v>
      </c>
      <c r="AP343" t="s">
        <v>1763</v>
      </c>
      <c r="AQ343" s="5">
        <v>70130</v>
      </c>
      <c r="AR343" t="s">
        <v>128</v>
      </c>
      <c r="AT343" s="4">
        <v>15045861922</v>
      </c>
      <c r="AV343" t="s">
        <v>1767</v>
      </c>
      <c r="AW343" t="s">
        <v>1768</v>
      </c>
      <c r="AX343" t="s">
        <v>131</v>
      </c>
      <c r="AY343" t="s">
        <v>131</v>
      </c>
      <c r="AZ343" t="s">
        <v>131</v>
      </c>
      <c r="BA343" t="s">
        <v>131</v>
      </c>
      <c r="BB343" t="s">
        <v>131</v>
      </c>
      <c r="BC343" t="s">
        <v>131</v>
      </c>
      <c r="BD343" t="s">
        <v>131</v>
      </c>
      <c r="BE343" t="s">
        <v>132</v>
      </c>
      <c r="BH343" t="s">
        <v>1769</v>
      </c>
      <c r="BI343" t="s">
        <v>131</v>
      </c>
      <c r="BL343" t="s">
        <v>167</v>
      </c>
      <c r="BO343" t="s">
        <v>131</v>
      </c>
      <c r="BP343" t="s">
        <v>134</v>
      </c>
      <c r="BQ343" t="s">
        <v>131</v>
      </c>
      <c r="BS343" t="str">
        <f t="shared" si="29"/>
        <v>N/A</v>
      </c>
      <c r="BT343" t="s">
        <v>131</v>
      </c>
      <c r="BV343" t="str">
        <f>""</f>
        <v/>
      </c>
      <c r="BW343" t="s">
        <v>131</v>
      </c>
      <c r="BX343" t="str">
        <f>""</f>
        <v/>
      </c>
      <c r="BY343" t="str">
        <f>""</f>
        <v/>
      </c>
      <c r="BZ343" t="str">
        <f>""</f>
        <v/>
      </c>
      <c r="CA343" t="str">
        <f>""</f>
        <v/>
      </c>
      <c r="CB343" t="s">
        <v>131</v>
      </c>
      <c r="CF343" t="s">
        <v>131</v>
      </c>
      <c r="CH343" t="str">
        <f>""</f>
        <v/>
      </c>
      <c r="CI343" t="s">
        <v>131</v>
      </c>
      <c r="CK343" t="s">
        <v>131</v>
      </c>
      <c r="CL343" t="str">
        <f>""</f>
        <v/>
      </c>
      <c r="CM343" t="str">
        <f>""</f>
        <v/>
      </c>
      <c r="CN343" t="str">
        <f>""</f>
        <v/>
      </c>
      <c r="CO343" t="str">
        <f>""</f>
        <v/>
      </c>
      <c r="CP343" t="str">
        <f>"45-3011.00"</f>
        <v>45-3011.00</v>
      </c>
      <c r="CQ343" t="s">
        <v>1770</v>
      </c>
      <c r="CR343" t="s">
        <v>1771</v>
      </c>
      <c r="CS343" t="s">
        <v>131</v>
      </c>
      <c r="CU343" t="s">
        <v>14980</v>
      </c>
      <c r="CW343" t="s">
        <v>8521</v>
      </c>
      <c r="CX343" t="s">
        <v>400</v>
      </c>
      <c r="CZ343" s="3" t="str">
        <f>"77539"</f>
        <v>77539</v>
      </c>
      <c r="DA343" t="s">
        <v>135</v>
      </c>
      <c r="DB343" t="str">
        <f>"45-3011"</f>
        <v>45-3011</v>
      </c>
      <c r="DC343" t="s">
        <v>1770</v>
      </c>
      <c r="DD343" t="s">
        <v>134</v>
      </c>
      <c r="DE343" t="s">
        <v>134</v>
      </c>
      <c r="DF343" t="str">
        <f>""</f>
        <v/>
      </c>
      <c r="DH343" s="6">
        <v>16.649999999999999</v>
      </c>
      <c r="DI343" t="s">
        <v>344</v>
      </c>
      <c r="DK343" t="s">
        <v>345</v>
      </c>
      <c r="DR343" t="s">
        <v>8525</v>
      </c>
      <c r="DS343" s="6">
        <v>16.649999999999999</v>
      </c>
      <c r="DT343" t="s">
        <v>424</v>
      </c>
      <c r="DU343" s="1">
        <v>44354</v>
      </c>
      <c r="DV343" s="1">
        <v>44443</v>
      </c>
    </row>
    <row r="344" spans="1:126" ht="15" customHeight="1" x14ac:dyDescent="0.35">
      <c r="A344" t="s">
        <v>16856</v>
      </c>
      <c r="B344" t="s">
        <v>318</v>
      </c>
      <c r="C344" s="1">
        <v>44327</v>
      </c>
      <c r="D344" s="1">
        <v>44354</v>
      </c>
      <c r="H344" t="s">
        <v>319</v>
      </c>
      <c r="I344" t="s">
        <v>8567</v>
      </c>
      <c r="J344" t="s">
        <v>8568</v>
      </c>
      <c r="K344" t="s">
        <v>192</v>
      </c>
      <c r="L344" t="s">
        <v>1105</v>
      </c>
      <c r="M344" t="s">
        <v>8569</v>
      </c>
      <c r="O344" t="s">
        <v>3439</v>
      </c>
      <c r="P344" t="s">
        <v>1760</v>
      </c>
      <c r="Q344" s="3">
        <v>70359</v>
      </c>
      <c r="R344" t="s">
        <v>128</v>
      </c>
      <c r="T344" s="4">
        <v>19856652618</v>
      </c>
      <c r="V344" t="s">
        <v>8570</v>
      </c>
      <c r="W344" t="s">
        <v>8571</v>
      </c>
      <c r="Y344" t="s">
        <v>8569</v>
      </c>
      <c r="AA344" t="s">
        <v>3439</v>
      </c>
      <c r="AB344" t="s">
        <v>1763</v>
      </c>
      <c r="AC344" s="3" t="str">
        <f>"70359"</f>
        <v>70359</v>
      </c>
      <c r="AD344" t="s">
        <v>128</v>
      </c>
      <c r="AF344" s="4">
        <v>19858578657</v>
      </c>
      <c r="AH344" t="str">
        <f>"561730"</f>
        <v>561730</v>
      </c>
      <c r="AI344" t="s">
        <v>287</v>
      </c>
      <c r="AJ344" t="s">
        <v>2304</v>
      </c>
      <c r="AK344" t="s">
        <v>5773</v>
      </c>
      <c r="AL344" t="s">
        <v>589</v>
      </c>
      <c r="AM344" t="s">
        <v>5774</v>
      </c>
      <c r="AN344" t="s">
        <v>5775</v>
      </c>
      <c r="AO344" t="s">
        <v>5776</v>
      </c>
      <c r="AP344" t="s">
        <v>1763</v>
      </c>
      <c r="AQ344" s="5">
        <v>70754</v>
      </c>
      <c r="AR344" t="s">
        <v>128</v>
      </c>
      <c r="AS344" t="s">
        <v>1763</v>
      </c>
      <c r="AT344" s="4">
        <v>12256863033</v>
      </c>
      <c r="AV344" t="s">
        <v>5777</v>
      </c>
      <c r="AW344" t="s">
        <v>5778</v>
      </c>
      <c r="AX344" t="s">
        <v>131</v>
      </c>
      <c r="AY344" t="s">
        <v>131</v>
      </c>
      <c r="AZ344" t="s">
        <v>131</v>
      </c>
      <c r="BA344" t="s">
        <v>131</v>
      </c>
      <c r="BB344" t="s">
        <v>131</v>
      </c>
      <c r="BC344" t="s">
        <v>131</v>
      </c>
      <c r="BD344" t="s">
        <v>131</v>
      </c>
      <c r="BE344" t="s">
        <v>132</v>
      </c>
      <c r="BH344" t="s">
        <v>16857</v>
      </c>
      <c r="BI344" t="s">
        <v>131</v>
      </c>
      <c r="BL344" t="s">
        <v>167</v>
      </c>
      <c r="BO344" t="s">
        <v>131</v>
      </c>
      <c r="BP344" t="s">
        <v>134</v>
      </c>
      <c r="BQ344" t="s">
        <v>131</v>
      </c>
      <c r="BS344" t="str">
        <f t="shared" si="29"/>
        <v>N/A</v>
      </c>
      <c r="BT344" t="s">
        <v>135</v>
      </c>
      <c r="BU344">
        <v>12</v>
      </c>
      <c r="BV344" t="str">
        <f>"Tree Trimming and Pruning"</f>
        <v>Tree Trimming and Pruning</v>
      </c>
      <c r="BW344" t="s">
        <v>135</v>
      </c>
      <c r="BX344" t="str">
        <f>""</f>
        <v/>
      </c>
      <c r="BY344" t="str">
        <f>""</f>
        <v/>
      </c>
      <c r="BZ344" t="str">
        <f>""</f>
        <v/>
      </c>
      <c r="CA344" s="2" t="s">
        <v>8573</v>
      </c>
      <c r="CB344" t="s">
        <v>131</v>
      </c>
      <c r="CF344" t="s">
        <v>131</v>
      </c>
      <c r="CH344" t="str">
        <f>""</f>
        <v/>
      </c>
      <c r="CI344" t="s">
        <v>131</v>
      </c>
      <c r="CK344" t="s">
        <v>131</v>
      </c>
      <c r="CL344" t="str">
        <f>""</f>
        <v/>
      </c>
      <c r="CM344" t="str">
        <f>""</f>
        <v/>
      </c>
      <c r="CN344" t="str">
        <f>""</f>
        <v/>
      </c>
      <c r="CO344" t="str">
        <f>""</f>
        <v/>
      </c>
      <c r="CP344" t="str">
        <f>"37-3013.00"</f>
        <v>37-3013.00</v>
      </c>
      <c r="CQ344" t="s">
        <v>4299</v>
      </c>
      <c r="CS344" t="s">
        <v>135</v>
      </c>
      <c r="CT344" s="2" t="s">
        <v>16858</v>
      </c>
      <c r="CU344" t="s">
        <v>8569</v>
      </c>
      <c r="CW344" t="s">
        <v>3439</v>
      </c>
      <c r="CX344" t="s">
        <v>1763</v>
      </c>
      <c r="CZ344" s="3" t="str">
        <f>"70359"</f>
        <v>70359</v>
      </c>
      <c r="DA344" t="s">
        <v>135</v>
      </c>
      <c r="DB344" t="str">
        <f>"37-3013"</f>
        <v>37-3013</v>
      </c>
      <c r="DC344" t="s">
        <v>4299</v>
      </c>
      <c r="DD344" t="s">
        <v>134</v>
      </c>
      <c r="DE344" t="s">
        <v>134</v>
      </c>
      <c r="DF344" t="str">
        <f>""</f>
        <v/>
      </c>
      <c r="DH344" s="6">
        <v>15.35</v>
      </c>
      <c r="DI344" t="s">
        <v>344</v>
      </c>
      <c r="DK344" t="s">
        <v>345</v>
      </c>
      <c r="DS344" s="6">
        <v>24.16</v>
      </c>
      <c r="DT344" s="2" t="s">
        <v>347</v>
      </c>
      <c r="DU344" s="1">
        <v>44354</v>
      </c>
      <c r="DV344" s="1">
        <v>44443</v>
      </c>
    </row>
    <row r="345" spans="1:126" ht="15" customHeight="1" x14ac:dyDescent="0.35">
      <c r="A345" t="s">
        <v>18642</v>
      </c>
      <c r="B345" t="s">
        <v>318</v>
      </c>
      <c r="C345" s="1">
        <v>44327</v>
      </c>
      <c r="D345" s="1">
        <v>44354</v>
      </c>
      <c r="H345" t="s">
        <v>319</v>
      </c>
      <c r="I345" t="s">
        <v>8126</v>
      </c>
      <c r="J345" t="s">
        <v>8127</v>
      </c>
      <c r="L345" t="s">
        <v>3767</v>
      </c>
      <c r="M345" t="s">
        <v>18643</v>
      </c>
      <c r="O345" t="s">
        <v>8567</v>
      </c>
      <c r="P345" t="s">
        <v>1760</v>
      </c>
      <c r="Q345" s="3">
        <v>70343</v>
      </c>
      <c r="R345" t="s">
        <v>128</v>
      </c>
      <c r="T345" s="4">
        <v>19856965558</v>
      </c>
      <c r="V345" t="s">
        <v>8128</v>
      </c>
      <c r="W345" t="s">
        <v>8129</v>
      </c>
      <c r="Y345" t="s">
        <v>18643</v>
      </c>
      <c r="AA345" t="s">
        <v>8567</v>
      </c>
      <c r="AB345" t="s">
        <v>1763</v>
      </c>
      <c r="AC345" s="3" t="str">
        <f>"70343"</f>
        <v>70343</v>
      </c>
      <c r="AD345" t="s">
        <v>128</v>
      </c>
      <c r="AF345" s="4">
        <v>19858567653</v>
      </c>
      <c r="AH345" t="str">
        <f>"114112"</f>
        <v>114112</v>
      </c>
      <c r="AI345" t="s">
        <v>130</v>
      </c>
      <c r="AJ345" t="s">
        <v>1764</v>
      </c>
      <c r="AK345" t="s">
        <v>1261</v>
      </c>
      <c r="AL345" t="s">
        <v>655</v>
      </c>
      <c r="AM345" t="s">
        <v>1765</v>
      </c>
      <c r="AO345" t="s">
        <v>1766</v>
      </c>
      <c r="AP345" t="s">
        <v>1763</v>
      </c>
      <c r="AQ345" s="5">
        <v>70130</v>
      </c>
      <c r="AR345" t="s">
        <v>128</v>
      </c>
      <c r="AT345" s="4">
        <v>15045861922</v>
      </c>
      <c r="AV345" t="s">
        <v>1767</v>
      </c>
      <c r="AW345" t="s">
        <v>1768</v>
      </c>
      <c r="AX345" t="s">
        <v>131</v>
      </c>
      <c r="AY345" t="s">
        <v>131</v>
      </c>
      <c r="AZ345" t="s">
        <v>131</v>
      </c>
      <c r="BA345" t="s">
        <v>131</v>
      </c>
      <c r="BB345" t="s">
        <v>131</v>
      </c>
      <c r="BC345" t="s">
        <v>131</v>
      </c>
      <c r="BD345" t="s">
        <v>131</v>
      </c>
      <c r="BE345" t="s">
        <v>132</v>
      </c>
      <c r="BH345" t="s">
        <v>1769</v>
      </c>
      <c r="BI345" t="s">
        <v>131</v>
      </c>
      <c r="BL345" t="s">
        <v>167</v>
      </c>
      <c r="BO345" t="s">
        <v>131</v>
      </c>
      <c r="BP345" t="s">
        <v>134</v>
      </c>
      <c r="BQ345" t="s">
        <v>131</v>
      </c>
      <c r="BS345" t="str">
        <f t="shared" si="29"/>
        <v>N/A</v>
      </c>
      <c r="BT345" t="s">
        <v>131</v>
      </c>
      <c r="BV345" t="str">
        <f>""</f>
        <v/>
      </c>
      <c r="BW345" t="s">
        <v>131</v>
      </c>
      <c r="BX345" t="str">
        <f>""</f>
        <v/>
      </c>
      <c r="BY345" t="str">
        <f>""</f>
        <v/>
      </c>
      <c r="BZ345" t="str">
        <f>""</f>
        <v/>
      </c>
      <c r="CA345" t="str">
        <f>""</f>
        <v/>
      </c>
      <c r="CB345" t="s">
        <v>131</v>
      </c>
      <c r="CF345" t="s">
        <v>131</v>
      </c>
      <c r="CH345" t="str">
        <f>""</f>
        <v/>
      </c>
      <c r="CI345" t="s">
        <v>131</v>
      </c>
      <c r="CK345" t="s">
        <v>131</v>
      </c>
      <c r="CL345" t="str">
        <f>""</f>
        <v/>
      </c>
      <c r="CM345" t="str">
        <f>""</f>
        <v/>
      </c>
      <c r="CN345" t="str">
        <f>""</f>
        <v/>
      </c>
      <c r="CO345" t="str">
        <f>""</f>
        <v/>
      </c>
      <c r="CP345" t="str">
        <f>"45-3011.00"</f>
        <v>45-3011.00</v>
      </c>
      <c r="CQ345" t="s">
        <v>1770</v>
      </c>
      <c r="CR345" t="s">
        <v>1771</v>
      </c>
      <c r="CS345" t="s">
        <v>131</v>
      </c>
      <c r="CU345" t="s">
        <v>18643</v>
      </c>
      <c r="CW345" t="s">
        <v>8567</v>
      </c>
      <c r="CX345" t="s">
        <v>1763</v>
      </c>
      <c r="CZ345" s="3" t="str">
        <f>"70343"</f>
        <v>70343</v>
      </c>
      <c r="DA345" t="s">
        <v>135</v>
      </c>
      <c r="DB345" t="str">
        <f>"45-3011"</f>
        <v>45-3011</v>
      </c>
      <c r="DC345" t="s">
        <v>1770</v>
      </c>
      <c r="DD345" t="s">
        <v>134</v>
      </c>
      <c r="DE345" t="s">
        <v>134</v>
      </c>
      <c r="DF345" t="str">
        <f>""</f>
        <v/>
      </c>
      <c r="DH345" s="6">
        <v>23.69</v>
      </c>
      <c r="DI345" t="s">
        <v>344</v>
      </c>
      <c r="DK345" t="s">
        <v>345</v>
      </c>
      <c r="DR345" t="s">
        <v>1774</v>
      </c>
      <c r="DS345" s="6">
        <v>23.69</v>
      </c>
      <c r="DT345" t="s">
        <v>424</v>
      </c>
      <c r="DU345" s="1">
        <v>44354</v>
      </c>
      <c r="DV345" s="1">
        <v>44443</v>
      </c>
    </row>
    <row r="346" spans="1:126" ht="15" customHeight="1" x14ac:dyDescent="0.35">
      <c r="A346" t="s">
        <v>20192</v>
      </c>
      <c r="B346" t="s">
        <v>318</v>
      </c>
      <c r="C346" s="1">
        <v>44327</v>
      </c>
      <c r="D346" s="1">
        <v>44356</v>
      </c>
      <c r="H346" t="s">
        <v>319</v>
      </c>
      <c r="I346" t="s">
        <v>2414</v>
      </c>
      <c r="J346" t="s">
        <v>6156</v>
      </c>
      <c r="L346" t="s">
        <v>2076</v>
      </c>
      <c r="M346" t="s">
        <v>6157</v>
      </c>
      <c r="O346" t="s">
        <v>6158</v>
      </c>
      <c r="P346" t="s">
        <v>194</v>
      </c>
      <c r="Q346" s="3">
        <v>33140</v>
      </c>
      <c r="R346" t="s">
        <v>128</v>
      </c>
      <c r="T346" s="4">
        <v>17863691539</v>
      </c>
      <c r="V346" t="s">
        <v>15178</v>
      </c>
      <c r="W346" t="s">
        <v>20193</v>
      </c>
      <c r="Y346" t="s">
        <v>20194</v>
      </c>
      <c r="AA346" t="s">
        <v>2025</v>
      </c>
      <c r="AB346" t="s">
        <v>195</v>
      </c>
      <c r="AC346" s="3" t="str">
        <f>"33140"</f>
        <v>33140</v>
      </c>
      <c r="AD346" t="s">
        <v>128</v>
      </c>
      <c r="AF346" s="4">
        <v>17863691539</v>
      </c>
      <c r="AH346" t="str">
        <f>"72111"</f>
        <v>72111</v>
      </c>
      <c r="AI346" t="s">
        <v>130</v>
      </c>
      <c r="AJ346" t="s">
        <v>3252</v>
      </c>
      <c r="AK346" t="s">
        <v>3253</v>
      </c>
      <c r="AL346" t="s">
        <v>589</v>
      </c>
      <c r="AM346" t="s">
        <v>3254</v>
      </c>
      <c r="AO346" t="s">
        <v>3255</v>
      </c>
      <c r="AP346" t="s">
        <v>779</v>
      </c>
      <c r="AQ346" s="5">
        <v>37110</v>
      </c>
      <c r="AR346" t="s">
        <v>128</v>
      </c>
      <c r="AT346" s="4">
        <v>19312747811</v>
      </c>
      <c r="AV346" t="s">
        <v>3256</v>
      </c>
      <c r="AW346" t="s">
        <v>3257</v>
      </c>
      <c r="AX346" t="s">
        <v>131</v>
      </c>
      <c r="AY346" t="s">
        <v>131</v>
      </c>
      <c r="AZ346" t="s">
        <v>131</v>
      </c>
      <c r="BA346" t="s">
        <v>131</v>
      </c>
      <c r="BB346" t="s">
        <v>131</v>
      </c>
      <c r="BC346" t="s">
        <v>131</v>
      </c>
      <c r="BD346" t="s">
        <v>131</v>
      </c>
      <c r="BE346" t="s">
        <v>132</v>
      </c>
      <c r="BH346" t="s">
        <v>6161</v>
      </c>
      <c r="BI346" t="s">
        <v>131</v>
      </c>
      <c r="BL346" t="s">
        <v>167</v>
      </c>
      <c r="BO346" t="s">
        <v>131</v>
      </c>
      <c r="BP346" t="s">
        <v>134</v>
      </c>
      <c r="BQ346" t="s">
        <v>131</v>
      </c>
      <c r="BS346" t="str">
        <f t="shared" si="29"/>
        <v>N/A</v>
      </c>
      <c r="BT346" t="s">
        <v>131</v>
      </c>
      <c r="BV346" t="str">
        <f>""</f>
        <v/>
      </c>
      <c r="BW346" t="s">
        <v>135</v>
      </c>
      <c r="BX346" t="str">
        <f>""</f>
        <v/>
      </c>
      <c r="BY346" t="str">
        <f>""</f>
        <v/>
      </c>
      <c r="BZ346" t="str">
        <f>""</f>
        <v/>
      </c>
      <c r="CA346" t="str">
        <f>"MUST BE ABLE TO PUSH, STAND, STOOP, BEND, AND LIFT ITEMS WEIGHING UP TO 25 POUNDS REPETITIVELY DURING ENTIRE SHIFT."</f>
        <v>MUST BE ABLE TO PUSH, STAND, STOOP, BEND, AND LIFT ITEMS WEIGHING UP TO 25 POUNDS REPETITIVELY DURING ENTIRE SHIFT.</v>
      </c>
      <c r="CB346" t="s">
        <v>131</v>
      </c>
      <c r="CF346" t="s">
        <v>131</v>
      </c>
      <c r="CH346" t="str">
        <f>""</f>
        <v/>
      </c>
      <c r="CI346" t="s">
        <v>131</v>
      </c>
      <c r="CK346" t="s">
        <v>131</v>
      </c>
      <c r="CL346" t="str">
        <f>""</f>
        <v/>
      </c>
      <c r="CM346" t="str">
        <f>""</f>
        <v/>
      </c>
      <c r="CN346" t="str">
        <f>""</f>
        <v/>
      </c>
      <c r="CO346" t="str">
        <f>""</f>
        <v/>
      </c>
      <c r="CP346" t="str">
        <f>"37-2012.00"</f>
        <v>37-2012.00</v>
      </c>
      <c r="CQ346" t="s">
        <v>479</v>
      </c>
      <c r="CS346" t="s">
        <v>131</v>
      </c>
      <c r="CU346" t="s">
        <v>6157</v>
      </c>
      <c r="CW346" t="s">
        <v>6158</v>
      </c>
      <c r="CX346" t="s">
        <v>195</v>
      </c>
      <c r="CZ346" s="3" t="str">
        <f>"33140"</f>
        <v>33140</v>
      </c>
      <c r="DA346" t="s">
        <v>131</v>
      </c>
      <c r="DB346" t="str">
        <f>"37-2012"</f>
        <v>37-2012</v>
      </c>
      <c r="DC346" t="s">
        <v>479</v>
      </c>
      <c r="DD346" t="s">
        <v>134</v>
      </c>
      <c r="DE346" t="s">
        <v>134</v>
      </c>
      <c r="DF346" t="str">
        <f>""</f>
        <v/>
      </c>
      <c r="DH346" s="6">
        <v>11.7</v>
      </c>
      <c r="DI346" t="s">
        <v>344</v>
      </c>
      <c r="DK346" t="s">
        <v>345</v>
      </c>
      <c r="DR346" t="s">
        <v>2160</v>
      </c>
      <c r="DS346" s="6">
        <v>11.7</v>
      </c>
      <c r="DT346" t="s">
        <v>424</v>
      </c>
      <c r="DU346" s="1">
        <v>44356</v>
      </c>
      <c r="DV346" s="1">
        <v>44445</v>
      </c>
    </row>
    <row r="347" spans="1:126" ht="15" customHeight="1" x14ac:dyDescent="0.35">
      <c r="A347" t="s">
        <v>16104</v>
      </c>
      <c r="B347" t="s">
        <v>318</v>
      </c>
      <c r="C347" s="1">
        <v>44327</v>
      </c>
      <c r="D347" s="1">
        <v>44356</v>
      </c>
      <c r="H347" t="s">
        <v>319</v>
      </c>
      <c r="I347" t="s">
        <v>2414</v>
      </c>
      <c r="J347" t="s">
        <v>6156</v>
      </c>
      <c r="L347" t="s">
        <v>2076</v>
      </c>
      <c r="M347" t="s">
        <v>6157</v>
      </c>
      <c r="O347" t="s">
        <v>6158</v>
      </c>
      <c r="P347" t="s">
        <v>194</v>
      </c>
      <c r="Q347" s="3">
        <v>33140</v>
      </c>
      <c r="R347" t="s">
        <v>128</v>
      </c>
      <c r="T347" s="4">
        <v>17863691539</v>
      </c>
      <c r="V347" t="s">
        <v>15178</v>
      </c>
      <c r="W347" t="s">
        <v>16105</v>
      </c>
      <c r="Y347" t="s">
        <v>16106</v>
      </c>
      <c r="AA347" t="s">
        <v>16107</v>
      </c>
      <c r="AB347" t="s">
        <v>195</v>
      </c>
      <c r="AC347" s="3" t="str">
        <f>"33154"</f>
        <v>33154</v>
      </c>
      <c r="AD347" t="s">
        <v>128</v>
      </c>
      <c r="AF347" s="4">
        <v>17863691539</v>
      </c>
      <c r="AH347" t="str">
        <f>"72111"</f>
        <v>72111</v>
      </c>
      <c r="AI347" t="s">
        <v>130</v>
      </c>
      <c r="AJ347" t="s">
        <v>3252</v>
      </c>
      <c r="AK347" t="s">
        <v>3253</v>
      </c>
      <c r="AL347" t="s">
        <v>589</v>
      </c>
      <c r="AM347" t="s">
        <v>3254</v>
      </c>
      <c r="AO347" t="s">
        <v>3255</v>
      </c>
      <c r="AP347" t="s">
        <v>779</v>
      </c>
      <c r="AQ347" s="5">
        <v>37110</v>
      </c>
      <c r="AR347" t="s">
        <v>128</v>
      </c>
      <c r="AT347" s="4">
        <v>19312747811</v>
      </c>
      <c r="AV347" t="s">
        <v>3256</v>
      </c>
      <c r="AW347" t="s">
        <v>3257</v>
      </c>
      <c r="AX347" t="s">
        <v>131</v>
      </c>
      <c r="AY347" t="s">
        <v>131</v>
      </c>
      <c r="AZ347" t="s">
        <v>131</v>
      </c>
      <c r="BA347" t="s">
        <v>131</v>
      </c>
      <c r="BB347" t="s">
        <v>131</v>
      </c>
      <c r="BC347" t="s">
        <v>131</v>
      </c>
      <c r="BD347" t="s">
        <v>131</v>
      </c>
      <c r="BE347" t="s">
        <v>132</v>
      </c>
      <c r="BH347" t="s">
        <v>6161</v>
      </c>
      <c r="BI347" t="s">
        <v>131</v>
      </c>
      <c r="BL347" t="s">
        <v>167</v>
      </c>
      <c r="BO347" t="s">
        <v>131</v>
      </c>
      <c r="BP347" t="s">
        <v>134</v>
      </c>
      <c r="BQ347" t="s">
        <v>131</v>
      </c>
      <c r="BS347" t="str">
        <f t="shared" si="29"/>
        <v>N/A</v>
      </c>
      <c r="BT347" t="s">
        <v>131</v>
      </c>
      <c r="BV347" t="str">
        <f>""</f>
        <v/>
      </c>
      <c r="BW347" t="s">
        <v>135</v>
      </c>
      <c r="BX347" t="str">
        <f>""</f>
        <v/>
      </c>
      <c r="BY347" t="str">
        <f>""</f>
        <v/>
      </c>
      <c r="BZ347" t="str">
        <f>""</f>
        <v/>
      </c>
      <c r="CA347" t="str">
        <f>"MUST BE ABLE TO PUSH, STAND, STOOP, BEND, AND LIFT ITEMS WEIGHING UP TO 25 POUNDS REPETITIVELY DURING ENTIRE SHIFT."</f>
        <v>MUST BE ABLE TO PUSH, STAND, STOOP, BEND, AND LIFT ITEMS WEIGHING UP TO 25 POUNDS REPETITIVELY DURING ENTIRE SHIFT.</v>
      </c>
      <c r="CB347" t="s">
        <v>131</v>
      </c>
      <c r="CF347" t="s">
        <v>131</v>
      </c>
      <c r="CH347" t="str">
        <f>""</f>
        <v/>
      </c>
      <c r="CI347" t="s">
        <v>131</v>
      </c>
      <c r="CK347" t="s">
        <v>131</v>
      </c>
      <c r="CL347" t="str">
        <f>""</f>
        <v/>
      </c>
      <c r="CM347" t="str">
        <f>""</f>
        <v/>
      </c>
      <c r="CN347" t="str">
        <f>""</f>
        <v/>
      </c>
      <c r="CO347" t="str">
        <f>""</f>
        <v/>
      </c>
      <c r="CP347" t="str">
        <f>"37-2012.00"</f>
        <v>37-2012.00</v>
      </c>
      <c r="CQ347" t="s">
        <v>479</v>
      </c>
      <c r="CS347" t="s">
        <v>131</v>
      </c>
      <c r="CU347" t="s">
        <v>16108</v>
      </c>
      <c r="CW347" t="s">
        <v>16107</v>
      </c>
      <c r="CX347" t="s">
        <v>195</v>
      </c>
      <c r="CZ347" s="3" t="str">
        <f>"33154"</f>
        <v>33154</v>
      </c>
      <c r="DA347" t="s">
        <v>131</v>
      </c>
      <c r="DB347" t="str">
        <f>"37-2012"</f>
        <v>37-2012</v>
      </c>
      <c r="DC347" t="s">
        <v>479</v>
      </c>
      <c r="DD347" t="s">
        <v>134</v>
      </c>
      <c r="DE347" t="s">
        <v>134</v>
      </c>
      <c r="DF347" t="str">
        <f>""</f>
        <v/>
      </c>
      <c r="DH347" s="6">
        <v>11.7</v>
      </c>
      <c r="DI347" t="s">
        <v>344</v>
      </c>
      <c r="DK347" t="s">
        <v>345</v>
      </c>
      <c r="DR347" t="s">
        <v>2160</v>
      </c>
      <c r="DS347" s="6">
        <v>11.7</v>
      </c>
      <c r="DT347" t="s">
        <v>424</v>
      </c>
      <c r="DU347" s="1">
        <v>44356</v>
      </c>
      <c r="DV347" s="1">
        <v>44445</v>
      </c>
    </row>
    <row r="348" spans="1:126" ht="15" customHeight="1" x14ac:dyDescent="0.35">
      <c r="A348" t="s">
        <v>19914</v>
      </c>
      <c r="B348" t="s">
        <v>318</v>
      </c>
      <c r="C348" s="1">
        <v>44327</v>
      </c>
      <c r="D348" s="1">
        <v>44354</v>
      </c>
      <c r="H348" t="s">
        <v>319</v>
      </c>
      <c r="I348" t="s">
        <v>8126</v>
      </c>
      <c r="J348" t="s">
        <v>8127</v>
      </c>
      <c r="L348" t="s">
        <v>3767</v>
      </c>
      <c r="M348" t="s">
        <v>18643</v>
      </c>
      <c r="O348" t="s">
        <v>8567</v>
      </c>
      <c r="P348" t="s">
        <v>1760</v>
      </c>
      <c r="Q348" s="3">
        <v>70343</v>
      </c>
      <c r="R348" t="s">
        <v>128</v>
      </c>
      <c r="T348" s="4">
        <v>19856965558</v>
      </c>
      <c r="V348" t="s">
        <v>8128</v>
      </c>
      <c r="W348" t="s">
        <v>8129</v>
      </c>
      <c r="Y348" t="s">
        <v>18643</v>
      </c>
      <c r="AA348" t="s">
        <v>8567</v>
      </c>
      <c r="AB348" t="s">
        <v>1763</v>
      </c>
      <c r="AC348" s="3" t="str">
        <f>"70343"</f>
        <v>70343</v>
      </c>
      <c r="AD348" t="s">
        <v>128</v>
      </c>
      <c r="AF348" s="4">
        <v>19858567653</v>
      </c>
      <c r="AH348" t="str">
        <f>"114112"</f>
        <v>114112</v>
      </c>
      <c r="AI348" t="s">
        <v>130</v>
      </c>
      <c r="AJ348" t="s">
        <v>1764</v>
      </c>
      <c r="AK348" t="s">
        <v>1261</v>
      </c>
      <c r="AL348" t="s">
        <v>655</v>
      </c>
      <c r="AM348" t="s">
        <v>1765</v>
      </c>
      <c r="AO348" t="s">
        <v>1766</v>
      </c>
      <c r="AP348" t="s">
        <v>1763</v>
      </c>
      <c r="AQ348" s="5">
        <v>70130</v>
      </c>
      <c r="AR348" t="s">
        <v>128</v>
      </c>
      <c r="AT348" s="4">
        <v>15045861922</v>
      </c>
      <c r="AV348" t="s">
        <v>1767</v>
      </c>
      <c r="AW348" t="s">
        <v>1768</v>
      </c>
      <c r="AX348" t="s">
        <v>131</v>
      </c>
      <c r="AY348" t="s">
        <v>131</v>
      </c>
      <c r="AZ348" t="s">
        <v>131</v>
      </c>
      <c r="BA348" t="s">
        <v>131</v>
      </c>
      <c r="BB348" t="s">
        <v>131</v>
      </c>
      <c r="BC348" t="s">
        <v>131</v>
      </c>
      <c r="BD348" t="s">
        <v>131</v>
      </c>
      <c r="BE348" t="s">
        <v>132</v>
      </c>
      <c r="BH348" t="s">
        <v>1769</v>
      </c>
      <c r="BI348" t="s">
        <v>131</v>
      </c>
      <c r="BL348" t="s">
        <v>167</v>
      </c>
      <c r="BO348" t="s">
        <v>131</v>
      </c>
      <c r="BP348" t="s">
        <v>134</v>
      </c>
      <c r="BQ348" t="s">
        <v>131</v>
      </c>
      <c r="BS348" t="str">
        <f t="shared" si="29"/>
        <v>N/A</v>
      </c>
      <c r="BT348" t="s">
        <v>131</v>
      </c>
      <c r="BV348" t="str">
        <f>""</f>
        <v/>
      </c>
      <c r="BW348" t="s">
        <v>131</v>
      </c>
      <c r="BX348" t="str">
        <f>""</f>
        <v/>
      </c>
      <c r="BY348" t="str">
        <f>""</f>
        <v/>
      </c>
      <c r="BZ348" t="str">
        <f>""</f>
        <v/>
      </c>
      <c r="CA348" t="str">
        <f>""</f>
        <v/>
      </c>
      <c r="CB348" t="s">
        <v>131</v>
      </c>
      <c r="CF348" t="s">
        <v>131</v>
      </c>
      <c r="CH348" t="str">
        <f>""</f>
        <v/>
      </c>
      <c r="CI348" t="s">
        <v>131</v>
      </c>
      <c r="CK348" t="s">
        <v>131</v>
      </c>
      <c r="CL348" t="str">
        <f>""</f>
        <v/>
      </c>
      <c r="CM348" t="str">
        <f>""</f>
        <v/>
      </c>
      <c r="CN348" t="str">
        <f>""</f>
        <v/>
      </c>
      <c r="CO348" t="str">
        <f>""</f>
        <v/>
      </c>
      <c r="CP348" t="str">
        <f>"45-3011.00"</f>
        <v>45-3011.00</v>
      </c>
      <c r="CQ348" t="s">
        <v>1770</v>
      </c>
      <c r="CR348" t="s">
        <v>1771</v>
      </c>
      <c r="CS348" t="s">
        <v>131</v>
      </c>
      <c r="CU348" t="s">
        <v>14980</v>
      </c>
      <c r="CW348" t="s">
        <v>8521</v>
      </c>
      <c r="CX348" t="s">
        <v>400</v>
      </c>
      <c r="CZ348" s="3" t="str">
        <f>"77539"</f>
        <v>77539</v>
      </c>
      <c r="DA348" t="s">
        <v>135</v>
      </c>
      <c r="DB348" t="str">
        <f>"45-3011"</f>
        <v>45-3011</v>
      </c>
      <c r="DC348" t="s">
        <v>1770</v>
      </c>
      <c r="DD348" t="s">
        <v>134</v>
      </c>
      <c r="DE348" t="s">
        <v>134</v>
      </c>
      <c r="DF348" t="str">
        <f>""</f>
        <v/>
      </c>
      <c r="DH348" s="6">
        <v>16.649999999999999</v>
      </c>
      <c r="DI348" t="s">
        <v>344</v>
      </c>
      <c r="DK348" t="s">
        <v>345</v>
      </c>
      <c r="DR348" t="s">
        <v>8525</v>
      </c>
      <c r="DS348" s="6">
        <v>16.649999999999999</v>
      </c>
      <c r="DT348" t="s">
        <v>424</v>
      </c>
      <c r="DU348" s="1">
        <v>44354</v>
      </c>
      <c r="DV348" s="1">
        <v>44443</v>
      </c>
    </row>
    <row r="349" spans="1:126" ht="15" customHeight="1" x14ac:dyDescent="0.35">
      <c r="A349" t="s">
        <v>17856</v>
      </c>
      <c r="B349" t="s">
        <v>318</v>
      </c>
      <c r="C349" s="1">
        <v>44327</v>
      </c>
      <c r="D349" s="1">
        <v>44356</v>
      </c>
      <c r="H349" t="s">
        <v>319</v>
      </c>
      <c r="I349" t="s">
        <v>2414</v>
      </c>
      <c r="J349" t="s">
        <v>6156</v>
      </c>
      <c r="L349" t="s">
        <v>2076</v>
      </c>
      <c r="M349" t="s">
        <v>17857</v>
      </c>
      <c r="O349" t="s">
        <v>17858</v>
      </c>
      <c r="P349" t="s">
        <v>194</v>
      </c>
      <c r="Q349" s="3">
        <v>33154</v>
      </c>
      <c r="R349" t="s">
        <v>128</v>
      </c>
      <c r="T349" s="4">
        <v>17863691539</v>
      </c>
      <c r="V349" t="s">
        <v>15178</v>
      </c>
      <c r="W349" t="s">
        <v>17859</v>
      </c>
      <c r="Y349" t="s">
        <v>17860</v>
      </c>
      <c r="AA349" t="s">
        <v>17858</v>
      </c>
      <c r="AB349" t="s">
        <v>195</v>
      </c>
      <c r="AC349" s="3" t="str">
        <f>"33154"</f>
        <v>33154</v>
      </c>
      <c r="AD349" t="s">
        <v>128</v>
      </c>
      <c r="AF349" s="4">
        <v>17863691539</v>
      </c>
      <c r="AH349" t="str">
        <f>"721110"</f>
        <v>721110</v>
      </c>
      <c r="AI349" t="s">
        <v>130</v>
      </c>
      <c r="AJ349" t="s">
        <v>3252</v>
      </c>
      <c r="AK349" t="s">
        <v>3253</v>
      </c>
      <c r="AL349" t="s">
        <v>589</v>
      </c>
      <c r="AM349" t="s">
        <v>3254</v>
      </c>
      <c r="AO349" t="s">
        <v>3255</v>
      </c>
      <c r="AP349" t="s">
        <v>779</v>
      </c>
      <c r="AQ349" s="5">
        <v>37110</v>
      </c>
      <c r="AR349" t="s">
        <v>128</v>
      </c>
      <c r="AT349" s="4">
        <v>19312747811</v>
      </c>
      <c r="AV349" t="s">
        <v>3256</v>
      </c>
      <c r="AW349" t="s">
        <v>3257</v>
      </c>
      <c r="AX349" t="s">
        <v>131</v>
      </c>
      <c r="AY349" t="s">
        <v>131</v>
      </c>
      <c r="AZ349" t="s">
        <v>131</v>
      </c>
      <c r="BA349" t="s">
        <v>131</v>
      </c>
      <c r="BB349" t="s">
        <v>131</v>
      </c>
      <c r="BC349" t="s">
        <v>131</v>
      </c>
      <c r="BD349" t="s">
        <v>131</v>
      </c>
      <c r="BE349" t="s">
        <v>132</v>
      </c>
      <c r="BH349" t="s">
        <v>6161</v>
      </c>
      <c r="BI349" t="s">
        <v>131</v>
      </c>
      <c r="BL349" t="s">
        <v>167</v>
      </c>
      <c r="BO349" t="s">
        <v>131</v>
      </c>
      <c r="BP349" t="s">
        <v>134</v>
      </c>
      <c r="BQ349" t="s">
        <v>131</v>
      </c>
      <c r="BS349" t="str">
        <f t="shared" si="29"/>
        <v>N/A</v>
      </c>
      <c r="BT349" t="s">
        <v>131</v>
      </c>
      <c r="BV349" t="str">
        <f>""</f>
        <v/>
      </c>
      <c r="BW349" t="s">
        <v>135</v>
      </c>
      <c r="BX349" t="str">
        <f>""</f>
        <v/>
      </c>
      <c r="BY349" t="str">
        <f>""</f>
        <v/>
      </c>
      <c r="BZ349" t="str">
        <f>""</f>
        <v/>
      </c>
      <c r="CA349" t="str">
        <f>"MUST BE ABLE TO PUSH, STAND, STOOP, BEND, AND LIFT ITEMS WEIGHING UP TO 25 POUNDS REPETITIVELY DURING ENTIRE SHIFT.
"</f>
        <v xml:space="preserve">MUST BE ABLE TO PUSH, STAND, STOOP, BEND, AND LIFT ITEMS WEIGHING UP TO 25 POUNDS REPETITIVELY DURING ENTIRE SHIFT.
</v>
      </c>
      <c r="CB349" t="s">
        <v>131</v>
      </c>
      <c r="CF349" t="s">
        <v>131</v>
      </c>
      <c r="CH349" t="str">
        <f>""</f>
        <v/>
      </c>
      <c r="CI349" t="s">
        <v>131</v>
      </c>
      <c r="CK349" t="s">
        <v>131</v>
      </c>
      <c r="CL349" t="str">
        <f>""</f>
        <v/>
      </c>
      <c r="CM349" t="str">
        <f>""</f>
        <v/>
      </c>
      <c r="CN349" t="str">
        <f>""</f>
        <v/>
      </c>
      <c r="CO349" t="str">
        <f>""</f>
        <v/>
      </c>
      <c r="CP349" t="str">
        <f>"37-2012.00"</f>
        <v>37-2012.00</v>
      </c>
      <c r="CQ349" t="s">
        <v>479</v>
      </c>
      <c r="CS349" t="s">
        <v>131</v>
      </c>
      <c r="CU349" t="s">
        <v>17857</v>
      </c>
      <c r="CW349" t="s">
        <v>17858</v>
      </c>
      <c r="CX349" t="s">
        <v>195</v>
      </c>
      <c r="CZ349" s="3" t="str">
        <f>"33154"</f>
        <v>33154</v>
      </c>
      <c r="DA349" t="s">
        <v>135</v>
      </c>
      <c r="DB349" t="str">
        <f>"37-2012"</f>
        <v>37-2012</v>
      </c>
      <c r="DC349" t="s">
        <v>479</v>
      </c>
      <c r="DD349" t="s">
        <v>134</v>
      </c>
      <c r="DE349" t="s">
        <v>134</v>
      </c>
      <c r="DF349" t="str">
        <f>""</f>
        <v/>
      </c>
      <c r="DH349" s="6">
        <v>11.7</v>
      </c>
      <c r="DI349" t="s">
        <v>344</v>
      </c>
      <c r="DK349" t="s">
        <v>345</v>
      </c>
      <c r="DS349" s="6">
        <v>11.7</v>
      </c>
      <c r="DT349" t="s">
        <v>424</v>
      </c>
      <c r="DU349" s="1">
        <v>44356</v>
      </c>
      <c r="DV349" s="1">
        <v>44445</v>
      </c>
    </row>
    <row r="350" spans="1:126" ht="15" customHeight="1" x14ac:dyDescent="0.35">
      <c r="A350" t="s">
        <v>7407</v>
      </c>
      <c r="B350" t="s">
        <v>318</v>
      </c>
      <c r="C350" s="1">
        <v>44327</v>
      </c>
      <c r="D350" s="1">
        <v>44354</v>
      </c>
      <c r="H350" t="s">
        <v>319</v>
      </c>
      <c r="I350" t="s">
        <v>3518</v>
      </c>
      <c r="J350" t="s">
        <v>3519</v>
      </c>
      <c r="L350" t="s">
        <v>7408</v>
      </c>
      <c r="M350" t="s">
        <v>7409</v>
      </c>
      <c r="O350" t="s">
        <v>1759</v>
      </c>
      <c r="P350" t="s">
        <v>1760</v>
      </c>
      <c r="Q350" s="3">
        <v>70364</v>
      </c>
      <c r="R350" t="s">
        <v>128</v>
      </c>
      <c r="T350" s="4">
        <v>19858763799</v>
      </c>
      <c r="V350" t="s">
        <v>7410</v>
      </c>
      <c r="W350" t="s">
        <v>7411</v>
      </c>
      <c r="Y350" t="s">
        <v>7409</v>
      </c>
      <c r="AA350" t="s">
        <v>1759</v>
      </c>
      <c r="AB350" t="s">
        <v>1763</v>
      </c>
      <c r="AC350" s="3" t="str">
        <f>"70364"</f>
        <v>70364</v>
      </c>
      <c r="AD350" t="s">
        <v>128</v>
      </c>
      <c r="AF350" s="4">
        <v>19858707958</v>
      </c>
      <c r="AH350" t="str">
        <f>"114112"</f>
        <v>114112</v>
      </c>
      <c r="AI350" t="s">
        <v>130</v>
      </c>
      <c r="AJ350" t="s">
        <v>1764</v>
      </c>
      <c r="AK350" t="s">
        <v>1261</v>
      </c>
      <c r="AL350" t="s">
        <v>655</v>
      </c>
      <c r="AM350" t="s">
        <v>1765</v>
      </c>
      <c r="AO350" t="s">
        <v>1766</v>
      </c>
      <c r="AP350" t="s">
        <v>1763</v>
      </c>
      <c r="AQ350" s="5">
        <v>70130</v>
      </c>
      <c r="AR350" t="s">
        <v>128</v>
      </c>
      <c r="AT350" s="4">
        <v>15045861922</v>
      </c>
      <c r="AV350" t="s">
        <v>1767</v>
      </c>
      <c r="AW350" t="s">
        <v>1768</v>
      </c>
      <c r="AX350" t="s">
        <v>131</v>
      </c>
      <c r="AY350" t="s">
        <v>131</v>
      </c>
      <c r="AZ350" t="s">
        <v>131</v>
      </c>
      <c r="BA350" t="s">
        <v>131</v>
      </c>
      <c r="BB350" t="s">
        <v>131</v>
      </c>
      <c r="BC350" t="s">
        <v>131</v>
      </c>
      <c r="BD350" t="s">
        <v>131</v>
      </c>
      <c r="BE350" t="s">
        <v>132</v>
      </c>
      <c r="BH350" t="s">
        <v>1769</v>
      </c>
      <c r="BI350" t="s">
        <v>131</v>
      </c>
      <c r="BL350" t="s">
        <v>167</v>
      </c>
      <c r="BO350" t="s">
        <v>131</v>
      </c>
      <c r="BP350" t="s">
        <v>134</v>
      </c>
      <c r="BQ350" t="s">
        <v>131</v>
      </c>
      <c r="BS350" t="str">
        <f t="shared" si="29"/>
        <v>N/A</v>
      </c>
      <c r="BT350" t="s">
        <v>131</v>
      </c>
      <c r="BV350" t="str">
        <f>""</f>
        <v/>
      </c>
      <c r="BW350" t="s">
        <v>131</v>
      </c>
      <c r="BX350" t="str">
        <f>""</f>
        <v/>
      </c>
      <c r="BY350" t="str">
        <f>""</f>
        <v/>
      </c>
      <c r="BZ350" t="str">
        <f>""</f>
        <v/>
      </c>
      <c r="CA350" t="str">
        <f>""</f>
        <v/>
      </c>
      <c r="CB350" t="s">
        <v>131</v>
      </c>
      <c r="CF350" t="s">
        <v>131</v>
      </c>
      <c r="CH350" t="str">
        <f>""</f>
        <v/>
      </c>
      <c r="CI350" t="s">
        <v>131</v>
      </c>
      <c r="CK350" t="s">
        <v>131</v>
      </c>
      <c r="CL350" t="str">
        <f>""</f>
        <v/>
      </c>
      <c r="CM350" t="str">
        <f>""</f>
        <v/>
      </c>
      <c r="CN350" t="str">
        <f>""</f>
        <v/>
      </c>
      <c r="CO350" t="str">
        <f>""</f>
        <v/>
      </c>
      <c r="CP350" t="str">
        <f>"45-3011.00"</f>
        <v>45-3011.00</v>
      </c>
      <c r="CQ350" t="s">
        <v>1770</v>
      </c>
      <c r="CR350" t="s">
        <v>1771</v>
      </c>
      <c r="CS350" t="s">
        <v>131</v>
      </c>
      <c r="CU350" t="s">
        <v>7412</v>
      </c>
      <c r="CW350" t="s">
        <v>7413</v>
      </c>
      <c r="CX350" t="s">
        <v>400</v>
      </c>
      <c r="CZ350" s="3" t="str">
        <f>"77983"</f>
        <v>77983</v>
      </c>
      <c r="DA350" t="s">
        <v>131</v>
      </c>
      <c r="DB350" t="str">
        <f>"45-3011"</f>
        <v>45-3011</v>
      </c>
      <c r="DC350" t="s">
        <v>1770</v>
      </c>
      <c r="DD350" t="s">
        <v>134</v>
      </c>
      <c r="DE350" t="s">
        <v>134</v>
      </c>
      <c r="DF350" t="str">
        <f>""</f>
        <v/>
      </c>
      <c r="DH350" s="6">
        <v>14.29</v>
      </c>
      <c r="DI350" t="s">
        <v>344</v>
      </c>
      <c r="DK350" t="s">
        <v>345</v>
      </c>
      <c r="DS350" s="6">
        <v>14.29</v>
      </c>
      <c r="DT350" t="s">
        <v>424</v>
      </c>
      <c r="DU350" s="1">
        <v>44354</v>
      </c>
      <c r="DV350" s="1">
        <v>44443</v>
      </c>
    </row>
    <row r="351" spans="1:126" ht="15" customHeight="1" x14ac:dyDescent="0.35">
      <c r="A351" t="s">
        <v>19340</v>
      </c>
      <c r="B351" t="s">
        <v>318</v>
      </c>
      <c r="C351" s="1">
        <v>44327</v>
      </c>
      <c r="D351" s="1">
        <v>44354</v>
      </c>
      <c r="H351" t="s">
        <v>319</v>
      </c>
      <c r="I351" t="s">
        <v>8567</v>
      </c>
      <c r="J351" t="s">
        <v>8568</v>
      </c>
      <c r="K351" t="s">
        <v>192</v>
      </c>
      <c r="L351" t="s">
        <v>1105</v>
      </c>
      <c r="M351" t="s">
        <v>8569</v>
      </c>
      <c r="O351" t="s">
        <v>3439</v>
      </c>
      <c r="P351" t="s">
        <v>1760</v>
      </c>
      <c r="Q351" s="3">
        <v>70359</v>
      </c>
      <c r="R351" t="s">
        <v>128</v>
      </c>
      <c r="T351" s="4">
        <v>19856652618</v>
      </c>
      <c r="V351" t="s">
        <v>8570</v>
      </c>
      <c r="W351" t="s">
        <v>8571</v>
      </c>
      <c r="Y351" t="s">
        <v>8569</v>
      </c>
      <c r="AA351" t="s">
        <v>3439</v>
      </c>
      <c r="AB351" t="s">
        <v>1763</v>
      </c>
      <c r="AC351" s="3" t="str">
        <f>"70359"</f>
        <v>70359</v>
      </c>
      <c r="AD351" t="s">
        <v>128</v>
      </c>
      <c r="AF351" s="4">
        <v>19858578657</v>
      </c>
      <c r="AH351" t="str">
        <f>"561730"</f>
        <v>561730</v>
      </c>
      <c r="AI351" t="s">
        <v>287</v>
      </c>
      <c r="AJ351" t="s">
        <v>2304</v>
      </c>
      <c r="AK351" t="s">
        <v>5773</v>
      </c>
      <c r="AL351" t="s">
        <v>589</v>
      </c>
      <c r="AM351" t="s">
        <v>5774</v>
      </c>
      <c r="AN351" t="s">
        <v>5775</v>
      </c>
      <c r="AO351" t="s">
        <v>5776</v>
      </c>
      <c r="AP351" t="s">
        <v>1763</v>
      </c>
      <c r="AQ351" s="5">
        <v>70754</v>
      </c>
      <c r="AR351" t="s">
        <v>128</v>
      </c>
      <c r="AS351" t="s">
        <v>1763</v>
      </c>
      <c r="AT351" s="4">
        <v>12256863033</v>
      </c>
      <c r="AV351" t="s">
        <v>5777</v>
      </c>
      <c r="AW351" t="s">
        <v>5778</v>
      </c>
      <c r="AX351" t="s">
        <v>131</v>
      </c>
      <c r="AY351" t="s">
        <v>131</v>
      </c>
      <c r="AZ351" t="s">
        <v>131</v>
      </c>
      <c r="BA351" t="s">
        <v>131</v>
      </c>
      <c r="BB351" t="s">
        <v>131</v>
      </c>
      <c r="BC351" t="s">
        <v>131</v>
      </c>
      <c r="BD351" t="s">
        <v>131</v>
      </c>
      <c r="BE351" t="s">
        <v>132</v>
      </c>
      <c r="BH351" t="s">
        <v>19341</v>
      </c>
      <c r="BI351" t="s">
        <v>131</v>
      </c>
      <c r="BL351" t="s">
        <v>167</v>
      </c>
      <c r="BO351" t="s">
        <v>131</v>
      </c>
      <c r="BP351" t="s">
        <v>134</v>
      </c>
      <c r="BQ351" t="s">
        <v>131</v>
      </c>
      <c r="BS351" t="str">
        <f t="shared" si="29"/>
        <v>N/A</v>
      </c>
      <c r="BT351" t="s">
        <v>135</v>
      </c>
      <c r="BU351">
        <v>12</v>
      </c>
      <c r="BV351" t="str">
        <f>"Tree trimming and Pruning "</f>
        <v xml:space="preserve">Tree trimming and Pruning </v>
      </c>
      <c r="BW351" t="s">
        <v>135</v>
      </c>
      <c r="BX351" t="str">
        <f>""</f>
        <v/>
      </c>
      <c r="BY351" t="str">
        <f>""</f>
        <v/>
      </c>
      <c r="BZ351" t="str">
        <f>""</f>
        <v/>
      </c>
      <c r="CA351" s="2" t="s">
        <v>8573</v>
      </c>
      <c r="CB351" t="s">
        <v>131</v>
      </c>
      <c r="CF351" t="s">
        <v>131</v>
      </c>
      <c r="CH351" t="str">
        <f>""</f>
        <v/>
      </c>
      <c r="CI351" t="s">
        <v>131</v>
      </c>
      <c r="CK351" t="s">
        <v>131</v>
      </c>
      <c r="CL351" t="str">
        <f>""</f>
        <v/>
      </c>
      <c r="CM351" t="str">
        <f>""</f>
        <v/>
      </c>
      <c r="CN351" t="str">
        <f>""</f>
        <v/>
      </c>
      <c r="CO351" t="str">
        <f>""</f>
        <v/>
      </c>
      <c r="CP351" t="str">
        <f>"37-3013.00"</f>
        <v>37-3013.00</v>
      </c>
      <c r="CQ351" t="s">
        <v>4299</v>
      </c>
      <c r="CS351" t="s">
        <v>135</v>
      </c>
      <c r="CT351" t="s">
        <v>18699</v>
      </c>
      <c r="CU351" t="s">
        <v>19342</v>
      </c>
      <c r="CW351" t="s">
        <v>8576</v>
      </c>
      <c r="CX351" t="s">
        <v>1763</v>
      </c>
      <c r="CZ351" s="3" t="str">
        <f>"70359"</f>
        <v>70359</v>
      </c>
      <c r="DA351" t="s">
        <v>135</v>
      </c>
      <c r="DB351" t="str">
        <f>"37-3013"</f>
        <v>37-3013</v>
      </c>
      <c r="DC351" t="s">
        <v>4299</v>
      </c>
      <c r="DD351" t="s">
        <v>134</v>
      </c>
      <c r="DE351" t="s">
        <v>134</v>
      </c>
      <c r="DF351" t="str">
        <f>""</f>
        <v/>
      </c>
      <c r="DH351" s="6">
        <v>15.35</v>
      </c>
      <c r="DI351" t="s">
        <v>344</v>
      </c>
      <c r="DK351" t="s">
        <v>345</v>
      </c>
      <c r="DR351" t="s">
        <v>1774</v>
      </c>
      <c r="DS351" s="6">
        <v>15.35</v>
      </c>
      <c r="DT351" s="2" t="s">
        <v>347</v>
      </c>
      <c r="DU351" s="1">
        <v>44354</v>
      </c>
      <c r="DV351" s="1">
        <v>44443</v>
      </c>
    </row>
    <row r="352" spans="1:126" ht="15" customHeight="1" x14ac:dyDescent="0.35">
      <c r="A352" t="s">
        <v>16792</v>
      </c>
      <c r="B352" t="s">
        <v>318</v>
      </c>
      <c r="C352" s="1">
        <v>44327</v>
      </c>
      <c r="D352" s="1">
        <v>44354</v>
      </c>
      <c r="H352" t="s">
        <v>319</v>
      </c>
      <c r="I352" t="s">
        <v>16793</v>
      </c>
      <c r="J352" t="s">
        <v>1107</v>
      </c>
      <c r="L352" t="s">
        <v>1105</v>
      </c>
      <c r="M352" t="s">
        <v>16794</v>
      </c>
      <c r="N352" t="s">
        <v>16795</v>
      </c>
      <c r="O352" t="s">
        <v>16796</v>
      </c>
      <c r="P352" t="s">
        <v>818</v>
      </c>
      <c r="Q352" s="3">
        <v>30666</v>
      </c>
      <c r="R352" t="s">
        <v>128</v>
      </c>
      <c r="T352" s="4">
        <v>17707251100</v>
      </c>
      <c r="V352" t="s">
        <v>134</v>
      </c>
      <c r="W352" t="s">
        <v>16797</v>
      </c>
      <c r="Y352" t="s">
        <v>16794</v>
      </c>
      <c r="Z352" t="s">
        <v>16795</v>
      </c>
      <c r="AA352" t="s">
        <v>16796</v>
      </c>
      <c r="AB352" t="s">
        <v>643</v>
      </c>
      <c r="AC352" s="3" t="str">
        <f>"30666"</f>
        <v>30666</v>
      </c>
      <c r="AD352" t="s">
        <v>128</v>
      </c>
      <c r="AF352" s="4">
        <v>17707251100</v>
      </c>
      <c r="AH352" t="str">
        <f>"23622"</f>
        <v>23622</v>
      </c>
      <c r="AI352" t="s">
        <v>287</v>
      </c>
      <c r="AJ352" t="s">
        <v>2917</v>
      </c>
      <c r="AK352" t="s">
        <v>2918</v>
      </c>
      <c r="AM352" t="s">
        <v>3772</v>
      </c>
      <c r="AO352" t="s">
        <v>3773</v>
      </c>
      <c r="AP352" t="s">
        <v>306</v>
      </c>
      <c r="AQ352" s="5">
        <v>22903</v>
      </c>
      <c r="AR352" t="s">
        <v>128</v>
      </c>
      <c r="AT352" s="4">
        <v>14342634300</v>
      </c>
      <c r="AV352" t="s">
        <v>3774</v>
      </c>
      <c r="AW352" t="s">
        <v>2923</v>
      </c>
      <c r="AX352" t="s">
        <v>131</v>
      </c>
      <c r="AY352" t="s">
        <v>131</v>
      </c>
      <c r="AZ352" t="s">
        <v>131</v>
      </c>
      <c r="BA352" t="s">
        <v>131</v>
      </c>
      <c r="BB352" t="s">
        <v>131</v>
      </c>
      <c r="BC352" t="s">
        <v>131</v>
      </c>
      <c r="BD352" t="s">
        <v>131</v>
      </c>
      <c r="BE352" t="s">
        <v>132</v>
      </c>
      <c r="BH352" t="s">
        <v>3007</v>
      </c>
      <c r="BI352" t="s">
        <v>131</v>
      </c>
      <c r="BL352" t="s">
        <v>167</v>
      </c>
      <c r="BO352" t="s">
        <v>131</v>
      </c>
      <c r="BP352" t="s">
        <v>134</v>
      </c>
      <c r="BQ352" t="s">
        <v>131</v>
      </c>
      <c r="BS352" t="str">
        <f t="shared" si="29"/>
        <v>N/A</v>
      </c>
      <c r="BT352" t="s">
        <v>131</v>
      </c>
      <c r="BV352" t="str">
        <f>""</f>
        <v/>
      </c>
      <c r="BW352" t="s">
        <v>135</v>
      </c>
      <c r="BX352" t="str">
        <f>""</f>
        <v/>
      </c>
      <c r="BY352" t="str">
        <f>""</f>
        <v/>
      </c>
      <c r="BZ352" t="str">
        <f>""</f>
        <v/>
      </c>
      <c r="CA352" t="s">
        <v>16798</v>
      </c>
      <c r="CB352" t="s">
        <v>131</v>
      </c>
      <c r="CF352" t="s">
        <v>131</v>
      </c>
      <c r="CH352" t="str">
        <f>""</f>
        <v/>
      </c>
      <c r="CI352" t="s">
        <v>131</v>
      </c>
      <c r="CK352" t="s">
        <v>131</v>
      </c>
      <c r="CL352" t="str">
        <f>""</f>
        <v/>
      </c>
      <c r="CM352" t="str">
        <f>""</f>
        <v/>
      </c>
      <c r="CN352" t="str">
        <f>""</f>
        <v/>
      </c>
      <c r="CO352" t="str">
        <f>""</f>
        <v/>
      </c>
      <c r="CP352" t="str">
        <f>"51-2092.00"</f>
        <v>51-2092.00</v>
      </c>
      <c r="CQ352" t="s">
        <v>3007</v>
      </c>
      <c r="CR352" t="s">
        <v>2924</v>
      </c>
      <c r="CS352" t="s">
        <v>131</v>
      </c>
      <c r="CU352" t="s">
        <v>16799</v>
      </c>
      <c r="CW352" t="s">
        <v>16800</v>
      </c>
      <c r="CX352" t="s">
        <v>1218</v>
      </c>
      <c r="CZ352" s="3" t="str">
        <f>"35950"</f>
        <v>35950</v>
      </c>
      <c r="DA352" t="s">
        <v>131</v>
      </c>
      <c r="DB352" t="str">
        <f>"51-2092"</f>
        <v>51-2092</v>
      </c>
      <c r="DC352" t="s">
        <v>3007</v>
      </c>
      <c r="DD352" t="s">
        <v>134</v>
      </c>
      <c r="DE352" t="s">
        <v>134</v>
      </c>
      <c r="DF352" t="str">
        <f>""</f>
        <v/>
      </c>
      <c r="DH352" s="6">
        <v>19.829999999999998</v>
      </c>
      <c r="DI352" t="s">
        <v>344</v>
      </c>
      <c r="DK352" t="s">
        <v>345</v>
      </c>
      <c r="DS352" s="6">
        <v>19.829999999999998</v>
      </c>
      <c r="DT352" t="s">
        <v>424</v>
      </c>
      <c r="DU352" s="1">
        <v>44354</v>
      </c>
      <c r="DV352" s="1">
        <v>44443</v>
      </c>
    </row>
    <row r="353" spans="1:126" ht="15" customHeight="1" x14ac:dyDescent="0.35">
      <c r="A353" t="s">
        <v>16383</v>
      </c>
      <c r="B353" t="s">
        <v>318</v>
      </c>
      <c r="C353" s="1">
        <v>44327</v>
      </c>
      <c r="D353" s="1">
        <v>44354</v>
      </c>
      <c r="H353" t="s">
        <v>319</v>
      </c>
      <c r="I353" t="s">
        <v>2699</v>
      </c>
      <c r="J353" t="s">
        <v>4068</v>
      </c>
      <c r="K353" t="s">
        <v>730</v>
      </c>
      <c r="L353" t="s">
        <v>395</v>
      </c>
      <c r="M353" t="s">
        <v>16384</v>
      </c>
      <c r="O353" t="s">
        <v>1471</v>
      </c>
      <c r="P353" t="s">
        <v>441</v>
      </c>
      <c r="Q353" s="3">
        <v>44125</v>
      </c>
      <c r="R353" t="s">
        <v>128</v>
      </c>
      <c r="T353" s="4">
        <v>12168837000</v>
      </c>
      <c r="V353" t="s">
        <v>134</v>
      </c>
      <c r="W353" t="s">
        <v>16385</v>
      </c>
      <c r="Y353" t="s">
        <v>16384</v>
      </c>
      <c r="AA353" t="s">
        <v>1471</v>
      </c>
      <c r="AB353" t="s">
        <v>444</v>
      </c>
      <c r="AC353" s="3" t="str">
        <f>"44125"</f>
        <v>44125</v>
      </c>
      <c r="AD353" t="s">
        <v>128</v>
      </c>
      <c r="AF353" s="4">
        <v>12168837000</v>
      </c>
      <c r="AH353" t="str">
        <f>"54132"</f>
        <v>54132</v>
      </c>
      <c r="AI353" t="s">
        <v>287</v>
      </c>
      <c r="AJ353" t="s">
        <v>2917</v>
      </c>
      <c r="AK353" t="s">
        <v>2918</v>
      </c>
      <c r="AM353" t="s">
        <v>3772</v>
      </c>
      <c r="AO353" t="s">
        <v>3773</v>
      </c>
      <c r="AP353" t="s">
        <v>306</v>
      </c>
      <c r="AQ353" s="5">
        <v>22903</v>
      </c>
      <c r="AR353" t="s">
        <v>128</v>
      </c>
      <c r="AT353" s="4">
        <v>14342634300</v>
      </c>
      <c r="AV353" t="s">
        <v>3774</v>
      </c>
      <c r="AW353" t="s">
        <v>2923</v>
      </c>
      <c r="AX353" t="s">
        <v>131</v>
      </c>
      <c r="AY353" t="s">
        <v>131</v>
      </c>
      <c r="AZ353" t="s">
        <v>131</v>
      </c>
      <c r="BA353" t="s">
        <v>131</v>
      </c>
      <c r="BB353" t="s">
        <v>131</v>
      </c>
      <c r="BC353" t="s">
        <v>131</v>
      </c>
      <c r="BD353" t="s">
        <v>131</v>
      </c>
      <c r="BE353" t="s">
        <v>132</v>
      </c>
      <c r="BH353" t="s">
        <v>3780</v>
      </c>
      <c r="BI353" t="s">
        <v>131</v>
      </c>
      <c r="BL353" t="s">
        <v>167</v>
      </c>
      <c r="BO353" t="s">
        <v>131</v>
      </c>
      <c r="BP353" t="s">
        <v>134</v>
      </c>
      <c r="BQ353" t="s">
        <v>131</v>
      </c>
      <c r="BS353" t="str">
        <f t="shared" si="29"/>
        <v>N/A</v>
      </c>
      <c r="BT353" t="s">
        <v>131</v>
      </c>
      <c r="BV353" t="str">
        <f>""</f>
        <v/>
      </c>
      <c r="BW353" t="s">
        <v>135</v>
      </c>
      <c r="BX353" t="str">
        <f>""</f>
        <v/>
      </c>
      <c r="BY353" t="str">
        <f>""</f>
        <v/>
      </c>
      <c r="BZ353" t="str">
        <f>""</f>
        <v/>
      </c>
      <c r="CA353" t="str">
        <f>"Must lift/carry 50 lbs., when necessary. Saturday and Sunday work required, when necessary. Post-hire random drug testing required of foreign and domestic workers."</f>
        <v>Must lift/carry 50 lbs., when necessary. Saturday and Sunday work required, when necessary. Post-hire random drug testing required of foreign and domestic workers.</v>
      </c>
      <c r="CB353" t="s">
        <v>131</v>
      </c>
      <c r="CF353" t="s">
        <v>131</v>
      </c>
      <c r="CH353" t="str">
        <f>""</f>
        <v/>
      </c>
      <c r="CI353" t="s">
        <v>131</v>
      </c>
      <c r="CK353" t="s">
        <v>131</v>
      </c>
      <c r="CL353" t="str">
        <f>""</f>
        <v/>
      </c>
      <c r="CM353" t="str">
        <f>""</f>
        <v/>
      </c>
      <c r="CN353" t="str">
        <f>""</f>
        <v/>
      </c>
      <c r="CO353" t="str">
        <f>""</f>
        <v/>
      </c>
      <c r="CP353" t="str">
        <f>"37-3011.00"</f>
        <v>37-3011.00</v>
      </c>
      <c r="CQ353" t="s">
        <v>920</v>
      </c>
      <c r="CR353" t="s">
        <v>2924</v>
      </c>
      <c r="CS353" t="s">
        <v>135</v>
      </c>
      <c r="CT353" t="s">
        <v>2925</v>
      </c>
      <c r="CU353" t="s">
        <v>16386</v>
      </c>
      <c r="CW353" t="s">
        <v>1471</v>
      </c>
      <c r="CX353" t="s">
        <v>444</v>
      </c>
      <c r="CZ353" s="3" t="str">
        <f>"44125"</f>
        <v>44125</v>
      </c>
      <c r="DA353" t="s">
        <v>135</v>
      </c>
      <c r="DB353" t="str">
        <f>"37-3011"</f>
        <v>37-3011</v>
      </c>
      <c r="DC353" t="s">
        <v>920</v>
      </c>
      <c r="DD353" t="s">
        <v>134</v>
      </c>
      <c r="DE353" t="s">
        <v>134</v>
      </c>
      <c r="DF353" t="str">
        <f>""</f>
        <v/>
      </c>
      <c r="DH353" s="6">
        <v>16.350000000000001</v>
      </c>
      <c r="DI353" t="s">
        <v>344</v>
      </c>
      <c r="DK353" t="s">
        <v>345</v>
      </c>
      <c r="DS353" s="6">
        <v>16.350000000000001</v>
      </c>
      <c r="DT353" s="2" t="s">
        <v>347</v>
      </c>
      <c r="DU353" s="1">
        <v>44354</v>
      </c>
      <c r="DV353" s="1">
        <v>44443</v>
      </c>
    </row>
    <row r="354" spans="1:126" ht="15" customHeight="1" x14ac:dyDescent="0.35">
      <c r="A354" t="s">
        <v>14390</v>
      </c>
      <c r="B354" t="s">
        <v>318</v>
      </c>
      <c r="C354" s="1">
        <v>44327</v>
      </c>
      <c r="D354" s="1">
        <v>44354</v>
      </c>
      <c r="H354" t="s">
        <v>319</v>
      </c>
      <c r="I354" t="s">
        <v>2735</v>
      </c>
      <c r="J354" t="s">
        <v>8325</v>
      </c>
      <c r="L354" t="s">
        <v>628</v>
      </c>
      <c r="M354" t="s">
        <v>2736</v>
      </c>
      <c r="N354" t="s">
        <v>134</v>
      </c>
      <c r="O354" t="s">
        <v>2737</v>
      </c>
      <c r="P354" t="s">
        <v>194</v>
      </c>
      <c r="Q354" s="3">
        <v>33410</v>
      </c>
      <c r="R354" t="s">
        <v>128</v>
      </c>
      <c r="T354" s="4">
        <v>15616228300</v>
      </c>
      <c r="V354" t="s">
        <v>14086</v>
      </c>
      <c r="W354" t="s">
        <v>14087</v>
      </c>
      <c r="X354" t="s">
        <v>2738</v>
      </c>
      <c r="Y354" t="s">
        <v>2736</v>
      </c>
      <c r="Z354" t="s">
        <v>134</v>
      </c>
      <c r="AA354" t="s">
        <v>2737</v>
      </c>
      <c r="AB354" t="s">
        <v>195</v>
      </c>
      <c r="AC354" s="3" t="str">
        <f>"33410"</f>
        <v>33410</v>
      </c>
      <c r="AD354" t="s">
        <v>128</v>
      </c>
      <c r="AE354" t="s">
        <v>134</v>
      </c>
      <c r="AF354" s="4">
        <v>15616228300</v>
      </c>
      <c r="AH354" t="str">
        <f>"713910"</f>
        <v>713910</v>
      </c>
      <c r="AI354" t="s">
        <v>130</v>
      </c>
      <c r="AJ354" t="s">
        <v>1386</v>
      </c>
      <c r="AK354" t="s">
        <v>1387</v>
      </c>
      <c r="AL354" t="s">
        <v>1036</v>
      </c>
      <c r="AM354" t="s">
        <v>1388</v>
      </c>
      <c r="AN354" t="s">
        <v>997</v>
      </c>
      <c r="AO354" t="s">
        <v>719</v>
      </c>
      <c r="AP354" t="s">
        <v>377</v>
      </c>
      <c r="AQ354" s="5">
        <v>1701</v>
      </c>
      <c r="AR354" t="s">
        <v>128</v>
      </c>
      <c r="AS354" t="s">
        <v>134</v>
      </c>
      <c r="AT354" s="4">
        <v>16179399444</v>
      </c>
      <c r="AV354" t="s">
        <v>1389</v>
      </c>
      <c r="AW354" t="s">
        <v>1390</v>
      </c>
      <c r="AX354" t="s">
        <v>131</v>
      </c>
      <c r="AY354" t="s">
        <v>131</v>
      </c>
      <c r="AZ354" t="s">
        <v>131</v>
      </c>
      <c r="BA354" t="s">
        <v>131</v>
      </c>
      <c r="BB354" t="s">
        <v>131</v>
      </c>
      <c r="BC354" t="s">
        <v>131</v>
      </c>
      <c r="BD354" t="s">
        <v>131</v>
      </c>
      <c r="BE354" t="s">
        <v>132</v>
      </c>
      <c r="BH354" t="s">
        <v>14391</v>
      </c>
      <c r="BI354" t="s">
        <v>131</v>
      </c>
      <c r="BL354" t="s">
        <v>167</v>
      </c>
      <c r="BO354" t="s">
        <v>131</v>
      </c>
      <c r="BP354" t="s">
        <v>134</v>
      </c>
      <c r="BQ354" t="s">
        <v>131</v>
      </c>
      <c r="BS354" t="str">
        <f t="shared" si="29"/>
        <v>N/A</v>
      </c>
      <c r="BT354" t="s">
        <v>135</v>
      </c>
      <c r="BU354">
        <v>6</v>
      </c>
      <c r="BV354" t="str">
        <f>"Wait Staff"</f>
        <v>Wait Staff</v>
      </c>
      <c r="BW354" t="s">
        <v>135</v>
      </c>
      <c r="BX354" t="str">
        <f>""</f>
        <v/>
      </c>
      <c r="BY354" t="str">
        <f>""</f>
        <v/>
      </c>
      <c r="BZ354" t="str">
        <f>""</f>
        <v/>
      </c>
      <c r="CA354" s="2" t="s">
        <v>14392</v>
      </c>
      <c r="CB354" t="s">
        <v>131</v>
      </c>
      <c r="CF354" t="s">
        <v>131</v>
      </c>
      <c r="CH354" t="str">
        <f>""</f>
        <v/>
      </c>
      <c r="CI354" t="s">
        <v>131</v>
      </c>
      <c r="CK354" t="s">
        <v>131</v>
      </c>
      <c r="CL354" t="str">
        <f>""</f>
        <v/>
      </c>
      <c r="CM354" t="str">
        <f>""</f>
        <v/>
      </c>
      <c r="CN354" t="str">
        <f>""</f>
        <v/>
      </c>
      <c r="CO354" t="str">
        <f>""</f>
        <v/>
      </c>
      <c r="CP354" t="str">
        <f>"35-3031.00"</f>
        <v>35-3031.00</v>
      </c>
      <c r="CQ354" t="s">
        <v>1214</v>
      </c>
      <c r="CR354" t="s">
        <v>14393</v>
      </c>
      <c r="CS354" t="s">
        <v>135</v>
      </c>
      <c r="CT354" s="2" t="s">
        <v>14394</v>
      </c>
      <c r="CU354" t="s">
        <v>2736</v>
      </c>
      <c r="CW354" t="s">
        <v>2737</v>
      </c>
      <c r="CX354" t="s">
        <v>195</v>
      </c>
      <c r="CZ354" s="3" t="str">
        <f>"33410"</f>
        <v>33410</v>
      </c>
      <c r="DA354" t="s">
        <v>131</v>
      </c>
      <c r="DB354" t="str">
        <f>"35-3031"</f>
        <v>35-3031</v>
      </c>
      <c r="DC354" t="s">
        <v>1214</v>
      </c>
      <c r="DD354" t="s">
        <v>134</v>
      </c>
      <c r="DE354" t="s">
        <v>134</v>
      </c>
      <c r="DF354" t="str">
        <f>""</f>
        <v/>
      </c>
      <c r="DH354" s="6">
        <v>12.55</v>
      </c>
      <c r="DI354" t="s">
        <v>344</v>
      </c>
      <c r="DK354" t="s">
        <v>345</v>
      </c>
      <c r="DS354" s="6">
        <v>12.55</v>
      </c>
      <c r="DT354" s="2" t="s">
        <v>347</v>
      </c>
      <c r="DU354" s="1">
        <v>44354</v>
      </c>
      <c r="DV354" s="1">
        <v>44443</v>
      </c>
    </row>
    <row r="355" spans="1:126" ht="15" customHeight="1" x14ac:dyDescent="0.35">
      <c r="A355" t="s">
        <v>15995</v>
      </c>
      <c r="B355" t="s">
        <v>318</v>
      </c>
      <c r="C355" s="1">
        <v>44327</v>
      </c>
      <c r="D355" s="1">
        <v>44354</v>
      </c>
      <c r="H355" t="s">
        <v>319</v>
      </c>
      <c r="I355" t="s">
        <v>2735</v>
      </c>
      <c r="J355" t="s">
        <v>8325</v>
      </c>
      <c r="L355" t="s">
        <v>628</v>
      </c>
      <c r="M355" t="s">
        <v>2736</v>
      </c>
      <c r="N355" t="s">
        <v>134</v>
      </c>
      <c r="O355" t="s">
        <v>2737</v>
      </c>
      <c r="P355" t="s">
        <v>194</v>
      </c>
      <c r="Q355" s="3">
        <v>33410</v>
      </c>
      <c r="R355" t="s">
        <v>128</v>
      </c>
      <c r="T355" s="4">
        <v>15616228300</v>
      </c>
      <c r="V355" t="s">
        <v>14086</v>
      </c>
      <c r="W355" t="s">
        <v>14087</v>
      </c>
      <c r="X355" t="s">
        <v>2738</v>
      </c>
      <c r="Y355" t="s">
        <v>2736</v>
      </c>
      <c r="Z355" t="s">
        <v>134</v>
      </c>
      <c r="AA355" t="s">
        <v>2737</v>
      </c>
      <c r="AB355" t="s">
        <v>195</v>
      </c>
      <c r="AC355" s="3" t="str">
        <f>"33410"</f>
        <v>33410</v>
      </c>
      <c r="AD355" t="s">
        <v>128</v>
      </c>
      <c r="AE355" t="s">
        <v>134</v>
      </c>
      <c r="AF355" s="4">
        <v>15616228300</v>
      </c>
      <c r="AH355" t="str">
        <f>"713910"</f>
        <v>713910</v>
      </c>
      <c r="AI355" t="s">
        <v>130</v>
      </c>
      <c r="AJ355" t="s">
        <v>1386</v>
      </c>
      <c r="AK355" t="s">
        <v>1387</v>
      </c>
      <c r="AL355" t="s">
        <v>1036</v>
      </c>
      <c r="AM355" t="s">
        <v>1388</v>
      </c>
      <c r="AN355" t="s">
        <v>997</v>
      </c>
      <c r="AO355" t="s">
        <v>719</v>
      </c>
      <c r="AP355" t="s">
        <v>377</v>
      </c>
      <c r="AQ355" s="5">
        <v>1701</v>
      </c>
      <c r="AR355" t="s">
        <v>128</v>
      </c>
      <c r="AS355" t="s">
        <v>134</v>
      </c>
      <c r="AT355" s="4">
        <v>16179399444</v>
      </c>
      <c r="AV355" t="s">
        <v>1389</v>
      </c>
      <c r="AW355" t="s">
        <v>1390</v>
      </c>
      <c r="AX355" t="s">
        <v>131</v>
      </c>
      <c r="AY355" t="s">
        <v>131</v>
      </c>
      <c r="AZ355" t="s">
        <v>131</v>
      </c>
      <c r="BA355" t="s">
        <v>131</v>
      </c>
      <c r="BB355" t="s">
        <v>131</v>
      </c>
      <c r="BC355" t="s">
        <v>131</v>
      </c>
      <c r="BD355" t="s">
        <v>131</v>
      </c>
      <c r="BE355" t="s">
        <v>132</v>
      </c>
      <c r="BH355" t="s">
        <v>15996</v>
      </c>
      <c r="BI355" t="s">
        <v>131</v>
      </c>
      <c r="BL355" t="s">
        <v>167</v>
      </c>
      <c r="BO355" t="s">
        <v>131</v>
      </c>
      <c r="BP355" t="s">
        <v>134</v>
      </c>
      <c r="BQ355" t="s">
        <v>131</v>
      </c>
      <c r="BS355" t="str">
        <f t="shared" si="29"/>
        <v>N/A</v>
      </c>
      <c r="BT355" t="s">
        <v>135</v>
      </c>
      <c r="BU355">
        <v>6</v>
      </c>
      <c r="BV355" t="str">
        <f>"Restaurant Cook"</f>
        <v>Restaurant Cook</v>
      </c>
      <c r="BW355" t="s">
        <v>135</v>
      </c>
      <c r="BX355" t="str">
        <f>""</f>
        <v/>
      </c>
      <c r="BY355" t="str">
        <f>""</f>
        <v/>
      </c>
      <c r="BZ355" t="str">
        <f>""</f>
        <v/>
      </c>
      <c r="CA355" s="2" t="s">
        <v>15997</v>
      </c>
      <c r="CB355" t="s">
        <v>131</v>
      </c>
      <c r="CF355" t="s">
        <v>131</v>
      </c>
      <c r="CH355" t="str">
        <f>""</f>
        <v/>
      </c>
      <c r="CI355" t="s">
        <v>131</v>
      </c>
      <c r="CK355" t="s">
        <v>131</v>
      </c>
      <c r="CL355" t="str">
        <f>""</f>
        <v/>
      </c>
      <c r="CM355" t="str">
        <f>""</f>
        <v/>
      </c>
      <c r="CN355" t="str">
        <f>""</f>
        <v/>
      </c>
      <c r="CO355" t="str">
        <f>""</f>
        <v/>
      </c>
      <c r="CP355" t="str">
        <f>"35-2014.00"</f>
        <v>35-2014.00</v>
      </c>
      <c r="CQ355" t="s">
        <v>581</v>
      </c>
      <c r="CR355" t="s">
        <v>1941</v>
      </c>
      <c r="CS355" t="s">
        <v>135</v>
      </c>
      <c r="CT355" t="s">
        <v>15998</v>
      </c>
      <c r="CU355" t="s">
        <v>2736</v>
      </c>
      <c r="CW355" t="s">
        <v>2737</v>
      </c>
      <c r="CX355" t="s">
        <v>195</v>
      </c>
      <c r="CZ355" s="3" t="str">
        <f>"33410"</f>
        <v>33410</v>
      </c>
      <c r="DA355" t="s">
        <v>131</v>
      </c>
      <c r="DB355" t="str">
        <f>"35-2014"</f>
        <v>35-2014</v>
      </c>
      <c r="DC355" t="s">
        <v>581</v>
      </c>
      <c r="DD355" t="s">
        <v>134</v>
      </c>
      <c r="DE355" t="s">
        <v>134</v>
      </c>
      <c r="DF355" t="str">
        <f>""</f>
        <v/>
      </c>
      <c r="DH355" s="6">
        <v>14.63</v>
      </c>
      <c r="DI355" t="s">
        <v>344</v>
      </c>
      <c r="DK355" t="s">
        <v>345</v>
      </c>
      <c r="DS355" s="6">
        <v>14.63</v>
      </c>
      <c r="DT355" t="s">
        <v>424</v>
      </c>
      <c r="DU355" s="1">
        <v>44354</v>
      </c>
      <c r="DV355" s="1">
        <v>44443</v>
      </c>
    </row>
    <row r="356" spans="1:126" ht="15" customHeight="1" x14ac:dyDescent="0.35">
      <c r="A356" t="s">
        <v>14085</v>
      </c>
      <c r="B356" t="s">
        <v>318</v>
      </c>
      <c r="C356" s="1">
        <v>44327</v>
      </c>
      <c r="D356" s="1">
        <v>44354</v>
      </c>
      <c r="H356" t="s">
        <v>319</v>
      </c>
      <c r="I356" t="s">
        <v>2735</v>
      </c>
      <c r="J356" t="s">
        <v>8325</v>
      </c>
      <c r="L356" t="s">
        <v>628</v>
      </c>
      <c r="M356" t="s">
        <v>2736</v>
      </c>
      <c r="N356" t="s">
        <v>134</v>
      </c>
      <c r="O356" t="s">
        <v>2737</v>
      </c>
      <c r="P356" t="s">
        <v>194</v>
      </c>
      <c r="Q356" s="3">
        <v>33410</v>
      </c>
      <c r="R356" t="s">
        <v>128</v>
      </c>
      <c r="T356" s="4">
        <v>15616228300</v>
      </c>
      <c r="V356" t="s">
        <v>14086</v>
      </c>
      <c r="W356" t="s">
        <v>14087</v>
      </c>
      <c r="X356" t="s">
        <v>2738</v>
      </c>
      <c r="Y356" t="s">
        <v>2736</v>
      </c>
      <c r="Z356" t="s">
        <v>134</v>
      </c>
      <c r="AA356" t="s">
        <v>2737</v>
      </c>
      <c r="AB356" t="s">
        <v>195</v>
      </c>
      <c r="AC356" s="3" t="str">
        <f>"33410"</f>
        <v>33410</v>
      </c>
      <c r="AD356" t="s">
        <v>128</v>
      </c>
      <c r="AE356" t="s">
        <v>134</v>
      </c>
      <c r="AF356" s="4">
        <v>15616228300</v>
      </c>
      <c r="AH356" t="str">
        <f>"713910"</f>
        <v>713910</v>
      </c>
      <c r="AI356" t="s">
        <v>130</v>
      </c>
      <c r="AJ356" t="s">
        <v>1386</v>
      </c>
      <c r="AK356" t="s">
        <v>1387</v>
      </c>
      <c r="AL356" t="s">
        <v>1036</v>
      </c>
      <c r="AM356" t="s">
        <v>1388</v>
      </c>
      <c r="AN356" t="s">
        <v>997</v>
      </c>
      <c r="AO356" t="s">
        <v>719</v>
      </c>
      <c r="AP356" t="s">
        <v>377</v>
      </c>
      <c r="AQ356" s="5">
        <v>1701</v>
      </c>
      <c r="AR356" t="s">
        <v>128</v>
      </c>
      <c r="AS356" t="s">
        <v>134</v>
      </c>
      <c r="AT356" s="4">
        <v>16179399444</v>
      </c>
      <c r="AV356" t="s">
        <v>1389</v>
      </c>
      <c r="AW356" t="s">
        <v>1390</v>
      </c>
      <c r="AX356" t="s">
        <v>131</v>
      </c>
      <c r="AY356" t="s">
        <v>131</v>
      </c>
      <c r="AZ356" t="s">
        <v>131</v>
      </c>
      <c r="BA356" t="s">
        <v>131</v>
      </c>
      <c r="BB356" t="s">
        <v>131</v>
      </c>
      <c r="BC356" t="s">
        <v>131</v>
      </c>
      <c r="BD356" t="s">
        <v>131</v>
      </c>
      <c r="BE356" t="s">
        <v>132</v>
      </c>
      <c r="BH356" t="s">
        <v>2740</v>
      </c>
      <c r="BI356" t="s">
        <v>131</v>
      </c>
      <c r="BL356" t="s">
        <v>167</v>
      </c>
      <c r="BO356" t="s">
        <v>131</v>
      </c>
      <c r="BP356" t="s">
        <v>134</v>
      </c>
      <c r="BQ356" t="s">
        <v>131</v>
      </c>
      <c r="BS356" t="str">
        <f t="shared" si="29"/>
        <v>N/A</v>
      </c>
      <c r="BT356" t="s">
        <v>135</v>
      </c>
      <c r="BU356">
        <v>6</v>
      </c>
      <c r="BV356" t="str">
        <f>"Golf Attendant "</f>
        <v xml:space="preserve">Golf Attendant </v>
      </c>
      <c r="BW356" t="s">
        <v>135</v>
      </c>
      <c r="BX356" t="str">
        <f>""</f>
        <v/>
      </c>
      <c r="BY356" t="str">
        <f>""</f>
        <v/>
      </c>
      <c r="BZ356" t="str">
        <f>""</f>
        <v/>
      </c>
      <c r="CA356" s="2" t="s">
        <v>14088</v>
      </c>
      <c r="CB356" t="s">
        <v>131</v>
      </c>
      <c r="CF356" t="s">
        <v>131</v>
      </c>
      <c r="CH356" t="str">
        <f>""</f>
        <v/>
      </c>
      <c r="CI356" t="s">
        <v>131</v>
      </c>
      <c r="CK356" t="s">
        <v>131</v>
      </c>
      <c r="CL356" t="str">
        <f>""</f>
        <v/>
      </c>
      <c r="CM356" t="str">
        <f>""</f>
        <v/>
      </c>
      <c r="CN356" t="str">
        <f>""</f>
        <v/>
      </c>
      <c r="CO356" t="str">
        <f>""</f>
        <v/>
      </c>
      <c r="CP356" t="str">
        <f>"39-3091.00"</f>
        <v>39-3091.00</v>
      </c>
      <c r="CQ356" t="s">
        <v>1374</v>
      </c>
      <c r="CR356" t="s">
        <v>14089</v>
      </c>
      <c r="CS356" t="s">
        <v>131</v>
      </c>
      <c r="CU356" t="s">
        <v>2736</v>
      </c>
      <c r="CW356" t="s">
        <v>2737</v>
      </c>
      <c r="CX356" t="s">
        <v>195</v>
      </c>
      <c r="CZ356" s="3" t="str">
        <f>"33410"</f>
        <v>33410</v>
      </c>
      <c r="DA356" t="s">
        <v>131</v>
      </c>
      <c r="DB356" t="str">
        <f>"39-3091"</f>
        <v>39-3091</v>
      </c>
      <c r="DC356" t="s">
        <v>1374</v>
      </c>
      <c r="DD356" t="s">
        <v>134</v>
      </c>
      <c r="DE356" t="s">
        <v>134</v>
      </c>
      <c r="DF356" t="str">
        <f>""</f>
        <v/>
      </c>
      <c r="DH356" s="6">
        <v>11.37</v>
      </c>
      <c r="DI356" t="s">
        <v>344</v>
      </c>
      <c r="DK356" t="s">
        <v>345</v>
      </c>
      <c r="DS356" s="6">
        <v>11.37</v>
      </c>
      <c r="DT356" t="s">
        <v>424</v>
      </c>
      <c r="DU356" s="1">
        <v>44354</v>
      </c>
      <c r="DV356" s="1">
        <v>44443</v>
      </c>
    </row>
    <row r="357" spans="1:126" ht="15" customHeight="1" x14ac:dyDescent="0.35">
      <c r="A357" t="s">
        <v>19697</v>
      </c>
      <c r="B357" t="s">
        <v>318</v>
      </c>
      <c r="C357" s="1">
        <v>44327</v>
      </c>
      <c r="D357" s="1">
        <v>44364</v>
      </c>
      <c r="H357" t="s">
        <v>319</v>
      </c>
      <c r="I357" t="s">
        <v>19698</v>
      </c>
      <c r="J357" t="s">
        <v>2441</v>
      </c>
      <c r="L357" t="s">
        <v>19699</v>
      </c>
      <c r="M357" t="s">
        <v>19700</v>
      </c>
      <c r="O357" t="s">
        <v>19701</v>
      </c>
      <c r="P357" t="s">
        <v>226</v>
      </c>
      <c r="Q357" s="3">
        <v>46131</v>
      </c>
      <c r="R357" t="s">
        <v>128</v>
      </c>
      <c r="T357" s="4">
        <v>13177380005</v>
      </c>
      <c r="V357" t="s">
        <v>19702</v>
      </c>
      <c r="W357" t="s">
        <v>19703</v>
      </c>
      <c r="X357" t="s">
        <v>19704</v>
      </c>
      <c r="Y357" t="s">
        <v>19705</v>
      </c>
      <c r="AA357" t="s">
        <v>19706</v>
      </c>
      <c r="AB357" t="s">
        <v>229</v>
      </c>
      <c r="AC357" s="3" t="str">
        <f>"46131"</f>
        <v>46131</v>
      </c>
      <c r="AD357" t="s">
        <v>128</v>
      </c>
      <c r="AF357" s="4">
        <v>13177380005</v>
      </c>
      <c r="AG357">
        <v>106</v>
      </c>
      <c r="AH357" t="str">
        <f>"238160"</f>
        <v>238160</v>
      </c>
      <c r="AI357" t="s">
        <v>167</v>
      </c>
      <c r="AX357" t="s">
        <v>131</v>
      </c>
      <c r="AY357" t="s">
        <v>131</v>
      </c>
      <c r="AZ357" t="s">
        <v>131</v>
      </c>
      <c r="BA357" t="s">
        <v>131</v>
      </c>
      <c r="BB357" t="s">
        <v>131</v>
      </c>
      <c r="BC357" t="s">
        <v>131</v>
      </c>
      <c r="BD357" t="s">
        <v>131</v>
      </c>
      <c r="BE357" t="s">
        <v>132</v>
      </c>
      <c r="BH357" t="s">
        <v>19707</v>
      </c>
      <c r="BI357" t="s">
        <v>131</v>
      </c>
      <c r="BL357" t="s">
        <v>167</v>
      </c>
      <c r="BO357" t="s">
        <v>131</v>
      </c>
      <c r="BP357" t="s">
        <v>134</v>
      </c>
      <c r="BQ357" t="s">
        <v>131</v>
      </c>
      <c r="BS357" t="str">
        <f t="shared" si="29"/>
        <v>N/A</v>
      </c>
      <c r="BT357" t="s">
        <v>135</v>
      </c>
      <c r="BU357">
        <v>24</v>
      </c>
      <c r="BV357" t="str">
        <f>"construction experience, roof, carpentry"</f>
        <v>construction experience, roof, carpentry</v>
      </c>
      <c r="BW357" t="s">
        <v>131</v>
      </c>
      <c r="BX357" t="str">
        <f>""</f>
        <v/>
      </c>
      <c r="BY357" t="str">
        <f>""</f>
        <v/>
      </c>
      <c r="BZ357" t="str">
        <f>""</f>
        <v/>
      </c>
      <c r="CA357" t="str">
        <f>""</f>
        <v/>
      </c>
      <c r="CB357" t="s">
        <v>131</v>
      </c>
      <c r="CF357" t="s">
        <v>131</v>
      </c>
      <c r="CH357" t="str">
        <f>""</f>
        <v/>
      </c>
      <c r="CI357" t="s">
        <v>131</v>
      </c>
      <c r="CK357" t="s">
        <v>131</v>
      </c>
      <c r="CL357" t="str">
        <f>""</f>
        <v/>
      </c>
      <c r="CM357" t="str">
        <f>""</f>
        <v/>
      </c>
      <c r="CN357" t="str">
        <f>""</f>
        <v/>
      </c>
      <c r="CO357" t="str">
        <f>""</f>
        <v/>
      </c>
      <c r="CP357" t="str">
        <f>"47-2181.00"</f>
        <v>47-2181.00</v>
      </c>
      <c r="CQ357" t="s">
        <v>5601</v>
      </c>
      <c r="CR357" t="s">
        <v>19707</v>
      </c>
      <c r="CS357" t="s">
        <v>135</v>
      </c>
      <c r="CT357" t="s">
        <v>19708</v>
      </c>
      <c r="CU357" t="s">
        <v>19705</v>
      </c>
      <c r="CW357" t="s">
        <v>18383</v>
      </c>
      <c r="CX357" t="s">
        <v>229</v>
      </c>
      <c r="CZ357" s="3" t="str">
        <f>"46131"</f>
        <v>46131</v>
      </c>
      <c r="DA357" t="s">
        <v>131</v>
      </c>
      <c r="DB357" t="str">
        <f>"47-2181; 47-2181"</f>
        <v>47-2181; 47-2181</v>
      </c>
      <c r="DC357" t="s">
        <v>19709</v>
      </c>
      <c r="DD357" t="s">
        <v>134</v>
      </c>
      <c r="DE357" t="s">
        <v>134</v>
      </c>
      <c r="DF357" t="str">
        <f>""</f>
        <v/>
      </c>
      <c r="DH357" s="6">
        <v>23.36</v>
      </c>
      <c r="DI357" t="s">
        <v>344</v>
      </c>
      <c r="DK357" t="s">
        <v>345</v>
      </c>
      <c r="DR357" t="s">
        <v>2656</v>
      </c>
      <c r="DS357" s="6">
        <v>23.36</v>
      </c>
      <c r="DT357" s="2" t="s">
        <v>347</v>
      </c>
      <c r="DU357" s="1">
        <v>44364</v>
      </c>
      <c r="DV357" s="1">
        <v>44453</v>
      </c>
    </row>
    <row r="358" spans="1:126" ht="15" customHeight="1" x14ac:dyDescent="0.35">
      <c r="A358" t="s">
        <v>10887</v>
      </c>
      <c r="B358" t="s">
        <v>318</v>
      </c>
      <c r="C358" s="1">
        <v>44327</v>
      </c>
      <c r="D358" s="1">
        <v>44354</v>
      </c>
      <c r="H358" t="s">
        <v>319</v>
      </c>
      <c r="I358" t="s">
        <v>8567</v>
      </c>
      <c r="J358" t="s">
        <v>8568</v>
      </c>
      <c r="K358" t="s">
        <v>192</v>
      </c>
      <c r="L358" t="s">
        <v>1105</v>
      </c>
      <c r="M358" t="s">
        <v>8569</v>
      </c>
      <c r="O358" t="s">
        <v>3439</v>
      </c>
      <c r="P358" t="s">
        <v>1760</v>
      </c>
      <c r="Q358" s="3">
        <v>70359</v>
      </c>
      <c r="R358" t="s">
        <v>128</v>
      </c>
      <c r="T358" s="4">
        <v>19856652618</v>
      </c>
      <c r="V358" t="s">
        <v>8570</v>
      </c>
      <c r="W358" t="s">
        <v>8571</v>
      </c>
      <c r="Y358" t="s">
        <v>8569</v>
      </c>
      <c r="AA358" t="s">
        <v>3439</v>
      </c>
      <c r="AB358" t="s">
        <v>1763</v>
      </c>
      <c r="AC358" s="3" t="str">
        <f>"70359"</f>
        <v>70359</v>
      </c>
      <c r="AD358" t="s">
        <v>128</v>
      </c>
      <c r="AF358" s="4">
        <v>19858578657</v>
      </c>
      <c r="AH358" t="str">
        <f>"561730"</f>
        <v>561730</v>
      </c>
      <c r="AI358" t="s">
        <v>287</v>
      </c>
      <c r="AJ358" t="s">
        <v>2304</v>
      </c>
      <c r="AK358" t="s">
        <v>5773</v>
      </c>
      <c r="AL358" t="s">
        <v>589</v>
      </c>
      <c r="AM358" t="s">
        <v>5774</v>
      </c>
      <c r="AN358" t="s">
        <v>5775</v>
      </c>
      <c r="AO358" t="s">
        <v>5776</v>
      </c>
      <c r="AP358" t="s">
        <v>1763</v>
      </c>
      <c r="AQ358" s="5">
        <v>70754</v>
      </c>
      <c r="AR358" t="s">
        <v>128</v>
      </c>
      <c r="AS358" t="s">
        <v>1763</v>
      </c>
      <c r="AT358" s="4">
        <v>12256863033</v>
      </c>
      <c r="AV358" t="s">
        <v>5777</v>
      </c>
      <c r="AW358" t="s">
        <v>5778</v>
      </c>
      <c r="AX358" t="s">
        <v>131</v>
      </c>
      <c r="AY358" t="s">
        <v>131</v>
      </c>
      <c r="AZ358" t="s">
        <v>131</v>
      </c>
      <c r="BA358" t="s">
        <v>131</v>
      </c>
      <c r="BB358" t="s">
        <v>131</v>
      </c>
      <c r="BC358" t="s">
        <v>131</v>
      </c>
      <c r="BD358" t="s">
        <v>131</v>
      </c>
      <c r="BE358" t="s">
        <v>132</v>
      </c>
      <c r="BH358" t="s">
        <v>10888</v>
      </c>
      <c r="BI358" t="s">
        <v>131</v>
      </c>
      <c r="BL358" t="s">
        <v>167</v>
      </c>
      <c r="BO358" t="s">
        <v>131</v>
      </c>
      <c r="BP358" t="s">
        <v>134</v>
      </c>
      <c r="BQ358" t="s">
        <v>131</v>
      </c>
      <c r="BS358" t="str">
        <f t="shared" si="29"/>
        <v>N/A</v>
      </c>
      <c r="BT358" t="s">
        <v>131</v>
      </c>
      <c r="BV358" t="str">
        <f>""</f>
        <v/>
      </c>
      <c r="BW358" t="s">
        <v>135</v>
      </c>
      <c r="BX358" t="str">
        <f>""</f>
        <v/>
      </c>
      <c r="BY358" t="str">
        <f>""</f>
        <v/>
      </c>
      <c r="BZ358" t="str">
        <f>""</f>
        <v/>
      </c>
      <c r="CA358" s="2" t="s">
        <v>8573</v>
      </c>
      <c r="CB358" t="s">
        <v>131</v>
      </c>
      <c r="CF358" t="s">
        <v>131</v>
      </c>
      <c r="CH358" t="str">
        <f>""</f>
        <v/>
      </c>
      <c r="CI358" t="s">
        <v>131</v>
      </c>
      <c r="CK358" t="s">
        <v>131</v>
      </c>
      <c r="CL358" t="str">
        <f>""</f>
        <v/>
      </c>
      <c r="CM358" t="str">
        <f>""</f>
        <v/>
      </c>
      <c r="CN358" t="str">
        <f>""</f>
        <v/>
      </c>
      <c r="CO358" t="str">
        <f>""</f>
        <v/>
      </c>
      <c r="CP358" t="str">
        <f>"37-3019.00"</f>
        <v>37-3019.00</v>
      </c>
      <c r="CQ358" t="s">
        <v>2096</v>
      </c>
      <c r="CS358" t="s">
        <v>135</v>
      </c>
      <c r="CT358" t="s">
        <v>10889</v>
      </c>
      <c r="CU358" t="s">
        <v>8569</v>
      </c>
      <c r="CW358" t="s">
        <v>3439</v>
      </c>
      <c r="CX358" t="s">
        <v>1763</v>
      </c>
      <c r="CZ358" s="3" t="str">
        <f>"70359"</f>
        <v>70359</v>
      </c>
      <c r="DA358" t="s">
        <v>135</v>
      </c>
      <c r="DB358" t="str">
        <f>"37-3011"</f>
        <v>37-3011</v>
      </c>
      <c r="DC358" t="s">
        <v>920</v>
      </c>
      <c r="DD358" t="s">
        <v>134</v>
      </c>
      <c r="DE358" t="s">
        <v>134</v>
      </c>
      <c r="DF358" t="str">
        <f>""</f>
        <v/>
      </c>
      <c r="DH358" s="6">
        <v>15.51</v>
      </c>
      <c r="DI358" t="s">
        <v>344</v>
      </c>
      <c r="DK358" t="s">
        <v>345</v>
      </c>
      <c r="DR358" t="s">
        <v>1774</v>
      </c>
      <c r="DS358" s="6">
        <v>15.51</v>
      </c>
      <c r="DT358" s="2" t="s">
        <v>347</v>
      </c>
      <c r="DU358" s="1">
        <v>44354</v>
      </c>
      <c r="DV358" s="1">
        <v>44443</v>
      </c>
    </row>
    <row r="359" spans="1:126" ht="15" customHeight="1" x14ac:dyDescent="0.35">
      <c r="A359" t="s">
        <v>10018</v>
      </c>
      <c r="B359" t="s">
        <v>318</v>
      </c>
      <c r="C359" s="1">
        <v>44327</v>
      </c>
      <c r="D359" s="1">
        <v>44354</v>
      </c>
      <c r="H359" t="s">
        <v>319</v>
      </c>
      <c r="I359" t="s">
        <v>10019</v>
      </c>
      <c r="J359" t="s">
        <v>555</v>
      </c>
      <c r="L359" t="s">
        <v>6630</v>
      </c>
      <c r="M359" t="s">
        <v>10020</v>
      </c>
      <c r="O359" t="s">
        <v>1876</v>
      </c>
      <c r="P359" t="s">
        <v>412</v>
      </c>
      <c r="Q359" s="3">
        <v>79714</v>
      </c>
      <c r="R359" t="s">
        <v>128</v>
      </c>
      <c r="T359" s="4">
        <v>14322348687</v>
      </c>
      <c r="V359" t="s">
        <v>10021</v>
      </c>
      <c r="W359" t="s">
        <v>10022</v>
      </c>
      <c r="Y359" t="s">
        <v>10023</v>
      </c>
      <c r="AA359" t="s">
        <v>1876</v>
      </c>
      <c r="AB359" t="s">
        <v>400</v>
      </c>
      <c r="AC359" s="3" t="str">
        <f>"79714"</f>
        <v>79714</v>
      </c>
      <c r="AD359" t="s">
        <v>128</v>
      </c>
      <c r="AF359" s="4">
        <v>14322348687</v>
      </c>
      <c r="AH359" t="str">
        <f>"484121"</f>
        <v>484121</v>
      </c>
      <c r="AI359" t="s">
        <v>130</v>
      </c>
      <c r="AJ359" t="s">
        <v>10024</v>
      </c>
      <c r="AK359" t="s">
        <v>2482</v>
      </c>
      <c r="AM359" t="s">
        <v>10020</v>
      </c>
      <c r="AO359" t="s">
        <v>10025</v>
      </c>
      <c r="AP359" t="s">
        <v>400</v>
      </c>
      <c r="AQ359" s="5">
        <v>79902</v>
      </c>
      <c r="AR359" t="s">
        <v>128</v>
      </c>
      <c r="AT359" s="4">
        <v>19155668181</v>
      </c>
      <c r="AV359" t="s">
        <v>10026</v>
      </c>
      <c r="AW359" t="s">
        <v>10027</v>
      </c>
      <c r="AX359" t="s">
        <v>131</v>
      </c>
      <c r="AY359" t="s">
        <v>131</v>
      </c>
      <c r="AZ359" t="s">
        <v>131</v>
      </c>
      <c r="BA359" t="s">
        <v>131</v>
      </c>
      <c r="BB359" t="s">
        <v>131</v>
      </c>
      <c r="BC359" t="s">
        <v>131</v>
      </c>
      <c r="BD359" t="s">
        <v>131</v>
      </c>
      <c r="BE359" t="s">
        <v>132</v>
      </c>
      <c r="BH359" t="s">
        <v>8411</v>
      </c>
      <c r="BI359" t="s">
        <v>131</v>
      </c>
      <c r="BL359" t="s">
        <v>167</v>
      </c>
      <c r="BO359" t="s">
        <v>131</v>
      </c>
      <c r="BP359" t="s">
        <v>134</v>
      </c>
      <c r="BQ359" t="s">
        <v>131</v>
      </c>
      <c r="BS359" t="str">
        <f t="shared" si="29"/>
        <v>N/A</v>
      </c>
      <c r="BT359" t="s">
        <v>135</v>
      </c>
      <c r="BU359">
        <v>2</v>
      </c>
      <c r="BV359" t="str">
        <f>"CDL"</f>
        <v>CDL</v>
      </c>
      <c r="BW359" t="s">
        <v>135</v>
      </c>
      <c r="BX359" t="str">
        <f>"CDL, Licensia federal, medical card"</f>
        <v>CDL, Licensia federal, medical card</v>
      </c>
      <c r="BY359" t="str">
        <f>""</f>
        <v/>
      </c>
      <c r="BZ359" t="str">
        <f>""</f>
        <v/>
      </c>
      <c r="CA359" t="str">
        <f>""</f>
        <v/>
      </c>
      <c r="CB359" t="s">
        <v>131</v>
      </c>
      <c r="CF359" t="s">
        <v>131</v>
      </c>
      <c r="CH359" t="str">
        <f>""</f>
        <v/>
      </c>
      <c r="CI359" t="s">
        <v>131</v>
      </c>
      <c r="CK359" t="s">
        <v>131</v>
      </c>
      <c r="CL359" t="str">
        <f>""</f>
        <v/>
      </c>
      <c r="CM359" t="str">
        <f>""</f>
        <v/>
      </c>
      <c r="CN359" t="str">
        <f>""</f>
        <v/>
      </c>
      <c r="CO359" t="str">
        <f>""</f>
        <v/>
      </c>
      <c r="CP359" t="str">
        <f>"53-3032.00"</f>
        <v>53-3032.00</v>
      </c>
      <c r="CQ359" t="s">
        <v>1238</v>
      </c>
      <c r="CR359" t="s">
        <v>6630</v>
      </c>
      <c r="CS359" t="s">
        <v>135</v>
      </c>
      <c r="CT359" t="s">
        <v>10028</v>
      </c>
      <c r="CU359" t="s">
        <v>10029</v>
      </c>
      <c r="CW359" t="s">
        <v>10030</v>
      </c>
      <c r="CX359" t="s">
        <v>400</v>
      </c>
      <c r="CZ359" s="3" t="str">
        <f>"79756"</f>
        <v>79756</v>
      </c>
      <c r="DA359" t="s">
        <v>131</v>
      </c>
      <c r="DB359" t="str">
        <f>"53-3032"</f>
        <v>53-3032</v>
      </c>
      <c r="DC359" t="s">
        <v>1238</v>
      </c>
      <c r="DD359" t="s">
        <v>134</v>
      </c>
      <c r="DE359" t="s">
        <v>134</v>
      </c>
      <c r="DF359" t="str">
        <f>""</f>
        <v/>
      </c>
      <c r="DH359" s="6">
        <v>21.49</v>
      </c>
      <c r="DI359" t="s">
        <v>344</v>
      </c>
      <c r="DK359" t="s">
        <v>345</v>
      </c>
      <c r="DR359" t="s">
        <v>10031</v>
      </c>
      <c r="DS359" s="6">
        <v>21.49</v>
      </c>
      <c r="DT359" s="2" t="s">
        <v>347</v>
      </c>
      <c r="DU359" s="1">
        <v>44354</v>
      </c>
      <c r="DV359" s="1">
        <v>44443</v>
      </c>
    </row>
    <row r="360" spans="1:126" ht="15" customHeight="1" x14ac:dyDescent="0.35">
      <c r="A360" t="s">
        <v>8566</v>
      </c>
      <c r="B360" t="s">
        <v>318</v>
      </c>
      <c r="C360" s="1">
        <v>44327</v>
      </c>
      <c r="D360" s="1">
        <v>44354</v>
      </c>
      <c r="H360" t="s">
        <v>319</v>
      </c>
      <c r="I360" t="s">
        <v>8567</v>
      </c>
      <c r="J360" t="s">
        <v>8568</v>
      </c>
      <c r="K360" t="s">
        <v>192</v>
      </c>
      <c r="L360" t="s">
        <v>1105</v>
      </c>
      <c r="M360" t="s">
        <v>8569</v>
      </c>
      <c r="O360" t="s">
        <v>3439</v>
      </c>
      <c r="P360" t="s">
        <v>1760</v>
      </c>
      <c r="Q360" s="3">
        <v>70359</v>
      </c>
      <c r="R360" t="s">
        <v>128</v>
      </c>
      <c r="T360" s="4">
        <v>19856652618</v>
      </c>
      <c r="V360" t="s">
        <v>8570</v>
      </c>
      <c r="W360" t="s">
        <v>8571</v>
      </c>
      <c r="Y360" t="s">
        <v>8569</v>
      </c>
      <c r="AA360" t="s">
        <v>3439</v>
      </c>
      <c r="AB360" t="s">
        <v>1763</v>
      </c>
      <c r="AC360" s="3" t="str">
        <f>"70359"</f>
        <v>70359</v>
      </c>
      <c r="AD360" t="s">
        <v>128</v>
      </c>
      <c r="AF360" s="4">
        <v>19858578657</v>
      </c>
      <c r="AH360" t="str">
        <f>"561730"</f>
        <v>561730</v>
      </c>
      <c r="AI360" t="s">
        <v>287</v>
      </c>
      <c r="AJ360" t="s">
        <v>2304</v>
      </c>
      <c r="AK360" t="s">
        <v>5773</v>
      </c>
      <c r="AL360" t="s">
        <v>589</v>
      </c>
      <c r="AM360" t="s">
        <v>5774</v>
      </c>
      <c r="AN360" t="s">
        <v>5775</v>
      </c>
      <c r="AO360" t="s">
        <v>5776</v>
      </c>
      <c r="AP360" t="s">
        <v>1763</v>
      </c>
      <c r="AQ360" s="5">
        <v>70754</v>
      </c>
      <c r="AR360" t="s">
        <v>128</v>
      </c>
      <c r="AS360" t="s">
        <v>1763</v>
      </c>
      <c r="AT360" s="4">
        <v>12256863033</v>
      </c>
      <c r="AV360" t="s">
        <v>5777</v>
      </c>
      <c r="AW360" t="s">
        <v>5778</v>
      </c>
      <c r="AX360" t="s">
        <v>131</v>
      </c>
      <c r="AY360" t="s">
        <v>131</v>
      </c>
      <c r="AZ360" t="s">
        <v>131</v>
      </c>
      <c r="BA360" t="s">
        <v>131</v>
      </c>
      <c r="BB360" t="s">
        <v>131</v>
      </c>
      <c r="BC360" t="s">
        <v>131</v>
      </c>
      <c r="BD360" t="s">
        <v>131</v>
      </c>
      <c r="BE360" t="s">
        <v>132</v>
      </c>
      <c r="BH360" t="s">
        <v>8572</v>
      </c>
      <c r="BI360" t="s">
        <v>131</v>
      </c>
      <c r="BL360" t="s">
        <v>167</v>
      </c>
      <c r="BO360" t="s">
        <v>131</v>
      </c>
      <c r="BP360" t="s">
        <v>134</v>
      </c>
      <c r="BQ360" t="s">
        <v>131</v>
      </c>
      <c r="BS360" t="str">
        <f t="shared" si="29"/>
        <v>N/A</v>
      </c>
      <c r="BT360" t="s">
        <v>131</v>
      </c>
      <c r="BV360" t="str">
        <f>""</f>
        <v/>
      </c>
      <c r="BW360" t="s">
        <v>135</v>
      </c>
      <c r="BX360" t="str">
        <f>""</f>
        <v/>
      </c>
      <c r="BY360" t="str">
        <f>""</f>
        <v/>
      </c>
      <c r="BZ360" t="str">
        <f>""</f>
        <v/>
      </c>
      <c r="CA360" s="2" t="s">
        <v>8573</v>
      </c>
      <c r="CB360" t="s">
        <v>131</v>
      </c>
      <c r="CF360" t="s">
        <v>131</v>
      </c>
      <c r="CH360" t="str">
        <f>""</f>
        <v/>
      </c>
      <c r="CI360" t="s">
        <v>131</v>
      </c>
      <c r="CK360" t="s">
        <v>131</v>
      </c>
      <c r="CL360" t="str">
        <f>""</f>
        <v/>
      </c>
      <c r="CM360" t="str">
        <f>""</f>
        <v/>
      </c>
      <c r="CN360" t="str">
        <f>""</f>
        <v/>
      </c>
      <c r="CO360" t="str">
        <f>""</f>
        <v/>
      </c>
      <c r="CP360" t="str">
        <f>"37-3019.00"</f>
        <v>37-3019.00</v>
      </c>
      <c r="CQ360" t="s">
        <v>2096</v>
      </c>
      <c r="CS360" t="s">
        <v>135</v>
      </c>
      <c r="CT360" s="2" t="s">
        <v>8574</v>
      </c>
      <c r="CU360" t="s">
        <v>8575</v>
      </c>
      <c r="CW360" t="s">
        <v>8576</v>
      </c>
      <c r="CX360" t="s">
        <v>1763</v>
      </c>
      <c r="CZ360" s="3" t="str">
        <f>"70359"</f>
        <v>70359</v>
      </c>
      <c r="DA360" t="s">
        <v>135</v>
      </c>
      <c r="DB360" t="str">
        <f>"37-3011"</f>
        <v>37-3011</v>
      </c>
      <c r="DC360" t="s">
        <v>920</v>
      </c>
      <c r="DD360" t="s">
        <v>134</v>
      </c>
      <c r="DE360" t="s">
        <v>134</v>
      </c>
      <c r="DF360" t="str">
        <f>""</f>
        <v/>
      </c>
      <c r="DH360" s="6">
        <v>15.51</v>
      </c>
      <c r="DI360" t="s">
        <v>344</v>
      </c>
      <c r="DK360" t="s">
        <v>345</v>
      </c>
      <c r="DR360" t="s">
        <v>1774</v>
      </c>
      <c r="DS360" s="6">
        <v>15.51</v>
      </c>
      <c r="DT360" s="2" t="s">
        <v>347</v>
      </c>
      <c r="DU360" s="1">
        <v>44354</v>
      </c>
      <c r="DV360" s="1">
        <v>44443</v>
      </c>
    </row>
    <row r="361" spans="1:126" ht="15" customHeight="1" x14ac:dyDescent="0.35">
      <c r="A361" t="s">
        <v>14948</v>
      </c>
      <c r="B361" t="s">
        <v>318</v>
      </c>
      <c r="C361" s="1">
        <v>44327</v>
      </c>
      <c r="D361" s="1">
        <v>44354</v>
      </c>
      <c r="H361" t="s">
        <v>319</v>
      </c>
      <c r="I361" t="s">
        <v>14949</v>
      </c>
      <c r="J361" t="s">
        <v>1059</v>
      </c>
      <c r="L361" t="s">
        <v>7755</v>
      </c>
      <c r="M361" t="s">
        <v>14950</v>
      </c>
      <c r="N361" t="s">
        <v>14951</v>
      </c>
      <c r="O361" t="s">
        <v>255</v>
      </c>
      <c r="P361" t="s">
        <v>256</v>
      </c>
      <c r="Q361" s="3">
        <v>63123</v>
      </c>
      <c r="R361" t="s">
        <v>128</v>
      </c>
      <c r="T361" s="4">
        <v>13145444436</v>
      </c>
      <c r="V361" t="s">
        <v>134</v>
      </c>
      <c r="W361" t="s">
        <v>14952</v>
      </c>
      <c r="Y361" t="s">
        <v>14950</v>
      </c>
      <c r="Z361" t="s">
        <v>14951</v>
      </c>
      <c r="AA361" t="s">
        <v>255</v>
      </c>
      <c r="AB361" t="s">
        <v>258</v>
      </c>
      <c r="AC361" s="3" t="str">
        <f>"63123"</f>
        <v>63123</v>
      </c>
      <c r="AD361" t="s">
        <v>128</v>
      </c>
      <c r="AF361" s="4">
        <v>13145444436</v>
      </c>
      <c r="AH361" t="str">
        <f>"56173"</f>
        <v>56173</v>
      </c>
      <c r="AI361" t="s">
        <v>287</v>
      </c>
      <c r="AJ361" t="s">
        <v>2917</v>
      </c>
      <c r="AK361" t="s">
        <v>2918</v>
      </c>
      <c r="AM361" t="s">
        <v>2919</v>
      </c>
      <c r="AN361" t="s">
        <v>2920</v>
      </c>
      <c r="AO361" t="s">
        <v>2921</v>
      </c>
      <c r="AP361" t="s">
        <v>306</v>
      </c>
      <c r="AQ361" s="5">
        <v>22949</v>
      </c>
      <c r="AR361" t="s">
        <v>128</v>
      </c>
      <c r="AT361" s="4">
        <v>14342634300</v>
      </c>
      <c r="AV361" t="s">
        <v>10518</v>
      </c>
      <c r="AW361" t="s">
        <v>2923</v>
      </c>
      <c r="AX361" t="s">
        <v>131</v>
      </c>
      <c r="AY361" t="s">
        <v>131</v>
      </c>
      <c r="AZ361" t="s">
        <v>131</v>
      </c>
      <c r="BA361" t="s">
        <v>131</v>
      </c>
      <c r="BB361" t="s">
        <v>131</v>
      </c>
      <c r="BC361" t="s">
        <v>131</v>
      </c>
      <c r="BD361" t="s">
        <v>131</v>
      </c>
      <c r="BE361" t="s">
        <v>132</v>
      </c>
      <c r="BH361" t="s">
        <v>14953</v>
      </c>
      <c r="BI361" t="s">
        <v>131</v>
      </c>
      <c r="BL361" t="s">
        <v>167</v>
      </c>
      <c r="BO361" t="s">
        <v>131</v>
      </c>
      <c r="BP361" t="s">
        <v>134</v>
      </c>
      <c r="BQ361" t="s">
        <v>131</v>
      </c>
      <c r="BS361" t="str">
        <f t="shared" si="29"/>
        <v>N/A</v>
      </c>
      <c r="BT361" t="s">
        <v>135</v>
      </c>
      <c r="BU361">
        <v>3</v>
      </c>
      <c r="BV361" t="str">
        <f>"Landscape"</f>
        <v>Landscape</v>
      </c>
      <c r="BW361" t="s">
        <v>135</v>
      </c>
      <c r="BX361" t="str">
        <f>""</f>
        <v/>
      </c>
      <c r="BY361" t="str">
        <f>""</f>
        <v/>
      </c>
      <c r="BZ361" t="str">
        <f>""</f>
        <v/>
      </c>
      <c r="CA361" t="str">
        <f>"Must lift/carry 50 lbs., when necessary.  Saturday and Sunday work required, when necessary.  Post-hire random, post-accident and upon suspicion of use drug testing required of foreign and domestic workers."</f>
        <v>Must lift/carry 50 lbs., when necessary.  Saturday and Sunday work required, when necessary.  Post-hire random, post-accident and upon suspicion of use drug testing required of foreign and domestic workers.</v>
      </c>
      <c r="CB361" t="s">
        <v>131</v>
      </c>
      <c r="CF361" t="s">
        <v>131</v>
      </c>
      <c r="CH361" t="str">
        <f>""</f>
        <v/>
      </c>
      <c r="CI361" t="s">
        <v>131</v>
      </c>
      <c r="CK361" t="s">
        <v>131</v>
      </c>
      <c r="CL361" t="str">
        <f>""</f>
        <v/>
      </c>
      <c r="CM361" t="str">
        <f>""</f>
        <v/>
      </c>
      <c r="CN361" t="str">
        <f>""</f>
        <v/>
      </c>
      <c r="CO361" t="str">
        <f>""</f>
        <v/>
      </c>
      <c r="CP361" t="str">
        <f>"37-3011.00"</f>
        <v>37-3011.00</v>
      </c>
      <c r="CQ361" t="s">
        <v>920</v>
      </c>
      <c r="CR361" t="s">
        <v>2924</v>
      </c>
      <c r="CS361" t="s">
        <v>135</v>
      </c>
      <c r="CT361" t="s">
        <v>2925</v>
      </c>
      <c r="CU361" t="s">
        <v>14954</v>
      </c>
      <c r="CW361" t="s">
        <v>255</v>
      </c>
      <c r="CX361" t="s">
        <v>258</v>
      </c>
      <c r="CZ361" s="3" t="str">
        <f>"63123"</f>
        <v>63123</v>
      </c>
      <c r="DA361" t="s">
        <v>135</v>
      </c>
      <c r="DB361" t="str">
        <f>"37-3011"</f>
        <v>37-3011</v>
      </c>
      <c r="DC361" t="s">
        <v>920</v>
      </c>
      <c r="DD361" t="s">
        <v>134</v>
      </c>
      <c r="DE361" t="s">
        <v>134</v>
      </c>
      <c r="DF361" t="str">
        <f>""</f>
        <v/>
      </c>
      <c r="DH361" s="6">
        <v>15.37</v>
      </c>
      <c r="DI361" t="s">
        <v>344</v>
      </c>
      <c r="DK361" t="s">
        <v>345</v>
      </c>
      <c r="DS361" s="6">
        <v>15.37</v>
      </c>
      <c r="DT361" s="2" t="s">
        <v>347</v>
      </c>
      <c r="DU361" s="1">
        <v>44354</v>
      </c>
      <c r="DV361" s="1">
        <v>44443</v>
      </c>
    </row>
    <row r="362" spans="1:126" ht="15" customHeight="1" x14ac:dyDescent="0.35">
      <c r="A362" t="s">
        <v>6537</v>
      </c>
      <c r="B362" t="s">
        <v>318</v>
      </c>
      <c r="C362" s="1">
        <v>44327</v>
      </c>
      <c r="D362" s="1">
        <v>44356</v>
      </c>
      <c r="H362" t="s">
        <v>319</v>
      </c>
      <c r="I362" t="s">
        <v>6538</v>
      </c>
      <c r="J362" t="s">
        <v>6539</v>
      </c>
      <c r="L362" t="s">
        <v>1031</v>
      </c>
      <c r="M362" t="s">
        <v>6540</v>
      </c>
      <c r="O362" t="s">
        <v>6541</v>
      </c>
      <c r="P362" t="s">
        <v>539</v>
      </c>
      <c r="Q362" s="3">
        <v>62231</v>
      </c>
      <c r="R362" t="s">
        <v>128</v>
      </c>
      <c r="T362" s="4">
        <v>16185948799</v>
      </c>
      <c r="V362" t="s">
        <v>6542</v>
      </c>
      <c r="W362" t="s">
        <v>6543</v>
      </c>
      <c r="Y362" t="s">
        <v>6544</v>
      </c>
      <c r="AA362" t="s">
        <v>6541</v>
      </c>
      <c r="AB362" t="s">
        <v>263</v>
      </c>
      <c r="AC362" s="3" t="str">
        <f>"62231"</f>
        <v>62231</v>
      </c>
      <c r="AD362" t="s">
        <v>128</v>
      </c>
      <c r="AF362" s="4">
        <v>16185948799</v>
      </c>
      <c r="AH362" t="str">
        <f>"56173"</f>
        <v>56173</v>
      </c>
      <c r="AI362" t="s">
        <v>130</v>
      </c>
      <c r="AJ362" t="s">
        <v>3252</v>
      </c>
      <c r="AK362" t="s">
        <v>3253</v>
      </c>
      <c r="AL362" t="s">
        <v>589</v>
      </c>
      <c r="AM362" t="s">
        <v>3254</v>
      </c>
      <c r="AO362" t="s">
        <v>3255</v>
      </c>
      <c r="AP362" t="s">
        <v>779</v>
      </c>
      <c r="AQ362" s="5">
        <v>37110</v>
      </c>
      <c r="AR362" t="s">
        <v>128</v>
      </c>
      <c r="AT362" s="4">
        <v>19312747811</v>
      </c>
      <c r="AV362" t="s">
        <v>3256</v>
      </c>
      <c r="AW362" t="s">
        <v>3257</v>
      </c>
      <c r="AX362" t="s">
        <v>131</v>
      </c>
      <c r="AY362" t="s">
        <v>131</v>
      </c>
      <c r="AZ362" t="s">
        <v>131</v>
      </c>
      <c r="BA362" t="s">
        <v>131</v>
      </c>
      <c r="BB362" t="s">
        <v>131</v>
      </c>
      <c r="BC362" t="s">
        <v>131</v>
      </c>
      <c r="BD362" t="s">
        <v>131</v>
      </c>
      <c r="BE362" t="s">
        <v>132</v>
      </c>
      <c r="BH362" t="s">
        <v>6545</v>
      </c>
      <c r="BI362" t="s">
        <v>131</v>
      </c>
      <c r="BL362" t="s">
        <v>167</v>
      </c>
      <c r="BO362" t="s">
        <v>131</v>
      </c>
      <c r="BP362" t="s">
        <v>134</v>
      </c>
      <c r="BQ362" t="s">
        <v>131</v>
      </c>
      <c r="BS362" t="str">
        <f t="shared" si="29"/>
        <v>N/A</v>
      </c>
      <c r="BT362" t="s">
        <v>131</v>
      </c>
      <c r="BV362" t="str">
        <f>""</f>
        <v/>
      </c>
      <c r="BW362" t="s">
        <v>135</v>
      </c>
      <c r="BX362" t="str">
        <f>""</f>
        <v/>
      </c>
      <c r="BY362" t="str">
        <f>""</f>
        <v/>
      </c>
      <c r="BZ362" t="str">
        <f>""</f>
        <v/>
      </c>
      <c r="CA362" t="str">
        <f>"MUST HAVE VALID DRIVER'S LICENSE"</f>
        <v>MUST HAVE VALID DRIVER'S LICENSE</v>
      </c>
      <c r="CB362" t="s">
        <v>131</v>
      </c>
      <c r="CF362" t="s">
        <v>131</v>
      </c>
      <c r="CH362" t="str">
        <f>""</f>
        <v/>
      </c>
      <c r="CI362" t="s">
        <v>131</v>
      </c>
      <c r="CK362" t="s">
        <v>131</v>
      </c>
      <c r="CL362" t="str">
        <f>""</f>
        <v/>
      </c>
      <c r="CM362" t="str">
        <f>""</f>
        <v/>
      </c>
      <c r="CN362" t="str">
        <f>""</f>
        <v/>
      </c>
      <c r="CO362" t="str">
        <f>""</f>
        <v/>
      </c>
      <c r="CP362" t="str">
        <f>"37-3011.00"</f>
        <v>37-3011.00</v>
      </c>
      <c r="CQ362" t="s">
        <v>920</v>
      </c>
      <c r="CS362" t="s">
        <v>131</v>
      </c>
      <c r="CU362" t="s">
        <v>6544</v>
      </c>
      <c r="CW362" t="s">
        <v>6541</v>
      </c>
      <c r="CX362" t="s">
        <v>263</v>
      </c>
      <c r="CZ362" s="3" t="str">
        <f>"62231"</f>
        <v>62231</v>
      </c>
      <c r="DA362" t="s">
        <v>135</v>
      </c>
      <c r="DB362" t="str">
        <f>"37-3011"</f>
        <v>37-3011</v>
      </c>
      <c r="DC362" t="s">
        <v>920</v>
      </c>
      <c r="DD362" t="s">
        <v>134</v>
      </c>
      <c r="DE362" t="s">
        <v>134</v>
      </c>
      <c r="DF362" t="str">
        <f>""</f>
        <v/>
      </c>
      <c r="DH362" s="6">
        <v>15.37</v>
      </c>
      <c r="DI362" t="s">
        <v>344</v>
      </c>
      <c r="DK362" t="s">
        <v>345</v>
      </c>
      <c r="DR362" t="s">
        <v>4139</v>
      </c>
      <c r="DS362" s="6">
        <v>15.37</v>
      </c>
      <c r="DT362" t="s">
        <v>424</v>
      </c>
      <c r="DU362" s="1">
        <v>44356</v>
      </c>
      <c r="DV362" s="1">
        <v>44445</v>
      </c>
    </row>
    <row r="363" spans="1:126" ht="15" customHeight="1" x14ac:dyDescent="0.35">
      <c r="A363" t="s">
        <v>17900</v>
      </c>
      <c r="B363" t="s">
        <v>318</v>
      </c>
      <c r="C363" s="1">
        <v>44327</v>
      </c>
      <c r="D363" s="1">
        <v>44356</v>
      </c>
      <c r="H363" t="s">
        <v>319</v>
      </c>
      <c r="I363" t="s">
        <v>6538</v>
      </c>
      <c r="J363" t="s">
        <v>6539</v>
      </c>
      <c r="L363" t="s">
        <v>1031</v>
      </c>
      <c r="M363" t="s">
        <v>6540</v>
      </c>
      <c r="O363" t="s">
        <v>6541</v>
      </c>
      <c r="P363" t="s">
        <v>539</v>
      </c>
      <c r="Q363" s="3">
        <v>62231</v>
      </c>
      <c r="R363" t="s">
        <v>128</v>
      </c>
      <c r="T363" s="4">
        <v>16185948799</v>
      </c>
      <c r="V363" t="s">
        <v>6542</v>
      </c>
      <c r="W363" t="s">
        <v>6543</v>
      </c>
      <c r="Y363" t="s">
        <v>6544</v>
      </c>
      <c r="AA363" t="s">
        <v>6541</v>
      </c>
      <c r="AB363" t="s">
        <v>263</v>
      </c>
      <c r="AC363" s="3" t="str">
        <f>"62231"</f>
        <v>62231</v>
      </c>
      <c r="AD363" t="s">
        <v>128</v>
      </c>
      <c r="AF363" s="4">
        <v>16185948799</v>
      </c>
      <c r="AH363" t="str">
        <f>"56173"</f>
        <v>56173</v>
      </c>
      <c r="AI363" t="s">
        <v>130</v>
      </c>
      <c r="AJ363" t="s">
        <v>3252</v>
      </c>
      <c r="AK363" t="s">
        <v>3253</v>
      </c>
      <c r="AL363" t="s">
        <v>589</v>
      </c>
      <c r="AM363" t="s">
        <v>3254</v>
      </c>
      <c r="AO363" t="s">
        <v>3255</v>
      </c>
      <c r="AP363" t="s">
        <v>779</v>
      </c>
      <c r="AQ363" s="5">
        <v>37110</v>
      </c>
      <c r="AR363" t="s">
        <v>128</v>
      </c>
      <c r="AT363" s="4">
        <v>19312747811</v>
      </c>
      <c r="AV363" t="s">
        <v>3256</v>
      </c>
      <c r="AW363" t="s">
        <v>3257</v>
      </c>
      <c r="AX363" t="s">
        <v>131</v>
      </c>
      <c r="AY363" t="s">
        <v>131</v>
      </c>
      <c r="AZ363" t="s">
        <v>131</v>
      </c>
      <c r="BA363" t="s">
        <v>131</v>
      </c>
      <c r="BB363" t="s">
        <v>131</v>
      </c>
      <c r="BC363" t="s">
        <v>131</v>
      </c>
      <c r="BD363" t="s">
        <v>131</v>
      </c>
      <c r="BE363" t="s">
        <v>132</v>
      </c>
      <c r="BH363" t="s">
        <v>6893</v>
      </c>
      <c r="BI363" t="s">
        <v>131</v>
      </c>
      <c r="BL363" t="s">
        <v>167</v>
      </c>
      <c r="BO363" t="s">
        <v>131</v>
      </c>
      <c r="BP363" t="s">
        <v>134</v>
      </c>
      <c r="BQ363" t="s">
        <v>131</v>
      </c>
      <c r="BS363" t="str">
        <f t="shared" si="29"/>
        <v>N/A</v>
      </c>
      <c r="BT363" t="s">
        <v>131</v>
      </c>
      <c r="BV363" t="str">
        <f>""</f>
        <v/>
      </c>
      <c r="BW363" t="s">
        <v>135</v>
      </c>
      <c r="BX363" t="str">
        <f>""</f>
        <v/>
      </c>
      <c r="BY363" t="str">
        <f>""</f>
        <v/>
      </c>
      <c r="BZ363" t="str">
        <f>""</f>
        <v/>
      </c>
      <c r="CA363" t="str">
        <f>"MUST HAVE VALID DRIVERS LICENSE"</f>
        <v>MUST HAVE VALID DRIVERS LICENSE</v>
      </c>
      <c r="CB363" t="s">
        <v>131</v>
      </c>
      <c r="CF363" t="s">
        <v>131</v>
      </c>
      <c r="CH363" t="str">
        <f>""</f>
        <v/>
      </c>
      <c r="CI363" t="s">
        <v>131</v>
      </c>
      <c r="CK363" t="s">
        <v>131</v>
      </c>
      <c r="CL363" t="str">
        <f>""</f>
        <v/>
      </c>
      <c r="CM363" t="str">
        <f>""</f>
        <v/>
      </c>
      <c r="CN363" t="str">
        <f>""</f>
        <v/>
      </c>
      <c r="CO363" t="str">
        <f>""</f>
        <v/>
      </c>
      <c r="CP363" t="str">
        <f>"37-3011.00"</f>
        <v>37-3011.00</v>
      </c>
      <c r="CQ363" t="s">
        <v>920</v>
      </c>
      <c r="CS363" t="s">
        <v>131</v>
      </c>
      <c r="CU363" t="s">
        <v>6540</v>
      </c>
      <c r="CW363" t="s">
        <v>6541</v>
      </c>
      <c r="CX363" t="s">
        <v>263</v>
      </c>
      <c r="CZ363" s="3" t="str">
        <f>"62231"</f>
        <v>62231</v>
      </c>
      <c r="DA363" t="s">
        <v>135</v>
      </c>
      <c r="DB363" t="str">
        <f>"37-3011"</f>
        <v>37-3011</v>
      </c>
      <c r="DC363" t="s">
        <v>920</v>
      </c>
      <c r="DD363" t="s">
        <v>134</v>
      </c>
      <c r="DE363" t="s">
        <v>134</v>
      </c>
      <c r="DF363" t="str">
        <f>""</f>
        <v/>
      </c>
      <c r="DH363" s="6">
        <v>15.37</v>
      </c>
      <c r="DI363" t="s">
        <v>344</v>
      </c>
      <c r="DK363" t="s">
        <v>345</v>
      </c>
      <c r="DR363" t="s">
        <v>4139</v>
      </c>
      <c r="DS363" s="6">
        <v>15.37</v>
      </c>
      <c r="DT363" t="s">
        <v>424</v>
      </c>
      <c r="DU363" s="1">
        <v>44356</v>
      </c>
      <c r="DV363" s="1">
        <v>44445</v>
      </c>
    </row>
    <row r="364" spans="1:126" ht="15" customHeight="1" x14ac:dyDescent="0.35">
      <c r="A364" t="s">
        <v>18902</v>
      </c>
      <c r="B364" t="s">
        <v>318</v>
      </c>
      <c r="C364" s="1">
        <v>44327</v>
      </c>
      <c r="D364" s="1">
        <v>44354</v>
      </c>
      <c r="H364" t="s">
        <v>319</v>
      </c>
      <c r="I364" t="s">
        <v>2694</v>
      </c>
      <c r="J364" t="s">
        <v>592</v>
      </c>
      <c r="L364" t="s">
        <v>6348</v>
      </c>
      <c r="M364" t="s">
        <v>18903</v>
      </c>
      <c r="O364" t="s">
        <v>255</v>
      </c>
      <c r="P364" t="s">
        <v>256</v>
      </c>
      <c r="Q364" s="3">
        <v>63146</v>
      </c>
      <c r="R364" t="s">
        <v>128</v>
      </c>
      <c r="T364" s="4">
        <v>13146920100</v>
      </c>
      <c r="V364" t="s">
        <v>134</v>
      </c>
      <c r="W364" t="s">
        <v>18904</v>
      </c>
      <c r="X364" t="s">
        <v>18905</v>
      </c>
      <c r="Y364" t="s">
        <v>18903</v>
      </c>
      <c r="AA364" t="s">
        <v>255</v>
      </c>
      <c r="AB364" t="s">
        <v>258</v>
      </c>
      <c r="AC364" s="3" t="str">
        <f>"63146"</f>
        <v>63146</v>
      </c>
      <c r="AD364" t="s">
        <v>128</v>
      </c>
      <c r="AF364" s="4">
        <v>13146920100</v>
      </c>
      <c r="AH364" t="str">
        <f>"72111"</f>
        <v>72111</v>
      </c>
      <c r="AI364" t="s">
        <v>287</v>
      </c>
      <c r="AJ364" t="s">
        <v>2917</v>
      </c>
      <c r="AK364" t="s">
        <v>2918</v>
      </c>
      <c r="AM364" t="s">
        <v>2919</v>
      </c>
      <c r="AN364" t="s">
        <v>2920</v>
      </c>
      <c r="AO364" t="s">
        <v>2921</v>
      </c>
      <c r="AP364" t="s">
        <v>306</v>
      </c>
      <c r="AQ364" s="5">
        <v>22949</v>
      </c>
      <c r="AR364" t="s">
        <v>128</v>
      </c>
      <c r="AT364" s="4">
        <v>14342634300</v>
      </c>
      <c r="AV364" t="s">
        <v>5233</v>
      </c>
      <c r="AW364" t="s">
        <v>2923</v>
      </c>
      <c r="AX364" t="s">
        <v>131</v>
      </c>
      <c r="AY364" t="s">
        <v>131</v>
      </c>
      <c r="AZ364" t="s">
        <v>131</v>
      </c>
      <c r="BA364" t="s">
        <v>131</v>
      </c>
      <c r="BB364" t="s">
        <v>131</v>
      </c>
      <c r="BC364" t="s">
        <v>131</v>
      </c>
      <c r="BD364" t="s">
        <v>131</v>
      </c>
      <c r="BE364" t="s">
        <v>132</v>
      </c>
      <c r="BH364" t="s">
        <v>12179</v>
      </c>
      <c r="BI364" t="s">
        <v>131</v>
      </c>
      <c r="BL364" t="s">
        <v>167</v>
      </c>
      <c r="BO364" t="s">
        <v>131</v>
      </c>
      <c r="BP364" t="s">
        <v>134</v>
      </c>
      <c r="BQ364" t="s">
        <v>131</v>
      </c>
      <c r="BS364" t="str">
        <f t="shared" si="29"/>
        <v>N/A</v>
      </c>
      <c r="BT364" t="s">
        <v>131</v>
      </c>
      <c r="BV364" t="str">
        <f>""</f>
        <v/>
      </c>
      <c r="BW364" t="s">
        <v>135</v>
      </c>
      <c r="BX364" t="str">
        <f>""</f>
        <v/>
      </c>
      <c r="BY364" t="str">
        <f>""</f>
        <v/>
      </c>
      <c r="BZ364" t="str">
        <f>""</f>
        <v/>
      </c>
      <c r="CA364" t="str">
        <f>"Must lift/carry 50 lbs. when necessary and frequently work on hands and knees. Work schedule is at least 5 days/week to include Saturday and Sunday. Post-hire upon suspicion of use and post-accident drug testing required of foreign and domestic workers."</f>
        <v>Must lift/carry 50 lbs. when necessary and frequently work on hands and knees. Work schedule is at least 5 days/week to include Saturday and Sunday. Post-hire upon suspicion of use and post-accident drug testing required of foreign and domestic workers.</v>
      </c>
      <c r="CB364" t="s">
        <v>131</v>
      </c>
      <c r="CF364" t="s">
        <v>131</v>
      </c>
      <c r="CH364" t="str">
        <f>""</f>
        <v/>
      </c>
      <c r="CI364" t="s">
        <v>131</v>
      </c>
      <c r="CK364" t="s">
        <v>131</v>
      </c>
      <c r="CL364" t="str">
        <f>""</f>
        <v/>
      </c>
      <c r="CM364" t="str">
        <f>""</f>
        <v/>
      </c>
      <c r="CN364" t="str">
        <f>""</f>
        <v/>
      </c>
      <c r="CO364" t="str">
        <f>""</f>
        <v/>
      </c>
      <c r="CP364" t="str">
        <f>"37-2012.00"</f>
        <v>37-2012.00</v>
      </c>
      <c r="CQ364" t="s">
        <v>479</v>
      </c>
      <c r="CR364" t="s">
        <v>918</v>
      </c>
      <c r="CS364" t="s">
        <v>135</v>
      </c>
      <c r="CT364" t="s">
        <v>2925</v>
      </c>
      <c r="CU364" t="s">
        <v>18906</v>
      </c>
      <c r="CW364" t="s">
        <v>255</v>
      </c>
      <c r="CX364" t="s">
        <v>258</v>
      </c>
      <c r="CZ364" s="3" t="str">
        <f>"63110"</f>
        <v>63110</v>
      </c>
      <c r="DA364" t="s">
        <v>135</v>
      </c>
      <c r="DB364" t="str">
        <f>"37-2012"</f>
        <v>37-2012</v>
      </c>
      <c r="DC364" t="s">
        <v>479</v>
      </c>
      <c r="DD364" t="s">
        <v>134</v>
      </c>
      <c r="DE364" t="s">
        <v>134</v>
      </c>
      <c r="DF364" t="str">
        <f>""</f>
        <v/>
      </c>
      <c r="DH364" s="6">
        <v>11.52</v>
      </c>
      <c r="DI364" t="s">
        <v>344</v>
      </c>
      <c r="DK364" t="s">
        <v>345</v>
      </c>
      <c r="DS364" s="6">
        <v>11.52</v>
      </c>
      <c r="DT364" t="s">
        <v>424</v>
      </c>
      <c r="DU364" s="1">
        <v>44354</v>
      </c>
      <c r="DV364" s="1">
        <v>44443</v>
      </c>
    </row>
    <row r="365" spans="1:126" ht="15" customHeight="1" x14ac:dyDescent="0.35">
      <c r="A365" t="s">
        <v>17663</v>
      </c>
      <c r="B365" t="s">
        <v>318</v>
      </c>
      <c r="C365" s="1">
        <v>44327</v>
      </c>
      <c r="D365" s="1">
        <v>44354</v>
      </c>
      <c r="H365" t="s">
        <v>319</v>
      </c>
      <c r="I365" t="s">
        <v>6034</v>
      </c>
      <c r="J365" t="s">
        <v>666</v>
      </c>
      <c r="K365" t="s">
        <v>2673</v>
      </c>
      <c r="L365" t="s">
        <v>1105</v>
      </c>
      <c r="M365" t="s">
        <v>6035</v>
      </c>
      <c r="N365" t="s">
        <v>978</v>
      </c>
      <c r="O365" t="s">
        <v>6036</v>
      </c>
      <c r="P365" t="s">
        <v>778</v>
      </c>
      <c r="Q365" s="3">
        <v>37343</v>
      </c>
      <c r="R365" t="s">
        <v>128</v>
      </c>
      <c r="S365" t="s">
        <v>978</v>
      </c>
      <c r="T365" s="4">
        <v>14232403514</v>
      </c>
      <c r="U365">
        <v>0</v>
      </c>
      <c r="V365" t="s">
        <v>6037</v>
      </c>
      <c r="W365" t="s">
        <v>6038</v>
      </c>
      <c r="X365" t="s">
        <v>17400</v>
      </c>
      <c r="Y365" t="s">
        <v>6035</v>
      </c>
      <c r="Z365" t="s">
        <v>978</v>
      </c>
      <c r="AA365" t="s">
        <v>6036</v>
      </c>
      <c r="AB365" t="s">
        <v>779</v>
      </c>
      <c r="AC365" s="3" t="str">
        <f>"37343"</f>
        <v>37343</v>
      </c>
      <c r="AD365" t="s">
        <v>128</v>
      </c>
      <c r="AE365" t="s">
        <v>978</v>
      </c>
      <c r="AF365" s="4">
        <v>14232403514</v>
      </c>
      <c r="AG365">
        <v>0</v>
      </c>
      <c r="AH365" t="str">
        <f>"115310"</f>
        <v>115310</v>
      </c>
      <c r="AI365" t="s">
        <v>167</v>
      </c>
      <c r="AX365" t="s">
        <v>131</v>
      </c>
      <c r="AY365" t="s">
        <v>131</v>
      </c>
      <c r="AZ365" t="s">
        <v>131</v>
      </c>
      <c r="BA365" t="s">
        <v>131</v>
      </c>
      <c r="BB365" t="s">
        <v>131</v>
      </c>
      <c r="BC365" t="s">
        <v>131</v>
      </c>
      <c r="BD365" t="s">
        <v>131</v>
      </c>
      <c r="BE365" t="s">
        <v>132</v>
      </c>
      <c r="BH365" t="s">
        <v>6040</v>
      </c>
      <c r="BI365" t="s">
        <v>131</v>
      </c>
      <c r="BL365" t="s">
        <v>167</v>
      </c>
      <c r="BO365" t="s">
        <v>131</v>
      </c>
      <c r="BP365" t="s">
        <v>134</v>
      </c>
      <c r="BQ365" t="s">
        <v>131</v>
      </c>
      <c r="BS365" t="str">
        <f t="shared" si="29"/>
        <v>N/A</v>
      </c>
      <c r="BT365" t="s">
        <v>131</v>
      </c>
      <c r="BV365" t="str">
        <f>""</f>
        <v/>
      </c>
      <c r="BW365" t="s">
        <v>135</v>
      </c>
      <c r="BX365" t="str">
        <f>""</f>
        <v/>
      </c>
      <c r="BY365" t="str">
        <f>""</f>
        <v/>
      </c>
      <c r="BZ365" t="str">
        <f>""</f>
        <v/>
      </c>
      <c r="CA365" t="str">
        <f>"Worker must be in excellent physical condition with a strong back and must be able to do a lot of walking in tough terrain,mud,snow. "</f>
        <v xml:space="preserve">Worker must be in excellent physical condition with a strong back and must be able to do a lot of walking in tough terrain,mud,snow. </v>
      </c>
      <c r="CB365" t="s">
        <v>131</v>
      </c>
      <c r="CF365" t="s">
        <v>131</v>
      </c>
      <c r="CH365" t="str">
        <f>""</f>
        <v/>
      </c>
      <c r="CI365" t="s">
        <v>131</v>
      </c>
      <c r="CK365" t="s">
        <v>131</v>
      </c>
      <c r="CL365" t="str">
        <f>""</f>
        <v/>
      </c>
      <c r="CM365" t="str">
        <f>""</f>
        <v/>
      </c>
      <c r="CN365" t="str">
        <f>""</f>
        <v/>
      </c>
      <c r="CO365" t="str">
        <f>""</f>
        <v/>
      </c>
      <c r="CP365" t="str">
        <f>"45-4011.00"</f>
        <v>45-4011.00</v>
      </c>
      <c r="CQ365" t="s">
        <v>4310</v>
      </c>
      <c r="CR365" t="s">
        <v>1105</v>
      </c>
      <c r="CS365" t="s">
        <v>131</v>
      </c>
      <c r="CU365" t="s">
        <v>17664</v>
      </c>
      <c r="CV365" t="s">
        <v>17665</v>
      </c>
      <c r="CW365" t="s">
        <v>6043</v>
      </c>
      <c r="CX365" t="s">
        <v>925</v>
      </c>
      <c r="CZ365" s="3" t="str">
        <f>"04623"</f>
        <v>04623</v>
      </c>
      <c r="DA365" t="s">
        <v>135</v>
      </c>
      <c r="DB365" t="str">
        <f>"45-4011"</f>
        <v>45-4011</v>
      </c>
      <c r="DC365" t="s">
        <v>4310</v>
      </c>
      <c r="DD365" t="s">
        <v>134</v>
      </c>
      <c r="DE365" t="s">
        <v>134</v>
      </c>
      <c r="DF365" t="str">
        <f>""</f>
        <v/>
      </c>
      <c r="DH365" s="6">
        <v>15.76</v>
      </c>
      <c r="DI365" t="s">
        <v>344</v>
      </c>
      <c r="DK365" t="s">
        <v>345</v>
      </c>
      <c r="DR365" t="s">
        <v>6044</v>
      </c>
      <c r="DS365" s="6">
        <v>15.76</v>
      </c>
      <c r="DT365" t="s">
        <v>424</v>
      </c>
      <c r="DU365" s="1">
        <v>44354</v>
      </c>
      <c r="DV365" s="1">
        <v>44443</v>
      </c>
    </row>
    <row r="366" spans="1:126" ht="15" customHeight="1" x14ac:dyDescent="0.35">
      <c r="A366" t="s">
        <v>14413</v>
      </c>
      <c r="B366" t="s">
        <v>318</v>
      </c>
      <c r="C366" s="1">
        <v>44327</v>
      </c>
      <c r="D366" s="1">
        <v>44354</v>
      </c>
      <c r="H366" t="s">
        <v>319</v>
      </c>
      <c r="I366" t="s">
        <v>14414</v>
      </c>
      <c r="J366" t="s">
        <v>2472</v>
      </c>
      <c r="K366" t="s">
        <v>6428</v>
      </c>
      <c r="L366" t="s">
        <v>1089</v>
      </c>
      <c r="M366" t="s">
        <v>14415</v>
      </c>
      <c r="O366" t="s">
        <v>14416</v>
      </c>
      <c r="P366" t="s">
        <v>248</v>
      </c>
      <c r="Q366" s="3">
        <v>56101</v>
      </c>
      <c r="R366" t="s">
        <v>128</v>
      </c>
      <c r="T366" s="4">
        <v>15075080581</v>
      </c>
      <c r="V366" t="s">
        <v>14417</v>
      </c>
      <c r="W366" t="s">
        <v>14418</v>
      </c>
      <c r="Y366" t="s">
        <v>14415</v>
      </c>
      <c r="AA366" t="s">
        <v>14416</v>
      </c>
      <c r="AB366" t="s">
        <v>249</v>
      </c>
      <c r="AC366" s="3" t="str">
        <f>"56101"</f>
        <v>56101</v>
      </c>
      <c r="AD366" t="s">
        <v>128</v>
      </c>
      <c r="AF366" s="4">
        <v>15075080581</v>
      </c>
      <c r="AH366" t="str">
        <f>"311612"</f>
        <v>311612</v>
      </c>
      <c r="AI366" t="s">
        <v>130</v>
      </c>
      <c r="AJ366" t="s">
        <v>3528</v>
      </c>
      <c r="AK366" t="s">
        <v>3179</v>
      </c>
      <c r="AL366" t="s">
        <v>3529</v>
      </c>
      <c r="AM366" t="s">
        <v>14419</v>
      </c>
      <c r="AN366" t="s">
        <v>1670</v>
      </c>
      <c r="AO366" t="s">
        <v>707</v>
      </c>
      <c r="AP366" t="s">
        <v>249</v>
      </c>
      <c r="AQ366" s="5">
        <v>55402</v>
      </c>
      <c r="AR366" t="s">
        <v>128</v>
      </c>
      <c r="AT366" s="4">
        <v>16123351445</v>
      </c>
      <c r="AV366" t="s">
        <v>3530</v>
      </c>
      <c r="AW366" t="s">
        <v>3531</v>
      </c>
      <c r="AX366" t="s">
        <v>131</v>
      </c>
      <c r="AY366" t="s">
        <v>131</v>
      </c>
      <c r="AZ366" t="s">
        <v>131</v>
      </c>
      <c r="BA366" t="s">
        <v>131</v>
      </c>
      <c r="BB366" t="s">
        <v>131</v>
      </c>
      <c r="BC366" t="s">
        <v>131</v>
      </c>
      <c r="BD366" t="s">
        <v>131</v>
      </c>
      <c r="BE366" t="s">
        <v>132</v>
      </c>
      <c r="BH366" t="s">
        <v>3630</v>
      </c>
      <c r="BI366" t="s">
        <v>131</v>
      </c>
      <c r="BL366" t="s">
        <v>167</v>
      </c>
      <c r="BO366" t="s">
        <v>131</v>
      </c>
      <c r="BP366" t="s">
        <v>134</v>
      </c>
      <c r="BQ366" t="s">
        <v>131</v>
      </c>
      <c r="BS366" t="str">
        <f t="shared" si="29"/>
        <v>N/A</v>
      </c>
      <c r="BT366" t="s">
        <v>131</v>
      </c>
      <c r="BV366" t="str">
        <f>""</f>
        <v/>
      </c>
      <c r="BW366" t="s">
        <v>135</v>
      </c>
      <c r="BX366" t="str">
        <f>""</f>
        <v/>
      </c>
      <c r="BY366" t="str">
        <f>""</f>
        <v/>
      </c>
      <c r="BZ366" t="str">
        <f>""</f>
        <v/>
      </c>
      <c r="CA366" t="s">
        <v>14420</v>
      </c>
      <c r="CB366" t="s">
        <v>131</v>
      </c>
      <c r="CF366" t="s">
        <v>131</v>
      </c>
      <c r="CH366" t="str">
        <f>""</f>
        <v/>
      </c>
      <c r="CI366" t="s">
        <v>131</v>
      </c>
      <c r="CK366" t="s">
        <v>131</v>
      </c>
      <c r="CL366" t="str">
        <f>""</f>
        <v/>
      </c>
      <c r="CM366" t="str">
        <f>""</f>
        <v/>
      </c>
      <c r="CN366" t="str">
        <f>""</f>
        <v/>
      </c>
      <c r="CO366" t="str">
        <f>""</f>
        <v/>
      </c>
      <c r="CP366" t="str">
        <f>"51-3023.00"</f>
        <v>51-3023.00</v>
      </c>
      <c r="CQ366" t="s">
        <v>5705</v>
      </c>
      <c r="CR366" t="s">
        <v>3631</v>
      </c>
      <c r="CS366" t="s">
        <v>131</v>
      </c>
      <c r="CU366" t="s">
        <v>14415</v>
      </c>
      <c r="CW366" t="s">
        <v>14416</v>
      </c>
      <c r="CX366" t="s">
        <v>249</v>
      </c>
      <c r="CZ366" s="3" t="str">
        <f>"56101"</f>
        <v>56101</v>
      </c>
      <c r="DA366" t="s">
        <v>131</v>
      </c>
      <c r="DB366" t="str">
        <f>"51-3023"</f>
        <v>51-3023</v>
      </c>
      <c r="DC366" t="s">
        <v>5705</v>
      </c>
      <c r="DD366" t="s">
        <v>134</v>
      </c>
      <c r="DE366" t="s">
        <v>134</v>
      </c>
      <c r="DF366" t="str">
        <f>""</f>
        <v/>
      </c>
      <c r="DH366" s="6">
        <v>15.01</v>
      </c>
      <c r="DI366" t="s">
        <v>344</v>
      </c>
      <c r="DK366" t="s">
        <v>345</v>
      </c>
      <c r="DS366" s="6">
        <v>15.01</v>
      </c>
      <c r="DT366" t="s">
        <v>424</v>
      </c>
      <c r="DU366" s="1">
        <v>44354</v>
      </c>
      <c r="DV366" s="1">
        <v>44443</v>
      </c>
    </row>
    <row r="367" spans="1:126" ht="15" customHeight="1" x14ac:dyDescent="0.35">
      <c r="A367" t="s">
        <v>17978</v>
      </c>
      <c r="B367" t="s">
        <v>318</v>
      </c>
      <c r="C367" s="1">
        <v>44327</v>
      </c>
      <c r="D367" s="1">
        <v>44354</v>
      </c>
      <c r="H367" t="s">
        <v>319</v>
      </c>
      <c r="I367" t="s">
        <v>11520</v>
      </c>
      <c r="J367" t="s">
        <v>313</v>
      </c>
      <c r="K367" t="s">
        <v>134</v>
      </c>
      <c r="L367" t="s">
        <v>395</v>
      </c>
      <c r="M367" t="s">
        <v>11521</v>
      </c>
      <c r="O367" t="s">
        <v>11524</v>
      </c>
      <c r="P367" t="s">
        <v>127</v>
      </c>
      <c r="Q367" s="3">
        <v>10523</v>
      </c>
      <c r="R367" t="s">
        <v>128</v>
      </c>
      <c r="T367" s="4">
        <v>19143475151</v>
      </c>
      <c r="V367" t="s">
        <v>9942</v>
      </c>
      <c r="W367" t="s">
        <v>11523</v>
      </c>
      <c r="Y367" t="s">
        <v>11521</v>
      </c>
      <c r="AA367" t="s">
        <v>11524</v>
      </c>
      <c r="AB367" t="s">
        <v>129</v>
      </c>
      <c r="AC367" s="3" t="str">
        <f>"10523"</f>
        <v>10523</v>
      </c>
      <c r="AD367" t="s">
        <v>128</v>
      </c>
      <c r="AF367" s="4">
        <v>19143475151</v>
      </c>
      <c r="AH367" t="str">
        <f>"22131"</f>
        <v>22131</v>
      </c>
      <c r="AI367" t="s">
        <v>287</v>
      </c>
      <c r="AJ367" t="s">
        <v>9944</v>
      </c>
      <c r="AK367" t="s">
        <v>9945</v>
      </c>
      <c r="AL367" t="s">
        <v>355</v>
      </c>
      <c r="AM367" t="s">
        <v>2048</v>
      </c>
      <c r="AN367" t="s">
        <v>9946</v>
      </c>
      <c r="AO367" t="s">
        <v>9947</v>
      </c>
      <c r="AP367" t="s">
        <v>1243</v>
      </c>
      <c r="AQ367" s="5">
        <v>83814</v>
      </c>
      <c r="AR367" t="s">
        <v>128</v>
      </c>
      <c r="AT367" s="4">
        <v>12087772654</v>
      </c>
      <c r="AV367" t="s">
        <v>9942</v>
      </c>
      <c r="AW367" t="s">
        <v>4715</v>
      </c>
      <c r="AX367" t="s">
        <v>131</v>
      </c>
      <c r="AY367" t="s">
        <v>131</v>
      </c>
      <c r="AZ367" t="s">
        <v>131</v>
      </c>
      <c r="BA367" t="s">
        <v>131</v>
      </c>
      <c r="BB367" t="s">
        <v>131</v>
      </c>
      <c r="BC367" t="s">
        <v>131</v>
      </c>
      <c r="BD367" t="s">
        <v>131</v>
      </c>
      <c r="BE367" t="s">
        <v>132</v>
      </c>
      <c r="BH367" t="s">
        <v>2095</v>
      </c>
      <c r="BI367" t="s">
        <v>131</v>
      </c>
      <c r="BL367" t="s">
        <v>167</v>
      </c>
      <c r="BO367" t="s">
        <v>131</v>
      </c>
      <c r="BP367" t="s">
        <v>134</v>
      </c>
      <c r="BQ367" t="s">
        <v>131</v>
      </c>
      <c r="BS367" t="str">
        <f t="shared" si="29"/>
        <v>N/A</v>
      </c>
      <c r="BT367" t="s">
        <v>131</v>
      </c>
      <c r="BV367" t="str">
        <f>""</f>
        <v/>
      </c>
      <c r="BW367" t="s">
        <v>135</v>
      </c>
      <c r="BX367" t="str">
        <f>""</f>
        <v/>
      </c>
      <c r="BY367" t="str">
        <f>""</f>
        <v/>
      </c>
      <c r="BZ367" t="str">
        <f>""</f>
        <v/>
      </c>
      <c r="CA367" t="s">
        <v>2054</v>
      </c>
      <c r="CB367" t="s">
        <v>131</v>
      </c>
      <c r="CF367" t="s">
        <v>131</v>
      </c>
      <c r="CH367" t="str">
        <f>""</f>
        <v/>
      </c>
      <c r="CI367" t="s">
        <v>131</v>
      </c>
      <c r="CK367" t="s">
        <v>131</v>
      </c>
      <c r="CL367" t="str">
        <f>""</f>
        <v/>
      </c>
      <c r="CM367" t="str">
        <f>""</f>
        <v/>
      </c>
      <c r="CN367" t="str">
        <f>""</f>
        <v/>
      </c>
      <c r="CO367" t="str">
        <f>""</f>
        <v/>
      </c>
      <c r="CP367" t="str">
        <f>"37-3011.00"</f>
        <v>37-3011.00</v>
      </c>
      <c r="CQ367" t="s">
        <v>920</v>
      </c>
      <c r="CS367" t="s">
        <v>135</v>
      </c>
      <c r="CT367" t="s">
        <v>17979</v>
      </c>
      <c r="CU367" t="s">
        <v>17980</v>
      </c>
      <c r="CW367" t="s">
        <v>2407</v>
      </c>
      <c r="CX367" t="s">
        <v>643</v>
      </c>
      <c r="CZ367" s="3" t="str">
        <f>"30909"</f>
        <v>30909</v>
      </c>
      <c r="DA367" t="s">
        <v>135</v>
      </c>
      <c r="DB367" t="str">
        <f>"37-3011"</f>
        <v>37-3011</v>
      </c>
      <c r="DC367" t="s">
        <v>920</v>
      </c>
      <c r="DD367" t="s">
        <v>134</v>
      </c>
      <c r="DE367" t="s">
        <v>134</v>
      </c>
      <c r="DF367" t="str">
        <f>""</f>
        <v/>
      </c>
      <c r="DH367" s="6">
        <v>13.05</v>
      </c>
      <c r="DI367" t="s">
        <v>344</v>
      </c>
      <c r="DK367" t="s">
        <v>345</v>
      </c>
      <c r="DR367" t="s">
        <v>15895</v>
      </c>
      <c r="DS367" s="6">
        <v>13.05</v>
      </c>
      <c r="DT367" s="2" t="s">
        <v>347</v>
      </c>
      <c r="DU367" s="1">
        <v>44354</v>
      </c>
      <c r="DV367" s="1">
        <v>44443</v>
      </c>
    </row>
    <row r="368" spans="1:126" ht="15" customHeight="1" x14ac:dyDescent="0.35">
      <c r="A368" t="s">
        <v>19991</v>
      </c>
      <c r="B368" t="s">
        <v>318</v>
      </c>
      <c r="C368" s="1">
        <v>44327</v>
      </c>
      <c r="D368" s="1">
        <v>44354</v>
      </c>
      <c r="H368" t="s">
        <v>319</v>
      </c>
      <c r="I368" t="s">
        <v>860</v>
      </c>
      <c r="J368" t="s">
        <v>473</v>
      </c>
      <c r="L368" t="s">
        <v>1105</v>
      </c>
      <c r="M368" t="s">
        <v>19992</v>
      </c>
      <c r="N368" t="s">
        <v>2136</v>
      </c>
      <c r="O368" t="s">
        <v>5207</v>
      </c>
      <c r="P368" t="s">
        <v>441</v>
      </c>
      <c r="Q368" s="3">
        <v>44256</v>
      </c>
      <c r="R368" t="s">
        <v>128</v>
      </c>
      <c r="T368" s="4">
        <v>13306016027</v>
      </c>
      <c r="V368" t="s">
        <v>19993</v>
      </c>
      <c r="W368" t="s">
        <v>19994</v>
      </c>
      <c r="Y368" t="s">
        <v>19992</v>
      </c>
      <c r="Z368" t="s">
        <v>2136</v>
      </c>
      <c r="AA368" t="s">
        <v>5207</v>
      </c>
      <c r="AB368" t="s">
        <v>444</v>
      </c>
      <c r="AC368" s="3" t="str">
        <f>"44256"</f>
        <v>44256</v>
      </c>
      <c r="AD368" t="s">
        <v>128</v>
      </c>
      <c r="AF368" s="4">
        <v>13306016027</v>
      </c>
      <c r="AH368" t="str">
        <f>"56173"</f>
        <v>56173</v>
      </c>
      <c r="AI368" t="s">
        <v>287</v>
      </c>
      <c r="AJ368" t="s">
        <v>7931</v>
      </c>
      <c r="AK368" t="s">
        <v>3626</v>
      </c>
      <c r="AL368" t="s">
        <v>134</v>
      </c>
      <c r="AM368" t="s">
        <v>7932</v>
      </c>
      <c r="AN368" t="s">
        <v>2377</v>
      </c>
      <c r="AO368" t="s">
        <v>4815</v>
      </c>
      <c r="AP368" t="s">
        <v>1243</v>
      </c>
      <c r="AQ368" s="5">
        <v>83814</v>
      </c>
      <c r="AR368" t="s">
        <v>128</v>
      </c>
      <c r="AT368" s="4">
        <v>12087772654</v>
      </c>
      <c r="AV368" t="s">
        <v>7933</v>
      </c>
      <c r="AW368" t="s">
        <v>4715</v>
      </c>
      <c r="AX368" t="s">
        <v>131</v>
      </c>
      <c r="AY368" t="s">
        <v>131</v>
      </c>
      <c r="AZ368" t="s">
        <v>131</v>
      </c>
      <c r="BA368" t="s">
        <v>131</v>
      </c>
      <c r="BB368" t="s">
        <v>131</v>
      </c>
      <c r="BC368" t="s">
        <v>131</v>
      </c>
      <c r="BD368" t="s">
        <v>131</v>
      </c>
      <c r="BE368" t="s">
        <v>132</v>
      </c>
      <c r="BH368" t="s">
        <v>2215</v>
      </c>
      <c r="BI368" t="s">
        <v>131</v>
      </c>
      <c r="BL368" t="s">
        <v>167</v>
      </c>
      <c r="BO368" t="s">
        <v>131</v>
      </c>
      <c r="BP368" t="s">
        <v>134</v>
      </c>
      <c r="BQ368" t="s">
        <v>131</v>
      </c>
      <c r="BS368" t="str">
        <f t="shared" si="29"/>
        <v>N/A</v>
      </c>
      <c r="BT368" t="s">
        <v>131</v>
      </c>
      <c r="BV368" t="str">
        <f>""</f>
        <v/>
      </c>
      <c r="BW368" t="s">
        <v>131</v>
      </c>
      <c r="BX368" t="str">
        <f>""</f>
        <v/>
      </c>
      <c r="BY368" t="str">
        <f>""</f>
        <v/>
      </c>
      <c r="BZ368" t="str">
        <f>""</f>
        <v/>
      </c>
      <c r="CA368" t="str">
        <f>""</f>
        <v/>
      </c>
      <c r="CB368" t="s">
        <v>131</v>
      </c>
      <c r="CF368" t="s">
        <v>131</v>
      </c>
      <c r="CH368" t="str">
        <f>""</f>
        <v/>
      </c>
      <c r="CI368" t="s">
        <v>131</v>
      </c>
      <c r="CK368" t="s">
        <v>131</v>
      </c>
      <c r="CL368" t="str">
        <f>""</f>
        <v/>
      </c>
      <c r="CM368" t="str">
        <f>""</f>
        <v/>
      </c>
      <c r="CN368" t="str">
        <f>""</f>
        <v/>
      </c>
      <c r="CO368" t="str">
        <f>""</f>
        <v/>
      </c>
      <c r="CP368" t="str">
        <f>"37-3011.00"</f>
        <v>37-3011.00</v>
      </c>
      <c r="CQ368" t="s">
        <v>920</v>
      </c>
      <c r="CS368" t="s">
        <v>135</v>
      </c>
      <c r="CT368" t="s">
        <v>19995</v>
      </c>
      <c r="CU368" t="s">
        <v>19996</v>
      </c>
      <c r="CW368" t="s">
        <v>5207</v>
      </c>
      <c r="CX368" t="s">
        <v>444</v>
      </c>
      <c r="CZ368" s="3" t="str">
        <f>"44256"</f>
        <v>44256</v>
      </c>
      <c r="DA368" t="s">
        <v>135</v>
      </c>
      <c r="DB368" t="str">
        <f>"37-3011"</f>
        <v>37-3011</v>
      </c>
      <c r="DC368" t="s">
        <v>920</v>
      </c>
      <c r="DD368" t="s">
        <v>134</v>
      </c>
      <c r="DE368" t="s">
        <v>134</v>
      </c>
      <c r="DF368" t="str">
        <f>""</f>
        <v/>
      </c>
      <c r="DH368" s="6">
        <v>16.350000000000001</v>
      </c>
      <c r="DI368" t="s">
        <v>344</v>
      </c>
      <c r="DK368" t="s">
        <v>345</v>
      </c>
      <c r="DR368" t="s">
        <v>16816</v>
      </c>
      <c r="DS368" s="6">
        <v>16.350000000000001</v>
      </c>
      <c r="DT368" s="2" t="s">
        <v>347</v>
      </c>
      <c r="DU368" s="1">
        <v>44354</v>
      </c>
      <c r="DV368" s="1">
        <v>44443</v>
      </c>
    </row>
    <row r="369" spans="1:126" ht="15" customHeight="1" x14ac:dyDescent="0.35">
      <c r="A369" t="s">
        <v>16609</v>
      </c>
      <c r="B369" t="s">
        <v>318</v>
      </c>
      <c r="C369" s="1">
        <v>44327</v>
      </c>
      <c r="D369" s="1">
        <v>44354</v>
      </c>
      <c r="H369" t="s">
        <v>319</v>
      </c>
      <c r="I369" t="s">
        <v>7237</v>
      </c>
      <c r="J369" t="s">
        <v>550</v>
      </c>
      <c r="L369" t="s">
        <v>7238</v>
      </c>
      <c r="M369" t="s">
        <v>7239</v>
      </c>
      <c r="O369" t="s">
        <v>5674</v>
      </c>
      <c r="P369" t="s">
        <v>194</v>
      </c>
      <c r="Q369" s="3">
        <v>34108</v>
      </c>
      <c r="R369" t="s">
        <v>128</v>
      </c>
      <c r="T369" s="4">
        <v>12395966180</v>
      </c>
      <c r="U369">
        <v>218</v>
      </c>
      <c r="V369" t="s">
        <v>7240</v>
      </c>
      <c r="W369" t="s">
        <v>7241</v>
      </c>
      <c r="Y369" t="s">
        <v>7239</v>
      </c>
      <c r="AA369" t="s">
        <v>5674</v>
      </c>
      <c r="AB369" t="s">
        <v>195</v>
      </c>
      <c r="AC369" s="3" t="str">
        <f>"34108"</f>
        <v>34108</v>
      </c>
      <c r="AD369" t="s">
        <v>128</v>
      </c>
      <c r="AF369" s="4">
        <v>12395966180</v>
      </c>
      <c r="AG369">
        <v>218</v>
      </c>
      <c r="AH369" t="str">
        <f>"71391"</f>
        <v>71391</v>
      </c>
      <c r="AI369" t="s">
        <v>130</v>
      </c>
      <c r="AJ369" t="s">
        <v>2282</v>
      </c>
      <c r="AK369" t="s">
        <v>2283</v>
      </c>
      <c r="AL369" t="s">
        <v>2284</v>
      </c>
      <c r="AM369" t="s">
        <v>2285</v>
      </c>
      <c r="AN369" t="s">
        <v>1821</v>
      </c>
      <c r="AO369" t="s">
        <v>584</v>
      </c>
      <c r="AP369" t="s">
        <v>195</v>
      </c>
      <c r="AQ369" s="5">
        <v>33186</v>
      </c>
      <c r="AR369" t="s">
        <v>128</v>
      </c>
      <c r="AT369" s="4">
        <v>13056706767</v>
      </c>
      <c r="AV369" t="s">
        <v>2286</v>
      </c>
      <c r="AW369" t="s">
        <v>2287</v>
      </c>
      <c r="AX369" t="s">
        <v>131</v>
      </c>
      <c r="AY369" t="s">
        <v>131</v>
      </c>
      <c r="AZ369" t="s">
        <v>131</v>
      </c>
      <c r="BA369" t="s">
        <v>131</v>
      </c>
      <c r="BB369" t="s">
        <v>131</v>
      </c>
      <c r="BC369" t="s">
        <v>131</v>
      </c>
      <c r="BD369" t="s">
        <v>131</v>
      </c>
      <c r="BE369" t="s">
        <v>132</v>
      </c>
      <c r="BH369" t="s">
        <v>16610</v>
      </c>
      <c r="BI369" t="s">
        <v>131</v>
      </c>
      <c r="BL369" t="s">
        <v>167</v>
      </c>
      <c r="BO369" t="s">
        <v>131</v>
      </c>
      <c r="BP369" t="s">
        <v>134</v>
      </c>
      <c r="BQ369" t="s">
        <v>131</v>
      </c>
      <c r="BS369" t="str">
        <f t="shared" si="29"/>
        <v>N/A</v>
      </c>
      <c r="BT369" t="s">
        <v>131</v>
      </c>
      <c r="BV369" t="str">
        <f>""</f>
        <v/>
      </c>
      <c r="BW369" t="s">
        <v>135</v>
      </c>
      <c r="BX369" t="str">
        <f>""</f>
        <v/>
      </c>
      <c r="BY369" t="str">
        <f>""</f>
        <v/>
      </c>
      <c r="BZ369" t="str">
        <f>""</f>
        <v/>
      </c>
      <c r="CA369" t="s">
        <v>16611</v>
      </c>
      <c r="CB369" t="s">
        <v>131</v>
      </c>
      <c r="CF369" t="s">
        <v>131</v>
      </c>
      <c r="CH369" t="str">
        <f>""</f>
        <v/>
      </c>
      <c r="CI369" t="s">
        <v>131</v>
      </c>
      <c r="CK369" t="s">
        <v>131</v>
      </c>
      <c r="CL369" t="str">
        <f>""</f>
        <v/>
      </c>
      <c r="CM369" t="str">
        <f>""</f>
        <v/>
      </c>
      <c r="CN369" t="str">
        <f>""</f>
        <v/>
      </c>
      <c r="CO369" t="str">
        <f>""</f>
        <v/>
      </c>
      <c r="CP369" t="str">
        <f>"35-9031.00"</f>
        <v>35-9031.00</v>
      </c>
      <c r="CQ369" t="s">
        <v>5231</v>
      </c>
      <c r="CS369" t="s">
        <v>131</v>
      </c>
      <c r="CU369" t="s">
        <v>7239</v>
      </c>
      <c r="CW369" t="s">
        <v>5674</v>
      </c>
      <c r="CX369" t="s">
        <v>195</v>
      </c>
      <c r="CZ369" s="3" t="str">
        <f>"34108"</f>
        <v>34108</v>
      </c>
      <c r="DA369" t="s">
        <v>131</v>
      </c>
      <c r="DB369" t="str">
        <f>"35-9031"</f>
        <v>35-9031</v>
      </c>
      <c r="DC369" t="s">
        <v>5231</v>
      </c>
      <c r="DD369" t="s">
        <v>134</v>
      </c>
      <c r="DE369" t="s">
        <v>134</v>
      </c>
      <c r="DF369" t="str">
        <f>""</f>
        <v/>
      </c>
      <c r="DH369" s="6">
        <v>11.72</v>
      </c>
      <c r="DI369" t="s">
        <v>344</v>
      </c>
      <c r="DK369" t="s">
        <v>345</v>
      </c>
      <c r="DR369" t="s">
        <v>5543</v>
      </c>
      <c r="DS369" s="6">
        <v>11.72</v>
      </c>
      <c r="DT369" t="s">
        <v>424</v>
      </c>
      <c r="DU369" s="1">
        <v>44354</v>
      </c>
      <c r="DV369" s="1">
        <v>44443</v>
      </c>
    </row>
    <row r="370" spans="1:126" ht="15" customHeight="1" x14ac:dyDescent="0.35">
      <c r="A370" t="s">
        <v>13862</v>
      </c>
      <c r="B370" t="s">
        <v>318</v>
      </c>
      <c r="C370" s="1">
        <v>44327</v>
      </c>
      <c r="D370" s="1">
        <v>44354</v>
      </c>
      <c r="H370" t="s">
        <v>319</v>
      </c>
      <c r="I370" t="s">
        <v>7237</v>
      </c>
      <c r="J370" t="s">
        <v>550</v>
      </c>
      <c r="L370" t="s">
        <v>7238</v>
      </c>
      <c r="M370" t="s">
        <v>7239</v>
      </c>
      <c r="O370" t="s">
        <v>5674</v>
      </c>
      <c r="P370" t="s">
        <v>194</v>
      </c>
      <c r="Q370" s="3">
        <v>34108</v>
      </c>
      <c r="R370" t="s">
        <v>128</v>
      </c>
      <c r="T370" s="4">
        <v>12395966180</v>
      </c>
      <c r="U370">
        <v>218</v>
      </c>
      <c r="V370" t="s">
        <v>7240</v>
      </c>
      <c r="W370" t="s">
        <v>7241</v>
      </c>
      <c r="Y370" t="s">
        <v>7239</v>
      </c>
      <c r="AA370" t="s">
        <v>5674</v>
      </c>
      <c r="AB370" t="s">
        <v>195</v>
      </c>
      <c r="AC370" s="3" t="str">
        <f>"34108"</f>
        <v>34108</v>
      </c>
      <c r="AD370" t="s">
        <v>128</v>
      </c>
      <c r="AF370" s="4">
        <v>12395966180</v>
      </c>
      <c r="AG370">
        <v>233</v>
      </c>
      <c r="AH370" t="str">
        <f>"71391"</f>
        <v>71391</v>
      </c>
      <c r="AI370" t="s">
        <v>130</v>
      </c>
      <c r="AJ370" t="s">
        <v>2282</v>
      </c>
      <c r="AK370" t="s">
        <v>2283</v>
      </c>
      <c r="AL370" t="s">
        <v>2284</v>
      </c>
      <c r="AM370" t="s">
        <v>2285</v>
      </c>
      <c r="AN370" t="s">
        <v>1821</v>
      </c>
      <c r="AO370" t="s">
        <v>584</v>
      </c>
      <c r="AP370" t="s">
        <v>195</v>
      </c>
      <c r="AQ370" s="5">
        <v>33186</v>
      </c>
      <c r="AR370" t="s">
        <v>128</v>
      </c>
      <c r="AT370" s="4">
        <v>13056706767</v>
      </c>
      <c r="AV370" t="s">
        <v>2286</v>
      </c>
      <c r="AW370" t="s">
        <v>2287</v>
      </c>
      <c r="AX370" t="s">
        <v>131</v>
      </c>
      <c r="AY370" t="s">
        <v>131</v>
      </c>
      <c r="AZ370" t="s">
        <v>131</v>
      </c>
      <c r="BA370" t="s">
        <v>131</v>
      </c>
      <c r="BB370" t="s">
        <v>131</v>
      </c>
      <c r="BC370" t="s">
        <v>131</v>
      </c>
      <c r="BD370" t="s">
        <v>131</v>
      </c>
      <c r="BE370" t="s">
        <v>132</v>
      </c>
      <c r="BH370" t="s">
        <v>11988</v>
      </c>
      <c r="BI370" t="s">
        <v>131</v>
      </c>
      <c r="BL370" t="s">
        <v>167</v>
      </c>
      <c r="BO370" t="s">
        <v>131</v>
      </c>
      <c r="BP370" t="s">
        <v>134</v>
      </c>
      <c r="BQ370" t="s">
        <v>131</v>
      </c>
      <c r="BS370" t="str">
        <f t="shared" si="29"/>
        <v>N/A</v>
      </c>
      <c r="BT370" t="s">
        <v>135</v>
      </c>
      <c r="BU370">
        <v>3</v>
      </c>
      <c r="BV370" t="str">
        <f>"server or dining room attendant"</f>
        <v>server or dining room attendant</v>
      </c>
      <c r="BW370" t="s">
        <v>135</v>
      </c>
      <c r="BX370" t="str">
        <f>""</f>
        <v/>
      </c>
      <c r="BY370" t="str">
        <f>""</f>
        <v/>
      </c>
      <c r="BZ370" t="str">
        <f>""</f>
        <v/>
      </c>
      <c r="CA370" t="s">
        <v>13863</v>
      </c>
      <c r="CB370" t="s">
        <v>131</v>
      </c>
      <c r="CF370" t="s">
        <v>131</v>
      </c>
      <c r="CH370" t="str">
        <f>""</f>
        <v/>
      </c>
      <c r="CI370" t="s">
        <v>131</v>
      </c>
      <c r="CK370" t="s">
        <v>131</v>
      </c>
      <c r="CL370" t="str">
        <f>""</f>
        <v/>
      </c>
      <c r="CM370" t="str">
        <f>""</f>
        <v/>
      </c>
      <c r="CN370" t="str">
        <f>""</f>
        <v/>
      </c>
      <c r="CO370" t="str">
        <f>""</f>
        <v/>
      </c>
      <c r="CP370" t="str">
        <f>"35-3031.00"</f>
        <v>35-3031.00</v>
      </c>
      <c r="CQ370" t="s">
        <v>1214</v>
      </c>
      <c r="CS370" t="s">
        <v>131</v>
      </c>
      <c r="CU370" t="s">
        <v>7239</v>
      </c>
      <c r="CW370" t="s">
        <v>5674</v>
      </c>
      <c r="CX370" t="s">
        <v>195</v>
      </c>
      <c r="CZ370" s="3" t="str">
        <f>"34108"</f>
        <v>34108</v>
      </c>
      <c r="DA370" t="s">
        <v>131</v>
      </c>
      <c r="DB370" t="str">
        <f>"35-3031"</f>
        <v>35-3031</v>
      </c>
      <c r="DC370" t="s">
        <v>1214</v>
      </c>
      <c r="DD370" t="s">
        <v>134</v>
      </c>
      <c r="DE370" t="s">
        <v>134</v>
      </c>
      <c r="DF370" t="str">
        <f>""</f>
        <v/>
      </c>
      <c r="DH370" s="6">
        <v>15.48</v>
      </c>
      <c r="DI370" t="s">
        <v>344</v>
      </c>
      <c r="DK370" t="s">
        <v>345</v>
      </c>
      <c r="DR370" t="s">
        <v>5543</v>
      </c>
      <c r="DS370" s="6">
        <v>15.48</v>
      </c>
      <c r="DT370" t="s">
        <v>424</v>
      </c>
      <c r="DU370" s="1">
        <v>44354</v>
      </c>
      <c r="DV370" s="1">
        <v>44443</v>
      </c>
    </row>
    <row r="371" spans="1:126" ht="15" customHeight="1" x14ac:dyDescent="0.35">
      <c r="A371" t="s">
        <v>14600</v>
      </c>
      <c r="B371" t="s">
        <v>318</v>
      </c>
      <c r="C371" s="1">
        <v>44327</v>
      </c>
      <c r="D371" s="1">
        <v>44354</v>
      </c>
      <c r="H371" t="s">
        <v>319</v>
      </c>
      <c r="I371" t="s">
        <v>7237</v>
      </c>
      <c r="J371" t="s">
        <v>550</v>
      </c>
      <c r="L371" t="s">
        <v>7238</v>
      </c>
      <c r="M371" t="s">
        <v>7239</v>
      </c>
      <c r="O371" t="s">
        <v>5674</v>
      </c>
      <c r="P371" t="s">
        <v>194</v>
      </c>
      <c r="Q371" s="3">
        <v>34108</v>
      </c>
      <c r="R371" t="s">
        <v>128</v>
      </c>
      <c r="T371" s="4">
        <v>12395966180</v>
      </c>
      <c r="U371">
        <v>218</v>
      </c>
      <c r="V371" t="s">
        <v>7240</v>
      </c>
      <c r="W371" t="s">
        <v>7241</v>
      </c>
      <c r="Y371" t="s">
        <v>7239</v>
      </c>
      <c r="AA371" t="s">
        <v>5674</v>
      </c>
      <c r="AB371" t="s">
        <v>195</v>
      </c>
      <c r="AC371" s="3" t="str">
        <f>"34108"</f>
        <v>34108</v>
      </c>
      <c r="AD371" t="s">
        <v>128</v>
      </c>
      <c r="AF371" s="4">
        <v>12395966180</v>
      </c>
      <c r="AG371">
        <v>218</v>
      </c>
      <c r="AH371" t="str">
        <f>"71391"</f>
        <v>71391</v>
      </c>
      <c r="AI371" t="s">
        <v>130</v>
      </c>
      <c r="AJ371" t="s">
        <v>2282</v>
      </c>
      <c r="AK371" t="s">
        <v>2283</v>
      </c>
      <c r="AL371" t="s">
        <v>2284</v>
      </c>
      <c r="AM371" t="s">
        <v>2285</v>
      </c>
      <c r="AN371" t="s">
        <v>1821</v>
      </c>
      <c r="AO371" t="s">
        <v>584</v>
      </c>
      <c r="AP371" t="s">
        <v>195</v>
      </c>
      <c r="AQ371" s="5">
        <v>33186</v>
      </c>
      <c r="AR371" t="s">
        <v>128</v>
      </c>
      <c r="AT371" s="4">
        <v>13056706767</v>
      </c>
      <c r="AV371" t="s">
        <v>2286</v>
      </c>
      <c r="AW371" t="s">
        <v>2287</v>
      </c>
      <c r="AX371" t="s">
        <v>131</v>
      </c>
      <c r="AY371" t="s">
        <v>131</v>
      </c>
      <c r="AZ371" t="s">
        <v>131</v>
      </c>
      <c r="BA371" t="s">
        <v>131</v>
      </c>
      <c r="BB371" t="s">
        <v>131</v>
      </c>
      <c r="BC371" t="s">
        <v>131</v>
      </c>
      <c r="BD371" t="s">
        <v>131</v>
      </c>
      <c r="BE371" t="s">
        <v>132</v>
      </c>
      <c r="BH371" t="s">
        <v>3930</v>
      </c>
      <c r="BI371" t="s">
        <v>131</v>
      </c>
      <c r="BL371" t="s">
        <v>167</v>
      </c>
      <c r="BO371" t="s">
        <v>131</v>
      </c>
      <c r="BP371" t="s">
        <v>134</v>
      </c>
      <c r="BQ371" t="s">
        <v>131</v>
      </c>
      <c r="BS371" t="str">
        <f t="shared" si="29"/>
        <v>N/A</v>
      </c>
      <c r="BT371" t="s">
        <v>135</v>
      </c>
      <c r="BU371">
        <v>6</v>
      </c>
      <c r="BV371" t="str">
        <f>"cook"</f>
        <v>cook</v>
      </c>
      <c r="BW371" t="s">
        <v>135</v>
      </c>
      <c r="BX371" t="str">
        <f>""</f>
        <v/>
      </c>
      <c r="BY371" t="str">
        <f>""</f>
        <v/>
      </c>
      <c r="BZ371" t="str">
        <f>""</f>
        <v/>
      </c>
      <c r="CA371" t="s">
        <v>14601</v>
      </c>
      <c r="CB371" t="s">
        <v>131</v>
      </c>
      <c r="CF371" t="s">
        <v>131</v>
      </c>
      <c r="CH371" t="str">
        <f>""</f>
        <v/>
      </c>
      <c r="CI371" t="s">
        <v>131</v>
      </c>
      <c r="CK371" t="s">
        <v>131</v>
      </c>
      <c r="CL371" t="str">
        <f>""</f>
        <v/>
      </c>
      <c r="CM371" t="str">
        <f>""</f>
        <v/>
      </c>
      <c r="CN371" t="str">
        <f>""</f>
        <v/>
      </c>
      <c r="CO371" t="str">
        <f>""</f>
        <v/>
      </c>
      <c r="CP371" t="str">
        <f>"35-2014.00"</f>
        <v>35-2014.00</v>
      </c>
      <c r="CQ371" t="s">
        <v>581</v>
      </c>
      <c r="CS371" t="s">
        <v>131</v>
      </c>
      <c r="CU371" t="s">
        <v>7239</v>
      </c>
      <c r="CW371" t="s">
        <v>5674</v>
      </c>
      <c r="CX371" t="s">
        <v>195</v>
      </c>
      <c r="CZ371" s="3" t="str">
        <f>"34108"</f>
        <v>34108</v>
      </c>
      <c r="DA371" t="s">
        <v>131</v>
      </c>
      <c r="DB371" t="str">
        <f>"35-2014"</f>
        <v>35-2014</v>
      </c>
      <c r="DC371" t="s">
        <v>581</v>
      </c>
      <c r="DD371" t="s">
        <v>134</v>
      </c>
      <c r="DE371" t="s">
        <v>134</v>
      </c>
      <c r="DF371" t="str">
        <f>""</f>
        <v/>
      </c>
      <c r="DH371" s="6">
        <v>15.46</v>
      </c>
      <c r="DI371" t="s">
        <v>344</v>
      </c>
      <c r="DK371" t="s">
        <v>345</v>
      </c>
      <c r="DR371" t="s">
        <v>5543</v>
      </c>
      <c r="DS371" s="6">
        <v>15.46</v>
      </c>
      <c r="DT371" t="s">
        <v>424</v>
      </c>
      <c r="DU371" s="1">
        <v>44354</v>
      </c>
      <c r="DV371" s="1">
        <v>44443</v>
      </c>
    </row>
    <row r="372" spans="1:126" ht="15" customHeight="1" x14ac:dyDescent="0.35">
      <c r="A372" t="s">
        <v>14738</v>
      </c>
      <c r="B372" t="s">
        <v>318</v>
      </c>
      <c r="C372" s="1">
        <v>44327</v>
      </c>
      <c r="D372" s="1">
        <v>44354</v>
      </c>
      <c r="H372" t="s">
        <v>319</v>
      </c>
      <c r="I372" t="s">
        <v>3862</v>
      </c>
      <c r="J372" t="s">
        <v>2066</v>
      </c>
      <c r="L372" t="s">
        <v>14739</v>
      </c>
      <c r="M372" t="s">
        <v>2650</v>
      </c>
      <c r="O372" t="s">
        <v>2651</v>
      </c>
      <c r="P372" t="s">
        <v>1334</v>
      </c>
      <c r="Q372" s="3">
        <v>74132</v>
      </c>
      <c r="R372" t="s">
        <v>128</v>
      </c>
      <c r="T372" s="4">
        <v>19189065212</v>
      </c>
      <c r="V372" t="s">
        <v>3865</v>
      </c>
      <c r="W372" t="s">
        <v>14740</v>
      </c>
      <c r="Y372" t="s">
        <v>14741</v>
      </c>
      <c r="AA372" t="s">
        <v>3878</v>
      </c>
      <c r="AB372" t="s">
        <v>1176</v>
      </c>
      <c r="AC372" s="3" t="str">
        <f>"68845"</f>
        <v>68845</v>
      </c>
      <c r="AD372" t="s">
        <v>128</v>
      </c>
      <c r="AF372" s="4">
        <v>13084405810</v>
      </c>
      <c r="AH372" t="str">
        <f>"721110"</f>
        <v>721110</v>
      </c>
      <c r="AI372" t="s">
        <v>287</v>
      </c>
      <c r="AJ372" t="s">
        <v>3862</v>
      </c>
      <c r="AK372" t="s">
        <v>2066</v>
      </c>
      <c r="AM372" t="s">
        <v>2650</v>
      </c>
      <c r="AO372" t="s">
        <v>2651</v>
      </c>
      <c r="AP372" t="s">
        <v>1336</v>
      </c>
      <c r="AQ372" s="5">
        <v>74132</v>
      </c>
      <c r="AR372" t="s">
        <v>128</v>
      </c>
      <c r="AS372" t="s">
        <v>1334</v>
      </c>
      <c r="AT372" s="4">
        <v>19189065212</v>
      </c>
      <c r="AV372" t="s">
        <v>134</v>
      </c>
      <c r="AW372" t="s">
        <v>2653</v>
      </c>
      <c r="AX372" t="s">
        <v>131</v>
      </c>
      <c r="AY372" t="s">
        <v>131</v>
      </c>
      <c r="AZ372" t="s">
        <v>131</v>
      </c>
      <c r="BA372" t="s">
        <v>131</v>
      </c>
      <c r="BB372" t="s">
        <v>131</v>
      </c>
      <c r="BC372" t="s">
        <v>131</v>
      </c>
      <c r="BD372" t="s">
        <v>131</v>
      </c>
      <c r="BE372" t="s">
        <v>132</v>
      </c>
      <c r="BH372" t="s">
        <v>479</v>
      </c>
      <c r="BI372" t="s">
        <v>131</v>
      </c>
      <c r="BL372" t="s">
        <v>167</v>
      </c>
      <c r="BO372" t="s">
        <v>131</v>
      </c>
      <c r="BP372" t="s">
        <v>134</v>
      </c>
      <c r="BQ372" t="s">
        <v>131</v>
      </c>
      <c r="BS372" t="str">
        <f t="shared" si="29"/>
        <v>N/A</v>
      </c>
      <c r="BT372" t="s">
        <v>131</v>
      </c>
      <c r="BV372" t="str">
        <f>""</f>
        <v/>
      </c>
      <c r="BW372" t="s">
        <v>131</v>
      </c>
      <c r="BX372" t="str">
        <f>""</f>
        <v/>
      </c>
      <c r="BY372" t="str">
        <f>""</f>
        <v/>
      </c>
      <c r="BZ372" t="str">
        <f>""</f>
        <v/>
      </c>
      <c r="CA372" t="str">
        <f>""</f>
        <v/>
      </c>
      <c r="CB372" t="s">
        <v>131</v>
      </c>
      <c r="CF372" t="s">
        <v>131</v>
      </c>
      <c r="CH372" t="str">
        <f>""</f>
        <v/>
      </c>
      <c r="CI372" t="s">
        <v>131</v>
      </c>
      <c r="CK372" t="s">
        <v>131</v>
      </c>
      <c r="CL372" t="str">
        <f>""</f>
        <v/>
      </c>
      <c r="CM372" t="str">
        <f>""</f>
        <v/>
      </c>
      <c r="CN372" t="str">
        <f>""</f>
        <v/>
      </c>
      <c r="CO372" t="str">
        <f>""</f>
        <v/>
      </c>
      <c r="CP372" t="str">
        <f>"37-2012.00"</f>
        <v>37-2012.00</v>
      </c>
      <c r="CQ372" t="s">
        <v>479</v>
      </c>
      <c r="CS372" t="s">
        <v>131</v>
      </c>
      <c r="CU372" t="s">
        <v>14742</v>
      </c>
      <c r="CW372" t="s">
        <v>3878</v>
      </c>
      <c r="CX372" t="s">
        <v>1176</v>
      </c>
      <c r="CZ372" s="3" t="str">
        <f>"68847"</f>
        <v>68847</v>
      </c>
      <c r="DA372" t="s">
        <v>131</v>
      </c>
      <c r="DB372" t="str">
        <f>"37-2012"</f>
        <v>37-2012</v>
      </c>
      <c r="DC372" t="s">
        <v>479</v>
      </c>
      <c r="DD372" t="s">
        <v>134</v>
      </c>
      <c r="DE372" t="s">
        <v>134</v>
      </c>
      <c r="DF372" t="str">
        <f>""</f>
        <v/>
      </c>
      <c r="DH372" s="6">
        <v>11.88</v>
      </c>
      <c r="DI372" t="s">
        <v>344</v>
      </c>
      <c r="DK372" t="s">
        <v>345</v>
      </c>
      <c r="DS372" s="6">
        <v>11.88</v>
      </c>
      <c r="DT372" t="s">
        <v>424</v>
      </c>
      <c r="DU372" s="1">
        <v>44354</v>
      </c>
      <c r="DV372" s="1">
        <v>44443</v>
      </c>
    </row>
    <row r="373" spans="1:126" ht="15" customHeight="1" x14ac:dyDescent="0.35">
      <c r="A373" t="s">
        <v>7236</v>
      </c>
      <c r="B373" t="s">
        <v>318</v>
      </c>
      <c r="C373" s="1">
        <v>44327</v>
      </c>
      <c r="D373" s="1">
        <v>44354</v>
      </c>
      <c r="H373" t="s">
        <v>319</v>
      </c>
      <c r="I373" t="s">
        <v>7237</v>
      </c>
      <c r="J373" t="s">
        <v>550</v>
      </c>
      <c r="L373" t="s">
        <v>7238</v>
      </c>
      <c r="M373" t="s">
        <v>7239</v>
      </c>
      <c r="O373" t="s">
        <v>5674</v>
      </c>
      <c r="P373" t="s">
        <v>194</v>
      </c>
      <c r="Q373" s="3">
        <v>34108</v>
      </c>
      <c r="R373" t="s">
        <v>128</v>
      </c>
      <c r="T373" s="4">
        <v>12395966180</v>
      </c>
      <c r="U373">
        <v>218</v>
      </c>
      <c r="V373" t="s">
        <v>7240</v>
      </c>
      <c r="W373" t="s">
        <v>7241</v>
      </c>
      <c r="Y373" t="s">
        <v>7239</v>
      </c>
      <c r="AA373" t="s">
        <v>5674</v>
      </c>
      <c r="AB373" t="s">
        <v>195</v>
      </c>
      <c r="AC373" s="3" t="str">
        <f>"34108"</f>
        <v>34108</v>
      </c>
      <c r="AD373" t="s">
        <v>128</v>
      </c>
      <c r="AF373" s="4">
        <v>12395966180</v>
      </c>
      <c r="AG373">
        <v>218</v>
      </c>
      <c r="AH373" t="str">
        <f>"71391"</f>
        <v>71391</v>
      </c>
      <c r="AI373" t="s">
        <v>130</v>
      </c>
      <c r="AJ373" t="s">
        <v>2282</v>
      </c>
      <c r="AK373" t="s">
        <v>2283</v>
      </c>
      <c r="AL373" t="s">
        <v>2284</v>
      </c>
      <c r="AM373" t="s">
        <v>2285</v>
      </c>
      <c r="AN373" t="s">
        <v>1821</v>
      </c>
      <c r="AO373" t="s">
        <v>584</v>
      </c>
      <c r="AP373" t="s">
        <v>195</v>
      </c>
      <c r="AQ373" s="5">
        <v>33186</v>
      </c>
      <c r="AR373" t="s">
        <v>128</v>
      </c>
      <c r="AT373" s="4">
        <v>13056706767</v>
      </c>
      <c r="AV373" t="s">
        <v>2286</v>
      </c>
      <c r="AW373" t="s">
        <v>2287</v>
      </c>
      <c r="AX373" t="s">
        <v>131</v>
      </c>
      <c r="AY373" t="s">
        <v>131</v>
      </c>
      <c r="AZ373" t="s">
        <v>131</v>
      </c>
      <c r="BA373" t="s">
        <v>131</v>
      </c>
      <c r="BB373" t="s">
        <v>131</v>
      </c>
      <c r="BC373" t="s">
        <v>131</v>
      </c>
      <c r="BD373" t="s">
        <v>131</v>
      </c>
      <c r="BE373" t="s">
        <v>132</v>
      </c>
      <c r="BH373" t="s">
        <v>7242</v>
      </c>
      <c r="BI373" t="s">
        <v>131</v>
      </c>
      <c r="BL373" t="s">
        <v>167</v>
      </c>
      <c r="BO373" t="s">
        <v>131</v>
      </c>
      <c r="BP373" t="s">
        <v>134</v>
      </c>
      <c r="BQ373" t="s">
        <v>131</v>
      </c>
      <c r="BS373" t="str">
        <f t="shared" si="29"/>
        <v>N/A</v>
      </c>
      <c r="BT373" t="s">
        <v>131</v>
      </c>
      <c r="BV373" t="str">
        <f>""</f>
        <v/>
      </c>
      <c r="BW373" t="s">
        <v>135</v>
      </c>
      <c r="BX373" t="str">
        <f>""</f>
        <v/>
      </c>
      <c r="BY373" t="str">
        <f>""</f>
        <v/>
      </c>
      <c r="BZ373" t="str">
        <f>""</f>
        <v/>
      </c>
      <c r="CA373" t="s">
        <v>7243</v>
      </c>
      <c r="CB373" t="s">
        <v>131</v>
      </c>
      <c r="CF373" t="s">
        <v>131</v>
      </c>
      <c r="CH373" t="str">
        <f>""</f>
        <v/>
      </c>
      <c r="CI373" t="s">
        <v>131</v>
      </c>
      <c r="CK373" t="s">
        <v>131</v>
      </c>
      <c r="CL373" t="str">
        <f>""</f>
        <v/>
      </c>
      <c r="CM373" t="str">
        <f>""</f>
        <v/>
      </c>
      <c r="CN373" t="str">
        <f>""</f>
        <v/>
      </c>
      <c r="CO373" t="str">
        <f>""</f>
        <v/>
      </c>
      <c r="CP373" t="str">
        <f>"35-9011.00"</f>
        <v>35-9011.00</v>
      </c>
      <c r="CQ373" t="s">
        <v>1016</v>
      </c>
      <c r="CS373" t="s">
        <v>131</v>
      </c>
      <c r="CU373" t="s">
        <v>7239</v>
      </c>
      <c r="CW373" t="s">
        <v>5674</v>
      </c>
      <c r="CX373" t="s">
        <v>195</v>
      </c>
      <c r="CZ373" s="3" t="str">
        <f>"34108"</f>
        <v>34108</v>
      </c>
      <c r="DA373" t="s">
        <v>131</v>
      </c>
      <c r="DB373" t="str">
        <f>"35-9011"</f>
        <v>35-9011</v>
      </c>
      <c r="DC373" t="s">
        <v>1016</v>
      </c>
      <c r="DD373" t="s">
        <v>134</v>
      </c>
      <c r="DE373" t="s">
        <v>134</v>
      </c>
      <c r="DF373" t="str">
        <f>""</f>
        <v/>
      </c>
      <c r="DH373" s="6">
        <v>11.41</v>
      </c>
      <c r="DI373" t="s">
        <v>344</v>
      </c>
      <c r="DK373" t="s">
        <v>345</v>
      </c>
      <c r="DR373" t="s">
        <v>5543</v>
      </c>
      <c r="DS373" s="6">
        <v>11.41</v>
      </c>
      <c r="DT373" t="s">
        <v>424</v>
      </c>
      <c r="DU373" s="1">
        <v>44354</v>
      </c>
      <c r="DV373" s="1">
        <v>44443</v>
      </c>
    </row>
    <row r="374" spans="1:126" ht="15" customHeight="1" x14ac:dyDescent="0.35">
      <c r="A374" t="s">
        <v>14322</v>
      </c>
      <c r="B374" t="s">
        <v>318</v>
      </c>
      <c r="C374" s="1">
        <v>44327</v>
      </c>
      <c r="D374" s="1">
        <v>44354</v>
      </c>
      <c r="H374" t="s">
        <v>319</v>
      </c>
      <c r="I374" t="s">
        <v>7237</v>
      </c>
      <c r="J374" t="s">
        <v>550</v>
      </c>
      <c r="L374" t="s">
        <v>7238</v>
      </c>
      <c r="M374" t="s">
        <v>7239</v>
      </c>
      <c r="O374" t="s">
        <v>5674</v>
      </c>
      <c r="P374" t="s">
        <v>194</v>
      </c>
      <c r="Q374" s="3">
        <v>34108</v>
      </c>
      <c r="R374" t="s">
        <v>128</v>
      </c>
      <c r="T374" s="4">
        <v>12395966180</v>
      </c>
      <c r="U374">
        <v>218</v>
      </c>
      <c r="V374" t="s">
        <v>7240</v>
      </c>
      <c r="W374" t="s">
        <v>7241</v>
      </c>
      <c r="Y374" t="s">
        <v>7239</v>
      </c>
      <c r="AA374" t="s">
        <v>5674</v>
      </c>
      <c r="AB374" t="s">
        <v>195</v>
      </c>
      <c r="AC374" s="3" t="str">
        <f>"34108"</f>
        <v>34108</v>
      </c>
      <c r="AD374" t="s">
        <v>128</v>
      </c>
      <c r="AF374" s="4">
        <v>12395966180</v>
      </c>
      <c r="AG374">
        <v>233</v>
      </c>
      <c r="AH374" t="str">
        <f>"71391"</f>
        <v>71391</v>
      </c>
      <c r="AI374" t="s">
        <v>130</v>
      </c>
      <c r="AJ374" t="s">
        <v>2282</v>
      </c>
      <c r="AK374" t="s">
        <v>2283</v>
      </c>
      <c r="AL374" t="s">
        <v>2284</v>
      </c>
      <c r="AM374" t="s">
        <v>2285</v>
      </c>
      <c r="AN374" t="s">
        <v>1821</v>
      </c>
      <c r="AO374" t="s">
        <v>584</v>
      </c>
      <c r="AP374" t="s">
        <v>195</v>
      </c>
      <c r="AQ374" s="5">
        <v>33186</v>
      </c>
      <c r="AR374" t="s">
        <v>128</v>
      </c>
      <c r="AT374" s="4">
        <v>13056706767</v>
      </c>
      <c r="AV374" t="s">
        <v>2286</v>
      </c>
      <c r="AW374" t="s">
        <v>2287</v>
      </c>
      <c r="AX374" t="s">
        <v>131</v>
      </c>
      <c r="AY374" t="s">
        <v>131</v>
      </c>
      <c r="AZ374" t="s">
        <v>131</v>
      </c>
      <c r="BA374" t="s">
        <v>131</v>
      </c>
      <c r="BB374" t="s">
        <v>131</v>
      </c>
      <c r="BC374" t="s">
        <v>131</v>
      </c>
      <c r="BD374" t="s">
        <v>131</v>
      </c>
      <c r="BE374" t="s">
        <v>132</v>
      </c>
      <c r="BH374" t="s">
        <v>7242</v>
      </c>
      <c r="BI374" t="s">
        <v>131</v>
      </c>
      <c r="BL374" t="s">
        <v>167</v>
      </c>
      <c r="BO374" t="s">
        <v>131</v>
      </c>
      <c r="BP374" t="s">
        <v>134</v>
      </c>
      <c r="BQ374" t="s">
        <v>131</v>
      </c>
      <c r="BS374" t="str">
        <f t="shared" si="29"/>
        <v>N/A</v>
      </c>
      <c r="BT374" t="s">
        <v>131</v>
      </c>
      <c r="BV374" t="str">
        <f>""</f>
        <v/>
      </c>
      <c r="BW374" t="s">
        <v>135</v>
      </c>
      <c r="BX374" t="str">
        <f>""</f>
        <v/>
      </c>
      <c r="BY374" t="str">
        <f>""</f>
        <v/>
      </c>
      <c r="BZ374" t="str">
        <f>""</f>
        <v/>
      </c>
      <c r="CA374" t="s">
        <v>7243</v>
      </c>
      <c r="CB374" t="s">
        <v>131</v>
      </c>
      <c r="CF374" t="s">
        <v>131</v>
      </c>
      <c r="CH374" t="str">
        <f>""</f>
        <v/>
      </c>
      <c r="CI374" t="s">
        <v>131</v>
      </c>
      <c r="CK374" t="s">
        <v>131</v>
      </c>
      <c r="CL374" t="str">
        <f>""</f>
        <v/>
      </c>
      <c r="CM374" t="str">
        <f>""</f>
        <v/>
      </c>
      <c r="CN374" t="str">
        <f>""</f>
        <v/>
      </c>
      <c r="CO374" t="str">
        <f>""</f>
        <v/>
      </c>
      <c r="CP374" t="str">
        <f>"35-9011.00"</f>
        <v>35-9011.00</v>
      </c>
      <c r="CQ374" t="s">
        <v>1016</v>
      </c>
      <c r="CS374" t="s">
        <v>131</v>
      </c>
      <c r="CU374" t="s">
        <v>7239</v>
      </c>
      <c r="CW374" t="s">
        <v>5674</v>
      </c>
      <c r="CX374" t="s">
        <v>195</v>
      </c>
      <c r="CZ374" s="3" t="str">
        <f>"34108"</f>
        <v>34108</v>
      </c>
      <c r="DA374" t="s">
        <v>131</v>
      </c>
      <c r="DB374" t="str">
        <f>"35-9011"</f>
        <v>35-9011</v>
      </c>
      <c r="DC374" t="s">
        <v>1016</v>
      </c>
      <c r="DD374" t="s">
        <v>134</v>
      </c>
      <c r="DE374" t="s">
        <v>134</v>
      </c>
      <c r="DF374" t="str">
        <f>""</f>
        <v/>
      </c>
      <c r="DH374" s="6">
        <v>11.41</v>
      </c>
      <c r="DI374" t="s">
        <v>344</v>
      </c>
      <c r="DK374" t="s">
        <v>345</v>
      </c>
      <c r="DR374" t="s">
        <v>5543</v>
      </c>
      <c r="DS374" s="6">
        <v>11.41</v>
      </c>
      <c r="DT374" t="s">
        <v>424</v>
      </c>
      <c r="DU374" s="1">
        <v>44354</v>
      </c>
      <c r="DV374" s="1">
        <v>44443</v>
      </c>
    </row>
    <row r="375" spans="1:126" ht="15" customHeight="1" x14ac:dyDescent="0.35">
      <c r="A375" t="s">
        <v>14351</v>
      </c>
      <c r="B375" t="s">
        <v>318</v>
      </c>
      <c r="C375" s="1">
        <v>44327</v>
      </c>
      <c r="D375" s="1">
        <v>44354</v>
      </c>
      <c r="H375" t="s">
        <v>319</v>
      </c>
      <c r="I375" t="s">
        <v>11520</v>
      </c>
      <c r="J375" t="s">
        <v>313</v>
      </c>
      <c r="K375" t="s">
        <v>134</v>
      </c>
      <c r="L375" t="s">
        <v>395</v>
      </c>
      <c r="M375" t="s">
        <v>11521</v>
      </c>
      <c r="O375" t="s">
        <v>11524</v>
      </c>
      <c r="P375" t="s">
        <v>127</v>
      </c>
      <c r="Q375" s="3">
        <v>10523</v>
      </c>
      <c r="R375" t="s">
        <v>128</v>
      </c>
      <c r="T375" s="4">
        <v>19143475151</v>
      </c>
      <c r="V375" t="s">
        <v>9942</v>
      </c>
      <c r="W375" t="s">
        <v>11523</v>
      </c>
      <c r="Y375" t="s">
        <v>11521</v>
      </c>
      <c r="AA375" t="s">
        <v>11524</v>
      </c>
      <c r="AB375" t="s">
        <v>129</v>
      </c>
      <c r="AC375" s="3" t="str">
        <f>"10523"</f>
        <v>10523</v>
      </c>
      <c r="AD375" t="s">
        <v>128</v>
      </c>
      <c r="AF375" s="4">
        <v>19143475151</v>
      </c>
      <c r="AH375" t="str">
        <f>"22131"</f>
        <v>22131</v>
      </c>
      <c r="AI375" t="s">
        <v>287</v>
      </c>
      <c r="AJ375" t="s">
        <v>9944</v>
      </c>
      <c r="AK375" t="s">
        <v>9945</v>
      </c>
      <c r="AL375" t="s">
        <v>355</v>
      </c>
      <c r="AM375" t="s">
        <v>2048</v>
      </c>
      <c r="AN375" t="s">
        <v>9946</v>
      </c>
      <c r="AO375" t="s">
        <v>9947</v>
      </c>
      <c r="AP375" t="s">
        <v>1243</v>
      </c>
      <c r="AQ375" s="5">
        <v>83814</v>
      </c>
      <c r="AR375" t="s">
        <v>128</v>
      </c>
      <c r="AT375" s="4">
        <v>12087772654</v>
      </c>
      <c r="AV375" t="s">
        <v>9942</v>
      </c>
      <c r="AW375" t="s">
        <v>4715</v>
      </c>
      <c r="AX375" t="s">
        <v>131</v>
      </c>
      <c r="AY375" t="s">
        <v>131</v>
      </c>
      <c r="AZ375" t="s">
        <v>131</v>
      </c>
      <c r="BA375" t="s">
        <v>131</v>
      </c>
      <c r="BB375" t="s">
        <v>131</v>
      </c>
      <c r="BC375" t="s">
        <v>131</v>
      </c>
      <c r="BD375" t="s">
        <v>131</v>
      </c>
      <c r="BE375" t="s">
        <v>132</v>
      </c>
      <c r="BH375" t="s">
        <v>2095</v>
      </c>
      <c r="BI375" t="s">
        <v>131</v>
      </c>
      <c r="BL375" t="s">
        <v>167</v>
      </c>
      <c r="BO375" t="s">
        <v>131</v>
      </c>
      <c r="BP375" t="s">
        <v>134</v>
      </c>
      <c r="BQ375" t="s">
        <v>131</v>
      </c>
      <c r="BS375" t="str">
        <f t="shared" si="29"/>
        <v>N/A</v>
      </c>
      <c r="BT375" t="s">
        <v>131</v>
      </c>
      <c r="BV375" t="str">
        <f>""</f>
        <v/>
      </c>
      <c r="BW375" t="s">
        <v>135</v>
      </c>
      <c r="BX375" t="str">
        <f>""</f>
        <v/>
      </c>
      <c r="BY375" t="str">
        <f>""</f>
        <v/>
      </c>
      <c r="BZ375" t="str">
        <f>""</f>
        <v/>
      </c>
      <c r="CA375" t="s">
        <v>2054</v>
      </c>
      <c r="CB375" t="s">
        <v>131</v>
      </c>
      <c r="CF375" t="s">
        <v>131</v>
      </c>
      <c r="CH375" t="str">
        <f>""</f>
        <v/>
      </c>
      <c r="CI375" t="s">
        <v>131</v>
      </c>
      <c r="CK375" t="s">
        <v>131</v>
      </c>
      <c r="CL375" t="str">
        <f>""</f>
        <v/>
      </c>
      <c r="CM375" t="str">
        <f>""</f>
        <v/>
      </c>
      <c r="CN375" t="str">
        <f>""</f>
        <v/>
      </c>
      <c r="CO375" t="str">
        <f>""</f>
        <v/>
      </c>
      <c r="CP375" t="str">
        <f>"37-3011.00"</f>
        <v>37-3011.00</v>
      </c>
      <c r="CQ375" t="s">
        <v>920</v>
      </c>
      <c r="CS375" t="s">
        <v>135</v>
      </c>
      <c r="CT375" t="s">
        <v>14352</v>
      </c>
      <c r="CU375" t="s">
        <v>14353</v>
      </c>
      <c r="CW375" t="s">
        <v>11524</v>
      </c>
      <c r="CX375" t="s">
        <v>129</v>
      </c>
      <c r="CZ375" s="3" t="str">
        <f>"10523"</f>
        <v>10523</v>
      </c>
      <c r="DA375" t="s">
        <v>135</v>
      </c>
      <c r="DB375" t="str">
        <f>"37-3011"</f>
        <v>37-3011</v>
      </c>
      <c r="DC375" t="s">
        <v>920</v>
      </c>
      <c r="DD375" t="s">
        <v>134</v>
      </c>
      <c r="DE375" t="s">
        <v>134</v>
      </c>
      <c r="DF375" t="str">
        <f>""</f>
        <v/>
      </c>
      <c r="DH375" s="6">
        <v>17.75</v>
      </c>
      <c r="DI375" t="s">
        <v>344</v>
      </c>
      <c r="DK375" t="s">
        <v>345</v>
      </c>
      <c r="DR375" t="s">
        <v>346</v>
      </c>
      <c r="DS375" s="6">
        <v>17.75</v>
      </c>
      <c r="DT375" s="2" t="s">
        <v>347</v>
      </c>
      <c r="DU375" s="1">
        <v>44354</v>
      </c>
      <c r="DV375" s="1">
        <v>44443</v>
      </c>
    </row>
    <row r="376" spans="1:126" ht="15" customHeight="1" x14ac:dyDescent="0.35">
      <c r="A376" t="s">
        <v>11519</v>
      </c>
      <c r="B376" t="s">
        <v>318</v>
      </c>
      <c r="C376" s="1">
        <v>44327</v>
      </c>
      <c r="D376" s="1">
        <v>44354</v>
      </c>
      <c r="H376" t="s">
        <v>319</v>
      </c>
      <c r="I376" t="s">
        <v>11520</v>
      </c>
      <c r="J376" t="s">
        <v>313</v>
      </c>
      <c r="K376" t="s">
        <v>134</v>
      </c>
      <c r="L376" t="s">
        <v>395</v>
      </c>
      <c r="M376" t="s">
        <v>11521</v>
      </c>
      <c r="O376" t="s">
        <v>11522</v>
      </c>
      <c r="P376" t="s">
        <v>127</v>
      </c>
      <c r="Q376" s="3">
        <v>10523</v>
      </c>
      <c r="R376" t="s">
        <v>128</v>
      </c>
      <c r="T376" s="4">
        <v>19143475151</v>
      </c>
      <c r="V376" t="s">
        <v>9942</v>
      </c>
      <c r="W376" t="s">
        <v>11523</v>
      </c>
      <c r="Y376" t="s">
        <v>11521</v>
      </c>
      <c r="AA376" t="s">
        <v>11524</v>
      </c>
      <c r="AB376" t="s">
        <v>129</v>
      </c>
      <c r="AC376" s="3" t="str">
        <f>"10523"</f>
        <v>10523</v>
      </c>
      <c r="AD376" t="s">
        <v>128</v>
      </c>
      <c r="AF376" s="4">
        <v>19143475151</v>
      </c>
      <c r="AH376" t="str">
        <f>"221310"</f>
        <v>221310</v>
      </c>
      <c r="AI376" t="s">
        <v>287</v>
      </c>
      <c r="AJ376" t="s">
        <v>9944</v>
      </c>
      <c r="AK376" t="s">
        <v>9945</v>
      </c>
      <c r="AL376" t="s">
        <v>355</v>
      </c>
      <c r="AM376" t="s">
        <v>2048</v>
      </c>
      <c r="AN376" t="s">
        <v>9946</v>
      </c>
      <c r="AO376" t="s">
        <v>9947</v>
      </c>
      <c r="AP376" t="s">
        <v>1243</v>
      </c>
      <c r="AQ376" s="5">
        <v>83814</v>
      </c>
      <c r="AR376" t="s">
        <v>128</v>
      </c>
      <c r="AT376" s="4">
        <v>12087772654</v>
      </c>
      <c r="AV376" t="s">
        <v>9942</v>
      </c>
      <c r="AW376" t="s">
        <v>4715</v>
      </c>
      <c r="AX376" t="s">
        <v>131</v>
      </c>
      <c r="AY376" t="s">
        <v>131</v>
      </c>
      <c r="AZ376" t="s">
        <v>131</v>
      </c>
      <c r="BA376" t="s">
        <v>131</v>
      </c>
      <c r="BB376" t="s">
        <v>131</v>
      </c>
      <c r="BC376" t="s">
        <v>131</v>
      </c>
      <c r="BD376" t="s">
        <v>131</v>
      </c>
      <c r="BE376" t="s">
        <v>132</v>
      </c>
      <c r="BH376" t="s">
        <v>2095</v>
      </c>
      <c r="BI376" t="s">
        <v>131</v>
      </c>
      <c r="BL376" t="s">
        <v>167</v>
      </c>
      <c r="BO376" t="s">
        <v>131</v>
      </c>
      <c r="BP376" t="s">
        <v>134</v>
      </c>
      <c r="BQ376" t="s">
        <v>131</v>
      </c>
      <c r="BS376" t="str">
        <f t="shared" si="29"/>
        <v>N/A</v>
      </c>
      <c r="BT376" t="s">
        <v>131</v>
      </c>
      <c r="BV376" t="str">
        <f>""</f>
        <v/>
      </c>
      <c r="BW376" t="s">
        <v>135</v>
      </c>
      <c r="BX376" t="str">
        <f>""</f>
        <v/>
      </c>
      <c r="BY376" t="str">
        <f>""</f>
        <v/>
      </c>
      <c r="BZ376" t="str">
        <f>""</f>
        <v/>
      </c>
      <c r="CA376" t="s">
        <v>2054</v>
      </c>
      <c r="CB376" t="s">
        <v>131</v>
      </c>
      <c r="CF376" t="s">
        <v>131</v>
      </c>
      <c r="CH376" t="str">
        <f>""</f>
        <v/>
      </c>
      <c r="CI376" t="s">
        <v>131</v>
      </c>
      <c r="CK376" t="s">
        <v>131</v>
      </c>
      <c r="CL376" t="str">
        <f>""</f>
        <v/>
      </c>
      <c r="CM376" t="str">
        <f>""</f>
        <v/>
      </c>
      <c r="CN376" t="str">
        <f>""</f>
        <v/>
      </c>
      <c r="CO376" t="str">
        <f>""</f>
        <v/>
      </c>
      <c r="CP376" t="str">
        <f>"37-3011.00"</f>
        <v>37-3011.00</v>
      </c>
      <c r="CQ376" t="s">
        <v>920</v>
      </c>
      <c r="CS376" t="s">
        <v>135</v>
      </c>
      <c r="CT376" t="s">
        <v>11525</v>
      </c>
      <c r="CU376" t="s">
        <v>11526</v>
      </c>
      <c r="CW376" t="s">
        <v>642</v>
      </c>
      <c r="CX376" t="s">
        <v>643</v>
      </c>
      <c r="CZ376" s="3" t="str">
        <f>"30328"</f>
        <v>30328</v>
      </c>
      <c r="DA376" t="s">
        <v>135</v>
      </c>
      <c r="DB376" t="str">
        <f>"37-3011"</f>
        <v>37-3011</v>
      </c>
      <c r="DC376" t="s">
        <v>920</v>
      </c>
      <c r="DD376" t="s">
        <v>134</v>
      </c>
      <c r="DE376" t="s">
        <v>134</v>
      </c>
      <c r="DF376" t="str">
        <f>""</f>
        <v/>
      </c>
      <c r="DH376" s="6">
        <v>14.72</v>
      </c>
      <c r="DI376" t="s">
        <v>344</v>
      </c>
      <c r="DK376" t="s">
        <v>345</v>
      </c>
      <c r="DR376" t="s">
        <v>2218</v>
      </c>
      <c r="DS376" s="6">
        <v>14.72</v>
      </c>
      <c r="DT376" s="2" t="s">
        <v>347</v>
      </c>
      <c r="DU376" s="1">
        <v>44354</v>
      </c>
      <c r="DV376" s="1">
        <v>44443</v>
      </c>
    </row>
    <row r="377" spans="1:126" ht="15" customHeight="1" x14ac:dyDescent="0.35">
      <c r="A377" t="s">
        <v>16365</v>
      </c>
      <c r="B377" t="s">
        <v>318</v>
      </c>
      <c r="C377" s="1">
        <v>44327</v>
      </c>
      <c r="D377" s="1">
        <v>44356</v>
      </c>
      <c r="H377" t="s">
        <v>319</v>
      </c>
      <c r="I377" t="s">
        <v>10905</v>
      </c>
      <c r="J377" t="s">
        <v>5804</v>
      </c>
      <c r="K377" t="s">
        <v>134</v>
      </c>
      <c r="L377" t="s">
        <v>583</v>
      </c>
      <c r="M377" t="s">
        <v>16366</v>
      </c>
      <c r="O377" t="s">
        <v>10907</v>
      </c>
      <c r="P377" t="s">
        <v>629</v>
      </c>
      <c r="Q377" s="3">
        <v>38834</v>
      </c>
      <c r="R377" t="s">
        <v>128</v>
      </c>
      <c r="T377" s="4">
        <v>16626434216</v>
      </c>
      <c r="V377" t="s">
        <v>9942</v>
      </c>
      <c r="W377" t="s">
        <v>10908</v>
      </c>
      <c r="Y377" t="s">
        <v>16366</v>
      </c>
      <c r="AA377" t="s">
        <v>10907</v>
      </c>
      <c r="AB377" t="s">
        <v>630</v>
      </c>
      <c r="AC377" s="3" t="str">
        <f>"38834"</f>
        <v>38834</v>
      </c>
      <c r="AD377" t="s">
        <v>128</v>
      </c>
      <c r="AF377" s="4">
        <v>16626434216</v>
      </c>
      <c r="AH377" t="str">
        <f>"11531"</f>
        <v>11531</v>
      </c>
      <c r="AI377" t="s">
        <v>287</v>
      </c>
      <c r="AJ377" t="s">
        <v>9944</v>
      </c>
      <c r="AK377" t="s">
        <v>9945</v>
      </c>
      <c r="AL377" t="s">
        <v>355</v>
      </c>
      <c r="AM377" t="s">
        <v>2048</v>
      </c>
      <c r="AN377" t="s">
        <v>9946</v>
      </c>
      <c r="AO377" t="s">
        <v>9947</v>
      </c>
      <c r="AP377" t="s">
        <v>1243</v>
      </c>
      <c r="AQ377" s="5">
        <v>83814</v>
      </c>
      <c r="AR377" t="s">
        <v>128</v>
      </c>
      <c r="AT377" s="4">
        <v>12087772654</v>
      </c>
      <c r="AV377" t="s">
        <v>9942</v>
      </c>
      <c r="AW377" t="s">
        <v>4715</v>
      </c>
      <c r="AX377" t="s">
        <v>131</v>
      </c>
      <c r="AY377" t="s">
        <v>131</v>
      </c>
      <c r="AZ377" t="s">
        <v>131</v>
      </c>
      <c r="BA377" t="s">
        <v>131</v>
      </c>
      <c r="BB377" t="s">
        <v>131</v>
      </c>
      <c r="BC377" t="s">
        <v>131</v>
      </c>
      <c r="BD377" t="s">
        <v>131</v>
      </c>
      <c r="BE377" t="s">
        <v>132</v>
      </c>
      <c r="BH377" t="s">
        <v>6431</v>
      </c>
      <c r="BI377" t="s">
        <v>131</v>
      </c>
      <c r="BL377" t="s">
        <v>167</v>
      </c>
      <c r="BO377" t="s">
        <v>131</v>
      </c>
      <c r="BP377" t="s">
        <v>134</v>
      </c>
      <c r="BQ377" t="s">
        <v>131</v>
      </c>
      <c r="BS377" t="str">
        <f t="shared" si="29"/>
        <v>N/A</v>
      </c>
      <c r="BT377" t="s">
        <v>131</v>
      </c>
      <c r="BV377" t="str">
        <f>""</f>
        <v/>
      </c>
      <c r="BW377" t="s">
        <v>135</v>
      </c>
      <c r="BX377" t="str">
        <f>""</f>
        <v/>
      </c>
      <c r="BY377" t="str">
        <f>""</f>
        <v/>
      </c>
      <c r="BZ377" t="str">
        <f>""</f>
        <v/>
      </c>
      <c r="CA377" t="s">
        <v>7623</v>
      </c>
      <c r="CB377" t="s">
        <v>131</v>
      </c>
      <c r="CF377" t="s">
        <v>131</v>
      </c>
      <c r="CH377" t="str">
        <f>""</f>
        <v/>
      </c>
      <c r="CI377" t="s">
        <v>131</v>
      </c>
      <c r="CK377" t="s">
        <v>131</v>
      </c>
      <c r="CL377" t="str">
        <f>""</f>
        <v/>
      </c>
      <c r="CM377" t="str">
        <f>""</f>
        <v/>
      </c>
      <c r="CN377" t="str">
        <f>""</f>
        <v/>
      </c>
      <c r="CO377" t="str">
        <f>""</f>
        <v/>
      </c>
      <c r="CP377" t="str">
        <f>"45-4011.00"</f>
        <v>45-4011.00</v>
      </c>
      <c r="CQ377" t="s">
        <v>4310</v>
      </c>
      <c r="CS377" t="s">
        <v>135</v>
      </c>
      <c r="CT377" s="2" t="s">
        <v>16367</v>
      </c>
      <c r="CU377" t="s">
        <v>16368</v>
      </c>
      <c r="CW377" t="s">
        <v>10907</v>
      </c>
      <c r="CX377" t="s">
        <v>630</v>
      </c>
      <c r="CZ377" s="3" t="str">
        <f>"38834"</f>
        <v>38834</v>
      </c>
      <c r="DA377" t="s">
        <v>135</v>
      </c>
      <c r="DB377" t="str">
        <f>"45-4011"</f>
        <v>45-4011</v>
      </c>
      <c r="DC377" t="s">
        <v>4310</v>
      </c>
      <c r="DD377" t="s">
        <v>134</v>
      </c>
      <c r="DE377" t="s">
        <v>134</v>
      </c>
      <c r="DF377" t="str">
        <f>""</f>
        <v/>
      </c>
      <c r="DH377" s="6">
        <v>15.76</v>
      </c>
      <c r="DI377" t="s">
        <v>344</v>
      </c>
      <c r="DK377" t="s">
        <v>345</v>
      </c>
      <c r="DS377" s="6">
        <v>25.54</v>
      </c>
      <c r="DT377" s="2" t="s">
        <v>347</v>
      </c>
      <c r="DU377" s="1">
        <v>44356</v>
      </c>
      <c r="DV377" s="1">
        <v>44445</v>
      </c>
    </row>
    <row r="378" spans="1:126" ht="15" customHeight="1" x14ac:dyDescent="0.35">
      <c r="A378" t="s">
        <v>20069</v>
      </c>
      <c r="B378" t="s">
        <v>318</v>
      </c>
      <c r="C378" s="1">
        <v>44327</v>
      </c>
      <c r="D378" s="1">
        <v>44356</v>
      </c>
      <c r="H378" t="s">
        <v>319</v>
      </c>
      <c r="I378" t="s">
        <v>9229</v>
      </c>
      <c r="J378" t="s">
        <v>5028</v>
      </c>
      <c r="K378" t="s">
        <v>1253</v>
      </c>
      <c r="L378" t="s">
        <v>3922</v>
      </c>
      <c r="M378" t="s">
        <v>9230</v>
      </c>
      <c r="O378" t="s">
        <v>4815</v>
      </c>
      <c r="P378" t="s">
        <v>3075</v>
      </c>
      <c r="Q378" s="3">
        <v>83815</v>
      </c>
      <c r="R378" t="s">
        <v>128</v>
      </c>
      <c r="T378" s="4">
        <v>12086605701</v>
      </c>
      <c r="V378" t="s">
        <v>9231</v>
      </c>
      <c r="W378" t="s">
        <v>9232</v>
      </c>
      <c r="Y378" t="s">
        <v>9230</v>
      </c>
      <c r="AA378" t="s">
        <v>4815</v>
      </c>
      <c r="AB378" t="s">
        <v>1243</v>
      </c>
      <c r="AC378" s="3" t="str">
        <f>"83815"</f>
        <v>83815</v>
      </c>
      <c r="AD378" t="s">
        <v>128</v>
      </c>
      <c r="AF378" s="4">
        <v>12086605701</v>
      </c>
      <c r="AH378" t="str">
        <f>"11531"</f>
        <v>11531</v>
      </c>
      <c r="AI378" t="s">
        <v>287</v>
      </c>
      <c r="AJ378" t="s">
        <v>2046</v>
      </c>
      <c r="AK378" t="s">
        <v>2047</v>
      </c>
      <c r="AL378" t="s">
        <v>134</v>
      </c>
      <c r="AM378" t="s">
        <v>2048</v>
      </c>
      <c r="AN378" t="s">
        <v>2049</v>
      </c>
      <c r="AO378" t="s">
        <v>4815</v>
      </c>
      <c r="AP378" t="s">
        <v>1243</v>
      </c>
      <c r="AQ378" s="5">
        <v>83814</v>
      </c>
      <c r="AR378" t="s">
        <v>128</v>
      </c>
      <c r="AT378" s="4">
        <v>12087772654</v>
      </c>
      <c r="AV378" t="s">
        <v>2051</v>
      </c>
      <c r="AW378" t="s">
        <v>2052</v>
      </c>
      <c r="AX378" t="s">
        <v>131</v>
      </c>
      <c r="AY378" t="s">
        <v>131</v>
      </c>
      <c r="AZ378" t="s">
        <v>131</v>
      </c>
      <c r="BA378" t="s">
        <v>131</v>
      </c>
      <c r="BB378" t="s">
        <v>131</v>
      </c>
      <c r="BC378" t="s">
        <v>131</v>
      </c>
      <c r="BD378" t="s">
        <v>131</v>
      </c>
      <c r="BE378" t="s">
        <v>132</v>
      </c>
      <c r="BH378" t="s">
        <v>6431</v>
      </c>
      <c r="BI378" t="s">
        <v>131</v>
      </c>
      <c r="BL378" t="s">
        <v>167</v>
      </c>
      <c r="BO378" t="s">
        <v>131</v>
      </c>
      <c r="BP378" t="s">
        <v>134</v>
      </c>
      <c r="BQ378" t="s">
        <v>131</v>
      </c>
      <c r="BS378" t="str">
        <f t="shared" si="29"/>
        <v>N/A</v>
      </c>
      <c r="BT378" t="s">
        <v>135</v>
      </c>
      <c r="BU378">
        <v>3</v>
      </c>
      <c r="BV378" t="str">
        <f>"Commercial Brushsaw/Chainsaw"</f>
        <v>Commercial Brushsaw/Chainsaw</v>
      </c>
      <c r="BW378" t="s">
        <v>135</v>
      </c>
      <c r="BX378" t="str">
        <f>""</f>
        <v/>
      </c>
      <c r="BY378" t="str">
        <f>""</f>
        <v/>
      </c>
      <c r="BZ378" t="str">
        <f>""</f>
        <v/>
      </c>
      <c r="CA378" t="s">
        <v>7623</v>
      </c>
      <c r="CB378" t="s">
        <v>131</v>
      </c>
      <c r="CF378" t="s">
        <v>131</v>
      </c>
      <c r="CH378" t="str">
        <f>""</f>
        <v/>
      </c>
      <c r="CI378" t="s">
        <v>131</v>
      </c>
      <c r="CK378" t="s">
        <v>131</v>
      </c>
      <c r="CL378" t="str">
        <f>""</f>
        <v/>
      </c>
      <c r="CM378" t="str">
        <f>""</f>
        <v/>
      </c>
      <c r="CN378" t="str">
        <f>""</f>
        <v/>
      </c>
      <c r="CO378" t="str">
        <f>""</f>
        <v/>
      </c>
      <c r="CP378" t="str">
        <f>"45-4011.00"</f>
        <v>45-4011.00</v>
      </c>
      <c r="CQ378" t="s">
        <v>4310</v>
      </c>
      <c r="CR378" t="s">
        <v>6431</v>
      </c>
      <c r="CS378" t="s">
        <v>135</v>
      </c>
      <c r="CT378" t="s">
        <v>20070</v>
      </c>
      <c r="CU378" t="s">
        <v>9235</v>
      </c>
      <c r="CW378" t="s">
        <v>2120</v>
      </c>
      <c r="CX378" t="s">
        <v>812</v>
      </c>
      <c r="CZ378" s="3" t="str">
        <f>"29584"</f>
        <v>29584</v>
      </c>
      <c r="DA378" t="s">
        <v>135</v>
      </c>
      <c r="DB378" t="str">
        <f>"45-4011"</f>
        <v>45-4011</v>
      </c>
      <c r="DC378" t="s">
        <v>4310</v>
      </c>
      <c r="DD378" t="s">
        <v>134</v>
      </c>
      <c r="DE378" t="s">
        <v>134</v>
      </c>
      <c r="DF378" t="str">
        <f>""</f>
        <v/>
      </c>
      <c r="DH378" s="6">
        <v>13.53</v>
      </c>
      <c r="DI378" t="s">
        <v>344</v>
      </c>
      <c r="DK378" t="s">
        <v>345</v>
      </c>
      <c r="DR378" t="s">
        <v>19338</v>
      </c>
      <c r="DS378" s="6">
        <v>23.54</v>
      </c>
      <c r="DT378" s="2" t="s">
        <v>347</v>
      </c>
      <c r="DU378" s="1">
        <v>44356</v>
      </c>
      <c r="DV378" s="1">
        <v>44445</v>
      </c>
    </row>
    <row r="379" spans="1:126" ht="15" customHeight="1" x14ac:dyDescent="0.35">
      <c r="A379" t="s">
        <v>14049</v>
      </c>
      <c r="B379" t="s">
        <v>318</v>
      </c>
      <c r="C379" s="1">
        <v>44327</v>
      </c>
      <c r="D379" s="1">
        <v>44356</v>
      </c>
      <c r="H379" t="s">
        <v>319</v>
      </c>
      <c r="I379" t="s">
        <v>14050</v>
      </c>
      <c r="J379" t="s">
        <v>14051</v>
      </c>
      <c r="K379" t="s">
        <v>1253</v>
      </c>
      <c r="L379" t="s">
        <v>682</v>
      </c>
      <c r="M379" t="s">
        <v>14052</v>
      </c>
      <c r="O379" t="s">
        <v>14053</v>
      </c>
      <c r="P379" t="s">
        <v>629</v>
      </c>
      <c r="Q379" s="3">
        <v>39475</v>
      </c>
      <c r="R379" t="s">
        <v>128</v>
      </c>
      <c r="T379" s="4">
        <v>16016063531</v>
      </c>
      <c r="V379" t="s">
        <v>14054</v>
      </c>
      <c r="W379" t="s">
        <v>14055</v>
      </c>
      <c r="Y379" t="s">
        <v>14052</v>
      </c>
      <c r="AA379" t="s">
        <v>14053</v>
      </c>
      <c r="AB379" t="s">
        <v>630</v>
      </c>
      <c r="AC379" s="3" t="str">
        <f>"39475"</f>
        <v>39475</v>
      </c>
      <c r="AD379" t="s">
        <v>128</v>
      </c>
      <c r="AF379" s="4">
        <v>16016063531</v>
      </c>
      <c r="AH379" t="str">
        <f>"56173"</f>
        <v>56173</v>
      </c>
      <c r="AI379" t="s">
        <v>287</v>
      </c>
      <c r="AJ379" t="s">
        <v>2046</v>
      </c>
      <c r="AK379" t="s">
        <v>2047</v>
      </c>
      <c r="AL379" t="s">
        <v>134</v>
      </c>
      <c r="AM379" t="s">
        <v>2048</v>
      </c>
      <c r="AN379" t="s">
        <v>2049</v>
      </c>
      <c r="AO379" t="s">
        <v>2050</v>
      </c>
      <c r="AP379" t="s">
        <v>1243</v>
      </c>
      <c r="AQ379" s="5">
        <v>83814</v>
      </c>
      <c r="AR379" t="s">
        <v>128</v>
      </c>
      <c r="AT379" s="4">
        <v>12087772654</v>
      </c>
      <c r="AV379" t="s">
        <v>2051</v>
      </c>
      <c r="AW379" t="s">
        <v>2052</v>
      </c>
      <c r="AX379" t="s">
        <v>131</v>
      </c>
      <c r="AY379" t="s">
        <v>131</v>
      </c>
      <c r="AZ379" t="s">
        <v>131</v>
      </c>
      <c r="BA379" t="s">
        <v>131</v>
      </c>
      <c r="BB379" t="s">
        <v>131</v>
      </c>
      <c r="BC379" t="s">
        <v>131</v>
      </c>
      <c r="BD379" t="s">
        <v>131</v>
      </c>
      <c r="BE379" t="s">
        <v>132</v>
      </c>
      <c r="BH379" t="s">
        <v>7864</v>
      </c>
      <c r="BI379" t="s">
        <v>131</v>
      </c>
      <c r="BL379" t="s">
        <v>167</v>
      </c>
      <c r="BO379" t="s">
        <v>131</v>
      </c>
      <c r="BP379" t="s">
        <v>134</v>
      </c>
      <c r="BQ379" t="s">
        <v>131</v>
      </c>
      <c r="BS379" t="str">
        <f t="shared" si="29"/>
        <v>N/A</v>
      </c>
      <c r="BT379" t="s">
        <v>131</v>
      </c>
      <c r="BV379" t="str">
        <f>""</f>
        <v/>
      </c>
      <c r="BW379" t="s">
        <v>135</v>
      </c>
      <c r="BX379" t="str">
        <f>""</f>
        <v/>
      </c>
      <c r="BY379" t="str">
        <f>""</f>
        <v/>
      </c>
      <c r="BZ379" t="str">
        <f>""</f>
        <v/>
      </c>
      <c r="CA379" t="s">
        <v>11805</v>
      </c>
      <c r="CB379" t="s">
        <v>131</v>
      </c>
      <c r="CF379" t="s">
        <v>131</v>
      </c>
      <c r="CH379" t="str">
        <f>""</f>
        <v/>
      </c>
      <c r="CI379" t="s">
        <v>131</v>
      </c>
      <c r="CK379" t="s">
        <v>131</v>
      </c>
      <c r="CL379" t="str">
        <f>""</f>
        <v/>
      </c>
      <c r="CM379" t="str">
        <f>""</f>
        <v/>
      </c>
      <c r="CN379" t="str">
        <f>""</f>
        <v/>
      </c>
      <c r="CO379" t="str">
        <f>""</f>
        <v/>
      </c>
      <c r="CP379" t="str">
        <f>"37-3011.00"</f>
        <v>37-3011.00</v>
      </c>
      <c r="CQ379" t="s">
        <v>920</v>
      </c>
      <c r="CR379" t="s">
        <v>7864</v>
      </c>
      <c r="CS379" t="s">
        <v>135</v>
      </c>
      <c r="CT379" t="s">
        <v>14056</v>
      </c>
      <c r="CU379" t="s">
        <v>14057</v>
      </c>
      <c r="CW379" t="s">
        <v>14053</v>
      </c>
      <c r="CX379" t="s">
        <v>630</v>
      </c>
      <c r="CZ379" s="3" t="str">
        <f>"39475"</f>
        <v>39475</v>
      </c>
      <c r="DA379" t="s">
        <v>135</v>
      </c>
      <c r="DB379" t="str">
        <f>"37-3011"</f>
        <v>37-3011</v>
      </c>
      <c r="DC379" t="s">
        <v>920</v>
      </c>
      <c r="DD379" t="s">
        <v>134</v>
      </c>
      <c r="DE379" t="s">
        <v>134</v>
      </c>
      <c r="DF379" t="str">
        <f>""</f>
        <v/>
      </c>
      <c r="DH379" s="6">
        <v>13.2</v>
      </c>
      <c r="DI379" t="s">
        <v>344</v>
      </c>
      <c r="DK379" t="s">
        <v>345</v>
      </c>
      <c r="DR379" t="s">
        <v>14058</v>
      </c>
      <c r="DS379" s="6">
        <v>13.2</v>
      </c>
      <c r="DT379" s="2" t="s">
        <v>347</v>
      </c>
      <c r="DU379" s="1">
        <v>44356</v>
      </c>
      <c r="DV379" s="1">
        <v>44445</v>
      </c>
    </row>
    <row r="380" spans="1:126" ht="15" customHeight="1" x14ac:dyDescent="0.35">
      <c r="A380" t="s">
        <v>18308</v>
      </c>
      <c r="B380" t="s">
        <v>318</v>
      </c>
      <c r="C380" s="1">
        <v>44328</v>
      </c>
      <c r="D380" s="1">
        <v>44355</v>
      </c>
      <c r="H380" t="s">
        <v>319</v>
      </c>
      <c r="I380" t="s">
        <v>15684</v>
      </c>
      <c r="J380" t="s">
        <v>1059</v>
      </c>
      <c r="L380" t="s">
        <v>3296</v>
      </c>
      <c r="M380" t="s">
        <v>15685</v>
      </c>
      <c r="N380" t="s">
        <v>15686</v>
      </c>
      <c r="O380" t="s">
        <v>5413</v>
      </c>
      <c r="P380" t="s">
        <v>194</v>
      </c>
      <c r="Q380" s="3">
        <v>33898</v>
      </c>
      <c r="R380" t="s">
        <v>128</v>
      </c>
      <c r="S380" t="s">
        <v>134</v>
      </c>
      <c r="T380" s="4">
        <v>18636763494</v>
      </c>
      <c r="V380" t="s">
        <v>15687</v>
      </c>
      <c r="W380" t="s">
        <v>15688</v>
      </c>
      <c r="X380" t="s">
        <v>134</v>
      </c>
      <c r="Y380" t="s">
        <v>15685</v>
      </c>
      <c r="Z380" t="s">
        <v>15686</v>
      </c>
      <c r="AA380" t="s">
        <v>5413</v>
      </c>
      <c r="AB380" t="s">
        <v>195</v>
      </c>
      <c r="AC380" s="3" t="str">
        <f>"33898"</f>
        <v>33898</v>
      </c>
      <c r="AD380" t="s">
        <v>128</v>
      </c>
      <c r="AE380" t="s">
        <v>134</v>
      </c>
      <c r="AF380" s="4">
        <v>18636763494</v>
      </c>
      <c r="AH380" t="str">
        <f>"713910"</f>
        <v>713910</v>
      </c>
      <c r="AI380" t="s">
        <v>130</v>
      </c>
      <c r="AJ380" t="s">
        <v>1386</v>
      </c>
      <c r="AK380" t="s">
        <v>1387</v>
      </c>
      <c r="AL380" t="s">
        <v>1036</v>
      </c>
      <c r="AM380" t="s">
        <v>1388</v>
      </c>
      <c r="AN380" t="s">
        <v>997</v>
      </c>
      <c r="AO380" t="s">
        <v>719</v>
      </c>
      <c r="AP380" t="s">
        <v>377</v>
      </c>
      <c r="AQ380" s="5">
        <v>1701</v>
      </c>
      <c r="AR380" t="s">
        <v>128</v>
      </c>
      <c r="AS380" t="s">
        <v>134</v>
      </c>
      <c r="AT380" s="4">
        <v>16179399444</v>
      </c>
      <c r="AV380" t="s">
        <v>1389</v>
      </c>
      <c r="AW380" t="s">
        <v>1390</v>
      </c>
      <c r="AX380" t="s">
        <v>131</v>
      </c>
      <c r="AY380" t="s">
        <v>131</v>
      </c>
      <c r="AZ380" t="s">
        <v>131</v>
      </c>
      <c r="BA380" t="s">
        <v>131</v>
      </c>
      <c r="BB380" t="s">
        <v>131</v>
      </c>
      <c r="BC380" t="s">
        <v>131</v>
      </c>
      <c r="BD380" t="s">
        <v>131</v>
      </c>
      <c r="BE380" t="s">
        <v>132</v>
      </c>
      <c r="BH380" t="s">
        <v>5764</v>
      </c>
      <c r="BI380" t="s">
        <v>131</v>
      </c>
      <c r="BL380" t="s">
        <v>167</v>
      </c>
      <c r="BO380" t="s">
        <v>131</v>
      </c>
      <c r="BP380" t="s">
        <v>134</v>
      </c>
      <c r="BQ380" t="s">
        <v>131</v>
      </c>
      <c r="BS380" t="str">
        <f t="shared" si="29"/>
        <v>N/A</v>
      </c>
      <c r="BT380" t="s">
        <v>135</v>
      </c>
      <c r="BU380">
        <v>6</v>
      </c>
      <c r="BV380" t="str">
        <f>"Line Cook"</f>
        <v>Line Cook</v>
      </c>
      <c r="BW380" t="s">
        <v>135</v>
      </c>
      <c r="BX380" t="str">
        <f>""</f>
        <v/>
      </c>
      <c r="BY380" t="str">
        <f>""</f>
        <v/>
      </c>
      <c r="BZ380" t="str">
        <f>""</f>
        <v/>
      </c>
      <c r="CA380" s="2" t="s">
        <v>13825</v>
      </c>
      <c r="CB380" t="s">
        <v>131</v>
      </c>
      <c r="CF380" t="s">
        <v>131</v>
      </c>
      <c r="CH380" t="str">
        <f>""</f>
        <v/>
      </c>
      <c r="CI380" t="s">
        <v>131</v>
      </c>
      <c r="CK380" t="s">
        <v>131</v>
      </c>
      <c r="CL380" t="str">
        <f>""</f>
        <v/>
      </c>
      <c r="CM380" t="str">
        <f>""</f>
        <v/>
      </c>
      <c r="CN380" t="str">
        <f>""</f>
        <v/>
      </c>
      <c r="CO380" t="str">
        <f>""</f>
        <v/>
      </c>
      <c r="CP380" t="str">
        <f>"35-2014.00"</f>
        <v>35-2014.00</v>
      </c>
      <c r="CQ380" t="s">
        <v>581</v>
      </c>
      <c r="CR380" t="s">
        <v>7918</v>
      </c>
      <c r="CS380" t="s">
        <v>131</v>
      </c>
      <c r="CU380" t="s">
        <v>15685</v>
      </c>
      <c r="CV380" t="s">
        <v>134</v>
      </c>
      <c r="CW380" t="s">
        <v>5413</v>
      </c>
      <c r="CX380" t="s">
        <v>195</v>
      </c>
      <c r="CZ380" s="3" t="str">
        <f>"33898"</f>
        <v>33898</v>
      </c>
      <c r="DA380" t="s">
        <v>131</v>
      </c>
      <c r="DB380" t="str">
        <f>"35-2014"</f>
        <v>35-2014</v>
      </c>
      <c r="DC380" t="s">
        <v>581</v>
      </c>
      <c r="DD380" t="s">
        <v>134</v>
      </c>
      <c r="DE380" t="s">
        <v>134</v>
      </c>
      <c r="DF380" t="str">
        <f>""</f>
        <v/>
      </c>
      <c r="DH380" s="6">
        <v>12.99</v>
      </c>
      <c r="DI380" t="s">
        <v>344</v>
      </c>
      <c r="DK380" t="s">
        <v>345</v>
      </c>
      <c r="DS380" s="6">
        <v>12.99</v>
      </c>
      <c r="DT380" t="s">
        <v>424</v>
      </c>
      <c r="DU380" s="1">
        <v>44355</v>
      </c>
      <c r="DV380" s="1">
        <v>44444</v>
      </c>
    </row>
    <row r="381" spans="1:126" ht="15" customHeight="1" x14ac:dyDescent="0.35">
      <c r="A381" t="s">
        <v>15683</v>
      </c>
      <c r="B381" t="s">
        <v>318</v>
      </c>
      <c r="C381" s="1">
        <v>44328</v>
      </c>
      <c r="D381" s="1">
        <v>44355</v>
      </c>
      <c r="H381" t="s">
        <v>319</v>
      </c>
      <c r="I381" t="s">
        <v>15684</v>
      </c>
      <c r="J381" t="s">
        <v>1059</v>
      </c>
      <c r="L381" t="s">
        <v>3296</v>
      </c>
      <c r="M381" t="s">
        <v>15685</v>
      </c>
      <c r="N381" t="s">
        <v>15686</v>
      </c>
      <c r="O381" t="s">
        <v>5413</v>
      </c>
      <c r="P381" t="s">
        <v>194</v>
      </c>
      <c r="Q381" s="3">
        <v>33898</v>
      </c>
      <c r="R381" t="s">
        <v>128</v>
      </c>
      <c r="S381" t="s">
        <v>134</v>
      </c>
      <c r="T381" s="4">
        <v>18636763494</v>
      </c>
      <c r="V381" t="s">
        <v>15687</v>
      </c>
      <c r="W381" t="s">
        <v>15688</v>
      </c>
      <c r="X381" t="s">
        <v>134</v>
      </c>
      <c r="Y381" t="s">
        <v>15685</v>
      </c>
      <c r="Z381" t="s">
        <v>15686</v>
      </c>
      <c r="AA381" t="s">
        <v>5413</v>
      </c>
      <c r="AB381" t="s">
        <v>195</v>
      </c>
      <c r="AC381" s="3" t="str">
        <f>"33898"</f>
        <v>33898</v>
      </c>
      <c r="AD381" t="s">
        <v>128</v>
      </c>
      <c r="AE381" t="s">
        <v>134</v>
      </c>
      <c r="AF381" s="4">
        <v>18636763494</v>
      </c>
      <c r="AH381" t="str">
        <f>"713910"</f>
        <v>713910</v>
      </c>
      <c r="AI381" t="s">
        <v>130</v>
      </c>
      <c r="AJ381" t="s">
        <v>1386</v>
      </c>
      <c r="AK381" t="s">
        <v>1387</v>
      </c>
      <c r="AL381" t="s">
        <v>1036</v>
      </c>
      <c r="AM381" t="s">
        <v>1388</v>
      </c>
      <c r="AN381" t="s">
        <v>997</v>
      </c>
      <c r="AO381" t="s">
        <v>719</v>
      </c>
      <c r="AP381" t="s">
        <v>377</v>
      </c>
      <c r="AQ381" s="5">
        <v>1701</v>
      </c>
      <c r="AR381" t="s">
        <v>128</v>
      </c>
      <c r="AS381" t="s">
        <v>134</v>
      </c>
      <c r="AT381" s="4">
        <v>16179399444</v>
      </c>
      <c r="AV381" t="s">
        <v>1389</v>
      </c>
      <c r="AW381" t="s">
        <v>1390</v>
      </c>
      <c r="AX381" t="s">
        <v>131</v>
      </c>
      <c r="AY381" t="s">
        <v>131</v>
      </c>
      <c r="AZ381" t="s">
        <v>131</v>
      </c>
      <c r="BA381" t="s">
        <v>131</v>
      </c>
      <c r="BB381" t="s">
        <v>131</v>
      </c>
      <c r="BC381" t="s">
        <v>131</v>
      </c>
      <c r="BD381" t="s">
        <v>131</v>
      </c>
      <c r="BE381" t="s">
        <v>132</v>
      </c>
      <c r="BH381" t="s">
        <v>1213</v>
      </c>
      <c r="BI381" t="s">
        <v>131</v>
      </c>
      <c r="BL381" t="s">
        <v>167</v>
      </c>
      <c r="BO381" t="s">
        <v>131</v>
      </c>
      <c r="BP381" t="s">
        <v>134</v>
      </c>
      <c r="BQ381" t="s">
        <v>131</v>
      </c>
      <c r="BS381" t="str">
        <f t="shared" si="29"/>
        <v>N/A</v>
      </c>
      <c r="BT381" t="s">
        <v>135</v>
      </c>
      <c r="BU381">
        <v>6</v>
      </c>
      <c r="BV381" t="str">
        <f>"Server"</f>
        <v>Server</v>
      </c>
      <c r="BW381" t="s">
        <v>135</v>
      </c>
      <c r="BX381" t="str">
        <f>""</f>
        <v/>
      </c>
      <c r="BY381" t="str">
        <f>""</f>
        <v/>
      </c>
      <c r="BZ381" t="str">
        <f>""</f>
        <v/>
      </c>
      <c r="CA381" s="2" t="s">
        <v>1858</v>
      </c>
      <c r="CB381" t="s">
        <v>131</v>
      </c>
      <c r="CF381" t="s">
        <v>131</v>
      </c>
      <c r="CH381" t="str">
        <f>""</f>
        <v/>
      </c>
      <c r="CI381" t="s">
        <v>131</v>
      </c>
      <c r="CK381" t="s">
        <v>131</v>
      </c>
      <c r="CL381" t="str">
        <f>""</f>
        <v/>
      </c>
      <c r="CM381" t="str">
        <f>""</f>
        <v/>
      </c>
      <c r="CN381" t="str">
        <f>""</f>
        <v/>
      </c>
      <c r="CO381" t="str">
        <f>""</f>
        <v/>
      </c>
      <c r="CP381" t="str">
        <f>"35-3031.00"</f>
        <v>35-3031.00</v>
      </c>
      <c r="CQ381" t="s">
        <v>1214</v>
      </c>
      <c r="CR381" t="s">
        <v>13472</v>
      </c>
      <c r="CS381" t="s">
        <v>131</v>
      </c>
      <c r="CU381" t="s">
        <v>15685</v>
      </c>
      <c r="CV381" t="s">
        <v>134</v>
      </c>
      <c r="CW381" t="s">
        <v>5413</v>
      </c>
      <c r="CX381" t="s">
        <v>195</v>
      </c>
      <c r="CZ381" s="3" t="str">
        <f>"33898"</f>
        <v>33898</v>
      </c>
      <c r="DA381" t="s">
        <v>131</v>
      </c>
      <c r="DB381" t="str">
        <f>"35-3031"</f>
        <v>35-3031</v>
      </c>
      <c r="DC381" t="s">
        <v>1214</v>
      </c>
      <c r="DD381" t="s">
        <v>134</v>
      </c>
      <c r="DE381" t="s">
        <v>134</v>
      </c>
      <c r="DF381" t="str">
        <f>""</f>
        <v/>
      </c>
      <c r="DH381" s="6">
        <v>11.5</v>
      </c>
      <c r="DI381" t="s">
        <v>344</v>
      </c>
      <c r="DK381" t="s">
        <v>345</v>
      </c>
      <c r="DS381" s="6">
        <v>11.5</v>
      </c>
      <c r="DT381" t="s">
        <v>424</v>
      </c>
      <c r="DU381" s="1">
        <v>44355</v>
      </c>
      <c r="DV381" s="1">
        <v>44444</v>
      </c>
    </row>
    <row r="382" spans="1:126" ht="15" customHeight="1" x14ac:dyDescent="0.35">
      <c r="A382" t="s">
        <v>15471</v>
      </c>
      <c r="B382" t="s">
        <v>318</v>
      </c>
      <c r="C382" s="1">
        <v>44328</v>
      </c>
      <c r="D382" s="1">
        <v>44355</v>
      </c>
      <c r="H382" t="s">
        <v>319</v>
      </c>
      <c r="I382" t="s">
        <v>15472</v>
      </c>
      <c r="J382" t="s">
        <v>313</v>
      </c>
      <c r="L382" t="s">
        <v>303</v>
      </c>
      <c r="M382" t="s">
        <v>15473</v>
      </c>
      <c r="O382" t="s">
        <v>15474</v>
      </c>
      <c r="P382" t="s">
        <v>127</v>
      </c>
      <c r="Q382" s="3">
        <v>12928</v>
      </c>
      <c r="R382" t="s">
        <v>128</v>
      </c>
      <c r="T382" s="4">
        <v>15185979222</v>
      </c>
      <c r="V382" t="s">
        <v>15475</v>
      </c>
      <c r="W382" t="s">
        <v>15476</v>
      </c>
      <c r="Y382" t="s">
        <v>15473</v>
      </c>
      <c r="AA382" t="s">
        <v>15474</v>
      </c>
      <c r="AB382" t="s">
        <v>129</v>
      </c>
      <c r="AC382" s="3" t="str">
        <f>"12928"</f>
        <v>12928</v>
      </c>
      <c r="AD382" t="s">
        <v>128</v>
      </c>
      <c r="AF382" s="4">
        <v>15185979222</v>
      </c>
      <c r="AH382" t="str">
        <f>"115114"</f>
        <v>115114</v>
      </c>
      <c r="AI382" t="s">
        <v>287</v>
      </c>
      <c r="AJ382" t="s">
        <v>7947</v>
      </c>
      <c r="AK382" t="s">
        <v>1861</v>
      </c>
      <c r="AM382" t="s">
        <v>7948</v>
      </c>
      <c r="AO382" t="s">
        <v>7949</v>
      </c>
      <c r="AP382" t="s">
        <v>2549</v>
      </c>
      <c r="AQ382" s="5">
        <v>5760</v>
      </c>
      <c r="AR382" t="s">
        <v>128</v>
      </c>
      <c r="AT382" s="4">
        <v>18029482788</v>
      </c>
      <c r="AV382" t="s">
        <v>7950</v>
      </c>
      <c r="AW382" t="s">
        <v>15477</v>
      </c>
      <c r="AX382" t="s">
        <v>131</v>
      </c>
      <c r="AY382" t="s">
        <v>131</v>
      </c>
      <c r="AZ382" t="s">
        <v>131</v>
      </c>
      <c r="BA382" t="s">
        <v>131</v>
      </c>
      <c r="BB382" t="s">
        <v>131</v>
      </c>
      <c r="BC382" t="s">
        <v>131</v>
      </c>
      <c r="BD382" t="s">
        <v>131</v>
      </c>
      <c r="BE382" t="s">
        <v>132</v>
      </c>
      <c r="BH382" t="s">
        <v>15478</v>
      </c>
      <c r="BI382" t="s">
        <v>131</v>
      </c>
      <c r="BL382" t="s">
        <v>167</v>
      </c>
      <c r="BO382" t="s">
        <v>131</v>
      </c>
      <c r="BP382" t="s">
        <v>134</v>
      </c>
      <c r="BQ382" t="s">
        <v>131</v>
      </c>
      <c r="BS382" t="str">
        <f t="shared" si="29"/>
        <v>N/A</v>
      </c>
      <c r="BT382" t="s">
        <v>131</v>
      </c>
      <c r="BV382" t="str">
        <f>""</f>
        <v/>
      </c>
      <c r="BW382" t="s">
        <v>131</v>
      </c>
      <c r="BX382" t="str">
        <f>""</f>
        <v/>
      </c>
      <c r="BY382" t="str">
        <f>""</f>
        <v/>
      </c>
      <c r="BZ382" t="str">
        <f>""</f>
        <v/>
      </c>
      <c r="CA382" t="str">
        <f>""</f>
        <v/>
      </c>
      <c r="CB382" t="s">
        <v>131</v>
      </c>
      <c r="CF382" t="s">
        <v>131</v>
      </c>
      <c r="CH382" t="str">
        <f>""</f>
        <v/>
      </c>
      <c r="CI382" t="s">
        <v>131</v>
      </c>
      <c r="CK382" t="s">
        <v>131</v>
      </c>
      <c r="CL382" t="str">
        <f>""</f>
        <v/>
      </c>
      <c r="CM382" t="str">
        <f>""</f>
        <v/>
      </c>
      <c r="CN382" t="str">
        <f>""</f>
        <v/>
      </c>
      <c r="CO382" t="str">
        <f>""</f>
        <v/>
      </c>
      <c r="CP382" t="str">
        <f>"53-7064.00"</f>
        <v>53-7064.00</v>
      </c>
      <c r="CQ382" t="s">
        <v>2987</v>
      </c>
      <c r="CS382" t="s">
        <v>131</v>
      </c>
      <c r="CU382" t="s">
        <v>15479</v>
      </c>
      <c r="CW382" t="s">
        <v>15474</v>
      </c>
      <c r="CX382" t="s">
        <v>129</v>
      </c>
      <c r="CZ382" s="3" t="str">
        <f>"12928"</f>
        <v>12928</v>
      </c>
      <c r="DA382" t="s">
        <v>131</v>
      </c>
      <c r="DB382" t="str">
        <f>"53-7064"</f>
        <v>53-7064</v>
      </c>
      <c r="DC382" t="s">
        <v>2987</v>
      </c>
      <c r="DD382" t="s">
        <v>134</v>
      </c>
      <c r="DE382" t="s">
        <v>134</v>
      </c>
      <c r="DF382" t="str">
        <f>""</f>
        <v/>
      </c>
      <c r="DH382" s="6">
        <v>14.89</v>
      </c>
      <c r="DI382" t="s">
        <v>344</v>
      </c>
      <c r="DK382" t="s">
        <v>345</v>
      </c>
      <c r="DR382" t="s">
        <v>15480</v>
      </c>
      <c r="DS382" s="6">
        <v>14.89</v>
      </c>
      <c r="DT382" t="s">
        <v>424</v>
      </c>
      <c r="DU382" s="1">
        <v>44355</v>
      </c>
      <c r="DV382" s="1">
        <v>44444</v>
      </c>
    </row>
    <row r="383" spans="1:126" ht="15" customHeight="1" x14ac:dyDescent="0.35">
      <c r="A383" t="s">
        <v>18120</v>
      </c>
      <c r="B383" t="s">
        <v>318</v>
      </c>
      <c r="C383" s="1">
        <v>44328</v>
      </c>
      <c r="D383" s="1">
        <v>44355</v>
      </c>
      <c r="H383" t="s">
        <v>319</v>
      </c>
      <c r="I383" t="s">
        <v>16149</v>
      </c>
      <c r="J383" t="s">
        <v>260</v>
      </c>
      <c r="L383" t="s">
        <v>1105</v>
      </c>
      <c r="M383" t="s">
        <v>16150</v>
      </c>
      <c r="O383" t="s">
        <v>3874</v>
      </c>
      <c r="P383" t="s">
        <v>1760</v>
      </c>
      <c r="Q383" s="3">
        <v>70808</v>
      </c>
      <c r="R383" t="s">
        <v>128</v>
      </c>
      <c r="T383" s="4">
        <v>12258060008</v>
      </c>
      <c r="V383" t="s">
        <v>16151</v>
      </c>
      <c r="W383" t="s">
        <v>16152</v>
      </c>
      <c r="Y383" t="s">
        <v>16153</v>
      </c>
      <c r="Z383" t="s">
        <v>16154</v>
      </c>
      <c r="AA383" t="s">
        <v>3874</v>
      </c>
      <c r="AB383" t="s">
        <v>1763</v>
      </c>
      <c r="AC383" s="3" t="str">
        <f>"70810"</f>
        <v>70810</v>
      </c>
      <c r="AD383" t="s">
        <v>128</v>
      </c>
      <c r="AF383" s="4">
        <v>12258060008</v>
      </c>
      <c r="AH383" t="str">
        <f>"56173"</f>
        <v>56173</v>
      </c>
      <c r="AI383" t="s">
        <v>287</v>
      </c>
      <c r="AJ383" t="s">
        <v>2304</v>
      </c>
      <c r="AK383" t="s">
        <v>5773</v>
      </c>
      <c r="AL383" t="s">
        <v>589</v>
      </c>
      <c r="AM383" t="s">
        <v>5774</v>
      </c>
      <c r="AN383" t="s">
        <v>5775</v>
      </c>
      <c r="AO383" t="s">
        <v>5776</v>
      </c>
      <c r="AP383" t="s">
        <v>1763</v>
      </c>
      <c r="AQ383" s="5">
        <v>70754</v>
      </c>
      <c r="AR383" t="s">
        <v>128</v>
      </c>
      <c r="AS383" t="s">
        <v>1763</v>
      </c>
      <c r="AT383" s="4">
        <v>12256863033</v>
      </c>
      <c r="AV383" t="s">
        <v>5777</v>
      </c>
      <c r="AW383" t="s">
        <v>5778</v>
      </c>
      <c r="AX383" t="s">
        <v>131</v>
      </c>
      <c r="AY383" t="s">
        <v>131</v>
      </c>
      <c r="AZ383" t="s">
        <v>131</v>
      </c>
      <c r="BA383" t="s">
        <v>131</v>
      </c>
      <c r="BB383" t="s">
        <v>131</v>
      </c>
      <c r="BC383" t="s">
        <v>131</v>
      </c>
      <c r="BD383" t="s">
        <v>131</v>
      </c>
      <c r="BE383" t="s">
        <v>132</v>
      </c>
      <c r="BH383" t="s">
        <v>3780</v>
      </c>
      <c r="BI383" t="s">
        <v>131</v>
      </c>
      <c r="BL383" t="s">
        <v>167</v>
      </c>
      <c r="BO383" t="s">
        <v>131</v>
      </c>
      <c r="BP383" t="s">
        <v>134</v>
      </c>
      <c r="BQ383" t="s">
        <v>131</v>
      </c>
      <c r="BS383" t="str">
        <f t="shared" si="29"/>
        <v>N/A</v>
      </c>
      <c r="BT383" t="s">
        <v>131</v>
      </c>
      <c r="BV383" t="str">
        <f>""</f>
        <v/>
      </c>
      <c r="BW383" t="s">
        <v>135</v>
      </c>
      <c r="BX383" t="str">
        <f>""</f>
        <v/>
      </c>
      <c r="BY383" t="str">
        <f>""</f>
        <v/>
      </c>
      <c r="BZ383" t="str">
        <f>""</f>
        <v/>
      </c>
      <c r="CA383" s="2" t="s">
        <v>16146</v>
      </c>
      <c r="CB383" t="s">
        <v>131</v>
      </c>
      <c r="CF383" t="s">
        <v>131</v>
      </c>
      <c r="CH383" t="str">
        <f>""</f>
        <v/>
      </c>
      <c r="CI383" t="s">
        <v>131</v>
      </c>
      <c r="CK383" t="s">
        <v>131</v>
      </c>
      <c r="CL383" t="str">
        <f>""</f>
        <v/>
      </c>
      <c r="CM383" t="str">
        <f>""</f>
        <v/>
      </c>
      <c r="CN383" t="str">
        <f>""</f>
        <v/>
      </c>
      <c r="CO383" t="str">
        <f>""</f>
        <v/>
      </c>
      <c r="CP383" t="str">
        <f>"37-3011.00"</f>
        <v>37-3011.00</v>
      </c>
      <c r="CQ383" t="s">
        <v>920</v>
      </c>
      <c r="CS383" t="s">
        <v>135</v>
      </c>
      <c r="CT383" t="s">
        <v>16155</v>
      </c>
      <c r="CU383" t="s">
        <v>17722</v>
      </c>
      <c r="CW383" t="s">
        <v>3874</v>
      </c>
      <c r="CX383" t="s">
        <v>1763</v>
      </c>
      <c r="CZ383" s="3" t="str">
        <f>"70810"</f>
        <v>70810</v>
      </c>
      <c r="DA383" t="s">
        <v>135</v>
      </c>
      <c r="DB383" t="str">
        <f>"37-3011"</f>
        <v>37-3011</v>
      </c>
      <c r="DC383" t="s">
        <v>920</v>
      </c>
      <c r="DD383" t="s">
        <v>134</v>
      </c>
      <c r="DE383" t="s">
        <v>134</v>
      </c>
      <c r="DF383" t="str">
        <f>""</f>
        <v/>
      </c>
      <c r="DH383" s="6">
        <v>14.59</v>
      </c>
      <c r="DI383" t="s">
        <v>344</v>
      </c>
      <c r="DK383" t="s">
        <v>345</v>
      </c>
      <c r="DR383" t="s">
        <v>3877</v>
      </c>
      <c r="DS383" s="6">
        <v>14.59</v>
      </c>
      <c r="DT383" s="2" t="s">
        <v>2219</v>
      </c>
      <c r="DU383" s="1">
        <v>44355</v>
      </c>
      <c r="DV383" s="1">
        <v>44444</v>
      </c>
    </row>
    <row r="384" spans="1:126" ht="15" customHeight="1" x14ac:dyDescent="0.35">
      <c r="A384" t="s">
        <v>16587</v>
      </c>
      <c r="B384" t="s">
        <v>318</v>
      </c>
      <c r="C384" s="1">
        <v>44328</v>
      </c>
      <c r="D384" s="1">
        <v>44355</v>
      </c>
      <c r="H384" t="s">
        <v>319</v>
      </c>
      <c r="I384" t="s">
        <v>5766</v>
      </c>
      <c r="J384" t="s">
        <v>710</v>
      </c>
      <c r="K384" t="s">
        <v>827</v>
      </c>
      <c r="L384" t="s">
        <v>1105</v>
      </c>
      <c r="M384" t="s">
        <v>5767</v>
      </c>
      <c r="O384" t="s">
        <v>5768</v>
      </c>
      <c r="P384" t="s">
        <v>1760</v>
      </c>
      <c r="Q384" s="3">
        <v>70817</v>
      </c>
      <c r="R384" t="s">
        <v>128</v>
      </c>
      <c r="T384" s="4">
        <v>12259377220</v>
      </c>
      <c r="V384" t="s">
        <v>5769</v>
      </c>
      <c r="W384" t="s">
        <v>5770</v>
      </c>
      <c r="Y384" t="s">
        <v>5771</v>
      </c>
      <c r="Z384" t="s">
        <v>5772</v>
      </c>
      <c r="AA384" t="s">
        <v>3874</v>
      </c>
      <c r="AB384" t="s">
        <v>1763</v>
      </c>
      <c r="AC384" s="3" t="str">
        <f>"70809"</f>
        <v>70809</v>
      </c>
      <c r="AD384" t="s">
        <v>128</v>
      </c>
      <c r="AF384" s="4">
        <v>12259377220</v>
      </c>
      <c r="AH384" t="str">
        <f>"56173"</f>
        <v>56173</v>
      </c>
      <c r="AI384" t="s">
        <v>287</v>
      </c>
      <c r="AJ384" t="s">
        <v>2304</v>
      </c>
      <c r="AK384" t="s">
        <v>5773</v>
      </c>
      <c r="AL384" t="s">
        <v>589</v>
      </c>
      <c r="AM384" t="s">
        <v>5774</v>
      </c>
      <c r="AN384" t="s">
        <v>5775</v>
      </c>
      <c r="AO384" t="s">
        <v>5776</v>
      </c>
      <c r="AP384" t="s">
        <v>1763</v>
      </c>
      <c r="AQ384" s="5">
        <v>70754</v>
      </c>
      <c r="AR384" t="s">
        <v>128</v>
      </c>
      <c r="AS384" t="s">
        <v>1763</v>
      </c>
      <c r="AT384" s="4">
        <v>12256863033</v>
      </c>
      <c r="AV384" t="s">
        <v>5777</v>
      </c>
      <c r="AW384" t="s">
        <v>5778</v>
      </c>
      <c r="AX384" t="s">
        <v>131</v>
      </c>
      <c r="AY384" t="s">
        <v>131</v>
      </c>
      <c r="AZ384" t="s">
        <v>131</v>
      </c>
      <c r="BA384" t="s">
        <v>131</v>
      </c>
      <c r="BB384" t="s">
        <v>131</v>
      </c>
      <c r="BC384" t="s">
        <v>131</v>
      </c>
      <c r="BD384" t="s">
        <v>131</v>
      </c>
      <c r="BE384" t="s">
        <v>132</v>
      </c>
      <c r="BH384" t="s">
        <v>2215</v>
      </c>
      <c r="BI384" t="s">
        <v>131</v>
      </c>
      <c r="BL384" t="s">
        <v>167</v>
      </c>
      <c r="BO384" t="s">
        <v>131</v>
      </c>
      <c r="BP384" t="s">
        <v>134</v>
      </c>
      <c r="BQ384" t="s">
        <v>131</v>
      </c>
      <c r="BS384" t="str">
        <f t="shared" si="29"/>
        <v>N/A</v>
      </c>
      <c r="BT384" t="s">
        <v>131</v>
      </c>
      <c r="BV384" t="str">
        <f>""</f>
        <v/>
      </c>
      <c r="BW384" t="s">
        <v>135</v>
      </c>
      <c r="BX384" t="str">
        <f>""</f>
        <v/>
      </c>
      <c r="BY384" t="str">
        <f>""</f>
        <v/>
      </c>
      <c r="BZ384" t="str">
        <f>""</f>
        <v/>
      </c>
      <c r="CA384" s="2" t="s">
        <v>16588</v>
      </c>
      <c r="CB384" t="s">
        <v>131</v>
      </c>
      <c r="CF384" t="s">
        <v>131</v>
      </c>
      <c r="CH384" t="str">
        <f>""</f>
        <v/>
      </c>
      <c r="CI384" t="s">
        <v>131</v>
      </c>
      <c r="CK384" t="s">
        <v>131</v>
      </c>
      <c r="CL384" t="str">
        <f>""</f>
        <v/>
      </c>
      <c r="CM384" t="str">
        <f>""</f>
        <v/>
      </c>
      <c r="CN384" t="str">
        <f>""</f>
        <v/>
      </c>
      <c r="CO384" t="str">
        <f>""</f>
        <v/>
      </c>
      <c r="CP384" t="str">
        <f>"37-3011.00"</f>
        <v>37-3011.00</v>
      </c>
      <c r="CQ384" t="s">
        <v>920</v>
      </c>
      <c r="CS384" t="s">
        <v>135</v>
      </c>
      <c r="CT384" t="s">
        <v>16155</v>
      </c>
      <c r="CU384" t="s">
        <v>5771</v>
      </c>
      <c r="CW384" t="s">
        <v>3874</v>
      </c>
      <c r="CX384" t="s">
        <v>1763</v>
      </c>
      <c r="CZ384" s="3" t="str">
        <f>"70809"</f>
        <v>70809</v>
      </c>
      <c r="DA384" t="s">
        <v>135</v>
      </c>
      <c r="DB384" t="str">
        <f>"37-3011"</f>
        <v>37-3011</v>
      </c>
      <c r="DC384" t="s">
        <v>920</v>
      </c>
      <c r="DD384" t="s">
        <v>134</v>
      </c>
      <c r="DE384" t="s">
        <v>134</v>
      </c>
      <c r="DF384" t="str">
        <f>""</f>
        <v/>
      </c>
      <c r="DH384" s="6">
        <v>14.59</v>
      </c>
      <c r="DI384" t="s">
        <v>344</v>
      </c>
      <c r="DK384" t="s">
        <v>345</v>
      </c>
      <c r="DR384" t="s">
        <v>3877</v>
      </c>
      <c r="DS384" s="6">
        <v>14.59</v>
      </c>
      <c r="DT384" s="2" t="s">
        <v>2219</v>
      </c>
      <c r="DU384" s="1">
        <v>44355</v>
      </c>
      <c r="DV384" s="1">
        <v>44444</v>
      </c>
    </row>
    <row r="385" spans="1:126" ht="15" customHeight="1" x14ac:dyDescent="0.35">
      <c r="A385" t="s">
        <v>9236</v>
      </c>
      <c r="B385" t="s">
        <v>318</v>
      </c>
      <c r="C385" s="1">
        <v>44328</v>
      </c>
      <c r="D385" s="1">
        <v>44356</v>
      </c>
      <c r="H385" t="s">
        <v>319</v>
      </c>
      <c r="I385" t="s">
        <v>7911</v>
      </c>
      <c r="J385" t="s">
        <v>6147</v>
      </c>
      <c r="L385" t="s">
        <v>675</v>
      </c>
      <c r="M385" t="s">
        <v>8968</v>
      </c>
      <c r="N385" t="s">
        <v>9237</v>
      </c>
      <c r="O385" t="s">
        <v>8970</v>
      </c>
      <c r="P385" t="s">
        <v>194</v>
      </c>
      <c r="Q385" s="3">
        <v>33921</v>
      </c>
      <c r="R385" t="s">
        <v>128</v>
      </c>
      <c r="S385" t="s">
        <v>134</v>
      </c>
      <c r="T385" s="4">
        <v>19419644572</v>
      </c>
      <c r="V385" t="s">
        <v>8971</v>
      </c>
      <c r="W385" t="s">
        <v>8972</v>
      </c>
      <c r="X385" t="s">
        <v>8973</v>
      </c>
      <c r="Y385" t="s">
        <v>8968</v>
      </c>
      <c r="Z385" t="s">
        <v>134</v>
      </c>
      <c r="AA385" t="s">
        <v>8970</v>
      </c>
      <c r="AB385" t="s">
        <v>195</v>
      </c>
      <c r="AC385" s="3" t="str">
        <f>"33921"</f>
        <v>33921</v>
      </c>
      <c r="AD385" t="s">
        <v>128</v>
      </c>
      <c r="AE385" t="s">
        <v>134</v>
      </c>
      <c r="AF385" s="4">
        <v>19419644572</v>
      </c>
      <c r="AH385" t="str">
        <f>"721110"</f>
        <v>721110</v>
      </c>
      <c r="AI385" t="s">
        <v>130</v>
      </c>
      <c r="AJ385" t="s">
        <v>1386</v>
      </c>
      <c r="AK385" t="s">
        <v>1387</v>
      </c>
      <c r="AL385" t="s">
        <v>1036</v>
      </c>
      <c r="AM385" t="s">
        <v>1388</v>
      </c>
      <c r="AN385" t="s">
        <v>997</v>
      </c>
      <c r="AO385" t="s">
        <v>719</v>
      </c>
      <c r="AP385" t="s">
        <v>377</v>
      </c>
      <c r="AQ385" s="5">
        <v>1701</v>
      </c>
      <c r="AR385" t="s">
        <v>128</v>
      </c>
      <c r="AS385" t="s">
        <v>134</v>
      </c>
      <c r="AT385" s="4">
        <v>16179399444</v>
      </c>
      <c r="AV385" t="s">
        <v>1389</v>
      </c>
      <c r="AW385" t="s">
        <v>1390</v>
      </c>
      <c r="AX385" t="s">
        <v>131</v>
      </c>
      <c r="AY385" t="s">
        <v>131</v>
      </c>
      <c r="AZ385" t="s">
        <v>131</v>
      </c>
      <c r="BA385" t="s">
        <v>131</v>
      </c>
      <c r="BB385" t="s">
        <v>131</v>
      </c>
      <c r="BC385" t="s">
        <v>131</v>
      </c>
      <c r="BD385" t="s">
        <v>131</v>
      </c>
      <c r="BE385" t="s">
        <v>132</v>
      </c>
      <c r="BH385" t="s">
        <v>9238</v>
      </c>
      <c r="BI385" t="s">
        <v>131</v>
      </c>
      <c r="BL385" t="s">
        <v>167</v>
      </c>
      <c r="BO385" t="s">
        <v>131</v>
      </c>
      <c r="BP385" t="s">
        <v>134</v>
      </c>
      <c r="BQ385" t="s">
        <v>131</v>
      </c>
      <c r="BS385" t="str">
        <f t="shared" si="29"/>
        <v>N/A</v>
      </c>
      <c r="BT385" t="s">
        <v>135</v>
      </c>
      <c r="BU385">
        <v>3</v>
      </c>
      <c r="BV385" t="str">
        <f>"Beach Attendant"</f>
        <v>Beach Attendant</v>
      </c>
      <c r="BW385" t="s">
        <v>135</v>
      </c>
      <c r="BX385" t="str">
        <f>""</f>
        <v/>
      </c>
      <c r="BY385" t="str">
        <f>""</f>
        <v/>
      </c>
      <c r="BZ385" t="str">
        <f>""</f>
        <v/>
      </c>
      <c r="CA385" t="s">
        <v>8974</v>
      </c>
      <c r="CB385" t="s">
        <v>131</v>
      </c>
      <c r="CF385" t="s">
        <v>131</v>
      </c>
      <c r="CH385" t="str">
        <f>""</f>
        <v/>
      </c>
      <c r="CI385" t="s">
        <v>131</v>
      </c>
      <c r="CK385" t="s">
        <v>131</v>
      </c>
      <c r="CL385" t="str">
        <f>""</f>
        <v/>
      </c>
      <c r="CM385" t="str">
        <f>""</f>
        <v/>
      </c>
      <c r="CN385" t="str">
        <f>""</f>
        <v/>
      </c>
      <c r="CO385" t="str">
        <f>""</f>
        <v/>
      </c>
      <c r="CP385" t="str">
        <f>"39-9032.00"</f>
        <v>39-9032.00</v>
      </c>
      <c r="CQ385" t="s">
        <v>9239</v>
      </c>
      <c r="CR385" t="s">
        <v>9240</v>
      </c>
      <c r="CS385" t="s">
        <v>131</v>
      </c>
      <c r="CU385" t="s">
        <v>8968</v>
      </c>
      <c r="CV385" t="s">
        <v>134</v>
      </c>
      <c r="CW385" t="s">
        <v>8970</v>
      </c>
      <c r="CX385" t="s">
        <v>195</v>
      </c>
      <c r="CZ385" s="3" t="str">
        <f>"33921"</f>
        <v>33921</v>
      </c>
      <c r="DA385" t="s">
        <v>131</v>
      </c>
      <c r="DB385" t="str">
        <f>"39-9032"</f>
        <v>39-9032</v>
      </c>
      <c r="DC385" t="s">
        <v>9239</v>
      </c>
      <c r="DD385" t="s">
        <v>134</v>
      </c>
      <c r="DE385" t="s">
        <v>134</v>
      </c>
      <c r="DF385" t="str">
        <f>"35-3041.00"</f>
        <v>35-3041.00</v>
      </c>
      <c r="DG385" t="s">
        <v>9241</v>
      </c>
      <c r="DH385" s="6">
        <v>15.08</v>
      </c>
      <c r="DI385" t="s">
        <v>344</v>
      </c>
      <c r="DK385" t="s">
        <v>345</v>
      </c>
      <c r="DS385" s="6">
        <v>15.08</v>
      </c>
      <c r="DT385" t="s">
        <v>424</v>
      </c>
      <c r="DU385" s="1">
        <v>44356</v>
      </c>
      <c r="DV385" s="1">
        <v>44445</v>
      </c>
    </row>
    <row r="386" spans="1:126" ht="15" customHeight="1" x14ac:dyDescent="0.35">
      <c r="A386" t="s">
        <v>10482</v>
      </c>
      <c r="B386" t="s">
        <v>318</v>
      </c>
      <c r="C386" s="1">
        <v>44328</v>
      </c>
      <c r="D386" s="1">
        <v>44355</v>
      </c>
      <c r="H386" t="s">
        <v>319</v>
      </c>
      <c r="I386" t="s">
        <v>8609</v>
      </c>
      <c r="J386" t="s">
        <v>10483</v>
      </c>
      <c r="K386" t="s">
        <v>134</v>
      </c>
      <c r="L386" t="s">
        <v>303</v>
      </c>
      <c r="M386" t="s">
        <v>10484</v>
      </c>
      <c r="N386" t="s">
        <v>134</v>
      </c>
      <c r="O386" t="s">
        <v>669</v>
      </c>
      <c r="P386" t="s">
        <v>539</v>
      </c>
      <c r="Q386" s="3">
        <v>60076</v>
      </c>
      <c r="R386" t="s">
        <v>128</v>
      </c>
      <c r="S386" t="s">
        <v>134</v>
      </c>
      <c r="T386" s="4">
        <v>18476738189</v>
      </c>
      <c r="V386" t="s">
        <v>10485</v>
      </c>
      <c r="W386" t="s">
        <v>10486</v>
      </c>
      <c r="Y386" t="s">
        <v>10484</v>
      </c>
      <c r="Z386" t="s">
        <v>134</v>
      </c>
      <c r="AA386" t="s">
        <v>669</v>
      </c>
      <c r="AB386" t="s">
        <v>263</v>
      </c>
      <c r="AC386" s="3" t="str">
        <f>"60076"</f>
        <v>60076</v>
      </c>
      <c r="AD386" t="s">
        <v>128</v>
      </c>
      <c r="AE386" t="s">
        <v>134</v>
      </c>
      <c r="AF386" s="4">
        <v>18476738189</v>
      </c>
      <c r="AH386" t="str">
        <f>"484210"</f>
        <v>484210</v>
      </c>
      <c r="AI386" t="s">
        <v>287</v>
      </c>
      <c r="AJ386" t="s">
        <v>3150</v>
      </c>
      <c r="AK386" t="s">
        <v>934</v>
      </c>
      <c r="AL386" t="s">
        <v>474</v>
      </c>
      <c r="AM386" t="s">
        <v>3151</v>
      </c>
      <c r="AN386" t="s">
        <v>134</v>
      </c>
      <c r="AO386" t="s">
        <v>3152</v>
      </c>
      <c r="AP386" t="s">
        <v>400</v>
      </c>
      <c r="AQ386" s="5">
        <v>77414</v>
      </c>
      <c r="AR386" t="s">
        <v>128</v>
      </c>
      <c r="AT386" s="4">
        <v>19792457577</v>
      </c>
      <c r="AU386">
        <v>105</v>
      </c>
      <c r="AV386" t="s">
        <v>3153</v>
      </c>
      <c r="AW386" t="s">
        <v>3154</v>
      </c>
      <c r="AX386" t="s">
        <v>131</v>
      </c>
      <c r="AY386" t="s">
        <v>131</v>
      </c>
      <c r="AZ386" t="s">
        <v>131</v>
      </c>
      <c r="BA386" t="s">
        <v>131</v>
      </c>
      <c r="BB386" t="s">
        <v>131</v>
      </c>
      <c r="BC386" t="s">
        <v>131</v>
      </c>
      <c r="BD386" t="s">
        <v>131</v>
      </c>
      <c r="BE386" t="s">
        <v>132</v>
      </c>
      <c r="BH386" t="s">
        <v>10487</v>
      </c>
      <c r="BI386" t="s">
        <v>131</v>
      </c>
      <c r="BL386" t="s">
        <v>167</v>
      </c>
      <c r="BO386" t="s">
        <v>131</v>
      </c>
      <c r="BP386" t="s">
        <v>134</v>
      </c>
      <c r="BQ386" t="s">
        <v>131</v>
      </c>
      <c r="BS386" t="str">
        <f t="shared" ref="BS386:BS449" si="30">"N/A"</f>
        <v>N/A</v>
      </c>
      <c r="BT386" t="s">
        <v>131</v>
      </c>
      <c r="BV386" t="str">
        <f>""</f>
        <v/>
      </c>
      <c r="BW386" t="s">
        <v>135</v>
      </c>
      <c r="BX386" t="str">
        <f>""</f>
        <v/>
      </c>
      <c r="BY386" t="str">
        <f>""</f>
        <v/>
      </c>
      <c r="BZ386" t="str">
        <f>""</f>
        <v/>
      </c>
      <c r="CA386" t="str">
        <f>"Mon-Sat, 48 hrs/wk, optional Sundays. Schedule varies. Additional overtime varies. Able to lift 50lbs."</f>
        <v>Mon-Sat, 48 hrs/wk, optional Sundays. Schedule varies. Additional overtime varies. Able to lift 50lbs.</v>
      </c>
      <c r="CB386" t="s">
        <v>131</v>
      </c>
      <c r="CF386" t="s">
        <v>131</v>
      </c>
      <c r="CH386" t="str">
        <f>""</f>
        <v/>
      </c>
      <c r="CI386" t="s">
        <v>131</v>
      </c>
      <c r="CK386" t="s">
        <v>131</v>
      </c>
      <c r="CL386" t="str">
        <f>""</f>
        <v/>
      </c>
      <c r="CM386" t="str">
        <f>""</f>
        <v/>
      </c>
      <c r="CN386" t="str">
        <f>""</f>
        <v/>
      </c>
      <c r="CO386" t="str">
        <f>""</f>
        <v/>
      </c>
      <c r="CP386" t="str">
        <f>"53-7062.00"</f>
        <v>53-7062.00</v>
      </c>
      <c r="CQ386" t="s">
        <v>1030</v>
      </c>
      <c r="CS386" t="s">
        <v>135</v>
      </c>
      <c r="CT386" t="s">
        <v>5308</v>
      </c>
      <c r="CU386" t="s">
        <v>10488</v>
      </c>
      <c r="CV386" t="s">
        <v>134</v>
      </c>
      <c r="CW386" t="s">
        <v>669</v>
      </c>
      <c r="CX386" t="s">
        <v>263</v>
      </c>
      <c r="CZ386" s="3" t="str">
        <f>"60076"</f>
        <v>60076</v>
      </c>
      <c r="DA386" t="s">
        <v>135</v>
      </c>
      <c r="DB386" t="str">
        <f>"53-7062"</f>
        <v>53-7062</v>
      </c>
      <c r="DC386" t="s">
        <v>1030</v>
      </c>
      <c r="DD386" t="s">
        <v>134</v>
      </c>
      <c r="DE386" t="s">
        <v>134</v>
      </c>
      <c r="DF386" t="str">
        <f>""</f>
        <v/>
      </c>
      <c r="DH386" s="6">
        <v>15.27</v>
      </c>
      <c r="DI386" t="s">
        <v>344</v>
      </c>
      <c r="DK386" t="s">
        <v>345</v>
      </c>
      <c r="DR386" t="s">
        <v>8471</v>
      </c>
      <c r="DS386" s="6">
        <v>15.27</v>
      </c>
      <c r="DT386" s="2" t="s">
        <v>2219</v>
      </c>
      <c r="DU386" s="1">
        <v>44355</v>
      </c>
      <c r="DV386" s="1">
        <v>44444</v>
      </c>
    </row>
    <row r="387" spans="1:126" ht="15" customHeight="1" x14ac:dyDescent="0.35">
      <c r="A387" t="s">
        <v>10769</v>
      </c>
      <c r="B387" t="s">
        <v>318</v>
      </c>
      <c r="C387" s="1">
        <v>44328</v>
      </c>
      <c r="D387" s="1">
        <v>44356</v>
      </c>
      <c r="H387" t="s">
        <v>319</v>
      </c>
      <c r="I387" t="s">
        <v>10770</v>
      </c>
      <c r="J387" t="s">
        <v>10771</v>
      </c>
      <c r="L387" t="s">
        <v>1031</v>
      </c>
      <c r="M387" t="s">
        <v>10772</v>
      </c>
      <c r="O387" t="s">
        <v>10773</v>
      </c>
      <c r="P387" t="s">
        <v>1675</v>
      </c>
      <c r="Q387" s="3">
        <v>68701</v>
      </c>
      <c r="R387" t="s">
        <v>128</v>
      </c>
      <c r="T387" s="4">
        <v>14023164272</v>
      </c>
      <c r="V387" t="s">
        <v>10774</v>
      </c>
      <c r="W387" t="s">
        <v>10775</v>
      </c>
      <c r="Y387" t="s">
        <v>10772</v>
      </c>
      <c r="AA387" t="s">
        <v>10773</v>
      </c>
      <c r="AB387" t="s">
        <v>1176</v>
      </c>
      <c r="AC387" s="3" t="str">
        <f>"68701"</f>
        <v>68701</v>
      </c>
      <c r="AD387" t="s">
        <v>128</v>
      </c>
      <c r="AF387" s="4">
        <v>14023164272</v>
      </c>
      <c r="AH387" t="str">
        <f>"56173"</f>
        <v>56173</v>
      </c>
      <c r="AI387" t="s">
        <v>130</v>
      </c>
      <c r="AJ387" t="s">
        <v>3252</v>
      </c>
      <c r="AK387" t="s">
        <v>3253</v>
      </c>
      <c r="AL387" t="s">
        <v>589</v>
      </c>
      <c r="AM387" t="s">
        <v>3254</v>
      </c>
      <c r="AO387" t="s">
        <v>3255</v>
      </c>
      <c r="AP387" t="s">
        <v>779</v>
      </c>
      <c r="AQ387" s="5">
        <v>37110</v>
      </c>
      <c r="AR387" t="s">
        <v>128</v>
      </c>
      <c r="AT387" s="4">
        <v>19312747811</v>
      </c>
      <c r="AV387" t="s">
        <v>3256</v>
      </c>
      <c r="AW387" t="s">
        <v>3257</v>
      </c>
      <c r="AX387" t="s">
        <v>131</v>
      </c>
      <c r="AY387" t="s">
        <v>131</v>
      </c>
      <c r="AZ387" t="s">
        <v>131</v>
      </c>
      <c r="BA387" t="s">
        <v>131</v>
      </c>
      <c r="BB387" t="s">
        <v>131</v>
      </c>
      <c r="BC387" t="s">
        <v>131</v>
      </c>
      <c r="BD387" t="s">
        <v>131</v>
      </c>
      <c r="BE387" t="s">
        <v>132</v>
      </c>
      <c r="BH387" t="s">
        <v>6545</v>
      </c>
      <c r="BI387" t="s">
        <v>131</v>
      </c>
      <c r="BL387" t="s">
        <v>167</v>
      </c>
      <c r="BO387" t="s">
        <v>131</v>
      </c>
      <c r="BP387" t="s">
        <v>134</v>
      </c>
      <c r="BQ387" t="s">
        <v>131</v>
      </c>
      <c r="BS387" t="str">
        <f t="shared" si="30"/>
        <v>N/A</v>
      </c>
      <c r="BT387" t="s">
        <v>135</v>
      </c>
      <c r="BU387">
        <v>3</v>
      </c>
      <c r="BV387" t="str">
        <f>"LANDSCAPING"</f>
        <v>LANDSCAPING</v>
      </c>
      <c r="BW387" t="s">
        <v>135</v>
      </c>
      <c r="BX387" t="str">
        <f>""</f>
        <v/>
      </c>
      <c r="BY387" t="str">
        <f>""</f>
        <v/>
      </c>
      <c r="BZ387" t="str">
        <f>""</f>
        <v/>
      </c>
      <c r="CA387" t="str">
        <f>"MUST BE ABLE TO LIFT 75 LBS"</f>
        <v>MUST BE ABLE TO LIFT 75 LBS</v>
      </c>
      <c r="CB387" t="s">
        <v>131</v>
      </c>
      <c r="CF387" t="s">
        <v>131</v>
      </c>
      <c r="CH387" t="str">
        <f>""</f>
        <v/>
      </c>
      <c r="CI387" t="s">
        <v>131</v>
      </c>
      <c r="CK387" t="s">
        <v>131</v>
      </c>
      <c r="CL387" t="str">
        <f>""</f>
        <v/>
      </c>
      <c r="CM387" t="str">
        <f>""</f>
        <v/>
      </c>
      <c r="CN387" t="str">
        <f>""</f>
        <v/>
      </c>
      <c r="CO387" t="str">
        <f>""</f>
        <v/>
      </c>
      <c r="CP387" t="str">
        <f>"37-3011.00"</f>
        <v>37-3011.00</v>
      </c>
      <c r="CQ387" t="s">
        <v>920</v>
      </c>
      <c r="CS387" t="s">
        <v>131</v>
      </c>
      <c r="CU387" t="s">
        <v>10776</v>
      </c>
      <c r="CW387" t="s">
        <v>10773</v>
      </c>
      <c r="CX387" t="s">
        <v>1176</v>
      </c>
      <c r="CZ387" s="3" t="str">
        <f>"68701"</f>
        <v>68701</v>
      </c>
      <c r="DA387" t="s">
        <v>135</v>
      </c>
      <c r="DB387" t="str">
        <f>"37-3011"</f>
        <v>37-3011</v>
      </c>
      <c r="DC387" t="s">
        <v>920</v>
      </c>
      <c r="DD387" t="s">
        <v>134</v>
      </c>
      <c r="DE387" t="s">
        <v>134</v>
      </c>
      <c r="DF387" t="str">
        <f>""</f>
        <v/>
      </c>
      <c r="DH387" s="6">
        <v>13.72</v>
      </c>
      <c r="DI387" t="s">
        <v>344</v>
      </c>
      <c r="DK387" t="s">
        <v>345</v>
      </c>
      <c r="DR387" t="s">
        <v>10777</v>
      </c>
      <c r="DS387" s="6">
        <v>13.72</v>
      </c>
      <c r="DT387" t="s">
        <v>424</v>
      </c>
      <c r="DU387" s="1">
        <v>44356</v>
      </c>
      <c r="DV387" s="1">
        <v>44445</v>
      </c>
    </row>
    <row r="388" spans="1:126" ht="15" customHeight="1" x14ac:dyDescent="0.35">
      <c r="A388" t="s">
        <v>17995</v>
      </c>
      <c r="B388" t="s">
        <v>318</v>
      </c>
      <c r="C388" s="1">
        <v>44328</v>
      </c>
      <c r="D388" s="1">
        <v>44355</v>
      </c>
      <c r="H388" t="s">
        <v>319</v>
      </c>
      <c r="I388" t="s">
        <v>7911</v>
      </c>
      <c r="J388" t="s">
        <v>6147</v>
      </c>
      <c r="L388" t="s">
        <v>675</v>
      </c>
      <c r="M388" t="s">
        <v>8968</v>
      </c>
      <c r="N388" t="s">
        <v>8969</v>
      </c>
      <c r="O388" t="s">
        <v>10722</v>
      </c>
      <c r="P388" t="s">
        <v>194</v>
      </c>
      <c r="Q388" s="3">
        <v>33921</v>
      </c>
      <c r="R388" t="s">
        <v>128</v>
      </c>
      <c r="S388" t="s">
        <v>134</v>
      </c>
      <c r="T388" s="4">
        <v>19419644572</v>
      </c>
      <c r="V388" t="s">
        <v>8971</v>
      </c>
      <c r="W388" t="s">
        <v>8972</v>
      </c>
      <c r="X388" t="s">
        <v>8973</v>
      </c>
      <c r="Y388" t="s">
        <v>8968</v>
      </c>
      <c r="Z388" t="s">
        <v>134</v>
      </c>
      <c r="AA388" t="s">
        <v>8970</v>
      </c>
      <c r="AB388" t="s">
        <v>195</v>
      </c>
      <c r="AC388" s="3" t="str">
        <f>"33921"</f>
        <v>33921</v>
      </c>
      <c r="AD388" t="s">
        <v>128</v>
      </c>
      <c r="AE388" t="s">
        <v>134</v>
      </c>
      <c r="AF388" s="4">
        <v>19419644572</v>
      </c>
      <c r="AH388" t="str">
        <f>"721110"</f>
        <v>721110</v>
      </c>
      <c r="AI388" t="s">
        <v>130</v>
      </c>
      <c r="AJ388" t="s">
        <v>1386</v>
      </c>
      <c r="AK388" t="s">
        <v>1387</v>
      </c>
      <c r="AL388" t="s">
        <v>1036</v>
      </c>
      <c r="AM388" t="s">
        <v>1388</v>
      </c>
      <c r="AN388" t="s">
        <v>997</v>
      </c>
      <c r="AO388" t="s">
        <v>719</v>
      </c>
      <c r="AP388" t="s">
        <v>377</v>
      </c>
      <c r="AQ388" s="5">
        <v>1701</v>
      </c>
      <c r="AR388" t="s">
        <v>128</v>
      </c>
      <c r="AS388" t="s">
        <v>134</v>
      </c>
      <c r="AT388" s="4">
        <v>16179399444</v>
      </c>
      <c r="AV388" t="s">
        <v>1389</v>
      </c>
      <c r="AW388" t="s">
        <v>1390</v>
      </c>
      <c r="AX388" t="s">
        <v>131</v>
      </c>
      <c r="AY388" t="s">
        <v>131</v>
      </c>
      <c r="AZ388" t="s">
        <v>131</v>
      </c>
      <c r="BA388" t="s">
        <v>131</v>
      </c>
      <c r="BB388" t="s">
        <v>131</v>
      </c>
      <c r="BC388" t="s">
        <v>131</v>
      </c>
      <c r="BD388" t="s">
        <v>131</v>
      </c>
      <c r="BE388" t="s">
        <v>132</v>
      </c>
      <c r="BH388" t="s">
        <v>17996</v>
      </c>
      <c r="BI388" t="s">
        <v>131</v>
      </c>
      <c r="BL388" t="s">
        <v>167</v>
      </c>
      <c r="BO388" t="s">
        <v>131</v>
      </c>
      <c r="BP388" t="s">
        <v>134</v>
      </c>
      <c r="BQ388" t="s">
        <v>131</v>
      </c>
      <c r="BS388" t="str">
        <f t="shared" si="30"/>
        <v>N/A</v>
      </c>
      <c r="BT388" t="s">
        <v>135</v>
      </c>
      <c r="BU388">
        <v>3</v>
      </c>
      <c r="BV388" t="str">
        <f>"Front Desk Attendant "</f>
        <v xml:space="preserve">Front Desk Attendant </v>
      </c>
      <c r="BW388" t="s">
        <v>135</v>
      </c>
      <c r="BX388" t="str">
        <f>""</f>
        <v/>
      </c>
      <c r="BY388" t="str">
        <f>""</f>
        <v/>
      </c>
      <c r="BZ388" t="str">
        <f>""</f>
        <v/>
      </c>
      <c r="CA388" t="s">
        <v>17997</v>
      </c>
      <c r="CB388" t="s">
        <v>131</v>
      </c>
      <c r="CF388" t="s">
        <v>131</v>
      </c>
      <c r="CH388" t="str">
        <f>""</f>
        <v/>
      </c>
      <c r="CI388" t="s">
        <v>131</v>
      </c>
      <c r="CK388" t="s">
        <v>131</v>
      </c>
      <c r="CL388" t="str">
        <f>""</f>
        <v/>
      </c>
      <c r="CM388" t="str">
        <f>""</f>
        <v/>
      </c>
      <c r="CN388" t="str">
        <f>""</f>
        <v/>
      </c>
      <c r="CO388" t="str">
        <f>""</f>
        <v/>
      </c>
      <c r="CP388" t="str">
        <f>"43-4081.00"</f>
        <v>43-4081.00</v>
      </c>
      <c r="CQ388" t="s">
        <v>4499</v>
      </c>
      <c r="CR388" t="s">
        <v>12900</v>
      </c>
      <c r="CS388" t="s">
        <v>131</v>
      </c>
      <c r="CU388" t="s">
        <v>8968</v>
      </c>
      <c r="CV388" t="s">
        <v>134</v>
      </c>
      <c r="CW388" t="s">
        <v>8970</v>
      </c>
      <c r="CX388" t="s">
        <v>195</v>
      </c>
      <c r="CZ388" s="3" t="str">
        <f>"33921"</f>
        <v>33921</v>
      </c>
      <c r="DA388" t="s">
        <v>131</v>
      </c>
      <c r="DB388" t="str">
        <f>"43-4081"</f>
        <v>43-4081</v>
      </c>
      <c r="DC388" t="s">
        <v>4499</v>
      </c>
      <c r="DD388" t="s">
        <v>134</v>
      </c>
      <c r="DE388" t="s">
        <v>134</v>
      </c>
      <c r="DF388" t="str">
        <f>""</f>
        <v/>
      </c>
      <c r="DH388" s="6">
        <v>12.98</v>
      </c>
      <c r="DI388" t="s">
        <v>344</v>
      </c>
      <c r="DK388" t="s">
        <v>345</v>
      </c>
      <c r="DS388" s="6">
        <v>12.98</v>
      </c>
      <c r="DT388" t="s">
        <v>424</v>
      </c>
      <c r="DU388" s="1">
        <v>44355</v>
      </c>
      <c r="DV388" s="1">
        <v>44444</v>
      </c>
    </row>
    <row r="389" spans="1:126" ht="15" customHeight="1" x14ac:dyDescent="0.35">
      <c r="A389" t="s">
        <v>16438</v>
      </c>
      <c r="B389" t="s">
        <v>318</v>
      </c>
      <c r="C389" s="1">
        <v>44328</v>
      </c>
      <c r="D389" s="1">
        <v>44355</v>
      </c>
      <c r="H389" t="s">
        <v>319</v>
      </c>
      <c r="I389" t="s">
        <v>7911</v>
      </c>
      <c r="J389" t="s">
        <v>6147</v>
      </c>
      <c r="L389" t="s">
        <v>675</v>
      </c>
      <c r="M389" t="s">
        <v>8968</v>
      </c>
      <c r="N389" t="s">
        <v>8969</v>
      </c>
      <c r="O389" t="s">
        <v>8970</v>
      </c>
      <c r="P389" t="s">
        <v>194</v>
      </c>
      <c r="Q389" s="3">
        <v>33921</v>
      </c>
      <c r="R389" t="s">
        <v>128</v>
      </c>
      <c r="S389" t="s">
        <v>134</v>
      </c>
      <c r="T389" s="4">
        <v>19419644572</v>
      </c>
      <c r="V389" t="s">
        <v>8971</v>
      </c>
      <c r="W389" t="s">
        <v>8972</v>
      </c>
      <c r="X389" t="s">
        <v>8973</v>
      </c>
      <c r="Y389" t="s">
        <v>8968</v>
      </c>
      <c r="Z389" t="s">
        <v>134</v>
      </c>
      <c r="AA389" t="s">
        <v>8970</v>
      </c>
      <c r="AB389" t="s">
        <v>195</v>
      </c>
      <c r="AC389" s="3" t="str">
        <f>"33921"</f>
        <v>33921</v>
      </c>
      <c r="AD389" t="s">
        <v>128</v>
      </c>
      <c r="AE389" t="s">
        <v>134</v>
      </c>
      <c r="AF389" s="4">
        <v>19419644572</v>
      </c>
      <c r="AH389" t="str">
        <f>"721110"</f>
        <v>721110</v>
      </c>
      <c r="AI389" t="s">
        <v>130</v>
      </c>
      <c r="AJ389" t="s">
        <v>1386</v>
      </c>
      <c r="AK389" t="s">
        <v>1387</v>
      </c>
      <c r="AL389" t="s">
        <v>1036</v>
      </c>
      <c r="AM389" t="s">
        <v>1388</v>
      </c>
      <c r="AN389" t="s">
        <v>997</v>
      </c>
      <c r="AO389" t="s">
        <v>719</v>
      </c>
      <c r="AP389" t="s">
        <v>377</v>
      </c>
      <c r="AQ389" s="5">
        <v>1701</v>
      </c>
      <c r="AR389" t="s">
        <v>128</v>
      </c>
      <c r="AS389" t="s">
        <v>134</v>
      </c>
      <c r="AT389" s="4">
        <v>16179399444</v>
      </c>
      <c r="AV389" t="s">
        <v>1389</v>
      </c>
      <c r="AW389" t="s">
        <v>1390</v>
      </c>
      <c r="AX389" t="s">
        <v>131</v>
      </c>
      <c r="AY389" t="s">
        <v>131</v>
      </c>
      <c r="AZ389" t="s">
        <v>131</v>
      </c>
      <c r="BA389" t="s">
        <v>131</v>
      </c>
      <c r="BB389" t="s">
        <v>131</v>
      </c>
      <c r="BC389" t="s">
        <v>131</v>
      </c>
      <c r="BD389" t="s">
        <v>131</v>
      </c>
      <c r="BE389" t="s">
        <v>132</v>
      </c>
      <c r="BH389" t="s">
        <v>7224</v>
      </c>
      <c r="BI389" t="s">
        <v>131</v>
      </c>
      <c r="BL389" t="s">
        <v>167</v>
      </c>
      <c r="BO389" t="s">
        <v>131</v>
      </c>
      <c r="BP389" t="s">
        <v>134</v>
      </c>
      <c r="BQ389" t="s">
        <v>131</v>
      </c>
      <c r="BS389" t="str">
        <f t="shared" si="30"/>
        <v>N/A</v>
      </c>
      <c r="BT389" t="s">
        <v>135</v>
      </c>
      <c r="BU389">
        <v>3</v>
      </c>
      <c r="BV389" t="str">
        <f>"Waiter/Waitress"</f>
        <v>Waiter/Waitress</v>
      </c>
      <c r="BW389" t="s">
        <v>135</v>
      </c>
      <c r="BX389" t="str">
        <f>""</f>
        <v/>
      </c>
      <c r="BY389" t="str">
        <f>""</f>
        <v/>
      </c>
      <c r="BZ389" t="str">
        <f>""</f>
        <v/>
      </c>
      <c r="CA389" t="s">
        <v>2458</v>
      </c>
      <c r="CB389" t="s">
        <v>131</v>
      </c>
      <c r="CF389" t="s">
        <v>131</v>
      </c>
      <c r="CH389" t="str">
        <f>""</f>
        <v/>
      </c>
      <c r="CI389" t="s">
        <v>131</v>
      </c>
      <c r="CK389" t="s">
        <v>131</v>
      </c>
      <c r="CL389" t="str">
        <f>""</f>
        <v/>
      </c>
      <c r="CM389" t="str">
        <f>""</f>
        <v/>
      </c>
      <c r="CN389" t="str">
        <f>""</f>
        <v/>
      </c>
      <c r="CO389" t="str">
        <f>""</f>
        <v/>
      </c>
      <c r="CP389" t="str">
        <f>"35-3031.00"</f>
        <v>35-3031.00</v>
      </c>
      <c r="CQ389" t="s">
        <v>1214</v>
      </c>
      <c r="CR389" t="s">
        <v>16439</v>
      </c>
      <c r="CS389" t="s">
        <v>131</v>
      </c>
      <c r="CU389" t="s">
        <v>8968</v>
      </c>
      <c r="CV389" t="s">
        <v>134</v>
      </c>
      <c r="CW389" t="s">
        <v>8970</v>
      </c>
      <c r="CX389" t="s">
        <v>195</v>
      </c>
      <c r="CZ389" s="3" t="str">
        <f>"33921"</f>
        <v>33921</v>
      </c>
      <c r="DA389" t="s">
        <v>131</v>
      </c>
      <c r="DB389" t="str">
        <f>"35-3031"</f>
        <v>35-3031</v>
      </c>
      <c r="DC389" t="s">
        <v>1214</v>
      </c>
      <c r="DD389" t="s">
        <v>134</v>
      </c>
      <c r="DE389" t="s">
        <v>134</v>
      </c>
      <c r="DF389" t="str">
        <f>""</f>
        <v/>
      </c>
      <c r="DH389" s="6">
        <v>11.29</v>
      </c>
      <c r="DI389" t="s">
        <v>344</v>
      </c>
      <c r="DK389" t="s">
        <v>345</v>
      </c>
      <c r="DS389" s="6">
        <v>11.29</v>
      </c>
      <c r="DT389" t="s">
        <v>424</v>
      </c>
      <c r="DU389" s="1">
        <v>44355</v>
      </c>
      <c r="DV389" s="1">
        <v>44444</v>
      </c>
    </row>
    <row r="390" spans="1:126" ht="15" customHeight="1" x14ac:dyDescent="0.35">
      <c r="A390" t="s">
        <v>17594</v>
      </c>
      <c r="B390" t="s">
        <v>318</v>
      </c>
      <c r="C390" s="1">
        <v>44328</v>
      </c>
      <c r="D390" s="1">
        <v>44355</v>
      </c>
      <c r="H390" t="s">
        <v>319</v>
      </c>
      <c r="I390" t="s">
        <v>7911</v>
      </c>
      <c r="J390" t="s">
        <v>6147</v>
      </c>
      <c r="L390" t="s">
        <v>675</v>
      </c>
      <c r="M390" t="s">
        <v>8968</v>
      </c>
      <c r="N390" t="s">
        <v>8969</v>
      </c>
      <c r="O390" t="s">
        <v>8970</v>
      </c>
      <c r="P390" t="s">
        <v>194</v>
      </c>
      <c r="Q390" s="3">
        <v>33921</v>
      </c>
      <c r="R390" t="s">
        <v>128</v>
      </c>
      <c r="S390" t="s">
        <v>134</v>
      </c>
      <c r="T390" s="4">
        <v>19419644572</v>
      </c>
      <c r="V390" t="s">
        <v>8971</v>
      </c>
      <c r="W390" t="s">
        <v>8972</v>
      </c>
      <c r="X390" t="s">
        <v>8973</v>
      </c>
      <c r="Y390" t="s">
        <v>8968</v>
      </c>
      <c r="Z390" t="s">
        <v>134</v>
      </c>
      <c r="AA390" t="s">
        <v>8970</v>
      </c>
      <c r="AB390" t="s">
        <v>195</v>
      </c>
      <c r="AC390" s="3" t="str">
        <f>"33921"</f>
        <v>33921</v>
      </c>
      <c r="AD390" t="s">
        <v>128</v>
      </c>
      <c r="AE390" t="s">
        <v>134</v>
      </c>
      <c r="AF390" s="4">
        <v>19419644572</v>
      </c>
      <c r="AH390" t="str">
        <f>"721110"</f>
        <v>721110</v>
      </c>
      <c r="AI390" t="s">
        <v>130</v>
      </c>
      <c r="AJ390" t="s">
        <v>1386</v>
      </c>
      <c r="AK390" t="s">
        <v>1387</v>
      </c>
      <c r="AL390" t="s">
        <v>1036</v>
      </c>
      <c r="AM390" t="s">
        <v>1388</v>
      </c>
      <c r="AN390" t="s">
        <v>997</v>
      </c>
      <c r="AO390" t="s">
        <v>719</v>
      </c>
      <c r="AP390" t="s">
        <v>377</v>
      </c>
      <c r="AQ390" s="5">
        <v>1701</v>
      </c>
      <c r="AR390" t="s">
        <v>128</v>
      </c>
      <c r="AS390" t="s">
        <v>134</v>
      </c>
      <c r="AT390" s="4">
        <v>16179399444</v>
      </c>
      <c r="AV390" t="s">
        <v>1389</v>
      </c>
      <c r="AW390" t="s">
        <v>1390</v>
      </c>
      <c r="AX390" t="s">
        <v>131</v>
      </c>
      <c r="AY390" t="s">
        <v>131</v>
      </c>
      <c r="AZ390" t="s">
        <v>131</v>
      </c>
      <c r="BA390" t="s">
        <v>131</v>
      </c>
      <c r="BB390" t="s">
        <v>131</v>
      </c>
      <c r="BC390" t="s">
        <v>131</v>
      </c>
      <c r="BD390" t="s">
        <v>131</v>
      </c>
      <c r="BE390" t="s">
        <v>132</v>
      </c>
      <c r="BH390" t="s">
        <v>1080</v>
      </c>
      <c r="BI390" t="s">
        <v>131</v>
      </c>
      <c r="BL390" t="s">
        <v>167</v>
      </c>
      <c r="BO390" t="s">
        <v>131</v>
      </c>
      <c r="BP390" t="s">
        <v>134</v>
      </c>
      <c r="BQ390" t="s">
        <v>131</v>
      </c>
      <c r="BS390" t="str">
        <f t="shared" si="30"/>
        <v>N/A</v>
      </c>
      <c r="BT390" t="s">
        <v>135</v>
      </c>
      <c r="BU390">
        <v>6</v>
      </c>
      <c r="BV390" t="str">
        <f>"Cook"</f>
        <v>Cook</v>
      </c>
      <c r="BW390" t="s">
        <v>135</v>
      </c>
      <c r="BX390" t="str">
        <f>""</f>
        <v/>
      </c>
      <c r="BY390" t="str">
        <f>""</f>
        <v/>
      </c>
      <c r="BZ390" t="str">
        <f>""</f>
        <v/>
      </c>
      <c r="CA390" t="s">
        <v>7917</v>
      </c>
      <c r="CB390" t="s">
        <v>131</v>
      </c>
      <c r="CF390" t="s">
        <v>131</v>
      </c>
      <c r="CH390" t="str">
        <f>""</f>
        <v/>
      </c>
      <c r="CI390" t="s">
        <v>131</v>
      </c>
      <c r="CK390" t="s">
        <v>131</v>
      </c>
      <c r="CL390" t="str">
        <f>""</f>
        <v/>
      </c>
      <c r="CM390" t="str">
        <f>""</f>
        <v/>
      </c>
      <c r="CN390" t="str">
        <f>""</f>
        <v/>
      </c>
      <c r="CO390" t="str">
        <f>""</f>
        <v/>
      </c>
      <c r="CP390" t="str">
        <f>"35-2014.00"</f>
        <v>35-2014.00</v>
      </c>
      <c r="CQ390" t="s">
        <v>581</v>
      </c>
      <c r="CR390" t="s">
        <v>17595</v>
      </c>
      <c r="CS390" t="s">
        <v>131</v>
      </c>
      <c r="CU390" t="s">
        <v>17596</v>
      </c>
      <c r="CV390" t="s">
        <v>134</v>
      </c>
      <c r="CW390" t="s">
        <v>8970</v>
      </c>
      <c r="CX390" t="s">
        <v>195</v>
      </c>
      <c r="CZ390" s="3" t="str">
        <f>"33921"</f>
        <v>33921</v>
      </c>
      <c r="DA390" t="s">
        <v>131</v>
      </c>
      <c r="DB390" t="str">
        <f>"35-2014"</f>
        <v>35-2014</v>
      </c>
      <c r="DC390" t="s">
        <v>581</v>
      </c>
      <c r="DD390" t="s">
        <v>134</v>
      </c>
      <c r="DE390" t="s">
        <v>134</v>
      </c>
      <c r="DF390" t="str">
        <f>""</f>
        <v/>
      </c>
      <c r="DH390" s="6">
        <v>14.08</v>
      </c>
      <c r="DI390" t="s">
        <v>344</v>
      </c>
      <c r="DK390" t="s">
        <v>345</v>
      </c>
      <c r="DS390" s="6">
        <v>14.08</v>
      </c>
      <c r="DT390" t="s">
        <v>424</v>
      </c>
      <c r="DU390" s="1">
        <v>44355</v>
      </c>
      <c r="DV390" s="1">
        <v>44444</v>
      </c>
    </row>
    <row r="391" spans="1:126" ht="15" customHeight="1" x14ac:dyDescent="0.35">
      <c r="A391" t="s">
        <v>12898</v>
      </c>
      <c r="B391" t="s">
        <v>318</v>
      </c>
      <c r="C391" s="1">
        <v>44328</v>
      </c>
      <c r="D391" s="1">
        <v>44355</v>
      </c>
      <c r="H391" t="s">
        <v>319</v>
      </c>
      <c r="I391" t="s">
        <v>7911</v>
      </c>
      <c r="J391" t="s">
        <v>6147</v>
      </c>
      <c r="L391" t="s">
        <v>675</v>
      </c>
      <c r="M391" t="s">
        <v>8968</v>
      </c>
      <c r="N391" t="s">
        <v>8969</v>
      </c>
      <c r="O391" t="s">
        <v>8970</v>
      </c>
      <c r="P391" t="s">
        <v>194</v>
      </c>
      <c r="Q391" s="3">
        <v>33921</v>
      </c>
      <c r="R391" t="s">
        <v>128</v>
      </c>
      <c r="S391" t="s">
        <v>134</v>
      </c>
      <c r="T391" s="4">
        <v>19419644572</v>
      </c>
      <c r="V391" t="s">
        <v>8971</v>
      </c>
      <c r="W391" t="s">
        <v>8972</v>
      </c>
      <c r="X391" t="s">
        <v>8973</v>
      </c>
      <c r="Y391" t="s">
        <v>8968</v>
      </c>
      <c r="Z391" t="s">
        <v>134</v>
      </c>
      <c r="AA391" t="s">
        <v>8970</v>
      </c>
      <c r="AB391" t="s">
        <v>195</v>
      </c>
      <c r="AC391" s="3" t="str">
        <f>"33921"</f>
        <v>33921</v>
      </c>
      <c r="AD391" t="s">
        <v>128</v>
      </c>
      <c r="AE391" t="s">
        <v>134</v>
      </c>
      <c r="AF391" s="4">
        <v>19419644572</v>
      </c>
      <c r="AH391" t="str">
        <f>"721110"</f>
        <v>721110</v>
      </c>
      <c r="AI391" t="s">
        <v>130</v>
      </c>
      <c r="AJ391" t="s">
        <v>1386</v>
      </c>
      <c r="AK391" t="s">
        <v>1387</v>
      </c>
      <c r="AL391" t="s">
        <v>1036</v>
      </c>
      <c r="AM391" t="s">
        <v>1388</v>
      </c>
      <c r="AN391" t="s">
        <v>997</v>
      </c>
      <c r="AO391" t="s">
        <v>719</v>
      </c>
      <c r="AP391" t="s">
        <v>377</v>
      </c>
      <c r="AQ391" s="5">
        <v>1701</v>
      </c>
      <c r="AR391" t="s">
        <v>128</v>
      </c>
      <c r="AS391" t="s">
        <v>134</v>
      </c>
      <c r="AT391" s="4">
        <v>16179399444</v>
      </c>
      <c r="AV391" t="s">
        <v>1389</v>
      </c>
      <c r="AW391" t="s">
        <v>1390</v>
      </c>
      <c r="AX391" t="s">
        <v>131</v>
      </c>
      <c r="AY391" t="s">
        <v>131</v>
      </c>
      <c r="AZ391" t="s">
        <v>131</v>
      </c>
      <c r="BA391" t="s">
        <v>131</v>
      </c>
      <c r="BB391" t="s">
        <v>131</v>
      </c>
      <c r="BC391" t="s">
        <v>131</v>
      </c>
      <c r="BD391" t="s">
        <v>131</v>
      </c>
      <c r="BE391" t="s">
        <v>132</v>
      </c>
      <c r="BH391" t="s">
        <v>12322</v>
      </c>
      <c r="BI391" t="s">
        <v>131</v>
      </c>
      <c r="BL391" t="s">
        <v>167</v>
      </c>
      <c r="BO391" t="s">
        <v>131</v>
      </c>
      <c r="BP391" t="s">
        <v>134</v>
      </c>
      <c r="BQ391" t="s">
        <v>131</v>
      </c>
      <c r="BS391" t="str">
        <f t="shared" si="30"/>
        <v>N/A</v>
      </c>
      <c r="BT391" t="s">
        <v>135</v>
      </c>
      <c r="BU391">
        <v>3</v>
      </c>
      <c r="BV391" t="str">
        <f>"Bellhop"</f>
        <v>Bellhop</v>
      </c>
      <c r="BW391" t="s">
        <v>135</v>
      </c>
      <c r="BX391" t="str">
        <f>""</f>
        <v/>
      </c>
      <c r="BY391" t="str">
        <f>""</f>
        <v/>
      </c>
      <c r="BZ391" t="str">
        <f>""</f>
        <v/>
      </c>
      <c r="CA391" t="s">
        <v>12899</v>
      </c>
      <c r="CB391" t="s">
        <v>131</v>
      </c>
      <c r="CF391" t="s">
        <v>131</v>
      </c>
      <c r="CH391" t="str">
        <f>""</f>
        <v/>
      </c>
      <c r="CI391" t="s">
        <v>131</v>
      </c>
      <c r="CK391" t="s">
        <v>131</v>
      </c>
      <c r="CL391" t="str">
        <f>""</f>
        <v/>
      </c>
      <c r="CM391" t="str">
        <f>""</f>
        <v/>
      </c>
      <c r="CN391" t="str">
        <f>""</f>
        <v/>
      </c>
      <c r="CO391" t="str">
        <f>""</f>
        <v/>
      </c>
      <c r="CP391" t="str">
        <f>"39-6011.00"</f>
        <v>39-6011.00</v>
      </c>
      <c r="CQ391" t="s">
        <v>7982</v>
      </c>
      <c r="CR391" t="s">
        <v>12900</v>
      </c>
      <c r="CS391" t="s">
        <v>131</v>
      </c>
      <c r="CU391" t="s">
        <v>8968</v>
      </c>
      <c r="CV391" t="s">
        <v>134</v>
      </c>
      <c r="CW391" t="s">
        <v>8970</v>
      </c>
      <c r="CX391" t="s">
        <v>195</v>
      </c>
      <c r="CZ391" s="3" t="str">
        <f>"33921"</f>
        <v>33921</v>
      </c>
      <c r="DA391" t="s">
        <v>131</v>
      </c>
      <c r="DB391" t="str">
        <f>"39-6011"</f>
        <v>39-6011</v>
      </c>
      <c r="DC391" t="s">
        <v>7982</v>
      </c>
      <c r="DD391" t="s">
        <v>134</v>
      </c>
      <c r="DE391" t="s">
        <v>134</v>
      </c>
      <c r="DF391" t="str">
        <f>""</f>
        <v/>
      </c>
      <c r="DH391" s="6">
        <v>14.09</v>
      </c>
      <c r="DI391" t="s">
        <v>344</v>
      </c>
      <c r="DK391" t="s">
        <v>345</v>
      </c>
      <c r="DS391" s="6">
        <v>14.09</v>
      </c>
      <c r="DT391" t="s">
        <v>424</v>
      </c>
      <c r="DU391" s="1">
        <v>44355</v>
      </c>
      <c r="DV391" s="1">
        <v>44444</v>
      </c>
    </row>
    <row r="392" spans="1:126" ht="15" customHeight="1" x14ac:dyDescent="0.35">
      <c r="A392" t="s">
        <v>8967</v>
      </c>
      <c r="B392" t="s">
        <v>318</v>
      </c>
      <c r="C392" s="1">
        <v>44328</v>
      </c>
      <c r="D392" s="1">
        <v>44355</v>
      </c>
      <c r="H392" t="s">
        <v>319</v>
      </c>
      <c r="I392" t="s">
        <v>7911</v>
      </c>
      <c r="J392" t="s">
        <v>6147</v>
      </c>
      <c r="L392" t="s">
        <v>675</v>
      </c>
      <c r="M392" t="s">
        <v>8968</v>
      </c>
      <c r="N392" t="s">
        <v>8969</v>
      </c>
      <c r="O392" t="s">
        <v>8970</v>
      </c>
      <c r="P392" t="s">
        <v>194</v>
      </c>
      <c r="Q392" s="3">
        <v>33921</v>
      </c>
      <c r="R392" t="s">
        <v>128</v>
      </c>
      <c r="S392" t="s">
        <v>134</v>
      </c>
      <c r="T392" s="4">
        <v>19419644572</v>
      </c>
      <c r="V392" t="s">
        <v>8971</v>
      </c>
      <c r="W392" t="s">
        <v>8972</v>
      </c>
      <c r="X392" t="s">
        <v>8973</v>
      </c>
      <c r="Y392" t="s">
        <v>8968</v>
      </c>
      <c r="Z392" t="s">
        <v>134</v>
      </c>
      <c r="AA392" t="s">
        <v>8970</v>
      </c>
      <c r="AB392" t="s">
        <v>195</v>
      </c>
      <c r="AC392" s="3" t="str">
        <f>"33921"</f>
        <v>33921</v>
      </c>
      <c r="AD392" t="s">
        <v>128</v>
      </c>
      <c r="AE392" t="s">
        <v>134</v>
      </c>
      <c r="AF392" s="4">
        <v>19419644572</v>
      </c>
      <c r="AH392" t="str">
        <f>"721110"</f>
        <v>721110</v>
      </c>
      <c r="AI392" t="s">
        <v>130</v>
      </c>
      <c r="AJ392" t="s">
        <v>1386</v>
      </c>
      <c r="AK392" t="s">
        <v>1387</v>
      </c>
      <c r="AL392" t="s">
        <v>1036</v>
      </c>
      <c r="AM392" t="s">
        <v>1388</v>
      </c>
      <c r="AN392" t="s">
        <v>997</v>
      </c>
      <c r="AO392" t="s">
        <v>719</v>
      </c>
      <c r="AP392" t="s">
        <v>377</v>
      </c>
      <c r="AQ392" s="5">
        <v>1701</v>
      </c>
      <c r="AR392" t="s">
        <v>128</v>
      </c>
      <c r="AS392" t="s">
        <v>134</v>
      </c>
      <c r="AT392" s="4">
        <v>16179399444</v>
      </c>
      <c r="AV392" t="s">
        <v>1389</v>
      </c>
      <c r="AW392" t="s">
        <v>1390</v>
      </c>
      <c r="AX392" t="s">
        <v>131</v>
      </c>
      <c r="AY392" t="s">
        <v>131</v>
      </c>
      <c r="AZ392" t="s">
        <v>131</v>
      </c>
      <c r="BA392" t="s">
        <v>131</v>
      </c>
      <c r="BB392" t="s">
        <v>131</v>
      </c>
      <c r="BC392" t="s">
        <v>131</v>
      </c>
      <c r="BD392" t="s">
        <v>131</v>
      </c>
      <c r="BE392" t="s">
        <v>132</v>
      </c>
      <c r="BH392" t="s">
        <v>1639</v>
      </c>
      <c r="BI392" t="s">
        <v>131</v>
      </c>
      <c r="BL392" t="s">
        <v>167</v>
      </c>
      <c r="BO392" t="s">
        <v>131</v>
      </c>
      <c r="BP392" t="s">
        <v>134</v>
      </c>
      <c r="BQ392" t="s">
        <v>131</v>
      </c>
      <c r="BS392" t="str">
        <f t="shared" si="30"/>
        <v>N/A</v>
      </c>
      <c r="BT392" t="s">
        <v>135</v>
      </c>
      <c r="BU392">
        <v>3</v>
      </c>
      <c r="BV392" t="str">
        <f>"Housekeeper"</f>
        <v>Housekeeper</v>
      </c>
      <c r="BW392" t="s">
        <v>135</v>
      </c>
      <c r="BX392" t="str">
        <f>""</f>
        <v/>
      </c>
      <c r="BY392" t="str">
        <f>""</f>
        <v/>
      </c>
      <c r="BZ392" t="str">
        <f>""</f>
        <v/>
      </c>
      <c r="CA392" t="s">
        <v>8974</v>
      </c>
      <c r="CB392" t="s">
        <v>131</v>
      </c>
      <c r="CF392" t="s">
        <v>131</v>
      </c>
      <c r="CH392" t="str">
        <f>""</f>
        <v/>
      </c>
      <c r="CI392" t="s">
        <v>131</v>
      </c>
      <c r="CK392" t="s">
        <v>131</v>
      </c>
      <c r="CL392" t="str">
        <f>""</f>
        <v/>
      </c>
      <c r="CM392" t="str">
        <f>""</f>
        <v/>
      </c>
      <c r="CN392" t="str">
        <f>""</f>
        <v/>
      </c>
      <c r="CO392" t="str">
        <f>""</f>
        <v/>
      </c>
      <c r="CP392" t="str">
        <f>"37-2012.00"</f>
        <v>37-2012.00</v>
      </c>
      <c r="CQ392" t="s">
        <v>479</v>
      </c>
      <c r="CR392" t="s">
        <v>1264</v>
      </c>
      <c r="CS392" t="s">
        <v>131</v>
      </c>
      <c r="CU392" t="s">
        <v>8968</v>
      </c>
      <c r="CV392" t="s">
        <v>134</v>
      </c>
      <c r="CW392" t="s">
        <v>8970</v>
      </c>
      <c r="CX392" t="s">
        <v>195</v>
      </c>
      <c r="CZ392" s="3" t="str">
        <f>"33921"</f>
        <v>33921</v>
      </c>
      <c r="DA392" t="s">
        <v>131</v>
      </c>
      <c r="DB392" t="str">
        <f>"37-2012"</f>
        <v>37-2012</v>
      </c>
      <c r="DC392" t="s">
        <v>479</v>
      </c>
      <c r="DD392" t="s">
        <v>134</v>
      </c>
      <c r="DE392" t="s">
        <v>134</v>
      </c>
      <c r="DF392" t="str">
        <f>""</f>
        <v/>
      </c>
      <c r="DH392" s="6">
        <v>11.83</v>
      </c>
      <c r="DI392" t="s">
        <v>344</v>
      </c>
      <c r="DK392" t="s">
        <v>345</v>
      </c>
      <c r="DS392" s="6">
        <v>11.83</v>
      </c>
      <c r="DT392" t="s">
        <v>424</v>
      </c>
      <c r="DU392" s="1">
        <v>44355</v>
      </c>
      <c r="DV392" s="1">
        <v>44444</v>
      </c>
    </row>
    <row r="393" spans="1:126" ht="15" customHeight="1" x14ac:dyDescent="0.35">
      <c r="A393" t="s">
        <v>16059</v>
      </c>
      <c r="B393" t="s">
        <v>318</v>
      </c>
      <c r="C393" s="1">
        <v>44328</v>
      </c>
      <c r="D393" s="1">
        <v>44355</v>
      </c>
      <c r="H393" t="s">
        <v>319</v>
      </c>
      <c r="I393" t="s">
        <v>16060</v>
      </c>
      <c r="J393" t="s">
        <v>313</v>
      </c>
      <c r="K393" t="s">
        <v>1254</v>
      </c>
      <c r="L393" t="s">
        <v>395</v>
      </c>
      <c r="M393" t="s">
        <v>16061</v>
      </c>
      <c r="O393" t="s">
        <v>16062</v>
      </c>
      <c r="P393" t="s">
        <v>256</v>
      </c>
      <c r="Q393" s="3">
        <v>63088</v>
      </c>
      <c r="R393" t="s">
        <v>128</v>
      </c>
      <c r="T393" s="4">
        <v>16362300700</v>
      </c>
      <c r="V393" t="s">
        <v>134</v>
      </c>
      <c r="W393" t="s">
        <v>16063</v>
      </c>
      <c r="Y393" t="s">
        <v>16061</v>
      </c>
      <c r="AA393" t="s">
        <v>16062</v>
      </c>
      <c r="AB393" t="s">
        <v>258</v>
      </c>
      <c r="AC393" s="3" t="str">
        <f>"63088"</f>
        <v>63088</v>
      </c>
      <c r="AD393" t="s">
        <v>128</v>
      </c>
      <c r="AF393" s="4">
        <v>16362300700</v>
      </c>
      <c r="AH393" t="str">
        <f>"56173"</f>
        <v>56173</v>
      </c>
      <c r="AI393" t="s">
        <v>287</v>
      </c>
      <c r="AJ393" t="s">
        <v>2917</v>
      </c>
      <c r="AK393" t="s">
        <v>2918</v>
      </c>
      <c r="AL393" t="s">
        <v>387</v>
      </c>
      <c r="AM393" t="s">
        <v>3772</v>
      </c>
      <c r="AO393" t="s">
        <v>3773</v>
      </c>
      <c r="AP393" t="s">
        <v>306</v>
      </c>
      <c r="AQ393" s="5">
        <v>22903</v>
      </c>
      <c r="AR393" t="s">
        <v>128</v>
      </c>
      <c r="AT393" s="4">
        <v>14342634300</v>
      </c>
      <c r="AV393" t="s">
        <v>4374</v>
      </c>
      <c r="AW393" t="s">
        <v>2923</v>
      </c>
      <c r="AX393" t="s">
        <v>131</v>
      </c>
      <c r="AY393" t="s">
        <v>131</v>
      </c>
      <c r="AZ393" t="s">
        <v>131</v>
      </c>
      <c r="BA393" t="s">
        <v>131</v>
      </c>
      <c r="BB393" t="s">
        <v>131</v>
      </c>
      <c r="BC393" t="s">
        <v>131</v>
      </c>
      <c r="BD393" t="s">
        <v>131</v>
      </c>
      <c r="BE393" t="s">
        <v>132</v>
      </c>
      <c r="BH393" t="s">
        <v>2215</v>
      </c>
      <c r="BI393" t="s">
        <v>131</v>
      </c>
      <c r="BL393" t="s">
        <v>167</v>
      </c>
      <c r="BO393" t="s">
        <v>131</v>
      </c>
      <c r="BP393" t="s">
        <v>134</v>
      </c>
      <c r="BQ393" t="s">
        <v>131</v>
      </c>
      <c r="BS393" t="str">
        <f t="shared" si="30"/>
        <v>N/A</v>
      </c>
      <c r="BT393" t="s">
        <v>135</v>
      </c>
      <c r="BU393">
        <v>3</v>
      </c>
      <c r="BV393" t="str">
        <f>"Requires three months of previous landscape experience."</f>
        <v>Requires three months of previous landscape experience.</v>
      </c>
      <c r="BW393" t="s">
        <v>135</v>
      </c>
      <c r="BX393" t="str">
        <f>""</f>
        <v/>
      </c>
      <c r="BY393" t="str">
        <f>""</f>
        <v/>
      </c>
      <c r="BZ393" t="str">
        <f>""</f>
        <v/>
      </c>
      <c r="CA393" t="str">
        <f>"Must lift/carry 50 lbs., when necessary.  Saturday and Sunday work required, when necessary."</f>
        <v>Must lift/carry 50 lbs., when necessary.  Saturday and Sunday work required, when necessary.</v>
      </c>
      <c r="CB393" t="s">
        <v>131</v>
      </c>
      <c r="CF393" t="s">
        <v>131</v>
      </c>
      <c r="CH393" t="str">
        <f>""</f>
        <v/>
      </c>
      <c r="CI393" t="s">
        <v>131</v>
      </c>
      <c r="CK393" t="s">
        <v>131</v>
      </c>
      <c r="CL393" t="str">
        <f>""</f>
        <v/>
      </c>
      <c r="CM393" t="str">
        <f>""</f>
        <v/>
      </c>
      <c r="CN393" t="str">
        <f>""</f>
        <v/>
      </c>
      <c r="CO393" t="str">
        <f>""</f>
        <v/>
      </c>
      <c r="CP393" t="str">
        <f>"37-3011.00"</f>
        <v>37-3011.00</v>
      </c>
      <c r="CQ393" t="s">
        <v>920</v>
      </c>
      <c r="CR393" t="s">
        <v>3086</v>
      </c>
      <c r="CS393" t="s">
        <v>135</v>
      </c>
      <c r="CT393" t="s">
        <v>2925</v>
      </c>
      <c r="CU393" t="s">
        <v>16061</v>
      </c>
      <c r="CW393" t="s">
        <v>16062</v>
      </c>
      <c r="CX393" t="s">
        <v>258</v>
      </c>
      <c r="CZ393" s="3" t="str">
        <f>"63088"</f>
        <v>63088</v>
      </c>
      <c r="DA393" t="s">
        <v>135</v>
      </c>
      <c r="DB393" t="str">
        <f>"37-3011"</f>
        <v>37-3011</v>
      </c>
      <c r="DC393" t="s">
        <v>920</v>
      </c>
      <c r="DD393" t="s">
        <v>134</v>
      </c>
      <c r="DE393" t="s">
        <v>134</v>
      </c>
      <c r="DF393" t="str">
        <f>""</f>
        <v/>
      </c>
      <c r="DH393" s="6">
        <v>15.37</v>
      </c>
      <c r="DI393" t="s">
        <v>344</v>
      </c>
      <c r="DK393" t="s">
        <v>345</v>
      </c>
      <c r="DS393" s="6">
        <v>15.37</v>
      </c>
      <c r="DT393" s="2" t="s">
        <v>2219</v>
      </c>
      <c r="DU393" s="1">
        <v>44355</v>
      </c>
      <c r="DV393" s="1">
        <v>44444</v>
      </c>
    </row>
    <row r="394" spans="1:126" ht="15" customHeight="1" x14ac:dyDescent="0.35">
      <c r="A394" t="s">
        <v>6033</v>
      </c>
      <c r="B394" t="s">
        <v>318</v>
      </c>
      <c r="C394" s="1">
        <v>44328</v>
      </c>
      <c r="D394" s="1">
        <v>44357</v>
      </c>
      <c r="H394" t="s">
        <v>319</v>
      </c>
      <c r="I394" t="s">
        <v>6034</v>
      </c>
      <c r="J394" t="s">
        <v>666</v>
      </c>
      <c r="K394" t="s">
        <v>2673</v>
      </c>
      <c r="L394" t="s">
        <v>1105</v>
      </c>
      <c r="M394" t="s">
        <v>6035</v>
      </c>
      <c r="N394" t="s">
        <v>978</v>
      </c>
      <c r="O394" t="s">
        <v>6036</v>
      </c>
      <c r="P394" t="s">
        <v>778</v>
      </c>
      <c r="Q394" s="3">
        <v>37343</v>
      </c>
      <c r="R394" t="s">
        <v>128</v>
      </c>
      <c r="S394" t="s">
        <v>978</v>
      </c>
      <c r="T394" s="4">
        <v>14232403514</v>
      </c>
      <c r="U394">
        <v>0</v>
      </c>
      <c r="V394" t="s">
        <v>6037</v>
      </c>
      <c r="W394" t="s">
        <v>6038</v>
      </c>
      <c r="X394" t="s">
        <v>6039</v>
      </c>
      <c r="Y394" t="s">
        <v>6035</v>
      </c>
      <c r="Z394" t="s">
        <v>978</v>
      </c>
      <c r="AA394" t="s">
        <v>6036</v>
      </c>
      <c r="AB394" t="s">
        <v>779</v>
      </c>
      <c r="AC394" s="3" t="str">
        <f>"37343"</f>
        <v>37343</v>
      </c>
      <c r="AD394" t="s">
        <v>128</v>
      </c>
      <c r="AE394" t="s">
        <v>978</v>
      </c>
      <c r="AF394" s="4">
        <v>14232403514</v>
      </c>
      <c r="AG394">
        <v>0</v>
      </c>
      <c r="AH394" t="str">
        <f>"115310"</f>
        <v>115310</v>
      </c>
      <c r="AI394" t="s">
        <v>167</v>
      </c>
      <c r="AX394" t="s">
        <v>131</v>
      </c>
      <c r="AY394" t="s">
        <v>131</v>
      </c>
      <c r="AZ394" t="s">
        <v>131</v>
      </c>
      <c r="BA394" t="s">
        <v>131</v>
      </c>
      <c r="BB394" t="s">
        <v>131</v>
      </c>
      <c r="BC394" t="s">
        <v>131</v>
      </c>
      <c r="BD394" t="s">
        <v>131</v>
      </c>
      <c r="BE394" t="s">
        <v>132</v>
      </c>
      <c r="BH394" t="s">
        <v>6040</v>
      </c>
      <c r="BI394" t="s">
        <v>131</v>
      </c>
      <c r="BL394" t="s">
        <v>167</v>
      </c>
      <c r="BO394" t="s">
        <v>131</v>
      </c>
      <c r="BP394" t="s">
        <v>134</v>
      </c>
      <c r="BQ394" t="s">
        <v>131</v>
      </c>
      <c r="BS394" t="str">
        <f t="shared" si="30"/>
        <v>N/A</v>
      </c>
      <c r="BT394" t="s">
        <v>131</v>
      </c>
      <c r="BV394" t="str">
        <f>""</f>
        <v/>
      </c>
      <c r="BW394" t="s">
        <v>135</v>
      </c>
      <c r="BX394" t="str">
        <f>""</f>
        <v/>
      </c>
      <c r="BY394" t="str">
        <f>""</f>
        <v/>
      </c>
      <c r="BZ394" t="str">
        <f>""</f>
        <v/>
      </c>
      <c r="CA394" t="str">
        <f>"Worker must be in excellent physical condition with a strong back and must be able to do a lot of walking in tough terrain and in rain,mud,snow."</f>
        <v>Worker must be in excellent physical condition with a strong back and must be able to do a lot of walking in tough terrain and in rain,mud,snow.</v>
      </c>
      <c r="CB394" t="s">
        <v>131</v>
      </c>
      <c r="CF394" t="s">
        <v>131</v>
      </c>
      <c r="CH394" t="str">
        <f>""</f>
        <v/>
      </c>
      <c r="CI394" t="s">
        <v>131</v>
      </c>
      <c r="CK394" t="s">
        <v>131</v>
      </c>
      <c r="CL394" t="str">
        <f>""</f>
        <v/>
      </c>
      <c r="CM394" t="str">
        <f>""</f>
        <v/>
      </c>
      <c r="CN394" t="str">
        <f>""</f>
        <v/>
      </c>
      <c r="CO394" t="str">
        <f>""</f>
        <v/>
      </c>
      <c r="CP394" t="str">
        <f>"45-4011.00"</f>
        <v>45-4011.00</v>
      </c>
      <c r="CQ394" t="s">
        <v>4310</v>
      </c>
      <c r="CR394" t="s">
        <v>6041</v>
      </c>
      <c r="CS394" t="s">
        <v>131</v>
      </c>
      <c r="CU394" t="s">
        <v>6042</v>
      </c>
      <c r="CV394" t="s">
        <v>978</v>
      </c>
      <c r="CW394" t="s">
        <v>6043</v>
      </c>
      <c r="CX394" t="s">
        <v>925</v>
      </c>
      <c r="CZ394" s="3" t="str">
        <f>"04623"</f>
        <v>04623</v>
      </c>
      <c r="DA394" t="s">
        <v>131</v>
      </c>
      <c r="DB394" t="str">
        <f>"45-4011"</f>
        <v>45-4011</v>
      </c>
      <c r="DC394" t="s">
        <v>4310</v>
      </c>
      <c r="DD394" t="s">
        <v>134</v>
      </c>
      <c r="DE394" t="s">
        <v>134</v>
      </c>
      <c r="DF394" t="str">
        <f>""</f>
        <v/>
      </c>
      <c r="DH394" s="6">
        <v>15.76</v>
      </c>
      <c r="DI394" t="s">
        <v>344</v>
      </c>
      <c r="DK394" t="s">
        <v>345</v>
      </c>
      <c r="DR394" t="s">
        <v>6044</v>
      </c>
      <c r="DS394" s="6">
        <v>15.76</v>
      </c>
      <c r="DT394" t="s">
        <v>424</v>
      </c>
      <c r="DU394" s="1">
        <v>44357</v>
      </c>
      <c r="DV394" s="1">
        <v>44446</v>
      </c>
    </row>
    <row r="395" spans="1:126" ht="15" customHeight="1" x14ac:dyDescent="0.35">
      <c r="A395" t="s">
        <v>17750</v>
      </c>
      <c r="B395" t="s">
        <v>318</v>
      </c>
      <c r="C395" s="1">
        <v>44328</v>
      </c>
      <c r="D395" s="1">
        <v>44355</v>
      </c>
      <c r="H395" t="s">
        <v>319</v>
      </c>
      <c r="I395" t="s">
        <v>15924</v>
      </c>
      <c r="J395" t="s">
        <v>2787</v>
      </c>
      <c r="L395" t="s">
        <v>395</v>
      </c>
      <c r="M395" t="s">
        <v>17751</v>
      </c>
      <c r="N395" t="s">
        <v>17752</v>
      </c>
      <c r="O395" t="s">
        <v>17753</v>
      </c>
      <c r="P395" t="s">
        <v>311</v>
      </c>
      <c r="Q395" s="3">
        <v>19320</v>
      </c>
      <c r="R395" t="s">
        <v>128</v>
      </c>
      <c r="T395" s="4">
        <v>16103809945</v>
      </c>
      <c r="V395" t="s">
        <v>134</v>
      </c>
      <c r="W395" t="s">
        <v>17754</v>
      </c>
      <c r="Y395" t="s">
        <v>17751</v>
      </c>
      <c r="Z395" t="s">
        <v>17752</v>
      </c>
      <c r="AA395" t="s">
        <v>17753</v>
      </c>
      <c r="AB395" t="s">
        <v>312</v>
      </c>
      <c r="AC395" s="3" t="str">
        <f>"19320"</f>
        <v>19320</v>
      </c>
      <c r="AD395" t="s">
        <v>128</v>
      </c>
      <c r="AF395" s="4">
        <v>16103809945</v>
      </c>
      <c r="AH395" t="str">
        <f>"56173"</f>
        <v>56173</v>
      </c>
      <c r="AI395" t="s">
        <v>287</v>
      </c>
      <c r="AJ395" t="s">
        <v>2917</v>
      </c>
      <c r="AK395" t="s">
        <v>2918</v>
      </c>
      <c r="AL395" t="s">
        <v>610</v>
      </c>
      <c r="AM395" t="s">
        <v>3772</v>
      </c>
      <c r="AO395" t="s">
        <v>3773</v>
      </c>
      <c r="AP395" t="s">
        <v>306</v>
      </c>
      <c r="AQ395" s="5">
        <v>22903</v>
      </c>
      <c r="AR395" t="s">
        <v>128</v>
      </c>
      <c r="AT395" s="4">
        <v>14342634300</v>
      </c>
      <c r="AV395" t="s">
        <v>5385</v>
      </c>
      <c r="AW395" t="s">
        <v>2923</v>
      </c>
      <c r="AX395" t="s">
        <v>131</v>
      </c>
      <c r="AY395" t="s">
        <v>131</v>
      </c>
      <c r="AZ395" t="s">
        <v>131</v>
      </c>
      <c r="BA395" t="s">
        <v>131</v>
      </c>
      <c r="BB395" t="s">
        <v>131</v>
      </c>
      <c r="BC395" t="s">
        <v>131</v>
      </c>
      <c r="BD395" t="s">
        <v>131</v>
      </c>
      <c r="BE395" t="s">
        <v>132</v>
      </c>
      <c r="BH395" t="s">
        <v>3780</v>
      </c>
      <c r="BI395" t="s">
        <v>131</v>
      </c>
      <c r="BL395" t="s">
        <v>167</v>
      </c>
      <c r="BO395" t="s">
        <v>131</v>
      </c>
      <c r="BP395" t="s">
        <v>134</v>
      </c>
      <c r="BQ395" t="s">
        <v>131</v>
      </c>
      <c r="BS395" t="str">
        <f t="shared" si="30"/>
        <v>N/A</v>
      </c>
      <c r="BT395" t="s">
        <v>131</v>
      </c>
      <c r="BV395" t="str">
        <f>""</f>
        <v/>
      </c>
      <c r="BW395" t="s">
        <v>135</v>
      </c>
      <c r="BX395" t="str">
        <f>""</f>
        <v/>
      </c>
      <c r="BY395" t="str">
        <f>""</f>
        <v/>
      </c>
      <c r="BZ395" t="str">
        <f>""</f>
        <v/>
      </c>
      <c r="CA395" t="str">
        <f>"Must lift/carry 50 lbs., when necessary.  Saturday work required, when necessary."</f>
        <v>Must lift/carry 50 lbs., when necessary.  Saturday work required, when necessary.</v>
      </c>
      <c r="CB395" t="s">
        <v>131</v>
      </c>
      <c r="CF395" t="s">
        <v>131</v>
      </c>
      <c r="CH395" t="str">
        <f>""</f>
        <v/>
      </c>
      <c r="CI395" t="s">
        <v>131</v>
      </c>
      <c r="CK395" t="s">
        <v>131</v>
      </c>
      <c r="CL395" t="str">
        <f>""</f>
        <v/>
      </c>
      <c r="CM395" t="str">
        <f>""</f>
        <v/>
      </c>
      <c r="CN395" t="str">
        <f>""</f>
        <v/>
      </c>
      <c r="CO395" t="str">
        <f>""</f>
        <v/>
      </c>
      <c r="CP395" t="str">
        <f t="shared" ref="CP395:CP400" si="31">"37-3011.00"</f>
        <v>37-3011.00</v>
      </c>
      <c r="CQ395" t="s">
        <v>920</v>
      </c>
      <c r="CR395" t="s">
        <v>2924</v>
      </c>
      <c r="CS395" t="s">
        <v>135</v>
      </c>
      <c r="CT395" t="s">
        <v>2925</v>
      </c>
      <c r="CU395" t="s">
        <v>17751</v>
      </c>
      <c r="CW395" t="s">
        <v>17753</v>
      </c>
      <c r="CX395" t="s">
        <v>312</v>
      </c>
      <c r="CZ395" s="3" t="str">
        <f>"19320"</f>
        <v>19320</v>
      </c>
      <c r="DA395" t="s">
        <v>135</v>
      </c>
      <c r="DB395" t="str">
        <f t="shared" ref="DB395:DB400" si="32">"37-3011"</f>
        <v>37-3011</v>
      </c>
      <c r="DC395" t="s">
        <v>920</v>
      </c>
      <c r="DD395" t="s">
        <v>134</v>
      </c>
      <c r="DE395" t="s">
        <v>134</v>
      </c>
      <c r="DF395" t="str">
        <f>""</f>
        <v/>
      </c>
      <c r="DH395" s="6">
        <v>16.600000000000001</v>
      </c>
      <c r="DI395" t="s">
        <v>344</v>
      </c>
      <c r="DK395" t="s">
        <v>345</v>
      </c>
      <c r="DS395" s="6">
        <v>16.600000000000001</v>
      </c>
      <c r="DT395" s="2" t="s">
        <v>2219</v>
      </c>
      <c r="DU395" s="1">
        <v>44355</v>
      </c>
      <c r="DV395" s="1">
        <v>44444</v>
      </c>
    </row>
    <row r="396" spans="1:126" ht="15" customHeight="1" x14ac:dyDescent="0.35">
      <c r="A396" t="s">
        <v>19289</v>
      </c>
      <c r="B396" t="s">
        <v>318</v>
      </c>
      <c r="C396" s="1">
        <v>44328</v>
      </c>
      <c r="D396" s="1">
        <v>44355</v>
      </c>
      <c r="H396" t="s">
        <v>319</v>
      </c>
      <c r="I396" t="s">
        <v>19290</v>
      </c>
      <c r="J396" t="s">
        <v>710</v>
      </c>
      <c r="K396" t="s">
        <v>2872</v>
      </c>
      <c r="L396" t="s">
        <v>1105</v>
      </c>
      <c r="M396" t="s">
        <v>19291</v>
      </c>
      <c r="O396" t="s">
        <v>19292</v>
      </c>
      <c r="P396" t="s">
        <v>311</v>
      </c>
      <c r="Q396" s="3">
        <v>18902</v>
      </c>
      <c r="R396" t="s">
        <v>128</v>
      </c>
      <c r="T396" s="4">
        <v>12157947159</v>
      </c>
      <c r="V396" t="s">
        <v>134</v>
      </c>
      <c r="W396" t="s">
        <v>19293</v>
      </c>
      <c r="X396" t="s">
        <v>19294</v>
      </c>
      <c r="Y396" t="s">
        <v>19291</v>
      </c>
      <c r="AA396" t="s">
        <v>19292</v>
      </c>
      <c r="AB396" t="s">
        <v>312</v>
      </c>
      <c r="AC396" s="3" t="str">
        <f>"18902"</f>
        <v>18902</v>
      </c>
      <c r="AD396" t="s">
        <v>128</v>
      </c>
      <c r="AF396" s="4">
        <v>12157947159</v>
      </c>
      <c r="AH396" t="str">
        <f>"56173"</f>
        <v>56173</v>
      </c>
      <c r="AI396" t="s">
        <v>287</v>
      </c>
      <c r="AJ396" t="s">
        <v>2917</v>
      </c>
      <c r="AK396" t="s">
        <v>2918</v>
      </c>
      <c r="AM396" t="s">
        <v>2919</v>
      </c>
      <c r="AN396" t="s">
        <v>2920</v>
      </c>
      <c r="AO396" t="s">
        <v>2921</v>
      </c>
      <c r="AP396" t="s">
        <v>306</v>
      </c>
      <c r="AQ396" s="5">
        <v>22949</v>
      </c>
      <c r="AR396" t="s">
        <v>128</v>
      </c>
      <c r="AT396" s="4">
        <v>14342634300</v>
      </c>
      <c r="AV396" t="s">
        <v>5183</v>
      </c>
      <c r="AW396" t="s">
        <v>2923</v>
      </c>
      <c r="AX396" t="s">
        <v>131</v>
      </c>
      <c r="AY396" t="s">
        <v>131</v>
      </c>
      <c r="AZ396" t="s">
        <v>131</v>
      </c>
      <c r="BA396" t="s">
        <v>131</v>
      </c>
      <c r="BB396" t="s">
        <v>131</v>
      </c>
      <c r="BC396" t="s">
        <v>131</v>
      </c>
      <c r="BD396" t="s">
        <v>131</v>
      </c>
      <c r="BE396" t="s">
        <v>132</v>
      </c>
      <c r="BH396" t="s">
        <v>5049</v>
      </c>
      <c r="BI396" t="s">
        <v>131</v>
      </c>
      <c r="BL396" t="s">
        <v>167</v>
      </c>
      <c r="BO396" t="s">
        <v>131</v>
      </c>
      <c r="BP396" t="s">
        <v>134</v>
      </c>
      <c r="BQ396" t="s">
        <v>131</v>
      </c>
      <c r="BS396" t="str">
        <f t="shared" si="30"/>
        <v>N/A</v>
      </c>
      <c r="BT396" t="s">
        <v>135</v>
      </c>
      <c r="BU396">
        <v>3</v>
      </c>
      <c r="BV396" t="str">
        <f>"Requires three months of previous landscape experience."</f>
        <v>Requires three months of previous landscape experience.</v>
      </c>
      <c r="BW396" t="s">
        <v>135</v>
      </c>
      <c r="BX396" t="str">
        <f>""</f>
        <v/>
      </c>
      <c r="BY396" t="str">
        <f>""</f>
        <v/>
      </c>
      <c r="BZ396" t="str">
        <f>""</f>
        <v/>
      </c>
      <c r="CA396" t="str">
        <f>"Must lift/carry 50 lbs., when necessary.  Saturday work required, when necessary."</f>
        <v>Must lift/carry 50 lbs., when necessary.  Saturday work required, when necessary.</v>
      </c>
      <c r="CB396" t="s">
        <v>131</v>
      </c>
      <c r="CF396" t="s">
        <v>131</v>
      </c>
      <c r="CH396" t="str">
        <f>""</f>
        <v/>
      </c>
      <c r="CI396" t="s">
        <v>131</v>
      </c>
      <c r="CK396" t="s">
        <v>131</v>
      </c>
      <c r="CL396" t="str">
        <f>""</f>
        <v/>
      </c>
      <c r="CM396" t="str">
        <f>""</f>
        <v/>
      </c>
      <c r="CN396" t="str">
        <f>""</f>
        <v/>
      </c>
      <c r="CO396" t="str">
        <f>""</f>
        <v/>
      </c>
      <c r="CP396" t="str">
        <f t="shared" si="31"/>
        <v>37-3011.00</v>
      </c>
      <c r="CQ396" t="s">
        <v>920</v>
      </c>
      <c r="CR396" t="s">
        <v>2924</v>
      </c>
      <c r="CS396" t="s">
        <v>135</v>
      </c>
      <c r="CT396" t="s">
        <v>2925</v>
      </c>
      <c r="CU396" t="s">
        <v>19291</v>
      </c>
      <c r="CW396" t="s">
        <v>19292</v>
      </c>
      <c r="CX396" t="s">
        <v>312</v>
      </c>
      <c r="CZ396" s="3" t="str">
        <f>"18902"</f>
        <v>18902</v>
      </c>
      <c r="DA396" t="s">
        <v>135</v>
      </c>
      <c r="DB396" t="str">
        <f t="shared" si="32"/>
        <v>37-3011</v>
      </c>
      <c r="DC396" t="s">
        <v>920</v>
      </c>
      <c r="DD396" t="s">
        <v>134</v>
      </c>
      <c r="DE396" t="s">
        <v>134</v>
      </c>
      <c r="DF396" t="str">
        <f>""</f>
        <v/>
      </c>
      <c r="DH396" s="6">
        <v>16.600000000000001</v>
      </c>
      <c r="DI396" t="s">
        <v>344</v>
      </c>
      <c r="DK396" t="s">
        <v>345</v>
      </c>
      <c r="DS396" s="6">
        <v>16.600000000000001</v>
      </c>
      <c r="DT396" s="2" t="s">
        <v>2219</v>
      </c>
      <c r="DU396" s="1">
        <v>44355</v>
      </c>
      <c r="DV396" s="1">
        <v>44444</v>
      </c>
    </row>
    <row r="397" spans="1:126" ht="15" customHeight="1" x14ac:dyDescent="0.35">
      <c r="A397" t="s">
        <v>17362</v>
      </c>
      <c r="B397" t="s">
        <v>318</v>
      </c>
      <c r="C397" s="1">
        <v>44328</v>
      </c>
      <c r="D397" s="1">
        <v>44356</v>
      </c>
      <c r="H397" t="s">
        <v>319</v>
      </c>
      <c r="I397" t="s">
        <v>17363</v>
      </c>
      <c r="J397" t="s">
        <v>9670</v>
      </c>
      <c r="L397" t="s">
        <v>1031</v>
      </c>
      <c r="M397" t="s">
        <v>17364</v>
      </c>
      <c r="O397" t="s">
        <v>14985</v>
      </c>
      <c r="P397" t="s">
        <v>467</v>
      </c>
      <c r="Q397" s="3">
        <v>80525</v>
      </c>
      <c r="R397" t="s">
        <v>128</v>
      </c>
      <c r="T397" s="4">
        <v>19704881707</v>
      </c>
      <c r="V397" t="s">
        <v>17365</v>
      </c>
      <c r="W397" t="s">
        <v>17366</v>
      </c>
      <c r="X397" t="s">
        <v>17367</v>
      </c>
      <c r="Y397" t="s">
        <v>17364</v>
      </c>
      <c r="AA397" t="s">
        <v>14985</v>
      </c>
      <c r="AB397" t="s">
        <v>471</v>
      </c>
      <c r="AC397" s="3" t="str">
        <f>"80525"</f>
        <v>80525</v>
      </c>
      <c r="AD397" t="s">
        <v>128</v>
      </c>
      <c r="AF397" s="4">
        <v>19704881707</v>
      </c>
      <c r="AH397" t="str">
        <f>"56173"</f>
        <v>56173</v>
      </c>
      <c r="AI397" t="s">
        <v>130</v>
      </c>
      <c r="AJ397" t="s">
        <v>3252</v>
      </c>
      <c r="AK397" t="s">
        <v>3253</v>
      </c>
      <c r="AL397" t="s">
        <v>589</v>
      </c>
      <c r="AM397" t="s">
        <v>3254</v>
      </c>
      <c r="AO397" t="s">
        <v>3255</v>
      </c>
      <c r="AP397" t="s">
        <v>779</v>
      </c>
      <c r="AQ397" s="5">
        <v>37110</v>
      </c>
      <c r="AR397" t="s">
        <v>128</v>
      </c>
      <c r="AT397" s="4">
        <v>19312747811</v>
      </c>
      <c r="AV397" t="s">
        <v>3256</v>
      </c>
      <c r="AW397" t="s">
        <v>3257</v>
      </c>
      <c r="AX397" t="s">
        <v>131</v>
      </c>
      <c r="AY397" t="s">
        <v>131</v>
      </c>
      <c r="AZ397" t="s">
        <v>131</v>
      </c>
      <c r="BA397" t="s">
        <v>131</v>
      </c>
      <c r="BB397" t="s">
        <v>131</v>
      </c>
      <c r="BC397" t="s">
        <v>131</v>
      </c>
      <c r="BD397" t="s">
        <v>131</v>
      </c>
      <c r="BE397" t="s">
        <v>132</v>
      </c>
      <c r="BH397" t="s">
        <v>6893</v>
      </c>
      <c r="BI397" t="s">
        <v>131</v>
      </c>
      <c r="BL397" t="s">
        <v>167</v>
      </c>
      <c r="BO397" t="s">
        <v>131</v>
      </c>
      <c r="BP397" t="s">
        <v>134</v>
      </c>
      <c r="BQ397" t="s">
        <v>131</v>
      </c>
      <c r="BS397" t="str">
        <f t="shared" si="30"/>
        <v>N/A</v>
      </c>
      <c r="BT397" t="s">
        <v>131</v>
      </c>
      <c r="BV397" t="str">
        <f>""</f>
        <v/>
      </c>
      <c r="BW397" t="s">
        <v>135</v>
      </c>
      <c r="BX397" t="str">
        <f>""</f>
        <v/>
      </c>
      <c r="BY397" t="str">
        <f>""</f>
        <v/>
      </c>
      <c r="BZ397" t="str">
        <f>""</f>
        <v/>
      </c>
      <c r="CA397" t="str">
        <f>"MUST BE ABLE TO LIFT AND CARRY 60 POUNDS . POST-HIRE DRUG SCREEN REQUIRED AT EMPLOYERS EXPENSE."</f>
        <v>MUST BE ABLE TO LIFT AND CARRY 60 POUNDS . POST-HIRE DRUG SCREEN REQUIRED AT EMPLOYERS EXPENSE.</v>
      </c>
      <c r="CB397" t="s">
        <v>131</v>
      </c>
      <c r="CF397" t="s">
        <v>131</v>
      </c>
      <c r="CH397" t="str">
        <f>""</f>
        <v/>
      </c>
      <c r="CI397" t="s">
        <v>131</v>
      </c>
      <c r="CK397" t="s">
        <v>131</v>
      </c>
      <c r="CL397" t="str">
        <f>""</f>
        <v/>
      </c>
      <c r="CM397" t="str">
        <f>""</f>
        <v/>
      </c>
      <c r="CN397" t="str">
        <f>""</f>
        <v/>
      </c>
      <c r="CO397" t="str">
        <f>""</f>
        <v/>
      </c>
      <c r="CP397" t="str">
        <f t="shared" si="31"/>
        <v>37-3011.00</v>
      </c>
      <c r="CQ397" t="s">
        <v>920</v>
      </c>
      <c r="CS397" t="s">
        <v>131</v>
      </c>
      <c r="CU397" t="s">
        <v>17364</v>
      </c>
      <c r="CW397" t="s">
        <v>14985</v>
      </c>
      <c r="CX397" t="s">
        <v>471</v>
      </c>
      <c r="CZ397" s="3" t="str">
        <f>"80524"</f>
        <v>80524</v>
      </c>
      <c r="DA397" t="s">
        <v>135</v>
      </c>
      <c r="DB397" t="str">
        <f t="shared" si="32"/>
        <v>37-3011</v>
      </c>
      <c r="DC397" t="s">
        <v>920</v>
      </c>
      <c r="DD397" t="s">
        <v>134</v>
      </c>
      <c r="DE397" t="s">
        <v>134</v>
      </c>
      <c r="DF397" t="str">
        <f>""</f>
        <v/>
      </c>
      <c r="DH397" s="6">
        <v>15.68</v>
      </c>
      <c r="DI397" t="s">
        <v>344</v>
      </c>
      <c r="DK397" t="s">
        <v>345</v>
      </c>
      <c r="DR397" t="s">
        <v>17368</v>
      </c>
      <c r="DS397" s="6">
        <v>17.32</v>
      </c>
      <c r="DT397" t="s">
        <v>424</v>
      </c>
      <c r="DU397" s="1">
        <v>44356</v>
      </c>
      <c r="DV397" s="1">
        <v>44445</v>
      </c>
    </row>
    <row r="398" spans="1:126" ht="15" customHeight="1" x14ac:dyDescent="0.35">
      <c r="A398" t="s">
        <v>19954</v>
      </c>
      <c r="B398" t="s">
        <v>318</v>
      </c>
      <c r="C398" s="1">
        <v>44328</v>
      </c>
      <c r="D398" s="1">
        <v>44355</v>
      </c>
      <c r="H398" t="s">
        <v>319</v>
      </c>
      <c r="I398" t="s">
        <v>19955</v>
      </c>
      <c r="J398" t="s">
        <v>1895</v>
      </c>
      <c r="L398" t="s">
        <v>303</v>
      </c>
      <c r="M398" t="s">
        <v>19956</v>
      </c>
      <c r="O398" t="s">
        <v>1780</v>
      </c>
      <c r="P398" t="s">
        <v>441</v>
      </c>
      <c r="Q398" s="3">
        <v>45014</v>
      </c>
      <c r="R398" t="s">
        <v>128</v>
      </c>
      <c r="T398" s="4">
        <v>15132587355</v>
      </c>
      <c r="V398" t="s">
        <v>19957</v>
      </c>
      <c r="W398" t="s">
        <v>19958</v>
      </c>
      <c r="X398" t="s">
        <v>19959</v>
      </c>
      <c r="Y398" t="s">
        <v>19956</v>
      </c>
      <c r="AA398" t="s">
        <v>1780</v>
      </c>
      <c r="AB398" t="s">
        <v>444</v>
      </c>
      <c r="AC398" s="3" t="str">
        <f>"45014"</f>
        <v>45014</v>
      </c>
      <c r="AD398" t="s">
        <v>128</v>
      </c>
      <c r="AF398" s="4">
        <v>15132587355</v>
      </c>
      <c r="AH398" t="str">
        <f>"5617"</f>
        <v>5617</v>
      </c>
      <c r="AI398" t="s">
        <v>287</v>
      </c>
      <c r="AJ398" t="s">
        <v>2209</v>
      </c>
      <c r="AK398" t="s">
        <v>1459</v>
      </c>
      <c r="AL398" t="s">
        <v>2210</v>
      </c>
      <c r="AM398" t="s">
        <v>2211</v>
      </c>
      <c r="AN398" t="s">
        <v>788</v>
      </c>
      <c r="AO398" t="s">
        <v>2212</v>
      </c>
      <c r="AP398" t="s">
        <v>400</v>
      </c>
      <c r="AQ398" s="5">
        <v>75033</v>
      </c>
      <c r="AR398" t="s">
        <v>128</v>
      </c>
      <c r="AT398" s="4">
        <v>19727789690</v>
      </c>
      <c r="AV398" t="s">
        <v>2320</v>
      </c>
      <c r="AW398" t="s">
        <v>2214</v>
      </c>
      <c r="AX398" t="s">
        <v>131</v>
      </c>
      <c r="AY398" t="s">
        <v>131</v>
      </c>
      <c r="AZ398" t="s">
        <v>131</v>
      </c>
      <c r="BA398" t="s">
        <v>131</v>
      </c>
      <c r="BB398" t="s">
        <v>131</v>
      </c>
      <c r="BC398" t="s">
        <v>131</v>
      </c>
      <c r="BD398" t="s">
        <v>131</v>
      </c>
      <c r="BE398" t="s">
        <v>132</v>
      </c>
      <c r="BH398" t="s">
        <v>2215</v>
      </c>
      <c r="BI398" t="s">
        <v>131</v>
      </c>
      <c r="BL398" t="s">
        <v>167</v>
      </c>
      <c r="BO398" t="s">
        <v>131</v>
      </c>
      <c r="BP398" t="s">
        <v>134</v>
      </c>
      <c r="BQ398" t="s">
        <v>131</v>
      </c>
      <c r="BS398" t="str">
        <f t="shared" si="30"/>
        <v>N/A</v>
      </c>
      <c r="BT398" t="s">
        <v>131</v>
      </c>
      <c r="BV398" t="str">
        <f>""</f>
        <v/>
      </c>
      <c r="BW398" t="s">
        <v>135</v>
      </c>
      <c r="BX398" t="str">
        <f>""</f>
        <v/>
      </c>
      <c r="BY398" t="str">
        <f>""</f>
        <v/>
      </c>
      <c r="BZ398" t="str">
        <f>""</f>
        <v/>
      </c>
      <c r="CA398" t="str">
        <f>"Must be able to lift 50 lbs. Applicants must complete an employment application."</f>
        <v>Must be able to lift 50 lbs. Applicants must complete an employment application.</v>
      </c>
      <c r="CB398" t="s">
        <v>131</v>
      </c>
      <c r="CF398" t="s">
        <v>131</v>
      </c>
      <c r="CH398" t="str">
        <f>""</f>
        <v/>
      </c>
      <c r="CI398" t="s">
        <v>131</v>
      </c>
      <c r="CK398" t="s">
        <v>131</v>
      </c>
      <c r="CL398" t="str">
        <f>""</f>
        <v/>
      </c>
      <c r="CM398" t="str">
        <f>""</f>
        <v/>
      </c>
      <c r="CN398" t="str">
        <f>""</f>
        <v/>
      </c>
      <c r="CO398" t="str">
        <f>""</f>
        <v/>
      </c>
      <c r="CP398" t="str">
        <f t="shared" si="31"/>
        <v>37-3011.00</v>
      </c>
      <c r="CQ398" t="s">
        <v>920</v>
      </c>
      <c r="CS398" t="s">
        <v>135</v>
      </c>
      <c r="CT398" t="s">
        <v>2321</v>
      </c>
      <c r="CU398" t="s">
        <v>19956</v>
      </c>
      <c r="CW398" t="s">
        <v>1780</v>
      </c>
      <c r="CX398" t="s">
        <v>444</v>
      </c>
      <c r="CZ398" s="3" t="str">
        <f>"45014"</f>
        <v>45014</v>
      </c>
      <c r="DA398" t="s">
        <v>135</v>
      </c>
      <c r="DB398" t="str">
        <f t="shared" si="32"/>
        <v>37-3011</v>
      </c>
      <c r="DC398" t="s">
        <v>920</v>
      </c>
      <c r="DD398" t="s">
        <v>134</v>
      </c>
      <c r="DE398" t="s">
        <v>134</v>
      </c>
      <c r="DF398" t="str">
        <f>""</f>
        <v/>
      </c>
      <c r="DH398" s="6">
        <v>14.88</v>
      </c>
      <c r="DI398" t="s">
        <v>344</v>
      </c>
      <c r="DK398" t="s">
        <v>345</v>
      </c>
      <c r="DR398" t="s">
        <v>7928</v>
      </c>
      <c r="DS398" s="6">
        <v>14.88</v>
      </c>
      <c r="DT398" s="2" t="s">
        <v>2219</v>
      </c>
      <c r="DU398" s="1">
        <v>44355</v>
      </c>
      <c r="DV398" s="1">
        <v>44444</v>
      </c>
    </row>
    <row r="399" spans="1:126" ht="15" customHeight="1" x14ac:dyDescent="0.35">
      <c r="A399" t="s">
        <v>7836</v>
      </c>
      <c r="B399" t="s">
        <v>318</v>
      </c>
      <c r="C399" s="1">
        <v>44328</v>
      </c>
      <c r="D399" s="1">
        <v>44355</v>
      </c>
      <c r="H399" t="s">
        <v>319</v>
      </c>
      <c r="I399" t="s">
        <v>7081</v>
      </c>
      <c r="J399" t="s">
        <v>7837</v>
      </c>
      <c r="L399" t="s">
        <v>628</v>
      </c>
      <c r="M399" t="s">
        <v>7838</v>
      </c>
      <c r="O399" t="s">
        <v>7839</v>
      </c>
      <c r="P399" t="s">
        <v>826</v>
      </c>
      <c r="Q399" s="3">
        <v>21663</v>
      </c>
      <c r="R399" t="s">
        <v>128</v>
      </c>
      <c r="T399" s="4">
        <v>14107458589</v>
      </c>
      <c r="V399" t="s">
        <v>7840</v>
      </c>
      <c r="W399" t="s">
        <v>7841</v>
      </c>
      <c r="X399" t="s">
        <v>7842</v>
      </c>
      <c r="Y399" t="s">
        <v>7843</v>
      </c>
      <c r="AA399" t="s">
        <v>494</v>
      </c>
      <c r="AB399" t="s">
        <v>129</v>
      </c>
      <c r="AC399" s="3" t="str">
        <f>"10006"</f>
        <v>10006</v>
      </c>
      <c r="AD399" t="s">
        <v>128</v>
      </c>
      <c r="AF399" s="4">
        <v>14107458589</v>
      </c>
      <c r="AH399" t="str">
        <f>"713910"</f>
        <v>713910</v>
      </c>
      <c r="AI399" t="s">
        <v>287</v>
      </c>
      <c r="AJ399" t="s">
        <v>2209</v>
      </c>
      <c r="AK399" t="s">
        <v>1459</v>
      </c>
      <c r="AL399" t="s">
        <v>2210</v>
      </c>
      <c r="AM399" t="s">
        <v>2211</v>
      </c>
      <c r="AN399" t="s">
        <v>788</v>
      </c>
      <c r="AO399" t="s">
        <v>2212</v>
      </c>
      <c r="AP399" t="s">
        <v>400</v>
      </c>
      <c r="AQ399" s="5">
        <v>75033</v>
      </c>
      <c r="AR399" t="s">
        <v>128</v>
      </c>
      <c r="AT399" s="4">
        <v>19727789690</v>
      </c>
      <c r="AV399" t="s">
        <v>2320</v>
      </c>
      <c r="AW399" t="s">
        <v>2214</v>
      </c>
      <c r="AX399" t="s">
        <v>131</v>
      </c>
      <c r="AY399" t="s">
        <v>131</v>
      </c>
      <c r="AZ399" t="s">
        <v>131</v>
      </c>
      <c r="BA399" t="s">
        <v>131</v>
      </c>
      <c r="BB399" t="s">
        <v>131</v>
      </c>
      <c r="BC399" t="s">
        <v>131</v>
      </c>
      <c r="BD399" t="s">
        <v>131</v>
      </c>
      <c r="BE399" t="s">
        <v>132</v>
      </c>
      <c r="BH399" t="s">
        <v>7844</v>
      </c>
      <c r="BI399" t="s">
        <v>131</v>
      </c>
      <c r="BL399" t="s">
        <v>167</v>
      </c>
      <c r="BO399" t="s">
        <v>131</v>
      </c>
      <c r="BP399" t="s">
        <v>134</v>
      </c>
      <c r="BQ399" t="s">
        <v>131</v>
      </c>
      <c r="BS399" t="str">
        <f t="shared" si="30"/>
        <v>N/A</v>
      </c>
      <c r="BT399" t="s">
        <v>131</v>
      </c>
      <c r="BV399" t="str">
        <f>""</f>
        <v/>
      </c>
      <c r="BW399" t="s">
        <v>135</v>
      </c>
      <c r="BX399" t="str">
        <f>""</f>
        <v/>
      </c>
      <c r="BY399" t="str">
        <f>""</f>
        <v/>
      </c>
      <c r="BZ399" t="str">
        <f>""</f>
        <v/>
      </c>
      <c r="CA399" t="str">
        <f>"Must be able to lift up to 75 lbs. Must pass a post-employment criminal background check and drug test. Must be able to work weekends and holidays. Applicants must complete an employment application. 
"</f>
        <v xml:space="preserve">Must be able to lift up to 75 lbs. Must pass a post-employment criminal background check and drug test. Must be able to work weekends and holidays. Applicants must complete an employment application. 
</v>
      </c>
      <c r="CB399" t="s">
        <v>131</v>
      </c>
      <c r="CF399" t="s">
        <v>131</v>
      </c>
      <c r="CH399" t="str">
        <f>""</f>
        <v/>
      </c>
      <c r="CI399" t="s">
        <v>131</v>
      </c>
      <c r="CK399" t="s">
        <v>131</v>
      </c>
      <c r="CL399" t="str">
        <f>""</f>
        <v/>
      </c>
      <c r="CM399" t="str">
        <f>""</f>
        <v/>
      </c>
      <c r="CN399" t="str">
        <f>""</f>
        <v/>
      </c>
      <c r="CO399" t="str">
        <f>""</f>
        <v/>
      </c>
      <c r="CP399" t="str">
        <f t="shared" si="31"/>
        <v>37-3011.00</v>
      </c>
      <c r="CQ399" t="s">
        <v>920</v>
      </c>
      <c r="CS399" t="s">
        <v>131</v>
      </c>
      <c r="CU399" t="s">
        <v>7838</v>
      </c>
      <c r="CW399" t="s">
        <v>7839</v>
      </c>
      <c r="CX399" t="s">
        <v>382</v>
      </c>
      <c r="CZ399" s="3" t="str">
        <f>"21663"</f>
        <v>21663</v>
      </c>
      <c r="DA399" t="s">
        <v>131</v>
      </c>
      <c r="DB399" t="str">
        <f t="shared" si="32"/>
        <v>37-3011</v>
      </c>
      <c r="DC399" t="s">
        <v>920</v>
      </c>
      <c r="DD399" t="s">
        <v>134</v>
      </c>
      <c r="DE399" t="s">
        <v>134</v>
      </c>
      <c r="DF399" t="str">
        <f>""</f>
        <v/>
      </c>
      <c r="DH399" s="6">
        <v>15.27</v>
      </c>
      <c r="DI399" t="s">
        <v>344</v>
      </c>
      <c r="DK399" t="s">
        <v>345</v>
      </c>
      <c r="DR399" t="s">
        <v>7845</v>
      </c>
      <c r="DS399" s="6">
        <v>15.27</v>
      </c>
      <c r="DT399" t="s">
        <v>424</v>
      </c>
      <c r="DU399" s="1">
        <v>44355</v>
      </c>
      <c r="DV399" s="1">
        <v>44444</v>
      </c>
    </row>
    <row r="400" spans="1:126" ht="15" customHeight="1" x14ac:dyDescent="0.35">
      <c r="A400" t="s">
        <v>17525</v>
      </c>
      <c r="B400" t="s">
        <v>318</v>
      </c>
      <c r="C400" s="1">
        <v>44328</v>
      </c>
      <c r="D400" s="1">
        <v>44355</v>
      </c>
      <c r="H400" t="s">
        <v>319</v>
      </c>
      <c r="I400" t="s">
        <v>10205</v>
      </c>
      <c r="J400" t="s">
        <v>6198</v>
      </c>
      <c r="L400" t="s">
        <v>395</v>
      </c>
      <c r="M400" t="s">
        <v>17526</v>
      </c>
      <c r="O400" t="s">
        <v>17527</v>
      </c>
      <c r="P400" t="s">
        <v>194</v>
      </c>
      <c r="Q400" s="3">
        <v>32405</v>
      </c>
      <c r="R400" t="s">
        <v>128</v>
      </c>
      <c r="T400" s="4">
        <v>18505276964</v>
      </c>
      <c r="V400" t="s">
        <v>17528</v>
      </c>
      <c r="W400" t="s">
        <v>17529</v>
      </c>
      <c r="Y400" t="s">
        <v>17526</v>
      </c>
      <c r="AA400" t="s">
        <v>17527</v>
      </c>
      <c r="AB400" t="s">
        <v>195</v>
      </c>
      <c r="AC400" s="3" t="str">
        <f>"32405"</f>
        <v>32405</v>
      </c>
      <c r="AD400" t="s">
        <v>128</v>
      </c>
      <c r="AF400" s="4">
        <v>18505276964</v>
      </c>
      <c r="AH400" t="str">
        <f>"5617"</f>
        <v>5617</v>
      </c>
      <c r="AI400" t="s">
        <v>287</v>
      </c>
      <c r="AJ400" t="s">
        <v>2209</v>
      </c>
      <c r="AK400" t="s">
        <v>1459</v>
      </c>
      <c r="AL400" t="s">
        <v>2210</v>
      </c>
      <c r="AM400" t="s">
        <v>2211</v>
      </c>
      <c r="AN400" t="s">
        <v>788</v>
      </c>
      <c r="AO400" t="s">
        <v>2212</v>
      </c>
      <c r="AP400" t="s">
        <v>400</v>
      </c>
      <c r="AQ400" s="5">
        <v>75033</v>
      </c>
      <c r="AR400" t="s">
        <v>128</v>
      </c>
      <c r="AT400" s="4">
        <v>19727789690</v>
      </c>
      <c r="AV400" t="s">
        <v>2320</v>
      </c>
      <c r="AW400" t="s">
        <v>2214</v>
      </c>
      <c r="AX400" t="s">
        <v>131</v>
      </c>
      <c r="AY400" t="s">
        <v>131</v>
      </c>
      <c r="AZ400" t="s">
        <v>131</v>
      </c>
      <c r="BA400" t="s">
        <v>131</v>
      </c>
      <c r="BB400" t="s">
        <v>131</v>
      </c>
      <c r="BC400" t="s">
        <v>131</v>
      </c>
      <c r="BD400" t="s">
        <v>131</v>
      </c>
      <c r="BE400" t="s">
        <v>132</v>
      </c>
      <c r="BH400" t="s">
        <v>2215</v>
      </c>
      <c r="BI400" t="s">
        <v>131</v>
      </c>
      <c r="BL400" t="s">
        <v>167</v>
      </c>
      <c r="BO400" t="s">
        <v>131</v>
      </c>
      <c r="BP400" t="s">
        <v>134</v>
      </c>
      <c r="BQ400" t="s">
        <v>131</v>
      </c>
      <c r="BS400" t="str">
        <f t="shared" si="30"/>
        <v>N/A</v>
      </c>
      <c r="BT400" t="s">
        <v>135</v>
      </c>
      <c r="BU400">
        <v>1</v>
      </c>
      <c r="BV400" t="str">
        <f>"Landscape Laborer"</f>
        <v>Landscape Laborer</v>
      </c>
      <c r="BW400" t="s">
        <v>135</v>
      </c>
      <c r="BX400" t="str">
        <f>""</f>
        <v/>
      </c>
      <c r="BY400" t="str">
        <f>""</f>
        <v/>
      </c>
      <c r="BZ400" t="str">
        <f>""</f>
        <v/>
      </c>
      <c r="CA400" t="s">
        <v>17530</v>
      </c>
      <c r="CB400" t="s">
        <v>131</v>
      </c>
      <c r="CF400" t="s">
        <v>131</v>
      </c>
      <c r="CH400" t="str">
        <f>""</f>
        <v/>
      </c>
      <c r="CI400" t="s">
        <v>131</v>
      </c>
      <c r="CK400" t="s">
        <v>131</v>
      </c>
      <c r="CL400" t="str">
        <f>""</f>
        <v/>
      </c>
      <c r="CM400" t="str">
        <f>""</f>
        <v/>
      </c>
      <c r="CN400" t="str">
        <f>""</f>
        <v/>
      </c>
      <c r="CO400" t="str">
        <f>""</f>
        <v/>
      </c>
      <c r="CP400" t="str">
        <f t="shared" si="31"/>
        <v>37-3011.00</v>
      </c>
      <c r="CQ400" t="s">
        <v>920</v>
      </c>
      <c r="CS400" t="s">
        <v>135</v>
      </c>
      <c r="CT400" t="s">
        <v>2321</v>
      </c>
      <c r="CU400" t="s">
        <v>17526</v>
      </c>
      <c r="CW400" t="s">
        <v>17527</v>
      </c>
      <c r="CX400" t="s">
        <v>195</v>
      </c>
      <c r="CZ400" s="3" t="str">
        <f>"32405"</f>
        <v>32405</v>
      </c>
      <c r="DA400" t="s">
        <v>131</v>
      </c>
      <c r="DB400" t="str">
        <f t="shared" si="32"/>
        <v>37-3011</v>
      </c>
      <c r="DC400" t="s">
        <v>920</v>
      </c>
      <c r="DD400" t="s">
        <v>134</v>
      </c>
      <c r="DE400" t="s">
        <v>134</v>
      </c>
      <c r="DF400" t="str">
        <f>""</f>
        <v/>
      </c>
      <c r="DH400" s="6">
        <v>13.69</v>
      </c>
      <c r="DI400" t="s">
        <v>344</v>
      </c>
      <c r="DK400" t="s">
        <v>345</v>
      </c>
      <c r="DR400" t="s">
        <v>9850</v>
      </c>
      <c r="DS400" s="6">
        <v>13.69</v>
      </c>
      <c r="DT400" s="2" t="s">
        <v>347</v>
      </c>
      <c r="DU400" s="1">
        <v>44355</v>
      </c>
      <c r="DV400" s="1">
        <v>44444</v>
      </c>
    </row>
    <row r="401" spans="1:126" ht="15" customHeight="1" x14ac:dyDescent="0.35">
      <c r="A401" t="s">
        <v>15482</v>
      </c>
      <c r="B401" t="s">
        <v>318</v>
      </c>
      <c r="C401" s="1">
        <v>44328</v>
      </c>
      <c r="D401" s="1">
        <v>44357</v>
      </c>
      <c r="H401" t="s">
        <v>319</v>
      </c>
      <c r="I401" t="s">
        <v>15483</v>
      </c>
      <c r="J401" t="s">
        <v>12466</v>
      </c>
      <c r="K401" t="s">
        <v>15484</v>
      </c>
      <c r="L401" t="s">
        <v>392</v>
      </c>
      <c r="M401" t="s">
        <v>15485</v>
      </c>
      <c r="O401" t="s">
        <v>835</v>
      </c>
      <c r="P401" t="s">
        <v>588</v>
      </c>
      <c r="Q401" s="3">
        <v>22191</v>
      </c>
      <c r="R401" t="s">
        <v>128</v>
      </c>
      <c r="S401" t="s">
        <v>588</v>
      </c>
      <c r="T401" s="4">
        <v>1361732209</v>
      </c>
      <c r="V401" t="s">
        <v>15486</v>
      </c>
      <c r="W401" t="s">
        <v>15487</v>
      </c>
      <c r="Y401" t="s">
        <v>15488</v>
      </c>
      <c r="AA401" t="s">
        <v>835</v>
      </c>
      <c r="AB401" t="s">
        <v>306</v>
      </c>
      <c r="AC401" s="3" t="str">
        <f>"22191"</f>
        <v>22191</v>
      </c>
      <c r="AD401" t="s">
        <v>128</v>
      </c>
      <c r="AF401" s="4">
        <v>13617322209</v>
      </c>
      <c r="AH401" t="str">
        <f>"814110"</f>
        <v>814110</v>
      </c>
      <c r="AI401" t="s">
        <v>130</v>
      </c>
      <c r="AJ401" t="s">
        <v>3311</v>
      </c>
      <c r="AK401" t="s">
        <v>15489</v>
      </c>
      <c r="AL401" t="s">
        <v>1198</v>
      </c>
      <c r="AM401" t="s">
        <v>15490</v>
      </c>
      <c r="AN401" t="s">
        <v>15491</v>
      </c>
      <c r="AO401" t="s">
        <v>10340</v>
      </c>
      <c r="AP401" t="s">
        <v>306</v>
      </c>
      <c r="AQ401" s="5">
        <v>22003</v>
      </c>
      <c r="AR401" t="s">
        <v>128</v>
      </c>
      <c r="AT401" s="4">
        <v>16025023096</v>
      </c>
      <c r="AV401" t="s">
        <v>15486</v>
      </c>
      <c r="AW401" t="s">
        <v>15492</v>
      </c>
      <c r="AX401" t="s">
        <v>131</v>
      </c>
      <c r="AY401" t="s">
        <v>131</v>
      </c>
      <c r="AZ401" t="s">
        <v>131</v>
      </c>
      <c r="BA401" t="s">
        <v>131</v>
      </c>
      <c r="BB401" t="s">
        <v>131</v>
      </c>
      <c r="BC401" t="s">
        <v>131</v>
      </c>
      <c r="BD401" t="s">
        <v>131</v>
      </c>
      <c r="BE401" t="s">
        <v>160</v>
      </c>
      <c r="BF401" t="s">
        <v>15493</v>
      </c>
      <c r="BG401" s="1">
        <v>44197</v>
      </c>
      <c r="BH401" t="s">
        <v>6084</v>
      </c>
      <c r="BI401" t="s">
        <v>131</v>
      </c>
      <c r="BL401" t="s">
        <v>167</v>
      </c>
      <c r="BO401" t="s">
        <v>131</v>
      </c>
      <c r="BP401" t="s">
        <v>134</v>
      </c>
      <c r="BQ401" t="s">
        <v>131</v>
      </c>
      <c r="BS401" t="str">
        <f t="shared" si="30"/>
        <v>N/A</v>
      </c>
      <c r="BT401" t="s">
        <v>131</v>
      </c>
      <c r="BV401" t="str">
        <f>""</f>
        <v/>
      </c>
      <c r="BW401" t="s">
        <v>131</v>
      </c>
      <c r="BX401" t="str">
        <f>""</f>
        <v/>
      </c>
      <c r="BY401" t="str">
        <f>""</f>
        <v/>
      </c>
      <c r="BZ401" t="str">
        <f>""</f>
        <v/>
      </c>
      <c r="CA401" t="str">
        <f>""</f>
        <v/>
      </c>
      <c r="CB401" t="s">
        <v>131</v>
      </c>
      <c r="CF401" t="s">
        <v>131</v>
      </c>
      <c r="CH401" t="str">
        <f>""</f>
        <v/>
      </c>
      <c r="CI401" t="s">
        <v>131</v>
      </c>
      <c r="CK401" t="s">
        <v>131</v>
      </c>
      <c r="CL401" t="str">
        <f>""</f>
        <v/>
      </c>
      <c r="CM401" t="str">
        <f>""</f>
        <v/>
      </c>
      <c r="CN401" t="str">
        <f>""</f>
        <v/>
      </c>
      <c r="CO401" t="str">
        <f>""</f>
        <v/>
      </c>
      <c r="CP401" t="str">
        <f>"39-9011.01"</f>
        <v>39-9011.01</v>
      </c>
      <c r="CQ401" t="s">
        <v>339</v>
      </c>
      <c r="CR401" t="s">
        <v>2109</v>
      </c>
      <c r="CS401" t="s">
        <v>131</v>
      </c>
      <c r="CU401" t="s">
        <v>15485</v>
      </c>
      <c r="CW401" t="s">
        <v>835</v>
      </c>
      <c r="CX401" t="s">
        <v>306</v>
      </c>
      <c r="CZ401" s="3" t="str">
        <f>"22191"</f>
        <v>22191</v>
      </c>
      <c r="DA401" t="s">
        <v>131</v>
      </c>
      <c r="DB401" t="str">
        <f>"39-9011"</f>
        <v>39-9011</v>
      </c>
      <c r="DC401" t="s">
        <v>342</v>
      </c>
      <c r="DD401" t="s">
        <v>343</v>
      </c>
      <c r="DE401" t="s">
        <v>339</v>
      </c>
      <c r="DF401" t="str">
        <f>""</f>
        <v/>
      </c>
      <c r="DH401" s="6">
        <v>14.2</v>
      </c>
      <c r="DI401" t="s">
        <v>344</v>
      </c>
      <c r="DK401" t="s">
        <v>345</v>
      </c>
      <c r="DR401" t="s">
        <v>9742</v>
      </c>
      <c r="DS401" s="6">
        <v>14.2</v>
      </c>
      <c r="DT401" s="2" t="s">
        <v>15494</v>
      </c>
      <c r="DU401" s="1">
        <v>44357</v>
      </c>
      <c r="DV401" s="1">
        <v>44446</v>
      </c>
    </row>
    <row r="402" spans="1:126" ht="15" customHeight="1" x14ac:dyDescent="0.35">
      <c r="A402" t="s">
        <v>17553</v>
      </c>
      <c r="B402" t="s">
        <v>318</v>
      </c>
      <c r="C402" s="1">
        <v>44328</v>
      </c>
      <c r="D402" s="1">
        <v>44357</v>
      </c>
      <c r="H402" t="s">
        <v>319</v>
      </c>
      <c r="I402" t="s">
        <v>2819</v>
      </c>
      <c r="J402" t="s">
        <v>15890</v>
      </c>
      <c r="K402" t="s">
        <v>134</v>
      </c>
      <c r="L402" t="s">
        <v>1105</v>
      </c>
      <c r="M402" t="s">
        <v>17554</v>
      </c>
      <c r="N402" t="s">
        <v>17555</v>
      </c>
      <c r="O402" t="s">
        <v>10595</v>
      </c>
      <c r="P402" t="s">
        <v>818</v>
      </c>
      <c r="Q402" s="3">
        <v>30161</v>
      </c>
      <c r="R402" t="s">
        <v>128</v>
      </c>
      <c r="T402" s="4">
        <v>16788771361</v>
      </c>
      <c r="V402" t="s">
        <v>9942</v>
      </c>
      <c r="W402" t="s">
        <v>17556</v>
      </c>
      <c r="Y402" t="s">
        <v>17554</v>
      </c>
      <c r="Z402" t="s">
        <v>17555</v>
      </c>
      <c r="AA402" t="s">
        <v>10595</v>
      </c>
      <c r="AB402" t="s">
        <v>643</v>
      </c>
      <c r="AC402" s="3" t="str">
        <f>"30161"</f>
        <v>30161</v>
      </c>
      <c r="AD402" t="s">
        <v>128</v>
      </c>
      <c r="AF402" s="4">
        <v>16788771361</v>
      </c>
      <c r="AH402" t="str">
        <f>"11531"</f>
        <v>11531</v>
      </c>
      <c r="AI402" t="s">
        <v>287</v>
      </c>
      <c r="AJ402" t="s">
        <v>9944</v>
      </c>
      <c r="AK402" t="s">
        <v>9945</v>
      </c>
      <c r="AL402" t="s">
        <v>355</v>
      </c>
      <c r="AM402" t="s">
        <v>2048</v>
      </c>
      <c r="AN402" t="s">
        <v>9946</v>
      </c>
      <c r="AO402" t="s">
        <v>9947</v>
      </c>
      <c r="AP402" t="s">
        <v>1243</v>
      </c>
      <c r="AQ402" s="5">
        <v>83814</v>
      </c>
      <c r="AR402" t="s">
        <v>128</v>
      </c>
      <c r="AT402" s="4">
        <v>12087772654</v>
      </c>
      <c r="AV402" t="s">
        <v>9942</v>
      </c>
      <c r="AW402" t="s">
        <v>4715</v>
      </c>
      <c r="AX402" t="s">
        <v>131</v>
      </c>
      <c r="AY402" t="s">
        <v>131</v>
      </c>
      <c r="AZ402" t="s">
        <v>131</v>
      </c>
      <c r="BA402" t="s">
        <v>131</v>
      </c>
      <c r="BB402" t="s">
        <v>131</v>
      </c>
      <c r="BC402" t="s">
        <v>131</v>
      </c>
      <c r="BD402" t="s">
        <v>131</v>
      </c>
      <c r="BE402" t="s">
        <v>132</v>
      </c>
      <c r="BH402" t="s">
        <v>6431</v>
      </c>
      <c r="BI402" t="s">
        <v>131</v>
      </c>
      <c r="BL402" t="s">
        <v>167</v>
      </c>
      <c r="BO402" t="s">
        <v>131</v>
      </c>
      <c r="BP402" t="s">
        <v>134</v>
      </c>
      <c r="BQ402" t="s">
        <v>131</v>
      </c>
      <c r="BS402" t="str">
        <f t="shared" si="30"/>
        <v>N/A</v>
      </c>
      <c r="BT402" t="s">
        <v>131</v>
      </c>
      <c r="BV402" t="str">
        <f>""</f>
        <v/>
      </c>
      <c r="BW402" t="s">
        <v>135</v>
      </c>
      <c r="BX402" t="str">
        <f>""</f>
        <v/>
      </c>
      <c r="BY402" t="str">
        <f>""</f>
        <v/>
      </c>
      <c r="BZ402" t="str">
        <f>""</f>
        <v/>
      </c>
      <c r="CA402" t="s">
        <v>7623</v>
      </c>
      <c r="CB402" t="s">
        <v>131</v>
      </c>
      <c r="CF402" t="s">
        <v>131</v>
      </c>
      <c r="CH402" t="str">
        <f>""</f>
        <v/>
      </c>
      <c r="CI402" t="s">
        <v>131</v>
      </c>
      <c r="CK402" t="s">
        <v>131</v>
      </c>
      <c r="CL402" t="str">
        <f>""</f>
        <v/>
      </c>
      <c r="CM402" t="str">
        <f>""</f>
        <v/>
      </c>
      <c r="CN402" t="str">
        <f>""</f>
        <v/>
      </c>
      <c r="CO402" t="str">
        <f>""</f>
        <v/>
      </c>
      <c r="CP402" t="str">
        <f>"45-4011.00"</f>
        <v>45-4011.00</v>
      </c>
      <c r="CQ402" t="s">
        <v>4310</v>
      </c>
      <c r="CS402" t="s">
        <v>135</v>
      </c>
      <c r="CT402" s="2" t="s">
        <v>17557</v>
      </c>
      <c r="CU402" t="s">
        <v>17558</v>
      </c>
      <c r="CW402" t="s">
        <v>17559</v>
      </c>
      <c r="CX402" t="s">
        <v>306</v>
      </c>
      <c r="CZ402" s="3" t="str">
        <f>"22980"</f>
        <v>22980</v>
      </c>
      <c r="DA402" t="s">
        <v>135</v>
      </c>
      <c r="DB402" t="str">
        <f>"45-4011"</f>
        <v>45-4011</v>
      </c>
      <c r="DC402" t="s">
        <v>4310</v>
      </c>
      <c r="DD402" t="s">
        <v>134</v>
      </c>
      <c r="DE402" t="s">
        <v>134</v>
      </c>
      <c r="DF402" t="str">
        <f>""</f>
        <v/>
      </c>
      <c r="DH402" s="6">
        <v>13.69</v>
      </c>
      <c r="DI402" t="s">
        <v>344</v>
      </c>
      <c r="DK402" t="s">
        <v>345</v>
      </c>
      <c r="DS402" s="6">
        <v>31.19</v>
      </c>
      <c r="DT402" s="2" t="s">
        <v>347</v>
      </c>
      <c r="DU402" s="1">
        <v>44357</v>
      </c>
      <c r="DV402" s="1">
        <v>44446</v>
      </c>
    </row>
    <row r="403" spans="1:126" ht="15" customHeight="1" x14ac:dyDescent="0.35">
      <c r="A403" t="s">
        <v>9133</v>
      </c>
      <c r="B403" t="s">
        <v>318</v>
      </c>
      <c r="C403" s="1">
        <v>44328</v>
      </c>
      <c r="D403" s="1">
        <v>44355</v>
      </c>
      <c r="H403" t="s">
        <v>319</v>
      </c>
      <c r="I403" t="s">
        <v>9134</v>
      </c>
      <c r="J403" t="s">
        <v>9135</v>
      </c>
      <c r="L403" t="s">
        <v>1502</v>
      </c>
      <c r="M403" t="s">
        <v>9136</v>
      </c>
      <c r="N403" t="s">
        <v>134</v>
      </c>
      <c r="O403" t="s">
        <v>9137</v>
      </c>
      <c r="P403" t="s">
        <v>811</v>
      </c>
      <c r="Q403" s="3">
        <v>29945</v>
      </c>
      <c r="R403" t="s">
        <v>128</v>
      </c>
      <c r="S403" t="s">
        <v>134</v>
      </c>
      <c r="T403" s="4">
        <v>18438447700</v>
      </c>
      <c r="V403" t="s">
        <v>9138</v>
      </c>
      <c r="W403" t="s">
        <v>9139</v>
      </c>
      <c r="X403" t="s">
        <v>134</v>
      </c>
      <c r="Y403" t="s">
        <v>9136</v>
      </c>
      <c r="Z403" t="s">
        <v>134</v>
      </c>
      <c r="AA403" t="s">
        <v>9137</v>
      </c>
      <c r="AB403" t="s">
        <v>812</v>
      </c>
      <c r="AC403" s="3" t="str">
        <f>"29945"</f>
        <v>29945</v>
      </c>
      <c r="AD403" t="s">
        <v>128</v>
      </c>
      <c r="AE403" t="s">
        <v>134</v>
      </c>
      <c r="AF403" s="4">
        <v>18438448000</v>
      </c>
      <c r="AH403" t="str">
        <f>"713910"</f>
        <v>713910</v>
      </c>
      <c r="AI403" t="s">
        <v>130</v>
      </c>
      <c r="AJ403" t="s">
        <v>1386</v>
      </c>
      <c r="AK403" t="s">
        <v>1387</v>
      </c>
      <c r="AL403" t="s">
        <v>1036</v>
      </c>
      <c r="AM403" t="s">
        <v>1388</v>
      </c>
      <c r="AN403" t="s">
        <v>997</v>
      </c>
      <c r="AO403" t="s">
        <v>719</v>
      </c>
      <c r="AP403" t="s">
        <v>377</v>
      </c>
      <c r="AQ403" s="5">
        <v>1701</v>
      </c>
      <c r="AR403" t="s">
        <v>128</v>
      </c>
      <c r="AS403" t="s">
        <v>134</v>
      </c>
      <c r="AT403" s="4">
        <v>16179399444</v>
      </c>
      <c r="AV403" t="s">
        <v>1389</v>
      </c>
      <c r="AW403" t="s">
        <v>1390</v>
      </c>
      <c r="AX403" t="s">
        <v>131</v>
      </c>
      <c r="AY403" t="s">
        <v>131</v>
      </c>
      <c r="AZ403" t="s">
        <v>131</v>
      </c>
      <c r="BA403" t="s">
        <v>131</v>
      </c>
      <c r="BB403" t="s">
        <v>131</v>
      </c>
      <c r="BC403" t="s">
        <v>131</v>
      </c>
      <c r="BD403" t="s">
        <v>131</v>
      </c>
      <c r="BE403" t="s">
        <v>132</v>
      </c>
      <c r="BH403" t="s">
        <v>1213</v>
      </c>
      <c r="BI403" t="s">
        <v>131</v>
      </c>
      <c r="BL403" t="s">
        <v>167</v>
      </c>
      <c r="BO403" t="s">
        <v>131</v>
      </c>
      <c r="BP403" t="s">
        <v>134</v>
      </c>
      <c r="BQ403" t="s">
        <v>131</v>
      </c>
      <c r="BS403" t="str">
        <f t="shared" si="30"/>
        <v>N/A</v>
      </c>
      <c r="BT403" t="s">
        <v>135</v>
      </c>
      <c r="BU403">
        <v>3</v>
      </c>
      <c r="BV403" t="str">
        <f>"Server"</f>
        <v>Server</v>
      </c>
      <c r="BW403" t="s">
        <v>135</v>
      </c>
      <c r="BX403" t="str">
        <f>""</f>
        <v/>
      </c>
      <c r="BY403" t="str">
        <f>""</f>
        <v/>
      </c>
      <c r="BZ403" t="str">
        <f>""</f>
        <v/>
      </c>
      <c r="CA403" s="2" t="s">
        <v>5409</v>
      </c>
      <c r="CB403" t="s">
        <v>131</v>
      </c>
      <c r="CF403" t="s">
        <v>131</v>
      </c>
      <c r="CH403" t="str">
        <f>""</f>
        <v/>
      </c>
      <c r="CI403" t="s">
        <v>131</v>
      </c>
      <c r="CK403" t="s">
        <v>131</v>
      </c>
      <c r="CL403" t="str">
        <f>""</f>
        <v/>
      </c>
      <c r="CM403" t="str">
        <f>""</f>
        <v/>
      </c>
      <c r="CN403" t="str">
        <f>""</f>
        <v/>
      </c>
      <c r="CO403" t="str">
        <f>""</f>
        <v/>
      </c>
      <c r="CP403" t="str">
        <f>"35-3031.00"</f>
        <v>35-3031.00</v>
      </c>
      <c r="CQ403" t="s">
        <v>1214</v>
      </c>
      <c r="CR403" t="s">
        <v>7967</v>
      </c>
      <c r="CS403" t="s">
        <v>131</v>
      </c>
      <c r="CU403" t="s">
        <v>9136</v>
      </c>
      <c r="CV403" t="s">
        <v>134</v>
      </c>
      <c r="CW403" t="s">
        <v>9137</v>
      </c>
      <c r="CX403" t="s">
        <v>812</v>
      </c>
      <c r="CZ403" s="3" t="str">
        <f>"29945"</f>
        <v>29945</v>
      </c>
      <c r="DA403" t="s">
        <v>131</v>
      </c>
      <c r="DB403" t="str">
        <f>"35-3031"</f>
        <v>35-3031</v>
      </c>
      <c r="DC403" t="s">
        <v>1214</v>
      </c>
      <c r="DD403" t="s">
        <v>134</v>
      </c>
      <c r="DE403" t="s">
        <v>134</v>
      </c>
      <c r="DF403" t="str">
        <f>"35-9021.00"</f>
        <v>35-9021.00</v>
      </c>
      <c r="DG403" t="s">
        <v>2552</v>
      </c>
      <c r="DH403" s="6">
        <v>10.19</v>
      </c>
      <c r="DI403" t="s">
        <v>344</v>
      </c>
      <c r="DK403" t="s">
        <v>345</v>
      </c>
      <c r="DS403" s="6">
        <v>10.19</v>
      </c>
      <c r="DT403" t="s">
        <v>424</v>
      </c>
      <c r="DU403" s="1">
        <v>44355</v>
      </c>
      <c r="DV403" s="1">
        <v>44444</v>
      </c>
    </row>
    <row r="404" spans="1:126" ht="15" customHeight="1" x14ac:dyDescent="0.35">
      <c r="A404" t="s">
        <v>15314</v>
      </c>
      <c r="B404" t="s">
        <v>318</v>
      </c>
      <c r="C404" s="1">
        <v>44328</v>
      </c>
      <c r="D404" s="1">
        <v>44355</v>
      </c>
      <c r="H404" t="s">
        <v>319</v>
      </c>
      <c r="I404" t="s">
        <v>15315</v>
      </c>
      <c r="J404" t="s">
        <v>1313</v>
      </c>
      <c r="L404" t="s">
        <v>3767</v>
      </c>
      <c r="M404" t="s">
        <v>15316</v>
      </c>
      <c r="O404" t="s">
        <v>15317</v>
      </c>
      <c r="P404" t="s">
        <v>778</v>
      </c>
      <c r="Q404" s="3">
        <v>37327</v>
      </c>
      <c r="R404" t="s">
        <v>128</v>
      </c>
      <c r="T404" s="4">
        <v>14239495500</v>
      </c>
      <c r="V404" t="s">
        <v>15318</v>
      </c>
      <c r="W404" t="s">
        <v>15319</v>
      </c>
      <c r="Y404" t="s">
        <v>15316</v>
      </c>
      <c r="AA404" t="s">
        <v>15317</v>
      </c>
      <c r="AB404" t="s">
        <v>779</v>
      </c>
      <c r="AC404" s="3" t="str">
        <f>"37327"</f>
        <v>37327</v>
      </c>
      <c r="AD404" t="s">
        <v>128</v>
      </c>
      <c r="AF404" s="4">
        <v>14239495500</v>
      </c>
      <c r="AH404" t="str">
        <f>"2123"</f>
        <v>2123</v>
      </c>
      <c r="AI404" t="s">
        <v>287</v>
      </c>
      <c r="AJ404" t="s">
        <v>2209</v>
      </c>
      <c r="AK404" t="s">
        <v>1459</v>
      </c>
      <c r="AL404" t="s">
        <v>2210</v>
      </c>
      <c r="AM404" t="s">
        <v>2211</v>
      </c>
      <c r="AN404" t="s">
        <v>788</v>
      </c>
      <c r="AO404" t="s">
        <v>2212</v>
      </c>
      <c r="AP404" t="s">
        <v>400</v>
      </c>
      <c r="AQ404" s="5">
        <v>75033</v>
      </c>
      <c r="AR404" t="s">
        <v>128</v>
      </c>
      <c r="AT404" s="4">
        <v>19727789690</v>
      </c>
      <c r="AV404" t="s">
        <v>2320</v>
      </c>
      <c r="AW404" t="s">
        <v>2214</v>
      </c>
      <c r="AX404" t="s">
        <v>131</v>
      </c>
      <c r="AY404" t="s">
        <v>131</v>
      </c>
      <c r="AZ404" t="s">
        <v>131</v>
      </c>
      <c r="BA404" t="s">
        <v>131</v>
      </c>
      <c r="BB404" t="s">
        <v>131</v>
      </c>
      <c r="BC404" t="s">
        <v>131</v>
      </c>
      <c r="BD404" t="s">
        <v>131</v>
      </c>
      <c r="BE404" t="s">
        <v>132</v>
      </c>
      <c r="BH404" t="s">
        <v>15320</v>
      </c>
      <c r="BI404" t="s">
        <v>131</v>
      </c>
      <c r="BL404" t="s">
        <v>167</v>
      </c>
      <c r="BO404" t="s">
        <v>131</v>
      </c>
      <c r="BP404" t="s">
        <v>134</v>
      </c>
      <c r="BQ404" t="s">
        <v>131</v>
      </c>
      <c r="BS404" t="str">
        <f t="shared" si="30"/>
        <v>N/A</v>
      </c>
      <c r="BT404" t="s">
        <v>131</v>
      </c>
      <c r="BV404" t="str">
        <f>""</f>
        <v/>
      </c>
      <c r="BW404" t="s">
        <v>135</v>
      </c>
      <c r="BX404" t="str">
        <f>""</f>
        <v/>
      </c>
      <c r="BY404" t="str">
        <f>""</f>
        <v/>
      </c>
      <c r="BZ404" t="str">
        <f>""</f>
        <v/>
      </c>
      <c r="CA404" t="str">
        <f>"Must be able to lift 50 lbs. Must pass a pre-employment criminal background check and drug test. Applicants must complete an employment application."</f>
        <v>Must be able to lift 50 lbs. Must pass a pre-employment criminal background check and drug test. Applicants must complete an employment application.</v>
      </c>
      <c r="CB404" t="s">
        <v>131</v>
      </c>
      <c r="CF404" t="s">
        <v>131</v>
      </c>
      <c r="CH404" t="str">
        <f>""</f>
        <v/>
      </c>
      <c r="CI404" t="s">
        <v>131</v>
      </c>
      <c r="CK404" t="s">
        <v>131</v>
      </c>
      <c r="CL404" t="str">
        <f>""</f>
        <v/>
      </c>
      <c r="CM404" t="str">
        <f>""</f>
        <v/>
      </c>
      <c r="CN404" t="str">
        <f>""</f>
        <v/>
      </c>
      <c r="CO404" t="str">
        <f>""</f>
        <v/>
      </c>
      <c r="CP404" t="str">
        <f>"47-5081.00"</f>
        <v>47-5081.00</v>
      </c>
      <c r="CQ404" t="s">
        <v>15321</v>
      </c>
      <c r="CS404" t="s">
        <v>135</v>
      </c>
      <c r="CT404" t="s">
        <v>2321</v>
      </c>
      <c r="CU404" t="s">
        <v>15316</v>
      </c>
      <c r="CW404" t="s">
        <v>15317</v>
      </c>
      <c r="CX404" t="s">
        <v>779</v>
      </c>
      <c r="CZ404" s="3" t="str">
        <f>"37327"</f>
        <v>37327</v>
      </c>
      <c r="DA404" t="s">
        <v>131</v>
      </c>
      <c r="DB404" t="str">
        <f>"47-5081"</f>
        <v>47-5081</v>
      </c>
      <c r="DC404" t="s">
        <v>15321</v>
      </c>
      <c r="DD404" t="s">
        <v>134</v>
      </c>
      <c r="DE404" t="s">
        <v>134</v>
      </c>
      <c r="DF404" t="str">
        <f>""</f>
        <v/>
      </c>
      <c r="DH404" s="6">
        <v>15.35</v>
      </c>
      <c r="DI404" t="s">
        <v>344</v>
      </c>
      <c r="DK404" t="s">
        <v>345</v>
      </c>
      <c r="DR404" t="s">
        <v>15322</v>
      </c>
      <c r="DS404" s="6">
        <v>15.35</v>
      </c>
      <c r="DT404" s="2" t="s">
        <v>347</v>
      </c>
      <c r="DU404" s="1">
        <v>44355</v>
      </c>
      <c r="DV404" s="1">
        <v>44444</v>
      </c>
    </row>
    <row r="405" spans="1:126" ht="15" customHeight="1" x14ac:dyDescent="0.35">
      <c r="A405" t="s">
        <v>18191</v>
      </c>
      <c r="B405" t="s">
        <v>318</v>
      </c>
      <c r="C405" s="1">
        <v>44328</v>
      </c>
      <c r="D405" s="1">
        <v>44355</v>
      </c>
      <c r="H405" t="s">
        <v>319</v>
      </c>
      <c r="I405" t="s">
        <v>18192</v>
      </c>
      <c r="J405" t="s">
        <v>9135</v>
      </c>
      <c r="L405" t="s">
        <v>1502</v>
      </c>
      <c r="M405" t="s">
        <v>9136</v>
      </c>
      <c r="N405" t="s">
        <v>134</v>
      </c>
      <c r="O405" t="s">
        <v>9137</v>
      </c>
      <c r="P405" t="s">
        <v>811</v>
      </c>
      <c r="Q405" s="3">
        <v>29945</v>
      </c>
      <c r="R405" t="s">
        <v>128</v>
      </c>
      <c r="S405" t="s">
        <v>134</v>
      </c>
      <c r="T405" s="4">
        <v>18438447700</v>
      </c>
      <c r="V405" t="s">
        <v>9138</v>
      </c>
      <c r="W405" t="s">
        <v>9139</v>
      </c>
      <c r="X405" t="s">
        <v>134</v>
      </c>
      <c r="Y405" t="s">
        <v>9136</v>
      </c>
      <c r="Z405" t="s">
        <v>134</v>
      </c>
      <c r="AA405" t="s">
        <v>9137</v>
      </c>
      <c r="AB405" t="s">
        <v>812</v>
      </c>
      <c r="AC405" s="3" t="str">
        <f>"29945"</f>
        <v>29945</v>
      </c>
      <c r="AD405" t="s">
        <v>128</v>
      </c>
      <c r="AE405" t="s">
        <v>134</v>
      </c>
      <c r="AF405" s="4">
        <v>18438448000</v>
      </c>
      <c r="AH405" t="str">
        <f>"713910"</f>
        <v>713910</v>
      </c>
      <c r="AI405" t="s">
        <v>130</v>
      </c>
      <c r="AJ405" t="s">
        <v>1386</v>
      </c>
      <c r="AK405" t="s">
        <v>1387</v>
      </c>
      <c r="AL405" t="s">
        <v>1036</v>
      </c>
      <c r="AM405" t="s">
        <v>1388</v>
      </c>
      <c r="AN405" t="s">
        <v>997</v>
      </c>
      <c r="AO405" t="s">
        <v>719</v>
      </c>
      <c r="AP405" t="s">
        <v>377</v>
      </c>
      <c r="AQ405" s="5">
        <v>1701</v>
      </c>
      <c r="AR405" t="s">
        <v>128</v>
      </c>
      <c r="AS405" t="s">
        <v>134</v>
      </c>
      <c r="AT405" s="4">
        <v>16179399444</v>
      </c>
      <c r="AV405" t="s">
        <v>1389</v>
      </c>
      <c r="AW405" t="s">
        <v>1390</v>
      </c>
      <c r="AX405" t="s">
        <v>131</v>
      </c>
      <c r="AY405" t="s">
        <v>131</v>
      </c>
      <c r="AZ405" t="s">
        <v>131</v>
      </c>
      <c r="BA405" t="s">
        <v>131</v>
      </c>
      <c r="BB405" t="s">
        <v>131</v>
      </c>
      <c r="BC405" t="s">
        <v>131</v>
      </c>
      <c r="BD405" t="s">
        <v>131</v>
      </c>
      <c r="BE405" t="s">
        <v>132</v>
      </c>
      <c r="BH405" t="s">
        <v>1639</v>
      </c>
      <c r="BI405" t="s">
        <v>131</v>
      </c>
      <c r="BL405" t="s">
        <v>167</v>
      </c>
      <c r="BO405" t="s">
        <v>131</v>
      </c>
      <c r="BP405" t="s">
        <v>134</v>
      </c>
      <c r="BQ405" t="s">
        <v>131</v>
      </c>
      <c r="BS405" t="str">
        <f t="shared" si="30"/>
        <v>N/A</v>
      </c>
      <c r="BT405" t="s">
        <v>135</v>
      </c>
      <c r="BU405">
        <v>3</v>
      </c>
      <c r="BV405" t="str">
        <f>"Housekeeper"</f>
        <v>Housekeeper</v>
      </c>
      <c r="BW405" t="s">
        <v>135</v>
      </c>
      <c r="BX405" t="str">
        <f>""</f>
        <v/>
      </c>
      <c r="BY405" t="str">
        <f>""</f>
        <v/>
      </c>
      <c r="BZ405" t="str">
        <f>""</f>
        <v/>
      </c>
      <c r="CA405" s="2" t="s">
        <v>18193</v>
      </c>
      <c r="CB405" t="s">
        <v>131</v>
      </c>
      <c r="CF405" t="s">
        <v>131</v>
      </c>
      <c r="CH405" t="str">
        <f>""</f>
        <v/>
      </c>
      <c r="CI405" t="s">
        <v>131</v>
      </c>
      <c r="CK405" t="s">
        <v>131</v>
      </c>
      <c r="CL405" t="str">
        <f>""</f>
        <v/>
      </c>
      <c r="CM405" t="str">
        <f>""</f>
        <v/>
      </c>
      <c r="CN405" t="str">
        <f>""</f>
        <v/>
      </c>
      <c r="CO405" t="str">
        <f>""</f>
        <v/>
      </c>
      <c r="CP405" t="str">
        <f>"37-2012.00"</f>
        <v>37-2012.00</v>
      </c>
      <c r="CQ405" t="s">
        <v>479</v>
      </c>
      <c r="CR405" t="s">
        <v>15139</v>
      </c>
      <c r="CS405" t="s">
        <v>131</v>
      </c>
      <c r="CU405" t="s">
        <v>9136</v>
      </c>
      <c r="CV405" t="s">
        <v>134</v>
      </c>
      <c r="CW405" t="s">
        <v>9137</v>
      </c>
      <c r="CX405" t="s">
        <v>812</v>
      </c>
      <c r="CZ405" s="3" t="str">
        <f>"29945"</f>
        <v>29945</v>
      </c>
      <c r="DA405" t="s">
        <v>131</v>
      </c>
      <c r="DB405" t="str">
        <f>"37-2012"</f>
        <v>37-2012</v>
      </c>
      <c r="DC405" t="s">
        <v>479</v>
      </c>
      <c r="DD405" t="s">
        <v>134</v>
      </c>
      <c r="DE405" t="s">
        <v>134</v>
      </c>
      <c r="DF405" t="str">
        <f>""</f>
        <v/>
      </c>
      <c r="DH405" s="6">
        <v>9.85</v>
      </c>
      <c r="DI405" t="s">
        <v>344</v>
      </c>
      <c r="DK405" t="s">
        <v>345</v>
      </c>
      <c r="DS405" s="6">
        <v>9.85</v>
      </c>
      <c r="DT405" t="s">
        <v>424</v>
      </c>
      <c r="DU405" s="1">
        <v>44355</v>
      </c>
      <c r="DV405" s="1">
        <v>44444</v>
      </c>
    </row>
    <row r="406" spans="1:126" ht="15" customHeight="1" x14ac:dyDescent="0.35">
      <c r="A406" t="s">
        <v>15418</v>
      </c>
      <c r="B406" t="s">
        <v>318</v>
      </c>
      <c r="C406" s="1">
        <v>44328</v>
      </c>
      <c r="D406" s="1">
        <v>44355</v>
      </c>
      <c r="H406" t="s">
        <v>319</v>
      </c>
      <c r="I406" t="s">
        <v>9134</v>
      </c>
      <c r="J406" t="s">
        <v>9135</v>
      </c>
      <c r="L406" t="s">
        <v>1502</v>
      </c>
      <c r="M406" t="s">
        <v>9136</v>
      </c>
      <c r="N406" t="s">
        <v>134</v>
      </c>
      <c r="O406" t="s">
        <v>9137</v>
      </c>
      <c r="P406" t="s">
        <v>811</v>
      </c>
      <c r="Q406" s="3">
        <v>29945</v>
      </c>
      <c r="R406" t="s">
        <v>128</v>
      </c>
      <c r="S406" t="s">
        <v>134</v>
      </c>
      <c r="T406" s="4">
        <v>18438447700</v>
      </c>
      <c r="V406" t="s">
        <v>9138</v>
      </c>
      <c r="W406" t="s">
        <v>9139</v>
      </c>
      <c r="X406" t="s">
        <v>134</v>
      </c>
      <c r="Y406" t="s">
        <v>9136</v>
      </c>
      <c r="Z406" t="s">
        <v>134</v>
      </c>
      <c r="AA406" t="s">
        <v>9137</v>
      </c>
      <c r="AB406" t="s">
        <v>812</v>
      </c>
      <c r="AC406" s="3" t="str">
        <f>"29945"</f>
        <v>29945</v>
      </c>
      <c r="AD406" t="s">
        <v>128</v>
      </c>
      <c r="AE406" t="s">
        <v>134</v>
      </c>
      <c r="AF406" s="4">
        <v>18438448000</v>
      </c>
      <c r="AH406" t="str">
        <f>"713910"</f>
        <v>713910</v>
      </c>
      <c r="AI406" t="s">
        <v>130</v>
      </c>
      <c r="AJ406" t="s">
        <v>1386</v>
      </c>
      <c r="AK406" t="s">
        <v>1387</v>
      </c>
      <c r="AL406" t="s">
        <v>1036</v>
      </c>
      <c r="AM406" t="s">
        <v>1388</v>
      </c>
      <c r="AN406" t="s">
        <v>997</v>
      </c>
      <c r="AO406" t="s">
        <v>719</v>
      </c>
      <c r="AP406" t="s">
        <v>377</v>
      </c>
      <c r="AQ406" s="5">
        <v>1701</v>
      </c>
      <c r="AR406" t="s">
        <v>128</v>
      </c>
      <c r="AS406" t="s">
        <v>134</v>
      </c>
      <c r="AT406" s="4">
        <v>16179399444</v>
      </c>
      <c r="AV406" t="s">
        <v>1389</v>
      </c>
      <c r="AW406" t="s">
        <v>1390</v>
      </c>
      <c r="AX406" t="s">
        <v>131</v>
      </c>
      <c r="AY406" t="s">
        <v>131</v>
      </c>
      <c r="AZ406" t="s">
        <v>131</v>
      </c>
      <c r="BA406" t="s">
        <v>131</v>
      </c>
      <c r="BB406" t="s">
        <v>131</v>
      </c>
      <c r="BC406" t="s">
        <v>131</v>
      </c>
      <c r="BD406" t="s">
        <v>131</v>
      </c>
      <c r="BE406" t="s">
        <v>132</v>
      </c>
      <c r="BH406" t="s">
        <v>7233</v>
      </c>
      <c r="BI406" t="s">
        <v>131</v>
      </c>
      <c r="BL406" t="s">
        <v>167</v>
      </c>
      <c r="BO406" t="s">
        <v>131</v>
      </c>
      <c r="BP406" t="s">
        <v>134</v>
      </c>
      <c r="BQ406" t="s">
        <v>131</v>
      </c>
      <c r="BS406" t="str">
        <f t="shared" si="30"/>
        <v>N/A</v>
      </c>
      <c r="BT406" t="s">
        <v>135</v>
      </c>
      <c r="BU406">
        <v>6</v>
      </c>
      <c r="BV406" t="str">
        <f>"Sous Chef"</f>
        <v>Sous Chef</v>
      </c>
      <c r="BW406" t="s">
        <v>135</v>
      </c>
      <c r="BX406" t="str">
        <f>""</f>
        <v/>
      </c>
      <c r="BY406" t="str">
        <f>""</f>
        <v/>
      </c>
      <c r="BZ406" t="str">
        <f>""</f>
        <v/>
      </c>
      <c r="CA406" s="2" t="s">
        <v>13825</v>
      </c>
      <c r="CB406" t="s">
        <v>131</v>
      </c>
      <c r="CF406" t="s">
        <v>131</v>
      </c>
      <c r="CH406" t="str">
        <f>""</f>
        <v/>
      </c>
      <c r="CI406" t="s">
        <v>131</v>
      </c>
      <c r="CK406" t="s">
        <v>131</v>
      </c>
      <c r="CL406" t="str">
        <f>""</f>
        <v/>
      </c>
      <c r="CM406" t="str">
        <f>""</f>
        <v/>
      </c>
      <c r="CN406" t="str">
        <f>""</f>
        <v/>
      </c>
      <c r="CO406" t="str">
        <f>""</f>
        <v/>
      </c>
      <c r="CP406" t="str">
        <f>"35-2014.00"</f>
        <v>35-2014.00</v>
      </c>
      <c r="CQ406" t="s">
        <v>581</v>
      </c>
      <c r="CR406" t="s">
        <v>1941</v>
      </c>
      <c r="CS406" t="s">
        <v>131</v>
      </c>
      <c r="CU406" t="s">
        <v>9136</v>
      </c>
      <c r="CV406" t="s">
        <v>134</v>
      </c>
      <c r="CW406" t="s">
        <v>9137</v>
      </c>
      <c r="CX406" t="s">
        <v>812</v>
      </c>
      <c r="CZ406" s="3" t="str">
        <f>"29945"</f>
        <v>29945</v>
      </c>
      <c r="DA406" t="s">
        <v>131</v>
      </c>
      <c r="DB406" t="str">
        <f>"35-2014"</f>
        <v>35-2014</v>
      </c>
      <c r="DC406" t="s">
        <v>581</v>
      </c>
      <c r="DD406" t="s">
        <v>134</v>
      </c>
      <c r="DE406" t="s">
        <v>134</v>
      </c>
      <c r="DF406" t="str">
        <f>""</f>
        <v/>
      </c>
      <c r="DH406" s="6">
        <v>12.96</v>
      </c>
      <c r="DI406" t="s">
        <v>344</v>
      </c>
      <c r="DK406" t="s">
        <v>345</v>
      </c>
      <c r="DS406" s="6">
        <v>12.96</v>
      </c>
      <c r="DT406" t="s">
        <v>424</v>
      </c>
      <c r="DU406" s="1">
        <v>44355</v>
      </c>
      <c r="DV406" s="1">
        <v>44444</v>
      </c>
    </row>
    <row r="407" spans="1:126" ht="15" customHeight="1" x14ac:dyDescent="0.35">
      <c r="A407" t="s">
        <v>17415</v>
      </c>
      <c r="B407" t="s">
        <v>318</v>
      </c>
      <c r="C407" s="1">
        <v>44328</v>
      </c>
      <c r="D407" s="1">
        <v>44355</v>
      </c>
      <c r="H407" t="s">
        <v>319</v>
      </c>
      <c r="I407" t="s">
        <v>2245</v>
      </c>
      <c r="J407" t="s">
        <v>3804</v>
      </c>
      <c r="K407" t="s">
        <v>16983</v>
      </c>
      <c r="L407" t="s">
        <v>1205</v>
      </c>
      <c r="M407" t="s">
        <v>17416</v>
      </c>
      <c r="O407" t="s">
        <v>8791</v>
      </c>
      <c r="P407" t="s">
        <v>778</v>
      </c>
      <c r="Q407" s="3">
        <v>37862</v>
      </c>
      <c r="R407" t="s">
        <v>128</v>
      </c>
      <c r="T407" s="4">
        <v>18654281069</v>
      </c>
      <c r="V407" t="s">
        <v>17417</v>
      </c>
      <c r="W407" t="s">
        <v>17418</v>
      </c>
      <c r="X407" t="s">
        <v>17419</v>
      </c>
      <c r="Y407" t="s">
        <v>17416</v>
      </c>
      <c r="AA407" t="s">
        <v>8791</v>
      </c>
      <c r="AB407" t="s">
        <v>779</v>
      </c>
      <c r="AC407" s="3" t="str">
        <f>"37862"</f>
        <v>37862</v>
      </c>
      <c r="AD407" t="s">
        <v>128</v>
      </c>
      <c r="AF407" s="4">
        <v>18654281069</v>
      </c>
      <c r="AH407" t="str">
        <f>"7211"</f>
        <v>7211</v>
      </c>
      <c r="AI407" t="s">
        <v>287</v>
      </c>
      <c r="AJ407" t="s">
        <v>2209</v>
      </c>
      <c r="AK407" t="s">
        <v>1459</v>
      </c>
      <c r="AL407" t="s">
        <v>2210</v>
      </c>
      <c r="AM407" t="s">
        <v>2211</v>
      </c>
      <c r="AN407" t="s">
        <v>788</v>
      </c>
      <c r="AO407" t="s">
        <v>2212</v>
      </c>
      <c r="AP407" t="s">
        <v>400</v>
      </c>
      <c r="AQ407" s="5">
        <v>75033</v>
      </c>
      <c r="AR407" t="s">
        <v>128</v>
      </c>
      <c r="AT407" s="4">
        <v>19727789690</v>
      </c>
      <c r="AV407" t="s">
        <v>2320</v>
      </c>
      <c r="AW407" t="s">
        <v>2214</v>
      </c>
      <c r="AX407" t="s">
        <v>131</v>
      </c>
      <c r="AY407" t="s">
        <v>131</v>
      </c>
      <c r="AZ407" t="s">
        <v>131</v>
      </c>
      <c r="BA407" t="s">
        <v>131</v>
      </c>
      <c r="BB407" t="s">
        <v>131</v>
      </c>
      <c r="BC407" t="s">
        <v>131</v>
      </c>
      <c r="BD407" t="s">
        <v>131</v>
      </c>
      <c r="BE407" t="s">
        <v>132</v>
      </c>
      <c r="BH407" t="s">
        <v>1639</v>
      </c>
      <c r="BI407" t="s">
        <v>131</v>
      </c>
      <c r="BL407" t="s">
        <v>167</v>
      </c>
      <c r="BO407" t="s">
        <v>131</v>
      </c>
      <c r="BP407" t="s">
        <v>134</v>
      </c>
      <c r="BQ407" t="s">
        <v>131</v>
      </c>
      <c r="BS407" t="str">
        <f t="shared" si="30"/>
        <v>N/A</v>
      </c>
      <c r="BT407" t="s">
        <v>135</v>
      </c>
      <c r="BU407">
        <v>6</v>
      </c>
      <c r="BV407" t="str">
        <f>"Housekeeper"</f>
        <v>Housekeeper</v>
      </c>
      <c r="BW407" t="s">
        <v>135</v>
      </c>
      <c r="BX407" t="str">
        <f>""</f>
        <v/>
      </c>
      <c r="BY407" t="str">
        <f>""</f>
        <v/>
      </c>
      <c r="BZ407" t="str">
        <f>""</f>
        <v/>
      </c>
      <c r="CA407" t="str">
        <f>"Must be able to lift, push, and pull 50 lbs. Must be able to work weekends and holidays as required. Applicants must complete an employment application."</f>
        <v>Must be able to lift, push, and pull 50 lbs. Must be able to work weekends and holidays as required. Applicants must complete an employment application.</v>
      </c>
      <c r="CB407" t="s">
        <v>131</v>
      </c>
      <c r="CF407" t="s">
        <v>131</v>
      </c>
      <c r="CH407" t="str">
        <f>""</f>
        <v/>
      </c>
      <c r="CI407" t="s">
        <v>131</v>
      </c>
      <c r="CK407" t="s">
        <v>131</v>
      </c>
      <c r="CL407" t="str">
        <f>""</f>
        <v/>
      </c>
      <c r="CM407" t="str">
        <f>""</f>
        <v/>
      </c>
      <c r="CN407" t="str">
        <f>""</f>
        <v/>
      </c>
      <c r="CO407" t="str">
        <f>""</f>
        <v/>
      </c>
      <c r="CP407" t="str">
        <f>"37-2012.00"</f>
        <v>37-2012.00</v>
      </c>
      <c r="CQ407" t="s">
        <v>479</v>
      </c>
      <c r="CS407" t="s">
        <v>131</v>
      </c>
      <c r="CU407" t="s">
        <v>17416</v>
      </c>
      <c r="CW407" t="s">
        <v>8791</v>
      </c>
      <c r="CX407" t="s">
        <v>779</v>
      </c>
      <c r="CZ407" s="3" t="str">
        <f>"37862"</f>
        <v>37862</v>
      </c>
      <c r="DA407" t="s">
        <v>131</v>
      </c>
      <c r="DB407" t="str">
        <f>"37-2012"</f>
        <v>37-2012</v>
      </c>
      <c r="DC407" t="s">
        <v>479</v>
      </c>
      <c r="DD407" t="s">
        <v>134</v>
      </c>
      <c r="DE407" t="s">
        <v>134</v>
      </c>
      <c r="DF407" t="str">
        <f>""</f>
        <v/>
      </c>
      <c r="DH407" s="6">
        <v>10.88</v>
      </c>
      <c r="DI407" t="s">
        <v>344</v>
      </c>
      <c r="DK407" t="s">
        <v>345</v>
      </c>
      <c r="DR407" t="s">
        <v>8289</v>
      </c>
      <c r="DS407" s="6">
        <v>10.88</v>
      </c>
      <c r="DT407" t="s">
        <v>424</v>
      </c>
      <c r="DU407" s="1">
        <v>44355</v>
      </c>
      <c r="DV407" s="1">
        <v>44444</v>
      </c>
    </row>
    <row r="408" spans="1:126" ht="15" customHeight="1" x14ac:dyDescent="0.35">
      <c r="A408" t="s">
        <v>20038</v>
      </c>
      <c r="B408" t="s">
        <v>318</v>
      </c>
      <c r="C408" s="1">
        <v>44328</v>
      </c>
      <c r="D408" s="1">
        <v>44355</v>
      </c>
      <c r="H408" t="s">
        <v>319</v>
      </c>
      <c r="I408" t="s">
        <v>20039</v>
      </c>
      <c r="J408" t="s">
        <v>1058</v>
      </c>
      <c r="L408" t="s">
        <v>1105</v>
      </c>
      <c r="M408" t="s">
        <v>20040</v>
      </c>
      <c r="N408" t="s">
        <v>20041</v>
      </c>
      <c r="O408" t="s">
        <v>1319</v>
      </c>
      <c r="P408" t="s">
        <v>6837</v>
      </c>
      <c r="Q408" s="3">
        <v>83001</v>
      </c>
      <c r="R408" t="s">
        <v>128</v>
      </c>
      <c r="T408" s="4">
        <v>13077331588</v>
      </c>
      <c r="V408" t="s">
        <v>134</v>
      </c>
      <c r="W408" t="s">
        <v>20042</v>
      </c>
      <c r="Y408" t="s">
        <v>20040</v>
      </c>
      <c r="Z408" t="s">
        <v>20041</v>
      </c>
      <c r="AA408" t="s">
        <v>1319</v>
      </c>
      <c r="AB408" t="s">
        <v>6838</v>
      </c>
      <c r="AC408" s="3" t="str">
        <f>"83001"</f>
        <v>83001</v>
      </c>
      <c r="AD408" t="s">
        <v>128</v>
      </c>
      <c r="AF408" s="4">
        <v>13077331588</v>
      </c>
      <c r="AH408" t="str">
        <f>"56173"</f>
        <v>56173</v>
      </c>
      <c r="AI408" t="s">
        <v>287</v>
      </c>
      <c r="AJ408" t="s">
        <v>2917</v>
      </c>
      <c r="AK408" t="s">
        <v>2918</v>
      </c>
      <c r="AL408" t="s">
        <v>610</v>
      </c>
      <c r="AM408" t="s">
        <v>3772</v>
      </c>
      <c r="AO408" t="s">
        <v>6299</v>
      </c>
      <c r="AP408" t="s">
        <v>306</v>
      </c>
      <c r="AQ408" s="5">
        <v>22903</v>
      </c>
      <c r="AR408" t="s">
        <v>128</v>
      </c>
      <c r="AT408" s="4">
        <v>14342634300</v>
      </c>
      <c r="AV408" t="s">
        <v>5385</v>
      </c>
      <c r="AW408" t="s">
        <v>2923</v>
      </c>
      <c r="AX408" t="s">
        <v>131</v>
      </c>
      <c r="AY408" t="s">
        <v>131</v>
      </c>
      <c r="AZ408" t="s">
        <v>131</v>
      </c>
      <c r="BA408" t="s">
        <v>131</v>
      </c>
      <c r="BB408" t="s">
        <v>131</v>
      </c>
      <c r="BC408" t="s">
        <v>131</v>
      </c>
      <c r="BD408" t="s">
        <v>131</v>
      </c>
      <c r="BE408" t="s">
        <v>132</v>
      </c>
      <c r="BH408" t="s">
        <v>2095</v>
      </c>
      <c r="BI408" t="s">
        <v>131</v>
      </c>
      <c r="BL408" t="s">
        <v>167</v>
      </c>
      <c r="BO408" t="s">
        <v>131</v>
      </c>
      <c r="BP408" t="s">
        <v>134</v>
      </c>
      <c r="BQ408" t="s">
        <v>131</v>
      </c>
      <c r="BS408" t="str">
        <f t="shared" si="30"/>
        <v>N/A</v>
      </c>
      <c r="BT408" t="s">
        <v>131</v>
      </c>
      <c r="BV408" t="str">
        <f>""</f>
        <v/>
      </c>
      <c r="BW408" t="s">
        <v>135</v>
      </c>
      <c r="BX408" t="str">
        <f>""</f>
        <v/>
      </c>
      <c r="BY408" t="str">
        <f>""</f>
        <v/>
      </c>
      <c r="BZ408" t="str">
        <f>""</f>
        <v/>
      </c>
      <c r="CA408" t="s">
        <v>20043</v>
      </c>
      <c r="CB408" t="s">
        <v>131</v>
      </c>
      <c r="CF408" t="s">
        <v>131</v>
      </c>
      <c r="CH408" t="str">
        <f>""</f>
        <v/>
      </c>
      <c r="CI408" t="s">
        <v>131</v>
      </c>
      <c r="CK408" t="s">
        <v>131</v>
      </c>
      <c r="CL408" t="str">
        <f>""</f>
        <v/>
      </c>
      <c r="CM408" t="str">
        <f>""</f>
        <v/>
      </c>
      <c r="CN408" t="str">
        <f>""</f>
        <v/>
      </c>
      <c r="CO408" t="str">
        <f>""</f>
        <v/>
      </c>
      <c r="CP408" t="str">
        <f>"37-3011.00"</f>
        <v>37-3011.00</v>
      </c>
      <c r="CQ408" t="s">
        <v>920</v>
      </c>
      <c r="CR408" t="s">
        <v>2924</v>
      </c>
      <c r="CS408" t="s">
        <v>135</v>
      </c>
      <c r="CT408" t="s">
        <v>2925</v>
      </c>
      <c r="CU408" t="s">
        <v>20040</v>
      </c>
      <c r="CW408" t="s">
        <v>1319</v>
      </c>
      <c r="CX408" t="s">
        <v>6838</v>
      </c>
      <c r="CZ408" s="3" t="str">
        <f>"83001"</f>
        <v>83001</v>
      </c>
      <c r="DA408" t="s">
        <v>135</v>
      </c>
      <c r="DB408" t="str">
        <f>"37-3011"</f>
        <v>37-3011</v>
      </c>
      <c r="DC408" t="s">
        <v>920</v>
      </c>
      <c r="DD408" t="s">
        <v>134</v>
      </c>
      <c r="DE408" t="s">
        <v>134</v>
      </c>
      <c r="DF408" t="str">
        <f>""</f>
        <v/>
      </c>
      <c r="DH408" s="6">
        <v>16.670000000000002</v>
      </c>
      <c r="DI408" t="s">
        <v>344</v>
      </c>
      <c r="DK408" t="s">
        <v>345</v>
      </c>
      <c r="DS408" s="6">
        <v>16.670000000000002</v>
      </c>
      <c r="DT408" s="2" t="s">
        <v>347</v>
      </c>
      <c r="DU408" s="1">
        <v>44355</v>
      </c>
      <c r="DV408" s="1">
        <v>44444</v>
      </c>
    </row>
    <row r="409" spans="1:126" ht="15" customHeight="1" x14ac:dyDescent="0.35">
      <c r="A409" t="s">
        <v>18347</v>
      </c>
      <c r="B409" t="s">
        <v>318</v>
      </c>
      <c r="C409" s="1">
        <v>44328</v>
      </c>
      <c r="D409" s="1">
        <v>44355</v>
      </c>
      <c r="H409" t="s">
        <v>319</v>
      </c>
      <c r="I409" t="s">
        <v>12401</v>
      </c>
      <c r="J409" t="s">
        <v>10263</v>
      </c>
      <c r="K409" t="s">
        <v>2600</v>
      </c>
      <c r="L409" t="s">
        <v>1105</v>
      </c>
      <c r="M409" t="s">
        <v>18348</v>
      </c>
      <c r="O409" t="s">
        <v>899</v>
      </c>
      <c r="P409" t="s">
        <v>412</v>
      </c>
      <c r="Q409" s="3">
        <v>76015</v>
      </c>
      <c r="R409" t="s">
        <v>128</v>
      </c>
      <c r="T409" s="4">
        <v>18173669155</v>
      </c>
      <c r="V409" t="s">
        <v>18349</v>
      </c>
      <c r="W409" t="s">
        <v>18350</v>
      </c>
      <c r="X409" t="s">
        <v>18351</v>
      </c>
      <c r="Y409" t="s">
        <v>18348</v>
      </c>
      <c r="AA409" t="s">
        <v>899</v>
      </c>
      <c r="AB409" t="s">
        <v>400</v>
      </c>
      <c r="AC409" s="3" t="str">
        <f>"76015"</f>
        <v>76015</v>
      </c>
      <c r="AD409" t="s">
        <v>128</v>
      </c>
      <c r="AF409" s="4">
        <v>18173669155</v>
      </c>
      <c r="AH409" t="str">
        <f>"5617"</f>
        <v>5617</v>
      </c>
      <c r="AI409" t="s">
        <v>287</v>
      </c>
      <c r="AJ409" t="s">
        <v>2209</v>
      </c>
      <c r="AK409" t="s">
        <v>1459</v>
      </c>
      <c r="AL409" t="s">
        <v>2210</v>
      </c>
      <c r="AM409" t="s">
        <v>2211</v>
      </c>
      <c r="AN409" t="s">
        <v>788</v>
      </c>
      <c r="AO409" t="s">
        <v>2212</v>
      </c>
      <c r="AP409" t="s">
        <v>400</v>
      </c>
      <c r="AQ409" s="5">
        <v>75033</v>
      </c>
      <c r="AR409" t="s">
        <v>128</v>
      </c>
      <c r="AT409" s="4">
        <v>19727789690</v>
      </c>
      <c r="AV409" t="s">
        <v>2320</v>
      </c>
      <c r="AW409" t="s">
        <v>2214</v>
      </c>
      <c r="AX409" t="s">
        <v>131</v>
      </c>
      <c r="AY409" t="s">
        <v>131</v>
      </c>
      <c r="AZ409" t="s">
        <v>131</v>
      </c>
      <c r="BA409" t="s">
        <v>131</v>
      </c>
      <c r="BB409" t="s">
        <v>131</v>
      </c>
      <c r="BC409" t="s">
        <v>131</v>
      </c>
      <c r="BD409" t="s">
        <v>131</v>
      </c>
      <c r="BE409" t="s">
        <v>132</v>
      </c>
      <c r="BH409" t="s">
        <v>2215</v>
      </c>
      <c r="BI409" t="s">
        <v>131</v>
      </c>
      <c r="BL409" t="s">
        <v>167</v>
      </c>
      <c r="BO409" t="s">
        <v>131</v>
      </c>
      <c r="BP409" t="s">
        <v>134</v>
      </c>
      <c r="BQ409" t="s">
        <v>131</v>
      </c>
      <c r="BS409" t="str">
        <f t="shared" si="30"/>
        <v>N/A</v>
      </c>
      <c r="BT409" t="s">
        <v>131</v>
      </c>
      <c r="BV409" t="str">
        <f>""</f>
        <v/>
      </c>
      <c r="BW409" t="s">
        <v>135</v>
      </c>
      <c r="BX409" t="str">
        <f>""</f>
        <v/>
      </c>
      <c r="BY409" t="str">
        <f>""</f>
        <v/>
      </c>
      <c r="BZ409" t="str">
        <f>""</f>
        <v/>
      </c>
      <c r="CA409" t="str">
        <f>"Must be able to lift 50 lbs. Must pass a pre-employment drug test. Workers are subject to post-injury/incident drug test. Applicants must complete an employment application.
"</f>
        <v xml:space="preserve">Must be able to lift 50 lbs. Must pass a pre-employment drug test. Workers are subject to post-injury/incident drug test. Applicants must complete an employment application.
</v>
      </c>
      <c r="CB409" t="s">
        <v>131</v>
      </c>
      <c r="CF409" t="s">
        <v>131</v>
      </c>
      <c r="CH409" t="str">
        <f>""</f>
        <v/>
      </c>
      <c r="CI409" t="s">
        <v>131</v>
      </c>
      <c r="CK409" t="s">
        <v>131</v>
      </c>
      <c r="CL409" t="str">
        <f>""</f>
        <v/>
      </c>
      <c r="CM409" t="str">
        <f>""</f>
        <v/>
      </c>
      <c r="CN409" t="str">
        <f>""</f>
        <v/>
      </c>
      <c r="CO409" t="str">
        <f>""</f>
        <v/>
      </c>
      <c r="CP409" t="str">
        <f>"37-3011.00"</f>
        <v>37-3011.00</v>
      </c>
      <c r="CQ409" t="s">
        <v>920</v>
      </c>
      <c r="CS409" t="s">
        <v>135</v>
      </c>
      <c r="CT409" t="s">
        <v>2321</v>
      </c>
      <c r="CU409" t="s">
        <v>18348</v>
      </c>
      <c r="CW409" t="s">
        <v>899</v>
      </c>
      <c r="CX409" t="s">
        <v>400</v>
      </c>
      <c r="CZ409" s="3" t="str">
        <f>"76015"</f>
        <v>76015</v>
      </c>
      <c r="DA409" t="s">
        <v>131</v>
      </c>
      <c r="DB409" t="str">
        <f>"37-3011"</f>
        <v>37-3011</v>
      </c>
      <c r="DC409" t="s">
        <v>920</v>
      </c>
      <c r="DD409" t="s">
        <v>134</v>
      </c>
      <c r="DE409" t="s">
        <v>134</v>
      </c>
      <c r="DF409" t="str">
        <f>""</f>
        <v/>
      </c>
      <c r="DH409" s="6">
        <v>15.23</v>
      </c>
      <c r="DI409" t="s">
        <v>344</v>
      </c>
      <c r="DK409" t="s">
        <v>345</v>
      </c>
      <c r="DR409" t="s">
        <v>423</v>
      </c>
      <c r="DS409" s="6">
        <v>15.23</v>
      </c>
      <c r="DT409" s="2" t="s">
        <v>347</v>
      </c>
      <c r="DU409" s="1">
        <v>44355</v>
      </c>
      <c r="DV409" s="1">
        <v>44444</v>
      </c>
    </row>
    <row r="410" spans="1:126" ht="15" customHeight="1" x14ac:dyDescent="0.35">
      <c r="A410" t="s">
        <v>12186</v>
      </c>
      <c r="B410" t="s">
        <v>318</v>
      </c>
      <c r="C410" s="1">
        <v>44328</v>
      </c>
      <c r="D410" s="1">
        <v>44355</v>
      </c>
      <c r="H410" t="s">
        <v>319</v>
      </c>
      <c r="I410" t="s">
        <v>12187</v>
      </c>
      <c r="J410" t="s">
        <v>2069</v>
      </c>
      <c r="K410" t="s">
        <v>134</v>
      </c>
      <c r="L410" t="s">
        <v>12188</v>
      </c>
      <c r="M410" t="s">
        <v>12189</v>
      </c>
      <c r="O410" t="s">
        <v>1692</v>
      </c>
      <c r="P410" t="s">
        <v>826</v>
      </c>
      <c r="Q410" s="3">
        <v>20905</v>
      </c>
      <c r="R410" t="s">
        <v>128</v>
      </c>
      <c r="T410" s="4">
        <v>13015881616</v>
      </c>
      <c r="V410" t="s">
        <v>12190</v>
      </c>
      <c r="W410" t="s">
        <v>12191</v>
      </c>
      <c r="X410" t="s">
        <v>134</v>
      </c>
      <c r="Y410" t="s">
        <v>12189</v>
      </c>
      <c r="AA410" t="s">
        <v>1692</v>
      </c>
      <c r="AB410" t="s">
        <v>382</v>
      </c>
      <c r="AC410" s="3" t="str">
        <f>"20905"</f>
        <v>20905</v>
      </c>
      <c r="AD410" t="s">
        <v>128</v>
      </c>
      <c r="AF410" s="4">
        <v>13015881616</v>
      </c>
      <c r="AH410" t="str">
        <f>"561730"</f>
        <v>561730</v>
      </c>
      <c r="AI410" t="s">
        <v>130</v>
      </c>
      <c r="AJ410" t="s">
        <v>5148</v>
      </c>
      <c r="AK410" t="s">
        <v>1059</v>
      </c>
      <c r="AL410" t="s">
        <v>655</v>
      </c>
      <c r="AM410" t="s">
        <v>11647</v>
      </c>
      <c r="AO410" t="s">
        <v>799</v>
      </c>
      <c r="AP410" t="s">
        <v>595</v>
      </c>
      <c r="AQ410" s="5">
        <v>20004</v>
      </c>
      <c r="AR410" t="s">
        <v>128</v>
      </c>
      <c r="AT410" s="4">
        <v>12027396040</v>
      </c>
      <c r="AV410" t="s">
        <v>5150</v>
      </c>
      <c r="AW410" t="s">
        <v>6726</v>
      </c>
      <c r="AX410" t="s">
        <v>131</v>
      </c>
      <c r="AY410" t="s">
        <v>131</v>
      </c>
      <c r="AZ410" t="s">
        <v>131</v>
      </c>
      <c r="BA410" t="s">
        <v>131</v>
      </c>
      <c r="BB410" t="s">
        <v>131</v>
      </c>
      <c r="BC410" t="s">
        <v>131</v>
      </c>
      <c r="BD410" t="s">
        <v>131</v>
      </c>
      <c r="BE410" t="s">
        <v>132</v>
      </c>
      <c r="BH410" t="s">
        <v>3780</v>
      </c>
      <c r="BI410" t="s">
        <v>131</v>
      </c>
      <c r="BL410" t="s">
        <v>167</v>
      </c>
      <c r="BO410" t="s">
        <v>131</v>
      </c>
      <c r="BP410" t="s">
        <v>134</v>
      </c>
      <c r="BQ410" t="s">
        <v>131</v>
      </c>
      <c r="BS410" t="str">
        <f t="shared" si="30"/>
        <v>N/A</v>
      </c>
      <c r="BT410" t="s">
        <v>131</v>
      </c>
      <c r="BV410" t="str">
        <f>""</f>
        <v/>
      </c>
      <c r="BW410" t="s">
        <v>131</v>
      </c>
      <c r="BX410" t="str">
        <f>""</f>
        <v/>
      </c>
      <c r="BY410" t="str">
        <f>""</f>
        <v/>
      </c>
      <c r="BZ410" t="str">
        <f>""</f>
        <v/>
      </c>
      <c r="CA410" t="str">
        <f>""</f>
        <v/>
      </c>
      <c r="CB410" t="s">
        <v>131</v>
      </c>
      <c r="CF410" t="s">
        <v>131</v>
      </c>
      <c r="CH410" t="str">
        <f>""</f>
        <v/>
      </c>
      <c r="CI410" t="s">
        <v>131</v>
      </c>
      <c r="CK410" t="s">
        <v>131</v>
      </c>
      <c r="CL410" t="str">
        <f>""</f>
        <v/>
      </c>
      <c r="CM410" t="str">
        <f>""</f>
        <v/>
      </c>
      <c r="CN410" t="str">
        <f>""</f>
        <v/>
      </c>
      <c r="CO410" t="str">
        <f>""</f>
        <v/>
      </c>
      <c r="CP410" t="str">
        <f>"37-3011.00"</f>
        <v>37-3011.00</v>
      </c>
      <c r="CQ410" t="s">
        <v>920</v>
      </c>
      <c r="CR410" t="s">
        <v>5117</v>
      </c>
      <c r="CS410" t="s">
        <v>135</v>
      </c>
      <c r="CT410" t="s">
        <v>12192</v>
      </c>
      <c r="CU410" t="s">
        <v>12189</v>
      </c>
      <c r="CW410" t="s">
        <v>1692</v>
      </c>
      <c r="CX410" t="s">
        <v>382</v>
      </c>
      <c r="CZ410" s="3" t="str">
        <f>"20905"</f>
        <v>20905</v>
      </c>
      <c r="DA410" t="s">
        <v>135</v>
      </c>
      <c r="DB410" t="str">
        <f>"37-3011"</f>
        <v>37-3011</v>
      </c>
      <c r="DC410" t="s">
        <v>920</v>
      </c>
      <c r="DD410" t="s">
        <v>134</v>
      </c>
      <c r="DE410" t="s">
        <v>134</v>
      </c>
      <c r="DF410" t="str">
        <f>""</f>
        <v/>
      </c>
      <c r="DH410" s="6">
        <v>16.25</v>
      </c>
      <c r="DI410" t="s">
        <v>344</v>
      </c>
      <c r="DK410" t="s">
        <v>345</v>
      </c>
      <c r="DS410" s="6">
        <v>16.89</v>
      </c>
      <c r="DT410" s="2" t="s">
        <v>347</v>
      </c>
      <c r="DU410" s="1">
        <v>44355</v>
      </c>
      <c r="DV410" s="1">
        <v>44444</v>
      </c>
    </row>
    <row r="411" spans="1:126" ht="15" customHeight="1" x14ac:dyDescent="0.35">
      <c r="A411" t="s">
        <v>14824</v>
      </c>
      <c r="B411" t="s">
        <v>318</v>
      </c>
      <c r="C411" s="1">
        <v>44328</v>
      </c>
      <c r="D411" s="1">
        <v>44355</v>
      </c>
      <c r="H411" t="s">
        <v>319</v>
      </c>
      <c r="I411" t="s">
        <v>2113</v>
      </c>
      <c r="J411" t="s">
        <v>7814</v>
      </c>
      <c r="L411" t="s">
        <v>349</v>
      </c>
      <c r="M411" t="s">
        <v>9100</v>
      </c>
      <c r="O411" t="s">
        <v>3508</v>
      </c>
      <c r="P411" t="s">
        <v>811</v>
      </c>
      <c r="Q411" s="3">
        <v>29588</v>
      </c>
      <c r="R411" t="s">
        <v>128</v>
      </c>
      <c r="T411" s="4">
        <v>17025265616</v>
      </c>
      <c r="V411" t="s">
        <v>14825</v>
      </c>
      <c r="W411" t="s">
        <v>14826</v>
      </c>
      <c r="Y411" t="s">
        <v>14827</v>
      </c>
      <c r="AA411" t="s">
        <v>3508</v>
      </c>
      <c r="AB411" t="s">
        <v>812</v>
      </c>
      <c r="AC411" s="3" t="str">
        <f>"29577"</f>
        <v>29577</v>
      </c>
      <c r="AD411" t="s">
        <v>128</v>
      </c>
      <c r="AF411" s="4">
        <v>18438391569</v>
      </c>
      <c r="AH411" t="str">
        <f>"8123"</f>
        <v>8123</v>
      </c>
      <c r="AI411" t="s">
        <v>167</v>
      </c>
      <c r="AX411" t="s">
        <v>131</v>
      </c>
      <c r="AY411" t="s">
        <v>131</v>
      </c>
      <c r="AZ411" t="s">
        <v>131</v>
      </c>
      <c r="BA411" t="s">
        <v>131</v>
      </c>
      <c r="BB411" t="s">
        <v>131</v>
      </c>
      <c r="BC411" t="s">
        <v>131</v>
      </c>
      <c r="BD411" t="s">
        <v>131</v>
      </c>
      <c r="BE411" t="s">
        <v>132</v>
      </c>
      <c r="BH411" t="s">
        <v>4849</v>
      </c>
      <c r="BI411" t="s">
        <v>131</v>
      </c>
      <c r="BL411" t="s">
        <v>167</v>
      </c>
      <c r="BO411" t="s">
        <v>131</v>
      </c>
      <c r="BP411" t="s">
        <v>134</v>
      </c>
      <c r="BQ411" t="s">
        <v>131</v>
      </c>
      <c r="BS411" t="str">
        <f t="shared" si="30"/>
        <v>N/A</v>
      </c>
      <c r="BT411" t="s">
        <v>131</v>
      </c>
      <c r="BV411" t="str">
        <f>""</f>
        <v/>
      </c>
      <c r="BW411" t="s">
        <v>131</v>
      </c>
      <c r="BX411" t="str">
        <f>""</f>
        <v/>
      </c>
      <c r="BY411" t="str">
        <f>""</f>
        <v/>
      </c>
      <c r="BZ411" t="str">
        <f>""</f>
        <v/>
      </c>
      <c r="CA411" t="str">
        <f>""</f>
        <v/>
      </c>
      <c r="CB411" t="s">
        <v>131</v>
      </c>
      <c r="CF411" t="s">
        <v>131</v>
      </c>
      <c r="CH411" t="str">
        <f>""</f>
        <v/>
      </c>
      <c r="CI411" t="s">
        <v>131</v>
      </c>
      <c r="CK411" t="s">
        <v>131</v>
      </c>
      <c r="CL411" t="str">
        <f>""</f>
        <v/>
      </c>
      <c r="CM411" t="str">
        <f>""</f>
        <v/>
      </c>
      <c r="CN411" t="str">
        <f>""</f>
        <v/>
      </c>
      <c r="CO411" t="str">
        <f>""</f>
        <v/>
      </c>
      <c r="CP411" t="str">
        <f>"51-6011.00"</f>
        <v>51-6011.00</v>
      </c>
      <c r="CQ411" t="s">
        <v>4850</v>
      </c>
      <c r="CS411" t="s">
        <v>131</v>
      </c>
      <c r="CU411" t="s">
        <v>14827</v>
      </c>
      <c r="CW411" t="s">
        <v>3508</v>
      </c>
      <c r="CX411" t="s">
        <v>812</v>
      </c>
      <c r="CZ411" s="3" t="str">
        <f>"29577"</f>
        <v>29577</v>
      </c>
      <c r="DA411" t="s">
        <v>131</v>
      </c>
      <c r="DB411" t="str">
        <f>"51-6011"</f>
        <v>51-6011</v>
      </c>
      <c r="DC411" t="s">
        <v>4850</v>
      </c>
      <c r="DD411" t="s">
        <v>134</v>
      </c>
      <c r="DE411" t="s">
        <v>134</v>
      </c>
      <c r="DF411" t="str">
        <f>""</f>
        <v/>
      </c>
      <c r="DH411" s="6">
        <v>10.43</v>
      </c>
      <c r="DI411" t="s">
        <v>344</v>
      </c>
      <c r="DK411" t="s">
        <v>345</v>
      </c>
      <c r="DR411" t="s">
        <v>9104</v>
      </c>
      <c r="DS411" s="6">
        <v>10.43</v>
      </c>
      <c r="DT411" t="s">
        <v>424</v>
      </c>
      <c r="DU411" s="1">
        <v>44355</v>
      </c>
      <c r="DV411" s="1">
        <v>44444</v>
      </c>
    </row>
    <row r="412" spans="1:126" ht="15" customHeight="1" x14ac:dyDescent="0.35">
      <c r="A412" t="s">
        <v>9099</v>
      </c>
      <c r="B412" t="s">
        <v>318</v>
      </c>
      <c r="C412" s="1">
        <v>44328</v>
      </c>
      <c r="D412" s="1">
        <v>44355</v>
      </c>
      <c r="H412" t="s">
        <v>319</v>
      </c>
      <c r="I412" t="s">
        <v>2113</v>
      </c>
      <c r="J412" t="s">
        <v>6682</v>
      </c>
      <c r="L412" t="s">
        <v>349</v>
      </c>
      <c r="M412" t="s">
        <v>9100</v>
      </c>
      <c r="O412" t="s">
        <v>3508</v>
      </c>
      <c r="P412" t="s">
        <v>811</v>
      </c>
      <c r="Q412" s="3">
        <v>29588</v>
      </c>
      <c r="R412" t="s">
        <v>128</v>
      </c>
      <c r="T412" s="4">
        <v>17025265616</v>
      </c>
      <c r="V412" t="s">
        <v>9101</v>
      </c>
      <c r="W412" t="s">
        <v>9102</v>
      </c>
      <c r="Y412" t="s">
        <v>9103</v>
      </c>
      <c r="AA412" t="s">
        <v>3508</v>
      </c>
      <c r="AB412" t="s">
        <v>812</v>
      </c>
      <c r="AC412" s="3" t="str">
        <f>"29577"</f>
        <v>29577</v>
      </c>
      <c r="AD412" t="s">
        <v>128</v>
      </c>
      <c r="AF412" s="4">
        <v>18439576632</v>
      </c>
      <c r="AH412" t="str">
        <f>"81233"</f>
        <v>81233</v>
      </c>
      <c r="AI412" t="s">
        <v>167</v>
      </c>
      <c r="AX412" t="s">
        <v>131</v>
      </c>
      <c r="AY412" t="s">
        <v>131</v>
      </c>
      <c r="AZ412" t="s">
        <v>131</v>
      </c>
      <c r="BA412" t="s">
        <v>131</v>
      </c>
      <c r="BB412" t="s">
        <v>131</v>
      </c>
      <c r="BC412" t="s">
        <v>131</v>
      </c>
      <c r="BD412" t="s">
        <v>131</v>
      </c>
      <c r="BE412" t="s">
        <v>132</v>
      </c>
      <c r="BH412" t="s">
        <v>2550</v>
      </c>
      <c r="BI412" t="s">
        <v>131</v>
      </c>
      <c r="BL412" t="s">
        <v>167</v>
      </c>
      <c r="BO412" t="s">
        <v>131</v>
      </c>
      <c r="BP412" t="s">
        <v>134</v>
      </c>
      <c r="BQ412" t="s">
        <v>131</v>
      </c>
      <c r="BS412" t="str">
        <f t="shared" si="30"/>
        <v>N/A</v>
      </c>
      <c r="BT412" t="s">
        <v>131</v>
      </c>
      <c r="BV412" t="str">
        <f>""</f>
        <v/>
      </c>
      <c r="BW412" t="s">
        <v>131</v>
      </c>
      <c r="BX412" t="str">
        <f>""</f>
        <v/>
      </c>
      <c r="BY412" t="str">
        <f>""</f>
        <v/>
      </c>
      <c r="BZ412" t="str">
        <f>""</f>
        <v/>
      </c>
      <c r="CA412" t="str">
        <f>""</f>
        <v/>
      </c>
      <c r="CB412" t="s">
        <v>131</v>
      </c>
      <c r="CF412" t="s">
        <v>131</v>
      </c>
      <c r="CH412" t="str">
        <f>""</f>
        <v/>
      </c>
      <c r="CI412" t="s">
        <v>131</v>
      </c>
      <c r="CK412" t="s">
        <v>131</v>
      </c>
      <c r="CL412" t="str">
        <f>""</f>
        <v/>
      </c>
      <c r="CM412" t="str">
        <f>""</f>
        <v/>
      </c>
      <c r="CN412" t="str">
        <f>""</f>
        <v/>
      </c>
      <c r="CO412" t="str">
        <f>""</f>
        <v/>
      </c>
      <c r="CP412" t="str">
        <f>"35-9021.00"</f>
        <v>35-9021.00</v>
      </c>
      <c r="CQ412" t="s">
        <v>2552</v>
      </c>
      <c r="CS412" t="s">
        <v>131</v>
      </c>
      <c r="CU412" t="s">
        <v>9103</v>
      </c>
      <c r="CW412" t="s">
        <v>3508</v>
      </c>
      <c r="CX412" t="s">
        <v>812</v>
      </c>
      <c r="CZ412" s="3" t="str">
        <f>"29577"</f>
        <v>29577</v>
      </c>
      <c r="DA412" t="s">
        <v>131</v>
      </c>
      <c r="DB412" t="str">
        <f>"35-9021"</f>
        <v>35-9021</v>
      </c>
      <c r="DC412" t="s">
        <v>2552</v>
      </c>
      <c r="DD412" t="s">
        <v>134</v>
      </c>
      <c r="DE412" t="s">
        <v>134</v>
      </c>
      <c r="DF412" t="str">
        <f>""</f>
        <v/>
      </c>
      <c r="DH412" s="6">
        <v>9.84</v>
      </c>
      <c r="DI412" t="s">
        <v>344</v>
      </c>
      <c r="DK412" t="s">
        <v>345</v>
      </c>
      <c r="DR412" t="s">
        <v>9104</v>
      </c>
      <c r="DS412" s="6">
        <v>9.84</v>
      </c>
      <c r="DT412" t="s">
        <v>424</v>
      </c>
      <c r="DU412" s="1">
        <v>44355</v>
      </c>
      <c r="DV412" s="1">
        <v>44444</v>
      </c>
    </row>
    <row r="413" spans="1:126" ht="15" customHeight="1" x14ac:dyDescent="0.35">
      <c r="A413" t="s">
        <v>14661</v>
      </c>
      <c r="B413" t="s">
        <v>318</v>
      </c>
      <c r="C413" s="1">
        <v>44328</v>
      </c>
      <c r="D413" s="1">
        <v>44357</v>
      </c>
      <c r="H413" t="s">
        <v>319</v>
      </c>
      <c r="I413" t="s">
        <v>7710</v>
      </c>
      <c r="J413" t="s">
        <v>645</v>
      </c>
      <c r="K413" t="s">
        <v>1253</v>
      </c>
      <c r="L413" t="s">
        <v>199</v>
      </c>
      <c r="M413" t="s">
        <v>7712</v>
      </c>
      <c r="O413" t="s">
        <v>7713</v>
      </c>
      <c r="P413" t="s">
        <v>144</v>
      </c>
      <c r="Q413" s="3">
        <v>98516</v>
      </c>
      <c r="R413" t="s">
        <v>128</v>
      </c>
      <c r="T413" s="4">
        <v>13602755345</v>
      </c>
      <c r="V413" t="s">
        <v>1253</v>
      </c>
      <c r="W413" t="s">
        <v>14662</v>
      </c>
      <c r="Y413" t="s">
        <v>7712</v>
      </c>
      <c r="AA413" t="s">
        <v>7713</v>
      </c>
      <c r="AB413" t="s">
        <v>149</v>
      </c>
      <c r="AC413" s="3" t="str">
        <f>"98528"</f>
        <v>98528</v>
      </c>
      <c r="AD413" t="s">
        <v>128</v>
      </c>
      <c r="AF413" s="4">
        <v>13602755345</v>
      </c>
      <c r="AH413" t="str">
        <f>"1132"</f>
        <v>1132</v>
      </c>
      <c r="AI413" t="s">
        <v>287</v>
      </c>
      <c r="AJ413" t="s">
        <v>5584</v>
      </c>
      <c r="AK413" t="s">
        <v>409</v>
      </c>
      <c r="AM413" t="s">
        <v>5585</v>
      </c>
      <c r="AN413" t="s">
        <v>7716</v>
      </c>
      <c r="AO413" t="s">
        <v>5586</v>
      </c>
      <c r="AP413" t="s">
        <v>149</v>
      </c>
      <c r="AQ413" s="5">
        <v>98516</v>
      </c>
      <c r="AR413" t="s">
        <v>128</v>
      </c>
      <c r="AT413" s="4">
        <v>13604558064</v>
      </c>
      <c r="AU413">
        <v>110</v>
      </c>
      <c r="AV413" t="s">
        <v>5587</v>
      </c>
      <c r="AW413" t="s">
        <v>14663</v>
      </c>
      <c r="AX413" t="s">
        <v>131</v>
      </c>
      <c r="AY413" t="s">
        <v>131</v>
      </c>
      <c r="AZ413" t="s">
        <v>131</v>
      </c>
      <c r="BA413" t="s">
        <v>131</v>
      </c>
      <c r="BB413" t="s">
        <v>131</v>
      </c>
      <c r="BC413" t="s">
        <v>131</v>
      </c>
      <c r="BD413" t="s">
        <v>131</v>
      </c>
      <c r="BE413" t="s">
        <v>132</v>
      </c>
      <c r="BH413" t="s">
        <v>10678</v>
      </c>
      <c r="BI413" t="s">
        <v>131</v>
      </c>
      <c r="BL413" t="s">
        <v>167</v>
      </c>
      <c r="BO413" t="s">
        <v>131</v>
      </c>
      <c r="BP413" t="s">
        <v>134</v>
      </c>
      <c r="BQ413" t="s">
        <v>131</v>
      </c>
      <c r="BS413" t="str">
        <f t="shared" si="30"/>
        <v>N/A</v>
      </c>
      <c r="BT413" t="s">
        <v>135</v>
      </c>
      <c r="BU413">
        <v>1</v>
      </c>
      <c r="BV413" t="str">
        <f>"wreath making "</f>
        <v xml:space="preserve">wreath making </v>
      </c>
      <c r="BW413" t="s">
        <v>135</v>
      </c>
      <c r="BX413" t="str">
        <f>""</f>
        <v/>
      </c>
      <c r="BY413" t="str">
        <f>""</f>
        <v/>
      </c>
      <c r="BZ413" t="str">
        <f>""</f>
        <v/>
      </c>
      <c r="CA413" s="2" t="s">
        <v>5590</v>
      </c>
      <c r="CB413" t="s">
        <v>131</v>
      </c>
      <c r="CF413" t="s">
        <v>131</v>
      </c>
      <c r="CH413" t="str">
        <f>""</f>
        <v/>
      </c>
      <c r="CI413" t="s">
        <v>131</v>
      </c>
      <c r="CK413" t="s">
        <v>131</v>
      </c>
      <c r="CL413" t="str">
        <f>""</f>
        <v/>
      </c>
      <c r="CM413" t="str">
        <f>""</f>
        <v/>
      </c>
      <c r="CN413" t="str">
        <f>""</f>
        <v/>
      </c>
      <c r="CO413" t="str">
        <f>""</f>
        <v/>
      </c>
      <c r="CP413" t="str">
        <f>"27-1023.00"</f>
        <v>27-1023.00</v>
      </c>
      <c r="CQ413" t="s">
        <v>5591</v>
      </c>
      <c r="CS413" t="s">
        <v>131</v>
      </c>
      <c r="CU413" t="s">
        <v>14664</v>
      </c>
      <c r="CW413" t="s">
        <v>12534</v>
      </c>
      <c r="CX413" t="s">
        <v>149</v>
      </c>
      <c r="CZ413" s="3" t="str">
        <f>"98512"</f>
        <v>98512</v>
      </c>
      <c r="DA413" t="s">
        <v>135</v>
      </c>
      <c r="DB413" t="str">
        <f>"27-1023"</f>
        <v>27-1023</v>
      </c>
      <c r="DC413" t="s">
        <v>5591</v>
      </c>
      <c r="DD413" t="s">
        <v>134</v>
      </c>
      <c r="DE413" t="s">
        <v>134</v>
      </c>
      <c r="DF413" t="str">
        <f>""</f>
        <v/>
      </c>
      <c r="DH413" s="6">
        <v>15.52</v>
      </c>
      <c r="DI413" t="s">
        <v>344</v>
      </c>
      <c r="DK413" t="s">
        <v>345</v>
      </c>
      <c r="DR413" t="s">
        <v>14665</v>
      </c>
      <c r="DS413" s="6">
        <v>15.52</v>
      </c>
      <c r="DT413" t="s">
        <v>424</v>
      </c>
      <c r="DU413" s="1">
        <v>44357</v>
      </c>
      <c r="DV413" s="1">
        <v>44446</v>
      </c>
    </row>
    <row r="414" spans="1:126" ht="15" customHeight="1" x14ac:dyDescent="0.35">
      <c r="A414" t="s">
        <v>18106</v>
      </c>
      <c r="B414" t="s">
        <v>318</v>
      </c>
      <c r="C414" s="1">
        <v>44329</v>
      </c>
      <c r="D414" s="1">
        <v>44356</v>
      </c>
      <c r="H414" t="s">
        <v>319</v>
      </c>
      <c r="I414" t="s">
        <v>2059</v>
      </c>
      <c r="J414" t="s">
        <v>5829</v>
      </c>
      <c r="K414" t="s">
        <v>134</v>
      </c>
      <c r="L414" t="s">
        <v>1105</v>
      </c>
      <c r="M414" t="s">
        <v>5830</v>
      </c>
      <c r="N414" t="s">
        <v>5831</v>
      </c>
      <c r="O414" t="s">
        <v>899</v>
      </c>
      <c r="P414" t="s">
        <v>388</v>
      </c>
      <c r="Q414" s="3">
        <v>57212</v>
      </c>
      <c r="R414" t="s">
        <v>128</v>
      </c>
      <c r="T414" s="4">
        <v>16052031362</v>
      </c>
      <c r="V414" t="s">
        <v>2060</v>
      </c>
      <c r="W414" t="s">
        <v>5832</v>
      </c>
      <c r="X414" t="s">
        <v>134</v>
      </c>
      <c r="Y414" t="s">
        <v>5833</v>
      </c>
      <c r="Z414" t="s">
        <v>134</v>
      </c>
      <c r="AA414" t="s">
        <v>899</v>
      </c>
      <c r="AB414" t="s">
        <v>603</v>
      </c>
      <c r="AC414" s="3" t="str">
        <f t="shared" ref="AC414:AC425" si="33">"57212"</f>
        <v>57212</v>
      </c>
      <c r="AD414" t="s">
        <v>128</v>
      </c>
      <c r="AE414" t="s">
        <v>134</v>
      </c>
      <c r="AF414" s="4">
        <v>16052031362</v>
      </c>
      <c r="AH414" t="str">
        <f t="shared" ref="AH414:AH425" si="34">"238110"</f>
        <v>238110</v>
      </c>
      <c r="AI414" t="s">
        <v>130</v>
      </c>
      <c r="AJ414" t="s">
        <v>1955</v>
      </c>
      <c r="AK414" t="s">
        <v>1956</v>
      </c>
      <c r="AL414" t="s">
        <v>618</v>
      </c>
      <c r="AM414" t="s">
        <v>1957</v>
      </c>
      <c r="AN414" t="s">
        <v>134</v>
      </c>
      <c r="AO414" t="s">
        <v>1958</v>
      </c>
      <c r="AP414" t="s">
        <v>605</v>
      </c>
      <c r="AQ414" s="5">
        <v>50010</v>
      </c>
      <c r="AR414" t="s">
        <v>128</v>
      </c>
      <c r="AS414" t="s">
        <v>134</v>
      </c>
      <c r="AT414" s="4">
        <v>15152324444</v>
      </c>
      <c r="AU414">
        <v>0</v>
      </c>
      <c r="AV414" t="s">
        <v>1959</v>
      </c>
      <c r="AW414" t="s">
        <v>1960</v>
      </c>
      <c r="AX414" t="s">
        <v>131</v>
      </c>
      <c r="AY414" t="s">
        <v>131</v>
      </c>
      <c r="AZ414" t="s">
        <v>131</v>
      </c>
      <c r="BA414" t="s">
        <v>131</v>
      </c>
      <c r="BB414" t="s">
        <v>131</v>
      </c>
      <c r="BC414" t="s">
        <v>131</v>
      </c>
      <c r="BD414" t="s">
        <v>131</v>
      </c>
      <c r="BE414" t="s">
        <v>132</v>
      </c>
      <c r="BH414" t="s">
        <v>6294</v>
      </c>
      <c r="BI414" t="s">
        <v>131</v>
      </c>
      <c r="BL414" t="s">
        <v>167</v>
      </c>
      <c r="BO414" t="s">
        <v>131</v>
      </c>
      <c r="BP414" t="s">
        <v>134</v>
      </c>
      <c r="BQ414" t="s">
        <v>131</v>
      </c>
      <c r="BS414" t="str">
        <f t="shared" si="30"/>
        <v>N/A</v>
      </c>
      <c r="BT414" t="s">
        <v>135</v>
      </c>
      <c r="BU414">
        <v>3</v>
      </c>
      <c r="BV414" t="str">
        <f>"Concrete Finishing"</f>
        <v>Concrete Finishing</v>
      </c>
      <c r="BW414" t="s">
        <v>135</v>
      </c>
      <c r="BX414" t="str">
        <f>""</f>
        <v/>
      </c>
      <c r="BY414" t="str">
        <f>""</f>
        <v/>
      </c>
      <c r="BZ414" t="str">
        <f>""</f>
        <v/>
      </c>
      <c r="CA414" t="str">
        <f>"Some weekend work. "</f>
        <v xml:space="preserve">Some weekend work. </v>
      </c>
      <c r="CB414" t="s">
        <v>131</v>
      </c>
      <c r="CF414" t="s">
        <v>131</v>
      </c>
      <c r="CH414" t="str">
        <f>""</f>
        <v/>
      </c>
      <c r="CI414" t="s">
        <v>131</v>
      </c>
      <c r="CK414" t="s">
        <v>131</v>
      </c>
      <c r="CL414" t="str">
        <f>""</f>
        <v/>
      </c>
      <c r="CM414" t="str">
        <f>""</f>
        <v/>
      </c>
      <c r="CN414" t="str">
        <f>""</f>
        <v/>
      </c>
      <c r="CO414" t="str">
        <f>""</f>
        <v/>
      </c>
      <c r="CP414" t="str">
        <f t="shared" ref="CP414:CP419" si="35">"47-2051.00"</f>
        <v>47-2051.00</v>
      </c>
      <c r="CQ414" t="s">
        <v>5057</v>
      </c>
      <c r="CR414" t="s">
        <v>3086</v>
      </c>
      <c r="CS414" t="s">
        <v>135</v>
      </c>
      <c r="CT414" t="s">
        <v>2062</v>
      </c>
      <c r="CU414" t="s">
        <v>12108</v>
      </c>
      <c r="CW414" t="s">
        <v>18107</v>
      </c>
      <c r="CX414" t="s">
        <v>603</v>
      </c>
      <c r="CZ414" s="3" t="str">
        <f>"57225"</f>
        <v>57225</v>
      </c>
      <c r="DA414" t="s">
        <v>131</v>
      </c>
      <c r="DB414" t="str">
        <f t="shared" ref="DB414:DB419" si="36">"47-2051"</f>
        <v>47-2051</v>
      </c>
      <c r="DC414" t="s">
        <v>5057</v>
      </c>
      <c r="DD414" t="s">
        <v>134</v>
      </c>
      <c r="DE414" t="s">
        <v>134</v>
      </c>
      <c r="DF414" t="str">
        <f>""</f>
        <v/>
      </c>
      <c r="DH414" s="6">
        <v>17.190000000000001</v>
      </c>
      <c r="DI414" t="s">
        <v>344</v>
      </c>
      <c r="DK414" t="s">
        <v>345</v>
      </c>
      <c r="DR414" t="s">
        <v>16390</v>
      </c>
      <c r="DS414" s="6">
        <v>17.190000000000001</v>
      </c>
      <c r="DT414" s="2" t="s">
        <v>2219</v>
      </c>
      <c r="DU414" s="1">
        <v>44356</v>
      </c>
      <c r="DV414" s="1">
        <v>44445</v>
      </c>
    </row>
    <row r="415" spans="1:126" ht="15" customHeight="1" x14ac:dyDescent="0.35">
      <c r="A415" t="s">
        <v>13857</v>
      </c>
      <c r="B415" t="s">
        <v>318</v>
      </c>
      <c r="C415" s="1">
        <v>44329</v>
      </c>
      <c r="D415" s="1">
        <v>44356</v>
      </c>
      <c r="H415" t="s">
        <v>319</v>
      </c>
      <c r="I415" t="s">
        <v>2059</v>
      </c>
      <c r="J415" t="s">
        <v>5829</v>
      </c>
      <c r="K415" t="s">
        <v>134</v>
      </c>
      <c r="L415" t="s">
        <v>1105</v>
      </c>
      <c r="M415" t="s">
        <v>5830</v>
      </c>
      <c r="N415" t="s">
        <v>5831</v>
      </c>
      <c r="O415" t="s">
        <v>899</v>
      </c>
      <c r="P415" t="s">
        <v>388</v>
      </c>
      <c r="Q415" s="3">
        <v>57212</v>
      </c>
      <c r="R415" t="s">
        <v>128</v>
      </c>
      <c r="T415" s="4">
        <v>16052031362</v>
      </c>
      <c r="V415" t="s">
        <v>2060</v>
      </c>
      <c r="W415" t="s">
        <v>5832</v>
      </c>
      <c r="X415" t="s">
        <v>134</v>
      </c>
      <c r="Y415" t="s">
        <v>5833</v>
      </c>
      <c r="Z415" t="s">
        <v>134</v>
      </c>
      <c r="AA415" t="s">
        <v>899</v>
      </c>
      <c r="AB415" t="s">
        <v>603</v>
      </c>
      <c r="AC415" s="3" t="str">
        <f t="shared" si="33"/>
        <v>57212</v>
      </c>
      <c r="AD415" t="s">
        <v>128</v>
      </c>
      <c r="AE415" t="s">
        <v>134</v>
      </c>
      <c r="AF415" s="4">
        <v>16052031362</v>
      </c>
      <c r="AH415" t="str">
        <f t="shared" si="34"/>
        <v>238110</v>
      </c>
      <c r="AI415" t="s">
        <v>130</v>
      </c>
      <c r="AJ415" t="s">
        <v>1955</v>
      </c>
      <c r="AK415" t="s">
        <v>1956</v>
      </c>
      <c r="AL415" t="s">
        <v>618</v>
      </c>
      <c r="AM415" t="s">
        <v>1957</v>
      </c>
      <c r="AN415" t="s">
        <v>134</v>
      </c>
      <c r="AO415" t="s">
        <v>1958</v>
      </c>
      <c r="AP415" t="s">
        <v>605</v>
      </c>
      <c r="AQ415" s="5">
        <v>50010</v>
      </c>
      <c r="AR415" t="s">
        <v>128</v>
      </c>
      <c r="AS415" t="s">
        <v>134</v>
      </c>
      <c r="AT415" s="4">
        <v>15152324444</v>
      </c>
      <c r="AU415">
        <v>0</v>
      </c>
      <c r="AV415" t="s">
        <v>1959</v>
      </c>
      <c r="AW415" t="s">
        <v>1960</v>
      </c>
      <c r="AX415" t="s">
        <v>131</v>
      </c>
      <c r="AY415" t="s">
        <v>131</v>
      </c>
      <c r="AZ415" t="s">
        <v>131</v>
      </c>
      <c r="BA415" t="s">
        <v>131</v>
      </c>
      <c r="BB415" t="s">
        <v>131</v>
      </c>
      <c r="BC415" t="s">
        <v>131</v>
      </c>
      <c r="BD415" t="s">
        <v>131</v>
      </c>
      <c r="BE415" t="s">
        <v>132</v>
      </c>
      <c r="BH415" t="s">
        <v>8875</v>
      </c>
      <c r="BI415" t="s">
        <v>131</v>
      </c>
      <c r="BL415" t="s">
        <v>167</v>
      </c>
      <c r="BO415" t="s">
        <v>131</v>
      </c>
      <c r="BP415" t="s">
        <v>134</v>
      </c>
      <c r="BQ415" t="s">
        <v>131</v>
      </c>
      <c r="BS415" t="str">
        <f t="shared" si="30"/>
        <v>N/A</v>
      </c>
      <c r="BT415" t="s">
        <v>135</v>
      </c>
      <c r="BU415">
        <v>3</v>
      </c>
      <c r="BV415" t="str">
        <f>"Concrete Finishing"</f>
        <v>Concrete Finishing</v>
      </c>
      <c r="BW415" t="s">
        <v>135</v>
      </c>
      <c r="BX415" t="str">
        <f>""</f>
        <v/>
      </c>
      <c r="BY415" t="str">
        <f>""</f>
        <v/>
      </c>
      <c r="BZ415" t="str">
        <f>""</f>
        <v/>
      </c>
      <c r="CA415" t="str">
        <f>"Some weekend work"</f>
        <v>Some weekend work</v>
      </c>
      <c r="CB415" t="s">
        <v>131</v>
      </c>
      <c r="CF415" t="s">
        <v>131</v>
      </c>
      <c r="CH415" t="str">
        <f>""</f>
        <v/>
      </c>
      <c r="CI415" t="s">
        <v>131</v>
      </c>
      <c r="CK415" t="s">
        <v>131</v>
      </c>
      <c r="CL415" t="str">
        <f>""</f>
        <v/>
      </c>
      <c r="CM415" t="str">
        <f>""</f>
        <v/>
      </c>
      <c r="CN415" t="str">
        <f>""</f>
        <v/>
      </c>
      <c r="CO415" t="str">
        <f>""</f>
        <v/>
      </c>
      <c r="CP415" t="str">
        <f t="shared" si="35"/>
        <v>47-2051.00</v>
      </c>
      <c r="CQ415" t="s">
        <v>5057</v>
      </c>
      <c r="CR415" t="s">
        <v>3086</v>
      </c>
      <c r="CS415" t="s">
        <v>135</v>
      </c>
      <c r="CT415" t="s">
        <v>13858</v>
      </c>
      <c r="CU415" t="s">
        <v>13859</v>
      </c>
      <c r="CW415" t="s">
        <v>601</v>
      </c>
      <c r="CX415" t="s">
        <v>603</v>
      </c>
      <c r="CZ415" s="3" t="str">
        <f>"57108"</f>
        <v>57108</v>
      </c>
      <c r="DA415" t="s">
        <v>131</v>
      </c>
      <c r="DB415" t="str">
        <f t="shared" si="36"/>
        <v>47-2051</v>
      </c>
      <c r="DC415" t="s">
        <v>5057</v>
      </c>
      <c r="DD415" t="s">
        <v>134</v>
      </c>
      <c r="DE415" t="s">
        <v>134</v>
      </c>
      <c r="DF415" t="str">
        <f>""</f>
        <v/>
      </c>
      <c r="DH415" s="6">
        <v>18.63</v>
      </c>
      <c r="DI415" t="s">
        <v>344</v>
      </c>
      <c r="DK415" t="s">
        <v>345</v>
      </c>
      <c r="DR415" t="s">
        <v>13860</v>
      </c>
      <c r="DS415" s="6">
        <v>18.63</v>
      </c>
      <c r="DT415" s="2" t="s">
        <v>2219</v>
      </c>
      <c r="DU415" s="1">
        <v>44356</v>
      </c>
      <c r="DV415" s="1">
        <v>44445</v>
      </c>
    </row>
    <row r="416" spans="1:126" ht="15" customHeight="1" x14ac:dyDescent="0.35">
      <c r="A416" t="s">
        <v>11297</v>
      </c>
      <c r="B416" t="s">
        <v>318</v>
      </c>
      <c r="C416" s="1">
        <v>44329</v>
      </c>
      <c r="D416" s="1">
        <v>44356</v>
      </c>
      <c r="H416" t="s">
        <v>319</v>
      </c>
      <c r="I416" t="s">
        <v>2059</v>
      </c>
      <c r="J416" t="s">
        <v>5829</v>
      </c>
      <c r="K416" t="s">
        <v>134</v>
      </c>
      <c r="L416" t="s">
        <v>1105</v>
      </c>
      <c r="M416" t="s">
        <v>5830</v>
      </c>
      <c r="N416" t="s">
        <v>5831</v>
      </c>
      <c r="O416" t="s">
        <v>899</v>
      </c>
      <c r="P416" t="s">
        <v>388</v>
      </c>
      <c r="Q416" s="3">
        <v>57212</v>
      </c>
      <c r="R416" t="s">
        <v>128</v>
      </c>
      <c r="T416" s="4">
        <v>16052031362</v>
      </c>
      <c r="V416" t="s">
        <v>2060</v>
      </c>
      <c r="W416" t="s">
        <v>5832</v>
      </c>
      <c r="X416" t="s">
        <v>134</v>
      </c>
      <c r="Y416" t="s">
        <v>5833</v>
      </c>
      <c r="Z416" t="s">
        <v>134</v>
      </c>
      <c r="AA416" t="s">
        <v>899</v>
      </c>
      <c r="AB416" t="s">
        <v>603</v>
      </c>
      <c r="AC416" s="3" t="str">
        <f t="shared" si="33"/>
        <v>57212</v>
      </c>
      <c r="AD416" t="s">
        <v>128</v>
      </c>
      <c r="AE416" t="s">
        <v>134</v>
      </c>
      <c r="AF416" s="4">
        <v>16052031362</v>
      </c>
      <c r="AH416" t="str">
        <f t="shared" si="34"/>
        <v>238110</v>
      </c>
      <c r="AI416" t="s">
        <v>130</v>
      </c>
      <c r="AJ416" t="s">
        <v>1955</v>
      </c>
      <c r="AK416" t="s">
        <v>1956</v>
      </c>
      <c r="AL416" t="s">
        <v>618</v>
      </c>
      <c r="AM416" t="s">
        <v>1957</v>
      </c>
      <c r="AN416" t="s">
        <v>134</v>
      </c>
      <c r="AO416" t="s">
        <v>1958</v>
      </c>
      <c r="AP416" t="s">
        <v>605</v>
      </c>
      <c r="AQ416" s="5">
        <v>50010</v>
      </c>
      <c r="AR416" t="s">
        <v>128</v>
      </c>
      <c r="AS416" t="s">
        <v>134</v>
      </c>
      <c r="AT416" s="4">
        <v>15152324444</v>
      </c>
      <c r="AU416">
        <v>0</v>
      </c>
      <c r="AV416" t="s">
        <v>1959</v>
      </c>
      <c r="AW416" t="s">
        <v>1960</v>
      </c>
      <c r="AX416" t="s">
        <v>131</v>
      </c>
      <c r="AY416" t="s">
        <v>131</v>
      </c>
      <c r="AZ416" t="s">
        <v>131</v>
      </c>
      <c r="BA416" t="s">
        <v>131</v>
      </c>
      <c r="BB416" t="s">
        <v>131</v>
      </c>
      <c r="BC416" t="s">
        <v>131</v>
      </c>
      <c r="BD416" t="s">
        <v>131</v>
      </c>
      <c r="BE416" t="s">
        <v>132</v>
      </c>
      <c r="BH416" t="s">
        <v>6294</v>
      </c>
      <c r="BI416" t="s">
        <v>131</v>
      </c>
      <c r="BL416" t="s">
        <v>167</v>
      </c>
      <c r="BO416" t="s">
        <v>131</v>
      </c>
      <c r="BP416" t="s">
        <v>134</v>
      </c>
      <c r="BQ416" t="s">
        <v>131</v>
      </c>
      <c r="BS416" t="str">
        <f t="shared" si="30"/>
        <v>N/A</v>
      </c>
      <c r="BT416" t="s">
        <v>135</v>
      </c>
      <c r="BU416">
        <v>3</v>
      </c>
      <c r="BV416" t="str">
        <f>"Concrete Finishing"</f>
        <v>Concrete Finishing</v>
      </c>
      <c r="BW416" t="s">
        <v>135</v>
      </c>
      <c r="BX416" t="str">
        <f>""</f>
        <v/>
      </c>
      <c r="BY416" t="str">
        <f>""</f>
        <v/>
      </c>
      <c r="BZ416" t="str">
        <f>""</f>
        <v/>
      </c>
      <c r="CA416" t="str">
        <f>"Some weekend work. "</f>
        <v xml:space="preserve">Some weekend work. </v>
      </c>
      <c r="CB416" t="s">
        <v>131</v>
      </c>
      <c r="CF416" t="s">
        <v>131</v>
      </c>
      <c r="CH416" t="str">
        <f>""</f>
        <v/>
      </c>
      <c r="CI416" t="s">
        <v>131</v>
      </c>
      <c r="CK416" t="s">
        <v>131</v>
      </c>
      <c r="CL416" t="str">
        <f>""</f>
        <v/>
      </c>
      <c r="CM416" t="str">
        <f>""</f>
        <v/>
      </c>
      <c r="CN416" t="str">
        <f>""</f>
        <v/>
      </c>
      <c r="CO416" t="str">
        <f>""</f>
        <v/>
      </c>
      <c r="CP416" t="str">
        <f t="shared" si="35"/>
        <v>47-2051.00</v>
      </c>
      <c r="CQ416" t="s">
        <v>5057</v>
      </c>
      <c r="CR416" t="s">
        <v>3086</v>
      </c>
      <c r="CS416" t="s">
        <v>135</v>
      </c>
      <c r="CT416" t="s">
        <v>2062</v>
      </c>
      <c r="CU416" t="s">
        <v>5834</v>
      </c>
      <c r="CW416" t="s">
        <v>5835</v>
      </c>
      <c r="CX416" t="s">
        <v>603</v>
      </c>
      <c r="CZ416" s="3" t="str">
        <f>"57701"</f>
        <v>57701</v>
      </c>
      <c r="DA416" t="s">
        <v>131</v>
      </c>
      <c r="DB416" t="str">
        <f t="shared" si="36"/>
        <v>47-2051</v>
      </c>
      <c r="DC416" t="s">
        <v>5057</v>
      </c>
      <c r="DD416" t="s">
        <v>134</v>
      </c>
      <c r="DE416" t="s">
        <v>134</v>
      </c>
      <c r="DF416" t="str">
        <f>""</f>
        <v/>
      </c>
      <c r="DH416" s="6">
        <v>18.059999999999999</v>
      </c>
      <c r="DI416" t="s">
        <v>344</v>
      </c>
      <c r="DK416" t="s">
        <v>345</v>
      </c>
      <c r="DR416" t="s">
        <v>5836</v>
      </c>
      <c r="DS416" s="6">
        <v>18.059999999999999</v>
      </c>
      <c r="DT416" s="2" t="s">
        <v>2219</v>
      </c>
      <c r="DU416" s="1">
        <v>44356</v>
      </c>
      <c r="DV416" s="1">
        <v>44445</v>
      </c>
    </row>
    <row r="417" spans="1:126" ht="15" customHeight="1" x14ac:dyDescent="0.35">
      <c r="A417" t="s">
        <v>6293</v>
      </c>
      <c r="B417" t="s">
        <v>318</v>
      </c>
      <c r="C417" s="1">
        <v>44329</v>
      </c>
      <c r="D417" s="1">
        <v>44356</v>
      </c>
      <c r="H417" t="s">
        <v>319</v>
      </c>
      <c r="I417" t="s">
        <v>2059</v>
      </c>
      <c r="J417" t="s">
        <v>5829</v>
      </c>
      <c r="K417" t="s">
        <v>134</v>
      </c>
      <c r="L417" t="s">
        <v>1105</v>
      </c>
      <c r="M417" t="s">
        <v>5830</v>
      </c>
      <c r="N417" t="s">
        <v>5831</v>
      </c>
      <c r="O417" t="s">
        <v>899</v>
      </c>
      <c r="P417" t="s">
        <v>388</v>
      </c>
      <c r="Q417" s="3">
        <v>57212</v>
      </c>
      <c r="R417" t="s">
        <v>128</v>
      </c>
      <c r="T417" s="4">
        <v>16052031362</v>
      </c>
      <c r="V417" t="s">
        <v>2060</v>
      </c>
      <c r="W417" t="s">
        <v>5832</v>
      </c>
      <c r="X417" t="s">
        <v>134</v>
      </c>
      <c r="Y417" t="s">
        <v>5833</v>
      </c>
      <c r="Z417" t="s">
        <v>134</v>
      </c>
      <c r="AA417" t="s">
        <v>899</v>
      </c>
      <c r="AB417" t="s">
        <v>603</v>
      </c>
      <c r="AC417" s="3" t="str">
        <f t="shared" si="33"/>
        <v>57212</v>
      </c>
      <c r="AD417" t="s">
        <v>128</v>
      </c>
      <c r="AE417" t="s">
        <v>134</v>
      </c>
      <c r="AF417" s="4">
        <v>16052031362</v>
      </c>
      <c r="AH417" t="str">
        <f t="shared" si="34"/>
        <v>238110</v>
      </c>
      <c r="AI417" t="s">
        <v>130</v>
      </c>
      <c r="AJ417" t="s">
        <v>1955</v>
      </c>
      <c r="AK417" t="s">
        <v>1956</v>
      </c>
      <c r="AL417" t="s">
        <v>618</v>
      </c>
      <c r="AM417" t="s">
        <v>1957</v>
      </c>
      <c r="AN417" t="s">
        <v>134</v>
      </c>
      <c r="AO417" t="s">
        <v>1958</v>
      </c>
      <c r="AP417" t="s">
        <v>605</v>
      </c>
      <c r="AQ417" s="5">
        <v>50010</v>
      </c>
      <c r="AR417" t="s">
        <v>128</v>
      </c>
      <c r="AS417" t="s">
        <v>134</v>
      </c>
      <c r="AT417" s="4">
        <v>15152324444</v>
      </c>
      <c r="AU417">
        <v>0</v>
      </c>
      <c r="AV417" t="s">
        <v>1959</v>
      </c>
      <c r="AW417" t="s">
        <v>1960</v>
      </c>
      <c r="AX417" t="s">
        <v>131</v>
      </c>
      <c r="AY417" t="s">
        <v>131</v>
      </c>
      <c r="AZ417" t="s">
        <v>131</v>
      </c>
      <c r="BA417" t="s">
        <v>131</v>
      </c>
      <c r="BB417" t="s">
        <v>131</v>
      </c>
      <c r="BC417" t="s">
        <v>131</v>
      </c>
      <c r="BD417" t="s">
        <v>131</v>
      </c>
      <c r="BE417" t="s">
        <v>132</v>
      </c>
      <c r="BH417" t="s">
        <v>6294</v>
      </c>
      <c r="BI417" t="s">
        <v>131</v>
      </c>
      <c r="BL417" t="s">
        <v>167</v>
      </c>
      <c r="BO417" t="s">
        <v>131</v>
      </c>
      <c r="BP417" t="s">
        <v>134</v>
      </c>
      <c r="BQ417" t="s">
        <v>131</v>
      </c>
      <c r="BS417" t="str">
        <f t="shared" si="30"/>
        <v>N/A</v>
      </c>
      <c r="BT417" t="s">
        <v>135</v>
      </c>
      <c r="BU417">
        <v>3</v>
      </c>
      <c r="BV417" t="str">
        <f>"Concrete Finishing "</f>
        <v xml:space="preserve">Concrete Finishing </v>
      </c>
      <c r="BW417" t="s">
        <v>135</v>
      </c>
      <c r="BX417" t="str">
        <f>""</f>
        <v/>
      </c>
      <c r="BY417" t="str">
        <f>""</f>
        <v/>
      </c>
      <c r="BZ417" t="str">
        <f>""</f>
        <v/>
      </c>
      <c r="CA417" t="str">
        <f>"Some weekend work. "</f>
        <v xml:space="preserve">Some weekend work. </v>
      </c>
      <c r="CB417" t="s">
        <v>131</v>
      </c>
      <c r="CF417" t="s">
        <v>131</v>
      </c>
      <c r="CH417" t="str">
        <f>""</f>
        <v/>
      </c>
      <c r="CI417" t="s">
        <v>131</v>
      </c>
      <c r="CK417" t="s">
        <v>131</v>
      </c>
      <c r="CL417" t="str">
        <f>""</f>
        <v/>
      </c>
      <c r="CM417" t="str">
        <f>""</f>
        <v/>
      </c>
      <c r="CN417" t="str">
        <f>""</f>
        <v/>
      </c>
      <c r="CO417" t="str">
        <f>""</f>
        <v/>
      </c>
      <c r="CP417" t="str">
        <f t="shared" si="35"/>
        <v>47-2051.00</v>
      </c>
      <c r="CQ417" t="s">
        <v>5057</v>
      </c>
      <c r="CR417" t="s">
        <v>3086</v>
      </c>
      <c r="CS417" t="s">
        <v>135</v>
      </c>
      <c r="CT417" t="s">
        <v>6295</v>
      </c>
      <c r="CU417" t="s">
        <v>6296</v>
      </c>
      <c r="CW417" t="s">
        <v>5835</v>
      </c>
      <c r="CX417" t="s">
        <v>603</v>
      </c>
      <c r="CZ417" s="3" t="str">
        <f>"57703"</f>
        <v>57703</v>
      </c>
      <c r="DA417" t="s">
        <v>131</v>
      </c>
      <c r="DB417" t="str">
        <f t="shared" si="36"/>
        <v>47-2051</v>
      </c>
      <c r="DC417" t="s">
        <v>5057</v>
      </c>
      <c r="DD417" t="s">
        <v>134</v>
      </c>
      <c r="DE417" t="s">
        <v>134</v>
      </c>
      <c r="DF417" t="str">
        <f>""</f>
        <v/>
      </c>
      <c r="DH417" s="6">
        <v>18.059999999999999</v>
      </c>
      <c r="DI417" t="s">
        <v>344</v>
      </c>
      <c r="DK417" t="s">
        <v>345</v>
      </c>
      <c r="DR417" t="s">
        <v>5836</v>
      </c>
      <c r="DS417" s="6">
        <v>18.059999999999999</v>
      </c>
      <c r="DT417" s="2" t="s">
        <v>2219</v>
      </c>
      <c r="DU417" s="1">
        <v>44356</v>
      </c>
      <c r="DV417" s="1">
        <v>44445</v>
      </c>
    </row>
    <row r="418" spans="1:126" ht="15" customHeight="1" x14ac:dyDescent="0.35">
      <c r="A418" t="s">
        <v>19074</v>
      </c>
      <c r="B418" t="s">
        <v>318</v>
      </c>
      <c r="C418" s="1">
        <v>44329</v>
      </c>
      <c r="D418" s="1">
        <v>44356</v>
      </c>
      <c r="H418" t="s">
        <v>319</v>
      </c>
      <c r="I418" t="s">
        <v>2059</v>
      </c>
      <c r="J418" t="s">
        <v>5829</v>
      </c>
      <c r="K418" t="s">
        <v>134</v>
      </c>
      <c r="L418" t="s">
        <v>1105</v>
      </c>
      <c r="M418" t="s">
        <v>5830</v>
      </c>
      <c r="N418" t="s">
        <v>5831</v>
      </c>
      <c r="O418" t="s">
        <v>899</v>
      </c>
      <c r="P418" t="s">
        <v>388</v>
      </c>
      <c r="Q418" s="3">
        <v>57212</v>
      </c>
      <c r="R418" t="s">
        <v>128</v>
      </c>
      <c r="T418" s="4">
        <v>16052031362</v>
      </c>
      <c r="V418" t="s">
        <v>2060</v>
      </c>
      <c r="W418" t="s">
        <v>5832</v>
      </c>
      <c r="X418" t="s">
        <v>134</v>
      </c>
      <c r="Y418" t="s">
        <v>5833</v>
      </c>
      <c r="Z418" t="s">
        <v>134</v>
      </c>
      <c r="AA418" t="s">
        <v>899</v>
      </c>
      <c r="AB418" t="s">
        <v>603</v>
      </c>
      <c r="AC418" s="3" t="str">
        <f t="shared" si="33"/>
        <v>57212</v>
      </c>
      <c r="AD418" t="s">
        <v>128</v>
      </c>
      <c r="AE418" t="s">
        <v>134</v>
      </c>
      <c r="AF418" s="4">
        <v>16052031362</v>
      </c>
      <c r="AH418" t="str">
        <f t="shared" si="34"/>
        <v>238110</v>
      </c>
      <c r="AI418" t="s">
        <v>130</v>
      </c>
      <c r="AJ418" t="s">
        <v>1955</v>
      </c>
      <c r="AK418" t="s">
        <v>1956</v>
      </c>
      <c r="AL418" t="s">
        <v>618</v>
      </c>
      <c r="AM418" t="s">
        <v>1957</v>
      </c>
      <c r="AN418" t="s">
        <v>134</v>
      </c>
      <c r="AO418" t="s">
        <v>1958</v>
      </c>
      <c r="AP418" t="s">
        <v>605</v>
      </c>
      <c r="AQ418" s="5">
        <v>50010</v>
      </c>
      <c r="AR418" t="s">
        <v>128</v>
      </c>
      <c r="AS418" t="s">
        <v>134</v>
      </c>
      <c r="AT418" s="4">
        <v>15152324444</v>
      </c>
      <c r="AU418">
        <v>0</v>
      </c>
      <c r="AV418" t="s">
        <v>1959</v>
      </c>
      <c r="AW418" t="s">
        <v>1960</v>
      </c>
      <c r="AX418" t="s">
        <v>131</v>
      </c>
      <c r="AY418" t="s">
        <v>131</v>
      </c>
      <c r="AZ418" t="s">
        <v>131</v>
      </c>
      <c r="BA418" t="s">
        <v>131</v>
      </c>
      <c r="BB418" t="s">
        <v>131</v>
      </c>
      <c r="BC418" t="s">
        <v>131</v>
      </c>
      <c r="BD418" t="s">
        <v>131</v>
      </c>
      <c r="BE418" t="s">
        <v>132</v>
      </c>
      <c r="BH418" t="s">
        <v>6294</v>
      </c>
      <c r="BI418" t="s">
        <v>131</v>
      </c>
      <c r="BL418" t="s">
        <v>167</v>
      </c>
      <c r="BO418" t="s">
        <v>131</v>
      </c>
      <c r="BP418" t="s">
        <v>134</v>
      </c>
      <c r="BQ418" t="s">
        <v>131</v>
      </c>
      <c r="BS418" t="str">
        <f t="shared" si="30"/>
        <v>N/A</v>
      </c>
      <c r="BT418" t="s">
        <v>135</v>
      </c>
      <c r="BU418">
        <v>3</v>
      </c>
      <c r="BV418" t="str">
        <f>"Concrete Finishing"</f>
        <v>Concrete Finishing</v>
      </c>
      <c r="BW418" t="s">
        <v>135</v>
      </c>
      <c r="BX418" t="str">
        <f>""</f>
        <v/>
      </c>
      <c r="BY418" t="str">
        <f>""</f>
        <v/>
      </c>
      <c r="BZ418" t="str">
        <f>""</f>
        <v/>
      </c>
      <c r="CA418" t="str">
        <f>"Some weekend work. "</f>
        <v xml:space="preserve">Some weekend work. </v>
      </c>
      <c r="CB418" t="s">
        <v>131</v>
      </c>
      <c r="CF418" t="s">
        <v>131</v>
      </c>
      <c r="CH418" t="str">
        <f>""</f>
        <v/>
      </c>
      <c r="CI418" t="s">
        <v>131</v>
      </c>
      <c r="CK418" t="s">
        <v>131</v>
      </c>
      <c r="CL418" t="str">
        <f>""</f>
        <v/>
      </c>
      <c r="CM418" t="str">
        <f>""</f>
        <v/>
      </c>
      <c r="CN418" t="str">
        <f>""</f>
        <v/>
      </c>
      <c r="CO418" t="str">
        <f>""</f>
        <v/>
      </c>
      <c r="CP418" t="str">
        <f t="shared" si="35"/>
        <v>47-2051.00</v>
      </c>
      <c r="CQ418" t="s">
        <v>5057</v>
      </c>
      <c r="CR418" t="s">
        <v>3086</v>
      </c>
      <c r="CS418" t="s">
        <v>135</v>
      </c>
      <c r="CT418" t="s">
        <v>17049</v>
      </c>
      <c r="CU418" t="s">
        <v>14084</v>
      </c>
      <c r="CW418" t="s">
        <v>5748</v>
      </c>
      <c r="CX418" t="s">
        <v>603</v>
      </c>
      <c r="CZ418" s="3" t="str">
        <f>"57032"</f>
        <v>57032</v>
      </c>
      <c r="DA418" t="s">
        <v>131</v>
      </c>
      <c r="DB418" t="str">
        <f t="shared" si="36"/>
        <v>47-2051</v>
      </c>
      <c r="DC418" t="s">
        <v>5057</v>
      </c>
      <c r="DD418" t="s">
        <v>134</v>
      </c>
      <c r="DE418" t="s">
        <v>134</v>
      </c>
      <c r="DF418" t="str">
        <f>""</f>
        <v/>
      </c>
      <c r="DH418" s="6">
        <v>18.63</v>
      </c>
      <c r="DI418" t="s">
        <v>344</v>
      </c>
      <c r="DK418" t="s">
        <v>345</v>
      </c>
      <c r="DR418" t="s">
        <v>13860</v>
      </c>
      <c r="DS418" s="6">
        <v>18.63</v>
      </c>
      <c r="DT418" s="2" t="s">
        <v>2219</v>
      </c>
      <c r="DU418" s="1">
        <v>44356</v>
      </c>
      <c r="DV418" s="1">
        <v>44445</v>
      </c>
    </row>
    <row r="419" spans="1:126" ht="15" customHeight="1" x14ac:dyDescent="0.35">
      <c r="A419" t="s">
        <v>16859</v>
      </c>
      <c r="B419" t="s">
        <v>318</v>
      </c>
      <c r="C419" s="1">
        <v>44329</v>
      </c>
      <c r="D419" s="1">
        <v>44357</v>
      </c>
      <c r="H419" t="s">
        <v>319</v>
      </c>
      <c r="I419" t="s">
        <v>2059</v>
      </c>
      <c r="J419" t="s">
        <v>5829</v>
      </c>
      <c r="K419" t="s">
        <v>134</v>
      </c>
      <c r="L419" t="s">
        <v>1105</v>
      </c>
      <c r="M419" t="s">
        <v>5830</v>
      </c>
      <c r="N419" t="s">
        <v>5831</v>
      </c>
      <c r="O419" t="s">
        <v>899</v>
      </c>
      <c r="P419" t="s">
        <v>388</v>
      </c>
      <c r="Q419" s="3">
        <v>57212</v>
      </c>
      <c r="R419" t="s">
        <v>128</v>
      </c>
      <c r="T419" s="4">
        <v>16052031362</v>
      </c>
      <c r="V419" t="s">
        <v>2060</v>
      </c>
      <c r="W419" t="s">
        <v>5832</v>
      </c>
      <c r="X419" t="s">
        <v>134</v>
      </c>
      <c r="Y419" t="s">
        <v>5833</v>
      </c>
      <c r="Z419" t="s">
        <v>134</v>
      </c>
      <c r="AA419" t="s">
        <v>899</v>
      </c>
      <c r="AB419" t="s">
        <v>603</v>
      </c>
      <c r="AC419" s="3" t="str">
        <f t="shared" si="33"/>
        <v>57212</v>
      </c>
      <c r="AD419" t="s">
        <v>128</v>
      </c>
      <c r="AE419" t="s">
        <v>134</v>
      </c>
      <c r="AF419" s="4">
        <v>16052031362</v>
      </c>
      <c r="AH419" t="str">
        <f t="shared" si="34"/>
        <v>238110</v>
      </c>
      <c r="AI419" t="s">
        <v>130</v>
      </c>
      <c r="AJ419" t="s">
        <v>1955</v>
      </c>
      <c r="AK419" t="s">
        <v>1956</v>
      </c>
      <c r="AL419" t="s">
        <v>618</v>
      </c>
      <c r="AM419" t="s">
        <v>1957</v>
      </c>
      <c r="AN419" t="s">
        <v>134</v>
      </c>
      <c r="AO419" t="s">
        <v>1958</v>
      </c>
      <c r="AP419" t="s">
        <v>605</v>
      </c>
      <c r="AQ419" s="5">
        <v>50010</v>
      </c>
      <c r="AR419" t="s">
        <v>128</v>
      </c>
      <c r="AS419" t="s">
        <v>134</v>
      </c>
      <c r="AT419" s="4">
        <v>15152324444</v>
      </c>
      <c r="AU419">
        <v>0</v>
      </c>
      <c r="AV419" t="s">
        <v>1959</v>
      </c>
      <c r="AW419" t="s">
        <v>1960</v>
      </c>
      <c r="AX419" t="s">
        <v>131</v>
      </c>
      <c r="AY419" t="s">
        <v>131</v>
      </c>
      <c r="AZ419" t="s">
        <v>131</v>
      </c>
      <c r="BA419" t="s">
        <v>131</v>
      </c>
      <c r="BB419" t="s">
        <v>131</v>
      </c>
      <c r="BC419" t="s">
        <v>131</v>
      </c>
      <c r="BD419" t="s">
        <v>131</v>
      </c>
      <c r="BE419" t="s">
        <v>132</v>
      </c>
      <c r="BH419" t="s">
        <v>6294</v>
      </c>
      <c r="BI419" t="s">
        <v>131</v>
      </c>
      <c r="BL419" t="s">
        <v>167</v>
      </c>
      <c r="BO419" t="s">
        <v>131</v>
      </c>
      <c r="BP419" t="s">
        <v>134</v>
      </c>
      <c r="BQ419" t="s">
        <v>131</v>
      </c>
      <c r="BS419" t="str">
        <f t="shared" si="30"/>
        <v>N/A</v>
      </c>
      <c r="BT419" t="s">
        <v>135</v>
      </c>
      <c r="BU419">
        <v>3</v>
      </c>
      <c r="BV419" t="str">
        <f>"Concrete Finishing"</f>
        <v>Concrete Finishing</v>
      </c>
      <c r="BW419" t="s">
        <v>135</v>
      </c>
      <c r="BX419" t="str">
        <f>""</f>
        <v/>
      </c>
      <c r="BY419" t="str">
        <f>""</f>
        <v/>
      </c>
      <c r="BZ419" t="str">
        <f>""</f>
        <v/>
      </c>
      <c r="CA419" t="str">
        <f>"Some weekend work."</f>
        <v>Some weekend work.</v>
      </c>
      <c r="CB419" t="s">
        <v>131</v>
      </c>
      <c r="CF419" t="s">
        <v>131</v>
      </c>
      <c r="CH419" t="str">
        <f>""</f>
        <v/>
      </c>
      <c r="CI419" t="s">
        <v>131</v>
      </c>
      <c r="CK419" t="s">
        <v>131</v>
      </c>
      <c r="CL419" t="str">
        <f>""</f>
        <v/>
      </c>
      <c r="CM419" t="str">
        <f>""</f>
        <v/>
      </c>
      <c r="CN419" t="str">
        <f>""</f>
        <v/>
      </c>
      <c r="CO419" t="str">
        <f>""</f>
        <v/>
      </c>
      <c r="CP419" t="str">
        <f t="shared" si="35"/>
        <v>47-2051.00</v>
      </c>
      <c r="CQ419" t="s">
        <v>5057</v>
      </c>
      <c r="CR419" t="s">
        <v>3086</v>
      </c>
      <c r="CS419" t="s">
        <v>135</v>
      </c>
      <c r="CT419" t="s">
        <v>6295</v>
      </c>
      <c r="CU419" t="s">
        <v>16860</v>
      </c>
      <c r="CW419" t="s">
        <v>7002</v>
      </c>
      <c r="CX419" t="s">
        <v>779</v>
      </c>
      <c r="CZ419" s="3" t="str">
        <f>"37809"</f>
        <v>37809</v>
      </c>
      <c r="DA419" t="s">
        <v>131</v>
      </c>
      <c r="DB419" t="str">
        <f t="shared" si="36"/>
        <v>47-2051</v>
      </c>
      <c r="DC419" t="s">
        <v>5057</v>
      </c>
      <c r="DD419" t="s">
        <v>134</v>
      </c>
      <c r="DE419" t="s">
        <v>134</v>
      </c>
      <c r="DF419" t="str">
        <f>""</f>
        <v/>
      </c>
      <c r="DH419" s="6">
        <v>16.12</v>
      </c>
      <c r="DI419" t="s">
        <v>344</v>
      </c>
      <c r="DK419" t="s">
        <v>345</v>
      </c>
      <c r="DR419" t="s">
        <v>8289</v>
      </c>
      <c r="DS419" s="6">
        <v>16.12</v>
      </c>
      <c r="DT419" s="2" t="s">
        <v>16861</v>
      </c>
      <c r="DU419" s="1">
        <v>44357</v>
      </c>
      <c r="DV419" s="1">
        <v>44446</v>
      </c>
    </row>
    <row r="420" spans="1:126" ht="15" customHeight="1" x14ac:dyDescent="0.35">
      <c r="A420" t="s">
        <v>16389</v>
      </c>
      <c r="B420" t="s">
        <v>318</v>
      </c>
      <c r="C420" s="1">
        <v>44329</v>
      </c>
      <c r="D420" s="1">
        <v>44356</v>
      </c>
      <c r="H420" t="s">
        <v>319</v>
      </c>
      <c r="I420" t="s">
        <v>2059</v>
      </c>
      <c r="J420" t="s">
        <v>5829</v>
      </c>
      <c r="K420" t="s">
        <v>134</v>
      </c>
      <c r="L420" t="s">
        <v>1105</v>
      </c>
      <c r="M420" t="s">
        <v>5830</v>
      </c>
      <c r="N420" t="s">
        <v>5831</v>
      </c>
      <c r="O420" t="s">
        <v>899</v>
      </c>
      <c r="P420" t="s">
        <v>388</v>
      </c>
      <c r="Q420" s="3">
        <v>57212</v>
      </c>
      <c r="R420" t="s">
        <v>128</v>
      </c>
      <c r="T420" s="4">
        <v>16052031362</v>
      </c>
      <c r="V420" t="s">
        <v>2060</v>
      </c>
      <c r="W420" t="s">
        <v>5832</v>
      </c>
      <c r="X420" t="s">
        <v>134</v>
      </c>
      <c r="Y420" t="s">
        <v>5833</v>
      </c>
      <c r="Z420" t="s">
        <v>134</v>
      </c>
      <c r="AA420" t="s">
        <v>899</v>
      </c>
      <c r="AB420" t="s">
        <v>603</v>
      </c>
      <c r="AC420" s="3" t="str">
        <f t="shared" si="33"/>
        <v>57212</v>
      </c>
      <c r="AD420" t="s">
        <v>128</v>
      </c>
      <c r="AE420" t="s">
        <v>134</v>
      </c>
      <c r="AF420" s="4">
        <v>16052031362</v>
      </c>
      <c r="AH420" t="str">
        <f t="shared" si="34"/>
        <v>238110</v>
      </c>
      <c r="AI420" t="s">
        <v>130</v>
      </c>
      <c r="AJ420" t="s">
        <v>1955</v>
      </c>
      <c r="AK420" t="s">
        <v>1956</v>
      </c>
      <c r="AL420" t="s">
        <v>618</v>
      </c>
      <c r="AM420" t="s">
        <v>1957</v>
      </c>
      <c r="AN420" t="s">
        <v>134</v>
      </c>
      <c r="AO420" t="s">
        <v>1958</v>
      </c>
      <c r="AP420" t="s">
        <v>605</v>
      </c>
      <c r="AQ420" s="5">
        <v>50010</v>
      </c>
      <c r="AR420" t="s">
        <v>128</v>
      </c>
      <c r="AS420" t="s">
        <v>134</v>
      </c>
      <c r="AT420" s="4">
        <v>15152324444</v>
      </c>
      <c r="AU420">
        <v>0</v>
      </c>
      <c r="AV420" t="s">
        <v>1959</v>
      </c>
      <c r="AW420" t="s">
        <v>1960</v>
      </c>
      <c r="AX420" t="s">
        <v>131</v>
      </c>
      <c r="AY420" t="s">
        <v>131</v>
      </c>
      <c r="AZ420" t="s">
        <v>131</v>
      </c>
      <c r="BA420" t="s">
        <v>131</v>
      </c>
      <c r="BB420" t="s">
        <v>131</v>
      </c>
      <c r="BC420" t="s">
        <v>131</v>
      </c>
      <c r="BD420" t="s">
        <v>131</v>
      </c>
      <c r="BE420" t="s">
        <v>132</v>
      </c>
      <c r="BH420" t="s">
        <v>4045</v>
      </c>
      <c r="BI420" t="s">
        <v>131</v>
      </c>
      <c r="BL420" t="s">
        <v>167</v>
      </c>
      <c r="BO420" t="s">
        <v>131</v>
      </c>
      <c r="BP420" t="s">
        <v>134</v>
      </c>
      <c r="BQ420" t="s">
        <v>131</v>
      </c>
      <c r="BS420" t="str">
        <f t="shared" si="30"/>
        <v>N/A</v>
      </c>
      <c r="BT420" t="s">
        <v>135</v>
      </c>
      <c r="BU420">
        <v>3</v>
      </c>
      <c r="BV420" t="str">
        <f>"Concrete Construction"</f>
        <v>Concrete Construction</v>
      </c>
      <c r="BW420" t="s">
        <v>135</v>
      </c>
      <c r="BX420" t="str">
        <f>""</f>
        <v/>
      </c>
      <c r="BY420" t="str">
        <f>""</f>
        <v/>
      </c>
      <c r="BZ420" t="str">
        <f>""</f>
        <v/>
      </c>
      <c r="CA420" t="str">
        <f>"Some weekend work. "</f>
        <v xml:space="preserve">Some weekend work. </v>
      </c>
      <c r="CB420" t="s">
        <v>131</v>
      </c>
      <c r="CF420" t="s">
        <v>131</v>
      </c>
      <c r="CH420" t="str">
        <f>""</f>
        <v/>
      </c>
      <c r="CI420" t="s">
        <v>131</v>
      </c>
      <c r="CK420" t="s">
        <v>131</v>
      </c>
      <c r="CL420" t="str">
        <f>""</f>
        <v/>
      </c>
      <c r="CM420" t="str">
        <f>""</f>
        <v/>
      </c>
      <c r="CN420" t="str">
        <f>""</f>
        <v/>
      </c>
      <c r="CO420" t="str">
        <f>""</f>
        <v/>
      </c>
      <c r="CP420" t="str">
        <f t="shared" ref="CP420:CP425" si="37">"47-2061.00"</f>
        <v>47-2061.00</v>
      </c>
      <c r="CQ420" t="s">
        <v>393</v>
      </c>
      <c r="CR420" t="s">
        <v>3086</v>
      </c>
      <c r="CS420" t="s">
        <v>135</v>
      </c>
      <c r="CT420" t="s">
        <v>14761</v>
      </c>
      <c r="CU420" t="s">
        <v>12108</v>
      </c>
      <c r="CW420" t="s">
        <v>1274</v>
      </c>
      <c r="CX420" t="s">
        <v>603</v>
      </c>
      <c r="CZ420" s="3" t="str">
        <f>"57225"</f>
        <v>57225</v>
      </c>
      <c r="DA420" t="s">
        <v>131</v>
      </c>
      <c r="DB420" t="str">
        <f t="shared" ref="DB420:DB425" si="38">"47-2061"</f>
        <v>47-2061</v>
      </c>
      <c r="DC420" t="s">
        <v>393</v>
      </c>
      <c r="DD420" t="s">
        <v>134</v>
      </c>
      <c r="DE420" t="s">
        <v>134</v>
      </c>
      <c r="DF420" t="str">
        <f>""</f>
        <v/>
      </c>
      <c r="DH420" s="6">
        <v>15.92</v>
      </c>
      <c r="DI420" t="s">
        <v>344</v>
      </c>
      <c r="DK420" t="s">
        <v>345</v>
      </c>
      <c r="DR420" t="s">
        <v>16390</v>
      </c>
      <c r="DS420" s="6">
        <v>15.92</v>
      </c>
      <c r="DT420" s="2" t="s">
        <v>2219</v>
      </c>
      <c r="DU420" s="1">
        <v>44356</v>
      </c>
      <c r="DV420" s="1">
        <v>44445</v>
      </c>
    </row>
    <row r="421" spans="1:126" ht="15" customHeight="1" x14ac:dyDescent="0.35">
      <c r="A421" t="s">
        <v>15762</v>
      </c>
      <c r="B421" t="s">
        <v>318</v>
      </c>
      <c r="C421" s="1">
        <v>44329</v>
      </c>
      <c r="D421" s="1">
        <v>44356</v>
      </c>
      <c r="H421" t="s">
        <v>319</v>
      </c>
      <c r="I421" t="s">
        <v>2059</v>
      </c>
      <c r="J421" t="s">
        <v>5829</v>
      </c>
      <c r="K421" t="s">
        <v>134</v>
      </c>
      <c r="L421" t="s">
        <v>1105</v>
      </c>
      <c r="M421" t="s">
        <v>5830</v>
      </c>
      <c r="N421" t="s">
        <v>5831</v>
      </c>
      <c r="O421" t="s">
        <v>899</v>
      </c>
      <c r="P421" t="s">
        <v>388</v>
      </c>
      <c r="Q421" s="3">
        <v>57212</v>
      </c>
      <c r="R421" t="s">
        <v>128</v>
      </c>
      <c r="T421" s="4">
        <v>16052031362</v>
      </c>
      <c r="V421" t="s">
        <v>2060</v>
      </c>
      <c r="W421" t="s">
        <v>5832</v>
      </c>
      <c r="X421" t="s">
        <v>134</v>
      </c>
      <c r="Y421" t="s">
        <v>5833</v>
      </c>
      <c r="Z421" t="s">
        <v>134</v>
      </c>
      <c r="AA421" t="s">
        <v>899</v>
      </c>
      <c r="AB421" t="s">
        <v>603</v>
      </c>
      <c r="AC421" s="3" t="str">
        <f t="shared" si="33"/>
        <v>57212</v>
      </c>
      <c r="AD421" t="s">
        <v>128</v>
      </c>
      <c r="AE421" t="s">
        <v>134</v>
      </c>
      <c r="AF421" s="4">
        <v>16052031362</v>
      </c>
      <c r="AH421" t="str">
        <f t="shared" si="34"/>
        <v>238110</v>
      </c>
      <c r="AI421" t="s">
        <v>130</v>
      </c>
      <c r="AJ421" t="s">
        <v>1955</v>
      </c>
      <c r="AK421" t="s">
        <v>1956</v>
      </c>
      <c r="AL421" t="s">
        <v>618</v>
      </c>
      <c r="AM421" t="s">
        <v>1957</v>
      </c>
      <c r="AN421" t="s">
        <v>134</v>
      </c>
      <c r="AO421" t="s">
        <v>1958</v>
      </c>
      <c r="AP421" t="s">
        <v>605</v>
      </c>
      <c r="AQ421" s="5">
        <v>50010</v>
      </c>
      <c r="AR421" t="s">
        <v>128</v>
      </c>
      <c r="AS421" t="s">
        <v>134</v>
      </c>
      <c r="AT421" s="4">
        <v>15152324444</v>
      </c>
      <c r="AU421">
        <v>0</v>
      </c>
      <c r="AV421" t="s">
        <v>1959</v>
      </c>
      <c r="AW421" t="s">
        <v>1960</v>
      </c>
      <c r="AX421" t="s">
        <v>131</v>
      </c>
      <c r="AY421" t="s">
        <v>131</v>
      </c>
      <c r="AZ421" t="s">
        <v>131</v>
      </c>
      <c r="BA421" t="s">
        <v>131</v>
      </c>
      <c r="BB421" t="s">
        <v>131</v>
      </c>
      <c r="BC421" t="s">
        <v>131</v>
      </c>
      <c r="BD421" t="s">
        <v>131</v>
      </c>
      <c r="BE421" t="s">
        <v>132</v>
      </c>
      <c r="BH421" t="s">
        <v>4045</v>
      </c>
      <c r="BI421" t="s">
        <v>131</v>
      </c>
      <c r="BL421" t="s">
        <v>167</v>
      </c>
      <c r="BO421" t="s">
        <v>131</v>
      </c>
      <c r="BP421" t="s">
        <v>134</v>
      </c>
      <c r="BQ421" t="s">
        <v>131</v>
      </c>
      <c r="BS421" t="str">
        <f t="shared" si="30"/>
        <v>N/A</v>
      </c>
      <c r="BT421" t="s">
        <v>135</v>
      </c>
      <c r="BU421">
        <v>33</v>
      </c>
      <c r="BV421" t="str">
        <f>"Concrete Construction"</f>
        <v>Concrete Construction</v>
      </c>
      <c r="BW421" t="s">
        <v>135</v>
      </c>
      <c r="BX421" t="str">
        <f>""</f>
        <v/>
      </c>
      <c r="BY421" t="str">
        <f>""</f>
        <v/>
      </c>
      <c r="BZ421" t="str">
        <f>""</f>
        <v/>
      </c>
      <c r="CA421" t="str">
        <f>"Some weekend work."</f>
        <v>Some weekend work.</v>
      </c>
      <c r="CB421" t="s">
        <v>131</v>
      </c>
      <c r="CF421" t="s">
        <v>131</v>
      </c>
      <c r="CH421" t="str">
        <f>""</f>
        <v/>
      </c>
      <c r="CI421" t="s">
        <v>131</v>
      </c>
      <c r="CK421" t="s">
        <v>131</v>
      </c>
      <c r="CL421" t="str">
        <f>""</f>
        <v/>
      </c>
      <c r="CM421" t="str">
        <f>""</f>
        <v/>
      </c>
      <c r="CN421" t="str">
        <f>""</f>
        <v/>
      </c>
      <c r="CO421" t="str">
        <f>""</f>
        <v/>
      </c>
      <c r="CP421" t="str">
        <f t="shared" si="37"/>
        <v>47-2061.00</v>
      </c>
      <c r="CQ421" t="s">
        <v>393</v>
      </c>
      <c r="CR421" t="s">
        <v>393</v>
      </c>
      <c r="CS421" t="s">
        <v>135</v>
      </c>
      <c r="CT421" t="s">
        <v>6295</v>
      </c>
      <c r="CU421" t="s">
        <v>14111</v>
      </c>
      <c r="CW421" t="s">
        <v>601</v>
      </c>
      <c r="CX421" t="s">
        <v>603</v>
      </c>
      <c r="CZ421" s="3" t="str">
        <f>"57108"</f>
        <v>57108</v>
      </c>
      <c r="DA421" t="s">
        <v>131</v>
      </c>
      <c r="DB421" t="str">
        <f t="shared" si="38"/>
        <v>47-2061</v>
      </c>
      <c r="DC421" t="s">
        <v>393</v>
      </c>
      <c r="DD421" t="s">
        <v>134</v>
      </c>
      <c r="DE421" t="s">
        <v>134</v>
      </c>
      <c r="DF421" t="str">
        <f>""</f>
        <v/>
      </c>
      <c r="DH421" s="6">
        <v>15.3</v>
      </c>
      <c r="DI421" t="s">
        <v>344</v>
      </c>
      <c r="DK421" t="s">
        <v>345</v>
      </c>
      <c r="DR421" t="s">
        <v>13860</v>
      </c>
      <c r="DS421" s="6">
        <v>15.3</v>
      </c>
      <c r="DT421" s="2" t="s">
        <v>2219</v>
      </c>
      <c r="DU421" s="1">
        <v>44356</v>
      </c>
      <c r="DV421" s="1">
        <v>44445</v>
      </c>
    </row>
    <row r="422" spans="1:126" ht="15" customHeight="1" x14ac:dyDescent="0.35">
      <c r="A422" t="s">
        <v>5828</v>
      </c>
      <c r="B422" t="s">
        <v>318</v>
      </c>
      <c r="C422" s="1">
        <v>44329</v>
      </c>
      <c r="D422" s="1">
        <v>44356</v>
      </c>
      <c r="H422" t="s">
        <v>319</v>
      </c>
      <c r="I422" t="s">
        <v>2059</v>
      </c>
      <c r="J422" t="s">
        <v>5829</v>
      </c>
      <c r="K422" t="s">
        <v>134</v>
      </c>
      <c r="L422" t="s">
        <v>1105</v>
      </c>
      <c r="M422" t="s">
        <v>5830</v>
      </c>
      <c r="N422" t="s">
        <v>5831</v>
      </c>
      <c r="O422" t="s">
        <v>899</v>
      </c>
      <c r="P422" t="s">
        <v>388</v>
      </c>
      <c r="Q422" s="3">
        <v>57212</v>
      </c>
      <c r="R422" t="s">
        <v>128</v>
      </c>
      <c r="T422" s="4">
        <v>16052031362</v>
      </c>
      <c r="V422" t="s">
        <v>2060</v>
      </c>
      <c r="W422" t="s">
        <v>5832</v>
      </c>
      <c r="X422" t="s">
        <v>134</v>
      </c>
      <c r="Y422" t="s">
        <v>5833</v>
      </c>
      <c r="Z422" t="s">
        <v>134</v>
      </c>
      <c r="AA422" t="s">
        <v>899</v>
      </c>
      <c r="AB422" t="s">
        <v>603</v>
      </c>
      <c r="AC422" s="3" t="str">
        <f t="shared" si="33"/>
        <v>57212</v>
      </c>
      <c r="AD422" t="s">
        <v>128</v>
      </c>
      <c r="AE422" t="s">
        <v>134</v>
      </c>
      <c r="AF422" s="4">
        <v>16052031362</v>
      </c>
      <c r="AH422" t="str">
        <f t="shared" si="34"/>
        <v>238110</v>
      </c>
      <c r="AI422" t="s">
        <v>130</v>
      </c>
      <c r="AJ422" t="s">
        <v>1955</v>
      </c>
      <c r="AK422" t="s">
        <v>1956</v>
      </c>
      <c r="AL422" t="s">
        <v>618</v>
      </c>
      <c r="AM422" t="s">
        <v>1957</v>
      </c>
      <c r="AN422" t="s">
        <v>134</v>
      </c>
      <c r="AO422" t="s">
        <v>1958</v>
      </c>
      <c r="AP422" t="s">
        <v>605</v>
      </c>
      <c r="AQ422" s="5">
        <v>50010</v>
      </c>
      <c r="AR422" t="s">
        <v>128</v>
      </c>
      <c r="AS422" t="s">
        <v>134</v>
      </c>
      <c r="AT422" s="4">
        <v>15152324444</v>
      </c>
      <c r="AU422">
        <v>0</v>
      </c>
      <c r="AV422" t="s">
        <v>1959</v>
      </c>
      <c r="AW422" t="s">
        <v>1960</v>
      </c>
      <c r="AX422" t="s">
        <v>131</v>
      </c>
      <c r="AY422" t="s">
        <v>131</v>
      </c>
      <c r="AZ422" t="s">
        <v>131</v>
      </c>
      <c r="BA422" t="s">
        <v>131</v>
      </c>
      <c r="BB422" t="s">
        <v>131</v>
      </c>
      <c r="BC422" t="s">
        <v>131</v>
      </c>
      <c r="BD422" t="s">
        <v>131</v>
      </c>
      <c r="BE422" t="s">
        <v>132</v>
      </c>
      <c r="BH422" t="s">
        <v>393</v>
      </c>
      <c r="BI422" t="s">
        <v>131</v>
      </c>
      <c r="BL422" t="s">
        <v>167</v>
      </c>
      <c r="BO422" t="s">
        <v>131</v>
      </c>
      <c r="BP422" t="s">
        <v>134</v>
      </c>
      <c r="BQ422" t="s">
        <v>131</v>
      </c>
      <c r="BS422" t="str">
        <f t="shared" si="30"/>
        <v>N/A</v>
      </c>
      <c r="BT422" t="s">
        <v>135</v>
      </c>
      <c r="BU422">
        <v>3</v>
      </c>
      <c r="BV422" t="str">
        <f>"Concrete Construction"</f>
        <v>Concrete Construction</v>
      </c>
      <c r="BW422" t="s">
        <v>135</v>
      </c>
      <c r="BX422" t="str">
        <f>""</f>
        <v/>
      </c>
      <c r="BY422" t="str">
        <f>""</f>
        <v/>
      </c>
      <c r="BZ422" t="str">
        <f>""</f>
        <v/>
      </c>
      <c r="CA422" t="str">
        <f>"Some weekend work. "</f>
        <v xml:space="preserve">Some weekend work. </v>
      </c>
      <c r="CB422" t="s">
        <v>131</v>
      </c>
      <c r="CF422" t="s">
        <v>131</v>
      </c>
      <c r="CH422" t="str">
        <f>""</f>
        <v/>
      </c>
      <c r="CI422" t="s">
        <v>131</v>
      </c>
      <c r="CK422" t="s">
        <v>131</v>
      </c>
      <c r="CL422" t="str">
        <f>""</f>
        <v/>
      </c>
      <c r="CM422" t="str">
        <f>""</f>
        <v/>
      </c>
      <c r="CN422" t="str">
        <f>""</f>
        <v/>
      </c>
      <c r="CO422" t="str">
        <f>""</f>
        <v/>
      </c>
      <c r="CP422" t="str">
        <f t="shared" si="37"/>
        <v>47-2061.00</v>
      </c>
      <c r="CQ422" t="s">
        <v>393</v>
      </c>
      <c r="CR422" t="s">
        <v>3086</v>
      </c>
      <c r="CS422" t="s">
        <v>135</v>
      </c>
      <c r="CT422" t="s">
        <v>2062</v>
      </c>
      <c r="CU422" t="s">
        <v>5834</v>
      </c>
      <c r="CW422" t="s">
        <v>5835</v>
      </c>
      <c r="CX422" t="s">
        <v>603</v>
      </c>
      <c r="CZ422" s="3" t="str">
        <f>"57701"</f>
        <v>57701</v>
      </c>
      <c r="DA422" t="s">
        <v>131</v>
      </c>
      <c r="DB422" t="str">
        <f t="shared" si="38"/>
        <v>47-2061</v>
      </c>
      <c r="DC422" t="s">
        <v>393</v>
      </c>
      <c r="DD422" t="s">
        <v>134</v>
      </c>
      <c r="DE422" t="s">
        <v>134</v>
      </c>
      <c r="DF422" t="str">
        <f>""</f>
        <v/>
      </c>
      <c r="DH422" s="6">
        <v>15.1</v>
      </c>
      <c r="DI422" t="s">
        <v>344</v>
      </c>
      <c r="DK422" t="s">
        <v>345</v>
      </c>
      <c r="DR422" t="s">
        <v>5836</v>
      </c>
      <c r="DS422" s="6">
        <v>15.1</v>
      </c>
      <c r="DT422" s="2" t="s">
        <v>2219</v>
      </c>
      <c r="DU422" s="1">
        <v>44356</v>
      </c>
      <c r="DV422" s="1">
        <v>44445</v>
      </c>
    </row>
    <row r="423" spans="1:126" ht="15" customHeight="1" x14ac:dyDescent="0.35">
      <c r="A423" t="s">
        <v>17048</v>
      </c>
      <c r="B423" t="s">
        <v>318</v>
      </c>
      <c r="C423" s="1">
        <v>44329</v>
      </c>
      <c r="D423" s="1">
        <v>44356</v>
      </c>
      <c r="H423" t="s">
        <v>319</v>
      </c>
      <c r="I423" t="s">
        <v>2059</v>
      </c>
      <c r="J423" t="s">
        <v>5829</v>
      </c>
      <c r="K423" t="s">
        <v>134</v>
      </c>
      <c r="L423" t="s">
        <v>1105</v>
      </c>
      <c r="M423" t="s">
        <v>5830</v>
      </c>
      <c r="N423" t="s">
        <v>5831</v>
      </c>
      <c r="O423" t="s">
        <v>899</v>
      </c>
      <c r="P423" t="s">
        <v>388</v>
      </c>
      <c r="Q423" s="3">
        <v>57212</v>
      </c>
      <c r="R423" t="s">
        <v>128</v>
      </c>
      <c r="T423" s="4">
        <v>16052031362</v>
      </c>
      <c r="V423" t="s">
        <v>2060</v>
      </c>
      <c r="W423" t="s">
        <v>5832</v>
      </c>
      <c r="X423" t="s">
        <v>134</v>
      </c>
      <c r="Y423" t="s">
        <v>5833</v>
      </c>
      <c r="Z423" t="s">
        <v>134</v>
      </c>
      <c r="AA423" t="s">
        <v>899</v>
      </c>
      <c r="AB423" t="s">
        <v>603</v>
      </c>
      <c r="AC423" s="3" t="str">
        <f t="shared" si="33"/>
        <v>57212</v>
      </c>
      <c r="AD423" t="s">
        <v>128</v>
      </c>
      <c r="AE423" t="s">
        <v>134</v>
      </c>
      <c r="AF423" s="4">
        <v>16052031362</v>
      </c>
      <c r="AH423" t="str">
        <f t="shared" si="34"/>
        <v>238110</v>
      </c>
      <c r="AI423" t="s">
        <v>130</v>
      </c>
      <c r="AJ423" t="s">
        <v>1955</v>
      </c>
      <c r="AK423" t="s">
        <v>1956</v>
      </c>
      <c r="AL423" t="s">
        <v>618</v>
      </c>
      <c r="AM423" t="s">
        <v>1957</v>
      </c>
      <c r="AN423" t="s">
        <v>134</v>
      </c>
      <c r="AO423" t="s">
        <v>1958</v>
      </c>
      <c r="AP423" t="s">
        <v>605</v>
      </c>
      <c r="AQ423" s="5">
        <v>50010</v>
      </c>
      <c r="AR423" t="s">
        <v>128</v>
      </c>
      <c r="AS423" t="s">
        <v>134</v>
      </c>
      <c r="AT423" s="4">
        <v>15152324444</v>
      </c>
      <c r="AU423">
        <v>0</v>
      </c>
      <c r="AV423" t="s">
        <v>1959</v>
      </c>
      <c r="AW423" t="s">
        <v>1960</v>
      </c>
      <c r="AX423" t="s">
        <v>131</v>
      </c>
      <c r="AY423" t="s">
        <v>131</v>
      </c>
      <c r="AZ423" t="s">
        <v>131</v>
      </c>
      <c r="BA423" t="s">
        <v>131</v>
      </c>
      <c r="BB423" t="s">
        <v>131</v>
      </c>
      <c r="BC423" t="s">
        <v>131</v>
      </c>
      <c r="BD423" t="s">
        <v>131</v>
      </c>
      <c r="BE423" t="s">
        <v>132</v>
      </c>
      <c r="BH423" t="s">
        <v>393</v>
      </c>
      <c r="BI423" t="s">
        <v>131</v>
      </c>
      <c r="BL423" t="s">
        <v>167</v>
      </c>
      <c r="BO423" t="s">
        <v>131</v>
      </c>
      <c r="BP423" t="s">
        <v>134</v>
      </c>
      <c r="BQ423" t="s">
        <v>131</v>
      </c>
      <c r="BS423" t="str">
        <f t="shared" si="30"/>
        <v>N/A</v>
      </c>
      <c r="BT423" t="s">
        <v>135</v>
      </c>
      <c r="BU423">
        <v>3</v>
      </c>
      <c r="BV423" t="str">
        <f>"Construction Laborers"</f>
        <v>Construction Laborers</v>
      </c>
      <c r="BW423" t="s">
        <v>135</v>
      </c>
      <c r="BX423" t="str">
        <f>""</f>
        <v/>
      </c>
      <c r="BY423" t="str">
        <f>""</f>
        <v/>
      </c>
      <c r="BZ423" t="str">
        <f>""</f>
        <v/>
      </c>
      <c r="CA423" t="str">
        <f>"Some weekend work"</f>
        <v>Some weekend work</v>
      </c>
      <c r="CB423" t="s">
        <v>131</v>
      </c>
      <c r="CF423" t="s">
        <v>131</v>
      </c>
      <c r="CH423" t="str">
        <f>""</f>
        <v/>
      </c>
      <c r="CI423" t="s">
        <v>131</v>
      </c>
      <c r="CK423" t="s">
        <v>131</v>
      </c>
      <c r="CL423" t="str">
        <f>""</f>
        <v/>
      </c>
      <c r="CM423" t="str">
        <f>""</f>
        <v/>
      </c>
      <c r="CN423" t="str">
        <f>""</f>
        <v/>
      </c>
      <c r="CO423" t="str">
        <f>""</f>
        <v/>
      </c>
      <c r="CP423" t="str">
        <f t="shared" si="37"/>
        <v>47-2061.00</v>
      </c>
      <c r="CQ423" t="s">
        <v>393</v>
      </c>
      <c r="CR423" t="s">
        <v>3086</v>
      </c>
      <c r="CS423" t="s">
        <v>135</v>
      </c>
      <c r="CT423" t="s">
        <v>17049</v>
      </c>
      <c r="CU423" t="s">
        <v>6296</v>
      </c>
      <c r="CW423" t="s">
        <v>5835</v>
      </c>
      <c r="CX423" t="s">
        <v>603</v>
      </c>
      <c r="CZ423" s="3" t="str">
        <f>"57708"</f>
        <v>57708</v>
      </c>
      <c r="DA423" t="s">
        <v>131</v>
      </c>
      <c r="DB423" t="str">
        <f t="shared" si="38"/>
        <v>47-2061</v>
      </c>
      <c r="DC423" t="s">
        <v>393</v>
      </c>
      <c r="DD423" t="s">
        <v>134</v>
      </c>
      <c r="DE423" t="s">
        <v>134</v>
      </c>
      <c r="DF423" t="str">
        <f>""</f>
        <v/>
      </c>
      <c r="DH423" s="6">
        <v>15.1</v>
      </c>
      <c r="DI423" t="s">
        <v>344</v>
      </c>
      <c r="DK423" t="s">
        <v>345</v>
      </c>
      <c r="DR423" t="s">
        <v>5836</v>
      </c>
      <c r="DS423" s="6">
        <v>15.1</v>
      </c>
      <c r="DT423" s="2" t="s">
        <v>2219</v>
      </c>
      <c r="DU423" s="1">
        <v>44356</v>
      </c>
      <c r="DV423" s="1">
        <v>44445</v>
      </c>
    </row>
    <row r="424" spans="1:126" ht="15" customHeight="1" x14ac:dyDescent="0.35">
      <c r="A424" t="s">
        <v>20000</v>
      </c>
      <c r="B424" t="s">
        <v>318</v>
      </c>
      <c r="C424" s="1">
        <v>44329</v>
      </c>
      <c r="D424" s="1">
        <v>44357</v>
      </c>
      <c r="H424" t="s">
        <v>319</v>
      </c>
      <c r="I424" t="s">
        <v>2059</v>
      </c>
      <c r="J424" t="s">
        <v>5829</v>
      </c>
      <c r="K424" t="s">
        <v>134</v>
      </c>
      <c r="L424" t="s">
        <v>1105</v>
      </c>
      <c r="M424" t="s">
        <v>5830</v>
      </c>
      <c r="N424" t="s">
        <v>5831</v>
      </c>
      <c r="O424" t="s">
        <v>899</v>
      </c>
      <c r="P424" t="s">
        <v>388</v>
      </c>
      <c r="Q424" s="3">
        <v>57212</v>
      </c>
      <c r="R424" t="s">
        <v>128</v>
      </c>
      <c r="T424" s="4">
        <v>16052031362</v>
      </c>
      <c r="V424" t="s">
        <v>2060</v>
      </c>
      <c r="W424" t="s">
        <v>5832</v>
      </c>
      <c r="X424" t="s">
        <v>134</v>
      </c>
      <c r="Y424" t="s">
        <v>5833</v>
      </c>
      <c r="Z424" t="s">
        <v>134</v>
      </c>
      <c r="AA424" t="s">
        <v>899</v>
      </c>
      <c r="AB424" t="s">
        <v>603</v>
      </c>
      <c r="AC424" s="3" t="str">
        <f t="shared" si="33"/>
        <v>57212</v>
      </c>
      <c r="AD424" t="s">
        <v>128</v>
      </c>
      <c r="AE424" t="s">
        <v>134</v>
      </c>
      <c r="AF424" s="4">
        <v>16052031362</v>
      </c>
      <c r="AH424" t="str">
        <f t="shared" si="34"/>
        <v>238110</v>
      </c>
      <c r="AI424" t="s">
        <v>130</v>
      </c>
      <c r="AJ424" t="s">
        <v>1955</v>
      </c>
      <c r="AK424" t="s">
        <v>1956</v>
      </c>
      <c r="AL424" t="s">
        <v>618</v>
      </c>
      <c r="AM424" t="s">
        <v>1957</v>
      </c>
      <c r="AN424" t="s">
        <v>134</v>
      </c>
      <c r="AO424" t="s">
        <v>1958</v>
      </c>
      <c r="AP424" t="s">
        <v>605</v>
      </c>
      <c r="AQ424" s="5">
        <v>50010</v>
      </c>
      <c r="AR424" t="s">
        <v>128</v>
      </c>
      <c r="AS424" t="s">
        <v>134</v>
      </c>
      <c r="AT424" s="4">
        <v>15152324444</v>
      </c>
      <c r="AU424">
        <v>0</v>
      </c>
      <c r="AV424" t="s">
        <v>1959</v>
      </c>
      <c r="AW424" t="s">
        <v>1960</v>
      </c>
      <c r="AX424" t="s">
        <v>131</v>
      </c>
      <c r="AY424" t="s">
        <v>131</v>
      </c>
      <c r="AZ424" t="s">
        <v>131</v>
      </c>
      <c r="BA424" t="s">
        <v>131</v>
      </c>
      <c r="BB424" t="s">
        <v>131</v>
      </c>
      <c r="BC424" t="s">
        <v>131</v>
      </c>
      <c r="BD424" t="s">
        <v>131</v>
      </c>
      <c r="BE424" t="s">
        <v>132</v>
      </c>
      <c r="BH424" t="s">
        <v>4045</v>
      </c>
      <c r="BI424" t="s">
        <v>131</v>
      </c>
      <c r="BL424" t="s">
        <v>167</v>
      </c>
      <c r="BO424" t="s">
        <v>131</v>
      </c>
      <c r="BP424" t="s">
        <v>134</v>
      </c>
      <c r="BQ424" t="s">
        <v>131</v>
      </c>
      <c r="BS424" t="str">
        <f t="shared" si="30"/>
        <v>N/A</v>
      </c>
      <c r="BT424" t="s">
        <v>135</v>
      </c>
      <c r="BU424">
        <v>3</v>
      </c>
      <c r="BV424" t="str">
        <f>"Concrete Construction"</f>
        <v>Concrete Construction</v>
      </c>
      <c r="BW424" t="s">
        <v>135</v>
      </c>
      <c r="BX424" t="str">
        <f>""</f>
        <v/>
      </c>
      <c r="BY424" t="str">
        <f>""</f>
        <v/>
      </c>
      <c r="BZ424" t="str">
        <f>""</f>
        <v/>
      </c>
      <c r="CA424" t="str">
        <f>"Some weekend work"</f>
        <v>Some weekend work</v>
      </c>
      <c r="CB424" t="s">
        <v>131</v>
      </c>
      <c r="CF424" t="s">
        <v>131</v>
      </c>
      <c r="CH424" t="str">
        <f>""</f>
        <v/>
      </c>
      <c r="CI424" t="s">
        <v>131</v>
      </c>
      <c r="CK424" t="s">
        <v>131</v>
      </c>
      <c r="CL424" t="str">
        <f>""</f>
        <v/>
      </c>
      <c r="CM424" t="str">
        <f>""</f>
        <v/>
      </c>
      <c r="CN424" t="str">
        <f>""</f>
        <v/>
      </c>
      <c r="CO424" t="str">
        <f>""</f>
        <v/>
      </c>
      <c r="CP424" t="str">
        <f t="shared" si="37"/>
        <v>47-2061.00</v>
      </c>
      <c r="CQ424" t="s">
        <v>393</v>
      </c>
      <c r="CR424" t="s">
        <v>3086</v>
      </c>
      <c r="CS424" t="s">
        <v>135</v>
      </c>
      <c r="CT424" t="s">
        <v>9079</v>
      </c>
      <c r="CU424" t="s">
        <v>14084</v>
      </c>
      <c r="CW424" t="s">
        <v>5748</v>
      </c>
      <c r="CX424" t="s">
        <v>603</v>
      </c>
      <c r="CZ424" s="3" t="str">
        <f>"57032"</f>
        <v>57032</v>
      </c>
      <c r="DA424" t="s">
        <v>131</v>
      </c>
      <c r="DB424" t="str">
        <f t="shared" si="38"/>
        <v>47-2061</v>
      </c>
      <c r="DC424" t="s">
        <v>393</v>
      </c>
      <c r="DD424" t="s">
        <v>134</v>
      </c>
      <c r="DE424" t="s">
        <v>134</v>
      </c>
      <c r="DF424" t="str">
        <f>""</f>
        <v/>
      </c>
      <c r="DH424" s="6">
        <v>15.3</v>
      </c>
      <c r="DI424" t="s">
        <v>344</v>
      </c>
      <c r="DK424" t="s">
        <v>345</v>
      </c>
      <c r="DR424" t="s">
        <v>13860</v>
      </c>
      <c r="DS424" s="6">
        <v>15.3</v>
      </c>
      <c r="DT424" s="2" t="s">
        <v>2219</v>
      </c>
      <c r="DU424" s="1">
        <v>44357</v>
      </c>
      <c r="DV424" s="1">
        <v>44446</v>
      </c>
    </row>
    <row r="425" spans="1:126" ht="15" customHeight="1" x14ac:dyDescent="0.35">
      <c r="A425" t="s">
        <v>20117</v>
      </c>
      <c r="B425" t="s">
        <v>318</v>
      </c>
      <c r="C425" s="1">
        <v>44329</v>
      </c>
      <c r="D425" s="1">
        <v>44357</v>
      </c>
      <c r="H425" t="s">
        <v>319</v>
      </c>
      <c r="I425" t="s">
        <v>2059</v>
      </c>
      <c r="J425" t="s">
        <v>5829</v>
      </c>
      <c r="K425" t="s">
        <v>134</v>
      </c>
      <c r="L425" t="s">
        <v>1105</v>
      </c>
      <c r="M425" t="s">
        <v>5830</v>
      </c>
      <c r="N425" t="s">
        <v>5831</v>
      </c>
      <c r="O425" t="s">
        <v>899</v>
      </c>
      <c r="P425" t="s">
        <v>388</v>
      </c>
      <c r="Q425" s="3">
        <v>57212</v>
      </c>
      <c r="R425" t="s">
        <v>128</v>
      </c>
      <c r="T425" s="4">
        <v>16052031362</v>
      </c>
      <c r="V425" t="s">
        <v>2060</v>
      </c>
      <c r="W425" t="s">
        <v>5832</v>
      </c>
      <c r="X425" t="s">
        <v>134</v>
      </c>
      <c r="Y425" t="s">
        <v>5833</v>
      </c>
      <c r="Z425" t="s">
        <v>134</v>
      </c>
      <c r="AA425" t="s">
        <v>899</v>
      </c>
      <c r="AB425" t="s">
        <v>603</v>
      </c>
      <c r="AC425" s="3" t="str">
        <f t="shared" si="33"/>
        <v>57212</v>
      </c>
      <c r="AD425" t="s">
        <v>128</v>
      </c>
      <c r="AE425" t="s">
        <v>134</v>
      </c>
      <c r="AF425" s="4">
        <v>16052031362</v>
      </c>
      <c r="AH425" t="str">
        <f t="shared" si="34"/>
        <v>238110</v>
      </c>
      <c r="AI425" t="s">
        <v>130</v>
      </c>
      <c r="AJ425" t="s">
        <v>1955</v>
      </c>
      <c r="AK425" t="s">
        <v>1956</v>
      </c>
      <c r="AL425" t="s">
        <v>618</v>
      </c>
      <c r="AM425" t="s">
        <v>1957</v>
      </c>
      <c r="AN425" t="s">
        <v>134</v>
      </c>
      <c r="AO425" t="s">
        <v>1958</v>
      </c>
      <c r="AP425" t="s">
        <v>605</v>
      </c>
      <c r="AQ425" s="5">
        <v>50010</v>
      </c>
      <c r="AR425" t="s">
        <v>128</v>
      </c>
      <c r="AS425" t="s">
        <v>134</v>
      </c>
      <c r="AT425" s="4">
        <v>15152324444</v>
      </c>
      <c r="AU425">
        <v>0</v>
      </c>
      <c r="AV425" t="s">
        <v>1959</v>
      </c>
      <c r="AW425" t="s">
        <v>1960</v>
      </c>
      <c r="AX425" t="s">
        <v>131</v>
      </c>
      <c r="AY425" t="s">
        <v>131</v>
      </c>
      <c r="AZ425" t="s">
        <v>131</v>
      </c>
      <c r="BA425" t="s">
        <v>131</v>
      </c>
      <c r="BB425" t="s">
        <v>131</v>
      </c>
      <c r="BC425" t="s">
        <v>131</v>
      </c>
      <c r="BD425" t="s">
        <v>131</v>
      </c>
      <c r="BE425" t="s">
        <v>132</v>
      </c>
      <c r="BH425" t="s">
        <v>4045</v>
      </c>
      <c r="BI425" t="s">
        <v>131</v>
      </c>
      <c r="BL425" t="s">
        <v>167</v>
      </c>
      <c r="BO425" t="s">
        <v>131</v>
      </c>
      <c r="BP425" t="s">
        <v>134</v>
      </c>
      <c r="BQ425" t="s">
        <v>131</v>
      </c>
      <c r="BS425" t="str">
        <f t="shared" si="30"/>
        <v>N/A</v>
      </c>
      <c r="BT425" t="s">
        <v>135</v>
      </c>
      <c r="BU425">
        <v>3</v>
      </c>
      <c r="BV425" t="str">
        <f>"Concrete Construction"</f>
        <v>Concrete Construction</v>
      </c>
      <c r="BW425" t="s">
        <v>135</v>
      </c>
      <c r="BX425" t="str">
        <f>""</f>
        <v/>
      </c>
      <c r="BY425" t="str">
        <f>""</f>
        <v/>
      </c>
      <c r="BZ425" t="str">
        <f>""</f>
        <v/>
      </c>
      <c r="CA425" t="str">
        <f>"Some weekend work"</f>
        <v>Some weekend work</v>
      </c>
      <c r="CB425" t="s">
        <v>131</v>
      </c>
      <c r="CF425" t="s">
        <v>131</v>
      </c>
      <c r="CH425" t="str">
        <f>""</f>
        <v/>
      </c>
      <c r="CI425" t="s">
        <v>131</v>
      </c>
      <c r="CK425" t="s">
        <v>131</v>
      </c>
      <c r="CL425" t="str">
        <f>""</f>
        <v/>
      </c>
      <c r="CM425" t="str">
        <f>""</f>
        <v/>
      </c>
      <c r="CN425" t="str">
        <f>""</f>
        <v/>
      </c>
      <c r="CO425" t="str">
        <f>""</f>
        <v/>
      </c>
      <c r="CP425" t="str">
        <f t="shared" si="37"/>
        <v>47-2061.00</v>
      </c>
      <c r="CQ425" t="s">
        <v>393</v>
      </c>
      <c r="CR425" t="s">
        <v>4045</v>
      </c>
      <c r="CS425" t="s">
        <v>135</v>
      </c>
      <c r="CT425" t="s">
        <v>9079</v>
      </c>
      <c r="CU425" t="s">
        <v>16860</v>
      </c>
      <c r="CW425" t="s">
        <v>7002</v>
      </c>
      <c r="CX425" t="s">
        <v>779</v>
      </c>
      <c r="CZ425" s="3" t="str">
        <f>"37809"</f>
        <v>37809</v>
      </c>
      <c r="DA425" t="s">
        <v>131</v>
      </c>
      <c r="DB425" t="str">
        <f t="shared" si="38"/>
        <v>47-2061</v>
      </c>
      <c r="DC425" t="s">
        <v>393</v>
      </c>
      <c r="DD425" t="s">
        <v>134</v>
      </c>
      <c r="DE425" t="s">
        <v>134</v>
      </c>
      <c r="DF425" t="str">
        <f>""</f>
        <v/>
      </c>
      <c r="DH425" s="6">
        <v>15.87</v>
      </c>
      <c r="DI425" t="s">
        <v>344</v>
      </c>
      <c r="DK425" t="s">
        <v>345</v>
      </c>
      <c r="DR425" t="s">
        <v>8289</v>
      </c>
      <c r="DS425" s="6">
        <v>15.87</v>
      </c>
      <c r="DT425" s="2" t="s">
        <v>2219</v>
      </c>
      <c r="DU425" s="1">
        <v>44357</v>
      </c>
      <c r="DV425" s="1">
        <v>44446</v>
      </c>
    </row>
    <row r="426" spans="1:126" ht="15" customHeight="1" x14ac:dyDescent="0.35">
      <c r="A426" t="s">
        <v>18560</v>
      </c>
      <c r="B426" t="s">
        <v>318</v>
      </c>
      <c r="C426" s="1">
        <v>44329</v>
      </c>
      <c r="D426" s="1">
        <v>44357</v>
      </c>
      <c r="H426" t="s">
        <v>319</v>
      </c>
      <c r="I426" t="s">
        <v>18561</v>
      </c>
      <c r="J426" t="s">
        <v>18562</v>
      </c>
      <c r="L426" t="s">
        <v>395</v>
      </c>
      <c r="M426" t="s">
        <v>18563</v>
      </c>
      <c r="O426" t="s">
        <v>1778</v>
      </c>
      <c r="P426" t="s">
        <v>127</v>
      </c>
      <c r="Q426" s="3">
        <v>11105</v>
      </c>
      <c r="R426" t="s">
        <v>128</v>
      </c>
      <c r="T426" s="4">
        <v>19173374711</v>
      </c>
      <c r="V426" t="s">
        <v>18564</v>
      </c>
      <c r="W426" t="s">
        <v>18565</v>
      </c>
      <c r="Y426" t="s">
        <v>18563</v>
      </c>
      <c r="AA426" t="s">
        <v>1778</v>
      </c>
      <c r="AB426" t="s">
        <v>129</v>
      </c>
      <c r="AC426" s="3" t="str">
        <f>"11105"</f>
        <v>11105</v>
      </c>
      <c r="AD426" t="s">
        <v>128</v>
      </c>
      <c r="AF426" s="4">
        <v>19173374711</v>
      </c>
      <c r="AH426" t="str">
        <f>"7139"</f>
        <v>7139</v>
      </c>
      <c r="AI426" t="s">
        <v>287</v>
      </c>
      <c r="AJ426" t="s">
        <v>1366</v>
      </c>
      <c r="AK426" t="s">
        <v>1071</v>
      </c>
      <c r="AL426" t="s">
        <v>1367</v>
      </c>
      <c r="AM426" t="s">
        <v>12333</v>
      </c>
      <c r="AN426" t="s">
        <v>1369</v>
      </c>
      <c r="AO426" t="s">
        <v>1370</v>
      </c>
      <c r="AP426" t="s">
        <v>400</v>
      </c>
      <c r="AQ426" s="5">
        <v>78550</v>
      </c>
      <c r="AR426" t="s">
        <v>128</v>
      </c>
      <c r="AS426" t="s">
        <v>412</v>
      </c>
      <c r="AT426" s="4">
        <v>19564408720</v>
      </c>
      <c r="AV426" t="s">
        <v>1678</v>
      </c>
      <c r="AW426" t="s">
        <v>1372</v>
      </c>
      <c r="AX426" t="s">
        <v>131</v>
      </c>
      <c r="AY426" t="s">
        <v>131</v>
      </c>
      <c r="AZ426" t="s">
        <v>131</v>
      </c>
      <c r="BA426" t="s">
        <v>131</v>
      </c>
      <c r="BB426" t="s">
        <v>131</v>
      </c>
      <c r="BC426" t="s">
        <v>131</v>
      </c>
      <c r="BD426" t="s">
        <v>131</v>
      </c>
      <c r="BE426" t="s">
        <v>132</v>
      </c>
      <c r="BH426" t="s">
        <v>1373</v>
      </c>
      <c r="BI426" t="s">
        <v>131</v>
      </c>
      <c r="BL426" t="s">
        <v>167</v>
      </c>
      <c r="BO426" t="s">
        <v>131</v>
      </c>
      <c r="BP426" t="s">
        <v>134</v>
      </c>
      <c r="BQ426" t="s">
        <v>131</v>
      </c>
      <c r="BS426" t="str">
        <f t="shared" si="30"/>
        <v>N/A</v>
      </c>
      <c r="BT426" t="s">
        <v>131</v>
      </c>
      <c r="BV426" t="str">
        <f>""</f>
        <v/>
      </c>
      <c r="BW426" t="s">
        <v>131</v>
      </c>
      <c r="BX426" t="str">
        <f>""</f>
        <v/>
      </c>
      <c r="BY426" t="str">
        <f>""</f>
        <v/>
      </c>
      <c r="BZ426" t="str">
        <f>""</f>
        <v/>
      </c>
      <c r="CA426" t="str">
        <f>""</f>
        <v/>
      </c>
      <c r="CB426" t="s">
        <v>131</v>
      </c>
      <c r="CF426" t="s">
        <v>131</v>
      </c>
      <c r="CH426" t="str">
        <f>""</f>
        <v/>
      </c>
      <c r="CI426" t="s">
        <v>131</v>
      </c>
      <c r="CK426" t="s">
        <v>131</v>
      </c>
      <c r="CL426" t="str">
        <f>""</f>
        <v/>
      </c>
      <c r="CM426" t="str">
        <f>""</f>
        <v/>
      </c>
      <c r="CN426" t="str">
        <f>""</f>
        <v/>
      </c>
      <c r="CO426" t="str">
        <f>""</f>
        <v/>
      </c>
      <c r="CP426" t="str">
        <f>"39-3091.00"</f>
        <v>39-3091.00</v>
      </c>
      <c r="CQ426" t="s">
        <v>1374</v>
      </c>
      <c r="CR426" t="s">
        <v>1375</v>
      </c>
      <c r="CS426" t="s">
        <v>135</v>
      </c>
      <c r="CT426" s="2" t="s">
        <v>1376</v>
      </c>
      <c r="CU426" t="s">
        <v>18566</v>
      </c>
      <c r="CW426" t="s">
        <v>1778</v>
      </c>
      <c r="CX426" t="s">
        <v>129</v>
      </c>
      <c r="CZ426" s="3" t="str">
        <f>"11105"</f>
        <v>11105</v>
      </c>
      <c r="DA426" t="s">
        <v>135</v>
      </c>
      <c r="DB426" t="str">
        <f>"35-3022"</f>
        <v>35-3022</v>
      </c>
      <c r="DC426" t="s">
        <v>5154</v>
      </c>
      <c r="DD426" t="s">
        <v>134</v>
      </c>
      <c r="DE426" t="s">
        <v>134</v>
      </c>
      <c r="DF426" t="str">
        <f>""</f>
        <v/>
      </c>
      <c r="DH426" s="6">
        <v>12.97</v>
      </c>
      <c r="DI426" t="s">
        <v>344</v>
      </c>
      <c r="DK426" t="s">
        <v>345</v>
      </c>
      <c r="DR426" t="s">
        <v>346</v>
      </c>
      <c r="DS426" s="6">
        <v>12.97</v>
      </c>
      <c r="DT426" s="2" t="s">
        <v>2219</v>
      </c>
      <c r="DU426" s="1">
        <v>44357</v>
      </c>
      <c r="DV426" s="1">
        <v>44446</v>
      </c>
    </row>
    <row r="427" spans="1:126" ht="15" customHeight="1" x14ac:dyDescent="0.35">
      <c r="A427" t="s">
        <v>8422</v>
      </c>
      <c r="B427" t="s">
        <v>318</v>
      </c>
      <c r="C427" s="1">
        <v>44329</v>
      </c>
      <c r="D427" s="1">
        <v>44357</v>
      </c>
      <c r="H427" t="s">
        <v>319</v>
      </c>
      <c r="I427" t="s">
        <v>8423</v>
      </c>
      <c r="J427" t="s">
        <v>8424</v>
      </c>
      <c r="L427" t="s">
        <v>569</v>
      </c>
      <c r="M427" t="s">
        <v>8425</v>
      </c>
      <c r="O427" t="s">
        <v>8426</v>
      </c>
      <c r="P427" t="s">
        <v>778</v>
      </c>
      <c r="Q427" s="3">
        <v>37111</v>
      </c>
      <c r="R427" t="s">
        <v>128</v>
      </c>
      <c r="T427" s="4">
        <v>19319345900</v>
      </c>
      <c r="V427" t="s">
        <v>8427</v>
      </c>
      <c r="W427" t="s">
        <v>8428</v>
      </c>
      <c r="Y427" t="s">
        <v>8425</v>
      </c>
      <c r="AA427" t="s">
        <v>3255</v>
      </c>
      <c r="AB427" t="s">
        <v>779</v>
      </c>
      <c r="AC427" s="3" t="str">
        <f>"37111"</f>
        <v>37111</v>
      </c>
      <c r="AD427" t="s">
        <v>128</v>
      </c>
      <c r="AF427" s="4">
        <v>19319345900</v>
      </c>
      <c r="AH427" t="str">
        <f>"311612"</f>
        <v>311612</v>
      </c>
      <c r="AI427" t="s">
        <v>130</v>
      </c>
      <c r="AJ427" t="s">
        <v>3252</v>
      </c>
      <c r="AK427" t="s">
        <v>3253</v>
      </c>
      <c r="AL427" t="s">
        <v>589</v>
      </c>
      <c r="AM427" t="s">
        <v>3254</v>
      </c>
      <c r="AO427" t="s">
        <v>3255</v>
      </c>
      <c r="AP427" t="s">
        <v>779</v>
      </c>
      <c r="AQ427" s="5">
        <v>37110</v>
      </c>
      <c r="AR427" t="s">
        <v>128</v>
      </c>
      <c r="AT427" s="4">
        <v>19312747811</v>
      </c>
      <c r="AV427" t="s">
        <v>3256</v>
      </c>
      <c r="AW427" t="s">
        <v>3257</v>
      </c>
      <c r="AX427" t="s">
        <v>131</v>
      </c>
      <c r="AY427" t="s">
        <v>131</v>
      </c>
      <c r="AZ427" t="s">
        <v>131</v>
      </c>
      <c r="BA427" t="s">
        <v>131</v>
      </c>
      <c r="BB427" t="s">
        <v>131</v>
      </c>
      <c r="BC427" t="s">
        <v>131</v>
      </c>
      <c r="BD427" t="s">
        <v>131</v>
      </c>
      <c r="BE427" t="s">
        <v>132</v>
      </c>
      <c r="BH427" t="s">
        <v>5705</v>
      </c>
      <c r="BI427" t="s">
        <v>131</v>
      </c>
      <c r="BL427" t="s">
        <v>167</v>
      </c>
      <c r="BO427" t="s">
        <v>131</v>
      </c>
      <c r="BP427" t="s">
        <v>134</v>
      </c>
      <c r="BQ427" t="s">
        <v>131</v>
      </c>
      <c r="BS427" t="str">
        <f t="shared" si="30"/>
        <v>N/A</v>
      </c>
      <c r="BT427" t="s">
        <v>131</v>
      </c>
      <c r="BV427" t="str">
        <f>""</f>
        <v/>
      </c>
      <c r="BW427" t="s">
        <v>135</v>
      </c>
      <c r="BX427" t="str">
        <f>""</f>
        <v/>
      </c>
      <c r="BY427" t="str">
        <f>""</f>
        <v/>
      </c>
      <c r="BZ427" t="str">
        <f>""</f>
        <v/>
      </c>
      <c r="CA427" t="str">
        <f>"Must be able to lift 50 lbs. Repetitive movements. "</f>
        <v xml:space="preserve">Must be able to lift 50 lbs. Repetitive movements. </v>
      </c>
      <c r="CB427" t="s">
        <v>131</v>
      </c>
      <c r="CF427" t="s">
        <v>131</v>
      </c>
      <c r="CH427" t="str">
        <f>""</f>
        <v/>
      </c>
      <c r="CI427" t="s">
        <v>131</v>
      </c>
      <c r="CK427" t="s">
        <v>131</v>
      </c>
      <c r="CL427" t="str">
        <f>""</f>
        <v/>
      </c>
      <c r="CM427" t="str">
        <f>""</f>
        <v/>
      </c>
      <c r="CN427" t="str">
        <f>""</f>
        <v/>
      </c>
      <c r="CO427" t="str">
        <f>""</f>
        <v/>
      </c>
      <c r="CP427" t="str">
        <f>"51-3023.00"</f>
        <v>51-3023.00</v>
      </c>
      <c r="CQ427" t="s">
        <v>5705</v>
      </c>
      <c r="CS427" t="s">
        <v>131</v>
      </c>
      <c r="CU427" t="s">
        <v>8429</v>
      </c>
      <c r="CW427" t="s">
        <v>8430</v>
      </c>
      <c r="CX427" t="s">
        <v>779</v>
      </c>
      <c r="CZ427" s="3" t="str">
        <f>"38501"</f>
        <v>38501</v>
      </c>
      <c r="DA427" t="s">
        <v>135</v>
      </c>
      <c r="DB427" t="str">
        <f>"51-3023"</f>
        <v>51-3023</v>
      </c>
      <c r="DC427" t="s">
        <v>5705</v>
      </c>
      <c r="DD427" t="s">
        <v>134</v>
      </c>
      <c r="DE427" t="s">
        <v>134</v>
      </c>
      <c r="DF427" t="str">
        <f>""</f>
        <v/>
      </c>
      <c r="DH427" s="6">
        <v>12.61</v>
      </c>
      <c r="DI427" t="s">
        <v>344</v>
      </c>
      <c r="DK427" t="s">
        <v>345</v>
      </c>
      <c r="DR427" t="s">
        <v>8431</v>
      </c>
      <c r="DS427" s="6">
        <v>12.61</v>
      </c>
      <c r="DT427" t="s">
        <v>424</v>
      </c>
      <c r="DU427" s="1">
        <v>44357</v>
      </c>
      <c r="DV427" s="1">
        <v>44446</v>
      </c>
    </row>
    <row r="428" spans="1:126" ht="15" customHeight="1" x14ac:dyDescent="0.35">
      <c r="A428" t="s">
        <v>16907</v>
      </c>
      <c r="B428" t="s">
        <v>318</v>
      </c>
      <c r="C428" s="1">
        <v>44329</v>
      </c>
      <c r="D428" s="1">
        <v>44357</v>
      </c>
      <c r="H428" t="s">
        <v>319</v>
      </c>
      <c r="I428" t="s">
        <v>9688</v>
      </c>
      <c r="J428" t="s">
        <v>2821</v>
      </c>
      <c r="L428" t="s">
        <v>1031</v>
      </c>
      <c r="M428" t="s">
        <v>9689</v>
      </c>
      <c r="O428" t="s">
        <v>8629</v>
      </c>
      <c r="P428" t="s">
        <v>778</v>
      </c>
      <c r="Q428" s="3">
        <v>38355</v>
      </c>
      <c r="R428" t="s">
        <v>128</v>
      </c>
      <c r="T428" s="4">
        <v>17315718094</v>
      </c>
      <c r="V428" t="s">
        <v>9690</v>
      </c>
      <c r="W428" t="s">
        <v>9691</v>
      </c>
      <c r="Y428" t="s">
        <v>9689</v>
      </c>
      <c r="AA428" t="s">
        <v>8629</v>
      </c>
      <c r="AB428" t="s">
        <v>779</v>
      </c>
      <c r="AC428" s="3" t="str">
        <f>"38355"</f>
        <v>38355</v>
      </c>
      <c r="AD428" t="s">
        <v>128</v>
      </c>
      <c r="AF428" s="4">
        <v>17315718094</v>
      </c>
      <c r="AH428" t="str">
        <f>"112111"</f>
        <v>112111</v>
      </c>
      <c r="AI428" t="s">
        <v>130</v>
      </c>
      <c r="AJ428" t="s">
        <v>3252</v>
      </c>
      <c r="AK428" t="s">
        <v>3253</v>
      </c>
      <c r="AL428" t="s">
        <v>589</v>
      </c>
      <c r="AM428" t="s">
        <v>3254</v>
      </c>
      <c r="AO428" t="s">
        <v>3255</v>
      </c>
      <c r="AP428" t="s">
        <v>779</v>
      </c>
      <c r="AQ428" s="5">
        <v>37110</v>
      </c>
      <c r="AR428" t="s">
        <v>128</v>
      </c>
      <c r="AT428" s="4">
        <v>19312747811</v>
      </c>
      <c r="AV428" t="s">
        <v>3256</v>
      </c>
      <c r="AW428" t="s">
        <v>3257</v>
      </c>
      <c r="AX428" t="s">
        <v>131</v>
      </c>
      <c r="AY428" t="s">
        <v>131</v>
      </c>
      <c r="AZ428" t="s">
        <v>131</v>
      </c>
      <c r="BA428" t="s">
        <v>131</v>
      </c>
      <c r="BB428" t="s">
        <v>131</v>
      </c>
      <c r="BC428" t="s">
        <v>131</v>
      </c>
      <c r="BD428" t="s">
        <v>131</v>
      </c>
      <c r="BE428" t="s">
        <v>132</v>
      </c>
      <c r="BH428" t="s">
        <v>6893</v>
      </c>
      <c r="BI428" t="s">
        <v>131</v>
      </c>
      <c r="BL428" t="s">
        <v>167</v>
      </c>
      <c r="BO428" t="s">
        <v>131</v>
      </c>
      <c r="BP428" t="s">
        <v>134</v>
      </c>
      <c r="BQ428" t="s">
        <v>131</v>
      </c>
      <c r="BS428" t="str">
        <f t="shared" si="30"/>
        <v>N/A</v>
      </c>
      <c r="BT428" t="s">
        <v>131</v>
      </c>
      <c r="BV428" t="str">
        <f>""</f>
        <v/>
      </c>
      <c r="BW428" t="s">
        <v>135</v>
      </c>
      <c r="BX428" t="str">
        <f>""</f>
        <v/>
      </c>
      <c r="BY428" t="str">
        <f>""</f>
        <v/>
      </c>
      <c r="BZ428" t="str">
        <f>""</f>
        <v/>
      </c>
      <c r="CA428" t="str">
        <f>"MUST BE ABLE TO LIFT 75 LBS."</f>
        <v>MUST BE ABLE TO LIFT 75 LBS.</v>
      </c>
      <c r="CB428" t="s">
        <v>131</v>
      </c>
      <c r="CF428" t="s">
        <v>131</v>
      </c>
      <c r="CH428" t="str">
        <f>""</f>
        <v/>
      </c>
      <c r="CI428" t="s">
        <v>131</v>
      </c>
      <c r="CK428" t="s">
        <v>131</v>
      </c>
      <c r="CL428" t="str">
        <f>""</f>
        <v/>
      </c>
      <c r="CM428" t="str">
        <f>""</f>
        <v/>
      </c>
      <c r="CN428" t="str">
        <f>""</f>
        <v/>
      </c>
      <c r="CO428" t="str">
        <f>""</f>
        <v/>
      </c>
      <c r="CP428" t="str">
        <f>"37-3011.00"</f>
        <v>37-3011.00</v>
      </c>
      <c r="CQ428" t="s">
        <v>920</v>
      </c>
      <c r="CS428" t="s">
        <v>131</v>
      </c>
      <c r="CU428" t="s">
        <v>9689</v>
      </c>
      <c r="CW428" t="s">
        <v>16908</v>
      </c>
      <c r="CX428" t="s">
        <v>779</v>
      </c>
      <c r="CZ428" s="3" t="str">
        <f>"38355"</f>
        <v>38355</v>
      </c>
      <c r="DA428" t="s">
        <v>131</v>
      </c>
      <c r="DB428" t="str">
        <f>"37-3011"</f>
        <v>37-3011</v>
      </c>
      <c r="DC428" t="s">
        <v>920</v>
      </c>
      <c r="DD428" t="s">
        <v>134</v>
      </c>
      <c r="DE428" t="s">
        <v>134</v>
      </c>
      <c r="DF428" t="str">
        <f>""</f>
        <v/>
      </c>
      <c r="DH428" s="6">
        <v>13.07</v>
      </c>
      <c r="DI428" t="s">
        <v>344</v>
      </c>
      <c r="DK428" t="s">
        <v>345</v>
      </c>
      <c r="DR428" t="s">
        <v>15925</v>
      </c>
      <c r="DS428" s="6">
        <v>13.07</v>
      </c>
      <c r="DT428" t="s">
        <v>424</v>
      </c>
      <c r="DU428" s="1">
        <v>44357</v>
      </c>
      <c r="DV428" s="1">
        <v>44446</v>
      </c>
    </row>
    <row r="429" spans="1:126" ht="15" customHeight="1" x14ac:dyDescent="0.35">
      <c r="A429" t="s">
        <v>16400</v>
      </c>
      <c r="B429" t="s">
        <v>318</v>
      </c>
      <c r="C429" s="1">
        <v>44329</v>
      </c>
      <c r="D429" s="1">
        <v>44357</v>
      </c>
      <c r="H429" t="s">
        <v>319</v>
      </c>
      <c r="I429" t="s">
        <v>606</v>
      </c>
      <c r="J429" t="s">
        <v>5153</v>
      </c>
      <c r="L429" t="s">
        <v>1031</v>
      </c>
      <c r="M429" t="s">
        <v>16401</v>
      </c>
      <c r="O429" t="s">
        <v>8390</v>
      </c>
      <c r="P429" t="s">
        <v>3898</v>
      </c>
      <c r="Q429" s="3">
        <v>41102</v>
      </c>
      <c r="R429" t="s">
        <v>128</v>
      </c>
      <c r="T429" s="4">
        <v>16069280030</v>
      </c>
      <c r="V429" t="s">
        <v>16402</v>
      </c>
      <c r="W429" t="s">
        <v>16403</v>
      </c>
      <c r="Y429" t="s">
        <v>16404</v>
      </c>
      <c r="AA429" t="s">
        <v>8390</v>
      </c>
      <c r="AB429" t="s">
        <v>2436</v>
      </c>
      <c r="AC429" s="3" t="str">
        <f>"41102"</f>
        <v>41102</v>
      </c>
      <c r="AD429" t="s">
        <v>128</v>
      </c>
      <c r="AF429" s="4">
        <v>16069280030</v>
      </c>
      <c r="AH429" t="str">
        <f>"561730"</f>
        <v>561730</v>
      </c>
      <c r="AI429" t="s">
        <v>130</v>
      </c>
      <c r="AJ429" t="s">
        <v>3252</v>
      </c>
      <c r="AK429" t="s">
        <v>3253</v>
      </c>
      <c r="AL429" t="s">
        <v>589</v>
      </c>
      <c r="AM429" t="s">
        <v>3254</v>
      </c>
      <c r="AO429" t="s">
        <v>3255</v>
      </c>
      <c r="AP429" t="s">
        <v>779</v>
      </c>
      <c r="AQ429" s="5">
        <v>37110</v>
      </c>
      <c r="AR429" t="s">
        <v>128</v>
      </c>
      <c r="AT429" s="4">
        <v>19312747811</v>
      </c>
      <c r="AV429" t="s">
        <v>3256</v>
      </c>
      <c r="AW429" t="s">
        <v>3257</v>
      </c>
      <c r="AX429" t="s">
        <v>131</v>
      </c>
      <c r="AY429" t="s">
        <v>131</v>
      </c>
      <c r="AZ429" t="s">
        <v>131</v>
      </c>
      <c r="BA429" t="s">
        <v>131</v>
      </c>
      <c r="BB429" t="s">
        <v>131</v>
      </c>
      <c r="BC429" t="s">
        <v>131</v>
      </c>
      <c r="BD429" t="s">
        <v>131</v>
      </c>
      <c r="BE429" t="s">
        <v>132</v>
      </c>
      <c r="BH429" t="s">
        <v>6893</v>
      </c>
      <c r="BI429" t="s">
        <v>131</v>
      </c>
      <c r="BL429" t="s">
        <v>167</v>
      </c>
      <c r="BO429" t="s">
        <v>131</v>
      </c>
      <c r="BP429" t="s">
        <v>134</v>
      </c>
      <c r="BQ429" t="s">
        <v>131</v>
      </c>
      <c r="BS429" t="str">
        <f t="shared" si="30"/>
        <v>N/A</v>
      </c>
      <c r="BT429" t="s">
        <v>135</v>
      </c>
      <c r="BU429">
        <v>3</v>
      </c>
      <c r="BV429" t="str">
        <f>"LANDSCAPING"</f>
        <v>LANDSCAPING</v>
      </c>
      <c r="BW429" t="s">
        <v>135</v>
      </c>
      <c r="BX429" t="str">
        <f>""</f>
        <v/>
      </c>
      <c r="BY429" t="str">
        <f>""</f>
        <v/>
      </c>
      <c r="BZ429" t="str">
        <f>""</f>
        <v/>
      </c>
      <c r="CA429" t="str">
        <f>"MUST HAVE VALID DRIVER'S LICENSE"</f>
        <v>MUST HAVE VALID DRIVER'S LICENSE</v>
      </c>
      <c r="CB429" t="s">
        <v>131</v>
      </c>
      <c r="CF429" t="s">
        <v>131</v>
      </c>
      <c r="CH429" t="str">
        <f>""</f>
        <v/>
      </c>
      <c r="CI429" t="s">
        <v>131</v>
      </c>
      <c r="CK429" t="s">
        <v>131</v>
      </c>
      <c r="CL429" t="str">
        <f>""</f>
        <v/>
      </c>
      <c r="CM429" t="str">
        <f>""</f>
        <v/>
      </c>
      <c r="CN429" t="str">
        <f>""</f>
        <v/>
      </c>
      <c r="CO429" t="str">
        <f>""</f>
        <v/>
      </c>
      <c r="CP429" t="str">
        <f>"37-3011.00"</f>
        <v>37-3011.00</v>
      </c>
      <c r="CQ429" t="s">
        <v>920</v>
      </c>
      <c r="CS429" t="s">
        <v>131</v>
      </c>
      <c r="CU429" t="s">
        <v>16404</v>
      </c>
      <c r="CW429" t="s">
        <v>8390</v>
      </c>
      <c r="CX429" t="s">
        <v>2436</v>
      </c>
      <c r="CZ429" s="3" t="str">
        <f>"41102"</f>
        <v>41102</v>
      </c>
      <c r="DA429" t="s">
        <v>135</v>
      </c>
      <c r="DB429" t="str">
        <f>"37-3011"</f>
        <v>37-3011</v>
      </c>
      <c r="DC429" t="s">
        <v>920</v>
      </c>
      <c r="DD429" t="s">
        <v>134</v>
      </c>
      <c r="DE429" t="s">
        <v>134</v>
      </c>
      <c r="DF429" t="str">
        <f>""</f>
        <v/>
      </c>
      <c r="DH429" s="6">
        <v>12.66</v>
      </c>
      <c r="DI429" t="s">
        <v>344</v>
      </c>
      <c r="DK429" t="s">
        <v>345</v>
      </c>
      <c r="DR429" t="s">
        <v>11398</v>
      </c>
      <c r="DS429" s="6">
        <v>12.66</v>
      </c>
      <c r="DT429" t="s">
        <v>424</v>
      </c>
      <c r="DU429" s="1">
        <v>44357</v>
      </c>
      <c r="DV429" s="1">
        <v>44446</v>
      </c>
    </row>
    <row r="430" spans="1:126" ht="15" customHeight="1" x14ac:dyDescent="0.35">
      <c r="A430" t="s">
        <v>17643</v>
      </c>
      <c r="B430" t="s">
        <v>318</v>
      </c>
      <c r="C430" s="1">
        <v>44329</v>
      </c>
      <c r="D430" s="1">
        <v>44363</v>
      </c>
      <c r="H430" t="s">
        <v>319</v>
      </c>
      <c r="I430" t="s">
        <v>6744</v>
      </c>
      <c r="J430" t="s">
        <v>6745</v>
      </c>
      <c r="L430" t="s">
        <v>3359</v>
      </c>
      <c r="M430" t="s">
        <v>17644</v>
      </c>
      <c r="O430" t="s">
        <v>17645</v>
      </c>
      <c r="P430" t="s">
        <v>588</v>
      </c>
      <c r="Q430" s="3">
        <v>23834</v>
      </c>
      <c r="R430" t="s">
        <v>128</v>
      </c>
      <c r="T430" s="4">
        <v>18049122586</v>
      </c>
      <c r="V430" t="s">
        <v>6747</v>
      </c>
      <c r="W430" t="s">
        <v>17646</v>
      </c>
      <c r="Y430" t="s">
        <v>17644</v>
      </c>
      <c r="AA430" t="s">
        <v>17645</v>
      </c>
      <c r="AB430" t="s">
        <v>306</v>
      </c>
      <c r="AC430" s="3" t="str">
        <f>"23834"</f>
        <v>23834</v>
      </c>
      <c r="AD430" t="s">
        <v>128</v>
      </c>
      <c r="AF430" s="4">
        <v>18049122586</v>
      </c>
      <c r="AH430" t="str">
        <f>"722513"</f>
        <v>722513</v>
      </c>
      <c r="AI430" t="s">
        <v>287</v>
      </c>
      <c r="AJ430" t="s">
        <v>1106</v>
      </c>
      <c r="AK430" t="s">
        <v>1107</v>
      </c>
      <c r="AL430" t="s">
        <v>1108</v>
      </c>
      <c r="AM430" t="s">
        <v>1109</v>
      </c>
      <c r="AN430" t="s">
        <v>17647</v>
      </c>
      <c r="AO430" t="s">
        <v>17648</v>
      </c>
      <c r="AP430" t="s">
        <v>306</v>
      </c>
      <c r="AQ430" s="5">
        <v>24521</v>
      </c>
      <c r="AR430" t="s">
        <v>128</v>
      </c>
      <c r="AT430" s="4">
        <v>14349460035</v>
      </c>
      <c r="AV430" t="s">
        <v>1112</v>
      </c>
      <c r="AW430" t="s">
        <v>1113</v>
      </c>
      <c r="AX430" t="s">
        <v>131</v>
      </c>
      <c r="AY430" t="s">
        <v>131</v>
      </c>
      <c r="AZ430" t="s">
        <v>131</v>
      </c>
      <c r="BA430" t="s">
        <v>131</v>
      </c>
      <c r="BB430" t="s">
        <v>131</v>
      </c>
      <c r="BC430" t="s">
        <v>131</v>
      </c>
      <c r="BD430" t="s">
        <v>131</v>
      </c>
      <c r="BE430" t="s">
        <v>132</v>
      </c>
      <c r="BH430" t="s">
        <v>13806</v>
      </c>
      <c r="BI430" t="s">
        <v>131</v>
      </c>
      <c r="BL430" t="s">
        <v>167</v>
      </c>
      <c r="BO430" t="s">
        <v>131</v>
      </c>
      <c r="BP430" t="s">
        <v>134</v>
      </c>
      <c r="BQ430" t="s">
        <v>131</v>
      </c>
      <c r="BS430" t="str">
        <f t="shared" si="30"/>
        <v>N/A</v>
      </c>
      <c r="BT430" t="s">
        <v>131</v>
      </c>
      <c r="BV430" t="str">
        <f>""</f>
        <v/>
      </c>
      <c r="BW430" t="s">
        <v>135</v>
      </c>
      <c r="BX430" t="str">
        <f>""</f>
        <v/>
      </c>
      <c r="BY430" t="str">
        <f>""</f>
        <v/>
      </c>
      <c r="BZ430" t="str">
        <f>""</f>
        <v/>
      </c>
      <c r="CA430" s="2" t="s">
        <v>13807</v>
      </c>
      <c r="CB430" t="s">
        <v>131</v>
      </c>
      <c r="CF430" t="s">
        <v>131</v>
      </c>
      <c r="CH430" t="str">
        <f>""</f>
        <v/>
      </c>
      <c r="CI430" t="s">
        <v>131</v>
      </c>
      <c r="CK430" t="s">
        <v>131</v>
      </c>
      <c r="CL430" t="str">
        <f>""</f>
        <v/>
      </c>
      <c r="CM430" t="str">
        <f>""</f>
        <v/>
      </c>
      <c r="CN430" t="str">
        <f>""</f>
        <v/>
      </c>
      <c r="CO430" t="str">
        <f>""</f>
        <v/>
      </c>
      <c r="CP430" t="str">
        <f>"35-3021.00"</f>
        <v>35-3021.00</v>
      </c>
      <c r="CQ430" t="s">
        <v>2581</v>
      </c>
      <c r="CR430" t="s">
        <v>6752</v>
      </c>
      <c r="CS430" t="s">
        <v>131</v>
      </c>
      <c r="CU430" t="s">
        <v>17644</v>
      </c>
      <c r="CW430" t="s">
        <v>17645</v>
      </c>
      <c r="CX430" t="s">
        <v>306</v>
      </c>
      <c r="CZ430" s="3" t="str">
        <f>"23834"</f>
        <v>23834</v>
      </c>
      <c r="DA430" t="s">
        <v>131</v>
      </c>
      <c r="DB430" t="str">
        <f>"35-2014"</f>
        <v>35-2014</v>
      </c>
      <c r="DC430" t="s">
        <v>581</v>
      </c>
      <c r="DD430" t="s">
        <v>134</v>
      </c>
      <c r="DE430" t="s">
        <v>134</v>
      </c>
      <c r="DF430" t="str">
        <f>"35-9021.00"</f>
        <v>35-9021.00</v>
      </c>
      <c r="DG430" t="s">
        <v>2552</v>
      </c>
      <c r="DH430" s="6">
        <v>12.09</v>
      </c>
      <c r="DI430" t="s">
        <v>344</v>
      </c>
      <c r="DK430" t="s">
        <v>345</v>
      </c>
      <c r="DS430" s="6">
        <v>12.09</v>
      </c>
      <c r="DT430" t="s">
        <v>424</v>
      </c>
      <c r="DU430" s="1">
        <v>44363</v>
      </c>
      <c r="DV430" s="1">
        <v>44452</v>
      </c>
    </row>
    <row r="431" spans="1:126" ht="15" customHeight="1" x14ac:dyDescent="0.35">
      <c r="A431" t="s">
        <v>19278</v>
      </c>
      <c r="B431" t="s">
        <v>318</v>
      </c>
      <c r="C431" s="1">
        <v>44329</v>
      </c>
      <c r="D431" s="1">
        <v>44363</v>
      </c>
      <c r="H431" t="s">
        <v>319</v>
      </c>
      <c r="I431" t="s">
        <v>6744</v>
      </c>
      <c r="J431" t="s">
        <v>6745</v>
      </c>
      <c r="L431" t="s">
        <v>3359</v>
      </c>
      <c r="M431" t="s">
        <v>13803</v>
      </c>
      <c r="O431" t="s">
        <v>742</v>
      </c>
      <c r="P431" t="s">
        <v>588</v>
      </c>
      <c r="Q431" s="3">
        <v>23220</v>
      </c>
      <c r="R431" t="s">
        <v>128</v>
      </c>
      <c r="T431" s="4">
        <v>18049122586</v>
      </c>
      <c r="V431" t="s">
        <v>6747</v>
      </c>
      <c r="W431" t="s">
        <v>19279</v>
      </c>
      <c r="Y431" t="s">
        <v>13803</v>
      </c>
      <c r="AA431" t="s">
        <v>742</v>
      </c>
      <c r="AB431" t="s">
        <v>306</v>
      </c>
      <c r="AC431" s="3" t="str">
        <f>"23220"</f>
        <v>23220</v>
      </c>
      <c r="AD431" t="s">
        <v>128</v>
      </c>
      <c r="AF431" s="4">
        <v>18049122586</v>
      </c>
      <c r="AH431" t="str">
        <f>"722513"</f>
        <v>722513</v>
      </c>
      <c r="AI431" t="s">
        <v>287</v>
      </c>
      <c r="AJ431" t="s">
        <v>1106</v>
      </c>
      <c r="AK431" t="s">
        <v>1107</v>
      </c>
      <c r="AL431" t="s">
        <v>1108</v>
      </c>
      <c r="AM431" t="s">
        <v>1109</v>
      </c>
      <c r="AN431" t="s">
        <v>17647</v>
      </c>
      <c r="AO431" t="s">
        <v>1111</v>
      </c>
      <c r="AP431" t="s">
        <v>306</v>
      </c>
      <c r="AQ431" s="5">
        <v>24521</v>
      </c>
      <c r="AR431" t="s">
        <v>128</v>
      </c>
      <c r="AT431" s="4">
        <v>14349460035</v>
      </c>
      <c r="AV431" t="s">
        <v>1112</v>
      </c>
      <c r="AW431" t="s">
        <v>1113</v>
      </c>
      <c r="AX431" t="s">
        <v>131</v>
      </c>
      <c r="AY431" t="s">
        <v>131</v>
      </c>
      <c r="AZ431" t="s">
        <v>131</v>
      </c>
      <c r="BA431" t="s">
        <v>131</v>
      </c>
      <c r="BB431" t="s">
        <v>131</v>
      </c>
      <c r="BC431" t="s">
        <v>131</v>
      </c>
      <c r="BD431" t="s">
        <v>131</v>
      </c>
      <c r="BE431" t="s">
        <v>132</v>
      </c>
      <c r="BH431" t="s">
        <v>19280</v>
      </c>
      <c r="BI431" t="s">
        <v>131</v>
      </c>
      <c r="BL431" t="s">
        <v>167</v>
      </c>
      <c r="BO431" t="s">
        <v>131</v>
      </c>
      <c r="BP431" t="s">
        <v>134</v>
      </c>
      <c r="BQ431" t="s">
        <v>131</v>
      </c>
      <c r="BS431" t="str">
        <f t="shared" si="30"/>
        <v>N/A</v>
      </c>
      <c r="BT431" t="s">
        <v>131</v>
      </c>
      <c r="BV431" t="str">
        <f>""</f>
        <v/>
      </c>
      <c r="BW431" t="s">
        <v>135</v>
      </c>
      <c r="BX431" t="str">
        <f>""</f>
        <v/>
      </c>
      <c r="BY431" t="str">
        <f>""</f>
        <v/>
      </c>
      <c r="BZ431" t="str">
        <f>""</f>
        <v/>
      </c>
      <c r="CA431" t="s">
        <v>19281</v>
      </c>
      <c r="CB431" t="s">
        <v>131</v>
      </c>
      <c r="CF431" t="s">
        <v>131</v>
      </c>
      <c r="CH431" t="str">
        <f>""</f>
        <v/>
      </c>
      <c r="CI431" t="s">
        <v>131</v>
      </c>
      <c r="CK431" t="s">
        <v>131</v>
      </c>
      <c r="CL431" t="str">
        <f>""</f>
        <v/>
      </c>
      <c r="CM431" t="str">
        <f>""</f>
        <v/>
      </c>
      <c r="CN431" t="str">
        <f>""</f>
        <v/>
      </c>
      <c r="CO431" t="str">
        <f>""</f>
        <v/>
      </c>
      <c r="CP431" t="str">
        <f>"35-3021.00"</f>
        <v>35-3021.00</v>
      </c>
      <c r="CQ431" t="s">
        <v>2581</v>
      </c>
      <c r="CR431" t="s">
        <v>6752</v>
      </c>
      <c r="CS431" t="s">
        <v>131</v>
      </c>
      <c r="CU431" t="s">
        <v>19282</v>
      </c>
      <c r="CW431" t="s">
        <v>742</v>
      </c>
      <c r="CX431" t="s">
        <v>306</v>
      </c>
      <c r="CZ431" s="3" t="str">
        <f>"23220"</f>
        <v>23220</v>
      </c>
      <c r="DA431" t="s">
        <v>131</v>
      </c>
      <c r="DB431" t="str">
        <f>"35-2014"</f>
        <v>35-2014</v>
      </c>
      <c r="DC431" t="s">
        <v>581</v>
      </c>
      <c r="DD431" t="s">
        <v>134</v>
      </c>
      <c r="DE431" t="s">
        <v>134</v>
      </c>
      <c r="DF431" t="str">
        <f>"35-3021.00"</f>
        <v>35-3021.00</v>
      </c>
      <c r="DG431" t="s">
        <v>2581</v>
      </c>
      <c r="DH431" s="6">
        <v>11.78</v>
      </c>
      <c r="DI431" t="s">
        <v>344</v>
      </c>
      <c r="DK431" t="s">
        <v>345</v>
      </c>
      <c r="DS431" s="6">
        <v>11.78</v>
      </c>
      <c r="DT431" t="s">
        <v>424</v>
      </c>
      <c r="DU431" s="1">
        <v>44363</v>
      </c>
      <c r="DV431" s="1">
        <v>44452</v>
      </c>
    </row>
    <row r="432" spans="1:126" ht="15" customHeight="1" x14ac:dyDescent="0.35">
      <c r="A432" t="s">
        <v>18972</v>
      </c>
      <c r="B432" t="s">
        <v>318</v>
      </c>
      <c r="C432" s="1">
        <v>44329</v>
      </c>
      <c r="D432" s="1">
        <v>44357</v>
      </c>
      <c r="H432" t="s">
        <v>319</v>
      </c>
      <c r="I432" t="s">
        <v>5215</v>
      </c>
      <c r="J432" t="s">
        <v>2996</v>
      </c>
      <c r="L432" t="s">
        <v>2754</v>
      </c>
      <c r="M432" t="s">
        <v>18973</v>
      </c>
      <c r="O432" t="s">
        <v>16053</v>
      </c>
      <c r="P432" t="s">
        <v>273</v>
      </c>
      <c r="Q432" s="3">
        <v>8902</v>
      </c>
      <c r="R432" t="s">
        <v>128</v>
      </c>
      <c r="T432" s="4">
        <v>17322140953</v>
      </c>
      <c r="V432" t="s">
        <v>134</v>
      </c>
      <c r="W432" t="s">
        <v>18974</v>
      </c>
      <c r="X432" t="s">
        <v>18975</v>
      </c>
      <c r="Y432" t="s">
        <v>18973</v>
      </c>
      <c r="AA432" t="s">
        <v>16053</v>
      </c>
      <c r="AB432" t="s">
        <v>276</v>
      </c>
      <c r="AC432" s="3" t="str">
        <f>"08902"</f>
        <v>08902</v>
      </c>
      <c r="AD432" t="s">
        <v>128</v>
      </c>
      <c r="AF432" s="4">
        <v>17322140953</v>
      </c>
      <c r="AH432" t="str">
        <f>"56173"</f>
        <v>56173</v>
      </c>
      <c r="AI432" t="s">
        <v>287</v>
      </c>
      <c r="AJ432" t="s">
        <v>2917</v>
      </c>
      <c r="AK432" t="s">
        <v>2918</v>
      </c>
      <c r="AM432" t="s">
        <v>2919</v>
      </c>
      <c r="AN432" t="s">
        <v>2920</v>
      </c>
      <c r="AO432" t="s">
        <v>2921</v>
      </c>
      <c r="AP432" t="s">
        <v>306</v>
      </c>
      <c r="AQ432" s="5">
        <v>22949</v>
      </c>
      <c r="AR432" t="s">
        <v>128</v>
      </c>
      <c r="AT432" s="4">
        <v>14342634300</v>
      </c>
      <c r="AV432" t="s">
        <v>5183</v>
      </c>
      <c r="AW432" t="s">
        <v>2923</v>
      </c>
      <c r="AX432" t="s">
        <v>131</v>
      </c>
      <c r="AY432" t="s">
        <v>131</v>
      </c>
      <c r="AZ432" t="s">
        <v>131</v>
      </c>
      <c r="BA432" t="s">
        <v>131</v>
      </c>
      <c r="BB432" t="s">
        <v>131</v>
      </c>
      <c r="BC432" t="s">
        <v>131</v>
      </c>
      <c r="BD432" t="s">
        <v>131</v>
      </c>
      <c r="BE432" t="s">
        <v>132</v>
      </c>
      <c r="BH432" t="s">
        <v>5049</v>
      </c>
      <c r="BI432" t="s">
        <v>131</v>
      </c>
      <c r="BL432" t="s">
        <v>167</v>
      </c>
      <c r="BO432" t="s">
        <v>131</v>
      </c>
      <c r="BP432" t="s">
        <v>134</v>
      </c>
      <c r="BQ432" t="s">
        <v>131</v>
      </c>
      <c r="BS432" t="str">
        <f t="shared" si="30"/>
        <v>N/A</v>
      </c>
      <c r="BT432" t="s">
        <v>135</v>
      </c>
      <c r="BU432">
        <v>3</v>
      </c>
      <c r="BV432" t="str">
        <f>"Requires three months of previous landscape experience."</f>
        <v>Requires three months of previous landscape experience.</v>
      </c>
      <c r="BW432" t="s">
        <v>135</v>
      </c>
      <c r="BX432" t="str">
        <f>""</f>
        <v/>
      </c>
      <c r="BY432" t="str">
        <f>""</f>
        <v/>
      </c>
      <c r="BZ432" t="str">
        <f>""</f>
        <v/>
      </c>
      <c r="CA432" t="str">
        <f>"Must lift/carry 50 lbs., when necessary.  Saturday and Sunday work required, when necessary."</f>
        <v>Must lift/carry 50 lbs., when necessary.  Saturday and Sunday work required, when necessary.</v>
      </c>
      <c r="CB432" t="s">
        <v>131</v>
      </c>
      <c r="CF432" t="s">
        <v>131</v>
      </c>
      <c r="CH432" t="str">
        <f>""</f>
        <v/>
      </c>
      <c r="CI432" t="s">
        <v>131</v>
      </c>
      <c r="CK432" t="s">
        <v>131</v>
      </c>
      <c r="CL432" t="str">
        <f>""</f>
        <v/>
      </c>
      <c r="CM432" t="str">
        <f>""</f>
        <v/>
      </c>
      <c r="CN432" t="str">
        <f>""</f>
        <v/>
      </c>
      <c r="CO432" t="str">
        <f>""</f>
        <v/>
      </c>
      <c r="CP432" t="str">
        <f>"37-3011.00"</f>
        <v>37-3011.00</v>
      </c>
      <c r="CQ432" t="s">
        <v>920</v>
      </c>
      <c r="CR432" t="s">
        <v>2924</v>
      </c>
      <c r="CS432" t="s">
        <v>135</v>
      </c>
      <c r="CT432" t="s">
        <v>2925</v>
      </c>
      <c r="CU432" t="s">
        <v>18973</v>
      </c>
      <c r="CW432" t="s">
        <v>16053</v>
      </c>
      <c r="CX432" t="s">
        <v>276</v>
      </c>
      <c r="CZ432" s="3" t="str">
        <f>"08902"</f>
        <v>08902</v>
      </c>
      <c r="DA432" t="s">
        <v>135</v>
      </c>
      <c r="DB432" t="str">
        <f>"37-3011"</f>
        <v>37-3011</v>
      </c>
      <c r="DC432" t="s">
        <v>920</v>
      </c>
      <c r="DD432" t="s">
        <v>134</v>
      </c>
      <c r="DE432" t="s">
        <v>134</v>
      </c>
      <c r="DF432" t="str">
        <f>""</f>
        <v/>
      </c>
      <c r="DH432" s="6">
        <v>17.75</v>
      </c>
      <c r="DI432" t="s">
        <v>344</v>
      </c>
      <c r="DK432" t="s">
        <v>345</v>
      </c>
      <c r="DS432" s="6">
        <v>17.75</v>
      </c>
      <c r="DT432" s="2" t="s">
        <v>2219</v>
      </c>
      <c r="DU432" s="1">
        <v>44357</v>
      </c>
      <c r="DV432" s="1">
        <v>44446</v>
      </c>
    </row>
    <row r="433" spans="1:126" ht="15" customHeight="1" x14ac:dyDescent="0.35">
      <c r="A433" t="s">
        <v>17490</v>
      </c>
      <c r="B433" t="s">
        <v>318</v>
      </c>
      <c r="C433" s="1">
        <v>44329</v>
      </c>
      <c r="D433" s="1">
        <v>44357</v>
      </c>
      <c r="H433" t="s">
        <v>319</v>
      </c>
      <c r="I433" t="s">
        <v>17491</v>
      </c>
      <c r="J433" t="s">
        <v>2689</v>
      </c>
      <c r="L433" t="s">
        <v>395</v>
      </c>
      <c r="M433" t="s">
        <v>17492</v>
      </c>
      <c r="N433" t="s">
        <v>17493</v>
      </c>
      <c r="O433" t="s">
        <v>17494</v>
      </c>
      <c r="P433" t="s">
        <v>311</v>
      </c>
      <c r="Q433" s="3">
        <v>19017</v>
      </c>
      <c r="R433" t="s">
        <v>128</v>
      </c>
      <c r="T433" s="4">
        <v>14847233600</v>
      </c>
      <c r="V433" t="s">
        <v>17495</v>
      </c>
      <c r="W433" t="s">
        <v>17496</v>
      </c>
      <c r="Y433" t="s">
        <v>17497</v>
      </c>
      <c r="AA433" t="s">
        <v>17494</v>
      </c>
      <c r="AB433" t="s">
        <v>312</v>
      </c>
      <c r="AC433" s="3" t="str">
        <f>"19017"</f>
        <v>19017</v>
      </c>
      <c r="AD433" t="s">
        <v>128</v>
      </c>
      <c r="AF433" s="4">
        <v>14847233600</v>
      </c>
      <c r="AH433" t="str">
        <f>"56173"</f>
        <v>56173</v>
      </c>
      <c r="AI433" t="s">
        <v>287</v>
      </c>
      <c r="AJ433" t="s">
        <v>7931</v>
      </c>
      <c r="AK433" t="s">
        <v>3626</v>
      </c>
      <c r="AL433" t="s">
        <v>134</v>
      </c>
      <c r="AM433" t="s">
        <v>7932</v>
      </c>
      <c r="AN433" t="s">
        <v>2377</v>
      </c>
      <c r="AO433" t="s">
        <v>4815</v>
      </c>
      <c r="AP433" t="s">
        <v>1243</v>
      </c>
      <c r="AQ433" s="5">
        <v>83814</v>
      </c>
      <c r="AR433" t="s">
        <v>128</v>
      </c>
      <c r="AT433" s="4">
        <v>12087772654</v>
      </c>
      <c r="AV433" t="s">
        <v>7933</v>
      </c>
      <c r="AW433" t="s">
        <v>4715</v>
      </c>
      <c r="AX433" t="s">
        <v>131</v>
      </c>
      <c r="AY433" t="s">
        <v>131</v>
      </c>
      <c r="AZ433" t="s">
        <v>131</v>
      </c>
      <c r="BA433" t="s">
        <v>131</v>
      </c>
      <c r="BB433" t="s">
        <v>131</v>
      </c>
      <c r="BC433" t="s">
        <v>131</v>
      </c>
      <c r="BD433" t="s">
        <v>131</v>
      </c>
      <c r="BE433" t="s">
        <v>132</v>
      </c>
      <c r="BH433" t="s">
        <v>17498</v>
      </c>
      <c r="BI433" t="s">
        <v>131</v>
      </c>
      <c r="BL433" t="s">
        <v>167</v>
      </c>
      <c r="BO433" t="s">
        <v>131</v>
      </c>
      <c r="BP433" t="s">
        <v>134</v>
      </c>
      <c r="BQ433" t="s">
        <v>131</v>
      </c>
      <c r="BS433" t="str">
        <f t="shared" si="30"/>
        <v>N/A</v>
      </c>
      <c r="BT433" t="s">
        <v>131</v>
      </c>
      <c r="BV433" t="str">
        <f>""</f>
        <v/>
      </c>
      <c r="BW433" t="s">
        <v>135</v>
      </c>
      <c r="BX433" t="str">
        <f>""</f>
        <v/>
      </c>
      <c r="BY433" t="str">
        <f>""</f>
        <v/>
      </c>
      <c r="BZ433" t="str">
        <f>""</f>
        <v/>
      </c>
      <c r="CA433" t="s">
        <v>11805</v>
      </c>
      <c r="CB433" t="s">
        <v>131</v>
      </c>
      <c r="CF433" t="s">
        <v>131</v>
      </c>
      <c r="CH433" t="str">
        <f>""</f>
        <v/>
      </c>
      <c r="CI433" t="s">
        <v>131</v>
      </c>
      <c r="CK433" t="s">
        <v>131</v>
      </c>
      <c r="CL433" t="str">
        <f>""</f>
        <v/>
      </c>
      <c r="CM433" t="str">
        <f>""</f>
        <v/>
      </c>
      <c r="CN433" t="str">
        <f>""</f>
        <v/>
      </c>
      <c r="CO433" t="str">
        <f>""</f>
        <v/>
      </c>
      <c r="CP433" t="str">
        <f>"37-3011.00"</f>
        <v>37-3011.00</v>
      </c>
      <c r="CQ433" t="s">
        <v>920</v>
      </c>
      <c r="CS433" t="s">
        <v>135</v>
      </c>
      <c r="CT433" t="s">
        <v>17499</v>
      </c>
      <c r="CU433" t="s">
        <v>17500</v>
      </c>
      <c r="CW433" t="s">
        <v>17494</v>
      </c>
      <c r="CX433" t="s">
        <v>312</v>
      </c>
      <c r="CZ433" s="3" t="str">
        <f>"19017"</f>
        <v>19017</v>
      </c>
      <c r="DA433" t="s">
        <v>135</v>
      </c>
      <c r="DB433" t="str">
        <f>"37-3011"</f>
        <v>37-3011</v>
      </c>
      <c r="DC433" t="s">
        <v>920</v>
      </c>
      <c r="DD433" t="s">
        <v>134</v>
      </c>
      <c r="DE433" t="s">
        <v>134</v>
      </c>
      <c r="DF433" t="str">
        <f>""</f>
        <v/>
      </c>
      <c r="DH433" s="6">
        <v>16.600000000000001</v>
      </c>
      <c r="DI433" t="s">
        <v>344</v>
      </c>
      <c r="DK433" t="s">
        <v>345</v>
      </c>
      <c r="DS433" s="6">
        <v>16.600000000000001</v>
      </c>
      <c r="DT433" s="2" t="s">
        <v>2219</v>
      </c>
      <c r="DU433" s="1">
        <v>44357</v>
      </c>
      <c r="DV433" s="1">
        <v>44446</v>
      </c>
    </row>
    <row r="434" spans="1:126" ht="15" customHeight="1" x14ac:dyDescent="0.35">
      <c r="A434" t="s">
        <v>3517</v>
      </c>
      <c r="B434" t="s">
        <v>318</v>
      </c>
      <c r="C434" s="1">
        <v>44329</v>
      </c>
      <c r="D434" s="1">
        <v>44357</v>
      </c>
      <c r="H434" t="s">
        <v>319</v>
      </c>
      <c r="I434" t="s">
        <v>3518</v>
      </c>
      <c r="J434" t="s">
        <v>3519</v>
      </c>
      <c r="L434" t="s">
        <v>1757</v>
      </c>
      <c r="M434" t="s">
        <v>3520</v>
      </c>
      <c r="O434" t="s">
        <v>3521</v>
      </c>
      <c r="P434" t="s">
        <v>1760</v>
      </c>
      <c r="Q434" s="3">
        <v>70001</v>
      </c>
      <c r="R434" t="s">
        <v>128</v>
      </c>
      <c r="T434" s="4">
        <v>19858763799</v>
      </c>
      <c r="V434" t="s">
        <v>3522</v>
      </c>
      <c r="W434" t="s">
        <v>3523</v>
      </c>
      <c r="Y434" t="s">
        <v>3520</v>
      </c>
      <c r="AA434" t="s">
        <v>3521</v>
      </c>
      <c r="AB434" t="s">
        <v>1763</v>
      </c>
      <c r="AC434" s="3" t="str">
        <f>"70001"</f>
        <v>70001</v>
      </c>
      <c r="AD434" t="s">
        <v>128</v>
      </c>
      <c r="AF434" s="4">
        <v>19856471698</v>
      </c>
      <c r="AH434" t="str">
        <f>"114112"</f>
        <v>114112</v>
      </c>
      <c r="AI434" t="s">
        <v>130</v>
      </c>
      <c r="AJ434" t="s">
        <v>1764</v>
      </c>
      <c r="AK434" t="s">
        <v>1261</v>
      </c>
      <c r="AL434" t="s">
        <v>655</v>
      </c>
      <c r="AM434" t="s">
        <v>1765</v>
      </c>
      <c r="AO434" t="s">
        <v>1766</v>
      </c>
      <c r="AP434" t="s">
        <v>1763</v>
      </c>
      <c r="AQ434" s="5">
        <v>70130</v>
      </c>
      <c r="AR434" t="s">
        <v>128</v>
      </c>
      <c r="AT434" s="4">
        <v>15045861922</v>
      </c>
      <c r="AV434" t="s">
        <v>1767</v>
      </c>
      <c r="AW434" t="s">
        <v>1768</v>
      </c>
      <c r="AX434" t="s">
        <v>131</v>
      </c>
      <c r="AY434" t="s">
        <v>131</v>
      </c>
      <c r="AZ434" t="s">
        <v>131</v>
      </c>
      <c r="BA434" t="s">
        <v>131</v>
      </c>
      <c r="BB434" t="s">
        <v>131</v>
      </c>
      <c r="BC434" t="s">
        <v>131</v>
      </c>
      <c r="BD434" t="s">
        <v>131</v>
      </c>
      <c r="BE434" t="s">
        <v>132</v>
      </c>
      <c r="BH434" t="s">
        <v>3524</v>
      </c>
      <c r="BI434" t="s">
        <v>131</v>
      </c>
      <c r="BL434" t="s">
        <v>167</v>
      </c>
      <c r="BO434" t="s">
        <v>131</v>
      </c>
      <c r="BP434" t="s">
        <v>134</v>
      </c>
      <c r="BQ434" t="s">
        <v>131</v>
      </c>
      <c r="BS434" t="str">
        <f t="shared" si="30"/>
        <v>N/A</v>
      </c>
      <c r="BT434" t="s">
        <v>131</v>
      </c>
      <c r="BV434" t="str">
        <f>""</f>
        <v/>
      </c>
      <c r="BW434" t="s">
        <v>131</v>
      </c>
      <c r="BX434" t="str">
        <f>""</f>
        <v/>
      </c>
      <c r="BY434" t="str">
        <f>""</f>
        <v/>
      </c>
      <c r="BZ434" t="str">
        <f>""</f>
        <v/>
      </c>
      <c r="CA434" t="str">
        <f>""</f>
        <v/>
      </c>
      <c r="CB434" t="s">
        <v>131</v>
      </c>
      <c r="CF434" t="s">
        <v>131</v>
      </c>
      <c r="CH434" t="str">
        <f>""</f>
        <v/>
      </c>
      <c r="CI434" t="s">
        <v>131</v>
      </c>
      <c r="CK434" t="s">
        <v>131</v>
      </c>
      <c r="CL434" t="str">
        <f>""</f>
        <v/>
      </c>
      <c r="CM434" t="str">
        <f>""</f>
        <v/>
      </c>
      <c r="CN434" t="str">
        <f>""</f>
        <v/>
      </c>
      <c r="CO434" t="str">
        <f>""</f>
        <v/>
      </c>
      <c r="CP434" t="str">
        <f>"45-3011.00"</f>
        <v>45-3011.00</v>
      </c>
      <c r="CQ434" t="s">
        <v>1770</v>
      </c>
      <c r="CR434" t="s">
        <v>1771</v>
      </c>
      <c r="CS434" t="s">
        <v>131</v>
      </c>
      <c r="CU434" t="s">
        <v>3525</v>
      </c>
      <c r="CW434" t="s">
        <v>3526</v>
      </c>
      <c r="CX434" t="s">
        <v>1763</v>
      </c>
      <c r="CZ434" s="3" t="str">
        <f>"70377"</f>
        <v>70377</v>
      </c>
      <c r="DA434" t="s">
        <v>135</v>
      </c>
      <c r="DB434" t="str">
        <f>"45-3011"</f>
        <v>45-3011</v>
      </c>
      <c r="DC434" t="s">
        <v>1770</v>
      </c>
      <c r="DD434" t="s">
        <v>134</v>
      </c>
      <c r="DE434" t="s">
        <v>134</v>
      </c>
      <c r="DF434" t="str">
        <f>""</f>
        <v/>
      </c>
      <c r="DH434" s="6">
        <v>23.69</v>
      </c>
      <c r="DI434" t="s">
        <v>344</v>
      </c>
      <c r="DK434" t="s">
        <v>345</v>
      </c>
      <c r="DS434" s="6">
        <v>23.69</v>
      </c>
      <c r="DT434" t="s">
        <v>424</v>
      </c>
      <c r="DU434" s="1">
        <v>44357</v>
      </c>
      <c r="DV434" s="1">
        <v>44446</v>
      </c>
    </row>
    <row r="435" spans="1:126" ht="15" customHeight="1" x14ac:dyDescent="0.35">
      <c r="A435" t="s">
        <v>18937</v>
      </c>
      <c r="B435" t="s">
        <v>318</v>
      </c>
      <c r="C435" s="1">
        <v>44329</v>
      </c>
      <c r="D435" s="1">
        <v>44357</v>
      </c>
      <c r="H435" t="s">
        <v>319</v>
      </c>
      <c r="I435" t="s">
        <v>18938</v>
      </c>
      <c r="J435" t="s">
        <v>2492</v>
      </c>
      <c r="L435" t="s">
        <v>395</v>
      </c>
      <c r="M435" t="s">
        <v>18939</v>
      </c>
      <c r="N435" t="s">
        <v>18940</v>
      </c>
      <c r="O435" t="s">
        <v>1597</v>
      </c>
      <c r="P435" t="s">
        <v>311</v>
      </c>
      <c r="Q435" s="3">
        <v>15227</v>
      </c>
      <c r="R435" t="s">
        <v>128</v>
      </c>
      <c r="T435" s="4">
        <v>14124263333</v>
      </c>
      <c r="V435" t="s">
        <v>134</v>
      </c>
      <c r="W435" t="s">
        <v>18941</v>
      </c>
      <c r="Y435" t="s">
        <v>18939</v>
      </c>
      <c r="Z435" t="s">
        <v>18940</v>
      </c>
      <c r="AA435" t="s">
        <v>1597</v>
      </c>
      <c r="AB435" t="s">
        <v>312</v>
      </c>
      <c r="AC435" s="3" t="str">
        <f>"15227"</f>
        <v>15227</v>
      </c>
      <c r="AD435" t="s">
        <v>128</v>
      </c>
      <c r="AF435" s="4">
        <v>14124263333</v>
      </c>
      <c r="AH435" t="str">
        <f>"2361"</f>
        <v>2361</v>
      </c>
      <c r="AI435" t="s">
        <v>287</v>
      </c>
      <c r="AJ435" t="s">
        <v>2917</v>
      </c>
      <c r="AK435" t="s">
        <v>2918</v>
      </c>
      <c r="AM435" t="s">
        <v>2919</v>
      </c>
      <c r="AN435" t="s">
        <v>2920</v>
      </c>
      <c r="AO435" t="s">
        <v>2921</v>
      </c>
      <c r="AP435" t="s">
        <v>306</v>
      </c>
      <c r="AQ435" s="5">
        <v>22949</v>
      </c>
      <c r="AR435" t="s">
        <v>128</v>
      </c>
      <c r="AT435" s="4">
        <v>14342634300</v>
      </c>
      <c r="AV435" t="s">
        <v>5183</v>
      </c>
      <c r="AW435" t="s">
        <v>2923</v>
      </c>
      <c r="AX435" t="s">
        <v>131</v>
      </c>
      <c r="AY435" t="s">
        <v>131</v>
      </c>
      <c r="AZ435" t="s">
        <v>131</v>
      </c>
      <c r="BA435" t="s">
        <v>131</v>
      </c>
      <c r="BB435" t="s">
        <v>131</v>
      </c>
      <c r="BC435" t="s">
        <v>131</v>
      </c>
      <c r="BD435" t="s">
        <v>131</v>
      </c>
      <c r="BE435" t="s">
        <v>132</v>
      </c>
      <c r="BH435" t="s">
        <v>5736</v>
      </c>
      <c r="BI435" t="s">
        <v>131</v>
      </c>
      <c r="BL435" t="s">
        <v>167</v>
      </c>
      <c r="BO435" t="s">
        <v>131</v>
      </c>
      <c r="BP435" t="s">
        <v>134</v>
      </c>
      <c r="BQ435" t="s">
        <v>131</v>
      </c>
      <c r="BS435" t="str">
        <f t="shared" si="30"/>
        <v>N/A</v>
      </c>
      <c r="BT435" t="s">
        <v>135</v>
      </c>
      <c r="BU435">
        <v>3</v>
      </c>
      <c r="BV435" t="str">
        <f>"Requires three months  of general labor experience."</f>
        <v>Requires three months  of general labor experience.</v>
      </c>
      <c r="BW435" t="s">
        <v>135</v>
      </c>
      <c r="BX435" t="str">
        <f>""</f>
        <v/>
      </c>
      <c r="BY435" t="str">
        <f>""</f>
        <v/>
      </c>
      <c r="BZ435" t="str">
        <f>""</f>
        <v/>
      </c>
      <c r="CA435" t="str">
        <f>"Must lift/carry 60 lbs., when necessary.  Saturday work required, when necessary.   Post-hire background check required of foreign and domestic workers."</f>
        <v>Must lift/carry 60 lbs., when necessary.  Saturday work required, when necessary.   Post-hire background check required of foreign and domestic workers.</v>
      </c>
      <c r="CB435" t="s">
        <v>131</v>
      </c>
      <c r="CF435" t="s">
        <v>131</v>
      </c>
      <c r="CH435" t="str">
        <f>""</f>
        <v/>
      </c>
      <c r="CI435" t="s">
        <v>131</v>
      </c>
      <c r="CK435" t="s">
        <v>131</v>
      </c>
      <c r="CL435" t="str">
        <f>""</f>
        <v/>
      </c>
      <c r="CM435" t="str">
        <f>""</f>
        <v/>
      </c>
      <c r="CN435" t="str">
        <f>""</f>
        <v/>
      </c>
      <c r="CO435" t="str">
        <f>""</f>
        <v/>
      </c>
      <c r="CP435" t="str">
        <f>"47-3012.00"</f>
        <v>47-3012.00</v>
      </c>
      <c r="CQ435" t="s">
        <v>3194</v>
      </c>
      <c r="CR435" t="s">
        <v>2924</v>
      </c>
      <c r="CS435" t="s">
        <v>135</v>
      </c>
      <c r="CT435" t="s">
        <v>2925</v>
      </c>
      <c r="CU435" t="s">
        <v>18942</v>
      </c>
      <c r="CW435" t="s">
        <v>18943</v>
      </c>
      <c r="CX435" t="s">
        <v>444</v>
      </c>
      <c r="CZ435" s="3" t="str">
        <f>"43015"</f>
        <v>43015</v>
      </c>
      <c r="DA435" t="s">
        <v>135</v>
      </c>
      <c r="DB435" t="str">
        <f>"47-3012"</f>
        <v>47-3012</v>
      </c>
      <c r="DC435" t="s">
        <v>3194</v>
      </c>
      <c r="DD435" t="s">
        <v>134</v>
      </c>
      <c r="DE435" t="s">
        <v>134</v>
      </c>
      <c r="DF435" t="str">
        <f>""</f>
        <v/>
      </c>
      <c r="DH435" s="6">
        <v>15.81</v>
      </c>
      <c r="DI435" t="s">
        <v>344</v>
      </c>
      <c r="DK435" t="s">
        <v>345</v>
      </c>
      <c r="DS435" s="6">
        <v>15.81</v>
      </c>
      <c r="DT435" s="2" t="s">
        <v>2219</v>
      </c>
      <c r="DU435" s="1">
        <v>44357</v>
      </c>
      <c r="DV435" s="1">
        <v>44446</v>
      </c>
    </row>
    <row r="436" spans="1:126" ht="15" customHeight="1" x14ac:dyDescent="0.35">
      <c r="A436" t="s">
        <v>19722</v>
      </c>
      <c r="B436" t="s">
        <v>318</v>
      </c>
      <c r="C436" s="1">
        <v>44329</v>
      </c>
      <c r="D436" s="1">
        <v>44357</v>
      </c>
      <c r="H436" t="s">
        <v>319</v>
      </c>
      <c r="I436" t="s">
        <v>2757</v>
      </c>
      <c r="J436" t="s">
        <v>2758</v>
      </c>
      <c r="K436" t="s">
        <v>1568</v>
      </c>
      <c r="L436" t="s">
        <v>395</v>
      </c>
      <c r="M436" t="s">
        <v>19723</v>
      </c>
      <c r="O436" t="s">
        <v>2760</v>
      </c>
      <c r="P436" t="s">
        <v>593</v>
      </c>
      <c r="Q436" s="3">
        <v>28571</v>
      </c>
      <c r="R436" t="s">
        <v>128</v>
      </c>
      <c r="T436" s="4">
        <v>12522490123</v>
      </c>
      <c r="V436" t="s">
        <v>19724</v>
      </c>
      <c r="W436" t="s">
        <v>19725</v>
      </c>
      <c r="Y436" t="s">
        <v>19723</v>
      </c>
      <c r="AA436" t="s">
        <v>2760</v>
      </c>
      <c r="AB436" t="s">
        <v>594</v>
      </c>
      <c r="AC436" s="3" t="str">
        <f>"28571"</f>
        <v>28571</v>
      </c>
      <c r="AD436" t="s">
        <v>128</v>
      </c>
      <c r="AF436" s="4">
        <v>12522490123</v>
      </c>
      <c r="AH436" t="str">
        <f>"114112"</f>
        <v>114112</v>
      </c>
      <c r="AI436" t="s">
        <v>167</v>
      </c>
      <c r="AX436" t="s">
        <v>131</v>
      </c>
      <c r="AY436" t="s">
        <v>131</v>
      </c>
      <c r="AZ436" t="s">
        <v>131</v>
      </c>
      <c r="BA436" t="s">
        <v>131</v>
      </c>
      <c r="BB436" t="s">
        <v>131</v>
      </c>
      <c r="BC436" t="s">
        <v>131</v>
      </c>
      <c r="BD436" t="s">
        <v>131</v>
      </c>
      <c r="BE436" t="s">
        <v>132</v>
      </c>
      <c r="BH436" t="s">
        <v>2763</v>
      </c>
      <c r="BI436" t="s">
        <v>131</v>
      </c>
      <c r="BL436" t="s">
        <v>167</v>
      </c>
      <c r="BO436" t="s">
        <v>131</v>
      </c>
      <c r="BP436" t="s">
        <v>134</v>
      </c>
      <c r="BQ436" t="s">
        <v>131</v>
      </c>
      <c r="BS436" t="str">
        <f t="shared" si="30"/>
        <v>N/A</v>
      </c>
      <c r="BT436" t="s">
        <v>135</v>
      </c>
      <c r="BU436">
        <v>3</v>
      </c>
      <c r="BV436" t="str">
        <f>"Shrimp trawler fishing"</f>
        <v>Shrimp trawler fishing</v>
      </c>
      <c r="BW436" t="s">
        <v>135</v>
      </c>
      <c r="BX436" t="str">
        <f>""</f>
        <v/>
      </c>
      <c r="BY436" t="str">
        <f>""</f>
        <v/>
      </c>
      <c r="BZ436" t="str">
        <f>""</f>
        <v/>
      </c>
      <c r="CA436" t="s">
        <v>2764</v>
      </c>
      <c r="CB436" t="s">
        <v>131</v>
      </c>
      <c r="CF436" t="s">
        <v>131</v>
      </c>
      <c r="CH436" t="str">
        <f>""</f>
        <v/>
      </c>
      <c r="CI436" t="s">
        <v>131</v>
      </c>
      <c r="CK436" t="s">
        <v>131</v>
      </c>
      <c r="CL436" t="str">
        <f>""</f>
        <v/>
      </c>
      <c r="CM436" t="str">
        <f>""</f>
        <v/>
      </c>
      <c r="CN436" t="str">
        <f>""</f>
        <v/>
      </c>
      <c r="CO436" t="str">
        <f>""</f>
        <v/>
      </c>
      <c r="CP436" t="str">
        <f>"45-3011.00"</f>
        <v>45-3011.00</v>
      </c>
      <c r="CQ436" t="s">
        <v>1770</v>
      </c>
      <c r="CS436" t="s">
        <v>135</v>
      </c>
      <c r="CT436" t="s">
        <v>2765</v>
      </c>
      <c r="CU436" t="s">
        <v>19723</v>
      </c>
      <c r="CW436" t="s">
        <v>2760</v>
      </c>
      <c r="CX436" t="s">
        <v>594</v>
      </c>
      <c r="CZ436" s="3" t="str">
        <f>"28571"</f>
        <v>28571</v>
      </c>
      <c r="DA436" t="s">
        <v>131</v>
      </c>
      <c r="DB436" t="str">
        <f>"45-3011"</f>
        <v>45-3011</v>
      </c>
      <c r="DC436" t="s">
        <v>1770</v>
      </c>
      <c r="DD436" t="s">
        <v>134</v>
      </c>
      <c r="DE436" t="s">
        <v>134</v>
      </c>
      <c r="DF436" t="str">
        <f>""</f>
        <v/>
      </c>
      <c r="DH436" s="6">
        <v>23.39</v>
      </c>
      <c r="DI436" t="s">
        <v>344</v>
      </c>
      <c r="DK436" t="s">
        <v>345</v>
      </c>
      <c r="DR436" t="s">
        <v>2767</v>
      </c>
      <c r="DS436" s="6">
        <v>23.39</v>
      </c>
      <c r="DT436" s="2" t="s">
        <v>2219</v>
      </c>
      <c r="DU436" s="1">
        <v>44357</v>
      </c>
      <c r="DV436" s="1">
        <v>44446</v>
      </c>
    </row>
    <row r="437" spans="1:126" ht="15" customHeight="1" x14ac:dyDescent="0.35">
      <c r="A437" t="s">
        <v>15889</v>
      </c>
      <c r="B437" t="s">
        <v>318</v>
      </c>
      <c r="C437" s="1">
        <v>44329</v>
      </c>
      <c r="D437" s="1">
        <v>44356</v>
      </c>
      <c r="H437" t="s">
        <v>319</v>
      </c>
      <c r="I437" t="s">
        <v>2819</v>
      </c>
      <c r="J437" t="s">
        <v>15890</v>
      </c>
      <c r="L437" t="s">
        <v>10228</v>
      </c>
      <c r="M437" t="s">
        <v>15891</v>
      </c>
      <c r="O437" t="s">
        <v>15892</v>
      </c>
      <c r="P437" t="s">
        <v>818</v>
      </c>
      <c r="Q437" s="3">
        <v>30176</v>
      </c>
      <c r="R437" t="s">
        <v>128</v>
      </c>
      <c r="T437" s="4">
        <v>17705747108</v>
      </c>
      <c r="V437" t="s">
        <v>9942</v>
      </c>
      <c r="W437" t="s">
        <v>15893</v>
      </c>
      <c r="Y437" t="s">
        <v>15891</v>
      </c>
      <c r="AA437" t="s">
        <v>15892</v>
      </c>
      <c r="AB437" t="s">
        <v>643</v>
      </c>
      <c r="AC437" s="3" t="str">
        <f>"30176"</f>
        <v>30176</v>
      </c>
      <c r="AD437" t="s">
        <v>128</v>
      </c>
      <c r="AF437" s="4">
        <v>17705747108</v>
      </c>
      <c r="AH437" t="str">
        <f>"11321"</f>
        <v>11321</v>
      </c>
      <c r="AI437" t="s">
        <v>287</v>
      </c>
      <c r="AJ437" t="s">
        <v>9944</v>
      </c>
      <c r="AK437" t="s">
        <v>9945</v>
      </c>
      <c r="AL437" t="s">
        <v>355</v>
      </c>
      <c r="AM437" t="s">
        <v>2048</v>
      </c>
      <c r="AN437" t="s">
        <v>9946</v>
      </c>
      <c r="AO437" t="s">
        <v>9947</v>
      </c>
      <c r="AP437" t="s">
        <v>1243</v>
      </c>
      <c r="AQ437" s="5">
        <v>83814</v>
      </c>
      <c r="AR437" t="s">
        <v>128</v>
      </c>
      <c r="AT437" s="4">
        <v>12087772654</v>
      </c>
      <c r="AV437" t="s">
        <v>9942</v>
      </c>
      <c r="AW437" t="s">
        <v>4715</v>
      </c>
      <c r="AX437" t="s">
        <v>131</v>
      </c>
      <c r="AY437" t="s">
        <v>131</v>
      </c>
      <c r="AZ437" t="s">
        <v>131</v>
      </c>
      <c r="BA437" t="s">
        <v>131</v>
      </c>
      <c r="BB437" t="s">
        <v>131</v>
      </c>
      <c r="BC437" t="s">
        <v>131</v>
      </c>
      <c r="BD437" t="s">
        <v>131</v>
      </c>
      <c r="BE437" t="s">
        <v>132</v>
      </c>
      <c r="BH437" t="s">
        <v>4716</v>
      </c>
      <c r="BI437" t="s">
        <v>131</v>
      </c>
      <c r="BL437" t="s">
        <v>167</v>
      </c>
      <c r="BO437" t="s">
        <v>131</v>
      </c>
      <c r="BP437" t="s">
        <v>134</v>
      </c>
      <c r="BQ437" t="s">
        <v>131</v>
      </c>
      <c r="BS437" t="str">
        <f t="shared" si="30"/>
        <v>N/A</v>
      </c>
      <c r="BT437" t="s">
        <v>131</v>
      </c>
      <c r="BV437" t="str">
        <f>""</f>
        <v/>
      </c>
      <c r="BW437" t="s">
        <v>135</v>
      </c>
      <c r="BX437" t="str">
        <f>""</f>
        <v/>
      </c>
      <c r="BY437" t="str">
        <f>""</f>
        <v/>
      </c>
      <c r="BZ437" t="str">
        <f>""</f>
        <v/>
      </c>
      <c r="CA437" t="s">
        <v>2054</v>
      </c>
      <c r="CB437" t="s">
        <v>131</v>
      </c>
      <c r="CF437" t="s">
        <v>131</v>
      </c>
      <c r="CH437" t="str">
        <f>""</f>
        <v/>
      </c>
      <c r="CI437" t="s">
        <v>131</v>
      </c>
      <c r="CK437" t="s">
        <v>131</v>
      </c>
      <c r="CL437" t="str">
        <f>""</f>
        <v/>
      </c>
      <c r="CM437" t="str">
        <f>""</f>
        <v/>
      </c>
      <c r="CN437" t="str">
        <f>""</f>
        <v/>
      </c>
      <c r="CO437" t="str">
        <f>""</f>
        <v/>
      </c>
      <c r="CP437" t="str">
        <f>"45-2092.01"</f>
        <v>45-2092.01</v>
      </c>
      <c r="CQ437" t="s">
        <v>3197</v>
      </c>
      <c r="CS437" t="s">
        <v>131</v>
      </c>
      <c r="CU437" t="s">
        <v>15894</v>
      </c>
      <c r="CW437" t="s">
        <v>8806</v>
      </c>
      <c r="CX437" t="s">
        <v>812</v>
      </c>
      <c r="CZ437" s="3" t="str">
        <f>"29801"</f>
        <v>29801</v>
      </c>
      <c r="DA437" t="s">
        <v>131</v>
      </c>
      <c r="DB437" t="str">
        <f>"45-2092"</f>
        <v>45-2092</v>
      </c>
      <c r="DC437" t="s">
        <v>3820</v>
      </c>
      <c r="DD437" t="s">
        <v>8307</v>
      </c>
      <c r="DE437" t="s">
        <v>8308</v>
      </c>
      <c r="DF437" t="str">
        <f>""</f>
        <v/>
      </c>
      <c r="DH437" s="6">
        <v>11.7</v>
      </c>
      <c r="DI437" t="s">
        <v>344</v>
      </c>
      <c r="DK437" t="s">
        <v>345</v>
      </c>
      <c r="DR437" t="s">
        <v>15895</v>
      </c>
      <c r="DS437" s="6">
        <v>11.7</v>
      </c>
      <c r="DT437" t="s">
        <v>424</v>
      </c>
      <c r="DU437" s="1">
        <v>44356</v>
      </c>
      <c r="DV437" s="1">
        <v>44445</v>
      </c>
    </row>
    <row r="438" spans="1:126" ht="15" customHeight="1" x14ac:dyDescent="0.35">
      <c r="A438" t="s">
        <v>2756</v>
      </c>
      <c r="B438" t="s">
        <v>318</v>
      </c>
      <c r="C438" s="1">
        <v>44329</v>
      </c>
      <c r="D438" s="1">
        <v>44357</v>
      </c>
      <c r="H438" t="s">
        <v>319</v>
      </c>
      <c r="I438" t="s">
        <v>2757</v>
      </c>
      <c r="J438" t="s">
        <v>2758</v>
      </c>
      <c r="K438" t="s">
        <v>1568</v>
      </c>
      <c r="L438" t="s">
        <v>460</v>
      </c>
      <c r="M438" t="s">
        <v>2759</v>
      </c>
      <c r="O438" t="s">
        <v>2760</v>
      </c>
      <c r="P438" t="s">
        <v>593</v>
      </c>
      <c r="Q438" s="3">
        <v>28571</v>
      </c>
      <c r="R438" t="s">
        <v>128</v>
      </c>
      <c r="T438" s="4">
        <v>12522490123</v>
      </c>
      <c r="V438" t="s">
        <v>2761</v>
      </c>
      <c r="W438" t="s">
        <v>2762</v>
      </c>
      <c r="Y438" t="s">
        <v>2759</v>
      </c>
      <c r="AA438" t="s">
        <v>2760</v>
      </c>
      <c r="AB438" t="s">
        <v>594</v>
      </c>
      <c r="AC438" s="3" t="str">
        <f>"28571"</f>
        <v>28571</v>
      </c>
      <c r="AD438" t="s">
        <v>128</v>
      </c>
      <c r="AF438" s="4">
        <v>12522490123</v>
      </c>
      <c r="AH438" t="str">
        <f>"114112"</f>
        <v>114112</v>
      </c>
      <c r="AI438" t="s">
        <v>167</v>
      </c>
      <c r="AX438" t="s">
        <v>131</v>
      </c>
      <c r="AY438" t="s">
        <v>131</v>
      </c>
      <c r="AZ438" t="s">
        <v>131</v>
      </c>
      <c r="BA438" t="s">
        <v>131</v>
      </c>
      <c r="BB438" t="s">
        <v>131</v>
      </c>
      <c r="BC438" t="s">
        <v>131</v>
      </c>
      <c r="BD438" t="s">
        <v>131</v>
      </c>
      <c r="BE438" t="s">
        <v>132</v>
      </c>
      <c r="BH438" t="s">
        <v>2763</v>
      </c>
      <c r="BI438" t="s">
        <v>131</v>
      </c>
      <c r="BL438" t="s">
        <v>167</v>
      </c>
      <c r="BO438" t="s">
        <v>131</v>
      </c>
      <c r="BP438" t="s">
        <v>134</v>
      </c>
      <c r="BQ438" t="s">
        <v>131</v>
      </c>
      <c r="BS438" t="str">
        <f t="shared" si="30"/>
        <v>N/A</v>
      </c>
      <c r="BT438" t="s">
        <v>135</v>
      </c>
      <c r="BU438">
        <v>3</v>
      </c>
      <c r="BV438" t="str">
        <f>"Shrimp Trawler Fishing"</f>
        <v>Shrimp Trawler Fishing</v>
      </c>
      <c r="BW438" t="s">
        <v>135</v>
      </c>
      <c r="BX438" t="str">
        <f>""</f>
        <v/>
      </c>
      <c r="BY438" t="str">
        <f>""</f>
        <v/>
      </c>
      <c r="BZ438" t="str">
        <f>""</f>
        <v/>
      </c>
      <c r="CA438" t="s">
        <v>2764</v>
      </c>
      <c r="CB438" t="s">
        <v>131</v>
      </c>
      <c r="CF438" t="s">
        <v>131</v>
      </c>
      <c r="CH438" t="str">
        <f>""</f>
        <v/>
      </c>
      <c r="CI438" t="s">
        <v>131</v>
      </c>
      <c r="CK438" t="s">
        <v>131</v>
      </c>
      <c r="CL438" t="str">
        <f>""</f>
        <v/>
      </c>
      <c r="CM438" t="str">
        <f>""</f>
        <v/>
      </c>
      <c r="CN438" t="str">
        <f>""</f>
        <v/>
      </c>
      <c r="CO438" t="str">
        <f>""</f>
        <v/>
      </c>
      <c r="CP438" t="str">
        <f>"45-3011.00"</f>
        <v>45-3011.00</v>
      </c>
      <c r="CQ438" t="s">
        <v>1770</v>
      </c>
      <c r="CS438" t="s">
        <v>135</v>
      </c>
      <c r="CT438" t="s">
        <v>2765</v>
      </c>
      <c r="CU438" t="s">
        <v>2759</v>
      </c>
      <c r="CW438" t="s">
        <v>2766</v>
      </c>
      <c r="CX438" t="s">
        <v>594</v>
      </c>
      <c r="CZ438" s="3" t="str">
        <f>"28571"</f>
        <v>28571</v>
      </c>
      <c r="DA438" t="s">
        <v>131</v>
      </c>
      <c r="DB438" t="str">
        <f>"45-3011"</f>
        <v>45-3011</v>
      </c>
      <c r="DC438" t="s">
        <v>1770</v>
      </c>
      <c r="DD438" t="s">
        <v>134</v>
      </c>
      <c r="DE438" t="s">
        <v>134</v>
      </c>
      <c r="DF438" t="str">
        <f>""</f>
        <v/>
      </c>
      <c r="DH438" s="6">
        <v>23.39</v>
      </c>
      <c r="DI438" t="s">
        <v>344</v>
      </c>
      <c r="DK438" t="s">
        <v>345</v>
      </c>
      <c r="DR438" t="s">
        <v>2767</v>
      </c>
      <c r="DS438" s="6">
        <v>23.39</v>
      </c>
      <c r="DT438" s="2" t="s">
        <v>2219</v>
      </c>
      <c r="DU438" s="1">
        <v>44357</v>
      </c>
      <c r="DV438" s="1">
        <v>44446</v>
      </c>
    </row>
    <row r="439" spans="1:126" ht="15" customHeight="1" x14ac:dyDescent="0.35">
      <c r="A439" t="s">
        <v>13105</v>
      </c>
      <c r="B439" t="s">
        <v>318</v>
      </c>
      <c r="C439" s="1">
        <v>44329</v>
      </c>
      <c r="D439" s="1">
        <v>44356</v>
      </c>
      <c r="H439" t="s">
        <v>319</v>
      </c>
      <c r="I439" t="s">
        <v>13106</v>
      </c>
      <c r="J439" t="s">
        <v>13107</v>
      </c>
      <c r="L439" t="s">
        <v>13108</v>
      </c>
      <c r="M439" t="s">
        <v>13109</v>
      </c>
      <c r="O439" t="s">
        <v>13110</v>
      </c>
      <c r="P439" t="s">
        <v>412</v>
      </c>
      <c r="Q439" s="3">
        <v>76051</v>
      </c>
      <c r="R439" t="s">
        <v>128</v>
      </c>
      <c r="T439" s="4">
        <v>18174106892</v>
      </c>
      <c r="V439" t="s">
        <v>13111</v>
      </c>
      <c r="W439" t="s">
        <v>13112</v>
      </c>
      <c r="X439" t="s">
        <v>13113</v>
      </c>
      <c r="Y439" t="s">
        <v>13114</v>
      </c>
      <c r="AA439" t="s">
        <v>13110</v>
      </c>
      <c r="AB439" t="s">
        <v>400</v>
      </c>
      <c r="AC439" s="3" t="str">
        <f>"76051"</f>
        <v>76051</v>
      </c>
      <c r="AD439" t="s">
        <v>128</v>
      </c>
      <c r="AF439" s="4">
        <v>18174818444</v>
      </c>
      <c r="AH439" t="str">
        <f>"72111"</f>
        <v>72111</v>
      </c>
      <c r="AI439" t="s">
        <v>287</v>
      </c>
      <c r="AJ439" t="s">
        <v>2209</v>
      </c>
      <c r="AK439" t="s">
        <v>1459</v>
      </c>
      <c r="AL439" t="s">
        <v>2210</v>
      </c>
      <c r="AM439" t="s">
        <v>2211</v>
      </c>
      <c r="AN439" t="s">
        <v>788</v>
      </c>
      <c r="AO439" t="s">
        <v>2212</v>
      </c>
      <c r="AP439" t="s">
        <v>400</v>
      </c>
      <c r="AQ439" s="5">
        <v>75033</v>
      </c>
      <c r="AR439" t="s">
        <v>128</v>
      </c>
      <c r="AT439" s="4">
        <v>19727789690</v>
      </c>
      <c r="AV439" t="s">
        <v>7179</v>
      </c>
      <c r="AW439" t="s">
        <v>2214</v>
      </c>
      <c r="AX439" t="s">
        <v>131</v>
      </c>
      <c r="AY439" t="s">
        <v>131</v>
      </c>
      <c r="AZ439" t="s">
        <v>131</v>
      </c>
      <c r="BA439" t="s">
        <v>131</v>
      </c>
      <c r="BB439" t="s">
        <v>131</v>
      </c>
      <c r="BC439" t="s">
        <v>131</v>
      </c>
      <c r="BD439" t="s">
        <v>131</v>
      </c>
      <c r="BE439" t="s">
        <v>132</v>
      </c>
      <c r="BH439" t="s">
        <v>1639</v>
      </c>
      <c r="BI439" t="s">
        <v>131</v>
      </c>
      <c r="BL439" t="s">
        <v>167</v>
      </c>
      <c r="BO439" t="s">
        <v>131</v>
      </c>
      <c r="BP439" t="s">
        <v>134</v>
      </c>
      <c r="BQ439" t="s">
        <v>131</v>
      </c>
      <c r="BS439" t="str">
        <f t="shared" si="30"/>
        <v>N/A</v>
      </c>
      <c r="BT439" t="s">
        <v>135</v>
      </c>
      <c r="BU439">
        <v>3</v>
      </c>
      <c r="BV439" t="str">
        <f>"Hotel/resort Housekeeper experience"</f>
        <v>Hotel/resort Housekeeper experience</v>
      </c>
      <c r="BW439" t="s">
        <v>135</v>
      </c>
      <c r="BX439" t="str">
        <f>""</f>
        <v/>
      </c>
      <c r="BY439" t="str">
        <f>""</f>
        <v/>
      </c>
      <c r="BZ439" t="str">
        <f>""</f>
        <v/>
      </c>
      <c r="CA439" t="str">
        <f>"Pre-employment criminal background check and drug test and post-accident drug testing required, cost paid by employer. Must be able to work a 5 day schedule, including weekends and holidays as required. Applicant must complete an employment application.  "</f>
        <v xml:space="preserve">Pre-employment criminal background check and drug test and post-accident drug testing required, cost paid by employer. Must be able to work a 5 day schedule, including weekends and holidays as required. Applicant must complete an employment application.  </v>
      </c>
      <c r="CB439" t="s">
        <v>131</v>
      </c>
      <c r="CF439" t="s">
        <v>131</v>
      </c>
      <c r="CH439" t="str">
        <f>""</f>
        <v/>
      </c>
      <c r="CI439" t="s">
        <v>131</v>
      </c>
      <c r="CK439" t="s">
        <v>131</v>
      </c>
      <c r="CL439" t="str">
        <f>""</f>
        <v/>
      </c>
      <c r="CM439" t="str">
        <f>""</f>
        <v/>
      </c>
      <c r="CN439" t="str">
        <f>""</f>
        <v/>
      </c>
      <c r="CO439" t="str">
        <f>""</f>
        <v/>
      </c>
      <c r="CP439" t="str">
        <f>"37-2012.00"</f>
        <v>37-2012.00</v>
      </c>
      <c r="CQ439" t="s">
        <v>479</v>
      </c>
      <c r="CS439" t="s">
        <v>131</v>
      </c>
      <c r="CU439" t="s">
        <v>13115</v>
      </c>
      <c r="CW439" t="s">
        <v>5320</v>
      </c>
      <c r="CX439" t="s">
        <v>400</v>
      </c>
      <c r="CZ439" s="3" t="str">
        <f>"76051"</f>
        <v>76051</v>
      </c>
      <c r="DA439" t="s">
        <v>131</v>
      </c>
      <c r="DB439" t="str">
        <f>"37-2012"</f>
        <v>37-2012</v>
      </c>
      <c r="DC439" t="s">
        <v>479</v>
      </c>
      <c r="DD439" t="s">
        <v>134</v>
      </c>
      <c r="DE439" t="s">
        <v>134</v>
      </c>
      <c r="DF439" t="str">
        <f>""</f>
        <v/>
      </c>
      <c r="DH439" s="6">
        <v>11.58</v>
      </c>
      <c r="DI439" t="s">
        <v>344</v>
      </c>
      <c r="DK439" t="s">
        <v>345</v>
      </c>
      <c r="DS439" s="6">
        <v>11.58</v>
      </c>
      <c r="DT439" t="s">
        <v>424</v>
      </c>
      <c r="DU439" s="1">
        <v>44356</v>
      </c>
      <c r="DV439" s="1">
        <v>44445</v>
      </c>
    </row>
    <row r="440" spans="1:126" ht="15" customHeight="1" x14ac:dyDescent="0.35">
      <c r="A440" t="s">
        <v>3122</v>
      </c>
      <c r="B440" t="s">
        <v>318</v>
      </c>
      <c r="C440" s="1">
        <v>44329</v>
      </c>
      <c r="D440" s="1">
        <v>44356</v>
      </c>
      <c r="H440" t="s">
        <v>319</v>
      </c>
      <c r="I440" t="s">
        <v>3123</v>
      </c>
      <c r="J440" t="s">
        <v>3124</v>
      </c>
      <c r="L440" t="s">
        <v>675</v>
      </c>
      <c r="M440" t="s">
        <v>3125</v>
      </c>
      <c r="O440" t="s">
        <v>1677</v>
      </c>
      <c r="P440" t="s">
        <v>857</v>
      </c>
      <c r="Q440" s="3">
        <v>85253</v>
      </c>
      <c r="R440" t="s">
        <v>128</v>
      </c>
      <c r="T440" s="4">
        <v>14806273200</v>
      </c>
      <c r="V440" t="s">
        <v>3126</v>
      </c>
      <c r="W440" t="s">
        <v>3127</v>
      </c>
      <c r="X440" t="s">
        <v>3128</v>
      </c>
      <c r="Y440" t="s">
        <v>3125</v>
      </c>
      <c r="AA440" t="s">
        <v>1677</v>
      </c>
      <c r="AB440" t="s">
        <v>808</v>
      </c>
      <c r="AC440" s="3" t="str">
        <f>"85253"</f>
        <v>85253</v>
      </c>
      <c r="AD440" t="s">
        <v>128</v>
      </c>
      <c r="AF440" s="4">
        <v>14806273200</v>
      </c>
      <c r="AH440" t="str">
        <f>"72111"</f>
        <v>72111</v>
      </c>
      <c r="AI440" t="s">
        <v>287</v>
      </c>
      <c r="AJ440" t="s">
        <v>2209</v>
      </c>
      <c r="AK440" t="s">
        <v>1459</v>
      </c>
      <c r="AL440" t="s">
        <v>2210</v>
      </c>
      <c r="AM440" t="s">
        <v>2211</v>
      </c>
      <c r="AN440" t="s">
        <v>788</v>
      </c>
      <c r="AO440" t="s">
        <v>2212</v>
      </c>
      <c r="AP440" t="s">
        <v>400</v>
      </c>
      <c r="AQ440" s="5">
        <v>75033</v>
      </c>
      <c r="AR440" t="s">
        <v>128</v>
      </c>
      <c r="AT440" s="4">
        <v>19727789690</v>
      </c>
      <c r="AV440" t="s">
        <v>2213</v>
      </c>
      <c r="AW440" t="s">
        <v>2214</v>
      </c>
      <c r="AX440" t="s">
        <v>131</v>
      </c>
      <c r="AY440" t="s">
        <v>131</v>
      </c>
      <c r="AZ440" t="s">
        <v>131</v>
      </c>
      <c r="BA440" t="s">
        <v>131</v>
      </c>
      <c r="BB440" t="s">
        <v>131</v>
      </c>
      <c r="BC440" t="s">
        <v>131</v>
      </c>
      <c r="BD440" t="s">
        <v>131</v>
      </c>
      <c r="BE440" t="s">
        <v>132</v>
      </c>
      <c r="BH440" t="s">
        <v>1639</v>
      </c>
      <c r="BI440" t="s">
        <v>131</v>
      </c>
      <c r="BL440" t="s">
        <v>167</v>
      </c>
      <c r="BO440" t="s">
        <v>131</v>
      </c>
      <c r="BP440" t="s">
        <v>134</v>
      </c>
      <c r="BQ440" t="s">
        <v>131</v>
      </c>
      <c r="BS440" t="str">
        <f t="shared" si="30"/>
        <v>N/A</v>
      </c>
      <c r="BT440" t="s">
        <v>135</v>
      </c>
      <c r="BU440">
        <v>3</v>
      </c>
      <c r="BV440" t="str">
        <f>"Housekeeper"</f>
        <v>Housekeeper</v>
      </c>
      <c r="BW440" t="s">
        <v>135</v>
      </c>
      <c r="BX440" t="str">
        <f>""</f>
        <v/>
      </c>
      <c r="BY440" t="str">
        <f>""</f>
        <v/>
      </c>
      <c r="BZ440" t="str">
        <f>""</f>
        <v/>
      </c>
      <c r="CA440" t="str">
        <f>"MUST BE ABLE TO LIFT, PUSH, AND PULL 50 LBS. MUST BE ABLE TO WORK WEEKENDS AND HOLIDAYS AS REQUIRED. APPLICANTS MUST COMPLETE AN EMPLOYMENT APPLICATION.
"</f>
        <v xml:space="preserve">MUST BE ABLE TO LIFT, PUSH, AND PULL 50 LBS. MUST BE ABLE TO WORK WEEKENDS AND HOLIDAYS AS REQUIRED. APPLICANTS MUST COMPLETE AN EMPLOYMENT APPLICATION.
</v>
      </c>
      <c r="CB440" t="s">
        <v>131</v>
      </c>
      <c r="CF440" t="s">
        <v>131</v>
      </c>
      <c r="CH440" t="str">
        <f>""</f>
        <v/>
      </c>
      <c r="CI440" t="s">
        <v>131</v>
      </c>
      <c r="CK440" t="s">
        <v>131</v>
      </c>
      <c r="CL440" t="str">
        <f>""</f>
        <v/>
      </c>
      <c r="CM440" t="str">
        <f>""</f>
        <v/>
      </c>
      <c r="CN440" t="str">
        <f>""</f>
        <v/>
      </c>
      <c r="CO440" t="str">
        <f>""</f>
        <v/>
      </c>
      <c r="CP440" t="str">
        <f>"37-2012.00"</f>
        <v>37-2012.00</v>
      </c>
      <c r="CQ440" t="s">
        <v>479</v>
      </c>
      <c r="CS440" t="s">
        <v>131</v>
      </c>
      <c r="CU440" t="s">
        <v>3125</v>
      </c>
      <c r="CW440" t="s">
        <v>1677</v>
      </c>
      <c r="CX440" t="s">
        <v>808</v>
      </c>
      <c r="CZ440" s="3" t="str">
        <f>"85253"</f>
        <v>85253</v>
      </c>
      <c r="DA440" t="s">
        <v>131</v>
      </c>
      <c r="DB440" t="str">
        <f>"37-3011"</f>
        <v>37-3011</v>
      </c>
      <c r="DC440" t="s">
        <v>920</v>
      </c>
      <c r="DD440" t="s">
        <v>134</v>
      </c>
      <c r="DE440" t="s">
        <v>134</v>
      </c>
      <c r="DF440" t="str">
        <f>""</f>
        <v/>
      </c>
      <c r="DH440" s="6">
        <v>14.47</v>
      </c>
      <c r="DI440" t="s">
        <v>344</v>
      </c>
      <c r="DK440" t="s">
        <v>345</v>
      </c>
      <c r="DS440" s="6">
        <v>14.47</v>
      </c>
      <c r="DT440" t="s">
        <v>424</v>
      </c>
      <c r="DU440" s="1">
        <v>44356</v>
      </c>
      <c r="DV440" s="1">
        <v>44445</v>
      </c>
    </row>
    <row r="441" spans="1:126" ht="15" customHeight="1" x14ac:dyDescent="0.35">
      <c r="A441" t="s">
        <v>15302</v>
      </c>
      <c r="B441" t="s">
        <v>318</v>
      </c>
      <c r="C441" s="1">
        <v>44329</v>
      </c>
      <c r="D441" s="1">
        <v>44356</v>
      </c>
      <c r="H441" t="s">
        <v>319</v>
      </c>
      <c r="I441" t="s">
        <v>15303</v>
      </c>
      <c r="J441" t="s">
        <v>560</v>
      </c>
      <c r="L441" t="s">
        <v>3922</v>
      </c>
      <c r="M441" t="s">
        <v>15304</v>
      </c>
      <c r="O441" t="s">
        <v>5518</v>
      </c>
      <c r="P441" t="s">
        <v>194</v>
      </c>
      <c r="Q441" s="3">
        <v>34481</v>
      </c>
      <c r="R441" t="s">
        <v>128</v>
      </c>
      <c r="T441" s="4">
        <v>13524898440</v>
      </c>
      <c r="V441" t="s">
        <v>15305</v>
      </c>
      <c r="W441" t="s">
        <v>15306</v>
      </c>
      <c r="Y441" t="s">
        <v>15304</v>
      </c>
      <c r="AA441" t="s">
        <v>5518</v>
      </c>
      <c r="AB441" t="s">
        <v>195</v>
      </c>
      <c r="AC441" s="3" t="str">
        <f>"34481"</f>
        <v>34481</v>
      </c>
      <c r="AD441" t="s">
        <v>128</v>
      </c>
      <c r="AF441" s="4">
        <v>13524898440</v>
      </c>
      <c r="AH441" t="str">
        <f>"112920"</f>
        <v>112920</v>
      </c>
      <c r="AI441" t="s">
        <v>130</v>
      </c>
      <c r="AJ441" t="s">
        <v>8849</v>
      </c>
      <c r="AK441" t="s">
        <v>5130</v>
      </c>
      <c r="AL441" t="s">
        <v>684</v>
      </c>
      <c r="AM441" t="s">
        <v>8850</v>
      </c>
      <c r="AN441" t="s">
        <v>985</v>
      </c>
      <c r="AO441" t="s">
        <v>712</v>
      </c>
      <c r="AP441" t="s">
        <v>2436</v>
      </c>
      <c r="AQ441" s="5">
        <v>40507</v>
      </c>
      <c r="AR441" t="s">
        <v>128</v>
      </c>
      <c r="AT441" s="4">
        <v>18592887409</v>
      </c>
      <c r="AV441" t="s">
        <v>8851</v>
      </c>
      <c r="AW441" t="s">
        <v>8852</v>
      </c>
      <c r="AX441" t="s">
        <v>131</v>
      </c>
      <c r="AY441" t="s">
        <v>131</v>
      </c>
      <c r="AZ441" t="s">
        <v>131</v>
      </c>
      <c r="BA441" t="s">
        <v>131</v>
      </c>
      <c r="BB441" t="s">
        <v>131</v>
      </c>
      <c r="BC441" t="s">
        <v>131</v>
      </c>
      <c r="BD441" t="s">
        <v>131</v>
      </c>
      <c r="BE441" t="s">
        <v>132</v>
      </c>
      <c r="BH441" t="s">
        <v>15307</v>
      </c>
      <c r="BI441" t="s">
        <v>131</v>
      </c>
      <c r="BL441" t="s">
        <v>167</v>
      </c>
      <c r="BO441" t="s">
        <v>131</v>
      </c>
      <c r="BP441" t="s">
        <v>134</v>
      </c>
      <c r="BQ441" t="s">
        <v>131</v>
      </c>
      <c r="BS441" t="str">
        <f t="shared" si="30"/>
        <v>N/A</v>
      </c>
      <c r="BT441" t="s">
        <v>131</v>
      </c>
      <c r="BV441" t="str">
        <f>""</f>
        <v/>
      </c>
      <c r="BW441" t="s">
        <v>135</v>
      </c>
      <c r="BX441" t="str">
        <f>""</f>
        <v/>
      </c>
      <c r="BY441" t="str">
        <f>""</f>
        <v/>
      </c>
      <c r="BZ441" t="str">
        <f>""</f>
        <v/>
      </c>
      <c r="CA441" t="str">
        <f>"Willingness to work with live horses."</f>
        <v>Willingness to work with live horses.</v>
      </c>
      <c r="CB441" t="s">
        <v>131</v>
      </c>
      <c r="CF441" t="s">
        <v>131</v>
      </c>
      <c r="CH441" t="str">
        <f>""</f>
        <v/>
      </c>
      <c r="CI441" t="s">
        <v>131</v>
      </c>
      <c r="CK441" t="s">
        <v>131</v>
      </c>
      <c r="CL441" t="str">
        <f>""</f>
        <v/>
      </c>
      <c r="CM441" t="str">
        <f>""</f>
        <v/>
      </c>
      <c r="CN441" t="str">
        <f>""</f>
        <v/>
      </c>
      <c r="CO441" t="str">
        <f>""</f>
        <v/>
      </c>
      <c r="CP441" t="str">
        <f>"39-2021.00"</f>
        <v>39-2021.00</v>
      </c>
      <c r="CQ441" t="s">
        <v>4482</v>
      </c>
      <c r="CS441" t="s">
        <v>131</v>
      </c>
      <c r="CU441" t="s">
        <v>15308</v>
      </c>
      <c r="CW441" t="s">
        <v>5518</v>
      </c>
      <c r="CX441" t="s">
        <v>195</v>
      </c>
      <c r="CZ441" s="3" t="str">
        <f>"34481"</f>
        <v>34481</v>
      </c>
      <c r="DA441" t="s">
        <v>131</v>
      </c>
      <c r="DB441" t="str">
        <f>"39-2021"</f>
        <v>39-2021</v>
      </c>
      <c r="DC441" t="s">
        <v>4482</v>
      </c>
      <c r="DD441" t="s">
        <v>134</v>
      </c>
      <c r="DE441" t="s">
        <v>134</v>
      </c>
      <c r="DF441" t="str">
        <f>""</f>
        <v/>
      </c>
      <c r="DH441" s="6">
        <v>12.07</v>
      </c>
      <c r="DI441" t="s">
        <v>344</v>
      </c>
      <c r="DK441" t="s">
        <v>345</v>
      </c>
      <c r="DR441" t="s">
        <v>10357</v>
      </c>
      <c r="DS441" s="6">
        <v>12.07</v>
      </c>
      <c r="DT441" t="s">
        <v>424</v>
      </c>
      <c r="DU441" s="1">
        <v>44356</v>
      </c>
      <c r="DV441" s="1">
        <v>44445</v>
      </c>
    </row>
    <row r="442" spans="1:126" ht="15" customHeight="1" x14ac:dyDescent="0.35">
      <c r="A442" t="s">
        <v>15127</v>
      </c>
      <c r="B442" t="s">
        <v>318</v>
      </c>
      <c r="C442" s="1">
        <v>44329</v>
      </c>
      <c r="D442" s="1">
        <v>44356</v>
      </c>
      <c r="H442" t="s">
        <v>319</v>
      </c>
      <c r="I442" t="s">
        <v>2304</v>
      </c>
      <c r="J442" t="s">
        <v>2121</v>
      </c>
      <c r="L442" t="s">
        <v>6277</v>
      </c>
      <c r="M442" t="s">
        <v>6278</v>
      </c>
      <c r="O442" t="s">
        <v>399</v>
      </c>
      <c r="P442" t="s">
        <v>412</v>
      </c>
      <c r="Q442" s="3">
        <v>75219</v>
      </c>
      <c r="R442" t="s">
        <v>128</v>
      </c>
      <c r="T442" s="4">
        <v>12145205894</v>
      </c>
      <c r="V442" t="s">
        <v>6279</v>
      </c>
      <c r="W442" t="s">
        <v>6280</v>
      </c>
      <c r="X442" t="s">
        <v>6281</v>
      </c>
      <c r="Y442" t="s">
        <v>6278</v>
      </c>
      <c r="AA442" t="s">
        <v>399</v>
      </c>
      <c r="AB442" t="s">
        <v>400</v>
      </c>
      <c r="AC442" s="3" t="str">
        <f>"75219"</f>
        <v>75219</v>
      </c>
      <c r="AD442" t="s">
        <v>128</v>
      </c>
      <c r="AF442" s="4">
        <v>12145205894</v>
      </c>
      <c r="AH442" t="str">
        <f>"72111"</f>
        <v>72111</v>
      </c>
      <c r="AI442" t="s">
        <v>287</v>
      </c>
      <c r="AJ442" t="s">
        <v>2209</v>
      </c>
      <c r="AK442" t="s">
        <v>1459</v>
      </c>
      <c r="AL442" t="s">
        <v>2210</v>
      </c>
      <c r="AM442" t="s">
        <v>2211</v>
      </c>
      <c r="AN442" t="s">
        <v>788</v>
      </c>
      <c r="AO442" t="s">
        <v>2212</v>
      </c>
      <c r="AP442" t="s">
        <v>400</v>
      </c>
      <c r="AQ442" s="5">
        <v>75033</v>
      </c>
      <c r="AR442" t="s">
        <v>128</v>
      </c>
      <c r="AT442" s="4">
        <v>19727789690</v>
      </c>
      <c r="AV442" t="s">
        <v>2213</v>
      </c>
      <c r="AW442" t="s">
        <v>2214</v>
      </c>
      <c r="AX442" t="s">
        <v>131</v>
      </c>
      <c r="AY442" t="s">
        <v>131</v>
      </c>
      <c r="AZ442" t="s">
        <v>131</v>
      </c>
      <c r="BA442" t="s">
        <v>131</v>
      </c>
      <c r="BB442" t="s">
        <v>131</v>
      </c>
      <c r="BC442" t="s">
        <v>131</v>
      </c>
      <c r="BD442" t="s">
        <v>131</v>
      </c>
      <c r="BE442" t="s">
        <v>132</v>
      </c>
      <c r="BH442" t="s">
        <v>4739</v>
      </c>
      <c r="BI442" t="s">
        <v>131</v>
      </c>
      <c r="BL442" t="s">
        <v>167</v>
      </c>
      <c r="BO442" t="s">
        <v>131</v>
      </c>
      <c r="BP442" t="s">
        <v>134</v>
      </c>
      <c r="BQ442" t="s">
        <v>131</v>
      </c>
      <c r="BS442" t="str">
        <f t="shared" si="30"/>
        <v>N/A</v>
      </c>
      <c r="BT442" t="s">
        <v>135</v>
      </c>
      <c r="BU442">
        <v>1</v>
      </c>
      <c r="BV442" t="str">
        <f>"Hotel/Resort Kitchen Helper"</f>
        <v>Hotel/Resort Kitchen Helper</v>
      </c>
      <c r="BW442" t="s">
        <v>135</v>
      </c>
      <c r="BX442" t="str">
        <f>""</f>
        <v/>
      </c>
      <c r="BY442" t="str">
        <f>""</f>
        <v/>
      </c>
      <c r="BZ442" t="str">
        <f>""</f>
        <v/>
      </c>
      <c r="CA442" t="str">
        <f>"APPLICANT MUST COMPLETE EMPLOYMENT APPLICATION. Must be able to work weekends and holidays as required. Must be able to lift, pull, push 50 lbs. "</f>
        <v xml:space="preserve">APPLICANT MUST COMPLETE EMPLOYMENT APPLICATION. Must be able to work weekends and holidays as required. Must be able to lift, pull, push 50 lbs. </v>
      </c>
      <c r="CB442" t="s">
        <v>131</v>
      </c>
      <c r="CF442" t="s">
        <v>131</v>
      </c>
      <c r="CH442" t="str">
        <f>""</f>
        <v/>
      </c>
      <c r="CI442" t="s">
        <v>131</v>
      </c>
      <c r="CK442" t="s">
        <v>131</v>
      </c>
      <c r="CL442" t="str">
        <f>""</f>
        <v/>
      </c>
      <c r="CM442" t="str">
        <f>""</f>
        <v/>
      </c>
      <c r="CN442" t="str">
        <f>""</f>
        <v/>
      </c>
      <c r="CO442" t="str">
        <f>""</f>
        <v/>
      </c>
      <c r="CP442" t="str">
        <f>"35-9021.00"</f>
        <v>35-9021.00</v>
      </c>
      <c r="CQ442" t="s">
        <v>2552</v>
      </c>
      <c r="CS442" t="s">
        <v>131</v>
      </c>
      <c r="CU442" t="s">
        <v>6278</v>
      </c>
      <c r="CW442" t="s">
        <v>399</v>
      </c>
      <c r="CX442" t="s">
        <v>400</v>
      </c>
      <c r="CZ442" s="3" t="str">
        <f>"75219"</f>
        <v>75219</v>
      </c>
      <c r="DA442" t="s">
        <v>131</v>
      </c>
      <c r="DB442" t="str">
        <f>"35-9021"</f>
        <v>35-9021</v>
      </c>
      <c r="DC442" t="s">
        <v>2552</v>
      </c>
      <c r="DD442" t="s">
        <v>134</v>
      </c>
      <c r="DE442" t="s">
        <v>134</v>
      </c>
      <c r="DF442" t="str">
        <f>""</f>
        <v/>
      </c>
      <c r="DH442" s="6">
        <v>10.67</v>
      </c>
      <c r="DI442" t="s">
        <v>344</v>
      </c>
      <c r="DK442" t="s">
        <v>345</v>
      </c>
      <c r="DR442" t="s">
        <v>423</v>
      </c>
      <c r="DS442" s="6">
        <v>10.67</v>
      </c>
      <c r="DT442" t="s">
        <v>424</v>
      </c>
      <c r="DU442" s="1">
        <v>44356</v>
      </c>
      <c r="DV442" s="1">
        <v>44445</v>
      </c>
    </row>
    <row r="443" spans="1:126" ht="15" customHeight="1" x14ac:dyDescent="0.35">
      <c r="A443" t="s">
        <v>20082</v>
      </c>
      <c r="B443" t="s">
        <v>318</v>
      </c>
      <c r="C443" s="1">
        <v>44329</v>
      </c>
      <c r="D443" s="1">
        <v>44356</v>
      </c>
      <c r="H443" t="s">
        <v>319</v>
      </c>
      <c r="I443" t="s">
        <v>20083</v>
      </c>
      <c r="J443" t="s">
        <v>246</v>
      </c>
      <c r="K443" t="s">
        <v>20084</v>
      </c>
      <c r="L443" t="s">
        <v>4541</v>
      </c>
      <c r="M443" t="s">
        <v>20085</v>
      </c>
      <c r="O443" t="s">
        <v>7566</v>
      </c>
      <c r="P443" t="s">
        <v>588</v>
      </c>
      <c r="Q443" s="3">
        <v>22180</v>
      </c>
      <c r="R443" t="s">
        <v>128</v>
      </c>
      <c r="T443" s="4">
        <v>15712971480</v>
      </c>
      <c r="V443" t="s">
        <v>134</v>
      </c>
      <c r="W443" t="s">
        <v>20086</v>
      </c>
      <c r="Y443" t="s">
        <v>20085</v>
      </c>
      <c r="AA443" t="s">
        <v>7566</v>
      </c>
      <c r="AB443" t="s">
        <v>306</v>
      </c>
      <c r="AC443" s="3" t="str">
        <f>"22180"</f>
        <v>22180</v>
      </c>
      <c r="AD443" t="s">
        <v>128</v>
      </c>
      <c r="AF443" s="4">
        <v>15712971480</v>
      </c>
      <c r="AH443" t="str">
        <f>"56173"</f>
        <v>56173</v>
      </c>
      <c r="AI443" t="s">
        <v>287</v>
      </c>
      <c r="AJ443" t="s">
        <v>2917</v>
      </c>
      <c r="AK443" t="s">
        <v>2918</v>
      </c>
      <c r="AM443" t="s">
        <v>2919</v>
      </c>
      <c r="AN443" t="s">
        <v>2920</v>
      </c>
      <c r="AO443" t="s">
        <v>2921</v>
      </c>
      <c r="AP443" t="s">
        <v>306</v>
      </c>
      <c r="AQ443" s="5">
        <v>22949</v>
      </c>
      <c r="AR443" t="s">
        <v>128</v>
      </c>
      <c r="AT443" s="4">
        <v>14342634300</v>
      </c>
      <c r="AV443" t="s">
        <v>2922</v>
      </c>
      <c r="AW443" t="s">
        <v>2923</v>
      </c>
      <c r="AX443" t="s">
        <v>131</v>
      </c>
      <c r="AY443" t="s">
        <v>131</v>
      </c>
      <c r="AZ443" t="s">
        <v>131</v>
      </c>
      <c r="BA443" t="s">
        <v>131</v>
      </c>
      <c r="BB443" t="s">
        <v>131</v>
      </c>
      <c r="BC443" t="s">
        <v>131</v>
      </c>
      <c r="BD443" t="s">
        <v>131</v>
      </c>
      <c r="BE443" t="s">
        <v>132</v>
      </c>
      <c r="BH443" t="s">
        <v>20087</v>
      </c>
      <c r="BI443" t="s">
        <v>131</v>
      </c>
      <c r="BL443" t="s">
        <v>167</v>
      </c>
      <c r="BO443" t="s">
        <v>131</v>
      </c>
      <c r="BP443" t="s">
        <v>134</v>
      </c>
      <c r="BQ443" t="s">
        <v>131</v>
      </c>
      <c r="BS443" t="str">
        <f t="shared" si="30"/>
        <v>N/A</v>
      </c>
      <c r="BT443" t="s">
        <v>131</v>
      </c>
      <c r="BV443" t="str">
        <f>""</f>
        <v/>
      </c>
      <c r="BW443" t="s">
        <v>135</v>
      </c>
      <c r="BX443" t="str">
        <f>""</f>
        <v/>
      </c>
      <c r="BY443" t="str">
        <f>""</f>
        <v/>
      </c>
      <c r="BZ443" t="str">
        <f>""</f>
        <v/>
      </c>
      <c r="CA443" t="s">
        <v>20088</v>
      </c>
      <c r="CB443" t="s">
        <v>131</v>
      </c>
      <c r="CF443" t="s">
        <v>131</v>
      </c>
      <c r="CH443" t="str">
        <f>""</f>
        <v/>
      </c>
      <c r="CI443" t="s">
        <v>131</v>
      </c>
      <c r="CK443" t="s">
        <v>131</v>
      </c>
      <c r="CL443" t="str">
        <f>""</f>
        <v/>
      </c>
      <c r="CM443" t="str">
        <f>""</f>
        <v/>
      </c>
      <c r="CN443" t="str">
        <f>""</f>
        <v/>
      </c>
      <c r="CO443" t="str">
        <f>""</f>
        <v/>
      </c>
      <c r="CP443" t="str">
        <f>"37-3011.00"</f>
        <v>37-3011.00</v>
      </c>
      <c r="CQ443" t="s">
        <v>920</v>
      </c>
      <c r="CR443" t="s">
        <v>2924</v>
      </c>
      <c r="CS443" t="s">
        <v>135</v>
      </c>
      <c r="CT443" t="s">
        <v>2925</v>
      </c>
      <c r="CU443" t="s">
        <v>20089</v>
      </c>
      <c r="CW443" t="s">
        <v>7566</v>
      </c>
      <c r="CX443" t="s">
        <v>306</v>
      </c>
      <c r="CZ443" s="3" t="str">
        <f>"22180"</f>
        <v>22180</v>
      </c>
      <c r="DA443" t="s">
        <v>135</v>
      </c>
      <c r="DB443" t="str">
        <f>"37-3011"</f>
        <v>37-3011</v>
      </c>
      <c r="DC443" t="s">
        <v>920</v>
      </c>
      <c r="DD443" t="s">
        <v>134</v>
      </c>
      <c r="DE443" t="s">
        <v>134</v>
      </c>
      <c r="DF443" t="str">
        <f>""</f>
        <v/>
      </c>
      <c r="DH443" s="6">
        <v>16.25</v>
      </c>
      <c r="DI443" t="s">
        <v>344</v>
      </c>
      <c r="DK443" t="s">
        <v>345</v>
      </c>
      <c r="DS443" s="6">
        <v>16.25</v>
      </c>
      <c r="DT443" s="2" t="s">
        <v>2219</v>
      </c>
      <c r="DU443" s="1">
        <v>44356</v>
      </c>
      <c r="DV443" s="1">
        <v>44445</v>
      </c>
    </row>
    <row r="444" spans="1:126" ht="15" customHeight="1" x14ac:dyDescent="0.35">
      <c r="A444" t="s">
        <v>6276</v>
      </c>
      <c r="B444" t="s">
        <v>318</v>
      </c>
      <c r="C444" s="1">
        <v>44329</v>
      </c>
      <c r="D444" s="1">
        <v>44356</v>
      </c>
      <c r="H444" t="s">
        <v>319</v>
      </c>
      <c r="I444" t="s">
        <v>2304</v>
      </c>
      <c r="J444" t="s">
        <v>2121</v>
      </c>
      <c r="L444" t="s">
        <v>6277</v>
      </c>
      <c r="M444" t="s">
        <v>6278</v>
      </c>
      <c r="O444" t="s">
        <v>399</v>
      </c>
      <c r="P444" t="s">
        <v>412</v>
      </c>
      <c r="Q444" s="3">
        <v>75219</v>
      </c>
      <c r="R444" t="s">
        <v>128</v>
      </c>
      <c r="T444" s="4">
        <v>12145205894</v>
      </c>
      <c r="V444" t="s">
        <v>6279</v>
      </c>
      <c r="W444" t="s">
        <v>6280</v>
      </c>
      <c r="X444" t="s">
        <v>6281</v>
      </c>
      <c r="Y444" t="s">
        <v>6278</v>
      </c>
      <c r="AA444" t="s">
        <v>399</v>
      </c>
      <c r="AB444" t="s">
        <v>400</v>
      </c>
      <c r="AC444" s="3" t="str">
        <f>"75219"</f>
        <v>75219</v>
      </c>
      <c r="AD444" t="s">
        <v>128</v>
      </c>
      <c r="AF444" s="4">
        <v>12145205894</v>
      </c>
      <c r="AH444" t="str">
        <f>"72111"</f>
        <v>72111</v>
      </c>
      <c r="AI444" t="s">
        <v>287</v>
      </c>
      <c r="AJ444" t="s">
        <v>2209</v>
      </c>
      <c r="AK444" t="s">
        <v>1459</v>
      </c>
      <c r="AL444" t="s">
        <v>2210</v>
      </c>
      <c r="AM444" t="s">
        <v>2211</v>
      </c>
      <c r="AN444" t="s">
        <v>788</v>
      </c>
      <c r="AO444" t="s">
        <v>2212</v>
      </c>
      <c r="AP444" t="s">
        <v>400</v>
      </c>
      <c r="AQ444" s="5">
        <v>75033</v>
      </c>
      <c r="AR444" t="s">
        <v>128</v>
      </c>
      <c r="AT444" s="4">
        <v>19727789690</v>
      </c>
      <c r="AV444" t="s">
        <v>2213</v>
      </c>
      <c r="AW444" t="s">
        <v>2214</v>
      </c>
      <c r="AX444" t="s">
        <v>131</v>
      </c>
      <c r="AY444" t="s">
        <v>131</v>
      </c>
      <c r="AZ444" t="s">
        <v>131</v>
      </c>
      <c r="BA444" t="s">
        <v>131</v>
      </c>
      <c r="BB444" t="s">
        <v>131</v>
      </c>
      <c r="BC444" t="s">
        <v>131</v>
      </c>
      <c r="BD444" t="s">
        <v>131</v>
      </c>
      <c r="BE444" t="s">
        <v>132</v>
      </c>
      <c r="BH444" t="s">
        <v>1639</v>
      </c>
      <c r="BI444" t="s">
        <v>131</v>
      </c>
      <c r="BL444" t="s">
        <v>167</v>
      </c>
      <c r="BO444" t="s">
        <v>131</v>
      </c>
      <c r="BP444" t="s">
        <v>134</v>
      </c>
      <c r="BQ444" t="s">
        <v>131</v>
      </c>
      <c r="BS444" t="str">
        <f t="shared" si="30"/>
        <v>N/A</v>
      </c>
      <c r="BT444" t="s">
        <v>135</v>
      </c>
      <c r="BU444">
        <v>1</v>
      </c>
      <c r="BV444" t="str">
        <f>"Hotel/Resort Housekeeper"</f>
        <v>Hotel/Resort Housekeeper</v>
      </c>
      <c r="BW444" t="s">
        <v>135</v>
      </c>
      <c r="BX444" t="str">
        <f>""</f>
        <v/>
      </c>
      <c r="BY444" t="str">
        <f>""</f>
        <v/>
      </c>
      <c r="BZ444" t="str">
        <f>""</f>
        <v/>
      </c>
      <c r="CA444" t="str">
        <f>"Must complete employment application. Must be able to work weekend and holidays as required. Must be able to lift, pull, push 50 lbs. "</f>
        <v xml:space="preserve">Must complete employment application. Must be able to work weekend and holidays as required. Must be able to lift, pull, push 50 lbs. </v>
      </c>
      <c r="CB444" t="s">
        <v>131</v>
      </c>
      <c r="CF444" t="s">
        <v>131</v>
      </c>
      <c r="CH444" t="str">
        <f>""</f>
        <v/>
      </c>
      <c r="CI444" t="s">
        <v>131</v>
      </c>
      <c r="CK444" t="s">
        <v>131</v>
      </c>
      <c r="CL444" t="str">
        <f>""</f>
        <v/>
      </c>
      <c r="CM444" t="str">
        <f>""</f>
        <v/>
      </c>
      <c r="CN444" t="str">
        <f>""</f>
        <v/>
      </c>
      <c r="CO444" t="str">
        <f>""</f>
        <v/>
      </c>
      <c r="CP444" t="str">
        <f>"37-2012.00"</f>
        <v>37-2012.00</v>
      </c>
      <c r="CQ444" t="s">
        <v>479</v>
      </c>
      <c r="CS444" t="s">
        <v>131</v>
      </c>
      <c r="CU444" t="s">
        <v>6278</v>
      </c>
      <c r="CW444" t="s">
        <v>399</v>
      </c>
      <c r="CX444" t="s">
        <v>400</v>
      </c>
      <c r="CZ444" s="3" t="str">
        <f>"75219"</f>
        <v>75219</v>
      </c>
      <c r="DA444" t="s">
        <v>131</v>
      </c>
      <c r="DB444" t="str">
        <f>"37-2012"</f>
        <v>37-2012</v>
      </c>
      <c r="DC444" t="s">
        <v>479</v>
      </c>
      <c r="DD444" t="s">
        <v>134</v>
      </c>
      <c r="DE444" t="s">
        <v>134</v>
      </c>
      <c r="DF444" t="str">
        <f>""</f>
        <v/>
      </c>
      <c r="DH444" s="6">
        <v>11.58</v>
      </c>
      <c r="DI444" t="s">
        <v>344</v>
      </c>
      <c r="DK444" t="s">
        <v>345</v>
      </c>
      <c r="DR444" t="s">
        <v>423</v>
      </c>
      <c r="DS444" s="6">
        <v>11.58</v>
      </c>
      <c r="DT444" t="s">
        <v>424</v>
      </c>
      <c r="DU444" s="1">
        <v>44356</v>
      </c>
      <c r="DV444" s="1">
        <v>44445</v>
      </c>
    </row>
    <row r="445" spans="1:126" ht="15" customHeight="1" x14ac:dyDescent="0.35">
      <c r="A445" t="s">
        <v>5391</v>
      </c>
      <c r="B445" t="s">
        <v>318</v>
      </c>
      <c r="C445" s="1">
        <v>44329</v>
      </c>
      <c r="D445" s="1">
        <v>44357</v>
      </c>
      <c r="H445" t="s">
        <v>319</v>
      </c>
      <c r="I445" t="s">
        <v>2757</v>
      </c>
      <c r="J445" t="s">
        <v>2758</v>
      </c>
      <c r="K445" t="s">
        <v>1568</v>
      </c>
      <c r="L445" t="s">
        <v>460</v>
      </c>
      <c r="M445" t="s">
        <v>2759</v>
      </c>
      <c r="O445" t="s">
        <v>2760</v>
      </c>
      <c r="P445" t="s">
        <v>593</v>
      </c>
      <c r="Q445" s="3">
        <v>28571</v>
      </c>
      <c r="R445" t="s">
        <v>128</v>
      </c>
      <c r="T445" s="4">
        <v>12522490123</v>
      </c>
      <c r="V445" t="s">
        <v>5392</v>
      </c>
      <c r="W445" t="s">
        <v>5393</v>
      </c>
      <c r="Y445" t="s">
        <v>2759</v>
      </c>
      <c r="AA445" t="s">
        <v>2760</v>
      </c>
      <c r="AB445" t="s">
        <v>594</v>
      </c>
      <c r="AC445" s="3" t="str">
        <f>"28571"</f>
        <v>28571</v>
      </c>
      <c r="AD445" t="s">
        <v>128</v>
      </c>
      <c r="AF445" s="4">
        <v>12522490123</v>
      </c>
      <c r="AH445" t="str">
        <f>"114112"</f>
        <v>114112</v>
      </c>
      <c r="AI445" t="s">
        <v>167</v>
      </c>
      <c r="AX445" t="s">
        <v>131</v>
      </c>
      <c r="AY445" t="s">
        <v>131</v>
      </c>
      <c r="AZ445" t="s">
        <v>131</v>
      </c>
      <c r="BA445" t="s">
        <v>131</v>
      </c>
      <c r="BB445" t="s">
        <v>131</v>
      </c>
      <c r="BC445" t="s">
        <v>131</v>
      </c>
      <c r="BD445" t="s">
        <v>131</v>
      </c>
      <c r="BE445" t="s">
        <v>132</v>
      </c>
      <c r="BH445" t="s">
        <v>2763</v>
      </c>
      <c r="BI445" t="s">
        <v>131</v>
      </c>
      <c r="BL445" t="s">
        <v>167</v>
      </c>
      <c r="BO445" t="s">
        <v>131</v>
      </c>
      <c r="BP445" t="s">
        <v>134</v>
      </c>
      <c r="BQ445" t="s">
        <v>131</v>
      </c>
      <c r="BS445" t="str">
        <f t="shared" si="30"/>
        <v>N/A</v>
      </c>
      <c r="BT445" t="s">
        <v>135</v>
      </c>
      <c r="BU445">
        <v>3</v>
      </c>
      <c r="BV445" t="str">
        <f>"Shrimp Trawler Fishing"</f>
        <v>Shrimp Trawler Fishing</v>
      </c>
      <c r="BW445" t="s">
        <v>135</v>
      </c>
      <c r="BX445" t="str">
        <f>""</f>
        <v/>
      </c>
      <c r="BY445" t="str">
        <f>""</f>
        <v/>
      </c>
      <c r="BZ445" t="str">
        <f>""</f>
        <v/>
      </c>
      <c r="CA445" t="s">
        <v>2764</v>
      </c>
      <c r="CB445" t="s">
        <v>131</v>
      </c>
      <c r="CF445" t="s">
        <v>131</v>
      </c>
      <c r="CH445" t="str">
        <f>""</f>
        <v/>
      </c>
      <c r="CI445" t="s">
        <v>131</v>
      </c>
      <c r="CK445" t="s">
        <v>131</v>
      </c>
      <c r="CL445" t="str">
        <f>""</f>
        <v/>
      </c>
      <c r="CM445" t="str">
        <f>""</f>
        <v/>
      </c>
      <c r="CN445" t="str">
        <f>""</f>
        <v/>
      </c>
      <c r="CO445" t="str">
        <f>""</f>
        <v/>
      </c>
      <c r="CP445" t="str">
        <f>"45-3011.00"</f>
        <v>45-3011.00</v>
      </c>
      <c r="CQ445" t="s">
        <v>1770</v>
      </c>
      <c r="CS445" t="s">
        <v>135</v>
      </c>
      <c r="CT445" t="s">
        <v>2765</v>
      </c>
      <c r="CU445" t="s">
        <v>2759</v>
      </c>
      <c r="CW445" t="s">
        <v>2760</v>
      </c>
      <c r="CX445" t="s">
        <v>594</v>
      </c>
      <c r="CZ445" s="3" t="str">
        <f>"28571"</f>
        <v>28571</v>
      </c>
      <c r="DA445" t="s">
        <v>131</v>
      </c>
      <c r="DB445" t="str">
        <f>"45-3011"</f>
        <v>45-3011</v>
      </c>
      <c r="DC445" t="s">
        <v>1770</v>
      </c>
      <c r="DD445" t="s">
        <v>134</v>
      </c>
      <c r="DE445" t="s">
        <v>134</v>
      </c>
      <c r="DF445" t="str">
        <f>""</f>
        <v/>
      </c>
      <c r="DH445" s="6">
        <v>23.39</v>
      </c>
      <c r="DI445" t="s">
        <v>344</v>
      </c>
      <c r="DK445" t="s">
        <v>345</v>
      </c>
      <c r="DR445" t="s">
        <v>2767</v>
      </c>
      <c r="DS445" s="6">
        <v>23.39</v>
      </c>
      <c r="DT445" s="2" t="s">
        <v>2219</v>
      </c>
      <c r="DU445" s="1">
        <v>44357</v>
      </c>
      <c r="DV445" s="1">
        <v>44446</v>
      </c>
    </row>
    <row r="446" spans="1:126" ht="15" customHeight="1" x14ac:dyDescent="0.35">
      <c r="A446" t="s">
        <v>11090</v>
      </c>
      <c r="B446" t="s">
        <v>318</v>
      </c>
      <c r="C446" s="1">
        <v>44329</v>
      </c>
      <c r="D446" s="1">
        <v>44356</v>
      </c>
      <c r="H446" t="s">
        <v>319</v>
      </c>
      <c r="I446" t="s">
        <v>2304</v>
      </c>
      <c r="J446" t="s">
        <v>2121</v>
      </c>
      <c r="L446" t="s">
        <v>6277</v>
      </c>
      <c r="M446" t="s">
        <v>6278</v>
      </c>
      <c r="O446" t="s">
        <v>399</v>
      </c>
      <c r="P446" t="s">
        <v>412</v>
      </c>
      <c r="Q446" s="3">
        <v>75219</v>
      </c>
      <c r="R446" t="s">
        <v>128</v>
      </c>
      <c r="T446" s="4">
        <v>12145205894</v>
      </c>
      <c r="V446" t="s">
        <v>6279</v>
      </c>
      <c r="W446" t="s">
        <v>6280</v>
      </c>
      <c r="X446" t="s">
        <v>6281</v>
      </c>
      <c r="Y446" t="s">
        <v>6278</v>
      </c>
      <c r="AA446" t="s">
        <v>399</v>
      </c>
      <c r="AB446" t="s">
        <v>400</v>
      </c>
      <c r="AC446" s="3" t="str">
        <f>"75219"</f>
        <v>75219</v>
      </c>
      <c r="AD446" t="s">
        <v>128</v>
      </c>
      <c r="AF446" s="4">
        <v>12145205894</v>
      </c>
      <c r="AH446" t="str">
        <f>"72111"</f>
        <v>72111</v>
      </c>
      <c r="AI446" t="s">
        <v>287</v>
      </c>
      <c r="AJ446" t="s">
        <v>2209</v>
      </c>
      <c r="AK446" t="s">
        <v>1459</v>
      </c>
      <c r="AL446" t="s">
        <v>2210</v>
      </c>
      <c r="AM446" t="s">
        <v>2211</v>
      </c>
      <c r="AN446" t="s">
        <v>788</v>
      </c>
      <c r="AO446" t="s">
        <v>2212</v>
      </c>
      <c r="AP446" t="s">
        <v>400</v>
      </c>
      <c r="AQ446" s="5">
        <v>75033</v>
      </c>
      <c r="AR446" t="s">
        <v>128</v>
      </c>
      <c r="AT446" s="4">
        <v>19727789690</v>
      </c>
      <c r="AV446" t="s">
        <v>2213</v>
      </c>
      <c r="AW446" t="s">
        <v>2214</v>
      </c>
      <c r="AX446" t="s">
        <v>131</v>
      </c>
      <c r="AY446" t="s">
        <v>131</v>
      </c>
      <c r="AZ446" t="s">
        <v>131</v>
      </c>
      <c r="BA446" t="s">
        <v>131</v>
      </c>
      <c r="BB446" t="s">
        <v>131</v>
      </c>
      <c r="BC446" t="s">
        <v>131</v>
      </c>
      <c r="BD446" t="s">
        <v>131</v>
      </c>
      <c r="BE446" t="s">
        <v>132</v>
      </c>
      <c r="BH446" t="s">
        <v>11091</v>
      </c>
      <c r="BI446" t="s">
        <v>131</v>
      </c>
      <c r="BL446" t="s">
        <v>167</v>
      </c>
      <c r="BO446" t="s">
        <v>131</v>
      </c>
      <c r="BP446" t="s">
        <v>134</v>
      </c>
      <c r="BQ446" t="s">
        <v>131</v>
      </c>
      <c r="BS446" t="str">
        <f t="shared" si="30"/>
        <v>N/A</v>
      </c>
      <c r="BT446" t="s">
        <v>135</v>
      </c>
      <c r="BU446">
        <v>1</v>
      </c>
      <c r="BV446" t="str">
        <f>"Hotel/Resort Maintenance"</f>
        <v>Hotel/Resort Maintenance</v>
      </c>
      <c r="BW446" t="s">
        <v>135</v>
      </c>
      <c r="BX446" t="str">
        <f>""</f>
        <v/>
      </c>
      <c r="BY446" t="str">
        <f>""</f>
        <v/>
      </c>
      <c r="BZ446" t="str">
        <f>""</f>
        <v/>
      </c>
      <c r="CA446" t="str">
        <f>"Must complete employment application. Must be able to work weekends and holidays as required. Must be able to lift, pull, push 50 lbs. "</f>
        <v xml:space="preserve">Must complete employment application. Must be able to work weekends and holidays as required. Must be able to lift, pull, push 50 lbs. </v>
      </c>
      <c r="CB446" t="s">
        <v>131</v>
      </c>
      <c r="CF446" t="s">
        <v>131</v>
      </c>
      <c r="CH446" t="str">
        <f>""</f>
        <v/>
      </c>
      <c r="CI446" t="s">
        <v>131</v>
      </c>
      <c r="CK446" t="s">
        <v>131</v>
      </c>
      <c r="CL446" t="str">
        <f>""</f>
        <v/>
      </c>
      <c r="CM446" t="str">
        <f>""</f>
        <v/>
      </c>
      <c r="CN446" t="str">
        <f>""</f>
        <v/>
      </c>
      <c r="CO446" t="str">
        <f>""</f>
        <v/>
      </c>
      <c r="CP446" t="str">
        <f>"37-2011.00"</f>
        <v>37-2011.00</v>
      </c>
      <c r="CQ446" t="s">
        <v>794</v>
      </c>
      <c r="CS446" t="s">
        <v>131</v>
      </c>
      <c r="CU446" t="s">
        <v>6278</v>
      </c>
      <c r="CW446" t="s">
        <v>399</v>
      </c>
      <c r="CX446" t="s">
        <v>400</v>
      </c>
      <c r="CZ446" s="3" t="str">
        <f>"75219"</f>
        <v>75219</v>
      </c>
      <c r="DA446" t="s">
        <v>131</v>
      </c>
      <c r="DB446" t="str">
        <f>"37-2011"</f>
        <v>37-2011</v>
      </c>
      <c r="DC446" t="s">
        <v>794</v>
      </c>
      <c r="DD446" t="s">
        <v>134</v>
      </c>
      <c r="DE446" t="s">
        <v>134</v>
      </c>
      <c r="DF446" t="str">
        <f>""</f>
        <v/>
      </c>
      <c r="DH446" s="6">
        <v>13.15</v>
      </c>
      <c r="DI446" t="s">
        <v>344</v>
      </c>
      <c r="DK446" t="s">
        <v>345</v>
      </c>
      <c r="DR446" t="s">
        <v>423</v>
      </c>
      <c r="DS446" s="6">
        <v>13.15</v>
      </c>
      <c r="DT446" t="s">
        <v>424</v>
      </c>
      <c r="DU446" s="1">
        <v>44356</v>
      </c>
      <c r="DV446" s="1">
        <v>44445</v>
      </c>
    </row>
    <row r="447" spans="1:126" ht="15" customHeight="1" x14ac:dyDescent="0.35">
      <c r="A447" t="s">
        <v>19642</v>
      </c>
      <c r="B447" t="s">
        <v>318</v>
      </c>
      <c r="C447" s="1">
        <v>44329</v>
      </c>
      <c r="D447" s="1">
        <v>44356</v>
      </c>
      <c r="H447" t="s">
        <v>319</v>
      </c>
      <c r="I447" t="s">
        <v>2304</v>
      </c>
      <c r="J447" t="s">
        <v>2121</v>
      </c>
      <c r="L447" t="s">
        <v>6277</v>
      </c>
      <c r="M447" t="s">
        <v>6278</v>
      </c>
      <c r="O447" t="s">
        <v>399</v>
      </c>
      <c r="P447" t="s">
        <v>412</v>
      </c>
      <c r="Q447" s="3">
        <v>75219</v>
      </c>
      <c r="R447" t="s">
        <v>128</v>
      </c>
      <c r="T447" s="4">
        <v>12145205894</v>
      </c>
      <c r="V447" t="s">
        <v>6279</v>
      </c>
      <c r="W447" t="s">
        <v>6280</v>
      </c>
      <c r="X447" t="s">
        <v>6281</v>
      </c>
      <c r="Y447" t="s">
        <v>6278</v>
      </c>
      <c r="AA447" t="s">
        <v>399</v>
      </c>
      <c r="AB447" t="s">
        <v>400</v>
      </c>
      <c r="AC447" s="3" t="str">
        <f>"75219"</f>
        <v>75219</v>
      </c>
      <c r="AD447" t="s">
        <v>128</v>
      </c>
      <c r="AF447" s="4">
        <v>12145205894</v>
      </c>
      <c r="AH447" t="str">
        <f>"72111"</f>
        <v>72111</v>
      </c>
      <c r="AI447" t="s">
        <v>287</v>
      </c>
      <c r="AJ447" t="s">
        <v>2209</v>
      </c>
      <c r="AK447" t="s">
        <v>1459</v>
      </c>
      <c r="AL447" t="s">
        <v>2210</v>
      </c>
      <c r="AM447" t="s">
        <v>2211</v>
      </c>
      <c r="AN447" t="s">
        <v>788</v>
      </c>
      <c r="AO447" t="s">
        <v>2212</v>
      </c>
      <c r="AP447" t="s">
        <v>400</v>
      </c>
      <c r="AQ447" s="5">
        <v>75033</v>
      </c>
      <c r="AR447" t="s">
        <v>128</v>
      </c>
      <c r="AT447" s="4">
        <v>19727789690</v>
      </c>
      <c r="AV447" t="s">
        <v>2213</v>
      </c>
      <c r="AW447" t="s">
        <v>2214</v>
      </c>
      <c r="AX447" t="s">
        <v>131</v>
      </c>
      <c r="AY447" t="s">
        <v>131</v>
      </c>
      <c r="AZ447" t="s">
        <v>131</v>
      </c>
      <c r="BA447" t="s">
        <v>131</v>
      </c>
      <c r="BB447" t="s">
        <v>131</v>
      </c>
      <c r="BC447" t="s">
        <v>131</v>
      </c>
      <c r="BD447" t="s">
        <v>131</v>
      </c>
      <c r="BE447" t="s">
        <v>132</v>
      </c>
      <c r="BH447" t="s">
        <v>16168</v>
      </c>
      <c r="BI447" t="s">
        <v>131</v>
      </c>
      <c r="BL447" t="s">
        <v>167</v>
      </c>
      <c r="BO447" t="s">
        <v>131</v>
      </c>
      <c r="BP447" t="s">
        <v>134</v>
      </c>
      <c r="BQ447" t="s">
        <v>131</v>
      </c>
      <c r="BS447" t="str">
        <f t="shared" si="30"/>
        <v>N/A</v>
      </c>
      <c r="BT447" t="s">
        <v>135</v>
      </c>
      <c r="BU447">
        <v>1</v>
      </c>
      <c r="BV447" t="str">
        <f>"Hotel/Resort Housekeeping Attendant"</f>
        <v>Hotel/Resort Housekeeping Attendant</v>
      </c>
      <c r="BW447" t="s">
        <v>135</v>
      </c>
      <c r="BX447" t="str">
        <f>""</f>
        <v/>
      </c>
      <c r="BY447" t="str">
        <f>""</f>
        <v/>
      </c>
      <c r="BZ447" t="str">
        <f>""</f>
        <v/>
      </c>
      <c r="CA447" t="str">
        <f>"Must complete employment application. Must be able to work weekends and holidays as required. Must be able to lift, pull, push 50 lbs. "</f>
        <v xml:space="preserve">Must complete employment application. Must be able to work weekends and holidays as required. Must be able to lift, pull, push 50 lbs. </v>
      </c>
      <c r="CB447" t="s">
        <v>131</v>
      </c>
      <c r="CF447" t="s">
        <v>131</v>
      </c>
      <c r="CH447" t="str">
        <f>""</f>
        <v/>
      </c>
      <c r="CI447" t="s">
        <v>131</v>
      </c>
      <c r="CK447" t="s">
        <v>131</v>
      </c>
      <c r="CL447" t="str">
        <f>""</f>
        <v/>
      </c>
      <c r="CM447" t="str">
        <f>""</f>
        <v/>
      </c>
      <c r="CN447" t="str">
        <f>""</f>
        <v/>
      </c>
      <c r="CO447" t="str">
        <f>""</f>
        <v/>
      </c>
      <c r="CP447" t="str">
        <f>"37-2012.00"</f>
        <v>37-2012.00</v>
      </c>
      <c r="CQ447" t="s">
        <v>479</v>
      </c>
      <c r="CS447" t="s">
        <v>131</v>
      </c>
      <c r="CU447" t="s">
        <v>6278</v>
      </c>
      <c r="CW447" t="s">
        <v>399</v>
      </c>
      <c r="CX447" t="s">
        <v>400</v>
      </c>
      <c r="CZ447" s="3" t="str">
        <f>"75219"</f>
        <v>75219</v>
      </c>
      <c r="DA447" t="s">
        <v>131</v>
      </c>
      <c r="DB447" t="str">
        <f>"37-2012"</f>
        <v>37-2012</v>
      </c>
      <c r="DC447" t="s">
        <v>479</v>
      </c>
      <c r="DD447" t="s">
        <v>134</v>
      </c>
      <c r="DE447" t="s">
        <v>134</v>
      </c>
      <c r="DF447" t="str">
        <f>""</f>
        <v/>
      </c>
      <c r="DH447" s="6">
        <v>11.58</v>
      </c>
      <c r="DI447" t="s">
        <v>344</v>
      </c>
      <c r="DK447" t="s">
        <v>345</v>
      </c>
      <c r="DR447" t="s">
        <v>423</v>
      </c>
      <c r="DS447" s="6">
        <v>11.58</v>
      </c>
      <c r="DT447" t="s">
        <v>424</v>
      </c>
      <c r="DU447" s="1">
        <v>44356</v>
      </c>
      <c r="DV447" s="1">
        <v>44445</v>
      </c>
    </row>
    <row r="448" spans="1:126" ht="15" customHeight="1" x14ac:dyDescent="0.35">
      <c r="A448" t="s">
        <v>9748</v>
      </c>
      <c r="B448" t="s">
        <v>318</v>
      </c>
      <c r="C448" s="1">
        <v>44329</v>
      </c>
      <c r="D448" s="1">
        <v>44356</v>
      </c>
      <c r="H448" t="s">
        <v>319</v>
      </c>
      <c r="I448" t="s">
        <v>9749</v>
      </c>
      <c r="J448" t="s">
        <v>700</v>
      </c>
      <c r="L448" t="s">
        <v>4541</v>
      </c>
      <c r="M448" t="s">
        <v>9750</v>
      </c>
      <c r="N448" t="s">
        <v>1524</v>
      </c>
      <c r="O448" t="s">
        <v>9751</v>
      </c>
      <c r="P448" t="s">
        <v>178</v>
      </c>
      <c r="Q448" s="3">
        <v>92227</v>
      </c>
      <c r="R448" t="s">
        <v>128</v>
      </c>
      <c r="T448" s="4">
        <v>17603441930</v>
      </c>
      <c r="V448" t="s">
        <v>9752</v>
      </c>
      <c r="W448" t="s">
        <v>9753</v>
      </c>
      <c r="Y448" t="s">
        <v>9750</v>
      </c>
      <c r="Z448" t="s">
        <v>1524</v>
      </c>
      <c r="AA448" t="s">
        <v>9751</v>
      </c>
      <c r="AB448" t="s">
        <v>172</v>
      </c>
      <c r="AC448" s="3" t="str">
        <f>"92227"</f>
        <v>92227</v>
      </c>
      <c r="AD448" t="s">
        <v>128</v>
      </c>
      <c r="AF448" s="4">
        <v>17603441930</v>
      </c>
      <c r="AH448" t="str">
        <f>"4842"</f>
        <v>4842</v>
      </c>
      <c r="AI448" t="s">
        <v>167</v>
      </c>
      <c r="AX448" t="s">
        <v>131</v>
      </c>
      <c r="AY448" t="s">
        <v>131</v>
      </c>
      <c r="AZ448" t="s">
        <v>131</v>
      </c>
      <c r="BA448" t="s">
        <v>131</v>
      </c>
      <c r="BB448" t="s">
        <v>131</v>
      </c>
      <c r="BC448" t="s">
        <v>131</v>
      </c>
      <c r="BD448" t="s">
        <v>131</v>
      </c>
      <c r="BE448" t="s">
        <v>132</v>
      </c>
      <c r="BH448" t="s">
        <v>9754</v>
      </c>
      <c r="BI448" t="s">
        <v>131</v>
      </c>
      <c r="BL448" t="s">
        <v>167</v>
      </c>
      <c r="BO448" t="s">
        <v>131</v>
      </c>
      <c r="BP448" t="s">
        <v>134</v>
      </c>
      <c r="BQ448" t="s">
        <v>131</v>
      </c>
      <c r="BS448" t="str">
        <f t="shared" si="30"/>
        <v>N/A</v>
      </c>
      <c r="BT448" t="s">
        <v>135</v>
      </c>
      <c r="BU448">
        <v>12</v>
      </c>
      <c r="BV448" t="str">
        <f>"Truck driving experience needed"</f>
        <v>Truck driving experience needed</v>
      </c>
      <c r="BW448" t="s">
        <v>135</v>
      </c>
      <c r="BX448" t="str">
        <f>"Truck driving licence"</f>
        <v>Truck driving licence</v>
      </c>
      <c r="BY448" t="str">
        <f>""</f>
        <v/>
      </c>
      <c r="BZ448" t="str">
        <f>""</f>
        <v/>
      </c>
      <c r="CA448" t="str">
        <f>""</f>
        <v/>
      </c>
      <c r="CB448" t="s">
        <v>131</v>
      </c>
      <c r="CF448" t="s">
        <v>131</v>
      </c>
      <c r="CH448" t="str">
        <f>""</f>
        <v/>
      </c>
      <c r="CI448" t="s">
        <v>131</v>
      </c>
      <c r="CK448" t="s">
        <v>131</v>
      </c>
      <c r="CL448" t="str">
        <f>""</f>
        <v/>
      </c>
      <c r="CM448" t="str">
        <f>""</f>
        <v/>
      </c>
      <c r="CN448" t="str">
        <f>""</f>
        <v/>
      </c>
      <c r="CO448" t="str">
        <f>""</f>
        <v/>
      </c>
      <c r="CP448" t="str">
        <f>"53-3032.00"</f>
        <v>53-3032.00</v>
      </c>
      <c r="CQ448" t="s">
        <v>1238</v>
      </c>
      <c r="CR448" t="s">
        <v>1714</v>
      </c>
      <c r="CS448" t="s">
        <v>135</v>
      </c>
      <c r="CT448" s="2" t="s">
        <v>9755</v>
      </c>
      <c r="CU448" t="s">
        <v>9750</v>
      </c>
      <c r="CV448" t="s">
        <v>1524</v>
      </c>
      <c r="CW448" t="s">
        <v>9756</v>
      </c>
      <c r="CX448" t="s">
        <v>172</v>
      </c>
      <c r="CZ448" s="3" t="str">
        <f>"92227"</f>
        <v>92227</v>
      </c>
      <c r="DA448" t="s">
        <v>135</v>
      </c>
      <c r="DB448" t="str">
        <f>"53-3032"</f>
        <v>53-3032</v>
      </c>
      <c r="DC448" t="s">
        <v>1238</v>
      </c>
      <c r="DD448" t="s">
        <v>134</v>
      </c>
      <c r="DE448" t="s">
        <v>134</v>
      </c>
      <c r="DF448" t="str">
        <f>""</f>
        <v/>
      </c>
      <c r="DH448" s="6">
        <v>21.79</v>
      </c>
      <c r="DI448" t="s">
        <v>344</v>
      </c>
      <c r="DK448" t="s">
        <v>345</v>
      </c>
      <c r="DS448" s="6">
        <v>23.11</v>
      </c>
      <c r="DT448" s="2" t="s">
        <v>2219</v>
      </c>
      <c r="DU448" s="1">
        <v>44356</v>
      </c>
      <c r="DV448" s="1">
        <v>44445</v>
      </c>
    </row>
    <row r="449" spans="1:126" ht="15" customHeight="1" x14ac:dyDescent="0.35">
      <c r="A449" t="s">
        <v>2201</v>
      </c>
      <c r="B449" t="s">
        <v>318</v>
      </c>
      <c r="C449" s="1">
        <v>44329</v>
      </c>
      <c r="D449" s="1">
        <v>44356</v>
      </c>
      <c r="H449" t="s">
        <v>319</v>
      </c>
      <c r="I449" t="s">
        <v>2202</v>
      </c>
      <c r="J449" t="s">
        <v>2047</v>
      </c>
      <c r="L449" t="s">
        <v>2203</v>
      </c>
      <c r="M449" t="s">
        <v>2204</v>
      </c>
      <c r="O449" t="s">
        <v>2205</v>
      </c>
      <c r="P449" t="s">
        <v>818</v>
      </c>
      <c r="Q449" s="3">
        <v>30004</v>
      </c>
      <c r="R449" t="s">
        <v>128</v>
      </c>
      <c r="T449" s="4">
        <v>17707409739</v>
      </c>
      <c r="V449" t="s">
        <v>2206</v>
      </c>
      <c r="W449" t="s">
        <v>2207</v>
      </c>
      <c r="X449" t="s">
        <v>2208</v>
      </c>
      <c r="Y449" t="s">
        <v>2204</v>
      </c>
      <c r="AA449" t="s">
        <v>2205</v>
      </c>
      <c r="AB449" t="s">
        <v>643</v>
      </c>
      <c r="AC449" s="3" t="str">
        <f>"30004"</f>
        <v>30004</v>
      </c>
      <c r="AD449" t="s">
        <v>128</v>
      </c>
      <c r="AE449" t="s">
        <v>643</v>
      </c>
      <c r="AF449" s="4">
        <v>17707409739</v>
      </c>
      <c r="AH449" t="str">
        <f>"56173"</f>
        <v>56173</v>
      </c>
      <c r="AI449" t="s">
        <v>287</v>
      </c>
      <c r="AJ449" t="s">
        <v>2209</v>
      </c>
      <c r="AK449" t="s">
        <v>1459</v>
      </c>
      <c r="AL449" t="s">
        <v>2210</v>
      </c>
      <c r="AM449" t="s">
        <v>2211</v>
      </c>
      <c r="AN449" t="s">
        <v>788</v>
      </c>
      <c r="AO449" t="s">
        <v>2212</v>
      </c>
      <c r="AP449" t="s">
        <v>400</v>
      </c>
      <c r="AQ449" s="5">
        <v>75033</v>
      </c>
      <c r="AR449" t="s">
        <v>128</v>
      </c>
      <c r="AT449" s="4">
        <v>19727789690</v>
      </c>
      <c r="AV449" t="s">
        <v>2213</v>
      </c>
      <c r="AW449" t="s">
        <v>2214</v>
      </c>
      <c r="AX449" t="s">
        <v>131</v>
      </c>
      <c r="AY449" t="s">
        <v>131</v>
      </c>
      <c r="AZ449" t="s">
        <v>131</v>
      </c>
      <c r="BA449" t="s">
        <v>131</v>
      </c>
      <c r="BB449" t="s">
        <v>131</v>
      </c>
      <c r="BC449" t="s">
        <v>131</v>
      </c>
      <c r="BD449" t="s">
        <v>131</v>
      </c>
      <c r="BE449" t="s">
        <v>132</v>
      </c>
      <c r="BH449" t="s">
        <v>2215</v>
      </c>
      <c r="BI449" t="s">
        <v>131</v>
      </c>
      <c r="BL449" t="s">
        <v>167</v>
      </c>
      <c r="BO449" t="s">
        <v>131</v>
      </c>
      <c r="BP449" t="s">
        <v>134</v>
      </c>
      <c r="BQ449" t="s">
        <v>131</v>
      </c>
      <c r="BS449" t="str">
        <f t="shared" si="30"/>
        <v>N/A</v>
      </c>
      <c r="BT449" t="s">
        <v>135</v>
      </c>
      <c r="BU449">
        <v>1</v>
      </c>
      <c r="BV449" t="str">
        <f>"Landscape Laborer"</f>
        <v>Landscape Laborer</v>
      </c>
      <c r="BW449" t="s">
        <v>135</v>
      </c>
      <c r="BX449" t="str">
        <f>""</f>
        <v/>
      </c>
      <c r="BY449" t="str">
        <f>""</f>
        <v/>
      </c>
      <c r="BZ449" t="str">
        <f>""</f>
        <v/>
      </c>
      <c r="CA449" t="str">
        <f>"Must complete employment application. Must be able to work weekends and holidays as required. Must be able to lift, pull, push 50 lbs. "</f>
        <v xml:space="preserve">Must complete employment application. Must be able to work weekends and holidays as required. Must be able to lift, pull, push 50 lbs. </v>
      </c>
      <c r="CB449" t="s">
        <v>131</v>
      </c>
      <c r="CF449" t="s">
        <v>131</v>
      </c>
      <c r="CH449" t="str">
        <f>""</f>
        <v/>
      </c>
      <c r="CI449" t="s">
        <v>131</v>
      </c>
      <c r="CK449" t="s">
        <v>131</v>
      </c>
      <c r="CL449" t="str">
        <f>""</f>
        <v/>
      </c>
      <c r="CM449" t="str">
        <f>""</f>
        <v/>
      </c>
      <c r="CN449" t="str">
        <f>""</f>
        <v/>
      </c>
      <c r="CO449" t="str">
        <f>""</f>
        <v/>
      </c>
      <c r="CP449" t="str">
        <f>"37-3011.00"</f>
        <v>37-3011.00</v>
      </c>
      <c r="CQ449" t="s">
        <v>920</v>
      </c>
      <c r="CS449" t="s">
        <v>135</v>
      </c>
      <c r="CT449" t="s">
        <v>2216</v>
      </c>
      <c r="CU449" t="s">
        <v>2217</v>
      </c>
      <c r="CW449" t="s">
        <v>735</v>
      </c>
      <c r="CX449" t="s">
        <v>643</v>
      </c>
      <c r="CZ449" s="3" t="str">
        <f>"30004"</f>
        <v>30004</v>
      </c>
      <c r="DA449" t="s">
        <v>135</v>
      </c>
      <c r="DB449" t="str">
        <f>"37-3011"</f>
        <v>37-3011</v>
      </c>
      <c r="DC449" t="s">
        <v>920</v>
      </c>
      <c r="DD449" t="s">
        <v>134</v>
      </c>
      <c r="DE449" t="s">
        <v>134</v>
      </c>
      <c r="DF449" t="str">
        <f>""</f>
        <v/>
      </c>
      <c r="DH449" s="6">
        <v>14.72</v>
      </c>
      <c r="DI449" t="s">
        <v>344</v>
      </c>
      <c r="DK449" t="s">
        <v>345</v>
      </c>
      <c r="DR449" t="s">
        <v>2218</v>
      </c>
      <c r="DS449" s="6">
        <v>14.72</v>
      </c>
      <c r="DT449" s="2" t="s">
        <v>2219</v>
      </c>
      <c r="DU449" s="1">
        <v>44356</v>
      </c>
      <c r="DV449" s="1">
        <v>44445</v>
      </c>
    </row>
    <row r="450" spans="1:126" ht="15" customHeight="1" x14ac:dyDescent="0.35">
      <c r="A450" t="s">
        <v>10309</v>
      </c>
      <c r="B450" t="s">
        <v>318</v>
      </c>
      <c r="C450" s="1">
        <v>44329</v>
      </c>
      <c r="D450" s="1">
        <v>44356</v>
      </c>
      <c r="H450" t="s">
        <v>319</v>
      </c>
      <c r="I450" t="s">
        <v>10310</v>
      </c>
      <c r="J450" t="s">
        <v>473</v>
      </c>
      <c r="L450" t="s">
        <v>8565</v>
      </c>
      <c r="M450" t="s">
        <v>10311</v>
      </c>
      <c r="N450" t="s">
        <v>2136</v>
      </c>
      <c r="O450" t="s">
        <v>1220</v>
      </c>
      <c r="P450" t="s">
        <v>1217</v>
      </c>
      <c r="Q450" s="3">
        <v>35811</v>
      </c>
      <c r="R450" t="s">
        <v>128</v>
      </c>
      <c r="T450" s="4">
        <v>12568512776</v>
      </c>
      <c r="V450" t="s">
        <v>10312</v>
      </c>
      <c r="W450" t="s">
        <v>10313</v>
      </c>
      <c r="Y450" t="s">
        <v>10311</v>
      </c>
      <c r="Z450" t="s">
        <v>2136</v>
      </c>
      <c r="AA450" t="s">
        <v>1220</v>
      </c>
      <c r="AB450" t="s">
        <v>1218</v>
      </c>
      <c r="AC450" s="3" t="str">
        <f>"35811"</f>
        <v>35811</v>
      </c>
      <c r="AD450" t="s">
        <v>128</v>
      </c>
      <c r="AF450" s="4">
        <v>12568512776</v>
      </c>
      <c r="AH450" t="str">
        <f>"56173"</f>
        <v>56173</v>
      </c>
      <c r="AI450" t="s">
        <v>287</v>
      </c>
      <c r="AJ450" t="s">
        <v>2209</v>
      </c>
      <c r="AK450" t="s">
        <v>1459</v>
      </c>
      <c r="AL450" t="s">
        <v>2210</v>
      </c>
      <c r="AM450" t="s">
        <v>2211</v>
      </c>
      <c r="AN450" t="s">
        <v>788</v>
      </c>
      <c r="AO450" t="s">
        <v>2212</v>
      </c>
      <c r="AP450" t="s">
        <v>400</v>
      </c>
      <c r="AQ450" s="5">
        <v>75033</v>
      </c>
      <c r="AR450" t="s">
        <v>128</v>
      </c>
      <c r="AT450" s="4">
        <v>19727789690</v>
      </c>
      <c r="AV450" t="s">
        <v>2213</v>
      </c>
      <c r="AW450" t="s">
        <v>2214</v>
      </c>
      <c r="AX450" t="s">
        <v>131</v>
      </c>
      <c r="AY450" t="s">
        <v>131</v>
      </c>
      <c r="AZ450" t="s">
        <v>131</v>
      </c>
      <c r="BA450" t="s">
        <v>131</v>
      </c>
      <c r="BB450" t="s">
        <v>131</v>
      </c>
      <c r="BC450" t="s">
        <v>131</v>
      </c>
      <c r="BD450" t="s">
        <v>131</v>
      </c>
      <c r="BE450" t="s">
        <v>132</v>
      </c>
      <c r="BH450" t="s">
        <v>2215</v>
      </c>
      <c r="BI450" t="s">
        <v>131</v>
      </c>
      <c r="BL450" t="s">
        <v>167</v>
      </c>
      <c r="BO450" t="s">
        <v>131</v>
      </c>
      <c r="BP450" t="s">
        <v>134</v>
      </c>
      <c r="BQ450" t="s">
        <v>131</v>
      </c>
      <c r="BS450" t="str">
        <f t="shared" ref="BS450:BS513" si="39">"N/A"</f>
        <v>N/A</v>
      </c>
      <c r="BT450" t="s">
        <v>135</v>
      </c>
      <c r="BU450">
        <v>1</v>
      </c>
      <c r="BV450" t="str">
        <f>"Landscape Laborer"</f>
        <v>Landscape Laborer</v>
      </c>
      <c r="BW450" t="s">
        <v>135</v>
      </c>
      <c r="BX450" t="str">
        <f>""</f>
        <v/>
      </c>
      <c r="BY450" t="str">
        <f>""</f>
        <v/>
      </c>
      <c r="BZ450" t="str">
        <f>""</f>
        <v/>
      </c>
      <c r="CA450" t="str">
        <f>"Must complete employment application. Must be able to work weekends and holidays as required. Must be able to lift 60 lbs. "</f>
        <v xml:space="preserve">Must complete employment application. Must be able to work weekends and holidays as required. Must be able to lift 60 lbs. </v>
      </c>
      <c r="CB450" t="s">
        <v>131</v>
      </c>
      <c r="CF450" t="s">
        <v>131</v>
      </c>
      <c r="CH450" t="str">
        <f>""</f>
        <v/>
      </c>
      <c r="CI450" t="s">
        <v>131</v>
      </c>
      <c r="CK450" t="s">
        <v>131</v>
      </c>
      <c r="CL450" t="str">
        <f>""</f>
        <v/>
      </c>
      <c r="CM450" t="str">
        <f>""</f>
        <v/>
      </c>
      <c r="CN450" t="str">
        <f>""</f>
        <v/>
      </c>
      <c r="CO450" t="str">
        <f>""</f>
        <v/>
      </c>
      <c r="CP450" t="str">
        <f>"37-3011.00"</f>
        <v>37-3011.00</v>
      </c>
      <c r="CQ450" t="s">
        <v>920</v>
      </c>
      <c r="CS450" t="s">
        <v>135</v>
      </c>
      <c r="CT450" t="s">
        <v>2216</v>
      </c>
      <c r="CU450" t="s">
        <v>10311</v>
      </c>
      <c r="CV450" t="s">
        <v>2136</v>
      </c>
      <c r="CW450" t="s">
        <v>1220</v>
      </c>
      <c r="CX450" t="s">
        <v>1218</v>
      </c>
      <c r="CZ450" s="3" t="str">
        <f>"35811"</f>
        <v>35811</v>
      </c>
      <c r="DA450" t="s">
        <v>135</v>
      </c>
      <c r="DB450" t="str">
        <f>"37-3011"</f>
        <v>37-3011</v>
      </c>
      <c r="DC450" t="s">
        <v>920</v>
      </c>
      <c r="DD450" t="s">
        <v>134</v>
      </c>
      <c r="DE450" t="s">
        <v>134</v>
      </c>
      <c r="DF450" t="str">
        <f>""</f>
        <v/>
      </c>
      <c r="DH450" s="6">
        <v>13.87</v>
      </c>
      <c r="DI450" t="s">
        <v>344</v>
      </c>
      <c r="DK450" t="s">
        <v>345</v>
      </c>
      <c r="DR450" t="s">
        <v>10314</v>
      </c>
      <c r="DS450" s="6">
        <v>14.04</v>
      </c>
      <c r="DT450" s="2" t="s">
        <v>2219</v>
      </c>
      <c r="DU450" s="1">
        <v>44356</v>
      </c>
      <c r="DV450" s="1">
        <v>44445</v>
      </c>
    </row>
    <row r="451" spans="1:126" ht="15" customHeight="1" x14ac:dyDescent="0.35">
      <c r="A451" t="s">
        <v>16634</v>
      </c>
      <c r="B451" t="s">
        <v>318</v>
      </c>
      <c r="C451" s="1">
        <v>44329</v>
      </c>
      <c r="D451" s="1">
        <v>44356</v>
      </c>
      <c r="H451" t="s">
        <v>319</v>
      </c>
      <c r="I451" t="s">
        <v>16635</v>
      </c>
      <c r="J451" t="s">
        <v>16636</v>
      </c>
      <c r="L451" t="s">
        <v>1105</v>
      </c>
      <c r="M451" t="s">
        <v>16637</v>
      </c>
      <c r="O451" t="s">
        <v>11168</v>
      </c>
      <c r="P451" t="s">
        <v>441</v>
      </c>
      <c r="Q451" s="3">
        <v>43004</v>
      </c>
      <c r="R451" t="s">
        <v>128</v>
      </c>
      <c r="T451" s="4">
        <v>16148635400</v>
      </c>
      <c r="V451" t="s">
        <v>16638</v>
      </c>
      <c r="W451" t="s">
        <v>16639</v>
      </c>
      <c r="Y451" t="s">
        <v>16640</v>
      </c>
      <c r="Z451" t="s">
        <v>15088</v>
      </c>
      <c r="AA451" t="s">
        <v>11169</v>
      </c>
      <c r="AB451" t="s">
        <v>444</v>
      </c>
      <c r="AC451" s="3" t="str">
        <f>"43004"</f>
        <v>43004</v>
      </c>
      <c r="AD451" t="s">
        <v>128</v>
      </c>
      <c r="AF451" s="4">
        <v>16148635400</v>
      </c>
      <c r="AH451" t="str">
        <f>"56173"</f>
        <v>56173</v>
      </c>
      <c r="AI451" t="s">
        <v>287</v>
      </c>
      <c r="AJ451" t="s">
        <v>2209</v>
      </c>
      <c r="AK451" t="s">
        <v>1459</v>
      </c>
      <c r="AL451" t="s">
        <v>2210</v>
      </c>
      <c r="AM451" t="s">
        <v>2211</v>
      </c>
      <c r="AN451" t="s">
        <v>788</v>
      </c>
      <c r="AO451" t="s">
        <v>2212</v>
      </c>
      <c r="AP451" t="s">
        <v>400</v>
      </c>
      <c r="AQ451" s="5">
        <v>75033</v>
      </c>
      <c r="AR451" t="s">
        <v>128</v>
      </c>
      <c r="AT451" s="4">
        <v>19727789690</v>
      </c>
      <c r="AV451" t="s">
        <v>2213</v>
      </c>
      <c r="AW451" t="s">
        <v>2214</v>
      </c>
      <c r="AX451" t="s">
        <v>131</v>
      </c>
      <c r="AY451" t="s">
        <v>131</v>
      </c>
      <c r="AZ451" t="s">
        <v>131</v>
      </c>
      <c r="BA451" t="s">
        <v>131</v>
      </c>
      <c r="BB451" t="s">
        <v>131</v>
      </c>
      <c r="BC451" t="s">
        <v>131</v>
      </c>
      <c r="BD451" t="s">
        <v>131</v>
      </c>
      <c r="BE451" t="s">
        <v>132</v>
      </c>
      <c r="BH451" t="s">
        <v>2215</v>
      </c>
      <c r="BI451" t="s">
        <v>131</v>
      </c>
      <c r="BL451" t="s">
        <v>167</v>
      </c>
      <c r="BO451" t="s">
        <v>131</v>
      </c>
      <c r="BP451" t="s">
        <v>134</v>
      </c>
      <c r="BQ451" t="s">
        <v>131</v>
      </c>
      <c r="BS451" t="str">
        <f t="shared" si="39"/>
        <v>N/A</v>
      </c>
      <c r="BT451" t="s">
        <v>131</v>
      </c>
      <c r="BV451" t="str">
        <f>""</f>
        <v/>
      </c>
      <c r="BW451" t="s">
        <v>135</v>
      </c>
      <c r="BX451" t="str">
        <f>""</f>
        <v/>
      </c>
      <c r="BY451" t="str">
        <f>""</f>
        <v/>
      </c>
      <c r="BZ451" t="str">
        <f>""</f>
        <v/>
      </c>
      <c r="CA451" t="str">
        <f>"Must complete employment application. Must be able to work weekends and holidays as required. Must be able to lift, pull, push 50 lbs. "</f>
        <v xml:space="preserve">Must complete employment application. Must be able to work weekends and holidays as required. Must be able to lift, pull, push 50 lbs. </v>
      </c>
      <c r="CB451" t="s">
        <v>131</v>
      </c>
      <c r="CF451" t="s">
        <v>131</v>
      </c>
      <c r="CH451" t="str">
        <f>""</f>
        <v/>
      </c>
      <c r="CI451" t="s">
        <v>131</v>
      </c>
      <c r="CK451" t="s">
        <v>131</v>
      </c>
      <c r="CL451" t="str">
        <f>""</f>
        <v/>
      </c>
      <c r="CM451" t="str">
        <f>""</f>
        <v/>
      </c>
      <c r="CN451" t="str">
        <f>""</f>
        <v/>
      </c>
      <c r="CO451" t="str">
        <f>""</f>
        <v/>
      </c>
      <c r="CP451" t="str">
        <f>"37-3011.00"</f>
        <v>37-3011.00</v>
      </c>
      <c r="CQ451" t="s">
        <v>920</v>
      </c>
      <c r="CS451" t="s">
        <v>135</v>
      </c>
      <c r="CT451" t="s">
        <v>16641</v>
      </c>
      <c r="CU451" t="s">
        <v>16642</v>
      </c>
      <c r="CV451" t="s">
        <v>15088</v>
      </c>
      <c r="CW451" t="s">
        <v>11168</v>
      </c>
      <c r="CX451" t="s">
        <v>444</v>
      </c>
      <c r="CZ451" s="3" t="str">
        <f>"43004"</f>
        <v>43004</v>
      </c>
      <c r="DA451" t="s">
        <v>135</v>
      </c>
      <c r="DB451" t="str">
        <f>"37-3011"</f>
        <v>37-3011</v>
      </c>
      <c r="DC451" t="s">
        <v>920</v>
      </c>
      <c r="DD451" t="s">
        <v>134</v>
      </c>
      <c r="DE451" t="s">
        <v>134</v>
      </c>
      <c r="DF451" t="str">
        <f>""</f>
        <v/>
      </c>
      <c r="DH451" s="6">
        <v>15.18</v>
      </c>
      <c r="DI451" t="s">
        <v>344</v>
      </c>
      <c r="DK451" t="s">
        <v>345</v>
      </c>
      <c r="DR451" t="s">
        <v>14142</v>
      </c>
      <c r="DS451" s="6">
        <v>15.18</v>
      </c>
      <c r="DT451" s="2" t="s">
        <v>2219</v>
      </c>
      <c r="DU451" s="1">
        <v>44356</v>
      </c>
      <c r="DV451" s="1">
        <v>44445</v>
      </c>
    </row>
    <row r="452" spans="1:126" ht="15" customHeight="1" x14ac:dyDescent="0.35">
      <c r="A452" t="s">
        <v>12029</v>
      </c>
      <c r="B452" t="s">
        <v>318</v>
      </c>
      <c r="C452" s="1">
        <v>44329</v>
      </c>
      <c r="D452" s="1">
        <v>44356</v>
      </c>
      <c r="H452" t="s">
        <v>319</v>
      </c>
      <c r="I452" t="s">
        <v>12030</v>
      </c>
      <c r="J452" t="s">
        <v>2041</v>
      </c>
      <c r="K452" t="s">
        <v>730</v>
      </c>
      <c r="L452" t="s">
        <v>1105</v>
      </c>
      <c r="M452" t="s">
        <v>5780</v>
      </c>
      <c r="O452" t="s">
        <v>3874</v>
      </c>
      <c r="P452" t="s">
        <v>1760</v>
      </c>
      <c r="Q452" s="3">
        <v>70806</v>
      </c>
      <c r="R452" t="s">
        <v>128</v>
      </c>
      <c r="T452" s="4">
        <v>12254133501</v>
      </c>
      <c r="V452" t="s">
        <v>12031</v>
      </c>
      <c r="W452" t="s">
        <v>12032</v>
      </c>
      <c r="Y452" t="s">
        <v>5780</v>
      </c>
      <c r="AA452" t="s">
        <v>3874</v>
      </c>
      <c r="AB452" t="s">
        <v>1763</v>
      </c>
      <c r="AC452" s="3" t="str">
        <f>"70806"</f>
        <v>70806</v>
      </c>
      <c r="AD452" t="s">
        <v>128</v>
      </c>
      <c r="AF452" s="4">
        <v>12254133501</v>
      </c>
      <c r="AH452" t="str">
        <f>"56173"</f>
        <v>56173</v>
      </c>
      <c r="AI452" t="s">
        <v>287</v>
      </c>
      <c r="AJ452" t="s">
        <v>2304</v>
      </c>
      <c r="AK452" t="s">
        <v>5773</v>
      </c>
      <c r="AL452" t="s">
        <v>589</v>
      </c>
      <c r="AM452" t="s">
        <v>5774</v>
      </c>
      <c r="AN452" t="s">
        <v>5775</v>
      </c>
      <c r="AO452" t="s">
        <v>5776</v>
      </c>
      <c r="AP452" t="s">
        <v>1763</v>
      </c>
      <c r="AQ452" s="5">
        <v>70754</v>
      </c>
      <c r="AR452" t="s">
        <v>128</v>
      </c>
      <c r="AS452" t="s">
        <v>1763</v>
      </c>
      <c r="AT452" s="4">
        <v>12256863033</v>
      </c>
      <c r="AV452" t="s">
        <v>5777</v>
      </c>
      <c r="AW452" t="s">
        <v>5778</v>
      </c>
      <c r="AX452" t="s">
        <v>131</v>
      </c>
      <c r="AY452" t="s">
        <v>131</v>
      </c>
      <c r="AZ452" t="s">
        <v>131</v>
      </c>
      <c r="BA452" t="s">
        <v>131</v>
      </c>
      <c r="BB452" t="s">
        <v>131</v>
      </c>
      <c r="BC452" t="s">
        <v>131</v>
      </c>
      <c r="BD452" t="s">
        <v>131</v>
      </c>
      <c r="BE452" t="s">
        <v>132</v>
      </c>
      <c r="BH452" t="s">
        <v>7514</v>
      </c>
      <c r="BI452" t="s">
        <v>131</v>
      </c>
      <c r="BL452" t="s">
        <v>167</v>
      </c>
      <c r="BO452" t="s">
        <v>131</v>
      </c>
      <c r="BP452" t="s">
        <v>134</v>
      </c>
      <c r="BQ452" t="s">
        <v>131</v>
      </c>
      <c r="BS452" t="str">
        <f t="shared" si="39"/>
        <v>N/A</v>
      </c>
      <c r="BT452" t="s">
        <v>131</v>
      </c>
      <c r="BV452" t="str">
        <f>""</f>
        <v/>
      </c>
      <c r="BW452" t="s">
        <v>135</v>
      </c>
      <c r="BX452" t="str">
        <f>""</f>
        <v/>
      </c>
      <c r="BY452" t="str">
        <f>""</f>
        <v/>
      </c>
      <c r="BZ452" t="str">
        <f>""</f>
        <v/>
      </c>
      <c r="CA452" s="2" t="s">
        <v>12033</v>
      </c>
      <c r="CB452" t="s">
        <v>131</v>
      </c>
      <c r="CF452" t="s">
        <v>131</v>
      </c>
      <c r="CH452" t="str">
        <f>""</f>
        <v/>
      </c>
      <c r="CI452" t="s">
        <v>131</v>
      </c>
      <c r="CK452" t="s">
        <v>131</v>
      </c>
      <c r="CL452" t="str">
        <f>""</f>
        <v/>
      </c>
      <c r="CM452" t="str">
        <f>""</f>
        <v/>
      </c>
      <c r="CN452" t="str">
        <f>""</f>
        <v/>
      </c>
      <c r="CO452" t="str">
        <f>""</f>
        <v/>
      </c>
      <c r="CP452" t="str">
        <f>"37-3011.00"</f>
        <v>37-3011.00</v>
      </c>
      <c r="CQ452" t="s">
        <v>920</v>
      </c>
      <c r="CS452" t="s">
        <v>135</v>
      </c>
      <c r="CT452" t="s">
        <v>5779</v>
      </c>
      <c r="CU452" t="s">
        <v>12034</v>
      </c>
      <c r="CW452" t="s">
        <v>12035</v>
      </c>
      <c r="CX452" t="s">
        <v>1763</v>
      </c>
      <c r="CZ452" s="3" t="str">
        <f>"70806"</f>
        <v>70806</v>
      </c>
      <c r="DA452" t="s">
        <v>135</v>
      </c>
      <c r="DB452" t="str">
        <f>"37-3011"</f>
        <v>37-3011</v>
      </c>
      <c r="DC452" t="s">
        <v>920</v>
      </c>
      <c r="DD452" t="s">
        <v>134</v>
      </c>
      <c r="DE452" t="s">
        <v>134</v>
      </c>
      <c r="DF452" t="str">
        <f>""</f>
        <v/>
      </c>
      <c r="DH452" s="6">
        <v>14.59</v>
      </c>
      <c r="DI452" t="s">
        <v>344</v>
      </c>
      <c r="DK452" t="s">
        <v>345</v>
      </c>
      <c r="DR452" t="s">
        <v>3877</v>
      </c>
      <c r="DS452" s="6">
        <v>14.59</v>
      </c>
      <c r="DT452" s="2" t="s">
        <v>2219</v>
      </c>
      <c r="DU452" s="1">
        <v>44356</v>
      </c>
      <c r="DV452" s="1">
        <v>44445</v>
      </c>
    </row>
    <row r="453" spans="1:126" ht="15" customHeight="1" x14ac:dyDescent="0.35">
      <c r="A453" t="s">
        <v>15040</v>
      </c>
      <c r="B453" t="s">
        <v>318</v>
      </c>
      <c r="C453" s="1">
        <v>44329</v>
      </c>
      <c r="D453" s="1">
        <v>44357</v>
      </c>
      <c r="H453" t="s">
        <v>319</v>
      </c>
      <c r="I453" t="s">
        <v>15041</v>
      </c>
      <c r="J453" t="s">
        <v>260</v>
      </c>
      <c r="K453" t="s">
        <v>15042</v>
      </c>
      <c r="L453" t="s">
        <v>15043</v>
      </c>
      <c r="M453" t="s">
        <v>15044</v>
      </c>
      <c r="O453" t="s">
        <v>15045</v>
      </c>
      <c r="P453" t="s">
        <v>256</v>
      </c>
      <c r="Q453" s="3">
        <v>63368</v>
      </c>
      <c r="R453" t="s">
        <v>128</v>
      </c>
      <c r="T453" s="4">
        <v>16365777581</v>
      </c>
      <c r="V453" t="s">
        <v>15046</v>
      </c>
      <c r="W453" t="s">
        <v>15047</v>
      </c>
      <c r="Y453" t="s">
        <v>15048</v>
      </c>
      <c r="AA453" t="s">
        <v>15045</v>
      </c>
      <c r="AB453" t="s">
        <v>258</v>
      </c>
      <c r="AC453" s="3" t="str">
        <f>"63368"</f>
        <v>63368</v>
      </c>
      <c r="AD453" t="s">
        <v>128</v>
      </c>
      <c r="AF453" s="4">
        <v>16365777581</v>
      </c>
      <c r="AH453" t="str">
        <f>"8141"</f>
        <v>8141</v>
      </c>
      <c r="AI453" t="s">
        <v>167</v>
      </c>
      <c r="AX453" t="s">
        <v>131</v>
      </c>
      <c r="AY453" t="s">
        <v>131</v>
      </c>
      <c r="AZ453" t="s">
        <v>131</v>
      </c>
      <c r="BA453" t="s">
        <v>131</v>
      </c>
      <c r="BB453" t="s">
        <v>131</v>
      </c>
      <c r="BC453" t="s">
        <v>131</v>
      </c>
      <c r="BD453" t="s">
        <v>131</v>
      </c>
      <c r="BE453" t="s">
        <v>160</v>
      </c>
      <c r="BF453" t="s">
        <v>15049</v>
      </c>
      <c r="BG453" s="1">
        <v>44013</v>
      </c>
      <c r="BH453" t="s">
        <v>15050</v>
      </c>
      <c r="BI453" t="s">
        <v>131</v>
      </c>
      <c r="BL453" t="s">
        <v>167</v>
      </c>
      <c r="BO453" t="s">
        <v>131</v>
      </c>
      <c r="BP453" t="s">
        <v>134</v>
      </c>
      <c r="BQ453" t="s">
        <v>131</v>
      </c>
      <c r="BS453" t="str">
        <f t="shared" si="39"/>
        <v>N/A</v>
      </c>
      <c r="BT453" t="s">
        <v>131</v>
      </c>
      <c r="BV453" t="str">
        <f>""</f>
        <v/>
      </c>
      <c r="BW453" t="s">
        <v>131</v>
      </c>
      <c r="BX453" t="str">
        <f>""</f>
        <v/>
      </c>
      <c r="BY453" t="str">
        <f>""</f>
        <v/>
      </c>
      <c r="BZ453" t="str">
        <f>""</f>
        <v/>
      </c>
      <c r="CA453" t="str">
        <f>""</f>
        <v/>
      </c>
      <c r="CB453" t="s">
        <v>131</v>
      </c>
      <c r="CF453" t="s">
        <v>131</v>
      </c>
      <c r="CH453" t="str">
        <f>""</f>
        <v/>
      </c>
      <c r="CI453" t="s">
        <v>131</v>
      </c>
      <c r="CK453" t="s">
        <v>131</v>
      </c>
      <c r="CL453" t="str">
        <f>""</f>
        <v/>
      </c>
      <c r="CM453" t="str">
        <f>""</f>
        <v/>
      </c>
      <c r="CN453" t="str">
        <f>""</f>
        <v/>
      </c>
      <c r="CO453" t="str">
        <f>""</f>
        <v/>
      </c>
      <c r="CP453" t="str">
        <f>"39-9021.00"</f>
        <v>39-9021.00</v>
      </c>
      <c r="CQ453" t="s">
        <v>2708</v>
      </c>
      <c r="CR453" t="s">
        <v>2708</v>
      </c>
      <c r="CS453" t="s">
        <v>131</v>
      </c>
      <c r="CU453" t="s">
        <v>15044</v>
      </c>
      <c r="CW453" t="s">
        <v>15045</v>
      </c>
      <c r="CX453" t="s">
        <v>258</v>
      </c>
      <c r="CZ453" s="3" t="str">
        <f>"63368"</f>
        <v>63368</v>
      </c>
      <c r="DA453" t="s">
        <v>131</v>
      </c>
      <c r="DB453" t="str">
        <f>"39-9021"</f>
        <v>39-9021</v>
      </c>
      <c r="DC453" t="s">
        <v>2708</v>
      </c>
      <c r="DD453" t="s">
        <v>134</v>
      </c>
      <c r="DE453" t="s">
        <v>134</v>
      </c>
      <c r="DF453" t="str">
        <f>""</f>
        <v/>
      </c>
      <c r="DH453" s="6">
        <v>12.48</v>
      </c>
      <c r="DI453" t="s">
        <v>344</v>
      </c>
      <c r="DK453" t="s">
        <v>345</v>
      </c>
      <c r="DS453" s="6">
        <v>12.48</v>
      </c>
      <c r="DT453" s="2" t="s">
        <v>15051</v>
      </c>
      <c r="DU453" s="1">
        <v>44357</v>
      </c>
      <c r="DV453" s="1">
        <v>44446</v>
      </c>
    </row>
    <row r="454" spans="1:126" ht="15" customHeight="1" x14ac:dyDescent="0.35">
      <c r="A454" t="s">
        <v>19108</v>
      </c>
      <c r="B454" t="s">
        <v>318</v>
      </c>
      <c r="C454" s="1">
        <v>44329</v>
      </c>
      <c r="D454" s="1">
        <v>44356</v>
      </c>
      <c r="H454" t="s">
        <v>319</v>
      </c>
      <c r="I454" t="s">
        <v>19109</v>
      </c>
      <c r="J454" t="s">
        <v>301</v>
      </c>
      <c r="L454" t="s">
        <v>395</v>
      </c>
      <c r="M454" t="s">
        <v>19110</v>
      </c>
      <c r="N454" t="s">
        <v>2377</v>
      </c>
      <c r="O454" t="s">
        <v>12240</v>
      </c>
      <c r="P454" t="s">
        <v>412</v>
      </c>
      <c r="Q454" s="3">
        <v>76110</v>
      </c>
      <c r="R454" t="s">
        <v>128</v>
      </c>
      <c r="T454" s="4">
        <v>18178316700</v>
      </c>
      <c r="V454" t="s">
        <v>19111</v>
      </c>
      <c r="W454" t="s">
        <v>19112</v>
      </c>
      <c r="X454" t="s">
        <v>19113</v>
      </c>
      <c r="Y454" t="s">
        <v>19114</v>
      </c>
      <c r="Z454" t="s">
        <v>2377</v>
      </c>
      <c r="AA454" t="s">
        <v>12240</v>
      </c>
      <c r="AB454" t="s">
        <v>400</v>
      </c>
      <c r="AC454" s="3" t="str">
        <f>"76110"</f>
        <v>76110</v>
      </c>
      <c r="AD454" t="s">
        <v>128</v>
      </c>
      <c r="AF454" s="4">
        <v>18178316700</v>
      </c>
      <c r="AH454" t="str">
        <f>"238220"</f>
        <v>238220</v>
      </c>
      <c r="AI454" t="s">
        <v>167</v>
      </c>
      <c r="AX454" t="s">
        <v>131</v>
      </c>
      <c r="AY454" t="s">
        <v>131</v>
      </c>
      <c r="AZ454" t="s">
        <v>131</v>
      </c>
      <c r="BA454" t="s">
        <v>131</v>
      </c>
      <c r="BB454" t="s">
        <v>131</v>
      </c>
      <c r="BC454" t="s">
        <v>131</v>
      </c>
      <c r="BD454" t="s">
        <v>131</v>
      </c>
      <c r="BE454" t="s">
        <v>132</v>
      </c>
      <c r="BH454" t="s">
        <v>19115</v>
      </c>
      <c r="BI454" t="s">
        <v>131</v>
      </c>
      <c r="BL454" t="s">
        <v>167</v>
      </c>
      <c r="BO454" t="s">
        <v>131</v>
      </c>
      <c r="BP454" t="s">
        <v>134</v>
      </c>
      <c r="BQ454" t="s">
        <v>131</v>
      </c>
      <c r="BS454" t="str">
        <f t="shared" si="39"/>
        <v>N/A</v>
      </c>
      <c r="BT454" t="s">
        <v>131</v>
      </c>
      <c r="BV454" t="str">
        <f>""</f>
        <v/>
      </c>
      <c r="BW454" t="s">
        <v>131</v>
      </c>
      <c r="BX454" t="str">
        <f>""</f>
        <v/>
      </c>
      <c r="BY454" t="str">
        <f>""</f>
        <v/>
      </c>
      <c r="BZ454" t="str">
        <f>""</f>
        <v/>
      </c>
      <c r="CA454" t="str">
        <f>""</f>
        <v/>
      </c>
      <c r="CB454" t="s">
        <v>131</v>
      </c>
      <c r="CF454" t="s">
        <v>131</v>
      </c>
      <c r="CH454" t="str">
        <f>""</f>
        <v/>
      </c>
      <c r="CI454" t="s">
        <v>131</v>
      </c>
      <c r="CK454" t="s">
        <v>131</v>
      </c>
      <c r="CL454" t="str">
        <f>""</f>
        <v/>
      </c>
      <c r="CM454" t="str">
        <f>""</f>
        <v/>
      </c>
      <c r="CN454" t="str">
        <f>""</f>
        <v/>
      </c>
      <c r="CO454" t="str">
        <f>""</f>
        <v/>
      </c>
      <c r="CP454" t="str">
        <f>"49-9021.01"</f>
        <v>49-9021.01</v>
      </c>
      <c r="CQ454" t="s">
        <v>11245</v>
      </c>
      <c r="CR454" t="s">
        <v>918</v>
      </c>
      <c r="CS454" t="s">
        <v>135</v>
      </c>
      <c r="CT454" t="s">
        <v>19116</v>
      </c>
      <c r="CU454" t="s">
        <v>19114</v>
      </c>
      <c r="CV454" t="s">
        <v>2377</v>
      </c>
      <c r="CW454" t="s">
        <v>12240</v>
      </c>
      <c r="CX454" t="s">
        <v>400</v>
      </c>
      <c r="CZ454" s="3" t="str">
        <f>"76110"</f>
        <v>76110</v>
      </c>
      <c r="DA454" t="s">
        <v>135</v>
      </c>
      <c r="DB454" t="str">
        <f>"49-9021"</f>
        <v>49-9021</v>
      </c>
      <c r="DC454" t="s">
        <v>19117</v>
      </c>
      <c r="DD454" t="s">
        <v>11244</v>
      </c>
      <c r="DE454" t="s">
        <v>11245</v>
      </c>
      <c r="DF454" t="str">
        <f>""</f>
        <v/>
      </c>
      <c r="DH454" s="6">
        <v>22.46</v>
      </c>
      <c r="DI454" t="s">
        <v>344</v>
      </c>
      <c r="DK454" t="s">
        <v>345</v>
      </c>
      <c r="DS454" s="6">
        <v>22.46</v>
      </c>
      <c r="DT454" s="2" t="s">
        <v>2219</v>
      </c>
      <c r="DU454" s="1">
        <v>44356</v>
      </c>
      <c r="DV454" s="1">
        <v>44445</v>
      </c>
    </row>
    <row r="455" spans="1:126" ht="15" customHeight="1" x14ac:dyDescent="0.35">
      <c r="A455" t="s">
        <v>17771</v>
      </c>
      <c r="B455" t="s">
        <v>318</v>
      </c>
      <c r="C455" s="1">
        <v>44329</v>
      </c>
      <c r="D455" s="1">
        <v>44356</v>
      </c>
      <c r="H455" t="s">
        <v>319</v>
      </c>
      <c r="I455" t="s">
        <v>17772</v>
      </c>
      <c r="J455" t="s">
        <v>2295</v>
      </c>
      <c r="L455" t="s">
        <v>1205</v>
      </c>
      <c r="M455" t="s">
        <v>17773</v>
      </c>
      <c r="O455" t="s">
        <v>17774</v>
      </c>
      <c r="P455" t="s">
        <v>1217</v>
      </c>
      <c r="Q455" s="3">
        <v>36551</v>
      </c>
      <c r="R455" t="s">
        <v>128</v>
      </c>
      <c r="T455" s="4">
        <v>12519647440</v>
      </c>
      <c r="V455" t="s">
        <v>134</v>
      </c>
      <c r="W455" t="s">
        <v>17775</v>
      </c>
      <c r="Y455" t="s">
        <v>17773</v>
      </c>
      <c r="AA455" t="s">
        <v>17774</v>
      </c>
      <c r="AB455" t="s">
        <v>1218</v>
      </c>
      <c r="AC455" s="3" t="str">
        <f>"36551"</f>
        <v>36551</v>
      </c>
      <c r="AD455" t="s">
        <v>128</v>
      </c>
      <c r="AF455" s="4">
        <v>12519647440</v>
      </c>
      <c r="AH455" t="str">
        <f>"23814"</f>
        <v>23814</v>
      </c>
      <c r="AI455" t="s">
        <v>287</v>
      </c>
      <c r="AJ455" t="s">
        <v>414</v>
      </c>
      <c r="AK455" t="s">
        <v>301</v>
      </c>
      <c r="AL455" t="s">
        <v>415</v>
      </c>
      <c r="AM455" t="s">
        <v>416</v>
      </c>
      <c r="AN455" t="s">
        <v>417</v>
      </c>
      <c r="AO455" t="s">
        <v>399</v>
      </c>
      <c r="AP455" t="s">
        <v>400</v>
      </c>
      <c r="AQ455" s="5">
        <v>75231</v>
      </c>
      <c r="AR455" t="s">
        <v>128</v>
      </c>
      <c r="AT455" s="4">
        <v>12145265665</v>
      </c>
      <c r="AV455" t="s">
        <v>418</v>
      </c>
      <c r="AW455" t="s">
        <v>419</v>
      </c>
      <c r="AX455" t="s">
        <v>131</v>
      </c>
      <c r="AY455" t="s">
        <v>131</v>
      </c>
      <c r="AZ455" t="s">
        <v>131</v>
      </c>
      <c r="BA455" t="s">
        <v>131</v>
      </c>
      <c r="BB455" t="s">
        <v>131</v>
      </c>
      <c r="BC455" t="s">
        <v>131</v>
      </c>
      <c r="BD455" t="s">
        <v>131</v>
      </c>
      <c r="BE455" t="s">
        <v>132</v>
      </c>
      <c r="BH455" t="s">
        <v>420</v>
      </c>
      <c r="BI455" t="s">
        <v>131</v>
      </c>
      <c r="BL455" t="s">
        <v>167</v>
      </c>
      <c r="BO455" t="s">
        <v>131</v>
      </c>
      <c r="BP455" t="s">
        <v>134</v>
      </c>
      <c r="BQ455" t="s">
        <v>131</v>
      </c>
      <c r="BS455" t="str">
        <f t="shared" si="39"/>
        <v>N/A</v>
      </c>
      <c r="BT455" t="s">
        <v>135</v>
      </c>
      <c r="BU455">
        <v>3</v>
      </c>
      <c r="BV455" t="str">
        <f>"Brickmason"</f>
        <v>Brickmason</v>
      </c>
      <c r="BW455" t="s">
        <v>135</v>
      </c>
      <c r="BX455" t="str">
        <f>""</f>
        <v/>
      </c>
      <c r="BY455" t="str">
        <f>""</f>
        <v/>
      </c>
      <c r="BZ455" t="str">
        <f>""</f>
        <v/>
      </c>
      <c r="CA455" s="2" t="s">
        <v>17776</v>
      </c>
      <c r="CB455" t="s">
        <v>131</v>
      </c>
      <c r="CF455" t="s">
        <v>131</v>
      </c>
      <c r="CH455" t="str">
        <f>""</f>
        <v/>
      </c>
      <c r="CI455" t="s">
        <v>131</v>
      </c>
      <c r="CK455" t="s">
        <v>131</v>
      </c>
      <c r="CL455" t="str">
        <f>""</f>
        <v/>
      </c>
      <c r="CM455" t="str">
        <f>""</f>
        <v/>
      </c>
      <c r="CN455" t="str">
        <f>""</f>
        <v/>
      </c>
      <c r="CO455" t="str">
        <f>""</f>
        <v/>
      </c>
      <c r="CP455" t="str">
        <f>"47-2021.00"</f>
        <v>47-2021.00</v>
      </c>
      <c r="CQ455" t="s">
        <v>422</v>
      </c>
      <c r="CS455" t="s">
        <v>131</v>
      </c>
      <c r="CU455" t="s">
        <v>17777</v>
      </c>
      <c r="CW455" t="s">
        <v>17778</v>
      </c>
      <c r="CX455" t="s">
        <v>1218</v>
      </c>
      <c r="CZ455" s="3" t="str">
        <f>"35131"</f>
        <v>35131</v>
      </c>
      <c r="DA455" t="s">
        <v>131</v>
      </c>
      <c r="DB455" t="str">
        <f>"47-2021"</f>
        <v>47-2021</v>
      </c>
      <c r="DC455" t="s">
        <v>422</v>
      </c>
      <c r="DD455" t="s">
        <v>134</v>
      </c>
      <c r="DE455" t="s">
        <v>134</v>
      </c>
      <c r="DF455" t="str">
        <f>""</f>
        <v/>
      </c>
      <c r="DH455" s="6">
        <v>20.57</v>
      </c>
      <c r="DI455" t="s">
        <v>344</v>
      </c>
      <c r="DK455" t="s">
        <v>345</v>
      </c>
      <c r="DR455" t="s">
        <v>4161</v>
      </c>
      <c r="DS455" s="6">
        <v>20.57</v>
      </c>
      <c r="DT455" t="s">
        <v>424</v>
      </c>
      <c r="DU455" s="1">
        <v>44356</v>
      </c>
      <c r="DV455" s="1">
        <v>44445</v>
      </c>
    </row>
    <row r="456" spans="1:126" ht="15" customHeight="1" x14ac:dyDescent="0.35">
      <c r="A456" t="s">
        <v>14421</v>
      </c>
      <c r="B456" t="s">
        <v>318</v>
      </c>
      <c r="C456" s="1">
        <v>44329</v>
      </c>
      <c r="D456" s="1">
        <v>44356</v>
      </c>
      <c r="H456" t="s">
        <v>319</v>
      </c>
      <c r="I456" t="s">
        <v>13946</v>
      </c>
      <c r="J456" t="s">
        <v>14422</v>
      </c>
      <c r="L456" t="s">
        <v>1031</v>
      </c>
      <c r="M456" t="s">
        <v>14423</v>
      </c>
      <c r="O456" t="s">
        <v>3049</v>
      </c>
      <c r="P456" t="s">
        <v>778</v>
      </c>
      <c r="Q456" s="3">
        <v>38301</v>
      </c>
      <c r="R456" t="s">
        <v>128</v>
      </c>
      <c r="T456" s="4">
        <v>17316167757</v>
      </c>
      <c r="V456" t="s">
        <v>14424</v>
      </c>
      <c r="W456" t="s">
        <v>14425</v>
      </c>
      <c r="Y456" t="s">
        <v>14423</v>
      </c>
      <c r="AA456" t="s">
        <v>3049</v>
      </c>
      <c r="AB456" t="s">
        <v>779</v>
      </c>
      <c r="AC456" s="3" t="str">
        <f>"38301"</f>
        <v>38301</v>
      </c>
      <c r="AD456" t="s">
        <v>128</v>
      </c>
      <c r="AF456" s="4">
        <v>17316167757</v>
      </c>
      <c r="AH456" t="str">
        <f>"23814"</f>
        <v>23814</v>
      </c>
      <c r="AI456" t="s">
        <v>130</v>
      </c>
      <c r="AJ456" t="s">
        <v>3252</v>
      </c>
      <c r="AK456" t="s">
        <v>3253</v>
      </c>
      <c r="AL456" t="s">
        <v>589</v>
      </c>
      <c r="AM456" t="s">
        <v>3254</v>
      </c>
      <c r="AO456" t="s">
        <v>3255</v>
      </c>
      <c r="AP456" t="s">
        <v>779</v>
      </c>
      <c r="AQ456" s="5">
        <v>37110</v>
      </c>
      <c r="AR456" t="s">
        <v>128</v>
      </c>
      <c r="AT456" s="4">
        <v>19312747811</v>
      </c>
      <c r="AV456" t="s">
        <v>3256</v>
      </c>
      <c r="AW456" t="s">
        <v>3257</v>
      </c>
      <c r="AX456" t="s">
        <v>131</v>
      </c>
      <c r="AY456" t="s">
        <v>131</v>
      </c>
      <c r="AZ456" t="s">
        <v>131</v>
      </c>
      <c r="BA456" t="s">
        <v>131</v>
      </c>
      <c r="BB456" t="s">
        <v>131</v>
      </c>
      <c r="BC456" t="s">
        <v>131</v>
      </c>
      <c r="BD456" t="s">
        <v>131</v>
      </c>
      <c r="BE456" t="s">
        <v>132</v>
      </c>
      <c r="BH456" t="s">
        <v>14426</v>
      </c>
      <c r="BI456" t="s">
        <v>131</v>
      </c>
      <c r="BL456" t="s">
        <v>167</v>
      </c>
      <c r="BO456" t="s">
        <v>131</v>
      </c>
      <c r="BP456" t="s">
        <v>134</v>
      </c>
      <c r="BQ456" t="s">
        <v>131</v>
      </c>
      <c r="BS456" t="str">
        <f t="shared" si="39"/>
        <v>N/A</v>
      </c>
      <c r="BT456" t="s">
        <v>131</v>
      </c>
      <c r="BV456" t="str">
        <f>""</f>
        <v/>
      </c>
      <c r="BW456" t="s">
        <v>135</v>
      </c>
      <c r="BX456" t="str">
        <f>""</f>
        <v/>
      </c>
      <c r="BY456" t="str">
        <f>""</f>
        <v/>
      </c>
      <c r="BZ456" t="str">
        <f>""</f>
        <v/>
      </c>
      <c r="CA456" t="str">
        <f>"Must be able to lift 75 lbs. Repetitive movements. Extensive pushing/pulling. Frequent stooping. Exposure to extreme temperatures. "</f>
        <v xml:space="preserve">Must be able to lift 75 lbs. Repetitive movements. Extensive pushing/pulling. Frequent stooping. Exposure to extreme temperatures. </v>
      </c>
      <c r="CB456" t="s">
        <v>131</v>
      </c>
      <c r="CF456" t="s">
        <v>131</v>
      </c>
      <c r="CH456" t="str">
        <f>""</f>
        <v/>
      </c>
      <c r="CI456" t="s">
        <v>131</v>
      </c>
      <c r="CK456" t="s">
        <v>131</v>
      </c>
      <c r="CL456" t="str">
        <f>""</f>
        <v/>
      </c>
      <c r="CM456" t="str">
        <f>""</f>
        <v/>
      </c>
      <c r="CN456" t="str">
        <f>""</f>
        <v/>
      </c>
      <c r="CO456" t="str">
        <f>""</f>
        <v/>
      </c>
      <c r="CP456" t="str">
        <f>"47-3011.00"</f>
        <v>47-3011.00</v>
      </c>
      <c r="CQ456" t="s">
        <v>4519</v>
      </c>
      <c r="CS456" t="s">
        <v>131</v>
      </c>
      <c r="CU456" t="s">
        <v>14427</v>
      </c>
      <c r="CW456" t="s">
        <v>3049</v>
      </c>
      <c r="CX456" t="s">
        <v>779</v>
      </c>
      <c r="CZ456" s="3" t="str">
        <f>"38301"</f>
        <v>38301</v>
      </c>
      <c r="DA456" t="s">
        <v>135</v>
      </c>
      <c r="DB456" t="str">
        <f>"47-3011"</f>
        <v>47-3011</v>
      </c>
      <c r="DC456" t="s">
        <v>4519</v>
      </c>
      <c r="DD456" t="s">
        <v>134</v>
      </c>
      <c r="DE456" t="s">
        <v>134</v>
      </c>
      <c r="DF456" t="str">
        <f>""</f>
        <v/>
      </c>
      <c r="DH456" s="6">
        <v>13.74</v>
      </c>
      <c r="DI456" t="s">
        <v>344</v>
      </c>
      <c r="DK456" t="s">
        <v>345</v>
      </c>
      <c r="DR456" t="s">
        <v>14428</v>
      </c>
      <c r="DS456" s="6">
        <v>13.74</v>
      </c>
      <c r="DT456" t="s">
        <v>424</v>
      </c>
      <c r="DU456" s="1">
        <v>44356</v>
      </c>
      <c r="DV456" s="1">
        <v>44445</v>
      </c>
    </row>
    <row r="457" spans="1:126" ht="15" customHeight="1" x14ac:dyDescent="0.35">
      <c r="A457" t="s">
        <v>407</v>
      </c>
      <c r="B457" t="s">
        <v>318</v>
      </c>
      <c r="C457" s="1">
        <v>44329</v>
      </c>
      <c r="D457" s="1">
        <v>44356</v>
      </c>
      <c r="H457" t="s">
        <v>319</v>
      </c>
      <c r="I457" t="s">
        <v>408</v>
      </c>
      <c r="J457" t="s">
        <v>409</v>
      </c>
      <c r="L457" t="s">
        <v>395</v>
      </c>
      <c r="M457" t="s">
        <v>410</v>
      </c>
      <c r="O457" t="s">
        <v>411</v>
      </c>
      <c r="P457" t="s">
        <v>412</v>
      </c>
      <c r="Q457" s="3">
        <v>76244</v>
      </c>
      <c r="R457" t="s">
        <v>128</v>
      </c>
      <c r="T457" s="4">
        <v>18173796578</v>
      </c>
      <c r="V457" t="s">
        <v>134</v>
      </c>
      <c r="W457" t="s">
        <v>413</v>
      </c>
      <c r="Y457" t="s">
        <v>410</v>
      </c>
      <c r="AA457" t="s">
        <v>411</v>
      </c>
      <c r="AB457" t="s">
        <v>400</v>
      </c>
      <c r="AC457" s="3" t="str">
        <f>"76244"</f>
        <v>76244</v>
      </c>
      <c r="AD457" t="s">
        <v>128</v>
      </c>
      <c r="AF457" s="4">
        <v>18173796578</v>
      </c>
      <c r="AH457" t="str">
        <f>"23814"</f>
        <v>23814</v>
      </c>
      <c r="AI457" t="s">
        <v>287</v>
      </c>
      <c r="AJ457" t="s">
        <v>414</v>
      </c>
      <c r="AK457" t="s">
        <v>301</v>
      </c>
      <c r="AL457" t="s">
        <v>415</v>
      </c>
      <c r="AM457" t="s">
        <v>416</v>
      </c>
      <c r="AN457" t="s">
        <v>417</v>
      </c>
      <c r="AO457" t="s">
        <v>399</v>
      </c>
      <c r="AP457" t="s">
        <v>400</v>
      </c>
      <c r="AQ457" s="5">
        <v>75231</v>
      </c>
      <c r="AR457" t="s">
        <v>128</v>
      </c>
      <c r="AT457" s="4">
        <v>12145265665</v>
      </c>
      <c r="AV457" t="s">
        <v>418</v>
      </c>
      <c r="AW457" t="s">
        <v>419</v>
      </c>
      <c r="AX457" t="s">
        <v>131</v>
      </c>
      <c r="AY457" t="s">
        <v>131</v>
      </c>
      <c r="AZ457" t="s">
        <v>131</v>
      </c>
      <c r="BA457" t="s">
        <v>131</v>
      </c>
      <c r="BB457" t="s">
        <v>131</v>
      </c>
      <c r="BC457" t="s">
        <v>131</v>
      </c>
      <c r="BD457" t="s">
        <v>131</v>
      </c>
      <c r="BE457" t="s">
        <v>132</v>
      </c>
      <c r="BH457" t="s">
        <v>420</v>
      </c>
      <c r="BI457" t="s">
        <v>131</v>
      </c>
      <c r="BL457" t="s">
        <v>167</v>
      </c>
      <c r="BO457" t="s">
        <v>131</v>
      </c>
      <c r="BP457" t="s">
        <v>134</v>
      </c>
      <c r="BQ457" t="s">
        <v>131</v>
      </c>
      <c r="BS457" t="str">
        <f t="shared" si="39"/>
        <v>N/A</v>
      </c>
      <c r="BT457" t="s">
        <v>135</v>
      </c>
      <c r="BU457">
        <v>3</v>
      </c>
      <c r="BV457" t="str">
        <f>"Brickmason"</f>
        <v>Brickmason</v>
      </c>
      <c r="BW457" t="s">
        <v>135</v>
      </c>
      <c r="BX457" t="str">
        <f>""</f>
        <v/>
      </c>
      <c r="BY457" t="str">
        <f>""</f>
        <v/>
      </c>
      <c r="BZ457" t="str">
        <f>""</f>
        <v/>
      </c>
      <c r="CA457" s="2" t="s">
        <v>421</v>
      </c>
      <c r="CB457" t="s">
        <v>131</v>
      </c>
      <c r="CF457" t="s">
        <v>131</v>
      </c>
      <c r="CH457" t="str">
        <f>""</f>
        <v/>
      </c>
      <c r="CI457" t="s">
        <v>131</v>
      </c>
      <c r="CK457" t="s">
        <v>131</v>
      </c>
      <c r="CL457" t="str">
        <f>""</f>
        <v/>
      </c>
      <c r="CM457" t="str">
        <f>""</f>
        <v/>
      </c>
      <c r="CN457" t="str">
        <f>""</f>
        <v/>
      </c>
      <c r="CO457" t="str">
        <f>""</f>
        <v/>
      </c>
      <c r="CP457" t="str">
        <f>"47-2021.00"</f>
        <v>47-2021.00</v>
      </c>
      <c r="CQ457" t="s">
        <v>422</v>
      </c>
      <c r="CS457" t="s">
        <v>131</v>
      </c>
      <c r="CU457" t="s">
        <v>410</v>
      </c>
      <c r="CW457" t="s">
        <v>411</v>
      </c>
      <c r="CX457" t="s">
        <v>400</v>
      </c>
      <c r="CZ457" s="3" t="str">
        <f>"76244"</f>
        <v>76244</v>
      </c>
      <c r="DA457" t="s">
        <v>135</v>
      </c>
      <c r="DB457" t="str">
        <f>"47-2021"</f>
        <v>47-2021</v>
      </c>
      <c r="DC457" t="s">
        <v>422</v>
      </c>
      <c r="DD457" t="s">
        <v>134</v>
      </c>
      <c r="DE457" t="s">
        <v>134</v>
      </c>
      <c r="DF457" t="str">
        <f>""</f>
        <v/>
      </c>
      <c r="DH457" s="6">
        <v>23.85</v>
      </c>
      <c r="DI457" t="s">
        <v>344</v>
      </c>
      <c r="DK457" t="s">
        <v>345</v>
      </c>
      <c r="DR457" t="s">
        <v>423</v>
      </c>
      <c r="DS457" s="6">
        <v>23.85</v>
      </c>
      <c r="DT457" t="s">
        <v>424</v>
      </c>
      <c r="DU457" s="1">
        <v>44356</v>
      </c>
      <c r="DV457" s="1">
        <v>44445</v>
      </c>
    </row>
    <row r="458" spans="1:126" ht="15" customHeight="1" x14ac:dyDescent="0.35">
      <c r="A458" t="s">
        <v>9687</v>
      </c>
      <c r="B458" t="s">
        <v>318</v>
      </c>
      <c r="C458" s="1">
        <v>44329</v>
      </c>
      <c r="D458" s="1">
        <v>44356</v>
      </c>
      <c r="H458" t="s">
        <v>319</v>
      </c>
      <c r="I458" t="s">
        <v>9688</v>
      </c>
      <c r="J458" t="s">
        <v>2821</v>
      </c>
      <c r="L458" t="s">
        <v>1031</v>
      </c>
      <c r="M458" t="s">
        <v>9689</v>
      </c>
      <c r="O458" t="s">
        <v>8629</v>
      </c>
      <c r="P458" t="s">
        <v>778</v>
      </c>
      <c r="Q458" s="3">
        <v>38355</v>
      </c>
      <c r="R458" t="s">
        <v>128</v>
      </c>
      <c r="T458" s="4">
        <v>17315718094</v>
      </c>
      <c r="V458" t="s">
        <v>9690</v>
      </c>
      <c r="W458" t="s">
        <v>9691</v>
      </c>
      <c r="Y458" t="s">
        <v>9689</v>
      </c>
      <c r="AA458" t="s">
        <v>8629</v>
      </c>
      <c r="AB458" t="s">
        <v>779</v>
      </c>
      <c r="AC458" s="3" t="str">
        <f>"38355"</f>
        <v>38355</v>
      </c>
      <c r="AD458" t="s">
        <v>128</v>
      </c>
      <c r="AF458" s="4">
        <v>17315718094</v>
      </c>
      <c r="AH458" t="str">
        <f>"112111"</f>
        <v>112111</v>
      </c>
      <c r="AI458" t="s">
        <v>130</v>
      </c>
      <c r="AJ458" t="s">
        <v>3252</v>
      </c>
      <c r="AK458" t="s">
        <v>3253</v>
      </c>
      <c r="AL458" t="s">
        <v>589</v>
      </c>
      <c r="AM458" t="s">
        <v>3254</v>
      </c>
      <c r="AO458" t="s">
        <v>3255</v>
      </c>
      <c r="AP458" t="s">
        <v>779</v>
      </c>
      <c r="AQ458" s="5">
        <v>37110</v>
      </c>
      <c r="AR458" t="s">
        <v>128</v>
      </c>
      <c r="AT458" s="4">
        <v>19312747811</v>
      </c>
      <c r="AV458" t="s">
        <v>3256</v>
      </c>
      <c r="AW458" t="s">
        <v>3257</v>
      </c>
      <c r="AX458" t="s">
        <v>131</v>
      </c>
      <c r="AY458" t="s">
        <v>131</v>
      </c>
      <c r="AZ458" t="s">
        <v>131</v>
      </c>
      <c r="BA458" t="s">
        <v>131</v>
      </c>
      <c r="BB458" t="s">
        <v>131</v>
      </c>
      <c r="BC458" t="s">
        <v>131</v>
      </c>
      <c r="BD458" t="s">
        <v>131</v>
      </c>
      <c r="BE458" t="s">
        <v>132</v>
      </c>
      <c r="BH458" t="s">
        <v>6893</v>
      </c>
      <c r="BI458" t="s">
        <v>131</v>
      </c>
      <c r="BL458" t="s">
        <v>167</v>
      </c>
      <c r="BO458" t="s">
        <v>131</v>
      </c>
      <c r="BP458" t="s">
        <v>134</v>
      </c>
      <c r="BQ458" t="s">
        <v>131</v>
      </c>
      <c r="BS458" t="str">
        <f t="shared" si="39"/>
        <v>N/A</v>
      </c>
      <c r="BT458" t="s">
        <v>131</v>
      </c>
      <c r="BV458" t="str">
        <f>""</f>
        <v/>
      </c>
      <c r="BW458" t="s">
        <v>135</v>
      </c>
      <c r="BX458" t="str">
        <f>""</f>
        <v/>
      </c>
      <c r="BY458" t="str">
        <f>""</f>
        <v/>
      </c>
      <c r="BZ458" t="str">
        <f>""</f>
        <v/>
      </c>
      <c r="CA458" t="str">
        <f>"MUST BE ABLE TO LIFT 75 LBS"</f>
        <v>MUST BE ABLE TO LIFT 75 LBS</v>
      </c>
      <c r="CB458" t="s">
        <v>131</v>
      </c>
      <c r="CF458" t="s">
        <v>131</v>
      </c>
      <c r="CH458" t="str">
        <f>""</f>
        <v/>
      </c>
      <c r="CI458" t="s">
        <v>131</v>
      </c>
      <c r="CK458" t="s">
        <v>131</v>
      </c>
      <c r="CL458" t="str">
        <f>""</f>
        <v/>
      </c>
      <c r="CM458" t="str">
        <f>""</f>
        <v/>
      </c>
      <c r="CN458" t="str">
        <f>""</f>
        <v/>
      </c>
      <c r="CO458" t="str">
        <f>""</f>
        <v/>
      </c>
      <c r="CP458" t="str">
        <f>"37-3011.00"</f>
        <v>37-3011.00</v>
      </c>
      <c r="CQ458" t="s">
        <v>920</v>
      </c>
      <c r="CS458" t="s">
        <v>131</v>
      </c>
      <c r="CU458" t="s">
        <v>9689</v>
      </c>
      <c r="CW458" t="s">
        <v>8629</v>
      </c>
      <c r="CX458" t="s">
        <v>779</v>
      </c>
      <c r="CZ458" s="3" t="str">
        <f>"38355"</f>
        <v>38355</v>
      </c>
      <c r="DA458" t="s">
        <v>135</v>
      </c>
      <c r="DB458" t="str">
        <f>"37-3011"</f>
        <v>37-3011</v>
      </c>
      <c r="DC458" t="s">
        <v>920</v>
      </c>
      <c r="DD458" t="s">
        <v>134</v>
      </c>
      <c r="DE458" t="s">
        <v>134</v>
      </c>
      <c r="DF458" t="str">
        <f>""</f>
        <v/>
      </c>
      <c r="DH458" s="6">
        <v>13.07</v>
      </c>
      <c r="DI458" t="s">
        <v>344</v>
      </c>
      <c r="DK458" t="s">
        <v>345</v>
      </c>
      <c r="DS458" s="6">
        <v>13.22</v>
      </c>
      <c r="DT458" t="s">
        <v>424</v>
      </c>
      <c r="DU458" s="1">
        <v>44356</v>
      </c>
      <c r="DV458" s="1">
        <v>44445</v>
      </c>
    </row>
    <row r="459" spans="1:126" ht="15" customHeight="1" x14ac:dyDescent="0.35">
      <c r="A459" t="s">
        <v>12744</v>
      </c>
      <c r="B459" t="s">
        <v>318</v>
      </c>
      <c r="C459" s="1">
        <v>44329</v>
      </c>
      <c r="D459" s="1">
        <v>44356</v>
      </c>
      <c r="H459" t="s">
        <v>319</v>
      </c>
      <c r="I459" t="s">
        <v>10192</v>
      </c>
      <c r="J459" t="s">
        <v>6320</v>
      </c>
      <c r="L459" t="s">
        <v>3767</v>
      </c>
      <c r="M459" t="s">
        <v>12745</v>
      </c>
      <c r="O459" t="s">
        <v>885</v>
      </c>
      <c r="P459" t="s">
        <v>412</v>
      </c>
      <c r="Q459" s="3">
        <v>77029</v>
      </c>
      <c r="R459" t="s">
        <v>128</v>
      </c>
      <c r="T459" s="4">
        <v>17136732131</v>
      </c>
      <c r="V459" t="s">
        <v>12746</v>
      </c>
      <c r="W459" t="s">
        <v>12747</v>
      </c>
      <c r="Y459" t="s">
        <v>12745</v>
      </c>
      <c r="AA459" t="s">
        <v>885</v>
      </c>
      <c r="AB459" t="s">
        <v>400</v>
      </c>
      <c r="AC459" s="3" t="str">
        <f>"77029"</f>
        <v>77029</v>
      </c>
      <c r="AD459" t="s">
        <v>128</v>
      </c>
      <c r="AF459" s="4">
        <v>14094899635</v>
      </c>
      <c r="AH459" t="str">
        <f>"11531"</f>
        <v>11531</v>
      </c>
      <c r="AI459" t="s">
        <v>287</v>
      </c>
      <c r="AJ459" t="s">
        <v>7931</v>
      </c>
      <c r="AK459" t="s">
        <v>3626</v>
      </c>
      <c r="AL459" t="s">
        <v>134</v>
      </c>
      <c r="AM459" t="s">
        <v>7932</v>
      </c>
      <c r="AN459" t="s">
        <v>2377</v>
      </c>
      <c r="AO459" t="s">
        <v>4815</v>
      </c>
      <c r="AP459" t="s">
        <v>1243</v>
      </c>
      <c r="AQ459" s="5">
        <v>83814</v>
      </c>
      <c r="AR459" t="s">
        <v>128</v>
      </c>
      <c r="AT459" s="4">
        <v>12087772654</v>
      </c>
      <c r="AV459" t="s">
        <v>7933</v>
      </c>
      <c r="AW459" t="s">
        <v>4715</v>
      </c>
      <c r="AX459" t="s">
        <v>131</v>
      </c>
      <c r="AY459" t="s">
        <v>131</v>
      </c>
      <c r="AZ459" t="s">
        <v>131</v>
      </c>
      <c r="BA459" t="s">
        <v>131</v>
      </c>
      <c r="BB459" t="s">
        <v>131</v>
      </c>
      <c r="BC459" t="s">
        <v>131</v>
      </c>
      <c r="BD459" t="s">
        <v>131</v>
      </c>
      <c r="BE459" t="s">
        <v>132</v>
      </c>
      <c r="BH459" t="s">
        <v>6431</v>
      </c>
      <c r="BI459" t="s">
        <v>131</v>
      </c>
      <c r="BL459" t="s">
        <v>167</v>
      </c>
      <c r="BO459" t="s">
        <v>131</v>
      </c>
      <c r="BP459" t="s">
        <v>134</v>
      </c>
      <c r="BQ459" t="s">
        <v>131</v>
      </c>
      <c r="BS459" t="str">
        <f t="shared" si="39"/>
        <v>N/A</v>
      </c>
      <c r="BT459" t="s">
        <v>131</v>
      </c>
      <c r="BV459" t="str">
        <f>""</f>
        <v/>
      </c>
      <c r="BW459" t="s">
        <v>135</v>
      </c>
      <c r="BX459" t="str">
        <f>""</f>
        <v/>
      </c>
      <c r="BY459" t="str">
        <f>""</f>
        <v/>
      </c>
      <c r="BZ459" t="str">
        <f>""</f>
        <v/>
      </c>
      <c r="CA459" t="s">
        <v>7623</v>
      </c>
      <c r="CB459" t="s">
        <v>131</v>
      </c>
      <c r="CF459" t="s">
        <v>131</v>
      </c>
      <c r="CH459" t="str">
        <f>""</f>
        <v/>
      </c>
      <c r="CI459" t="s">
        <v>131</v>
      </c>
      <c r="CK459" t="s">
        <v>131</v>
      </c>
      <c r="CL459" t="str">
        <f>""</f>
        <v/>
      </c>
      <c r="CM459" t="str">
        <f>""</f>
        <v/>
      </c>
      <c r="CN459" t="str">
        <f>""</f>
        <v/>
      </c>
      <c r="CO459" t="str">
        <f>""</f>
        <v/>
      </c>
      <c r="CP459" t="str">
        <f>"45-4011.00"</f>
        <v>45-4011.00</v>
      </c>
      <c r="CQ459" t="s">
        <v>4310</v>
      </c>
      <c r="CS459" t="s">
        <v>135</v>
      </c>
      <c r="CT459" t="s">
        <v>12748</v>
      </c>
      <c r="CU459" t="s">
        <v>12749</v>
      </c>
      <c r="CW459" t="s">
        <v>4507</v>
      </c>
      <c r="CX459" t="s">
        <v>400</v>
      </c>
      <c r="CZ459" s="3" t="str">
        <f>"75951"</f>
        <v>75951</v>
      </c>
      <c r="DA459" t="s">
        <v>135</v>
      </c>
      <c r="DB459" t="str">
        <f>"45-4011"</f>
        <v>45-4011</v>
      </c>
      <c r="DC459" t="s">
        <v>4310</v>
      </c>
      <c r="DD459" t="s">
        <v>134</v>
      </c>
      <c r="DE459" t="s">
        <v>134</v>
      </c>
      <c r="DF459" t="str">
        <f>""</f>
        <v/>
      </c>
      <c r="DH459" s="6">
        <v>17.8</v>
      </c>
      <c r="DI459" t="s">
        <v>344</v>
      </c>
      <c r="DK459" t="s">
        <v>345</v>
      </c>
      <c r="DS459" s="6">
        <v>20.53</v>
      </c>
      <c r="DT459" s="2" t="s">
        <v>2219</v>
      </c>
      <c r="DU459" s="1">
        <v>44356</v>
      </c>
      <c r="DV459" s="1">
        <v>44445</v>
      </c>
    </row>
    <row r="460" spans="1:126" ht="15" customHeight="1" x14ac:dyDescent="0.35">
      <c r="A460" t="s">
        <v>16619</v>
      </c>
      <c r="B460" t="s">
        <v>318</v>
      </c>
      <c r="C460" s="1">
        <v>44329</v>
      </c>
      <c r="D460" s="1">
        <v>44356</v>
      </c>
      <c r="H460" t="s">
        <v>319</v>
      </c>
      <c r="I460" t="s">
        <v>4410</v>
      </c>
      <c r="J460" t="s">
        <v>2529</v>
      </c>
      <c r="L460" t="s">
        <v>1205</v>
      </c>
      <c r="M460" t="s">
        <v>4411</v>
      </c>
      <c r="N460" t="s">
        <v>134</v>
      </c>
      <c r="O460" t="s">
        <v>3512</v>
      </c>
      <c r="P460" t="s">
        <v>194</v>
      </c>
      <c r="Q460" s="3">
        <v>33446</v>
      </c>
      <c r="R460" t="s">
        <v>128</v>
      </c>
      <c r="T460" s="4">
        <v>15612883304</v>
      </c>
      <c r="V460" t="s">
        <v>4412</v>
      </c>
      <c r="W460" t="s">
        <v>4413</v>
      </c>
      <c r="X460" t="s">
        <v>134</v>
      </c>
      <c r="Y460" t="s">
        <v>4411</v>
      </c>
      <c r="Z460" t="s">
        <v>134</v>
      </c>
      <c r="AA460" t="s">
        <v>3512</v>
      </c>
      <c r="AB460" t="s">
        <v>195</v>
      </c>
      <c r="AC460" s="3" t="str">
        <f>"33446"</f>
        <v>33446</v>
      </c>
      <c r="AD460" t="s">
        <v>128</v>
      </c>
      <c r="AE460" t="s">
        <v>134</v>
      </c>
      <c r="AF460" s="4">
        <v>15616385600</v>
      </c>
      <c r="AH460" t="str">
        <f>"713910"</f>
        <v>713910</v>
      </c>
      <c r="AI460" t="s">
        <v>130</v>
      </c>
      <c r="AJ460" t="s">
        <v>1386</v>
      </c>
      <c r="AK460" t="s">
        <v>1387</v>
      </c>
      <c r="AL460" t="s">
        <v>1036</v>
      </c>
      <c r="AM460" t="s">
        <v>1388</v>
      </c>
      <c r="AN460" t="s">
        <v>997</v>
      </c>
      <c r="AO460" t="s">
        <v>719</v>
      </c>
      <c r="AP460" t="s">
        <v>377</v>
      </c>
      <c r="AQ460" s="5">
        <v>1701</v>
      </c>
      <c r="AR460" t="s">
        <v>128</v>
      </c>
      <c r="AS460" t="s">
        <v>134</v>
      </c>
      <c r="AT460" s="4">
        <v>16179399444</v>
      </c>
      <c r="AV460" t="s">
        <v>1389</v>
      </c>
      <c r="AW460" t="s">
        <v>1390</v>
      </c>
      <c r="AX460" t="s">
        <v>131</v>
      </c>
      <c r="AY460" t="s">
        <v>131</v>
      </c>
      <c r="AZ460" t="s">
        <v>131</v>
      </c>
      <c r="BA460" t="s">
        <v>131</v>
      </c>
      <c r="BB460" t="s">
        <v>131</v>
      </c>
      <c r="BC460" t="s">
        <v>131</v>
      </c>
      <c r="BD460" t="s">
        <v>131</v>
      </c>
      <c r="BE460" t="s">
        <v>132</v>
      </c>
      <c r="BH460" t="s">
        <v>1213</v>
      </c>
      <c r="BI460" t="s">
        <v>131</v>
      </c>
      <c r="BL460" t="s">
        <v>167</v>
      </c>
      <c r="BO460" t="s">
        <v>131</v>
      </c>
      <c r="BP460" t="s">
        <v>134</v>
      </c>
      <c r="BQ460" t="s">
        <v>131</v>
      </c>
      <c r="BS460" t="str">
        <f t="shared" si="39"/>
        <v>N/A</v>
      </c>
      <c r="BT460" t="s">
        <v>135</v>
      </c>
      <c r="BU460">
        <v>12</v>
      </c>
      <c r="BV460" t="str">
        <f>"Server"</f>
        <v>Server</v>
      </c>
      <c r="BW460" t="s">
        <v>135</v>
      </c>
      <c r="BX460" t="str">
        <f>""</f>
        <v/>
      </c>
      <c r="BY460" t="str">
        <f>""</f>
        <v/>
      </c>
      <c r="BZ460" t="str">
        <f>""</f>
        <v/>
      </c>
      <c r="CA460" s="2" t="s">
        <v>16620</v>
      </c>
      <c r="CB460" t="s">
        <v>131</v>
      </c>
      <c r="CF460" t="s">
        <v>131</v>
      </c>
      <c r="CH460" t="str">
        <f>""</f>
        <v/>
      </c>
      <c r="CI460" t="s">
        <v>131</v>
      </c>
      <c r="CK460" t="s">
        <v>131</v>
      </c>
      <c r="CL460" t="str">
        <f>""</f>
        <v/>
      </c>
      <c r="CM460" t="str">
        <f>""</f>
        <v/>
      </c>
      <c r="CN460" t="str">
        <f>""</f>
        <v/>
      </c>
      <c r="CO460" t="str">
        <f>""</f>
        <v/>
      </c>
      <c r="CP460" t="str">
        <f>"35-3031.00"</f>
        <v>35-3031.00</v>
      </c>
      <c r="CQ460" t="s">
        <v>1214</v>
      </c>
      <c r="CR460" t="s">
        <v>16621</v>
      </c>
      <c r="CS460" t="s">
        <v>131</v>
      </c>
      <c r="CU460" t="s">
        <v>4411</v>
      </c>
      <c r="CW460" t="s">
        <v>3512</v>
      </c>
      <c r="CX460" t="s">
        <v>195</v>
      </c>
      <c r="CZ460" s="3" t="str">
        <f>"33446"</f>
        <v>33446</v>
      </c>
      <c r="DA460" t="s">
        <v>131</v>
      </c>
      <c r="DB460" t="str">
        <f>"35-3031"</f>
        <v>35-3031</v>
      </c>
      <c r="DC460" t="s">
        <v>1214</v>
      </c>
      <c r="DD460" t="s">
        <v>134</v>
      </c>
      <c r="DE460" t="s">
        <v>134</v>
      </c>
      <c r="DF460" t="str">
        <f>""</f>
        <v/>
      </c>
      <c r="DH460" s="6">
        <v>12.55</v>
      </c>
      <c r="DI460" t="s">
        <v>344</v>
      </c>
      <c r="DK460" t="s">
        <v>345</v>
      </c>
      <c r="DS460" s="6">
        <v>12.55</v>
      </c>
      <c r="DT460" t="s">
        <v>424</v>
      </c>
      <c r="DU460" s="1">
        <v>44356</v>
      </c>
      <c r="DV460" s="1">
        <v>44445</v>
      </c>
    </row>
    <row r="461" spans="1:126" ht="15" customHeight="1" x14ac:dyDescent="0.35">
      <c r="A461" t="s">
        <v>4409</v>
      </c>
      <c r="B461" t="s">
        <v>318</v>
      </c>
      <c r="C461" s="1">
        <v>44329</v>
      </c>
      <c r="D461" s="1">
        <v>44356</v>
      </c>
      <c r="H461" t="s">
        <v>319</v>
      </c>
      <c r="I461" t="s">
        <v>4410</v>
      </c>
      <c r="J461" t="s">
        <v>2529</v>
      </c>
      <c r="L461" t="s">
        <v>1205</v>
      </c>
      <c r="M461" t="s">
        <v>4411</v>
      </c>
      <c r="N461" t="s">
        <v>134</v>
      </c>
      <c r="O461" t="s">
        <v>3512</v>
      </c>
      <c r="P461" t="s">
        <v>194</v>
      </c>
      <c r="Q461" s="3">
        <v>33446</v>
      </c>
      <c r="R461" t="s">
        <v>128</v>
      </c>
      <c r="T461" s="4">
        <v>15612883304</v>
      </c>
      <c r="V461" t="s">
        <v>4412</v>
      </c>
      <c r="W461" t="s">
        <v>4413</v>
      </c>
      <c r="X461" t="s">
        <v>134</v>
      </c>
      <c r="Y461" t="s">
        <v>4411</v>
      </c>
      <c r="Z461" t="s">
        <v>134</v>
      </c>
      <c r="AA461" t="s">
        <v>3512</v>
      </c>
      <c r="AB461" t="s">
        <v>195</v>
      </c>
      <c r="AC461" s="3" t="str">
        <f>"33446"</f>
        <v>33446</v>
      </c>
      <c r="AD461" t="s">
        <v>128</v>
      </c>
      <c r="AE461" t="s">
        <v>134</v>
      </c>
      <c r="AF461" s="4">
        <v>15616385600</v>
      </c>
      <c r="AH461" t="str">
        <f>"713910"</f>
        <v>713910</v>
      </c>
      <c r="AI461" t="s">
        <v>130</v>
      </c>
      <c r="AJ461" t="s">
        <v>1386</v>
      </c>
      <c r="AK461" t="s">
        <v>1387</v>
      </c>
      <c r="AL461" t="s">
        <v>1036</v>
      </c>
      <c r="AM461" t="s">
        <v>1388</v>
      </c>
      <c r="AN461" t="s">
        <v>997</v>
      </c>
      <c r="AO461" t="s">
        <v>719</v>
      </c>
      <c r="AP461" t="s">
        <v>377</v>
      </c>
      <c r="AQ461" s="5">
        <v>1701</v>
      </c>
      <c r="AR461" t="s">
        <v>128</v>
      </c>
      <c r="AS461" t="s">
        <v>134</v>
      </c>
      <c r="AT461" s="4">
        <v>16179399444</v>
      </c>
      <c r="AV461" t="s">
        <v>1389</v>
      </c>
      <c r="AW461" t="s">
        <v>1390</v>
      </c>
      <c r="AX461" t="s">
        <v>131</v>
      </c>
      <c r="AY461" t="s">
        <v>131</v>
      </c>
      <c r="AZ461" t="s">
        <v>131</v>
      </c>
      <c r="BA461" t="s">
        <v>131</v>
      </c>
      <c r="BB461" t="s">
        <v>131</v>
      </c>
      <c r="BC461" t="s">
        <v>131</v>
      </c>
      <c r="BD461" t="s">
        <v>131</v>
      </c>
      <c r="BE461" t="s">
        <v>132</v>
      </c>
      <c r="BH461" t="s">
        <v>1080</v>
      </c>
      <c r="BI461" t="s">
        <v>131</v>
      </c>
      <c r="BL461" t="s">
        <v>167</v>
      </c>
      <c r="BO461" t="s">
        <v>131</v>
      </c>
      <c r="BP461" t="s">
        <v>134</v>
      </c>
      <c r="BQ461" t="s">
        <v>131</v>
      </c>
      <c r="BS461" t="str">
        <f t="shared" si="39"/>
        <v>N/A</v>
      </c>
      <c r="BT461" t="s">
        <v>135</v>
      </c>
      <c r="BU461">
        <v>12</v>
      </c>
      <c r="BV461" t="str">
        <f>"Cook"</f>
        <v>Cook</v>
      </c>
      <c r="BW461" t="s">
        <v>135</v>
      </c>
      <c r="BX461" t="str">
        <f>""</f>
        <v/>
      </c>
      <c r="BY461" t="str">
        <f>""</f>
        <v/>
      </c>
      <c r="BZ461" t="str">
        <f>""</f>
        <v/>
      </c>
      <c r="CA461" s="2" t="s">
        <v>4414</v>
      </c>
      <c r="CB461" t="s">
        <v>131</v>
      </c>
      <c r="CF461" t="s">
        <v>131</v>
      </c>
      <c r="CH461" t="str">
        <f>""</f>
        <v/>
      </c>
      <c r="CI461" t="s">
        <v>131</v>
      </c>
      <c r="CK461" t="s">
        <v>131</v>
      </c>
      <c r="CL461" t="str">
        <f>""</f>
        <v/>
      </c>
      <c r="CM461" t="str">
        <f>""</f>
        <v/>
      </c>
      <c r="CN461" t="str">
        <f>""</f>
        <v/>
      </c>
      <c r="CO461" t="str">
        <f>""</f>
        <v/>
      </c>
      <c r="CP461" t="str">
        <f>"35-2014.00"</f>
        <v>35-2014.00</v>
      </c>
      <c r="CQ461" t="s">
        <v>581</v>
      </c>
      <c r="CR461" t="s">
        <v>4415</v>
      </c>
      <c r="CS461" t="s">
        <v>131</v>
      </c>
      <c r="CU461" t="s">
        <v>4411</v>
      </c>
      <c r="CW461" t="s">
        <v>3512</v>
      </c>
      <c r="CX461" t="s">
        <v>195</v>
      </c>
      <c r="CZ461" s="3" t="str">
        <f>"33446"</f>
        <v>33446</v>
      </c>
      <c r="DA461" t="s">
        <v>131</v>
      </c>
      <c r="DB461" t="str">
        <f>"35-2014"</f>
        <v>35-2014</v>
      </c>
      <c r="DC461" t="s">
        <v>581</v>
      </c>
      <c r="DD461" t="s">
        <v>134</v>
      </c>
      <c r="DE461" t="s">
        <v>134</v>
      </c>
      <c r="DF461" t="str">
        <f>""</f>
        <v/>
      </c>
      <c r="DH461" s="6">
        <v>14.63</v>
      </c>
      <c r="DI461" t="s">
        <v>344</v>
      </c>
      <c r="DK461" t="s">
        <v>345</v>
      </c>
      <c r="DS461" s="6">
        <v>14.63</v>
      </c>
      <c r="DT461" t="s">
        <v>424</v>
      </c>
      <c r="DU461" s="1">
        <v>44356</v>
      </c>
      <c r="DV461" s="1">
        <v>44445</v>
      </c>
    </row>
    <row r="462" spans="1:126" ht="15" customHeight="1" x14ac:dyDescent="0.35">
      <c r="A462" t="s">
        <v>15626</v>
      </c>
      <c r="B462" t="s">
        <v>318</v>
      </c>
      <c r="C462" s="1">
        <v>44329</v>
      </c>
      <c r="D462" s="1">
        <v>44356</v>
      </c>
      <c r="H462" t="s">
        <v>319</v>
      </c>
      <c r="I462" t="s">
        <v>7968</v>
      </c>
      <c r="J462" t="s">
        <v>7800</v>
      </c>
      <c r="L462" t="s">
        <v>1105</v>
      </c>
      <c r="M462" t="s">
        <v>15627</v>
      </c>
      <c r="N462" t="s">
        <v>15628</v>
      </c>
      <c r="O462" t="s">
        <v>6274</v>
      </c>
      <c r="P462" t="s">
        <v>1334</v>
      </c>
      <c r="Q462" s="3">
        <v>73131</v>
      </c>
      <c r="R462" t="s">
        <v>128</v>
      </c>
      <c r="T462" s="4">
        <v>14054128837</v>
      </c>
      <c r="V462" t="s">
        <v>134</v>
      </c>
      <c r="W462" t="s">
        <v>15629</v>
      </c>
      <c r="Y462" t="s">
        <v>15627</v>
      </c>
      <c r="Z462" t="s">
        <v>15628</v>
      </c>
      <c r="AA462" t="s">
        <v>6274</v>
      </c>
      <c r="AB462" t="s">
        <v>1336</v>
      </c>
      <c r="AC462" s="3" t="str">
        <f>"73131"</f>
        <v>73131</v>
      </c>
      <c r="AD462" t="s">
        <v>128</v>
      </c>
      <c r="AF462" s="4">
        <v>14054128837</v>
      </c>
      <c r="AH462" t="str">
        <f>"56173"</f>
        <v>56173</v>
      </c>
      <c r="AI462" t="s">
        <v>287</v>
      </c>
      <c r="AJ462" t="s">
        <v>2917</v>
      </c>
      <c r="AK462" t="s">
        <v>2918</v>
      </c>
      <c r="AM462" t="s">
        <v>3772</v>
      </c>
      <c r="AO462" t="s">
        <v>3773</v>
      </c>
      <c r="AP462" t="s">
        <v>306</v>
      </c>
      <c r="AQ462" s="5">
        <v>22903</v>
      </c>
      <c r="AR462" t="s">
        <v>128</v>
      </c>
      <c r="AT462" s="4">
        <v>14342634300</v>
      </c>
      <c r="AV462" t="s">
        <v>3774</v>
      </c>
      <c r="AW462" t="s">
        <v>2923</v>
      </c>
      <c r="AX462" t="s">
        <v>131</v>
      </c>
      <c r="AY462" t="s">
        <v>131</v>
      </c>
      <c r="AZ462" t="s">
        <v>131</v>
      </c>
      <c r="BA462" t="s">
        <v>131</v>
      </c>
      <c r="BB462" t="s">
        <v>131</v>
      </c>
      <c r="BC462" t="s">
        <v>131</v>
      </c>
      <c r="BD462" t="s">
        <v>131</v>
      </c>
      <c r="BE462" t="s">
        <v>132</v>
      </c>
      <c r="BH462" t="s">
        <v>3780</v>
      </c>
      <c r="BI462" t="s">
        <v>131</v>
      </c>
      <c r="BL462" t="s">
        <v>167</v>
      </c>
      <c r="BO462" t="s">
        <v>131</v>
      </c>
      <c r="BP462" t="s">
        <v>134</v>
      </c>
      <c r="BQ462" t="s">
        <v>131</v>
      </c>
      <c r="BS462" t="str">
        <f t="shared" si="39"/>
        <v>N/A</v>
      </c>
      <c r="BT462" t="s">
        <v>135</v>
      </c>
      <c r="BU462">
        <v>3</v>
      </c>
      <c r="BV462" t="str">
        <f>"Requires three months of previous landscape experience."</f>
        <v>Requires three months of previous landscape experience.</v>
      </c>
      <c r="BW462" t="s">
        <v>135</v>
      </c>
      <c r="BX462" t="str">
        <f>""</f>
        <v/>
      </c>
      <c r="BY462" t="str">
        <f>""</f>
        <v/>
      </c>
      <c r="BZ462" t="str">
        <f>""</f>
        <v/>
      </c>
      <c r="CA462" t="str">
        <f>"Must lift/carry 50 lbs., when necessary.  Standard workweek is 4 days per week. Friday, Saturday, and Sunday work required, when necessary. Post-hire drug testing required of foreign and domestic workers upon suspicion of use."</f>
        <v>Must lift/carry 50 lbs., when necessary.  Standard workweek is 4 days per week. Friday, Saturday, and Sunday work required, when necessary. Post-hire drug testing required of foreign and domestic workers upon suspicion of use.</v>
      </c>
      <c r="CB462" t="s">
        <v>131</v>
      </c>
      <c r="CF462" t="s">
        <v>131</v>
      </c>
      <c r="CH462" t="str">
        <f>""</f>
        <v/>
      </c>
      <c r="CI462" t="s">
        <v>131</v>
      </c>
      <c r="CK462" t="s">
        <v>131</v>
      </c>
      <c r="CL462" t="str">
        <f>""</f>
        <v/>
      </c>
      <c r="CM462" t="str">
        <f>""</f>
        <v/>
      </c>
      <c r="CN462" t="str">
        <f>""</f>
        <v/>
      </c>
      <c r="CO462" t="str">
        <f>""</f>
        <v/>
      </c>
      <c r="CP462" t="str">
        <f>"37-3011.00"</f>
        <v>37-3011.00</v>
      </c>
      <c r="CQ462" t="s">
        <v>920</v>
      </c>
      <c r="CR462" t="s">
        <v>2924</v>
      </c>
      <c r="CS462" t="s">
        <v>135</v>
      </c>
      <c r="CT462" t="s">
        <v>2925</v>
      </c>
      <c r="CU462" t="s">
        <v>15630</v>
      </c>
      <c r="CW462" t="s">
        <v>6274</v>
      </c>
      <c r="CX462" t="s">
        <v>1336</v>
      </c>
      <c r="CZ462" s="3" t="str">
        <f>"73131"</f>
        <v>73131</v>
      </c>
      <c r="DA462" t="s">
        <v>135</v>
      </c>
      <c r="DB462" t="str">
        <f>"37-3011"</f>
        <v>37-3011</v>
      </c>
      <c r="DC462" t="s">
        <v>920</v>
      </c>
      <c r="DD462" t="s">
        <v>134</v>
      </c>
      <c r="DE462" t="s">
        <v>134</v>
      </c>
      <c r="DF462" t="str">
        <f>""</f>
        <v/>
      </c>
      <c r="DH462" s="6">
        <v>13.92</v>
      </c>
      <c r="DI462" t="s">
        <v>344</v>
      </c>
      <c r="DK462" t="s">
        <v>345</v>
      </c>
      <c r="DS462" s="6">
        <v>13.92</v>
      </c>
      <c r="DT462" s="2" t="s">
        <v>2219</v>
      </c>
      <c r="DU462" s="1">
        <v>44356</v>
      </c>
      <c r="DV462" s="1">
        <v>44445</v>
      </c>
    </row>
    <row r="463" spans="1:126" ht="15" customHeight="1" x14ac:dyDescent="0.35">
      <c r="A463" t="s">
        <v>14179</v>
      </c>
      <c r="B463" t="s">
        <v>318</v>
      </c>
      <c r="C463" s="1">
        <v>44329</v>
      </c>
      <c r="D463" s="1">
        <v>44356</v>
      </c>
      <c r="H463" t="s">
        <v>319</v>
      </c>
      <c r="I463" t="s">
        <v>5402</v>
      </c>
      <c r="J463" t="s">
        <v>5403</v>
      </c>
      <c r="L463" t="s">
        <v>3296</v>
      </c>
      <c r="M463" t="s">
        <v>5404</v>
      </c>
      <c r="N463" t="s">
        <v>134</v>
      </c>
      <c r="O463" t="s">
        <v>4408</v>
      </c>
      <c r="P463" t="s">
        <v>194</v>
      </c>
      <c r="Q463" s="3">
        <v>34110</v>
      </c>
      <c r="R463" t="s">
        <v>128</v>
      </c>
      <c r="S463" t="s">
        <v>134</v>
      </c>
      <c r="T463" s="4">
        <v>12395927710</v>
      </c>
      <c r="V463" t="s">
        <v>5405</v>
      </c>
      <c r="W463" t="s">
        <v>5406</v>
      </c>
      <c r="X463" t="s">
        <v>5407</v>
      </c>
      <c r="Y463" t="s">
        <v>5404</v>
      </c>
      <c r="Z463" t="s">
        <v>134</v>
      </c>
      <c r="AA463" t="s">
        <v>4408</v>
      </c>
      <c r="AB463" t="s">
        <v>195</v>
      </c>
      <c r="AC463" s="3" t="str">
        <f>"34110"</f>
        <v>34110</v>
      </c>
      <c r="AD463" t="s">
        <v>128</v>
      </c>
      <c r="AE463" t="s">
        <v>134</v>
      </c>
      <c r="AF463" s="4">
        <v>12395927710</v>
      </c>
      <c r="AH463" t="str">
        <f>"713910"</f>
        <v>713910</v>
      </c>
      <c r="AI463" t="s">
        <v>130</v>
      </c>
      <c r="AJ463" t="s">
        <v>1386</v>
      </c>
      <c r="AK463" t="s">
        <v>1387</v>
      </c>
      <c r="AL463" t="s">
        <v>1036</v>
      </c>
      <c r="AM463" t="s">
        <v>1388</v>
      </c>
      <c r="AN463" t="s">
        <v>997</v>
      </c>
      <c r="AO463" t="s">
        <v>719</v>
      </c>
      <c r="AP463" t="s">
        <v>377</v>
      </c>
      <c r="AQ463" s="5">
        <v>1701</v>
      </c>
      <c r="AR463" t="s">
        <v>128</v>
      </c>
      <c r="AS463" t="s">
        <v>134</v>
      </c>
      <c r="AT463" s="4">
        <v>16179399444</v>
      </c>
      <c r="AV463" t="s">
        <v>1389</v>
      </c>
      <c r="AW463" t="s">
        <v>1390</v>
      </c>
      <c r="AX463" t="s">
        <v>131</v>
      </c>
      <c r="AY463" t="s">
        <v>131</v>
      </c>
      <c r="AZ463" t="s">
        <v>131</v>
      </c>
      <c r="BA463" t="s">
        <v>131</v>
      </c>
      <c r="BB463" t="s">
        <v>131</v>
      </c>
      <c r="BC463" t="s">
        <v>131</v>
      </c>
      <c r="BD463" t="s">
        <v>131</v>
      </c>
      <c r="BE463" t="s">
        <v>132</v>
      </c>
      <c r="BH463" t="s">
        <v>1080</v>
      </c>
      <c r="BI463" t="s">
        <v>131</v>
      </c>
      <c r="BL463" t="s">
        <v>167</v>
      </c>
      <c r="BO463" t="s">
        <v>131</v>
      </c>
      <c r="BP463" t="s">
        <v>134</v>
      </c>
      <c r="BQ463" t="s">
        <v>131</v>
      </c>
      <c r="BS463" t="str">
        <f t="shared" si="39"/>
        <v>N/A</v>
      </c>
      <c r="BT463" t="s">
        <v>135</v>
      </c>
      <c r="BU463">
        <v>12</v>
      </c>
      <c r="BV463" t="str">
        <f>"Cook"</f>
        <v>Cook</v>
      </c>
      <c r="BW463" t="s">
        <v>135</v>
      </c>
      <c r="BX463" t="str">
        <f>""</f>
        <v/>
      </c>
      <c r="BY463" t="str">
        <f>""</f>
        <v/>
      </c>
      <c r="BZ463" t="str">
        <f>""</f>
        <v/>
      </c>
      <c r="CA463" s="2" t="s">
        <v>14180</v>
      </c>
      <c r="CB463" t="s">
        <v>131</v>
      </c>
      <c r="CF463" t="s">
        <v>131</v>
      </c>
      <c r="CH463" t="str">
        <f>""</f>
        <v/>
      </c>
      <c r="CI463" t="s">
        <v>131</v>
      </c>
      <c r="CK463" t="s">
        <v>131</v>
      </c>
      <c r="CL463" t="str">
        <f>""</f>
        <v/>
      </c>
      <c r="CM463" t="str">
        <f>""</f>
        <v/>
      </c>
      <c r="CN463" t="str">
        <f>""</f>
        <v/>
      </c>
      <c r="CO463" t="str">
        <f>""</f>
        <v/>
      </c>
      <c r="CP463" t="str">
        <f>"35-2014.00"</f>
        <v>35-2014.00</v>
      </c>
      <c r="CQ463" t="s">
        <v>581</v>
      </c>
      <c r="CR463" t="s">
        <v>1941</v>
      </c>
      <c r="CS463" t="s">
        <v>131</v>
      </c>
      <c r="CU463" t="s">
        <v>5404</v>
      </c>
      <c r="CV463" t="s">
        <v>134</v>
      </c>
      <c r="CW463" t="s">
        <v>4408</v>
      </c>
      <c r="CX463" t="s">
        <v>195</v>
      </c>
      <c r="CZ463" s="3" t="str">
        <f>"34110"</f>
        <v>34110</v>
      </c>
      <c r="DA463" t="s">
        <v>131</v>
      </c>
      <c r="DB463" t="str">
        <f>"35-2014"</f>
        <v>35-2014</v>
      </c>
      <c r="DC463" t="s">
        <v>581</v>
      </c>
      <c r="DD463" t="s">
        <v>134</v>
      </c>
      <c r="DE463" t="s">
        <v>134</v>
      </c>
      <c r="DF463" t="str">
        <f>""</f>
        <v/>
      </c>
      <c r="DH463" s="6">
        <v>15.46</v>
      </c>
      <c r="DI463" t="s">
        <v>344</v>
      </c>
      <c r="DK463" t="s">
        <v>345</v>
      </c>
      <c r="DS463" s="6">
        <v>15.46</v>
      </c>
      <c r="DT463" t="s">
        <v>424</v>
      </c>
      <c r="DU463" s="1">
        <v>44356</v>
      </c>
      <c r="DV463" s="1">
        <v>44445</v>
      </c>
    </row>
    <row r="464" spans="1:126" ht="15" customHeight="1" x14ac:dyDescent="0.35">
      <c r="A464" t="s">
        <v>14304</v>
      </c>
      <c r="B464" t="s">
        <v>318</v>
      </c>
      <c r="C464" s="1">
        <v>44329</v>
      </c>
      <c r="D464" s="1">
        <v>44356</v>
      </c>
      <c r="H464" t="s">
        <v>319</v>
      </c>
      <c r="I464" t="s">
        <v>12115</v>
      </c>
      <c r="J464" t="s">
        <v>2755</v>
      </c>
      <c r="L464" t="s">
        <v>10473</v>
      </c>
      <c r="M464" t="s">
        <v>14305</v>
      </c>
      <c r="O464" t="s">
        <v>1677</v>
      </c>
      <c r="P464" t="s">
        <v>857</v>
      </c>
      <c r="Q464" s="3">
        <v>85262</v>
      </c>
      <c r="R464" t="s">
        <v>128</v>
      </c>
      <c r="T464" s="4">
        <v>14805155700</v>
      </c>
      <c r="V464" t="s">
        <v>14306</v>
      </c>
      <c r="W464" t="s">
        <v>14307</v>
      </c>
      <c r="X464" t="s">
        <v>14308</v>
      </c>
      <c r="Y464" t="s">
        <v>14309</v>
      </c>
      <c r="AA464" t="s">
        <v>1677</v>
      </c>
      <c r="AB464" t="s">
        <v>808</v>
      </c>
      <c r="AC464" s="3" t="str">
        <f>"85262"</f>
        <v>85262</v>
      </c>
      <c r="AD464" t="s">
        <v>128</v>
      </c>
      <c r="AF464" s="4">
        <v>14085155700</v>
      </c>
      <c r="AH464" t="str">
        <f>"721110"</f>
        <v>721110</v>
      </c>
      <c r="AI464" t="s">
        <v>130</v>
      </c>
      <c r="AJ464" t="s">
        <v>1386</v>
      </c>
      <c r="AK464" t="s">
        <v>1387</v>
      </c>
      <c r="AL464" t="s">
        <v>1036</v>
      </c>
      <c r="AM464" t="s">
        <v>1388</v>
      </c>
      <c r="AN464" t="s">
        <v>997</v>
      </c>
      <c r="AO464" t="s">
        <v>719</v>
      </c>
      <c r="AP464" t="s">
        <v>377</v>
      </c>
      <c r="AQ464" s="5">
        <v>1701</v>
      </c>
      <c r="AR464" t="s">
        <v>128</v>
      </c>
      <c r="AS464" t="s">
        <v>134</v>
      </c>
      <c r="AT464" s="4">
        <v>16179399444</v>
      </c>
      <c r="AV464" t="s">
        <v>1389</v>
      </c>
      <c r="AW464" t="s">
        <v>1390</v>
      </c>
      <c r="AX464" t="s">
        <v>131</v>
      </c>
      <c r="AY464" t="s">
        <v>131</v>
      </c>
      <c r="AZ464" t="s">
        <v>131</v>
      </c>
      <c r="BA464" t="s">
        <v>131</v>
      </c>
      <c r="BB464" t="s">
        <v>131</v>
      </c>
      <c r="BC464" t="s">
        <v>131</v>
      </c>
      <c r="BD464" t="s">
        <v>131</v>
      </c>
      <c r="BE464" t="s">
        <v>132</v>
      </c>
      <c r="BH464" t="s">
        <v>14310</v>
      </c>
      <c r="BI464" t="s">
        <v>131</v>
      </c>
      <c r="BL464" t="s">
        <v>167</v>
      </c>
      <c r="BO464" t="s">
        <v>131</v>
      </c>
      <c r="BP464" t="s">
        <v>134</v>
      </c>
      <c r="BQ464" t="s">
        <v>131</v>
      </c>
      <c r="BS464" t="str">
        <f t="shared" si="39"/>
        <v>N/A</v>
      </c>
      <c r="BT464" t="s">
        <v>135</v>
      </c>
      <c r="BU464">
        <v>3</v>
      </c>
      <c r="BV464" t="str">
        <f>"Guestroom Attendant"</f>
        <v>Guestroom Attendant</v>
      </c>
      <c r="BW464" t="s">
        <v>135</v>
      </c>
      <c r="BX464" t="str">
        <f>""</f>
        <v/>
      </c>
      <c r="BY464" t="str">
        <f>""</f>
        <v/>
      </c>
      <c r="BZ464" t="str">
        <f>""</f>
        <v/>
      </c>
      <c r="CA464" t="str">
        <f>"The Petitioner will consider for employment any person who possesses at least three (3) months of experience at a high-end hotel, resort, or private club.
Applicant must complete pre-employment background check."</f>
        <v>The Petitioner will consider for employment any person who possesses at least three (3) months of experience at a high-end hotel, resort, or private club.
Applicant must complete pre-employment background check.</v>
      </c>
      <c r="CB464" t="s">
        <v>131</v>
      </c>
      <c r="CF464" t="s">
        <v>131</v>
      </c>
      <c r="CH464" t="str">
        <f>""</f>
        <v/>
      </c>
      <c r="CI464" t="s">
        <v>131</v>
      </c>
      <c r="CK464" t="s">
        <v>131</v>
      </c>
      <c r="CL464" t="str">
        <f>""</f>
        <v/>
      </c>
      <c r="CM464" t="str">
        <f>""</f>
        <v/>
      </c>
      <c r="CN464" t="str">
        <f>""</f>
        <v/>
      </c>
      <c r="CO464" t="str">
        <f>""</f>
        <v/>
      </c>
      <c r="CP464" t="str">
        <f>"37-2012.00"</f>
        <v>37-2012.00</v>
      </c>
      <c r="CQ464" t="s">
        <v>479</v>
      </c>
      <c r="CR464" t="s">
        <v>8801</v>
      </c>
      <c r="CS464" t="s">
        <v>131</v>
      </c>
      <c r="CU464" t="s">
        <v>14309</v>
      </c>
      <c r="CW464" t="s">
        <v>1677</v>
      </c>
      <c r="CX464" t="s">
        <v>808</v>
      </c>
      <c r="CZ464" s="3" t="str">
        <f>"85262"</f>
        <v>85262</v>
      </c>
      <c r="DA464" t="s">
        <v>131</v>
      </c>
      <c r="DB464" t="str">
        <f>"37-2012"</f>
        <v>37-2012</v>
      </c>
      <c r="DC464" t="s">
        <v>479</v>
      </c>
      <c r="DD464" t="s">
        <v>134</v>
      </c>
      <c r="DE464" t="s">
        <v>134</v>
      </c>
      <c r="DF464" t="str">
        <f>""</f>
        <v/>
      </c>
      <c r="DH464" s="6">
        <v>12.45</v>
      </c>
      <c r="DI464" t="s">
        <v>344</v>
      </c>
      <c r="DK464" t="s">
        <v>345</v>
      </c>
      <c r="DS464" s="6">
        <v>12.45</v>
      </c>
      <c r="DT464" t="s">
        <v>424</v>
      </c>
      <c r="DU464" s="1">
        <v>44356</v>
      </c>
      <c r="DV464" s="1">
        <v>44445</v>
      </c>
    </row>
    <row r="465" spans="1:126" ht="15" customHeight="1" x14ac:dyDescent="0.35">
      <c r="A465" t="s">
        <v>16166</v>
      </c>
      <c r="B465" t="s">
        <v>318</v>
      </c>
      <c r="C465" s="1">
        <v>44329</v>
      </c>
      <c r="D465" s="1">
        <v>44356</v>
      </c>
      <c r="H465" t="s">
        <v>319</v>
      </c>
      <c r="I465" t="s">
        <v>12115</v>
      </c>
      <c r="J465" t="s">
        <v>2755</v>
      </c>
      <c r="L465" t="s">
        <v>10473</v>
      </c>
      <c r="M465" t="s">
        <v>16167</v>
      </c>
      <c r="O465" t="s">
        <v>1677</v>
      </c>
      <c r="P465" t="s">
        <v>857</v>
      </c>
      <c r="Q465" s="3">
        <v>85262</v>
      </c>
      <c r="R465" t="s">
        <v>128</v>
      </c>
      <c r="T465" s="4">
        <v>14805155700</v>
      </c>
      <c r="V465" t="s">
        <v>14306</v>
      </c>
      <c r="W465" t="s">
        <v>14307</v>
      </c>
      <c r="X465" t="s">
        <v>14308</v>
      </c>
      <c r="Y465" t="s">
        <v>14309</v>
      </c>
      <c r="AA465" t="s">
        <v>1677</v>
      </c>
      <c r="AB465" t="s">
        <v>808</v>
      </c>
      <c r="AC465" s="3" t="str">
        <f>"85262"</f>
        <v>85262</v>
      </c>
      <c r="AD465" t="s">
        <v>128</v>
      </c>
      <c r="AF465" s="4">
        <v>14805155700</v>
      </c>
      <c r="AH465" t="str">
        <f>"721110"</f>
        <v>721110</v>
      </c>
      <c r="AI465" t="s">
        <v>130</v>
      </c>
      <c r="AJ465" t="s">
        <v>1386</v>
      </c>
      <c r="AK465" t="s">
        <v>1387</v>
      </c>
      <c r="AL465" t="s">
        <v>1036</v>
      </c>
      <c r="AM465" t="s">
        <v>1388</v>
      </c>
      <c r="AN465" t="s">
        <v>997</v>
      </c>
      <c r="AO465" t="s">
        <v>719</v>
      </c>
      <c r="AP465" t="s">
        <v>377</v>
      </c>
      <c r="AQ465" s="5">
        <v>1701</v>
      </c>
      <c r="AR465" t="s">
        <v>128</v>
      </c>
      <c r="AS465" t="s">
        <v>134</v>
      </c>
      <c r="AT465" s="4">
        <v>16179399444</v>
      </c>
      <c r="AV465" t="s">
        <v>1389</v>
      </c>
      <c r="AW465" t="s">
        <v>1390</v>
      </c>
      <c r="AX465" t="s">
        <v>131</v>
      </c>
      <c r="AY465" t="s">
        <v>131</v>
      </c>
      <c r="AZ465" t="s">
        <v>131</v>
      </c>
      <c r="BA465" t="s">
        <v>131</v>
      </c>
      <c r="BB465" t="s">
        <v>131</v>
      </c>
      <c r="BC465" t="s">
        <v>131</v>
      </c>
      <c r="BD465" t="s">
        <v>131</v>
      </c>
      <c r="BE465" t="s">
        <v>132</v>
      </c>
      <c r="BH465" t="s">
        <v>16168</v>
      </c>
      <c r="BI465" t="s">
        <v>131</v>
      </c>
      <c r="BL465" t="s">
        <v>167</v>
      </c>
      <c r="BO465" t="s">
        <v>131</v>
      </c>
      <c r="BP465" t="s">
        <v>134</v>
      </c>
      <c r="BQ465" t="s">
        <v>131</v>
      </c>
      <c r="BS465" t="str">
        <f t="shared" si="39"/>
        <v>N/A</v>
      </c>
      <c r="BT465" t="s">
        <v>135</v>
      </c>
      <c r="BU465">
        <v>3</v>
      </c>
      <c r="BV465" t="str">
        <f>"Housekeeping Attendant"</f>
        <v>Housekeeping Attendant</v>
      </c>
      <c r="BW465" t="s">
        <v>135</v>
      </c>
      <c r="BX465" t="str">
        <f>""</f>
        <v/>
      </c>
      <c r="BY465" t="str">
        <f>""</f>
        <v/>
      </c>
      <c r="BZ465" t="str">
        <f>""</f>
        <v/>
      </c>
      <c r="CA465" t="str">
        <f>"The Petitioner will consider for employment any person who possesses at least three (3) months of experience at a high-end hotel, resort, or private club.
Applicant must complete pre-employment background check."</f>
        <v>The Petitioner will consider for employment any person who possesses at least three (3) months of experience at a high-end hotel, resort, or private club.
Applicant must complete pre-employment background check.</v>
      </c>
      <c r="CB465" t="s">
        <v>131</v>
      </c>
      <c r="CF465" t="s">
        <v>131</v>
      </c>
      <c r="CH465" t="str">
        <f>""</f>
        <v/>
      </c>
      <c r="CI465" t="s">
        <v>131</v>
      </c>
      <c r="CK465" t="s">
        <v>131</v>
      </c>
      <c r="CL465" t="str">
        <f>""</f>
        <v/>
      </c>
      <c r="CM465" t="str">
        <f>""</f>
        <v/>
      </c>
      <c r="CN465" t="str">
        <f>""</f>
        <v/>
      </c>
      <c r="CO465" t="str">
        <f>""</f>
        <v/>
      </c>
      <c r="CP465" t="str">
        <f>"37-2011.00"</f>
        <v>37-2011.00</v>
      </c>
      <c r="CQ465" t="s">
        <v>794</v>
      </c>
      <c r="CR465" t="s">
        <v>8801</v>
      </c>
      <c r="CS465" t="s">
        <v>131</v>
      </c>
      <c r="CU465" t="s">
        <v>14309</v>
      </c>
      <c r="CW465" t="s">
        <v>1677</v>
      </c>
      <c r="CX465" t="s">
        <v>808</v>
      </c>
      <c r="CZ465" s="3" t="str">
        <f>"85262"</f>
        <v>85262</v>
      </c>
      <c r="DA465" t="s">
        <v>131</v>
      </c>
      <c r="DB465" t="str">
        <f>"37-2011"</f>
        <v>37-2011</v>
      </c>
      <c r="DC465" t="s">
        <v>794</v>
      </c>
      <c r="DD465" t="s">
        <v>134</v>
      </c>
      <c r="DE465" t="s">
        <v>134</v>
      </c>
      <c r="DF465" t="str">
        <f>""</f>
        <v/>
      </c>
      <c r="DH465" s="6">
        <v>13.74</v>
      </c>
      <c r="DI465" t="s">
        <v>344</v>
      </c>
      <c r="DK465" t="s">
        <v>345</v>
      </c>
      <c r="DS465" s="6">
        <v>13.74</v>
      </c>
      <c r="DT465" t="s">
        <v>424</v>
      </c>
      <c r="DU465" s="1">
        <v>44356</v>
      </c>
      <c r="DV465" s="1">
        <v>44445</v>
      </c>
    </row>
    <row r="466" spans="1:126" ht="15" customHeight="1" x14ac:dyDescent="0.35">
      <c r="A466" t="s">
        <v>15101</v>
      </c>
      <c r="B466" t="s">
        <v>318</v>
      </c>
      <c r="C466" s="1">
        <v>44329</v>
      </c>
      <c r="D466" s="1">
        <v>44356</v>
      </c>
      <c r="H466" t="s">
        <v>319</v>
      </c>
      <c r="I466" t="s">
        <v>1590</v>
      </c>
      <c r="J466" t="s">
        <v>15102</v>
      </c>
      <c r="L466" t="s">
        <v>1793</v>
      </c>
      <c r="M466" t="s">
        <v>15103</v>
      </c>
      <c r="O466" t="s">
        <v>15104</v>
      </c>
      <c r="P466" t="s">
        <v>467</v>
      </c>
      <c r="Q466" s="3">
        <v>80424</v>
      </c>
      <c r="R466" t="s">
        <v>128</v>
      </c>
      <c r="T466" s="4">
        <v>19705474004</v>
      </c>
      <c r="V466" t="s">
        <v>15105</v>
      </c>
      <c r="W466" t="s">
        <v>15106</v>
      </c>
      <c r="X466" t="s">
        <v>15107</v>
      </c>
      <c r="Y466" t="s">
        <v>15103</v>
      </c>
      <c r="AA466" t="s">
        <v>15104</v>
      </c>
      <c r="AB466" t="s">
        <v>471</v>
      </c>
      <c r="AC466" s="3" t="str">
        <f>"80424"</f>
        <v>80424</v>
      </c>
      <c r="AD466" t="s">
        <v>128</v>
      </c>
      <c r="AF466" s="4">
        <v>19705474004</v>
      </c>
      <c r="AH466" t="str">
        <f>"72119"</f>
        <v>72119</v>
      </c>
      <c r="AI466" t="s">
        <v>130</v>
      </c>
      <c r="AJ466" t="s">
        <v>10092</v>
      </c>
      <c r="AK466" t="s">
        <v>10093</v>
      </c>
      <c r="AL466" t="s">
        <v>4907</v>
      </c>
      <c r="AM466" t="s">
        <v>9606</v>
      </c>
      <c r="AN466" t="s">
        <v>9607</v>
      </c>
      <c r="AO466" t="s">
        <v>1643</v>
      </c>
      <c r="AP466" t="s">
        <v>471</v>
      </c>
      <c r="AQ466" s="5">
        <v>80202</v>
      </c>
      <c r="AR466" t="s">
        <v>128</v>
      </c>
      <c r="AT466" s="4">
        <v>13032183669</v>
      </c>
      <c r="AV466" t="s">
        <v>10094</v>
      </c>
      <c r="AW466" t="s">
        <v>9608</v>
      </c>
      <c r="AX466" t="s">
        <v>131</v>
      </c>
      <c r="AY466" t="s">
        <v>131</v>
      </c>
      <c r="AZ466" t="s">
        <v>131</v>
      </c>
      <c r="BA466" t="s">
        <v>131</v>
      </c>
      <c r="BB466" t="s">
        <v>131</v>
      </c>
      <c r="BC466" t="s">
        <v>131</v>
      </c>
      <c r="BD466" t="s">
        <v>131</v>
      </c>
      <c r="BE466" t="s">
        <v>132</v>
      </c>
      <c r="BH466" t="s">
        <v>15108</v>
      </c>
      <c r="BI466" t="s">
        <v>131</v>
      </c>
      <c r="BL466" t="s">
        <v>167</v>
      </c>
      <c r="BO466" t="s">
        <v>131</v>
      </c>
      <c r="BP466" t="s">
        <v>134</v>
      </c>
      <c r="BQ466" t="s">
        <v>131</v>
      </c>
      <c r="BS466" t="str">
        <f t="shared" si="39"/>
        <v>N/A</v>
      </c>
      <c r="BT466" t="s">
        <v>135</v>
      </c>
      <c r="BU466">
        <v>3</v>
      </c>
      <c r="BV466" t="str">
        <f>"customer service or related"</f>
        <v>customer service or related</v>
      </c>
      <c r="BW466" t="s">
        <v>135</v>
      </c>
      <c r="BX466" t="str">
        <f>""</f>
        <v/>
      </c>
      <c r="BY466" t="str">
        <f>""</f>
        <v/>
      </c>
      <c r="BZ466" t="str">
        <f>""</f>
        <v/>
      </c>
      <c r="CA466" t="s">
        <v>15109</v>
      </c>
      <c r="CB466" t="s">
        <v>131</v>
      </c>
      <c r="CF466" t="s">
        <v>131</v>
      </c>
      <c r="CH466" t="str">
        <f>""</f>
        <v/>
      </c>
      <c r="CI466" t="s">
        <v>131</v>
      </c>
      <c r="CK466" t="s">
        <v>131</v>
      </c>
      <c r="CL466" t="str">
        <f>""</f>
        <v/>
      </c>
      <c r="CM466" t="str">
        <f>""</f>
        <v/>
      </c>
      <c r="CN466" t="str">
        <f>""</f>
        <v/>
      </c>
      <c r="CO466" t="str">
        <f>""</f>
        <v/>
      </c>
      <c r="CP466" t="str">
        <f>"43-4081.00"</f>
        <v>43-4081.00</v>
      </c>
      <c r="CQ466" t="s">
        <v>4499</v>
      </c>
      <c r="CS466" t="s">
        <v>131</v>
      </c>
      <c r="CU466" t="s">
        <v>15110</v>
      </c>
      <c r="CW466" t="s">
        <v>15104</v>
      </c>
      <c r="CX466" t="s">
        <v>471</v>
      </c>
      <c r="CZ466" s="3" t="str">
        <f>"80424"</f>
        <v>80424</v>
      </c>
      <c r="DA466" t="s">
        <v>131</v>
      </c>
      <c r="DB466" t="str">
        <f>"43-4081"</f>
        <v>43-4081</v>
      </c>
      <c r="DC466" t="s">
        <v>4499</v>
      </c>
      <c r="DD466" t="s">
        <v>134</v>
      </c>
      <c r="DE466" t="s">
        <v>134</v>
      </c>
      <c r="DF466" t="str">
        <f>""</f>
        <v/>
      </c>
      <c r="DH466" s="6">
        <v>16.57</v>
      </c>
      <c r="DI466" t="s">
        <v>344</v>
      </c>
      <c r="DK466" t="s">
        <v>345</v>
      </c>
      <c r="DS466" s="6">
        <v>16.57</v>
      </c>
      <c r="DT466" t="s">
        <v>424</v>
      </c>
      <c r="DU466" s="1">
        <v>44356</v>
      </c>
      <c r="DV466" s="1">
        <v>44445</v>
      </c>
    </row>
    <row r="467" spans="1:126" ht="15" customHeight="1" x14ac:dyDescent="0.35">
      <c r="A467" t="s">
        <v>15225</v>
      </c>
      <c r="B467" t="s">
        <v>318</v>
      </c>
      <c r="C467" s="1">
        <v>44329</v>
      </c>
      <c r="D467" s="1">
        <v>44356</v>
      </c>
      <c r="H467" t="s">
        <v>319</v>
      </c>
      <c r="I467" t="s">
        <v>1590</v>
      </c>
      <c r="J467" t="s">
        <v>15102</v>
      </c>
      <c r="L467" t="s">
        <v>1793</v>
      </c>
      <c r="M467" t="s">
        <v>15103</v>
      </c>
      <c r="O467" t="s">
        <v>15104</v>
      </c>
      <c r="P467" t="s">
        <v>467</v>
      </c>
      <c r="Q467" s="3">
        <v>80424</v>
      </c>
      <c r="R467" t="s">
        <v>128</v>
      </c>
      <c r="T467" s="4">
        <v>19705474004</v>
      </c>
      <c r="V467" t="s">
        <v>15105</v>
      </c>
      <c r="W467" t="s">
        <v>15106</v>
      </c>
      <c r="X467" t="s">
        <v>15107</v>
      </c>
      <c r="Y467" t="s">
        <v>15103</v>
      </c>
      <c r="AA467" t="s">
        <v>15104</v>
      </c>
      <c r="AB467" t="s">
        <v>471</v>
      </c>
      <c r="AC467" s="3" t="str">
        <f>"80424"</f>
        <v>80424</v>
      </c>
      <c r="AD467" t="s">
        <v>128</v>
      </c>
      <c r="AF467" s="4">
        <v>19705474004</v>
      </c>
      <c r="AH467" t="str">
        <f>"72119"</f>
        <v>72119</v>
      </c>
      <c r="AI467" t="s">
        <v>130</v>
      </c>
      <c r="AJ467" t="s">
        <v>10092</v>
      </c>
      <c r="AK467" t="s">
        <v>10093</v>
      </c>
      <c r="AL467" t="s">
        <v>4907</v>
      </c>
      <c r="AM467" t="s">
        <v>9606</v>
      </c>
      <c r="AN467" t="s">
        <v>9607</v>
      </c>
      <c r="AO467" t="s">
        <v>1643</v>
      </c>
      <c r="AP467" t="s">
        <v>471</v>
      </c>
      <c r="AQ467" s="5">
        <v>80202</v>
      </c>
      <c r="AR467" t="s">
        <v>128</v>
      </c>
      <c r="AT467" s="4">
        <v>13032183669</v>
      </c>
      <c r="AV467" t="s">
        <v>10094</v>
      </c>
      <c r="AW467" t="s">
        <v>9608</v>
      </c>
      <c r="AX467" t="s">
        <v>131</v>
      </c>
      <c r="AY467" t="s">
        <v>131</v>
      </c>
      <c r="AZ467" t="s">
        <v>131</v>
      </c>
      <c r="BA467" t="s">
        <v>131</v>
      </c>
      <c r="BB467" t="s">
        <v>131</v>
      </c>
      <c r="BC467" t="s">
        <v>131</v>
      </c>
      <c r="BD467" t="s">
        <v>131</v>
      </c>
      <c r="BE467" t="s">
        <v>132</v>
      </c>
      <c r="BH467" t="s">
        <v>1639</v>
      </c>
      <c r="BI467" t="s">
        <v>131</v>
      </c>
      <c r="BL467" t="s">
        <v>167</v>
      </c>
      <c r="BO467" t="s">
        <v>131</v>
      </c>
      <c r="BP467" t="s">
        <v>134</v>
      </c>
      <c r="BQ467" t="s">
        <v>131</v>
      </c>
      <c r="BS467" t="str">
        <f t="shared" si="39"/>
        <v>N/A</v>
      </c>
      <c r="BT467" t="s">
        <v>135</v>
      </c>
      <c r="BU467">
        <v>3</v>
      </c>
      <c r="BV467" t="str">
        <f>"housekeeping or related"</f>
        <v>housekeeping or related</v>
      </c>
      <c r="BW467" t="s">
        <v>135</v>
      </c>
      <c r="BX467" t="str">
        <f>""</f>
        <v/>
      </c>
      <c r="BY467" t="str">
        <f>""</f>
        <v/>
      </c>
      <c r="BZ467" t="str">
        <f>""</f>
        <v/>
      </c>
      <c r="CA467" t="s">
        <v>15226</v>
      </c>
      <c r="CB467" t="s">
        <v>131</v>
      </c>
      <c r="CF467" t="s">
        <v>131</v>
      </c>
      <c r="CH467" t="str">
        <f>""</f>
        <v/>
      </c>
      <c r="CI467" t="s">
        <v>131</v>
      </c>
      <c r="CK467" t="s">
        <v>131</v>
      </c>
      <c r="CL467" t="str">
        <f>""</f>
        <v/>
      </c>
      <c r="CM467" t="str">
        <f>""</f>
        <v/>
      </c>
      <c r="CN467" t="str">
        <f>""</f>
        <v/>
      </c>
      <c r="CO467" t="str">
        <f>""</f>
        <v/>
      </c>
      <c r="CP467" t="str">
        <f>"37-2012.00"</f>
        <v>37-2012.00</v>
      </c>
      <c r="CQ467" t="s">
        <v>479</v>
      </c>
      <c r="CS467" t="s">
        <v>131</v>
      </c>
      <c r="CU467" t="s">
        <v>15110</v>
      </c>
      <c r="CW467" t="s">
        <v>15104</v>
      </c>
      <c r="CX467" t="s">
        <v>471</v>
      </c>
      <c r="CZ467" s="3" t="str">
        <f>"80424"</f>
        <v>80424</v>
      </c>
      <c r="DA467" t="s">
        <v>131</v>
      </c>
      <c r="DB467" t="str">
        <f>"37-2012"</f>
        <v>37-2012</v>
      </c>
      <c r="DC467" t="s">
        <v>479</v>
      </c>
      <c r="DD467" t="s">
        <v>134</v>
      </c>
      <c r="DE467" t="s">
        <v>134</v>
      </c>
      <c r="DF467" t="str">
        <f>""</f>
        <v/>
      </c>
      <c r="DH467" s="6">
        <v>15.39</v>
      </c>
      <c r="DI467" t="s">
        <v>344</v>
      </c>
      <c r="DK467" t="s">
        <v>345</v>
      </c>
      <c r="DS467" s="6">
        <v>15.39</v>
      </c>
      <c r="DT467" t="s">
        <v>424</v>
      </c>
      <c r="DU467" s="1">
        <v>44356</v>
      </c>
      <c r="DV467" s="1">
        <v>44445</v>
      </c>
    </row>
    <row r="468" spans="1:126" ht="15" customHeight="1" x14ac:dyDescent="0.35">
      <c r="A468" t="s">
        <v>16351</v>
      </c>
      <c r="B468" t="s">
        <v>318</v>
      </c>
      <c r="C468" s="1">
        <v>44329</v>
      </c>
      <c r="D468" s="1">
        <v>44356</v>
      </c>
      <c r="H468" t="s">
        <v>319</v>
      </c>
      <c r="I468" t="s">
        <v>534</v>
      </c>
      <c r="J468" t="s">
        <v>1060</v>
      </c>
      <c r="L468" t="s">
        <v>286</v>
      </c>
      <c r="M468" t="s">
        <v>5723</v>
      </c>
      <c r="O468" t="s">
        <v>5724</v>
      </c>
      <c r="P468" t="s">
        <v>593</v>
      </c>
      <c r="Q468" s="3">
        <v>27529</v>
      </c>
      <c r="R468" t="s">
        <v>128</v>
      </c>
      <c r="T468" s="4">
        <v>19197728780</v>
      </c>
      <c r="V468" t="s">
        <v>5725</v>
      </c>
      <c r="W468" t="s">
        <v>16352</v>
      </c>
      <c r="X468" t="s">
        <v>16353</v>
      </c>
      <c r="Y468" t="s">
        <v>5723</v>
      </c>
      <c r="AA468" t="s">
        <v>5724</v>
      </c>
      <c r="AB468" t="s">
        <v>594</v>
      </c>
      <c r="AC468" s="3" t="str">
        <f>"27529"</f>
        <v>27529</v>
      </c>
      <c r="AD468" t="s">
        <v>128</v>
      </c>
      <c r="AF468" s="4">
        <v>19197728780</v>
      </c>
      <c r="AH468" t="str">
        <f>"238160"</f>
        <v>238160</v>
      </c>
      <c r="AI468" t="s">
        <v>130</v>
      </c>
      <c r="AJ468" t="s">
        <v>860</v>
      </c>
      <c r="AK468" t="s">
        <v>5730</v>
      </c>
      <c r="AL468" t="s">
        <v>5731</v>
      </c>
      <c r="AM468" t="s">
        <v>5732</v>
      </c>
      <c r="AN468" t="s">
        <v>16273</v>
      </c>
      <c r="AO468" t="s">
        <v>5733</v>
      </c>
      <c r="AP468" t="s">
        <v>779</v>
      </c>
      <c r="AQ468" s="5">
        <v>37122</v>
      </c>
      <c r="AR468" t="s">
        <v>128</v>
      </c>
      <c r="AT468" s="4">
        <v>19312428584</v>
      </c>
      <c r="AV468" t="s">
        <v>16354</v>
      </c>
      <c r="AW468" t="s">
        <v>16355</v>
      </c>
      <c r="AX468" t="s">
        <v>131</v>
      </c>
      <c r="AY468" t="s">
        <v>131</v>
      </c>
      <c r="AZ468" t="s">
        <v>131</v>
      </c>
      <c r="BA468" t="s">
        <v>131</v>
      </c>
      <c r="BB468" t="s">
        <v>131</v>
      </c>
      <c r="BC468" t="s">
        <v>131</v>
      </c>
      <c r="BD468" t="s">
        <v>131</v>
      </c>
      <c r="BE468" t="s">
        <v>132</v>
      </c>
      <c r="BH468" t="s">
        <v>5736</v>
      </c>
      <c r="BI468" t="s">
        <v>131</v>
      </c>
      <c r="BL468" t="s">
        <v>167</v>
      </c>
      <c r="BO468" t="s">
        <v>131</v>
      </c>
      <c r="BP468" t="s">
        <v>134</v>
      </c>
      <c r="BQ468" t="s">
        <v>131</v>
      </c>
      <c r="BS468" t="str">
        <f t="shared" si="39"/>
        <v>N/A</v>
      </c>
      <c r="BT468" t="s">
        <v>131</v>
      </c>
      <c r="BV468" t="str">
        <f>""</f>
        <v/>
      </c>
      <c r="BW468" t="s">
        <v>135</v>
      </c>
      <c r="BX468" t="str">
        <f>""</f>
        <v/>
      </c>
      <c r="BY468" t="str">
        <f>""</f>
        <v/>
      </c>
      <c r="BZ468" t="str">
        <f>""</f>
        <v/>
      </c>
      <c r="CA468" t="str">
        <f>"Workers must not have a fear of heights that hinders their ability to perform the job responsibilities. "</f>
        <v xml:space="preserve">Workers must not have a fear of heights that hinders their ability to perform the job responsibilities. </v>
      </c>
      <c r="CB468" t="s">
        <v>131</v>
      </c>
      <c r="CF468" t="s">
        <v>131</v>
      </c>
      <c r="CH468" t="str">
        <f>""</f>
        <v/>
      </c>
      <c r="CI468" t="s">
        <v>131</v>
      </c>
      <c r="CK468" t="s">
        <v>131</v>
      </c>
      <c r="CL468" t="str">
        <f>""</f>
        <v/>
      </c>
      <c r="CM468" t="str">
        <f>""</f>
        <v/>
      </c>
      <c r="CN468" t="str">
        <f>""</f>
        <v/>
      </c>
      <c r="CO468" t="str">
        <f>""</f>
        <v/>
      </c>
      <c r="CP468" t="str">
        <f>"47-2181.00"</f>
        <v>47-2181.00</v>
      </c>
      <c r="CQ468" t="s">
        <v>5601</v>
      </c>
      <c r="CR468" t="s">
        <v>16356</v>
      </c>
      <c r="CS468" t="s">
        <v>131</v>
      </c>
      <c r="CU468" t="s">
        <v>5723</v>
      </c>
      <c r="CW468" t="s">
        <v>5724</v>
      </c>
      <c r="CX468" t="s">
        <v>594</v>
      </c>
      <c r="CZ468" s="3" t="str">
        <f>"27529"</f>
        <v>27529</v>
      </c>
      <c r="DA468" t="s">
        <v>135</v>
      </c>
      <c r="DB468" t="str">
        <f>"47-2181"</f>
        <v>47-2181</v>
      </c>
      <c r="DC468" t="s">
        <v>5601</v>
      </c>
      <c r="DD468" t="s">
        <v>134</v>
      </c>
      <c r="DE468" t="s">
        <v>134</v>
      </c>
      <c r="DF468" t="str">
        <f>""</f>
        <v/>
      </c>
      <c r="DH468" s="6">
        <v>18.61</v>
      </c>
      <c r="DI468" t="s">
        <v>344</v>
      </c>
      <c r="DK468" t="s">
        <v>345</v>
      </c>
      <c r="DR468" t="s">
        <v>5737</v>
      </c>
      <c r="DS468" s="6">
        <v>19.28</v>
      </c>
      <c r="DT468" t="s">
        <v>424</v>
      </c>
      <c r="DU468" s="1">
        <v>44356</v>
      </c>
      <c r="DV468" s="1">
        <v>44445</v>
      </c>
    </row>
    <row r="469" spans="1:126" ht="15" customHeight="1" x14ac:dyDescent="0.35">
      <c r="A469" t="s">
        <v>17055</v>
      </c>
      <c r="B469" t="s">
        <v>318</v>
      </c>
      <c r="C469" s="1">
        <v>44329</v>
      </c>
      <c r="D469" s="1">
        <v>44356</v>
      </c>
      <c r="H469" t="s">
        <v>319</v>
      </c>
      <c r="I469" t="s">
        <v>5402</v>
      </c>
      <c r="J469" t="s">
        <v>5403</v>
      </c>
      <c r="L469" t="s">
        <v>3296</v>
      </c>
      <c r="M469" t="s">
        <v>5404</v>
      </c>
      <c r="N469" t="s">
        <v>134</v>
      </c>
      <c r="O469" t="s">
        <v>4408</v>
      </c>
      <c r="P469" t="s">
        <v>194</v>
      </c>
      <c r="Q469" s="3">
        <v>34110</v>
      </c>
      <c r="R469" t="s">
        <v>128</v>
      </c>
      <c r="S469" t="s">
        <v>134</v>
      </c>
      <c r="T469" s="4">
        <v>12395927710</v>
      </c>
      <c r="V469" t="s">
        <v>5405</v>
      </c>
      <c r="W469" t="s">
        <v>5406</v>
      </c>
      <c r="X469" t="s">
        <v>5407</v>
      </c>
      <c r="Y469" t="s">
        <v>5404</v>
      </c>
      <c r="Z469" t="s">
        <v>134</v>
      </c>
      <c r="AA469" t="s">
        <v>4408</v>
      </c>
      <c r="AB469" t="s">
        <v>195</v>
      </c>
      <c r="AC469" s="3" t="str">
        <f>"34110"</f>
        <v>34110</v>
      </c>
      <c r="AD469" t="s">
        <v>128</v>
      </c>
      <c r="AE469" t="s">
        <v>134</v>
      </c>
      <c r="AF469" s="4">
        <v>12395927710</v>
      </c>
      <c r="AH469" t="str">
        <f>"713910"</f>
        <v>713910</v>
      </c>
      <c r="AI469" t="s">
        <v>130</v>
      </c>
      <c r="AJ469" t="s">
        <v>1386</v>
      </c>
      <c r="AK469" t="s">
        <v>1387</v>
      </c>
      <c r="AL469" t="s">
        <v>1036</v>
      </c>
      <c r="AM469" t="s">
        <v>1388</v>
      </c>
      <c r="AN469" t="s">
        <v>997</v>
      </c>
      <c r="AO469" t="s">
        <v>719</v>
      </c>
      <c r="AP469" t="s">
        <v>377</v>
      </c>
      <c r="AQ469" s="5">
        <v>1701</v>
      </c>
      <c r="AR469" t="s">
        <v>128</v>
      </c>
      <c r="AS469" t="s">
        <v>134</v>
      </c>
      <c r="AT469" s="4">
        <v>16179399444</v>
      </c>
      <c r="AV469" t="s">
        <v>1389</v>
      </c>
      <c r="AW469" t="s">
        <v>1390</v>
      </c>
      <c r="AX469" t="s">
        <v>131</v>
      </c>
      <c r="AY469" t="s">
        <v>131</v>
      </c>
      <c r="AZ469" t="s">
        <v>131</v>
      </c>
      <c r="BA469" t="s">
        <v>131</v>
      </c>
      <c r="BB469" t="s">
        <v>131</v>
      </c>
      <c r="BC469" t="s">
        <v>131</v>
      </c>
      <c r="BD469" t="s">
        <v>131</v>
      </c>
      <c r="BE469" t="s">
        <v>132</v>
      </c>
      <c r="BH469" t="s">
        <v>1213</v>
      </c>
      <c r="BI469" t="s">
        <v>131</v>
      </c>
      <c r="BL469" t="s">
        <v>167</v>
      </c>
      <c r="BO469" t="s">
        <v>131</v>
      </c>
      <c r="BP469" t="s">
        <v>134</v>
      </c>
      <c r="BQ469" t="s">
        <v>131</v>
      </c>
      <c r="BS469" t="str">
        <f t="shared" si="39"/>
        <v>N/A</v>
      </c>
      <c r="BT469" t="s">
        <v>135</v>
      </c>
      <c r="BU469">
        <v>12</v>
      </c>
      <c r="BV469" t="str">
        <f>"Server"</f>
        <v>Server</v>
      </c>
      <c r="BW469" t="s">
        <v>135</v>
      </c>
      <c r="BX469" t="str">
        <f>""</f>
        <v/>
      </c>
      <c r="BY469" t="str">
        <f>""</f>
        <v/>
      </c>
      <c r="BZ469" t="str">
        <f>""</f>
        <v/>
      </c>
      <c r="CA469" s="2" t="s">
        <v>17056</v>
      </c>
      <c r="CB469" t="s">
        <v>131</v>
      </c>
      <c r="CF469" t="s">
        <v>131</v>
      </c>
      <c r="CH469" t="str">
        <f>""</f>
        <v/>
      </c>
      <c r="CI469" t="s">
        <v>131</v>
      </c>
      <c r="CK469" t="s">
        <v>131</v>
      </c>
      <c r="CL469" t="str">
        <f>""</f>
        <v/>
      </c>
      <c r="CM469" t="str">
        <f>""</f>
        <v/>
      </c>
      <c r="CN469" t="str">
        <f>""</f>
        <v/>
      </c>
      <c r="CO469" t="str">
        <f>""</f>
        <v/>
      </c>
      <c r="CP469" t="str">
        <f>"35-3031.00"</f>
        <v>35-3031.00</v>
      </c>
      <c r="CQ469" t="s">
        <v>1214</v>
      </c>
      <c r="CR469" t="s">
        <v>2553</v>
      </c>
      <c r="CS469" t="s">
        <v>131</v>
      </c>
      <c r="CU469" t="s">
        <v>5404</v>
      </c>
      <c r="CV469" t="s">
        <v>134</v>
      </c>
      <c r="CW469" t="s">
        <v>4408</v>
      </c>
      <c r="CX469" t="s">
        <v>195</v>
      </c>
      <c r="CZ469" s="3" t="str">
        <f>"34110"</f>
        <v>34110</v>
      </c>
      <c r="DA469" t="s">
        <v>131</v>
      </c>
      <c r="DB469" t="str">
        <f>"35-3031"</f>
        <v>35-3031</v>
      </c>
      <c r="DC469" t="s">
        <v>1214</v>
      </c>
      <c r="DD469" t="s">
        <v>134</v>
      </c>
      <c r="DE469" t="s">
        <v>134</v>
      </c>
      <c r="DF469" t="str">
        <f>""</f>
        <v/>
      </c>
      <c r="DH469" s="6">
        <v>15.48</v>
      </c>
      <c r="DI469" t="s">
        <v>344</v>
      </c>
      <c r="DK469" t="s">
        <v>345</v>
      </c>
      <c r="DS469" s="6">
        <v>15.48</v>
      </c>
      <c r="DT469" t="s">
        <v>424</v>
      </c>
      <c r="DU469" s="1">
        <v>44356</v>
      </c>
      <c r="DV469" s="1">
        <v>44445</v>
      </c>
    </row>
    <row r="470" spans="1:126" ht="15" customHeight="1" x14ac:dyDescent="0.35">
      <c r="A470" t="s">
        <v>5401</v>
      </c>
      <c r="B470" t="s">
        <v>318</v>
      </c>
      <c r="C470" s="1">
        <v>44329</v>
      </c>
      <c r="D470" s="1">
        <v>44356</v>
      </c>
      <c r="H470" t="s">
        <v>319</v>
      </c>
      <c r="I470" t="s">
        <v>5402</v>
      </c>
      <c r="J470" t="s">
        <v>5403</v>
      </c>
      <c r="L470" t="s">
        <v>3296</v>
      </c>
      <c r="M470" t="s">
        <v>5404</v>
      </c>
      <c r="N470" t="s">
        <v>134</v>
      </c>
      <c r="O470" t="s">
        <v>4408</v>
      </c>
      <c r="P470" t="s">
        <v>194</v>
      </c>
      <c r="Q470" s="3">
        <v>34110</v>
      </c>
      <c r="R470" t="s">
        <v>128</v>
      </c>
      <c r="S470" t="s">
        <v>134</v>
      </c>
      <c r="T470" s="4">
        <v>12395927710</v>
      </c>
      <c r="V470" t="s">
        <v>5405</v>
      </c>
      <c r="W470" t="s">
        <v>5406</v>
      </c>
      <c r="X470" t="s">
        <v>5407</v>
      </c>
      <c r="Y470" t="s">
        <v>5404</v>
      </c>
      <c r="Z470" t="s">
        <v>134</v>
      </c>
      <c r="AA470" t="s">
        <v>4408</v>
      </c>
      <c r="AB470" t="s">
        <v>195</v>
      </c>
      <c r="AC470" s="3" t="str">
        <f>"34110"</f>
        <v>34110</v>
      </c>
      <c r="AD470" t="s">
        <v>128</v>
      </c>
      <c r="AE470" t="s">
        <v>134</v>
      </c>
      <c r="AF470" s="4">
        <v>12395927710</v>
      </c>
      <c r="AH470" t="str">
        <f>"713910"</f>
        <v>713910</v>
      </c>
      <c r="AI470" t="s">
        <v>130</v>
      </c>
      <c r="AJ470" t="s">
        <v>1386</v>
      </c>
      <c r="AK470" t="s">
        <v>1387</v>
      </c>
      <c r="AL470" t="s">
        <v>1036</v>
      </c>
      <c r="AM470" t="s">
        <v>1388</v>
      </c>
      <c r="AN470" t="s">
        <v>997</v>
      </c>
      <c r="AO470" t="s">
        <v>719</v>
      </c>
      <c r="AP470" t="s">
        <v>377</v>
      </c>
      <c r="AQ470" s="5">
        <v>1701</v>
      </c>
      <c r="AR470" t="s">
        <v>128</v>
      </c>
      <c r="AS470" t="s">
        <v>134</v>
      </c>
      <c r="AT470" s="4">
        <v>16179399444</v>
      </c>
      <c r="AV470" t="s">
        <v>1389</v>
      </c>
      <c r="AW470" t="s">
        <v>1390</v>
      </c>
      <c r="AX470" t="s">
        <v>131</v>
      </c>
      <c r="AY470" t="s">
        <v>131</v>
      </c>
      <c r="AZ470" t="s">
        <v>131</v>
      </c>
      <c r="BA470" t="s">
        <v>131</v>
      </c>
      <c r="BB470" t="s">
        <v>131</v>
      </c>
      <c r="BC470" t="s">
        <v>131</v>
      </c>
      <c r="BD470" t="s">
        <v>131</v>
      </c>
      <c r="BE470" t="s">
        <v>132</v>
      </c>
      <c r="BH470" t="s">
        <v>5408</v>
      </c>
      <c r="BI470" t="s">
        <v>131</v>
      </c>
      <c r="BL470" t="s">
        <v>167</v>
      </c>
      <c r="BO470" t="s">
        <v>131</v>
      </c>
      <c r="BP470" t="s">
        <v>134</v>
      </c>
      <c r="BQ470" t="s">
        <v>131</v>
      </c>
      <c r="BS470" t="str">
        <f t="shared" si="39"/>
        <v>N/A</v>
      </c>
      <c r="BT470" t="s">
        <v>135</v>
      </c>
      <c r="BU470">
        <v>3</v>
      </c>
      <c r="BV470" t="str">
        <f>"Busser/Food Runner"</f>
        <v>Busser/Food Runner</v>
      </c>
      <c r="BW470" t="s">
        <v>135</v>
      </c>
      <c r="BX470" t="str">
        <f>""</f>
        <v/>
      </c>
      <c r="BY470" t="str">
        <f>""</f>
        <v/>
      </c>
      <c r="BZ470" t="str">
        <f>""</f>
        <v/>
      </c>
      <c r="CA470" s="2" t="s">
        <v>5409</v>
      </c>
      <c r="CB470" t="s">
        <v>131</v>
      </c>
      <c r="CF470" t="s">
        <v>131</v>
      </c>
      <c r="CH470" t="str">
        <f>""</f>
        <v/>
      </c>
      <c r="CI470" t="s">
        <v>131</v>
      </c>
      <c r="CK470" t="s">
        <v>131</v>
      </c>
      <c r="CL470" t="str">
        <f>""</f>
        <v/>
      </c>
      <c r="CM470" t="str">
        <f>""</f>
        <v/>
      </c>
      <c r="CN470" t="str">
        <f>""</f>
        <v/>
      </c>
      <c r="CO470" t="str">
        <f>""</f>
        <v/>
      </c>
      <c r="CP470" t="str">
        <f>"35-9011.00"</f>
        <v>35-9011.00</v>
      </c>
      <c r="CQ470" t="s">
        <v>1016</v>
      </c>
      <c r="CR470" t="s">
        <v>2553</v>
      </c>
      <c r="CS470" t="s">
        <v>131</v>
      </c>
      <c r="CU470" t="s">
        <v>5404</v>
      </c>
      <c r="CV470" t="s">
        <v>134</v>
      </c>
      <c r="CW470" t="s">
        <v>4408</v>
      </c>
      <c r="CX470" t="s">
        <v>195</v>
      </c>
      <c r="CZ470" s="3" t="str">
        <f>"34110"</f>
        <v>34110</v>
      </c>
      <c r="DA470" t="s">
        <v>131</v>
      </c>
      <c r="DB470" t="str">
        <f>"35-9011"</f>
        <v>35-9011</v>
      </c>
      <c r="DC470" t="s">
        <v>1016</v>
      </c>
      <c r="DD470" t="s">
        <v>134</v>
      </c>
      <c r="DE470" t="s">
        <v>134</v>
      </c>
      <c r="DF470" t="str">
        <f>""</f>
        <v/>
      </c>
      <c r="DH470" s="6">
        <v>11.41</v>
      </c>
      <c r="DI470" t="s">
        <v>344</v>
      </c>
      <c r="DK470" t="s">
        <v>345</v>
      </c>
      <c r="DS470" s="6">
        <v>11.41</v>
      </c>
      <c r="DT470" t="s">
        <v>424</v>
      </c>
      <c r="DU470" s="1">
        <v>44356</v>
      </c>
      <c r="DV470" s="1">
        <v>44445</v>
      </c>
    </row>
    <row r="471" spans="1:126" ht="15" customHeight="1" x14ac:dyDescent="0.35">
      <c r="A471" t="s">
        <v>9979</v>
      </c>
      <c r="B471" t="s">
        <v>318</v>
      </c>
      <c r="C471" s="1">
        <v>44329</v>
      </c>
      <c r="D471" s="1">
        <v>44356</v>
      </c>
      <c r="H471" t="s">
        <v>319</v>
      </c>
      <c r="I471" t="s">
        <v>534</v>
      </c>
      <c r="J471" t="s">
        <v>6151</v>
      </c>
      <c r="L471" t="s">
        <v>3767</v>
      </c>
      <c r="M471" t="s">
        <v>9980</v>
      </c>
      <c r="O471" t="s">
        <v>9981</v>
      </c>
      <c r="P471" t="s">
        <v>1004</v>
      </c>
      <c r="Q471" s="3">
        <v>84065</v>
      </c>
      <c r="R471" t="s">
        <v>128</v>
      </c>
      <c r="T471" s="4">
        <v>18018105452</v>
      </c>
      <c r="V471" t="s">
        <v>9982</v>
      </c>
      <c r="W471" t="s">
        <v>9983</v>
      </c>
      <c r="X471" t="s">
        <v>9984</v>
      </c>
      <c r="Y471" t="s">
        <v>9980</v>
      </c>
      <c r="AA471" t="s">
        <v>9981</v>
      </c>
      <c r="AB471" t="s">
        <v>1008</v>
      </c>
      <c r="AC471" s="3" t="str">
        <f>"84065"</f>
        <v>84065</v>
      </c>
      <c r="AD471" t="s">
        <v>128</v>
      </c>
      <c r="AF471" s="4">
        <v>18018105452</v>
      </c>
      <c r="AH471" t="str">
        <f>"56173"</f>
        <v>56173</v>
      </c>
      <c r="AI471" t="s">
        <v>287</v>
      </c>
      <c r="AJ471" t="s">
        <v>2209</v>
      </c>
      <c r="AK471" t="s">
        <v>1459</v>
      </c>
      <c r="AL471" t="s">
        <v>2210</v>
      </c>
      <c r="AM471" t="s">
        <v>2211</v>
      </c>
      <c r="AN471" t="s">
        <v>788</v>
      </c>
      <c r="AO471" t="s">
        <v>2212</v>
      </c>
      <c r="AP471" t="s">
        <v>400</v>
      </c>
      <c r="AQ471" s="5">
        <v>75033</v>
      </c>
      <c r="AR471" t="s">
        <v>128</v>
      </c>
      <c r="AT471" s="4">
        <v>19727789690</v>
      </c>
      <c r="AV471" t="s">
        <v>7179</v>
      </c>
      <c r="AW471" t="s">
        <v>2214</v>
      </c>
      <c r="AX471" t="s">
        <v>131</v>
      </c>
      <c r="AY471" t="s">
        <v>131</v>
      </c>
      <c r="AZ471" t="s">
        <v>131</v>
      </c>
      <c r="BA471" t="s">
        <v>131</v>
      </c>
      <c r="BB471" t="s">
        <v>131</v>
      </c>
      <c r="BC471" t="s">
        <v>131</v>
      </c>
      <c r="BD471" t="s">
        <v>131</v>
      </c>
      <c r="BE471" t="s">
        <v>132</v>
      </c>
      <c r="BH471" t="s">
        <v>9985</v>
      </c>
      <c r="BI471" t="s">
        <v>131</v>
      </c>
      <c r="BL471" t="s">
        <v>167</v>
      </c>
      <c r="BO471" t="s">
        <v>131</v>
      </c>
      <c r="BP471" t="s">
        <v>134</v>
      </c>
      <c r="BQ471" t="s">
        <v>131</v>
      </c>
      <c r="BS471" t="str">
        <f t="shared" si="39"/>
        <v>N/A</v>
      </c>
      <c r="BT471" t="s">
        <v>131</v>
      </c>
      <c r="BV471" t="str">
        <f>""</f>
        <v/>
      </c>
      <c r="BW471" t="s">
        <v>135</v>
      </c>
      <c r="BX471" t="str">
        <f>""</f>
        <v/>
      </c>
      <c r="BY471" t="str">
        <f>""</f>
        <v/>
      </c>
      <c r="BZ471" t="str">
        <f>""</f>
        <v/>
      </c>
      <c r="CA471" t="str">
        <f>"Must be able to work a 5-day schedule, may include weekends and holidays as required. Applicants must complete an employment application. "</f>
        <v xml:space="preserve">Must be able to work a 5-day schedule, may include weekends and holidays as required. Applicants must complete an employment application. </v>
      </c>
      <c r="CB471" t="s">
        <v>131</v>
      </c>
      <c r="CF471" t="s">
        <v>131</v>
      </c>
      <c r="CH471" t="str">
        <f>""</f>
        <v/>
      </c>
      <c r="CI471" t="s">
        <v>131</v>
      </c>
      <c r="CK471" t="s">
        <v>131</v>
      </c>
      <c r="CL471" t="str">
        <f>""</f>
        <v/>
      </c>
      <c r="CM471" t="str">
        <f>""</f>
        <v/>
      </c>
      <c r="CN471" t="str">
        <f>""</f>
        <v/>
      </c>
      <c r="CO471" t="str">
        <f>""</f>
        <v/>
      </c>
      <c r="CP471" t="str">
        <f>"37-3011.00"</f>
        <v>37-3011.00</v>
      </c>
      <c r="CQ471" t="s">
        <v>920</v>
      </c>
      <c r="CS471" t="s">
        <v>135</v>
      </c>
      <c r="CT471" t="s">
        <v>9986</v>
      </c>
      <c r="CU471" t="s">
        <v>9987</v>
      </c>
      <c r="CW471" t="s">
        <v>9988</v>
      </c>
      <c r="CX471" t="s">
        <v>1008</v>
      </c>
      <c r="CZ471" s="3" t="str">
        <f>"84065"</f>
        <v>84065</v>
      </c>
      <c r="DA471" t="s">
        <v>135</v>
      </c>
      <c r="DB471" t="str">
        <f>"37-3011"</f>
        <v>37-3011</v>
      </c>
      <c r="DC471" t="s">
        <v>920</v>
      </c>
      <c r="DD471" t="s">
        <v>134</v>
      </c>
      <c r="DE471" t="s">
        <v>134</v>
      </c>
      <c r="DF471" t="str">
        <f>""</f>
        <v/>
      </c>
      <c r="DH471" s="6">
        <v>15.31</v>
      </c>
      <c r="DI471" t="s">
        <v>344</v>
      </c>
      <c r="DK471" t="s">
        <v>345</v>
      </c>
      <c r="DR471" t="s">
        <v>9989</v>
      </c>
      <c r="DS471" s="6">
        <v>15.7</v>
      </c>
      <c r="DT471" s="2" t="s">
        <v>347</v>
      </c>
      <c r="DU471" s="1">
        <v>44356</v>
      </c>
      <c r="DV471" s="1">
        <v>44445</v>
      </c>
    </row>
    <row r="472" spans="1:126" ht="15" customHeight="1" x14ac:dyDescent="0.35">
      <c r="A472" t="s">
        <v>11252</v>
      </c>
      <c r="B472" t="s">
        <v>318</v>
      </c>
      <c r="C472" s="1">
        <v>44329</v>
      </c>
      <c r="D472" s="1">
        <v>44356</v>
      </c>
      <c r="H472" t="s">
        <v>319</v>
      </c>
      <c r="I472" t="s">
        <v>11253</v>
      </c>
      <c r="J472" t="s">
        <v>1689</v>
      </c>
      <c r="L472" t="s">
        <v>2107</v>
      </c>
      <c r="M472" t="s">
        <v>11254</v>
      </c>
      <c r="O472" t="s">
        <v>7566</v>
      </c>
      <c r="P472" t="s">
        <v>588</v>
      </c>
      <c r="Q472" s="3">
        <v>22180</v>
      </c>
      <c r="R472" t="s">
        <v>128</v>
      </c>
      <c r="T472" s="4">
        <v>15713849181</v>
      </c>
      <c r="V472" t="s">
        <v>11255</v>
      </c>
      <c r="W472" t="s">
        <v>11256</v>
      </c>
      <c r="Y472" t="s">
        <v>11254</v>
      </c>
      <c r="AA472" t="s">
        <v>7566</v>
      </c>
      <c r="AB472" t="s">
        <v>306</v>
      </c>
      <c r="AC472" s="3" t="str">
        <f>"22180"</f>
        <v>22180</v>
      </c>
      <c r="AD472" t="s">
        <v>128</v>
      </c>
      <c r="AF472" s="4">
        <v>15713849181</v>
      </c>
      <c r="AH472" t="str">
        <f>"814110"</f>
        <v>814110</v>
      </c>
      <c r="AI472" t="s">
        <v>130</v>
      </c>
      <c r="AJ472" t="s">
        <v>8346</v>
      </c>
      <c r="AK472" t="s">
        <v>11257</v>
      </c>
      <c r="AL472" t="s">
        <v>1660</v>
      </c>
      <c r="AM472" t="s">
        <v>2971</v>
      </c>
      <c r="AN472" t="s">
        <v>2972</v>
      </c>
      <c r="AO472" t="s">
        <v>2737</v>
      </c>
      <c r="AP472" t="s">
        <v>195</v>
      </c>
      <c r="AQ472" s="5">
        <v>33410</v>
      </c>
      <c r="AR472" t="s">
        <v>128</v>
      </c>
      <c r="AT472" s="4">
        <v>15614785353</v>
      </c>
      <c r="AV472" t="s">
        <v>11191</v>
      </c>
      <c r="AW472" t="s">
        <v>2974</v>
      </c>
      <c r="AX472" t="s">
        <v>131</v>
      </c>
      <c r="AY472" t="s">
        <v>131</v>
      </c>
      <c r="AZ472" t="s">
        <v>131</v>
      </c>
      <c r="BA472" t="s">
        <v>131</v>
      </c>
      <c r="BB472" t="s">
        <v>131</v>
      </c>
      <c r="BC472" t="s">
        <v>131</v>
      </c>
      <c r="BD472" t="s">
        <v>131</v>
      </c>
      <c r="BE472" t="s">
        <v>132</v>
      </c>
      <c r="BH472" t="s">
        <v>11258</v>
      </c>
      <c r="BI472" t="s">
        <v>131</v>
      </c>
      <c r="BL472" t="s">
        <v>167</v>
      </c>
      <c r="BO472" t="s">
        <v>131</v>
      </c>
      <c r="BP472" t="s">
        <v>134</v>
      </c>
      <c r="BQ472" t="s">
        <v>131</v>
      </c>
      <c r="BS472" t="str">
        <f t="shared" si="39"/>
        <v>N/A</v>
      </c>
      <c r="BT472" t="s">
        <v>131</v>
      </c>
      <c r="BV472" t="str">
        <f>""</f>
        <v/>
      </c>
      <c r="BW472" t="s">
        <v>131</v>
      </c>
      <c r="BX472" t="str">
        <f>""</f>
        <v/>
      </c>
      <c r="BY472" t="str">
        <f>""</f>
        <v/>
      </c>
      <c r="BZ472" t="str">
        <f>""</f>
        <v/>
      </c>
      <c r="CA472" t="str">
        <f>""</f>
        <v/>
      </c>
      <c r="CB472" t="s">
        <v>131</v>
      </c>
      <c r="CF472" t="s">
        <v>131</v>
      </c>
      <c r="CH472" t="str">
        <f>""</f>
        <v/>
      </c>
      <c r="CI472" t="s">
        <v>131</v>
      </c>
      <c r="CK472" t="s">
        <v>131</v>
      </c>
      <c r="CL472" t="str">
        <f>""</f>
        <v/>
      </c>
      <c r="CM472" t="str">
        <f>""</f>
        <v/>
      </c>
      <c r="CN472" t="str">
        <f>""</f>
        <v/>
      </c>
      <c r="CO472" t="str">
        <f>""</f>
        <v/>
      </c>
      <c r="CP472" t="str">
        <f>"39-9011.01"</f>
        <v>39-9011.01</v>
      </c>
      <c r="CQ472" t="s">
        <v>339</v>
      </c>
      <c r="CR472" t="s">
        <v>2107</v>
      </c>
      <c r="CS472" t="s">
        <v>131</v>
      </c>
      <c r="CU472" t="s">
        <v>11254</v>
      </c>
      <c r="CW472" t="s">
        <v>7566</v>
      </c>
      <c r="CX472" t="s">
        <v>306</v>
      </c>
      <c r="CZ472" s="3" t="str">
        <f>"22180"</f>
        <v>22180</v>
      </c>
      <c r="DA472" t="s">
        <v>131</v>
      </c>
      <c r="DB472" t="str">
        <f>"39-9011"</f>
        <v>39-9011</v>
      </c>
      <c r="DC472" t="s">
        <v>342</v>
      </c>
      <c r="DD472" t="s">
        <v>343</v>
      </c>
      <c r="DE472" t="s">
        <v>339</v>
      </c>
      <c r="DF472" t="str">
        <f>""</f>
        <v/>
      </c>
      <c r="DH472" s="6">
        <v>14.2</v>
      </c>
      <c r="DI472" t="s">
        <v>344</v>
      </c>
      <c r="DK472" t="s">
        <v>345</v>
      </c>
      <c r="DR472" t="s">
        <v>9742</v>
      </c>
      <c r="DS472" s="6">
        <v>14.2</v>
      </c>
      <c r="DT472" t="s">
        <v>424</v>
      </c>
      <c r="DU472" s="1">
        <v>44356</v>
      </c>
      <c r="DV472" s="1">
        <v>44445</v>
      </c>
    </row>
    <row r="473" spans="1:126" ht="15" customHeight="1" x14ac:dyDescent="0.35">
      <c r="A473" t="s">
        <v>4180</v>
      </c>
      <c r="B473" t="s">
        <v>318</v>
      </c>
      <c r="C473" s="1">
        <v>44329</v>
      </c>
      <c r="D473" s="1">
        <v>44356</v>
      </c>
      <c r="H473" t="s">
        <v>319</v>
      </c>
      <c r="I473" t="s">
        <v>4181</v>
      </c>
      <c r="J473" t="s">
        <v>1081</v>
      </c>
      <c r="L473" t="s">
        <v>1797</v>
      </c>
      <c r="M473" t="s">
        <v>4182</v>
      </c>
      <c r="O473" t="s">
        <v>536</v>
      </c>
      <c r="P473" t="s">
        <v>194</v>
      </c>
      <c r="Q473" s="3">
        <v>33069</v>
      </c>
      <c r="R473" t="s">
        <v>128</v>
      </c>
      <c r="T473" s="4">
        <v>19545566406</v>
      </c>
      <c r="V473" t="s">
        <v>4183</v>
      </c>
      <c r="W473" t="s">
        <v>4184</v>
      </c>
      <c r="X473" t="s">
        <v>134</v>
      </c>
      <c r="Y473" t="s">
        <v>4185</v>
      </c>
      <c r="Z473" t="s">
        <v>134</v>
      </c>
      <c r="AA473" t="s">
        <v>536</v>
      </c>
      <c r="AB473" t="s">
        <v>195</v>
      </c>
      <c r="AC473" s="3" t="str">
        <f>"33069"</f>
        <v>33069</v>
      </c>
      <c r="AD473" t="s">
        <v>128</v>
      </c>
      <c r="AE473" t="s">
        <v>134</v>
      </c>
      <c r="AF473" s="4">
        <v>19547837849</v>
      </c>
      <c r="AG473">
        <v>0</v>
      </c>
      <c r="AH473" t="str">
        <f>"424480"</f>
        <v>424480</v>
      </c>
      <c r="AI473" t="s">
        <v>130</v>
      </c>
      <c r="AJ473" t="s">
        <v>1709</v>
      </c>
      <c r="AK473" t="s">
        <v>1710</v>
      </c>
      <c r="AL473" t="s">
        <v>695</v>
      </c>
      <c r="AM473" t="s">
        <v>1711</v>
      </c>
      <c r="AO473" t="s">
        <v>792</v>
      </c>
      <c r="AP473" t="s">
        <v>172</v>
      </c>
      <c r="AQ473" s="5">
        <v>92106</v>
      </c>
      <c r="AR473" t="s">
        <v>128</v>
      </c>
      <c r="AT473" s="4">
        <v>16192696164</v>
      </c>
      <c r="AV473" t="s">
        <v>1712</v>
      </c>
      <c r="AW473" t="s">
        <v>1713</v>
      </c>
      <c r="AX473" t="s">
        <v>131</v>
      </c>
      <c r="AY473" t="s">
        <v>131</v>
      </c>
      <c r="AZ473" t="s">
        <v>131</v>
      </c>
      <c r="BA473" t="s">
        <v>131</v>
      </c>
      <c r="BB473" t="s">
        <v>131</v>
      </c>
      <c r="BC473" t="s">
        <v>131</v>
      </c>
      <c r="BD473" t="s">
        <v>131</v>
      </c>
      <c r="BE473" t="s">
        <v>132</v>
      </c>
      <c r="BH473" t="s">
        <v>4186</v>
      </c>
      <c r="BI473" t="s">
        <v>131</v>
      </c>
      <c r="BL473" t="s">
        <v>167</v>
      </c>
      <c r="BO473" t="s">
        <v>131</v>
      </c>
      <c r="BP473" t="s">
        <v>134</v>
      </c>
      <c r="BQ473" t="s">
        <v>131</v>
      </c>
      <c r="BS473" t="str">
        <f t="shared" si="39"/>
        <v>N/A</v>
      </c>
      <c r="BT473" t="s">
        <v>135</v>
      </c>
      <c r="BU473">
        <v>3</v>
      </c>
      <c r="BV473" t="str">
        <f>"Melon Grader, Sorter, Packer"</f>
        <v>Melon Grader, Sorter, Packer</v>
      </c>
      <c r="BW473" t="s">
        <v>131</v>
      </c>
      <c r="BX473" t="str">
        <f>""</f>
        <v/>
      </c>
      <c r="BY473" t="str">
        <f>""</f>
        <v/>
      </c>
      <c r="BZ473" t="str">
        <f>""</f>
        <v/>
      </c>
      <c r="CA473" t="str">
        <f>""</f>
        <v/>
      </c>
      <c r="CB473" t="s">
        <v>131</v>
      </c>
      <c r="CF473" t="s">
        <v>131</v>
      </c>
      <c r="CH473" t="str">
        <f>""</f>
        <v/>
      </c>
      <c r="CI473" t="s">
        <v>131</v>
      </c>
      <c r="CK473" t="s">
        <v>131</v>
      </c>
      <c r="CL473" t="str">
        <f>""</f>
        <v/>
      </c>
      <c r="CM473" t="str">
        <f>""</f>
        <v/>
      </c>
      <c r="CN473" t="str">
        <f>""</f>
        <v/>
      </c>
      <c r="CO473" t="str">
        <f>""</f>
        <v/>
      </c>
      <c r="CP473" t="str">
        <f>"45-2041.00"</f>
        <v>45-2041.00</v>
      </c>
      <c r="CQ473" t="s">
        <v>4187</v>
      </c>
      <c r="CR473" t="s">
        <v>4188</v>
      </c>
      <c r="CS473" t="s">
        <v>131</v>
      </c>
      <c r="CU473" t="s">
        <v>4185</v>
      </c>
      <c r="CW473" t="s">
        <v>4189</v>
      </c>
      <c r="CX473" t="s">
        <v>195</v>
      </c>
      <c r="CZ473" s="3" t="str">
        <f>"33069"</f>
        <v>33069</v>
      </c>
      <c r="DA473" t="s">
        <v>131</v>
      </c>
      <c r="DB473" t="str">
        <f>"45-2041"</f>
        <v>45-2041</v>
      </c>
      <c r="DC473" t="s">
        <v>4187</v>
      </c>
      <c r="DD473" t="s">
        <v>134</v>
      </c>
      <c r="DE473" t="s">
        <v>134</v>
      </c>
      <c r="DF473" t="str">
        <f>""</f>
        <v/>
      </c>
      <c r="DH473" s="6">
        <v>9.6999999999999993</v>
      </c>
      <c r="DI473" t="s">
        <v>344</v>
      </c>
      <c r="DK473" t="s">
        <v>345</v>
      </c>
      <c r="DS473" s="6">
        <v>9.6999999999999993</v>
      </c>
      <c r="DT473" t="s">
        <v>424</v>
      </c>
      <c r="DU473" s="1">
        <v>44356</v>
      </c>
      <c r="DV473" s="1">
        <v>44445</v>
      </c>
    </row>
    <row r="474" spans="1:126" ht="15" customHeight="1" x14ac:dyDescent="0.35">
      <c r="A474" t="s">
        <v>12111</v>
      </c>
      <c r="B474" t="s">
        <v>318</v>
      </c>
      <c r="C474" s="1">
        <v>44329</v>
      </c>
      <c r="D474" s="1">
        <v>44356</v>
      </c>
      <c r="H474" t="s">
        <v>319</v>
      </c>
      <c r="I474" t="s">
        <v>4181</v>
      </c>
      <c r="J474" t="s">
        <v>1081</v>
      </c>
      <c r="L474" t="s">
        <v>1797</v>
      </c>
      <c r="M474" t="s">
        <v>4185</v>
      </c>
      <c r="O474" t="s">
        <v>536</v>
      </c>
      <c r="P474" t="s">
        <v>194</v>
      </c>
      <c r="Q474" s="3">
        <v>33069</v>
      </c>
      <c r="R474" t="s">
        <v>128</v>
      </c>
      <c r="T474" s="4">
        <v>19545566406</v>
      </c>
      <c r="V474" t="s">
        <v>4183</v>
      </c>
      <c r="W474" t="s">
        <v>4184</v>
      </c>
      <c r="X474" t="s">
        <v>134</v>
      </c>
      <c r="Y474" t="s">
        <v>4185</v>
      </c>
      <c r="Z474" t="s">
        <v>134</v>
      </c>
      <c r="AA474" t="s">
        <v>536</v>
      </c>
      <c r="AB474" t="s">
        <v>195</v>
      </c>
      <c r="AC474" s="3" t="str">
        <f>"33069"</f>
        <v>33069</v>
      </c>
      <c r="AD474" t="s">
        <v>128</v>
      </c>
      <c r="AE474" t="s">
        <v>134</v>
      </c>
      <c r="AF474" s="4">
        <v>19547837849</v>
      </c>
      <c r="AG474">
        <v>0</v>
      </c>
      <c r="AH474" t="str">
        <f>"424480"</f>
        <v>424480</v>
      </c>
      <c r="AI474" t="s">
        <v>130</v>
      </c>
      <c r="AJ474" t="s">
        <v>1709</v>
      </c>
      <c r="AK474" t="s">
        <v>1710</v>
      </c>
      <c r="AL474" t="s">
        <v>695</v>
      </c>
      <c r="AM474" t="s">
        <v>1711</v>
      </c>
      <c r="AO474" t="s">
        <v>792</v>
      </c>
      <c r="AP474" t="s">
        <v>172</v>
      </c>
      <c r="AQ474" s="5">
        <v>92106</v>
      </c>
      <c r="AR474" t="s">
        <v>128</v>
      </c>
      <c r="AT474" s="4">
        <v>16192696164</v>
      </c>
      <c r="AV474" t="s">
        <v>1712</v>
      </c>
      <c r="AW474" t="s">
        <v>1713</v>
      </c>
      <c r="AX474" t="s">
        <v>131</v>
      </c>
      <c r="AY474" t="s">
        <v>131</v>
      </c>
      <c r="AZ474" t="s">
        <v>131</v>
      </c>
      <c r="BA474" t="s">
        <v>131</v>
      </c>
      <c r="BB474" t="s">
        <v>131</v>
      </c>
      <c r="BC474" t="s">
        <v>131</v>
      </c>
      <c r="BD474" t="s">
        <v>131</v>
      </c>
      <c r="BE474" t="s">
        <v>132</v>
      </c>
      <c r="BH474" t="s">
        <v>4186</v>
      </c>
      <c r="BI474" t="s">
        <v>131</v>
      </c>
      <c r="BL474" t="s">
        <v>167</v>
      </c>
      <c r="BO474" t="s">
        <v>131</v>
      </c>
      <c r="BP474" t="s">
        <v>134</v>
      </c>
      <c r="BQ474" t="s">
        <v>131</v>
      </c>
      <c r="BS474" t="str">
        <f t="shared" si="39"/>
        <v>N/A</v>
      </c>
      <c r="BT474" t="s">
        <v>135</v>
      </c>
      <c r="BU474">
        <v>3</v>
      </c>
      <c r="BV474" t="str">
        <f>"Melon Grader, Sorter, Packer"</f>
        <v>Melon Grader, Sorter, Packer</v>
      </c>
      <c r="BW474" t="s">
        <v>131</v>
      </c>
      <c r="BX474" t="str">
        <f>""</f>
        <v/>
      </c>
      <c r="BY474" t="str">
        <f>""</f>
        <v/>
      </c>
      <c r="BZ474" t="str">
        <f>""</f>
        <v/>
      </c>
      <c r="CA474" t="str">
        <f>""</f>
        <v/>
      </c>
      <c r="CB474" t="s">
        <v>131</v>
      </c>
      <c r="CF474" t="s">
        <v>131</v>
      </c>
      <c r="CH474" t="str">
        <f>""</f>
        <v/>
      </c>
      <c r="CI474" t="s">
        <v>131</v>
      </c>
      <c r="CK474" t="s">
        <v>131</v>
      </c>
      <c r="CL474" t="str">
        <f>""</f>
        <v/>
      </c>
      <c r="CM474" t="str">
        <f>""</f>
        <v/>
      </c>
      <c r="CN474" t="str">
        <f>""</f>
        <v/>
      </c>
      <c r="CO474" t="str">
        <f>""</f>
        <v/>
      </c>
      <c r="CP474" t="str">
        <f>"45-2041.00"</f>
        <v>45-2041.00</v>
      </c>
      <c r="CQ474" t="s">
        <v>4187</v>
      </c>
      <c r="CR474" t="s">
        <v>12112</v>
      </c>
      <c r="CS474" t="s">
        <v>131</v>
      </c>
      <c r="CU474" t="s">
        <v>12113</v>
      </c>
      <c r="CW474" t="s">
        <v>12114</v>
      </c>
      <c r="CX474" t="s">
        <v>312</v>
      </c>
      <c r="CZ474" s="3" t="str">
        <f>"19022"</f>
        <v>19022</v>
      </c>
      <c r="DA474" t="s">
        <v>131</v>
      </c>
      <c r="DB474" t="str">
        <f>"45-2041"</f>
        <v>45-2041</v>
      </c>
      <c r="DC474" t="s">
        <v>4187</v>
      </c>
      <c r="DD474" t="s">
        <v>134</v>
      </c>
      <c r="DE474" t="s">
        <v>134</v>
      </c>
      <c r="DF474" t="str">
        <f>""</f>
        <v/>
      </c>
      <c r="DH474" s="6">
        <v>12.22</v>
      </c>
      <c r="DI474" t="s">
        <v>344</v>
      </c>
      <c r="DK474" t="s">
        <v>345</v>
      </c>
      <c r="DS474" s="6">
        <v>12.22</v>
      </c>
      <c r="DT474" t="s">
        <v>424</v>
      </c>
      <c r="DU474" s="1">
        <v>44356</v>
      </c>
      <c r="DV474" s="1">
        <v>44445</v>
      </c>
    </row>
    <row r="475" spans="1:126" ht="15" customHeight="1" x14ac:dyDescent="0.35">
      <c r="A475" t="s">
        <v>19618</v>
      </c>
      <c r="B475" t="s">
        <v>318</v>
      </c>
      <c r="C475" s="1">
        <v>44329</v>
      </c>
      <c r="D475" s="1">
        <v>44356</v>
      </c>
      <c r="H475" t="s">
        <v>319</v>
      </c>
      <c r="I475" t="s">
        <v>19619</v>
      </c>
      <c r="J475" t="s">
        <v>3391</v>
      </c>
      <c r="K475" t="s">
        <v>734</v>
      </c>
      <c r="L475" t="s">
        <v>19620</v>
      </c>
      <c r="M475" t="s">
        <v>19621</v>
      </c>
      <c r="O475" t="s">
        <v>19622</v>
      </c>
      <c r="P475" t="s">
        <v>1217</v>
      </c>
      <c r="Q475" s="3">
        <v>36509</v>
      </c>
      <c r="R475" t="s">
        <v>128</v>
      </c>
      <c r="T475" s="4">
        <v>12518242185</v>
      </c>
      <c r="V475" t="s">
        <v>15618</v>
      </c>
      <c r="W475" t="s">
        <v>19623</v>
      </c>
      <c r="Y475" t="s">
        <v>19624</v>
      </c>
      <c r="AA475" t="s">
        <v>19622</v>
      </c>
      <c r="AB475" t="s">
        <v>1218</v>
      </c>
      <c r="AC475" s="3" t="str">
        <f>"36509"</f>
        <v>36509</v>
      </c>
      <c r="AD475" t="s">
        <v>128</v>
      </c>
      <c r="AF475" s="4">
        <v>12518242185</v>
      </c>
      <c r="AH475" t="str">
        <f>"31171"</f>
        <v>31171</v>
      </c>
      <c r="AI475" t="s">
        <v>287</v>
      </c>
      <c r="AJ475" t="s">
        <v>19625</v>
      </c>
      <c r="AK475" t="s">
        <v>12620</v>
      </c>
      <c r="AL475" t="s">
        <v>415</v>
      </c>
      <c r="AM475" t="s">
        <v>15621</v>
      </c>
      <c r="AO475" t="s">
        <v>8627</v>
      </c>
      <c r="AP475" t="s">
        <v>400</v>
      </c>
      <c r="AQ475" s="5">
        <v>78526</v>
      </c>
      <c r="AR475" t="s">
        <v>128</v>
      </c>
      <c r="AT475" s="4">
        <v>19564661656</v>
      </c>
      <c r="AV475" t="s">
        <v>19626</v>
      </c>
      <c r="AW475" t="s">
        <v>19627</v>
      </c>
      <c r="AX475" t="s">
        <v>131</v>
      </c>
      <c r="AY475" t="s">
        <v>131</v>
      </c>
      <c r="AZ475" t="s">
        <v>131</v>
      </c>
      <c r="BA475" t="s">
        <v>131</v>
      </c>
      <c r="BB475" t="s">
        <v>131</v>
      </c>
      <c r="BC475" t="s">
        <v>131</v>
      </c>
      <c r="BD475" t="s">
        <v>131</v>
      </c>
      <c r="BE475" t="s">
        <v>132</v>
      </c>
      <c r="BH475" t="s">
        <v>19628</v>
      </c>
      <c r="BI475" t="s">
        <v>131</v>
      </c>
      <c r="BL475" t="s">
        <v>167</v>
      </c>
      <c r="BO475" t="s">
        <v>131</v>
      </c>
      <c r="BP475" t="s">
        <v>134</v>
      </c>
      <c r="BQ475" t="s">
        <v>131</v>
      </c>
      <c r="BS475" t="str">
        <f t="shared" si="39"/>
        <v>N/A</v>
      </c>
      <c r="BT475" t="s">
        <v>135</v>
      </c>
      <c r="BU475">
        <v>1</v>
      </c>
      <c r="BV475" t="str">
        <f>"OYSTER SHUCKER"</f>
        <v>OYSTER SHUCKER</v>
      </c>
      <c r="BW475" t="s">
        <v>131</v>
      </c>
      <c r="BX475" t="str">
        <f>""</f>
        <v/>
      </c>
      <c r="BY475" t="str">
        <f>""</f>
        <v/>
      </c>
      <c r="BZ475" t="str">
        <f>""</f>
        <v/>
      </c>
      <c r="CA475" t="str">
        <f>""</f>
        <v/>
      </c>
      <c r="CB475" t="s">
        <v>131</v>
      </c>
      <c r="CF475" t="s">
        <v>131</v>
      </c>
      <c r="CH475" t="str">
        <f>""</f>
        <v/>
      </c>
      <c r="CI475" t="s">
        <v>131</v>
      </c>
      <c r="CK475" t="s">
        <v>131</v>
      </c>
      <c r="CL475" t="str">
        <f>""</f>
        <v/>
      </c>
      <c r="CM475" t="str">
        <f>""</f>
        <v/>
      </c>
      <c r="CN475" t="str">
        <f>""</f>
        <v/>
      </c>
      <c r="CO475" t="str">
        <f>""</f>
        <v/>
      </c>
      <c r="CP475" t="str">
        <f>"51-9198.00"</f>
        <v>51-9198.00</v>
      </c>
      <c r="CQ475" t="s">
        <v>2685</v>
      </c>
      <c r="CS475" t="s">
        <v>131</v>
      </c>
      <c r="CU475" t="s">
        <v>19624</v>
      </c>
      <c r="CW475" t="s">
        <v>19622</v>
      </c>
      <c r="CX475" t="s">
        <v>1218</v>
      </c>
      <c r="CZ475" s="3" t="str">
        <f>"36509"</f>
        <v>36509</v>
      </c>
      <c r="DA475" t="s">
        <v>131</v>
      </c>
      <c r="DB475" t="str">
        <f>"51-3022"</f>
        <v>51-3022</v>
      </c>
      <c r="DC475" t="s">
        <v>1114</v>
      </c>
      <c r="DD475" t="s">
        <v>134</v>
      </c>
      <c r="DE475" t="s">
        <v>134</v>
      </c>
      <c r="DF475" t="str">
        <f>""</f>
        <v/>
      </c>
      <c r="DH475" s="6">
        <v>10.76</v>
      </c>
      <c r="DI475" t="s">
        <v>344</v>
      </c>
      <c r="DK475" t="s">
        <v>345</v>
      </c>
      <c r="DR475" t="s">
        <v>9406</v>
      </c>
      <c r="DS475" s="6">
        <v>10.76</v>
      </c>
      <c r="DT475" t="s">
        <v>424</v>
      </c>
      <c r="DU475" s="1">
        <v>44356</v>
      </c>
      <c r="DV475" s="1">
        <v>44445</v>
      </c>
    </row>
    <row r="476" spans="1:126" ht="15" customHeight="1" x14ac:dyDescent="0.35">
      <c r="A476" t="s">
        <v>14892</v>
      </c>
      <c r="B476" t="s">
        <v>318</v>
      </c>
      <c r="C476" s="1">
        <v>44330</v>
      </c>
      <c r="D476" s="1">
        <v>44357</v>
      </c>
      <c r="H476" t="s">
        <v>319</v>
      </c>
      <c r="I476" t="s">
        <v>14893</v>
      </c>
      <c r="J476" t="s">
        <v>3091</v>
      </c>
      <c r="L476" t="s">
        <v>14894</v>
      </c>
      <c r="M476" t="s">
        <v>14895</v>
      </c>
      <c r="O476" t="s">
        <v>7413</v>
      </c>
      <c r="P476" t="s">
        <v>412</v>
      </c>
      <c r="Q476" s="3">
        <v>77983</v>
      </c>
      <c r="R476" t="s">
        <v>128</v>
      </c>
      <c r="T476" s="4">
        <v>13612376897</v>
      </c>
      <c r="V476" t="s">
        <v>14896</v>
      </c>
      <c r="W476" t="s">
        <v>14897</v>
      </c>
      <c r="Y476" t="s">
        <v>14895</v>
      </c>
      <c r="AA476" t="s">
        <v>7413</v>
      </c>
      <c r="AB476" t="s">
        <v>400</v>
      </c>
      <c r="AC476" s="3" t="str">
        <f>"77983"</f>
        <v>77983</v>
      </c>
      <c r="AD476" t="s">
        <v>128</v>
      </c>
      <c r="AF476" s="4">
        <v>13612376897</v>
      </c>
      <c r="AH476" t="str">
        <f>"114112"</f>
        <v>114112</v>
      </c>
      <c r="AI476" t="s">
        <v>130</v>
      </c>
      <c r="AJ476" t="s">
        <v>1764</v>
      </c>
      <c r="AK476" t="s">
        <v>1261</v>
      </c>
      <c r="AL476" t="s">
        <v>655</v>
      </c>
      <c r="AM476" t="s">
        <v>1765</v>
      </c>
      <c r="AO476" t="s">
        <v>1766</v>
      </c>
      <c r="AP476" t="s">
        <v>1763</v>
      </c>
      <c r="AQ476" s="5">
        <v>70130</v>
      </c>
      <c r="AR476" t="s">
        <v>128</v>
      </c>
      <c r="AT476" s="4">
        <v>15045861922</v>
      </c>
      <c r="AV476" t="s">
        <v>1767</v>
      </c>
      <c r="AW476" t="s">
        <v>14898</v>
      </c>
      <c r="AX476" t="s">
        <v>131</v>
      </c>
      <c r="AY476" t="s">
        <v>131</v>
      </c>
      <c r="AZ476" t="s">
        <v>131</v>
      </c>
      <c r="BA476" t="s">
        <v>131</v>
      </c>
      <c r="BB476" t="s">
        <v>131</v>
      </c>
      <c r="BC476" t="s">
        <v>131</v>
      </c>
      <c r="BD476" t="s">
        <v>131</v>
      </c>
      <c r="BE476" t="s">
        <v>132</v>
      </c>
      <c r="BH476" t="s">
        <v>1769</v>
      </c>
      <c r="BI476" t="s">
        <v>131</v>
      </c>
      <c r="BL476" t="s">
        <v>167</v>
      </c>
      <c r="BO476" t="s">
        <v>131</v>
      </c>
      <c r="BP476" t="s">
        <v>134</v>
      </c>
      <c r="BQ476" t="s">
        <v>131</v>
      </c>
      <c r="BS476" t="str">
        <f t="shared" si="39"/>
        <v>N/A</v>
      </c>
      <c r="BT476" t="s">
        <v>131</v>
      </c>
      <c r="BV476" t="str">
        <f>""</f>
        <v/>
      </c>
      <c r="BW476" t="s">
        <v>131</v>
      </c>
      <c r="BX476" t="str">
        <f>""</f>
        <v/>
      </c>
      <c r="BY476" t="str">
        <f>""</f>
        <v/>
      </c>
      <c r="BZ476" t="str">
        <f>""</f>
        <v/>
      </c>
      <c r="CA476" t="str">
        <f>""</f>
        <v/>
      </c>
      <c r="CB476" t="s">
        <v>131</v>
      </c>
      <c r="CF476" t="s">
        <v>131</v>
      </c>
      <c r="CH476" t="str">
        <f>""</f>
        <v/>
      </c>
      <c r="CI476" t="s">
        <v>131</v>
      </c>
      <c r="CK476" t="s">
        <v>131</v>
      </c>
      <c r="CL476" t="str">
        <f>""</f>
        <v/>
      </c>
      <c r="CM476" t="str">
        <f>""</f>
        <v/>
      </c>
      <c r="CN476" t="str">
        <f>""</f>
        <v/>
      </c>
      <c r="CO476" t="str">
        <f>""</f>
        <v/>
      </c>
      <c r="CP476" t="str">
        <f>"45-3011.00"</f>
        <v>45-3011.00</v>
      </c>
      <c r="CQ476" t="s">
        <v>1770</v>
      </c>
      <c r="CR476" t="s">
        <v>1771</v>
      </c>
      <c r="CS476" t="s">
        <v>131</v>
      </c>
      <c r="CU476" t="s">
        <v>14895</v>
      </c>
      <c r="CW476" t="s">
        <v>7413</v>
      </c>
      <c r="CX476" t="s">
        <v>400</v>
      </c>
      <c r="CZ476" s="3" t="str">
        <f>"77983"</f>
        <v>77983</v>
      </c>
      <c r="DA476" t="s">
        <v>131</v>
      </c>
      <c r="DB476" t="str">
        <f>"45-3011"</f>
        <v>45-3011</v>
      </c>
      <c r="DC476" t="s">
        <v>1770</v>
      </c>
      <c r="DD476" t="s">
        <v>134</v>
      </c>
      <c r="DE476" t="s">
        <v>134</v>
      </c>
      <c r="DF476" t="str">
        <f>""</f>
        <v/>
      </c>
      <c r="DH476" s="6">
        <v>14.29</v>
      </c>
      <c r="DI476" t="s">
        <v>344</v>
      </c>
      <c r="DK476" t="s">
        <v>345</v>
      </c>
      <c r="DS476" s="6">
        <v>14.29</v>
      </c>
      <c r="DT476" t="s">
        <v>424</v>
      </c>
      <c r="DU476" s="1">
        <v>44357</v>
      </c>
      <c r="DV476" s="1">
        <v>44446</v>
      </c>
    </row>
    <row r="477" spans="1:126" ht="15" customHeight="1" x14ac:dyDescent="0.35">
      <c r="A477" t="s">
        <v>20166</v>
      </c>
      <c r="B477" t="s">
        <v>318</v>
      </c>
      <c r="C477" s="1">
        <v>44330</v>
      </c>
      <c r="D477" s="1">
        <v>44357</v>
      </c>
      <c r="H477" t="s">
        <v>319</v>
      </c>
      <c r="I477" t="s">
        <v>4806</v>
      </c>
      <c r="J477" t="s">
        <v>13916</v>
      </c>
      <c r="L477" t="s">
        <v>1177</v>
      </c>
      <c r="M477" t="s">
        <v>20167</v>
      </c>
      <c r="N477" t="s">
        <v>20168</v>
      </c>
      <c r="O477" t="s">
        <v>13639</v>
      </c>
      <c r="P477" t="s">
        <v>194</v>
      </c>
      <c r="Q477" s="3">
        <v>33469</v>
      </c>
      <c r="R477" t="s">
        <v>128</v>
      </c>
      <c r="T477" s="4">
        <v>15615756778</v>
      </c>
      <c r="V477" t="s">
        <v>20169</v>
      </c>
      <c r="W477" t="s">
        <v>20170</v>
      </c>
      <c r="Y477" t="s">
        <v>20167</v>
      </c>
      <c r="Z477" t="s">
        <v>20168</v>
      </c>
      <c r="AA477" t="s">
        <v>13639</v>
      </c>
      <c r="AB477" t="s">
        <v>195</v>
      </c>
      <c r="AC477" s="3" t="str">
        <f>"33469"</f>
        <v>33469</v>
      </c>
      <c r="AD477" t="s">
        <v>128</v>
      </c>
      <c r="AF477" s="4">
        <v>15617144172</v>
      </c>
      <c r="AH477" t="str">
        <f>"541620"</f>
        <v>541620</v>
      </c>
      <c r="AI477" t="s">
        <v>130</v>
      </c>
      <c r="AJ477" t="s">
        <v>8346</v>
      </c>
      <c r="AK477" t="s">
        <v>11257</v>
      </c>
      <c r="AL477" t="s">
        <v>1660</v>
      </c>
      <c r="AM477" t="s">
        <v>2971</v>
      </c>
      <c r="AN477" t="s">
        <v>2972</v>
      </c>
      <c r="AO477" t="s">
        <v>2737</v>
      </c>
      <c r="AP477" t="s">
        <v>195</v>
      </c>
      <c r="AQ477" s="5">
        <v>33410</v>
      </c>
      <c r="AR477" t="s">
        <v>128</v>
      </c>
      <c r="AT477" s="4">
        <v>15614785353</v>
      </c>
      <c r="AV477" t="s">
        <v>2973</v>
      </c>
      <c r="AW477" t="s">
        <v>2974</v>
      </c>
      <c r="AX477" t="s">
        <v>131</v>
      </c>
      <c r="AY477" t="s">
        <v>131</v>
      </c>
      <c r="AZ477" t="s">
        <v>131</v>
      </c>
      <c r="BA477" t="s">
        <v>131</v>
      </c>
      <c r="BB477" t="s">
        <v>131</v>
      </c>
      <c r="BC477" t="s">
        <v>131</v>
      </c>
      <c r="BD477" t="s">
        <v>131</v>
      </c>
      <c r="BE477" t="s">
        <v>132</v>
      </c>
      <c r="BH477" t="s">
        <v>6431</v>
      </c>
      <c r="BI477" t="s">
        <v>131</v>
      </c>
      <c r="BL477" t="s">
        <v>167</v>
      </c>
      <c r="BO477" t="s">
        <v>131</v>
      </c>
      <c r="BP477" t="s">
        <v>134</v>
      </c>
      <c r="BQ477" t="s">
        <v>131</v>
      </c>
      <c r="BS477" t="str">
        <f t="shared" si="39"/>
        <v>N/A</v>
      </c>
      <c r="BT477" t="s">
        <v>131</v>
      </c>
      <c r="BV477" t="str">
        <f>""</f>
        <v/>
      </c>
      <c r="BW477" t="s">
        <v>131</v>
      </c>
      <c r="BX477" t="str">
        <f>""</f>
        <v/>
      </c>
      <c r="BY477" t="str">
        <f>""</f>
        <v/>
      </c>
      <c r="BZ477" t="str">
        <f>""</f>
        <v/>
      </c>
      <c r="CA477" t="str">
        <f>""</f>
        <v/>
      </c>
      <c r="CB477" t="s">
        <v>131</v>
      </c>
      <c r="CF477" t="s">
        <v>131</v>
      </c>
      <c r="CH477" t="str">
        <f>""</f>
        <v/>
      </c>
      <c r="CI477" t="s">
        <v>131</v>
      </c>
      <c r="CK477" t="s">
        <v>131</v>
      </c>
      <c r="CL477" t="str">
        <f>""</f>
        <v/>
      </c>
      <c r="CM477" t="str">
        <f>""</f>
        <v/>
      </c>
      <c r="CN477" t="str">
        <f>""</f>
        <v/>
      </c>
      <c r="CO477" t="str">
        <f>""</f>
        <v/>
      </c>
      <c r="CP477" t="str">
        <f>"45-4011.00"</f>
        <v>45-4011.00</v>
      </c>
      <c r="CQ477" t="s">
        <v>4310</v>
      </c>
      <c r="CR477" t="s">
        <v>20171</v>
      </c>
      <c r="CS477" t="s">
        <v>135</v>
      </c>
      <c r="CT477" t="s">
        <v>6722</v>
      </c>
      <c r="CU477" t="s">
        <v>20172</v>
      </c>
      <c r="CV477" t="s">
        <v>20168</v>
      </c>
      <c r="CW477" t="s">
        <v>13639</v>
      </c>
      <c r="CX477" t="s">
        <v>195</v>
      </c>
      <c r="CZ477" s="3" t="str">
        <f>"33469"</f>
        <v>33469</v>
      </c>
      <c r="DA477" t="s">
        <v>135</v>
      </c>
      <c r="DB477" t="str">
        <f>"45-4011"</f>
        <v>45-4011</v>
      </c>
      <c r="DC477" t="s">
        <v>4310</v>
      </c>
      <c r="DD477" t="s">
        <v>134</v>
      </c>
      <c r="DE477" t="s">
        <v>134</v>
      </c>
      <c r="DF477" t="str">
        <f>""</f>
        <v/>
      </c>
      <c r="DH477" s="6">
        <v>17.059999999999999</v>
      </c>
      <c r="DI477" t="s">
        <v>344</v>
      </c>
      <c r="DK477" t="s">
        <v>345</v>
      </c>
      <c r="DR477" t="s">
        <v>2160</v>
      </c>
      <c r="DS477" s="6">
        <v>17.059999999999999</v>
      </c>
      <c r="DT477" s="2" t="s">
        <v>347</v>
      </c>
      <c r="DU477" s="1">
        <v>44357</v>
      </c>
      <c r="DV477" s="1">
        <v>44446</v>
      </c>
    </row>
    <row r="478" spans="1:126" ht="15" customHeight="1" x14ac:dyDescent="0.35">
      <c r="A478" t="s">
        <v>10619</v>
      </c>
      <c r="B478" t="s">
        <v>318</v>
      </c>
      <c r="C478" s="1">
        <v>44330</v>
      </c>
      <c r="D478" s="1">
        <v>44357</v>
      </c>
      <c r="H478" t="s">
        <v>319</v>
      </c>
      <c r="I478" t="s">
        <v>10620</v>
      </c>
      <c r="J478" t="s">
        <v>3519</v>
      </c>
      <c r="L478" t="s">
        <v>1205</v>
      </c>
      <c r="M478" t="s">
        <v>10621</v>
      </c>
      <c r="N478" t="s">
        <v>10622</v>
      </c>
      <c r="O478" t="s">
        <v>255</v>
      </c>
      <c r="P478" t="s">
        <v>256</v>
      </c>
      <c r="Q478" s="3">
        <v>63138</v>
      </c>
      <c r="R478" t="s">
        <v>128</v>
      </c>
      <c r="T478" s="4">
        <v>13145240530</v>
      </c>
      <c r="V478" t="s">
        <v>10623</v>
      </c>
      <c r="W478" t="s">
        <v>10624</v>
      </c>
      <c r="X478" t="s">
        <v>10625</v>
      </c>
      <c r="Y478" t="s">
        <v>10626</v>
      </c>
      <c r="Z478" t="s">
        <v>10622</v>
      </c>
      <c r="AA478" t="s">
        <v>10627</v>
      </c>
      <c r="AB478" t="s">
        <v>258</v>
      </c>
      <c r="AC478" s="3" t="str">
        <f>"63138"</f>
        <v>63138</v>
      </c>
      <c r="AD478" t="s">
        <v>128</v>
      </c>
      <c r="AF478" s="4">
        <v>13145240530</v>
      </c>
      <c r="AH478" t="str">
        <f>"56173"</f>
        <v>56173</v>
      </c>
      <c r="AI478" t="s">
        <v>287</v>
      </c>
      <c r="AJ478" t="s">
        <v>2209</v>
      </c>
      <c r="AK478" t="s">
        <v>1459</v>
      </c>
      <c r="AL478" t="s">
        <v>2210</v>
      </c>
      <c r="AM478" t="s">
        <v>2211</v>
      </c>
      <c r="AN478" t="s">
        <v>788</v>
      </c>
      <c r="AO478" t="s">
        <v>2212</v>
      </c>
      <c r="AP478" t="s">
        <v>400</v>
      </c>
      <c r="AQ478" s="5">
        <v>75033</v>
      </c>
      <c r="AR478" t="s">
        <v>128</v>
      </c>
      <c r="AT478" s="4">
        <v>19727789690</v>
      </c>
      <c r="AV478" t="s">
        <v>4772</v>
      </c>
      <c r="AW478" t="s">
        <v>2214</v>
      </c>
      <c r="AX478" t="s">
        <v>131</v>
      </c>
      <c r="AY478" t="s">
        <v>131</v>
      </c>
      <c r="AZ478" t="s">
        <v>131</v>
      </c>
      <c r="BA478" t="s">
        <v>131</v>
      </c>
      <c r="BB478" t="s">
        <v>131</v>
      </c>
      <c r="BC478" t="s">
        <v>131</v>
      </c>
      <c r="BD478" t="s">
        <v>131</v>
      </c>
      <c r="BE478" t="s">
        <v>132</v>
      </c>
      <c r="BH478" t="s">
        <v>2215</v>
      </c>
      <c r="BI478" t="s">
        <v>131</v>
      </c>
      <c r="BL478" t="s">
        <v>167</v>
      </c>
      <c r="BO478" t="s">
        <v>131</v>
      </c>
      <c r="BP478" t="s">
        <v>134</v>
      </c>
      <c r="BQ478" t="s">
        <v>131</v>
      </c>
      <c r="BS478" t="str">
        <f t="shared" si="39"/>
        <v>N/A</v>
      </c>
      <c r="BT478" t="s">
        <v>131</v>
      </c>
      <c r="BV478" t="str">
        <f>""</f>
        <v/>
      </c>
      <c r="BW478" t="s">
        <v>135</v>
      </c>
      <c r="BX478" t="str">
        <f>""</f>
        <v/>
      </c>
      <c r="BY478" t="str">
        <f>""</f>
        <v/>
      </c>
      <c r="BZ478" t="str">
        <f>""</f>
        <v/>
      </c>
      <c r="CA478" t="str">
        <f>"MUST BE ABLE TO LIFT 50LBS. MUST COMPLETE EMPLOYMENT APPLICATION. PRE-EMPLOYMENT CRIMINAL BACKGROUND CHECK AND DRUG-TESTING REQUIRED; COST PAID BY EMPLOYER."</f>
        <v>MUST BE ABLE TO LIFT 50LBS. MUST COMPLETE EMPLOYMENT APPLICATION. PRE-EMPLOYMENT CRIMINAL BACKGROUND CHECK AND DRUG-TESTING REQUIRED; COST PAID BY EMPLOYER.</v>
      </c>
      <c r="CB478" t="s">
        <v>131</v>
      </c>
      <c r="CF478" t="s">
        <v>131</v>
      </c>
      <c r="CH478" t="str">
        <f>""</f>
        <v/>
      </c>
      <c r="CI478" t="s">
        <v>131</v>
      </c>
      <c r="CK478" t="s">
        <v>131</v>
      </c>
      <c r="CL478" t="str">
        <f>""</f>
        <v/>
      </c>
      <c r="CM478" t="str">
        <f>""</f>
        <v/>
      </c>
      <c r="CN478" t="str">
        <f>""</f>
        <v/>
      </c>
      <c r="CO478" t="str">
        <f>""</f>
        <v/>
      </c>
      <c r="CP478" t="str">
        <f>"37-3011.00"</f>
        <v>37-3011.00</v>
      </c>
      <c r="CQ478" t="s">
        <v>920</v>
      </c>
      <c r="CS478" t="s">
        <v>135</v>
      </c>
      <c r="CT478" t="s">
        <v>10628</v>
      </c>
      <c r="CU478" t="s">
        <v>10626</v>
      </c>
      <c r="CV478" t="s">
        <v>10622</v>
      </c>
      <c r="CW478" t="s">
        <v>255</v>
      </c>
      <c r="CX478" t="s">
        <v>258</v>
      </c>
      <c r="CZ478" s="3" t="str">
        <f>"63138"</f>
        <v>63138</v>
      </c>
      <c r="DA478" t="s">
        <v>135</v>
      </c>
      <c r="DB478" t="str">
        <f>"37-3011"</f>
        <v>37-3011</v>
      </c>
      <c r="DC478" t="s">
        <v>920</v>
      </c>
      <c r="DD478" t="s">
        <v>134</v>
      </c>
      <c r="DE478" t="s">
        <v>134</v>
      </c>
      <c r="DF478" t="str">
        <f>""</f>
        <v/>
      </c>
      <c r="DH478" s="6">
        <v>15.37</v>
      </c>
      <c r="DI478" t="s">
        <v>344</v>
      </c>
      <c r="DK478" t="s">
        <v>345</v>
      </c>
      <c r="DS478" s="6">
        <v>15.37</v>
      </c>
      <c r="DT478" s="2" t="s">
        <v>347</v>
      </c>
      <c r="DU478" s="1">
        <v>44357</v>
      </c>
      <c r="DV478" s="1">
        <v>44446</v>
      </c>
    </row>
    <row r="479" spans="1:126" ht="15" customHeight="1" x14ac:dyDescent="0.35">
      <c r="A479" t="s">
        <v>11856</v>
      </c>
      <c r="B479" t="s">
        <v>318</v>
      </c>
      <c r="C479" s="1">
        <v>44330</v>
      </c>
      <c r="D479" s="1">
        <v>44357</v>
      </c>
      <c r="H479" t="s">
        <v>319</v>
      </c>
      <c r="I479" t="s">
        <v>11857</v>
      </c>
      <c r="J479" t="s">
        <v>1058</v>
      </c>
      <c r="L479" t="s">
        <v>2107</v>
      </c>
      <c r="M479" t="s">
        <v>11858</v>
      </c>
      <c r="O479" t="s">
        <v>289</v>
      </c>
      <c r="P479" t="s">
        <v>194</v>
      </c>
      <c r="Q479" s="3">
        <v>33332</v>
      </c>
      <c r="R479" t="s">
        <v>128</v>
      </c>
      <c r="T479" s="4">
        <v>15612898277</v>
      </c>
      <c r="V479" t="s">
        <v>11859</v>
      </c>
      <c r="W479" t="s">
        <v>11860</v>
      </c>
      <c r="Y479" t="s">
        <v>11861</v>
      </c>
      <c r="AA479" t="s">
        <v>289</v>
      </c>
      <c r="AB479" t="s">
        <v>195</v>
      </c>
      <c r="AC479" s="3" t="str">
        <f>"33332"</f>
        <v>33332</v>
      </c>
      <c r="AD479" t="s">
        <v>128</v>
      </c>
      <c r="AF479" s="4">
        <v>15612898277</v>
      </c>
      <c r="AH479" t="str">
        <f>"814110"</f>
        <v>814110</v>
      </c>
      <c r="AI479" t="s">
        <v>130</v>
      </c>
      <c r="AJ479" t="s">
        <v>8346</v>
      </c>
      <c r="AK479" t="s">
        <v>11257</v>
      </c>
      <c r="AL479" t="s">
        <v>1660</v>
      </c>
      <c r="AM479" t="s">
        <v>2971</v>
      </c>
      <c r="AN479" t="s">
        <v>2972</v>
      </c>
      <c r="AO479" t="s">
        <v>2737</v>
      </c>
      <c r="AP479" t="s">
        <v>195</v>
      </c>
      <c r="AQ479" s="5">
        <v>33410</v>
      </c>
      <c r="AR479" t="s">
        <v>128</v>
      </c>
      <c r="AT479" s="4">
        <v>15614785353</v>
      </c>
      <c r="AV479" t="s">
        <v>2973</v>
      </c>
      <c r="AW479" t="s">
        <v>2974</v>
      </c>
      <c r="AX479" t="s">
        <v>131</v>
      </c>
      <c r="AY479" t="s">
        <v>131</v>
      </c>
      <c r="AZ479" t="s">
        <v>131</v>
      </c>
      <c r="BA479" t="s">
        <v>131</v>
      </c>
      <c r="BB479" t="s">
        <v>131</v>
      </c>
      <c r="BC479" t="s">
        <v>131</v>
      </c>
      <c r="BD479" t="s">
        <v>131</v>
      </c>
      <c r="BE479" t="s">
        <v>132</v>
      </c>
      <c r="BH479" t="s">
        <v>11862</v>
      </c>
      <c r="BI479" t="s">
        <v>131</v>
      </c>
      <c r="BL479" t="s">
        <v>167</v>
      </c>
      <c r="BO479" t="s">
        <v>131</v>
      </c>
      <c r="BP479" t="s">
        <v>134</v>
      </c>
      <c r="BQ479" t="s">
        <v>131</v>
      </c>
      <c r="BS479" t="str">
        <f t="shared" si="39"/>
        <v>N/A</v>
      </c>
      <c r="BT479" t="s">
        <v>131</v>
      </c>
      <c r="BV479" t="str">
        <f>""</f>
        <v/>
      </c>
      <c r="BW479" t="s">
        <v>131</v>
      </c>
      <c r="BX479" t="str">
        <f>""</f>
        <v/>
      </c>
      <c r="BY479" t="str">
        <f>""</f>
        <v/>
      </c>
      <c r="BZ479" t="str">
        <f>""</f>
        <v/>
      </c>
      <c r="CA479" t="str">
        <f>""</f>
        <v/>
      </c>
      <c r="CB479" t="s">
        <v>131</v>
      </c>
      <c r="CF479" t="s">
        <v>131</v>
      </c>
      <c r="CH479" t="str">
        <f>""</f>
        <v/>
      </c>
      <c r="CI479" t="s">
        <v>131</v>
      </c>
      <c r="CK479" t="s">
        <v>131</v>
      </c>
      <c r="CL479" t="str">
        <f>""</f>
        <v/>
      </c>
      <c r="CM479" t="str">
        <f>""</f>
        <v/>
      </c>
      <c r="CN479" t="str">
        <f>""</f>
        <v/>
      </c>
      <c r="CO479" t="str">
        <f>""</f>
        <v/>
      </c>
      <c r="CP479" t="str">
        <f>"31-1011.00"</f>
        <v>31-1011.00</v>
      </c>
      <c r="CQ479" t="s">
        <v>499</v>
      </c>
      <c r="CR479" t="s">
        <v>2107</v>
      </c>
      <c r="CS479" t="s">
        <v>131</v>
      </c>
      <c r="CU479" t="s">
        <v>11858</v>
      </c>
      <c r="CW479" t="s">
        <v>289</v>
      </c>
      <c r="CX479" t="s">
        <v>195</v>
      </c>
      <c r="CZ479" s="3" t="str">
        <f>"33332"</f>
        <v>33332</v>
      </c>
      <c r="DA479" t="s">
        <v>131</v>
      </c>
      <c r="DB479" t="str">
        <f>"39-9021"</f>
        <v>39-9021</v>
      </c>
      <c r="DC479" t="s">
        <v>2708</v>
      </c>
      <c r="DD479" t="s">
        <v>134</v>
      </c>
      <c r="DE479" t="s">
        <v>134</v>
      </c>
      <c r="DF479" t="str">
        <f>""</f>
        <v/>
      </c>
      <c r="DH479" s="6">
        <v>11.74</v>
      </c>
      <c r="DI479" t="s">
        <v>344</v>
      </c>
      <c r="DK479" t="s">
        <v>345</v>
      </c>
      <c r="DR479" t="s">
        <v>2160</v>
      </c>
      <c r="DS479" s="6">
        <v>11.74</v>
      </c>
      <c r="DT479" t="s">
        <v>424</v>
      </c>
      <c r="DU479" s="1">
        <v>44357</v>
      </c>
      <c r="DV479" s="1">
        <v>44446</v>
      </c>
    </row>
    <row r="480" spans="1:126" ht="15" customHeight="1" x14ac:dyDescent="0.35">
      <c r="A480" t="s">
        <v>18137</v>
      </c>
      <c r="B480" t="s">
        <v>318</v>
      </c>
      <c r="C480" s="1">
        <v>44330</v>
      </c>
      <c r="D480" s="1">
        <v>44364</v>
      </c>
      <c r="H480" t="s">
        <v>319</v>
      </c>
      <c r="I480" t="s">
        <v>534</v>
      </c>
      <c r="J480" t="s">
        <v>1060</v>
      </c>
      <c r="K480" t="s">
        <v>365</v>
      </c>
      <c r="L480" t="s">
        <v>286</v>
      </c>
      <c r="M480" t="s">
        <v>5723</v>
      </c>
      <c r="O480" t="s">
        <v>5724</v>
      </c>
      <c r="P480" t="s">
        <v>593</v>
      </c>
      <c r="Q480" s="3">
        <v>27529</v>
      </c>
      <c r="R480" t="s">
        <v>128</v>
      </c>
      <c r="T480" s="4">
        <v>19197728780</v>
      </c>
      <c r="V480" t="s">
        <v>5725</v>
      </c>
      <c r="W480" t="s">
        <v>18138</v>
      </c>
      <c r="X480" t="s">
        <v>5727</v>
      </c>
      <c r="Y480" t="s">
        <v>5728</v>
      </c>
      <c r="AA480" t="s">
        <v>5729</v>
      </c>
      <c r="AB480" t="s">
        <v>594</v>
      </c>
      <c r="AC480" s="3" t="str">
        <f>"27504"</f>
        <v>27504</v>
      </c>
      <c r="AD480" t="s">
        <v>128</v>
      </c>
      <c r="AF480" s="4">
        <v>19198942224</v>
      </c>
      <c r="AH480" t="str">
        <f>"332322"</f>
        <v>332322</v>
      </c>
      <c r="AI480" t="s">
        <v>130</v>
      </c>
      <c r="AJ480" t="s">
        <v>860</v>
      </c>
      <c r="AK480" t="s">
        <v>5730</v>
      </c>
      <c r="AM480" t="s">
        <v>5732</v>
      </c>
      <c r="AN480" t="s">
        <v>15172</v>
      </c>
      <c r="AO480" t="s">
        <v>5733</v>
      </c>
      <c r="AP480" t="s">
        <v>779</v>
      </c>
      <c r="AQ480" s="5">
        <v>37122</v>
      </c>
      <c r="AR480" t="s">
        <v>128</v>
      </c>
      <c r="AT480" s="4">
        <v>19312428584</v>
      </c>
      <c r="AV480" t="s">
        <v>5725</v>
      </c>
      <c r="AW480" t="s">
        <v>5735</v>
      </c>
      <c r="AX480" t="s">
        <v>131</v>
      </c>
      <c r="AY480" t="s">
        <v>131</v>
      </c>
      <c r="AZ480" t="s">
        <v>131</v>
      </c>
      <c r="BA480" t="s">
        <v>131</v>
      </c>
      <c r="BB480" t="s">
        <v>131</v>
      </c>
      <c r="BC480" t="s">
        <v>131</v>
      </c>
      <c r="BD480" t="s">
        <v>131</v>
      </c>
      <c r="BE480" t="s">
        <v>132</v>
      </c>
      <c r="BH480" t="s">
        <v>5736</v>
      </c>
      <c r="BI480" t="s">
        <v>131</v>
      </c>
      <c r="BL480" t="s">
        <v>167</v>
      </c>
      <c r="BO480" t="s">
        <v>131</v>
      </c>
      <c r="BP480" t="s">
        <v>134</v>
      </c>
      <c r="BQ480" t="s">
        <v>131</v>
      </c>
      <c r="BS480" t="str">
        <f t="shared" si="39"/>
        <v>N/A</v>
      </c>
      <c r="BT480" t="s">
        <v>131</v>
      </c>
      <c r="BV480" t="str">
        <f>""</f>
        <v/>
      </c>
      <c r="BW480" t="s">
        <v>135</v>
      </c>
      <c r="BX480" t="str">
        <f>""</f>
        <v/>
      </c>
      <c r="BY480" t="str">
        <f>""</f>
        <v/>
      </c>
      <c r="BZ480" t="str">
        <f>""</f>
        <v/>
      </c>
      <c r="CA480" t="str">
        <f>"Must be able to perform physical labor of lifting and carrying/moving items weighing up to 50lbs. "</f>
        <v xml:space="preserve">Must be able to perform physical labor of lifting and carrying/moving items weighing up to 50lbs. </v>
      </c>
      <c r="CB480" t="s">
        <v>131</v>
      </c>
      <c r="CF480" t="s">
        <v>131</v>
      </c>
      <c r="CH480" t="str">
        <f>""</f>
        <v/>
      </c>
      <c r="CI480" t="s">
        <v>131</v>
      </c>
      <c r="CK480" t="s">
        <v>131</v>
      </c>
      <c r="CL480" t="str">
        <f>""</f>
        <v/>
      </c>
      <c r="CM480" t="str">
        <f>""</f>
        <v/>
      </c>
      <c r="CN480" t="str">
        <f>""</f>
        <v/>
      </c>
      <c r="CO480" t="str">
        <f>""</f>
        <v/>
      </c>
      <c r="CP480" t="str">
        <f>"53-7062.00"</f>
        <v>53-7062.00</v>
      </c>
      <c r="CQ480" t="s">
        <v>1030</v>
      </c>
      <c r="CR480" t="s">
        <v>5736</v>
      </c>
      <c r="CS480" t="s">
        <v>131</v>
      </c>
      <c r="CU480" t="s">
        <v>5728</v>
      </c>
      <c r="CW480" t="s">
        <v>5729</v>
      </c>
      <c r="CX480" t="s">
        <v>594</v>
      </c>
      <c r="CZ480" s="3" t="str">
        <f>"27504"</f>
        <v>27504</v>
      </c>
      <c r="DA480" t="s">
        <v>131</v>
      </c>
      <c r="DB480" t="str">
        <f>"53-7062"</f>
        <v>53-7062</v>
      </c>
      <c r="DC480" t="s">
        <v>1030</v>
      </c>
      <c r="DD480" t="s">
        <v>134</v>
      </c>
      <c r="DE480" t="s">
        <v>134</v>
      </c>
      <c r="DF480" t="str">
        <f>"53-7064.00"</f>
        <v>53-7064.00</v>
      </c>
      <c r="DG480" t="s">
        <v>2987</v>
      </c>
      <c r="DH480" s="6">
        <v>13.78</v>
      </c>
      <c r="DI480" t="s">
        <v>344</v>
      </c>
      <c r="DK480" t="s">
        <v>345</v>
      </c>
      <c r="DR480" t="s">
        <v>5737</v>
      </c>
      <c r="DS480" s="6">
        <v>13.78</v>
      </c>
      <c r="DT480" t="s">
        <v>424</v>
      </c>
      <c r="DU480" s="1">
        <v>44364</v>
      </c>
      <c r="DV480" s="1">
        <v>44453</v>
      </c>
    </row>
    <row r="481" spans="1:126" ht="15" customHeight="1" x14ac:dyDescent="0.35">
      <c r="A481" t="s">
        <v>10512</v>
      </c>
      <c r="B481" t="s">
        <v>318</v>
      </c>
      <c r="C481" s="1">
        <v>44330</v>
      </c>
      <c r="D481" s="1">
        <v>44357</v>
      </c>
      <c r="H481" t="s">
        <v>319</v>
      </c>
      <c r="I481" t="s">
        <v>10513</v>
      </c>
      <c r="J481" t="s">
        <v>314</v>
      </c>
      <c r="K481" t="s">
        <v>260</v>
      </c>
      <c r="L481" t="s">
        <v>395</v>
      </c>
      <c r="M481" t="s">
        <v>10514</v>
      </c>
      <c r="N481" t="s">
        <v>10515</v>
      </c>
      <c r="O481" t="s">
        <v>10516</v>
      </c>
      <c r="P481" t="s">
        <v>311</v>
      </c>
      <c r="Q481" s="3">
        <v>19430</v>
      </c>
      <c r="R481" t="s">
        <v>128</v>
      </c>
      <c r="T481" s="4">
        <v>16108311900</v>
      </c>
      <c r="V481" t="s">
        <v>134</v>
      </c>
      <c r="W481" t="s">
        <v>10517</v>
      </c>
      <c r="Y481" t="s">
        <v>10514</v>
      </c>
      <c r="Z481" t="s">
        <v>10515</v>
      </c>
      <c r="AA481" t="s">
        <v>10516</v>
      </c>
      <c r="AB481" t="s">
        <v>312</v>
      </c>
      <c r="AC481" s="3" t="str">
        <f>"19430"</f>
        <v>19430</v>
      </c>
      <c r="AD481" t="s">
        <v>128</v>
      </c>
      <c r="AF481" s="4">
        <v>16108311900</v>
      </c>
      <c r="AH481" t="str">
        <f>"56173"</f>
        <v>56173</v>
      </c>
      <c r="AI481" t="s">
        <v>287</v>
      </c>
      <c r="AJ481" t="s">
        <v>2917</v>
      </c>
      <c r="AK481" t="s">
        <v>2918</v>
      </c>
      <c r="AL481" t="s">
        <v>387</v>
      </c>
      <c r="AM481" t="s">
        <v>2919</v>
      </c>
      <c r="AN481" t="s">
        <v>2920</v>
      </c>
      <c r="AO481" t="s">
        <v>2921</v>
      </c>
      <c r="AP481" t="s">
        <v>306</v>
      </c>
      <c r="AQ481" s="5">
        <v>22949</v>
      </c>
      <c r="AR481" t="s">
        <v>128</v>
      </c>
      <c r="AT481" s="4">
        <v>14342634300</v>
      </c>
      <c r="AV481" t="s">
        <v>10518</v>
      </c>
      <c r="AW481" t="s">
        <v>2923</v>
      </c>
      <c r="AX481" t="s">
        <v>131</v>
      </c>
      <c r="AY481" t="s">
        <v>131</v>
      </c>
      <c r="AZ481" t="s">
        <v>131</v>
      </c>
      <c r="BA481" t="s">
        <v>131</v>
      </c>
      <c r="BB481" t="s">
        <v>131</v>
      </c>
      <c r="BC481" t="s">
        <v>131</v>
      </c>
      <c r="BD481" t="s">
        <v>131</v>
      </c>
      <c r="BE481" t="s">
        <v>132</v>
      </c>
      <c r="BH481" t="s">
        <v>2215</v>
      </c>
      <c r="BI481" t="s">
        <v>131</v>
      </c>
      <c r="BL481" t="s">
        <v>167</v>
      </c>
      <c r="BO481" t="s">
        <v>131</v>
      </c>
      <c r="BP481" t="s">
        <v>134</v>
      </c>
      <c r="BQ481" t="s">
        <v>131</v>
      </c>
      <c r="BS481" t="str">
        <f t="shared" si="39"/>
        <v>N/A</v>
      </c>
      <c r="BT481" t="s">
        <v>135</v>
      </c>
      <c r="BU481">
        <v>3</v>
      </c>
      <c r="BV481" t="str">
        <f>"Requires three months of previous landscape experience."</f>
        <v>Requires three months of previous landscape experience.</v>
      </c>
      <c r="BW481" t="s">
        <v>135</v>
      </c>
      <c r="BX481" t="str">
        <f>""</f>
        <v/>
      </c>
      <c r="BY481" t="str">
        <f>""</f>
        <v/>
      </c>
      <c r="BZ481" t="str">
        <f>""</f>
        <v/>
      </c>
      <c r="CA481" t="s">
        <v>10519</v>
      </c>
      <c r="CB481" t="s">
        <v>131</v>
      </c>
      <c r="CF481" t="s">
        <v>131</v>
      </c>
      <c r="CH481" t="str">
        <f>""</f>
        <v/>
      </c>
      <c r="CI481" t="s">
        <v>131</v>
      </c>
      <c r="CK481" t="s">
        <v>131</v>
      </c>
      <c r="CL481" t="str">
        <f>""</f>
        <v/>
      </c>
      <c r="CM481" t="str">
        <f>""</f>
        <v/>
      </c>
      <c r="CN481" t="str">
        <f>""</f>
        <v/>
      </c>
      <c r="CO481" t="str">
        <f>""</f>
        <v/>
      </c>
      <c r="CP481" t="str">
        <f>"37-3011.00"</f>
        <v>37-3011.00</v>
      </c>
      <c r="CQ481" t="s">
        <v>920</v>
      </c>
      <c r="CR481" t="s">
        <v>2924</v>
      </c>
      <c r="CS481" t="s">
        <v>135</v>
      </c>
      <c r="CT481" t="s">
        <v>2925</v>
      </c>
      <c r="CU481" t="s">
        <v>10520</v>
      </c>
      <c r="CW481" t="s">
        <v>10516</v>
      </c>
      <c r="CX481" t="s">
        <v>312</v>
      </c>
      <c r="CZ481" s="3" t="str">
        <f>"19430"</f>
        <v>19430</v>
      </c>
      <c r="DA481" t="s">
        <v>135</v>
      </c>
      <c r="DB481" t="str">
        <f>"37-3011"</f>
        <v>37-3011</v>
      </c>
      <c r="DC481" t="s">
        <v>920</v>
      </c>
      <c r="DD481" t="s">
        <v>134</v>
      </c>
      <c r="DE481" t="s">
        <v>134</v>
      </c>
      <c r="DF481" t="str">
        <f>""</f>
        <v/>
      </c>
      <c r="DH481" s="6">
        <v>16.600000000000001</v>
      </c>
      <c r="DI481" t="s">
        <v>344</v>
      </c>
      <c r="DK481" t="s">
        <v>345</v>
      </c>
      <c r="DS481" s="6">
        <v>16.600000000000001</v>
      </c>
      <c r="DT481" s="2" t="s">
        <v>347</v>
      </c>
      <c r="DU481" s="1">
        <v>44357</v>
      </c>
      <c r="DV481" s="1">
        <v>44446</v>
      </c>
    </row>
    <row r="482" spans="1:126" ht="15" customHeight="1" x14ac:dyDescent="0.35">
      <c r="A482" t="s">
        <v>17501</v>
      </c>
      <c r="B482" t="s">
        <v>318</v>
      </c>
      <c r="C482" s="1">
        <v>44330</v>
      </c>
      <c r="D482" s="1">
        <v>44357</v>
      </c>
      <c r="H482" t="s">
        <v>319</v>
      </c>
      <c r="I482" t="s">
        <v>17502</v>
      </c>
      <c r="J482" t="s">
        <v>1071</v>
      </c>
      <c r="K482" t="s">
        <v>435</v>
      </c>
      <c r="L482" t="s">
        <v>395</v>
      </c>
      <c r="M482" t="s">
        <v>17503</v>
      </c>
      <c r="O482" t="s">
        <v>4895</v>
      </c>
      <c r="P482" t="s">
        <v>588</v>
      </c>
      <c r="Q482" s="3">
        <v>23456</v>
      </c>
      <c r="R482" t="s">
        <v>128</v>
      </c>
      <c r="T482" s="4">
        <v>17577210444</v>
      </c>
      <c r="V482" t="s">
        <v>134</v>
      </c>
      <c r="W482" t="s">
        <v>17504</v>
      </c>
      <c r="Y482" t="s">
        <v>17503</v>
      </c>
      <c r="AA482" t="s">
        <v>4895</v>
      </c>
      <c r="AB482" t="s">
        <v>306</v>
      </c>
      <c r="AC482" s="3" t="str">
        <f>"23456"</f>
        <v>23456</v>
      </c>
      <c r="AD482" t="s">
        <v>128</v>
      </c>
      <c r="AF482" s="4">
        <v>17577210444</v>
      </c>
      <c r="AH482" t="str">
        <f>"56173"</f>
        <v>56173</v>
      </c>
      <c r="AI482" t="s">
        <v>287</v>
      </c>
      <c r="AJ482" t="s">
        <v>2917</v>
      </c>
      <c r="AK482" t="s">
        <v>2918</v>
      </c>
      <c r="AL482" t="s">
        <v>387</v>
      </c>
      <c r="AM482" t="s">
        <v>2919</v>
      </c>
      <c r="AN482" t="s">
        <v>2920</v>
      </c>
      <c r="AO482" t="s">
        <v>2921</v>
      </c>
      <c r="AP482" t="s">
        <v>306</v>
      </c>
      <c r="AQ482" s="5">
        <v>22949</v>
      </c>
      <c r="AR482" t="s">
        <v>128</v>
      </c>
      <c r="AT482" s="4">
        <v>14342634300</v>
      </c>
      <c r="AV482" t="s">
        <v>10518</v>
      </c>
      <c r="AW482" t="s">
        <v>2923</v>
      </c>
      <c r="AX482" t="s">
        <v>131</v>
      </c>
      <c r="AY482" t="s">
        <v>131</v>
      </c>
      <c r="AZ482" t="s">
        <v>131</v>
      </c>
      <c r="BA482" t="s">
        <v>131</v>
      </c>
      <c r="BB482" t="s">
        <v>131</v>
      </c>
      <c r="BC482" t="s">
        <v>131</v>
      </c>
      <c r="BD482" t="s">
        <v>131</v>
      </c>
      <c r="BE482" t="s">
        <v>132</v>
      </c>
      <c r="BH482" t="s">
        <v>2215</v>
      </c>
      <c r="BI482" t="s">
        <v>131</v>
      </c>
      <c r="BL482" t="s">
        <v>167</v>
      </c>
      <c r="BO482" t="s">
        <v>131</v>
      </c>
      <c r="BP482" t="s">
        <v>134</v>
      </c>
      <c r="BQ482" t="s">
        <v>131</v>
      </c>
      <c r="BS482" t="str">
        <f t="shared" si="39"/>
        <v>N/A</v>
      </c>
      <c r="BT482" t="s">
        <v>131</v>
      </c>
      <c r="BV482" t="str">
        <f>""</f>
        <v/>
      </c>
      <c r="BW482" t="s">
        <v>135</v>
      </c>
      <c r="BX482" t="str">
        <f>""</f>
        <v/>
      </c>
      <c r="BY482" t="str">
        <f>""</f>
        <v/>
      </c>
      <c r="BZ482" t="str">
        <f>""</f>
        <v/>
      </c>
      <c r="CA482" t="str">
        <f>"Must lift/carry 50 lbs., when necessary.  Saturday work required, when necessary."</f>
        <v>Must lift/carry 50 lbs., when necessary.  Saturday work required, when necessary.</v>
      </c>
      <c r="CB482" t="s">
        <v>131</v>
      </c>
      <c r="CF482" t="s">
        <v>131</v>
      </c>
      <c r="CH482" t="str">
        <f>""</f>
        <v/>
      </c>
      <c r="CI482" t="s">
        <v>131</v>
      </c>
      <c r="CK482" t="s">
        <v>131</v>
      </c>
      <c r="CL482" t="str">
        <f>""</f>
        <v/>
      </c>
      <c r="CM482" t="str">
        <f>""</f>
        <v/>
      </c>
      <c r="CN482" t="str">
        <f>""</f>
        <v/>
      </c>
      <c r="CO482" t="str">
        <f>""</f>
        <v/>
      </c>
      <c r="CP482" t="str">
        <f>"37-3011.00"</f>
        <v>37-3011.00</v>
      </c>
      <c r="CQ482" t="s">
        <v>920</v>
      </c>
      <c r="CR482" t="s">
        <v>2924</v>
      </c>
      <c r="CS482" t="s">
        <v>135</v>
      </c>
      <c r="CT482" t="s">
        <v>2925</v>
      </c>
      <c r="CU482" t="s">
        <v>17505</v>
      </c>
      <c r="CW482" t="s">
        <v>4895</v>
      </c>
      <c r="CX482" t="s">
        <v>306</v>
      </c>
      <c r="CZ482" s="3" t="str">
        <f>"23453"</f>
        <v>23453</v>
      </c>
      <c r="DA482" t="s">
        <v>135</v>
      </c>
      <c r="DB482" t="str">
        <f>"37-3011"</f>
        <v>37-3011</v>
      </c>
      <c r="DC482" t="s">
        <v>920</v>
      </c>
      <c r="DD482" t="s">
        <v>134</v>
      </c>
      <c r="DE482" t="s">
        <v>134</v>
      </c>
      <c r="DF482" t="str">
        <f>""</f>
        <v/>
      </c>
      <c r="DH482" s="6">
        <v>13.3</v>
      </c>
      <c r="DI482" t="s">
        <v>344</v>
      </c>
      <c r="DK482" t="s">
        <v>345</v>
      </c>
      <c r="DS482" s="6">
        <v>13.3</v>
      </c>
      <c r="DT482" s="2" t="s">
        <v>347</v>
      </c>
      <c r="DU482" s="1">
        <v>44357</v>
      </c>
      <c r="DV482" s="1">
        <v>44446</v>
      </c>
    </row>
    <row r="483" spans="1:126" ht="15" customHeight="1" x14ac:dyDescent="0.35">
      <c r="A483" t="s">
        <v>5722</v>
      </c>
      <c r="B483" t="s">
        <v>318</v>
      </c>
      <c r="C483" s="1">
        <v>44330</v>
      </c>
      <c r="D483" s="1">
        <v>44364</v>
      </c>
      <c r="H483" t="s">
        <v>319</v>
      </c>
      <c r="I483" t="s">
        <v>534</v>
      </c>
      <c r="J483" t="s">
        <v>1060</v>
      </c>
      <c r="K483" t="s">
        <v>365</v>
      </c>
      <c r="L483" t="s">
        <v>286</v>
      </c>
      <c r="M483" t="s">
        <v>5723</v>
      </c>
      <c r="O483" t="s">
        <v>5724</v>
      </c>
      <c r="P483" t="s">
        <v>593</v>
      </c>
      <c r="Q483" s="3">
        <v>27529</v>
      </c>
      <c r="R483" t="s">
        <v>128</v>
      </c>
      <c r="T483" s="4">
        <v>19197728780</v>
      </c>
      <c r="V483" t="s">
        <v>5725</v>
      </c>
      <c r="W483" t="s">
        <v>5726</v>
      </c>
      <c r="X483" t="s">
        <v>5727</v>
      </c>
      <c r="Y483" t="s">
        <v>5728</v>
      </c>
      <c r="AA483" t="s">
        <v>5729</v>
      </c>
      <c r="AB483" t="s">
        <v>594</v>
      </c>
      <c r="AC483" s="3" t="str">
        <f>"27504"</f>
        <v>27504</v>
      </c>
      <c r="AD483" t="s">
        <v>128</v>
      </c>
      <c r="AF483" s="4">
        <v>19198942224</v>
      </c>
      <c r="AH483" t="str">
        <f>"332322"</f>
        <v>332322</v>
      </c>
      <c r="AI483" t="s">
        <v>130</v>
      </c>
      <c r="AJ483" t="s">
        <v>860</v>
      </c>
      <c r="AK483" t="s">
        <v>5730</v>
      </c>
      <c r="AL483" t="s">
        <v>5731</v>
      </c>
      <c r="AM483" t="s">
        <v>5732</v>
      </c>
      <c r="AO483" t="s">
        <v>5733</v>
      </c>
      <c r="AP483" t="s">
        <v>779</v>
      </c>
      <c r="AQ483" s="5">
        <v>37122</v>
      </c>
      <c r="AR483" t="s">
        <v>128</v>
      </c>
      <c r="AT483" s="4">
        <v>19312428584</v>
      </c>
      <c r="AV483" t="s">
        <v>5734</v>
      </c>
      <c r="AW483" t="s">
        <v>5735</v>
      </c>
      <c r="AX483" t="s">
        <v>131</v>
      </c>
      <c r="AY483" t="s">
        <v>131</v>
      </c>
      <c r="AZ483" t="s">
        <v>131</v>
      </c>
      <c r="BA483" t="s">
        <v>131</v>
      </c>
      <c r="BB483" t="s">
        <v>131</v>
      </c>
      <c r="BC483" t="s">
        <v>131</v>
      </c>
      <c r="BD483" t="s">
        <v>131</v>
      </c>
      <c r="BE483" t="s">
        <v>132</v>
      </c>
      <c r="BH483" t="s">
        <v>5736</v>
      </c>
      <c r="BI483" t="s">
        <v>131</v>
      </c>
      <c r="BL483" t="s">
        <v>167</v>
      </c>
      <c r="BO483" t="s">
        <v>131</v>
      </c>
      <c r="BP483" t="s">
        <v>134</v>
      </c>
      <c r="BQ483" t="s">
        <v>131</v>
      </c>
      <c r="BS483" t="str">
        <f t="shared" si="39"/>
        <v>N/A</v>
      </c>
      <c r="BT483" t="s">
        <v>131</v>
      </c>
      <c r="BV483" t="str">
        <f>""</f>
        <v/>
      </c>
      <c r="BW483" t="s">
        <v>131</v>
      </c>
      <c r="BX483" t="str">
        <f>""</f>
        <v/>
      </c>
      <c r="BY483" t="str">
        <f>""</f>
        <v/>
      </c>
      <c r="BZ483" t="str">
        <f>""</f>
        <v/>
      </c>
      <c r="CA483" t="str">
        <f>""</f>
        <v/>
      </c>
      <c r="CB483" t="s">
        <v>131</v>
      </c>
      <c r="CF483" t="s">
        <v>131</v>
      </c>
      <c r="CH483" t="str">
        <f>""</f>
        <v/>
      </c>
      <c r="CI483" t="s">
        <v>131</v>
      </c>
      <c r="CK483" t="s">
        <v>131</v>
      </c>
      <c r="CL483" t="str">
        <f>""</f>
        <v/>
      </c>
      <c r="CM483" t="str">
        <f>""</f>
        <v/>
      </c>
      <c r="CN483" t="str">
        <f>""</f>
        <v/>
      </c>
      <c r="CO483" t="str">
        <f>""</f>
        <v/>
      </c>
      <c r="CP483" t="str">
        <f>"53-7062.00"</f>
        <v>53-7062.00</v>
      </c>
      <c r="CQ483" t="s">
        <v>1030</v>
      </c>
      <c r="CR483" t="s">
        <v>5736</v>
      </c>
      <c r="CS483" t="s">
        <v>131</v>
      </c>
      <c r="CU483" t="s">
        <v>5728</v>
      </c>
      <c r="CW483" t="s">
        <v>5729</v>
      </c>
      <c r="CX483" t="s">
        <v>594</v>
      </c>
      <c r="CZ483" s="3" t="str">
        <f>"27504"</f>
        <v>27504</v>
      </c>
      <c r="DA483" t="s">
        <v>131</v>
      </c>
      <c r="DB483" t="str">
        <f>"53-7062"</f>
        <v>53-7062</v>
      </c>
      <c r="DC483" t="s">
        <v>1030</v>
      </c>
      <c r="DD483" t="s">
        <v>134</v>
      </c>
      <c r="DE483" t="s">
        <v>134</v>
      </c>
      <c r="DF483" t="str">
        <f>""</f>
        <v/>
      </c>
      <c r="DH483" s="6">
        <v>13.78</v>
      </c>
      <c r="DI483" t="s">
        <v>344</v>
      </c>
      <c r="DK483" t="s">
        <v>345</v>
      </c>
      <c r="DR483" t="s">
        <v>5737</v>
      </c>
      <c r="DS483" s="6">
        <v>13.78</v>
      </c>
      <c r="DT483" t="s">
        <v>424</v>
      </c>
      <c r="DU483" s="1">
        <v>44364</v>
      </c>
      <c r="DV483" s="1">
        <v>44453</v>
      </c>
    </row>
    <row r="484" spans="1:126" ht="15" customHeight="1" x14ac:dyDescent="0.35">
      <c r="A484" t="s">
        <v>1700</v>
      </c>
      <c r="B484" t="s">
        <v>318</v>
      </c>
      <c r="C484" s="1">
        <v>44330</v>
      </c>
      <c r="D484" s="1">
        <v>44357</v>
      </c>
      <c r="H484" t="s">
        <v>319</v>
      </c>
      <c r="I484" t="s">
        <v>1701</v>
      </c>
      <c r="J484" t="s">
        <v>1702</v>
      </c>
      <c r="L484" t="s">
        <v>1703</v>
      </c>
      <c r="M484" t="s">
        <v>1704</v>
      </c>
      <c r="O484" t="s">
        <v>1705</v>
      </c>
      <c r="P484" t="s">
        <v>857</v>
      </c>
      <c r="Q484" s="3">
        <v>85365</v>
      </c>
      <c r="R484" t="s">
        <v>128</v>
      </c>
      <c r="T484" s="4">
        <v>19289417961</v>
      </c>
      <c r="V484" t="s">
        <v>1706</v>
      </c>
      <c r="W484" t="s">
        <v>1707</v>
      </c>
      <c r="Y484" t="s">
        <v>1704</v>
      </c>
      <c r="AA484" t="s">
        <v>1708</v>
      </c>
      <c r="AB484" t="s">
        <v>808</v>
      </c>
      <c r="AC484" s="3" t="str">
        <f>"85365"</f>
        <v>85365</v>
      </c>
      <c r="AD484" t="s">
        <v>128</v>
      </c>
      <c r="AF484" s="4">
        <v>19283042583</v>
      </c>
      <c r="AH484" t="str">
        <f>"484110"</f>
        <v>484110</v>
      </c>
      <c r="AI484" t="s">
        <v>130</v>
      </c>
      <c r="AJ484" t="s">
        <v>1709</v>
      </c>
      <c r="AK484" t="s">
        <v>1710</v>
      </c>
      <c r="AL484" t="s">
        <v>695</v>
      </c>
      <c r="AM484" t="s">
        <v>1711</v>
      </c>
      <c r="AO484" t="s">
        <v>792</v>
      </c>
      <c r="AP484" t="s">
        <v>172</v>
      </c>
      <c r="AQ484" s="5">
        <v>92106</v>
      </c>
      <c r="AR484" t="s">
        <v>128</v>
      </c>
      <c r="AT484" s="4">
        <v>16192696164</v>
      </c>
      <c r="AV484" t="s">
        <v>1712</v>
      </c>
      <c r="AW484" t="s">
        <v>1713</v>
      </c>
      <c r="AX484" t="s">
        <v>131</v>
      </c>
      <c r="AY484" t="s">
        <v>131</v>
      </c>
      <c r="AZ484" t="s">
        <v>131</v>
      </c>
      <c r="BA484" t="s">
        <v>131</v>
      </c>
      <c r="BB484" t="s">
        <v>131</v>
      </c>
      <c r="BC484" t="s">
        <v>131</v>
      </c>
      <c r="BD484" t="s">
        <v>131</v>
      </c>
      <c r="BE484" t="s">
        <v>132</v>
      </c>
      <c r="BH484" t="s">
        <v>1714</v>
      </c>
      <c r="BI484" t="s">
        <v>131</v>
      </c>
      <c r="BL484" t="s">
        <v>167</v>
      </c>
      <c r="BO484" t="s">
        <v>131</v>
      </c>
      <c r="BP484" t="s">
        <v>134</v>
      </c>
      <c r="BQ484" t="s">
        <v>131</v>
      </c>
      <c r="BS484" t="str">
        <f t="shared" si="39"/>
        <v>N/A</v>
      </c>
      <c r="BT484" t="s">
        <v>135</v>
      </c>
      <c r="BU484">
        <v>24</v>
      </c>
      <c r="BV484" t="str">
        <f>"Truck Driver"</f>
        <v>Truck Driver</v>
      </c>
      <c r="BW484" t="s">
        <v>135</v>
      </c>
      <c r="BX484" t="str">
        <f>"Must have a CDL or equivalent license, pass a required driver’s license background check, and mandated drug and alcohol test. "</f>
        <v xml:space="preserve">Must have a CDL or equivalent license, pass a required driver’s license background check, and mandated drug and alcohol test. </v>
      </c>
      <c r="BY484" t="str">
        <f>""</f>
        <v/>
      </c>
      <c r="BZ484" t="str">
        <f>""</f>
        <v/>
      </c>
      <c r="CA484" t="s">
        <v>1715</v>
      </c>
      <c r="CB484" t="s">
        <v>131</v>
      </c>
      <c r="CF484" t="s">
        <v>131</v>
      </c>
      <c r="CH484" t="str">
        <f>""</f>
        <v/>
      </c>
      <c r="CI484" t="s">
        <v>131</v>
      </c>
      <c r="CK484" t="s">
        <v>131</v>
      </c>
      <c r="CL484" t="str">
        <f>""</f>
        <v/>
      </c>
      <c r="CM484" t="str">
        <f>""</f>
        <v/>
      </c>
      <c r="CN484" t="str">
        <f>""</f>
        <v/>
      </c>
      <c r="CO484" t="str">
        <f>""</f>
        <v/>
      </c>
      <c r="CP484" t="str">
        <f>"53-3032.00"</f>
        <v>53-3032.00</v>
      </c>
      <c r="CQ484" t="s">
        <v>1238</v>
      </c>
      <c r="CR484" t="s">
        <v>1703</v>
      </c>
      <c r="CS484" t="s">
        <v>135</v>
      </c>
      <c r="CT484" s="2" t="s">
        <v>1716</v>
      </c>
      <c r="CU484" t="s">
        <v>1717</v>
      </c>
      <c r="CW484" t="s">
        <v>1718</v>
      </c>
      <c r="CX484" t="s">
        <v>808</v>
      </c>
      <c r="CZ484" s="3" t="str">
        <f>"85350"</f>
        <v>85350</v>
      </c>
      <c r="DA484" t="s">
        <v>131</v>
      </c>
      <c r="DB484" t="str">
        <f>"53-3032"</f>
        <v>53-3032</v>
      </c>
      <c r="DC484" t="s">
        <v>1238</v>
      </c>
      <c r="DD484" t="s">
        <v>134</v>
      </c>
      <c r="DE484" t="s">
        <v>134</v>
      </c>
      <c r="DF484" t="str">
        <f>"53-7061.00"</f>
        <v>53-7061.00</v>
      </c>
      <c r="DG484" t="s">
        <v>1719</v>
      </c>
      <c r="DH484" s="6">
        <v>16.690000000000001</v>
      </c>
      <c r="DI484" t="s">
        <v>344</v>
      </c>
      <c r="DK484" t="s">
        <v>345</v>
      </c>
      <c r="DS484" s="6">
        <v>16.690000000000001</v>
      </c>
      <c r="DT484" s="2" t="s">
        <v>347</v>
      </c>
      <c r="DU484" s="1">
        <v>44357</v>
      </c>
      <c r="DV484" s="1">
        <v>44446</v>
      </c>
    </row>
    <row r="485" spans="1:126" ht="15" customHeight="1" x14ac:dyDescent="0.35">
      <c r="A485" t="s">
        <v>13459</v>
      </c>
      <c r="B485" t="s">
        <v>318</v>
      </c>
      <c r="C485" s="1">
        <v>44330</v>
      </c>
      <c r="D485" s="1">
        <v>44357</v>
      </c>
      <c r="H485" t="s">
        <v>319</v>
      </c>
      <c r="I485" t="s">
        <v>1701</v>
      </c>
      <c r="J485" t="s">
        <v>1702</v>
      </c>
      <c r="L485" t="s">
        <v>1703</v>
      </c>
      <c r="M485" t="s">
        <v>1704</v>
      </c>
      <c r="O485" t="s">
        <v>1705</v>
      </c>
      <c r="P485" t="s">
        <v>857</v>
      </c>
      <c r="Q485" s="3">
        <v>85365</v>
      </c>
      <c r="R485" t="s">
        <v>128</v>
      </c>
      <c r="T485" s="4">
        <v>19289417961</v>
      </c>
      <c r="V485" t="s">
        <v>1706</v>
      </c>
      <c r="W485" t="s">
        <v>1707</v>
      </c>
      <c r="Y485" t="s">
        <v>1704</v>
      </c>
      <c r="AA485" t="s">
        <v>1708</v>
      </c>
      <c r="AB485" t="s">
        <v>808</v>
      </c>
      <c r="AC485" s="3" t="str">
        <f>"85365"</f>
        <v>85365</v>
      </c>
      <c r="AD485" t="s">
        <v>128</v>
      </c>
      <c r="AF485" s="4">
        <v>19283042583</v>
      </c>
      <c r="AH485" t="str">
        <f>"484110"</f>
        <v>484110</v>
      </c>
      <c r="AI485" t="s">
        <v>130</v>
      </c>
      <c r="AJ485" t="s">
        <v>1709</v>
      </c>
      <c r="AK485" t="s">
        <v>1710</v>
      </c>
      <c r="AL485" t="s">
        <v>695</v>
      </c>
      <c r="AM485" t="s">
        <v>1711</v>
      </c>
      <c r="AO485" t="s">
        <v>792</v>
      </c>
      <c r="AP485" t="s">
        <v>172</v>
      </c>
      <c r="AQ485" s="5">
        <v>92106</v>
      </c>
      <c r="AR485" t="s">
        <v>128</v>
      </c>
      <c r="AT485" s="4">
        <v>16192696164</v>
      </c>
      <c r="AV485" t="s">
        <v>1712</v>
      </c>
      <c r="AW485" t="s">
        <v>1713</v>
      </c>
      <c r="AX485" t="s">
        <v>131</v>
      </c>
      <c r="AY485" t="s">
        <v>131</v>
      </c>
      <c r="AZ485" t="s">
        <v>131</v>
      </c>
      <c r="BA485" t="s">
        <v>131</v>
      </c>
      <c r="BB485" t="s">
        <v>131</v>
      </c>
      <c r="BC485" t="s">
        <v>131</v>
      </c>
      <c r="BD485" t="s">
        <v>131</v>
      </c>
      <c r="BE485" t="s">
        <v>132</v>
      </c>
      <c r="BH485" t="s">
        <v>1714</v>
      </c>
      <c r="BI485" t="s">
        <v>131</v>
      </c>
      <c r="BL485" t="s">
        <v>167</v>
      </c>
      <c r="BO485" t="s">
        <v>131</v>
      </c>
      <c r="BP485" t="s">
        <v>134</v>
      </c>
      <c r="BQ485" t="s">
        <v>131</v>
      </c>
      <c r="BS485" t="str">
        <f t="shared" si="39"/>
        <v>N/A</v>
      </c>
      <c r="BT485" t="s">
        <v>135</v>
      </c>
      <c r="BU485">
        <v>24</v>
      </c>
      <c r="BV485" t="str">
        <f>"Truck Driver"</f>
        <v>Truck Driver</v>
      </c>
      <c r="BW485" t="s">
        <v>135</v>
      </c>
      <c r="BX485" t="str">
        <f>"Must have a CDL or equivalent license, pass a required driver's license
background check, and mandated drug and alcohol test."</f>
        <v>Must have a CDL or equivalent license, pass a required driver's license
background check, and mandated drug and alcohol test.</v>
      </c>
      <c r="BY485" t="str">
        <f>""</f>
        <v/>
      </c>
      <c r="BZ485" t="str">
        <f>""</f>
        <v/>
      </c>
      <c r="CA485" s="2" t="s">
        <v>13460</v>
      </c>
      <c r="CB485" t="s">
        <v>131</v>
      </c>
      <c r="CF485" t="s">
        <v>131</v>
      </c>
      <c r="CH485" t="str">
        <f>""</f>
        <v/>
      </c>
      <c r="CI485" t="s">
        <v>131</v>
      </c>
      <c r="CK485" t="s">
        <v>131</v>
      </c>
      <c r="CL485" t="str">
        <f>""</f>
        <v/>
      </c>
      <c r="CM485" t="str">
        <f>""</f>
        <v/>
      </c>
      <c r="CN485" t="str">
        <f>""</f>
        <v/>
      </c>
      <c r="CO485" t="str">
        <f>""</f>
        <v/>
      </c>
      <c r="CP485" t="str">
        <f>"53-3032.00"</f>
        <v>53-3032.00</v>
      </c>
      <c r="CQ485" t="s">
        <v>1238</v>
      </c>
      <c r="CR485" t="s">
        <v>1703</v>
      </c>
      <c r="CS485" t="s">
        <v>135</v>
      </c>
      <c r="CT485" s="2" t="s">
        <v>13461</v>
      </c>
      <c r="CU485" t="s">
        <v>13462</v>
      </c>
      <c r="CW485" t="s">
        <v>1718</v>
      </c>
      <c r="CX485" t="s">
        <v>808</v>
      </c>
      <c r="CZ485" s="3" t="str">
        <f>"85350"</f>
        <v>85350</v>
      </c>
      <c r="DA485" t="s">
        <v>135</v>
      </c>
      <c r="DB485" t="str">
        <f>"53-3032"</f>
        <v>53-3032</v>
      </c>
      <c r="DC485" t="s">
        <v>1238</v>
      </c>
      <c r="DD485" t="s">
        <v>134</v>
      </c>
      <c r="DE485" t="s">
        <v>134</v>
      </c>
      <c r="DF485" t="str">
        <f>"53-7061.00"</f>
        <v>53-7061.00</v>
      </c>
      <c r="DG485" t="s">
        <v>1719</v>
      </c>
      <c r="DH485" s="6">
        <v>16.690000000000001</v>
      </c>
      <c r="DI485" t="s">
        <v>344</v>
      </c>
      <c r="DK485" t="s">
        <v>345</v>
      </c>
      <c r="DS485" s="6">
        <v>21.79</v>
      </c>
      <c r="DT485" s="2" t="s">
        <v>347</v>
      </c>
      <c r="DU485" s="1">
        <v>44357</v>
      </c>
      <c r="DV485" s="1">
        <v>44446</v>
      </c>
    </row>
    <row r="486" spans="1:126" ht="15" customHeight="1" x14ac:dyDescent="0.35">
      <c r="A486" t="s">
        <v>15903</v>
      </c>
      <c r="B486" t="s">
        <v>318</v>
      </c>
      <c r="C486" s="1">
        <v>44330</v>
      </c>
      <c r="D486" s="1">
        <v>44357</v>
      </c>
      <c r="H486" t="s">
        <v>319</v>
      </c>
      <c r="I486" t="s">
        <v>15904</v>
      </c>
      <c r="J486" t="s">
        <v>7576</v>
      </c>
      <c r="K486" t="s">
        <v>3343</v>
      </c>
      <c r="L486" t="s">
        <v>8910</v>
      </c>
      <c r="M486" t="s">
        <v>15905</v>
      </c>
      <c r="O486" t="s">
        <v>5063</v>
      </c>
      <c r="P486" t="s">
        <v>127</v>
      </c>
      <c r="Q486" s="3">
        <v>10504</v>
      </c>
      <c r="R486" t="s">
        <v>128</v>
      </c>
      <c r="T486" s="4">
        <v>19145843320</v>
      </c>
      <c r="V486" t="s">
        <v>15906</v>
      </c>
      <c r="W486" t="s">
        <v>15907</v>
      </c>
      <c r="Y486" t="s">
        <v>15905</v>
      </c>
      <c r="AA486" t="s">
        <v>5063</v>
      </c>
      <c r="AB486" t="s">
        <v>129</v>
      </c>
      <c r="AC486" s="3" t="str">
        <f>"10504"</f>
        <v>10504</v>
      </c>
      <c r="AD486" t="s">
        <v>128</v>
      </c>
      <c r="AF486" s="4">
        <v>19145843320</v>
      </c>
      <c r="AH486" t="str">
        <f>"814110"</f>
        <v>814110</v>
      </c>
      <c r="AI486" t="s">
        <v>167</v>
      </c>
      <c r="AX486" t="s">
        <v>131</v>
      </c>
      <c r="AY486" t="s">
        <v>131</v>
      </c>
      <c r="AZ486" t="s">
        <v>131</v>
      </c>
      <c r="BA486" t="s">
        <v>131</v>
      </c>
      <c r="BB486" t="s">
        <v>131</v>
      </c>
      <c r="BC486" t="s">
        <v>131</v>
      </c>
      <c r="BD486" t="s">
        <v>131</v>
      </c>
      <c r="BE486" t="s">
        <v>132</v>
      </c>
      <c r="BH486" t="s">
        <v>1639</v>
      </c>
      <c r="BI486" t="s">
        <v>131</v>
      </c>
      <c r="BL486" t="s">
        <v>167</v>
      </c>
      <c r="BO486" t="s">
        <v>131</v>
      </c>
      <c r="BP486" t="s">
        <v>134</v>
      </c>
      <c r="BQ486" t="s">
        <v>131</v>
      </c>
      <c r="BS486" t="str">
        <f t="shared" si="39"/>
        <v>N/A</v>
      </c>
      <c r="BT486" t="s">
        <v>135</v>
      </c>
      <c r="BU486">
        <v>12</v>
      </c>
      <c r="BV486" t="str">
        <f>"
We are looking for a temporary live in full-time housekeeper to help maintain our home. We are looking for someone who will help with cleaning, laundry and doing general domestic assistance. 
"</f>
        <v xml:space="preserve">
We are looking for a temporary live in full-time housekeeper to help maintain our home. We are looking for someone who will help with cleaning, laundry and doing general domestic assistance. 
</v>
      </c>
      <c r="BW486" t="s">
        <v>131</v>
      </c>
      <c r="BX486" t="str">
        <f>""</f>
        <v/>
      </c>
      <c r="BY486" t="str">
        <f>""</f>
        <v/>
      </c>
      <c r="BZ486" t="str">
        <f>""</f>
        <v/>
      </c>
      <c r="CA486" t="str">
        <f>""</f>
        <v/>
      </c>
      <c r="CB486" t="s">
        <v>131</v>
      </c>
      <c r="CF486" t="s">
        <v>131</v>
      </c>
      <c r="CH486" t="str">
        <f>""</f>
        <v/>
      </c>
      <c r="CI486" t="s">
        <v>131</v>
      </c>
      <c r="CK486" t="s">
        <v>131</v>
      </c>
      <c r="CL486" t="str">
        <f>""</f>
        <v/>
      </c>
      <c r="CM486" t="str">
        <f>""</f>
        <v/>
      </c>
      <c r="CN486" t="str">
        <f>""</f>
        <v/>
      </c>
      <c r="CO486" t="str">
        <f>""</f>
        <v/>
      </c>
      <c r="CP486" t="str">
        <f>"37-2012.00"</f>
        <v>37-2012.00</v>
      </c>
      <c r="CQ486" t="s">
        <v>479</v>
      </c>
      <c r="CR486" t="s">
        <v>1639</v>
      </c>
      <c r="CS486" t="s">
        <v>131</v>
      </c>
      <c r="CU486" t="s">
        <v>15908</v>
      </c>
      <c r="CW486" t="s">
        <v>5063</v>
      </c>
      <c r="CX486" t="s">
        <v>129</v>
      </c>
      <c r="CZ486" s="3" t="str">
        <f>"10504"</f>
        <v>10504</v>
      </c>
      <c r="DA486" t="s">
        <v>131</v>
      </c>
      <c r="DB486" t="str">
        <f>"35-2013"</f>
        <v>35-2013</v>
      </c>
      <c r="DC486" t="s">
        <v>4206</v>
      </c>
      <c r="DD486" t="s">
        <v>134</v>
      </c>
      <c r="DE486" t="s">
        <v>134</v>
      </c>
      <c r="DF486" t="str">
        <f>"37-2012.00"</f>
        <v>37-2012.00</v>
      </c>
      <c r="DG486" t="s">
        <v>479</v>
      </c>
      <c r="DH486" s="6">
        <v>23.72</v>
      </c>
      <c r="DI486" t="s">
        <v>344</v>
      </c>
      <c r="DK486" t="s">
        <v>345</v>
      </c>
      <c r="DS486" s="6">
        <v>23.72</v>
      </c>
      <c r="DT486" t="s">
        <v>424</v>
      </c>
      <c r="DU486" s="1">
        <v>44357</v>
      </c>
      <c r="DV486" s="1">
        <v>44446</v>
      </c>
    </row>
    <row r="487" spans="1:126" ht="15" customHeight="1" x14ac:dyDescent="0.35">
      <c r="A487" t="s">
        <v>14890</v>
      </c>
      <c r="B487" t="s">
        <v>318</v>
      </c>
      <c r="C487" s="1">
        <v>44330</v>
      </c>
      <c r="D487" s="1">
        <v>44357</v>
      </c>
      <c r="H487" t="s">
        <v>319</v>
      </c>
      <c r="I487" t="s">
        <v>491</v>
      </c>
      <c r="J487" t="s">
        <v>5027</v>
      </c>
      <c r="K487" t="s">
        <v>355</v>
      </c>
      <c r="L487" t="s">
        <v>1281</v>
      </c>
      <c r="M487" t="s">
        <v>9188</v>
      </c>
      <c r="O487" t="s">
        <v>9189</v>
      </c>
      <c r="P487" t="s">
        <v>1760</v>
      </c>
      <c r="Q487" s="3">
        <v>71292</v>
      </c>
      <c r="R487" t="s">
        <v>128</v>
      </c>
      <c r="T487" s="4">
        <v>13183971124</v>
      </c>
      <c r="U487">
        <v>107</v>
      </c>
      <c r="V487" t="s">
        <v>134</v>
      </c>
      <c r="W487" t="s">
        <v>9190</v>
      </c>
      <c r="Y487" t="s">
        <v>9188</v>
      </c>
      <c r="AA487" t="s">
        <v>9189</v>
      </c>
      <c r="AB487" t="s">
        <v>1763</v>
      </c>
      <c r="AC487" s="3" t="str">
        <f>"71292"</f>
        <v>71292</v>
      </c>
      <c r="AD487" t="s">
        <v>128</v>
      </c>
      <c r="AF487" s="4">
        <v>13183971124</v>
      </c>
      <c r="AH487" t="str">
        <f>"311821"</f>
        <v>311821</v>
      </c>
      <c r="AI487" t="s">
        <v>287</v>
      </c>
      <c r="AJ487" t="s">
        <v>2917</v>
      </c>
      <c r="AK487" t="s">
        <v>2918</v>
      </c>
      <c r="AM487" t="s">
        <v>3772</v>
      </c>
      <c r="AO487" t="s">
        <v>3773</v>
      </c>
      <c r="AP487" t="s">
        <v>306</v>
      </c>
      <c r="AQ487" s="5">
        <v>22903</v>
      </c>
      <c r="AR487" t="s">
        <v>128</v>
      </c>
      <c r="AT487" s="4">
        <v>14342634300</v>
      </c>
      <c r="AV487" t="s">
        <v>3774</v>
      </c>
      <c r="AW487" t="s">
        <v>2923</v>
      </c>
      <c r="AX487" t="s">
        <v>131</v>
      </c>
      <c r="AY487" t="s">
        <v>131</v>
      </c>
      <c r="AZ487" t="s">
        <v>131</v>
      </c>
      <c r="BA487" t="s">
        <v>131</v>
      </c>
      <c r="BB487" t="s">
        <v>131</v>
      </c>
      <c r="BC487" t="s">
        <v>131</v>
      </c>
      <c r="BD487" t="s">
        <v>131</v>
      </c>
      <c r="BE487" t="s">
        <v>132</v>
      </c>
      <c r="BH487" t="s">
        <v>13526</v>
      </c>
      <c r="BI487" t="s">
        <v>131</v>
      </c>
      <c r="BL487" t="s">
        <v>167</v>
      </c>
      <c r="BO487" t="s">
        <v>131</v>
      </c>
      <c r="BP487" t="s">
        <v>134</v>
      </c>
      <c r="BQ487" t="s">
        <v>131</v>
      </c>
      <c r="BS487" t="str">
        <f t="shared" si="39"/>
        <v>N/A</v>
      </c>
      <c r="BT487" t="s">
        <v>135</v>
      </c>
      <c r="BU487">
        <v>3</v>
      </c>
      <c r="BV487" t="str">
        <f>"Requires three months of packaging experience."</f>
        <v>Requires three months of packaging experience.</v>
      </c>
      <c r="BW487" t="s">
        <v>135</v>
      </c>
      <c r="BX487" t="str">
        <f>""</f>
        <v/>
      </c>
      <c r="BY487" t="str">
        <f>""</f>
        <v/>
      </c>
      <c r="BZ487" t="str">
        <f>""</f>
        <v/>
      </c>
      <c r="CA487" t="s">
        <v>14891</v>
      </c>
      <c r="CB487" t="s">
        <v>131</v>
      </c>
      <c r="CF487" t="s">
        <v>131</v>
      </c>
      <c r="CH487" t="str">
        <f>""</f>
        <v/>
      </c>
      <c r="CI487" t="s">
        <v>131</v>
      </c>
      <c r="CK487" t="s">
        <v>131</v>
      </c>
      <c r="CL487" t="str">
        <f>""</f>
        <v/>
      </c>
      <c r="CM487" t="str">
        <f>""</f>
        <v/>
      </c>
      <c r="CN487" t="str">
        <f>""</f>
        <v/>
      </c>
      <c r="CO487" t="str">
        <f>""</f>
        <v/>
      </c>
      <c r="CP487" t="str">
        <f>"53-7064.00"</f>
        <v>53-7064.00</v>
      </c>
      <c r="CQ487" t="s">
        <v>2987</v>
      </c>
      <c r="CR487" t="s">
        <v>2924</v>
      </c>
      <c r="CS487" t="s">
        <v>131</v>
      </c>
      <c r="CU487" t="s">
        <v>9191</v>
      </c>
      <c r="CW487" t="s">
        <v>9189</v>
      </c>
      <c r="CX487" t="s">
        <v>1763</v>
      </c>
      <c r="CZ487" s="3" t="str">
        <f>"71292"</f>
        <v>71292</v>
      </c>
      <c r="DA487" t="s">
        <v>131</v>
      </c>
      <c r="DB487" t="str">
        <f>"53-7064"</f>
        <v>53-7064</v>
      </c>
      <c r="DC487" t="s">
        <v>2987</v>
      </c>
      <c r="DD487" t="s">
        <v>134</v>
      </c>
      <c r="DE487" t="s">
        <v>134</v>
      </c>
      <c r="DF487" t="str">
        <f>""</f>
        <v/>
      </c>
      <c r="DH487" s="6">
        <v>12.4</v>
      </c>
      <c r="DI487" t="s">
        <v>344</v>
      </c>
      <c r="DK487" t="s">
        <v>345</v>
      </c>
      <c r="DS487" s="6">
        <v>12.4</v>
      </c>
      <c r="DT487" t="s">
        <v>424</v>
      </c>
      <c r="DU487" s="1">
        <v>44357</v>
      </c>
      <c r="DV487" s="1">
        <v>44446</v>
      </c>
    </row>
    <row r="488" spans="1:126" ht="15" customHeight="1" x14ac:dyDescent="0.35">
      <c r="A488" t="s">
        <v>20128</v>
      </c>
      <c r="B488" t="s">
        <v>318</v>
      </c>
      <c r="C488" s="1">
        <v>44330</v>
      </c>
      <c r="D488" s="1">
        <v>44357</v>
      </c>
      <c r="H488" t="s">
        <v>319</v>
      </c>
      <c r="I488" t="s">
        <v>1514</v>
      </c>
      <c r="J488" t="s">
        <v>3832</v>
      </c>
      <c r="L488" t="s">
        <v>5333</v>
      </c>
      <c r="M488" t="s">
        <v>5334</v>
      </c>
      <c r="N488" t="s">
        <v>134</v>
      </c>
      <c r="O488" t="s">
        <v>4408</v>
      </c>
      <c r="P488" t="s">
        <v>194</v>
      </c>
      <c r="Q488" s="3">
        <v>34109</v>
      </c>
      <c r="R488" t="s">
        <v>128</v>
      </c>
      <c r="S488" t="s">
        <v>134</v>
      </c>
      <c r="T488" s="4">
        <v>12395945200</v>
      </c>
      <c r="V488" t="s">
        <v>5335</v>
      </c>
      <c r="W488" t="s">
        <v>5336</v>
      </c>
      <c r="Y488" t="s">
        <v>5334</v>
      </c>
      <c r="Z488" t="s">
        <v>134</v>
      </c>
      <c r="AA488" t="s">
        <v>4408</v>
      </c>
      <c r="AB488" t="s">
        <v>195</v>
      </c>
      <c r="AC488" s="3" t="str">
        <f>"34109"</f>
        <v>34109</v>
      </c>
      <c r="AD488" t="s">
        <v>128</v>
      </c>
      <c r="AE488" t="s">
        <v>134</v>
      </c>
      <c r="AF488" s="4">
        <v>12395945200</v>
      </c>
      <c r="AH488" t="str">
        <f>"713910"</f>
        <v>713910</v>
      </c>
      <c r="AI488" t="s">
        <v>130</v>
      </c>
      <c r="AJ488" t="s">
        <v>1386</v>
      </c>
      <c r="AK488" t="s">
        <v>1387</v>
      </c>
      <c r="AL488" t="s">
        <v>1036</v>
      </c>
      <c r="AM488" t="s">
        <v>1388</v>
      </c>
      <c r="AN488" t="s">
        <v>997</v>
      </c>
      <c r="AO488" t="s">
        <v>719</v>
      </c>
      <c r="AP488" t="s">
        <v>377</v>
      </c>
      <c r="AQ488" s="5">
        <v>1701</v>
      </c>
      <c r="AR488" t="s">
        <v>128</v>
      </c>
      <c r="AS488" t="s">
        <v>134</v>
      </c>
      <c r="AT488" s="4">
        <v>16179399444</v>
      </c>
      <c r="AV488" t="s">
        <v>1389</v>
      </c>
      <c r="AW488" t="s">
        <v>1390</v>
      </c>
      <c r="AX488" t="s">
        <v>131</v>
      </c>
      <c r="AY488" t="s">
        <v>131</v>
      </c>
      <c r="AZ488" t="s">
        <v>131</v>
      </c>
      <c r="BA488" t="s">
        <v>131</v>
      </c>
      <c r="BB488" t="s">
        <v>131</v>
      </c>
      <c r="BC488" t="s">
        <v>131</v>
      </c>
      <c r="BD488" t="s">
        <v>131</v>
      </c>
      <c r="BE488" t="s">
        <v>132</v>
      </c>
      <c r="BH488" t="s">
        <v>5764</v>
      </c>
      <c r="BI488" t="s">
        <v>131</v>
      </c>
      <c r="BL488" t="s">
        <v>167</v>
      </c>
      <c r="BO488" t="s">
        <v>131</v>
      </c>
      <c r="BP488" t="s">
        <v>134</v>
      </c>
      <c r="BQ488" t="s">
        <v>131</v>
      </c>
      <c r="BS488" t="str">
        <f t="shared" si="39"/>
        <v>N/A</v>
      </c>
      <c r="BT488" t="s">
        <v>135</v>
      </c>
      <c r="BU488">
        <v>6</v>
      </c>
      <c r="BV488" t="str">
        <f>"Line Cook"</f>
        <v>Line Cook</v>
      </c>
      <c r="BW488" t="s">
        <v>135</v>
      </c>
      <c r="BX488" t="str">
        <f>""</f>
        <v/>
      </c>
      <c r="BY488" t="str">
        <f>""</f>
        <v/>
      </c>
      <c r="BZ488" t="str">
        <f>""</f>
        <v/>
      </c>
      <c r="CA488" t="s">
        <v>7917</v>
      </c>
      <c r="CB488" t="s">
        <v>131</v>
      </c>
      <c r="CF488" t="s">
        <v>131</v>
      </c>
      <c r="CH488" t="str">
        <f>""</f>
        <v/>
      </c>
      <c r="CI488" t="s">
        <v>131</v>
      </c>
      <c r="CK488" t="s">
        <v>131</v>
      </c>
      <c r="CL488" t="str">
        <f>""</f>
        <v/>
      </c>
      <c r="CM488" t="str">
        <f>""</f>
        <v/>
      </c>
      <c r="CN488" t="str">
        <f>""</f>
        <v/>
      </c>
      <c r="CO488" t="str">
        <f>""</f>
        <v/>
      </c>
      <c r="CP488" t="str">
        <f>"35-2014.00"</f>
        <v>35-2014.00</v>
      </c>
      <c r="CQ488" t="s">
        <v>581</v>
      </c>
      <c r="CR488" t="s">
        <v>1941</v>
      </c>
      <c r="CS488" t="s">
        <v>131</v>
      </c>
      <c r="CU488" t="s">
        <v>5334</v>
      </c>
      <c r="CV488" t="s">
        <v>134</v>
      </c>
      <c r="CW488" t="s">
        <v>4408</v>
      </c>
      <c r="CX488" t="s">
        <v>195</v>
      </c>
      <c r="CZ488" s="3" t="str">
        <f>"34109"</f>
        <v>34109</v>
      </c>
      <c r="DA488" t="s">
        <v>131</v>
      </c>
      <c r="DB488" t="str">
        <f>"35-2014"</f>
        <v>35-2014</v>
      </c>
      <c r="DC488" t="s">
        <v>581</v>
      </c>
      <c r="DD488" t="s">
        <v>134</v>
      </c>
      <c r="DE488" t="s">
        <v>134</v>
      </c>
      <c r="DF488" t="str">
        <f>""</f>
        <v/>
      </c>
      <c r="DH488" s="6">
        <v>15.46</v>
      </c>
      <c r="DI488" t="s">
        <v>344</v>
      </c>
      <c r="DK488" t="s">
        <v>345</v>
      </c>
      <c r="DS488" s="6">
        <v>15.46</v>
      </c>
      <c r="DT488" t="s">
        <v>424</v>
      </c>
      <c r="DU488" s="1">
        <v>44357</v>
      </c>
      <c r="DV488" s="1">
        <v>44446</v>
      </c>
    </row>
    <row r="489" spans="1:126" ht="15" customHeight="1" x14ac:dyDescent="0.35">
      <c r="A489" t="s">
        <v>5331</v>
      </c>
      <c r="B489" t="s">
        <v>318</v>
      </c>
      <c r="C489" s="1">
        <v>44330</v>
      </c>
      <c r="D489" s="1">
        <v>44357</v>
      </c>
      <c r="H489" t="s">
        <v>319</v>
      </c>
      <c r="I489" t="s">
        <v>1514</v>
      </c>
      <c r="J489" t="s">
        <v>5332</v>
      </c>
      <c r="L489" t="s">
        <v>5333</v>
      </c>
      <c r="M489" t="s">
        <v>5334</v>
      </c>
      <c r="N489" t="s">
        <v>134</v>
      </c>
      <c r="O489" t="s">
        <v>4408</v>
      </c>
      <c r="P489" t="s">
        <v>194</v>
      </c>
      <c r="Q489" s="3">
        <v>34109</v>
      </c>
      <c r="R489" t="s">
        <v>128</v>
      </c>
      <c r="S489" t="s">
        <v>134</v>
      </c>
      <c r="T489" s="4">
        <v>12395945200</v>
      </c>
      <c r="V489" t="s">
        <v>5335</v>
      </c>
      <c r="W489" t="s">
        <v>5336</v>
      </c>
      <c r="Y489" t="s">
        <v>5334</v>
      </c>
      <c r="Z489" t="s">
        <v>134</v>
      </c>
      <c r="AA489" t="s">
        <v>4408</v>
      </c>
      <c r="AB489" t="s">
        <v>195</v>
      </c>
      <c r="AC489" s="3" t="str">
        <f>"34109"</f>
        <v>34109</v>
      </c>
      <c r="AD489" t="s">
        <v>128</v>
      </c>
      <c r="AE489" t="s">
        <v>134</v>
      </c>
      <c r="AF489" s="4">
        <v>12395945200</v>
      </c>
      <c r="AH489" t="str">
        <f>"713910"</f>
        <v>713910</v>
      </c>
      <c r="AI489" t="s">
        <v>130</v>
      </c>
      <c r="AJ489" t="s">
        <v>1386</v>
      </c>
      <c r="AK489" t="s">
        <v>1387</v>
      </c>
      <c r="AL489" t="s">
        <v>1036</v>
      </c>
      <c r="AM489" t="s">
        <v>1388</v>
      </c>
      <c r="AN489" t="s">
        <v>997</v>
      </c>
      <c r="AO489" t="s">
        <v>719</v>
      </c>
      <c r="AP489" t="s">
        <v>377</v>
      </c>
      <c r="AQ489" s="5">
        <v>1701</v>
      </c>
      <c r="AR489" t="s">
        <v>128</v>
      </c>
      <c r="AS489" t="s">
        <v>134</v>
      </c>
      <c r="AT489" s="4">
        <v>16179399444</v>
      </c>
      <c r="AV489" t="s">
        <v>1389</v>
      </c>
      <c r="AW489" t="s">
        <v>1390</v>
      </c>
      <c r="AX489" t="s">
        <v>131</v>
      </c>
      <c r="AY489" t="s">
        <v>131</v>
      </c>
      <c r="AZ489" t="s">
        <v>131</v>
      </c>
      <c r="BA489" t="s">
        <v>131</v>
      </c>
      <c r="BB489" t="s">
        <v>131</v>
      </c>
      <c r="BC489" t="s">
        <v>131</v>
      </c>
      <c r="BD489" t="s">
        <v>131</v>
      </c>
      <c r="BE489" t="s">
        <v>132</v>
      </c>
      <c r="BH489" t="s">
        <v>1213</v>
      </c>
      <c r="BI489" t="s">
        <v>131</v>
      </c>
      <c r="BL489" t="s">
        <v>167</v>
      </c>
      <c r="BO489" t="s">
        <v>131</v>
      </c>
      <c r="BP489" t="s">
        <v>134</v>
      </c>
      <c r="BQ489" t="s">
        <v>131</v>
      </c>
      <c r="BS489" t="str">
        <f t="shared" si="39"/>
        <v>N/A</v>
      </c>
      <c r="BT489" t="s">
        <v>135</v>
      </c>
      <c r="BU489">
        <v>6</v>
      </c>
      <c r="BV489" t="str">
        <f>"Server"</f>
        <v>Server</v>
      </c>
      <c r="BW489" t="s">
        <v>135</v>
      </c>
      <c r="BX489" t="str">
        <f>""</f>
        <v/>
      </c>
      <c r="BY489" t="str">
        <f>""</f>
        <v/>
      </c>
      <c r="BZ489" t="str">
        <f>""</f>
        <v/>
      </c>
      <c r="CA489" t="s">
        <v>5337</v>
      </c>
      <c r="CB489" t="s">
        <v>131</v>
      </c>
      <c r="CF489" t="s">
        <v>131</v>
      </c>
      <c r="CH489" t="str">
        <f>""</f>
        <v/>
      </c>
      <c r="CI489" t="s">
        <v>131</v>
      </c>
      <c r="CK489" t="s">
        <v>131</v>
      </c>
      <c r="CL489" t="str">
        <f>""</f>
        <v/>
      </c>
      <c r="CM489" t="str">
        <f>""</f>
        <v/>
      </c>
      <c r="CN489" t="str">
        <f>""</f>
        <v/>
      </c>
      <c r="CO489" t="str">
        <f>""</f>
        <v/>
      </c>
      <c r="CP489" t="str">
        <f>"35-3031.00"</f>
        <v>35-3031.00</v>
      </c>
      <c r="CQ489" t="s">
        <v>1214</v>
      </c>
      <c r="CR489" t="s">
        <v>5338</v>
      </c>
      <c r="CS489" t="s">
        <v>131</v>
      </c>
      <c r="CU489" t="s">
        <v>5334</v>
      </c>
      <c r="CV489" t="s">
        <v>134</v>
      </c>
      <c r="CW489" t="s">
        <v>4408</v>
      </c>
      <c r="CX489" t="s">
        <v>195</v>
      </c>
      <c r="CZ489" s="3" t="str">
        <f>"34109"</f>
        <v>34109</v>
      </c>
      <c r="DA489" t="s">
        <v>131</v>
      </c>
      <c r="DB489" t="str">
        <f>"35-3031"</f>
        <v>35-3031</v>
      </c>
      <c r="DC489" t="s">
        <v>1214</v>
      </c>
      <c r="DD489" t="s">
        <v>134</v>
      </c>
      <c r="DE489" t="s">
        <v>134</v>
      </c>
      <c r="DF489" t="str">
        <f>""</f>
        <v/>
      </c>
      <c r="DH489" s="6">
        <v>15.48</v>
      </c>
      <c r="DI489" t="s">
        <v>344</v>
      </c>
      <c r="DK489" t="s">
        <v>345</v>
      </c>
      <c r="DS489" s="6">
        <v>15.48</v>
      </c>
      <c r="DT489" t="s">
        <v>424</v>
      </c>
      <c r="DU489" s="1">
        <v>44357</v>
      </c>
      <c r="DV489" s="1">
        <v>44446</v>
      </c>
    </row>
    <row r="490" spans="1:126" ht="15" customHeight="1" x14ac:dyDescent="0.35">
      <c r="A490" t="s">
        <v>19653</v>
      </c>
      <c r="B490" t="s">
        <v>318</v>
      </c>
      <c r="C490" s="1">
        <v>44330</v>
      </c>
      <c r="D490" s="1">
        <v>44357</v>
      </c>
      <c r="H490" t="s">
        <v>319</v>
      </c>
      <c r="I490" t="s">
        <v>3745</v>
      </c>
      <c r="J490" t="s">
        <v>5739</v>
      </c>
      <c r="L490" t="s">
        <v>1793</v>
      </c>
      <c r="M490" t="s">
        <v>19654</v>
      </c>
      <c r="O490" t="s">
        <v>19655</v>
      </c>
      <c r="P490" t="s">
        <v>467</v>
      </c>
      <c r="Q490" s="3">
        <v>81522</v>
      </c>
      <c r="R490" t="s">
        <v>128</v>
      </c>
      <c r="T490" s="4">
        <v>19709312458</v>
      </c>
      <c r="V490" t="s">
        <v>19656</v>
      </c>
      <c r="W490" t="s">
        <v>19657</v>
      </c>
      <c r="X490" t="s">
        <v>19658</v>
      </c>
      <c r="Y490" t="s">
        <v>19654</v>
      </c>
      <c r="Z490" t="s">
        <v>19659</v>
      </c>
      <c r="AA490" t="s">
        <v>19655</v>
      </c>
      <c r="AB490" t="s">
        <v>471</v>
      </c>
      <c r="AC490" s="3" t="str">
        <f>"81522"</f>
        <v>81522</v>
      </c>
      <c r="AD490" t="s">
        <v>128</v>
      </c>
      <c r="AF490" s="4">
        <v>19709312458</v>
      </c>
      <c r="AH490" t="str">
        <f>"7211"</f>
        <v>7211</v>
      </c>
      <c r="AI490" t="s">
        <v>287</v>
      </c>
      <c r="AJ490" t="s">
        <v>2209</v>
      </c>
      <c r="AK490" t="s">
        <v>1459</v>
      </c>
      <c r="AL490" t="s">
        <v>2210</v>
      </c>
      <c r="AM490" t="s">
        <v>2211</v>
      </c>
      <c r="AN490" t="s">
        <v>788</v>
      </c>
      <c r="AO490" t="s">
        <v>2212</v>
      </c>
      <c r="AP490" t="s">
        <v>400</v>
      </c>
      <c r="AQ490" s="5">
        <v>75033</v>
      </c>
      <c r="AR490" t="s">
        <v>128</v>
      </c>
      <c r="AT490" s="4">
        <v>19727789690</v>
      </c>
      <c r="AV490" t="s">
        <v>4772</v>
      </c>
      <c r="AW490" t="s">
        <v>2214</v>
      </c>
      <c r="AX490" t="s">
        <v>131</v>
      </c>
      <c r="AY490" t="s">
        <v>131</v>
      </c>
      <c r="AZ490" t="s">
        <v>131</v>
      </c>
      <c r="BA490" t="s">
        <v>131</v>
      </c>
      <c r="BB490" t="s">
        <v>131</v>
      </c>
      <c r="BC490" t="s">
        <v>131</v>
      </c>
      <c r="BD490" t="s">
        <v>131</v>
      </c>
      <c r="BE490" t="s">
        <v>132</v>
      </c>
      <c r="BH490" t="s">
        <v>1639</v>
      </c>
      <c r="BI490" t="s">
        <v>131</v>
      </c>
      <c r="BL490" t="s">
        <v>167</v>
      </c>
      <c r="BO490" t="s">
        <v>131</v>
      </c>
      <c r="BP490" t="s">
        <v>134</v>
      </c>
      <c r="BQ490" t="s">
        <v>131</v>
      </c>
      <c r="BS490" t="str">
        <f t="shared" si="39"/>
        <v>N/A</v>
      </c>
      <c r="BT490" t="s">
        <v>135</v>
      </c>
      <c r="BU490">
        <v>3</v>
      </c>
      <c r="BV490" t="str">
        <f>"Hotel/Resort Housekeeper"</f>
        <v>Hotel/Resort Housekeeper</v>
      </c>
      <c r="BW490" t="s">
        <v>135</v>
      </c>
      <c r="BX490" t="str">
        <f>""</f>
        <v/>
      </c>
      <c r="BY490" t="str">
        <f>""</f>
        <v/>
      </c>
      <c r="BZ490" t="str">
        <f>""</f>
        <v/>
      </c>
      <c r="CA490" t="str">
        <f>"MUST BE ABLE TO WORK A 5 DAY SCHEDULE, INCLUDING WEEKENDS AND HOLIDAYS AS REQUIRED. APPLICANTS MUST COMPLETE AN EMPLOYMENT APPLICATION."</f>
        <v>MUST BE ABLE TO WORK A 5 DAY SCHEDULE, INCLUDING WEEKENDS AND HOLIDAYS AS REQUIRED. APPLICANTS MUST COMPLETE AN EMPLOYMENT APPLICATION.</v>
      </c>
      <c r="CB490" t="s">
        <v>131</v>
      </c>
      <c r="CF490" t="s">
        <v>131</v>
      </c>
      <c r="CH490" t="str">
        <f>""</f>
        <v/>
      </c>
      <c r="CI490" t="s">
        <v>131</v>
      </c>
      <c r="CK490" t="s">
        <v>131</v>
      </c>
      <c r="CL490" t="str">
        <f>""</f>
        <v/>
      </c>
      <c r="CM490" t="str">
        <f>""</f>
        <v/>
      </c>
      <c r="CN490" t="str">
        <f>""</f>
        <v/>
      </c>
      <c r="CO490" t="str">
        <f>""</f>
        <v/>
      </c>
      <c r="CP490" t="str">
        <f>"37-2012.00"</f>
        <v>37-2012.00</v>
      </c>
      <c r="CQ490" t="s">
        <v>479</v>
      </c>
      <c r="CS490" t="s">
        <v>131</v>
      </c>
      <c r="CU490" t="s">
        <v>19654</v>
      </c>
      <c r="CW490" t="s">
        <v>19655</v>
      </c>
      <c r="CX490" t="s">
        <v>471</v>
      </c>
      <c r="CZ490" s="3" t="str">
        <f>"81522"</f>
        <v>81522</v>
      </c>
      <c r="DA490" t="s">
        <v>131</v>
      </c>
      <c r="DB490" t="str">
        <f>"37-2012"</f>
        <v>37-2012</v>
      </c>
      <c r="DC490" t="s">
        <v>479</v>
      </c>
      <c r="DD490" t="s">
        <v>134</v>
      </c>
      <c r="DE490" t="s">
        <v>134</v>
      </c>
      <c r="DF490" t="str">
        <f>""</f>
        <v/>
      </c>
      <c r="DH490" s="6">
        <v>12.52</v>
      </c>
      <c r="DI490" t="s">
        <v>344</v>
      </c>
      <c r="DK490" t="s">
        <v>345</v>
      </c>
      <c r="DR490" t="s">
        <v>19660</v>
      </c>
      <c r="DS490" s="6">
        <v>12.52</v>
      </c>
      <c r="DT490" t="s">
        <v>424</v>
      </c>
      <c r="DU490" s="1">
        <v>44357</v>
      </c>
      <c r="DV490" s="1">
        <v>44446</v>
      </c>
    </row>
    <row r="491" spans="1:126" ht="15" customHeight="1" x14ac:dyDescent="0.35">
      <c r="A491" t="s">
        <v>17835</v>
      </c>
      <c r="B491" t="s">
        <v>318</v>
      </c>
      <c r="C491" s="1">
        <v>44330</v>
      </c>
      <c r="D491" s="1">
        <v>44357</v>
      </c>
      <c r="H491" t="s">
        <v>319</v>
      </c>
      <c r="I491" t="s">
        <v>10905</v>
      </c>
      <c r="J491" t="s">
        <v>5804</v>
      </c>
      <c r="K491" t="s">
        <v>134</v>
      </c>
      <c r="L491" t="s">
        <v>583</v>
      </c>
      <c r="M491" t="s">
        <v>16366</v>
      </c>
      <c r="O491" t="s">
        <v>10907</v>
      </c>
      <c r="P491" t="s">
        <v>629</v>
      </c>
      <c r="Q491" s="3">
        <v>38834</v>
      </c>
      <c r="R491" t="s">
        <v>128</v>
      </c>
      <c r="T491" s="4">
        <v>16626434216</v>
      </c>
      <c r="V491" t="s">
        <v>9942</v>
      </c>
      <c r="W491" t="s">
        <v>10908</v>
      </c>
      <c r="Y491" t="s">
        <v>16366</v>
      </c>
      <c r="AA491" t="s">
        <v>10907</v>
      </c>
      <c r="AB491" t="s">
        <v>630</v>
      </c>
      <c r="AC491" s="3" t="str">
        <f>"38834"</f>
        <v>38834</v>
      </c>
      <c r="AD491" t="s">
        <v>128</v>
      </c>
      <c r="AF491" s="4">
        <v>16626434216</v>
      </c>
      <c r="AH491" t="str">
        <f>"11321"</f>
        <v>11321</v>
      </c>
      <c r="AI491" t="s">
        <v>287</v>
      </c>
      <c r="AJ491" t="s">
        <v>9944</v>
      </c>
      <c r="AK491" t="s">
        <v>9945</v>
      </c>
      <c r="AL491" t="s">
        <v>355</v>
      </c>
      <c r="AM491" t="s">
        <v>2048</v>
      </c>
      <c r="AN491" t="s">
        <v>9946</v>
      </c>
      <c r="AO491" t="s">
        <v>9947</v>
      </c>
      <c r="AP491" t="s">
        <v>1243</v>
      </c>
      <c r="AQ491" s="5">
        <v>83814</v>
      </c>
      <c r="AR491" t="s">
        <v>128</v>
      </c>
      <c r="AT491" s="4">
        <v>12087772654</v>
      </c>
      <c r="AV491" t="s">
        <v>9942</v>
      </c>
      <c r="AW491" t="s">
        <v>4715</v>
      </c>
      <c r="AX491" t="s">
        <v>131</v>
      </c>
      <c r="AY491" t="s">
        <v>131</v>
      </c>
      <c r="AZ491" t="s">
        <v>131</v>
      </c>
      <c r="BA491" t="s">
        <v>131</v>
      </c>
      <c r="BB491" t="s">
        <v>131</v>
      </c>
      <c r="BC491" t="s">
        <v>131</v>
      </c>
      <c r="BD491" t="s">
        <v>131</v>
      </c>
      <c r="BE491" t="s">
        <v>132</v>
      </c>
      <c r="BH491" t="s">
        <v>4716</v>
      </c>
      <c r="BI491" t="s">
        <v>131</v>
      </c>
      <c r="BL491" t="s">
        <v>167</v>
      </c>
      <c r="BO491" t="s">
        <v>131</v>
      </c>
      <c r="BP491" t="s">
        <v>134</v>
      </c>
      <c r="BQ491" t="s">
        <v>131</v>
      </c>
      <c r="BS491" t="str">
        <f t="shared" si="39"/>
        <v>N/A</v>
      </c>
      <c r="BT491" t="s">
        <v>131</v>
      </c>
      <c r="BV491" t="str">
        <f>""</f>
        <v/>
      </c>
      <c r="BW491" t="s">
        <v>135</v>
      </c>
      <c r="BX491" t="str">
        <f>""</f>
        <v/>
      </c>
      <c r="BY491" t="str">
        <f>""</f>
        <v/>
      </c>
      <c r="BZ491" t="str">
        <f>""</f>
        <v/>
      </c>
      <c r="CA491" t="s">
        <v>10909</v>
      </c>
      <c r="CB491" t="s">
        <v>131</v>
      </c>
      <c r="CF491" t="s">
        <v>131</v>
      </c>
      <c r="CH491" t="str">
        <f>""</f>
        <v/>
      </c>
      <c r="CI491" t="s">
        <v>131</v>
      </c>
      <c r="CK491" t="s">
        <v>131</v>
      </c>
      <c r="CL491" t="str">
        <f>""</f>
        <v/>
      </c>
      <c r="CM491" t="str">
        <f>""</f>
        <v/>
      </c>
      <c r="CN491" t="str">
        <f>""</f>
        <v/>
      </c>
      <c r="CO491" t="str">
        <f>""</f>
        <v/>
      </c>
      <c r="CP491" t="str">
        <f>"45-2092.01"</f>
        <v>45-2092.01</v>
      </c>
      <c r="CQ491" t="s">
        <v>3197</v>
      </c>
      <c r="CS491" t="s">
        <v>131</v>
      </c>
      <c r="CU491" t="s">
        <v>17836</v>
      </c>
      <c r="CW491" t="s">
        <v>5251</v>
      </c>
      <c r="CX491" t="s">
        <v>1218</v>
      </c>
      <c r="CZ491" s="3" t="str">
        <f>"36703"</f>
        <v>36703</v>
      </c>
      <c r="DA491" t="s">
        <v>131</v>
      </c>
      <c r="DB491" t="str">
        <f>"45-2092"</f>
        <v>45-2092</v>
      </c>
      <c r="DC491" t="s">
        <v>3820</v>
      </c>
      <c r="DD491" t="s">
        <v>10470</v>
      </c>
      <c r="DE491" t="s">
        <v>3197</v>
      </c>
      <c r="DF491" t="str">
        <f>""</f>
        <v/>
      </c>
      <c r="DH491" s="6">
        <v>10.88</v>
      </c>
      <c r="DI491" t="s">
        <v>344</v>
      </c>
      <c r="DK491" t="s">
        <v>345</v>
      </c>
      <c r="DS491" s="6">
        <v>10.88</v>
      </c>
      <c r="DT491" t="s">
        <v>424</v>
      </c>
      <c r="DU491" s="1">
        <v>44357</v>
      </c>
      <c r="DV491" s="1">
        <v>44446</v>
      </c>
    </row>
    <row r="492" spans="1:126" ht="15" customHeight="1" x14ac:dyDescent="0.35">
      <c r="A492" t="s">
        <v>10904</v>
      </c>
      <c r="B492" t="s">
        <v>318</v>
      </c>
      <c r="C492" s="1">
        <v>44330</v>
      </c>
      <c r="D492" s="1">
        <v>44357</v>
      </c>
      <c r="H492" t="s">
        <v>319</v>
      </c>
      <c r="I492" t="s">
        <v>10905</v>
      </c>
      <c r="J492" t="s">
        <v>5804</v>
      </c>
      <c r="K492" t="s">
        <v>134</v>
      </c>
      <c r="L492" t="s">
        <v>583</v>
      </c>
      <c r="M492" t="s">
        <v>10906</v>
      </c>
      <c r="O492" t="s">
        <v>10907</v>
      </c>
      <c r="P492" t="s">
        <v>629</v>
      </c>
      <c r="Q492" s="3">
        <v>38834</v>
      </c>
      <c r="R492" t="s">
        <v>128</v>
      </c>
      <c r="T492" s="4">
        <v>16626434216</v>
      </c>
      <c r="V492" t="s">
        <v>9942</v>
      </c>
      <c r="W492" t="s">
        <v>10908</v>
      </c>
      <c r="Y492" t="s">
        <v>10906</v>
      </c>
      <c r="AA492" t="s">
        <v>10907</v>
      </c>
      <c r="AB492" t="s">
        <v>630</v>
      </c>
      <c r="AC492" s="3" t="str">
        <f>"38834"</f>
        <v>38834</v>
      </c>
      <c r="AD492" t="s">
        <v>128</v>
      </c>
      <c r="AF492" s="4">
        <v>16626434216</v>
      </c>
      <c r="AH492" t="str">
        <f>"11321"</f>
        <v>11321</v>
      </c>
      <c r="AI492" t="s">
        <v>287</v>
      </c>
      <c r="AJ492" t="s">
        <v>9944</v>
      </c>
      <c r="AK492" t="s">
        <v>9945</v>
      </c>
      <c r="AL492" t="s">
        <v>355</v>
      </c>
      <c r="AM492" t="s">
        <v>2048</v>
      </c>
      <c r="AN492" t="s">
        <v>9946</v>
      </c>
      <c r="AO492" t="s">
        <v>9947</v>
      </c>
      <c r="AP492" t="s">
        <v>1243</v>
      </c>
      <c r="AQ492" s="5">
        <v>83814</v>
      </c>
      <c r="AR492" t="s">
        <v>128</v>
      </c>
      <c r="AT492" s="4">
        <v>12087772654</v>
      </c>
      <c r="AV492" t="s">
        <v>9942</v>
      </c>
      <c r="AW492" t="s">
        <v>4715</v>
      </c>
      <c r="AX492" t="s">
        <v>131</v>
      </c>
      <c r="AY492" t="s">
        <v>131</v>
      </c>
      <c r="AZ492" t="s">
        <v>131</v>
      </c>
      <c r="BA492" t="s">
        <v>131</v>
      </c>
      <c r="BB492" t="s">
        <v>131</v>
      </c>
      <c r="BC492" t="s">
        <v>131</v>
      </c>
      <c r="BD492" t="s">
        <v>131</v>
      </c>
      <c r="BE492" t="s">
        <v>132</v>
      </c>
      <c r="BH492" t="s">
        <v>4716</v>
      </c>
      <c r="BI492" t="s">
        <v>131</v>
      </c>
      <c r="BL492" t="s">
        <v>167</v>
      </c>
      <c r="BO492" t="s">
        <v>131</v>
      </c>
      <c r="BP492" t="s">
        <v>134</v>
      </c>
      <c r="BQ492" t="s">
        <v>131</v>
      </c>
      <c r="BS492" t="str">
        <f t="shared" si="39"/>
        <v>N/A</v>
      </c>
      <c r="BT492" t="s">
        <v>131</v>
      </c>
      <c r="BV492" t="str">
        <f>""</f>
        <v/>
      </c>
      <c r="BW492" t="s">
        <v>135</v>
      </c>
      <c r="BX492" t="str">
        <f>""</f>
        <v/>
      </c>
      <c r="BY492" t="str">
        <f>""</f>
        <v/>
      </c>
      <c r="BZ492" t="str">
        <f>""</f>
        <v/>
      </c>
      <c r="CA492" t="s">
        <v>10909</v>
      </c>
      <c r="CB492" t="s">
        <v>131</v>
      </c>
      <c r="CF492" t="s">
        <v>131</v>
      </c>
      <c r="CH492" t="str">
        <f>""</f>
        <v/>
      </c>
      <c r="CI492" t="s">
        <v>131</v>
      </c>
      <c r="CK492" t="s">
        <v>131</v>
      </c>
      <c r="CL492" t="str">
        <f>""</f>
        <v/>
      </c>
      <c r="CM492" t="str">
        <f>""</f>
        <v/>
      </c>
      <c r="CN492" t="str">
        <f>""</f>
        <v/>
      </c>
      <c r="CO492" t="str">
        <f>""</f>
        <v/>
      </c>
      <c r="CP492" t="str">
        <f>"45-2092.01"</f>
        <v>45-2092.01</v>
      </c>
      <c r="CQ492" t="s">
        <v>3197</v>
      </c>
      <c r="CS492" t="s">
        <v>131</v>
      </c>
      <c r="CU492" t="s">
        <v>10910</v>
      </c>
      <c r="CW492" t="s">
        <v>10911</v>
      </c>
      <c r="CX492" t="s">
        <v>1218</v>
      </c>
      <c r="CZ492" s="3" t="str">
        <f>"36530"</f>
        <v>36530</v>
      </c>
      <c r="DA492" t="s">
        <v>131</v>
      </c>
      <c r="DB492" t="str">
        <f>"45-2092"</f>
        <v>45-2092</v>
      </c>
      <c r="DC492" t="s">
        <v>3820</v>
      </c>
      <c r="DD492" t="s">
        <v>10470</v>
      </c>
      <c r="DE492" t="s">
        <v>3197</v>
      </c>
      <c r="DF492" t="str">
        <f>""</f>
        <v/>
      </c>
      <c r="DH492" s="6">
        <v>11.14</v>
      </c>
      <c r="DI492" t="s">
        <v>344</v>
      </c>
      <c r="DK492" t="s">
        <v>345</v>
      </c>
      <c r="DS492" s="6">
        <v>11.14</v>
      </c>
      <c r="DT492" t="s">
        <v>424</v>
      </c>
      <c r="DU492" s="1">
        <v>44357</v>
      </c>
      <c r="DV492" s="1">
        <v>44446</v>
      </c>
    </row>
    <row r="493" spans="1:126" ht="15" customHeight="1" x14ac:dyDescent="0.35">
      <c r="A493" t="s">
        <v>11483</v>
      </c>
      <c r="B493" t="s">
        <v>318</v>
      </c>
      <c r="C493" s="1">
        <v>44330</v>
      </c>
      <c r="D493" s="1">
        <v>44357</v>
      </c>
      <c r="H493" t="s">
        <v>319</v>
      </c>
      <c r="I493" t="s">
        <v>8448</v>
      </c>
      <c r="J493" t="s">
        <v>913</v>
      </c>
      <c r="K493" t="s">
        <v>3946</v>
      </c>
      <c r="L493" t="s">
        <v>10533</v>
      </c>
      <c r="M493" t="s">
        <v>11484</v>
      </c>
      <c r="O493" t="s">
        <v>687</v>
      </c>
      <c r="P493" t="s">
        <v>441</v>
      </c>
      <c r="Q493" s="3">
        <v>45241</v>
      </c>
      <c r="R493" t="s">
        <v>128</v>
      </c>
      <c r="T493" s="4">
        <v>18005700213</v>
      </c>
      <c r="U493">
        <v>1013</v>
      </c>
      <c r="V493" t="s">
        <v>134</v>
      </c>
      <c r="W493" t="s">
        <v>11485</v>
      </c>
      <c r="Y493" t="s">
        <v>11484</v>
      </c>
      <c r="AA493" t="s">
        <v>687</v>
      </c>
      <c r="AB493" t="s">
        <v>444</v>
      </c>
      <c r="AC493" s="3" t="str">
        <f>"45241"</f>
        <v>45241</v>
      </c>
      <c r="AD493" t="s">
        <v>128</v>
      </c>
      <c r="AF493" s="4">
        <v>18005700213</v>
      </c>
      <c r="AH493" t="str">
        <f>"56173"</f>
        <v>56173</v>
      </c>
      <c r="AI493" t="s">
        <v>287</v>
      </c>
      <c r="AJ493" t="s">
        <v>2917</v>
      </c>
      <c r="AK493" t="s">
        <v>2918</v>
      </c>
      <c r="AM493" t="s">
        <v>2919</v>
      </c>
      <c r="AN493" t="s">
        <v>2920</v>
      </c>
      <c r="AO493" t="s">
        <v>2921</v>
      </c>
      <c r="AP493" t="s">
        <v>306</v>
      </c>
      <c r="AQ493" s="5">
        <v>22949</v>
      </c>
      <c r="AR493" t="s">
        <v>128</v>
      </c>
      <c r="AT493" s="4">
        <v>14342634300</v>
      </c>
      <c r="AV493" t="s">
        <v>5233</v>
      </c>
      <c r="AW493" t="s">
        <v>2923</v>
      </c>
      <c r="AX493" t="s">
        <v>131</v>
      </c>
      <c r="AY493" t="s">
        <v>131</v>
      </c>
      <c r="AZ493" t="s">
        <v>131</v>
      </c>
      <c r="BA493" t="s">
        <v>131</v>
      </c>
      <c r="BB493" t="s">
        <v>131</v>
      </c>
      <c r="BC493" t="s">
        <v>131</v>
      </c>
      <c r="BD493" t="s">
        <v>131</v>
      </c>
      <c r="BE493" t="s">
        <v>132</v>
      </c>
      <c r="BH493" t="s">
        <v>3780</v>
      </c>
      <c r="BI493" t="s">
        <v>131</v>
      </c>
      <c r="BL493" t="s">
        <v>167</v>
      </c>
      <c r="BO493" t="s">
        <v>131</v>
      </c>
      <c r="BP493" t="s">
        <v>134</v>
      </c>
      <c r="BQ493" t="s">
        <v>131</v>
      </c>
      <c r="BS493" t="str">
        <f t="shared" si="39"/>
        <v>N/A</v>
      </c>
      <c r="BT493" t="s">
        <v>131</v>
      </c>
      <c r="BV493" t="str">
        <f>""</f>
        <v/>
      </c>
      <c r="BW493" t="s">
        <v>135</v>
      </c>
      <c r="BX493" t="str">
        <f>""</f>
        <v/>
      </c>
      <c r="BY493" t="str">
        <f>""</f>
        <v/>
      </c>
      <c r="BZ493" t="str">
        <f>""</f>
        <v/>
      </c>
      <c r="CA493" t="s">
        <v>11486</v>
      </c>
      <c r="CB493" t="s">
        <v>131</v>
      </c>
      <c r="CF493" t="s">
        <v>131</v>
      </c>
      <c r="CH493" t="str">
        <f>""</f>
        <v/>
      </c>
      <c r="CI493" t="s">
        <v>131</v>
      </c>
      <c r="CK493" t="s">
        <v>131</v>
      </c>
      <c r="CL493" t="str">
        <f>""</f>
        <v/>
      </c>
      <c r="CM493" t="str">
        <f>""</f>
        <v/>
      </c>
      <c r="CN493" t="str">
        <f>""</f>
        <v/>
      </c>
      <c r="CO493" t="str">
        <f>""</f>
        <v/>
      </c>
      <c r="CP493" t="str">
        <f>"37-3011.00"</f>
        <v>37-3011.00</v>
      </c>
      <c r="CQ493" t="s">
        <v>920</v>
      </c>
      <c r="CR493" t="s">
        <v>2924</v>
      </c>
      <c r="CS493" t="s">
        <v>135</v>
      </c>
      <c r="CT493" t="s">
        <v>2925</v>
      </c>
      <c r="CU493" t="s">
        <v>11487</v>
      </c>
      <c r="CW493" t="s">
        <v>687</v>
      </c>
      <c r="CX493" t="s">
        <v>444</v>
      </c>
      <c r="CZ493" s="3" t="str">
        <f>"45241"</f>
        <v>45241</v>
      </c>
      <c r="DA493" t="s">
        <v>135</v>
      </c>
      <c r="DB493" t="str">
        <f>"37-3011"</f>
        <v>37-3011</v>
      </c>
      <c r="DC493" t="s">
        <v>920</v>
      </c>
      <c r="DD493" t="s">
        <v>134</v>
      </c>
      <c r="DE493" t="s">
        <v>134</v>
      </c>
      <c r="DF493" t="str">
        <f>""</f>
        <v/>
      </c>
      <c r="DH493" s="6">
        <v>14.88</v>
      </c>
      <c r="DI493" t="s">
        <v>344</v>
      </c>
      <c r="DK493" t="s">
        <v>345</v>
      </c>
      <c r="DS493" s="6">
        <v>14.88</v>
      </c>
      <c r="DT493" s="2" t="s">
        <v>347</v>
      </c>
      <c r="DU493" s="1">
        <v>44357</v>
      </c>
      <c r="DV493" s="1">
        <v>44446</v>
      </c>
    </row>
    <row r="494" spans="1:126" ht="15" customHeight="1" x14ac:dyDescent="0.35">
      <c r="A494" t="s">
        <v>17434</v>
      </c>
      <c r="B494" t="s">
        <v>318</v>
      </c>
      <c r="C494" s="1">
        <v>44330</v>
      </c>
      <c r="D494" s="1">
        <v>44357</v>
      </c>
      <c r="H494" t="s">
        <v>319</v>
      </c>
      <c r="I494" t="s">
        <v>17109</v>
      </c>
      <c r="J494" t="s">
        <v>4508</v>
      </c>
      <c r="L494" t="s">
        <v>7859</v>
      </c>
      <c r="M494" t="s">
        <v>17110</v>
      </c>
      <c r="O494" t="s">
        <v>12078</v>
      </c>
      <c r="P494" t="s">
        <v>127</v>
      </c>
      <c r="Q494" s="3">
        <v>12845</v>
      </c>
      <c r="R494" t="s">
        <v>128</v>
      </c>
      <c r="T494" s="4">
        <v>15186683332</v>
      </c>
      <c r="V494" t="s">
        <v>17111</v>
      </c>
      <c r="W494" t="s">
        <v>17435</v>
      </c>
      <c r="Y494" t="s">
        <v>17110</v>
      </c>
      <c r="AA494" t="s">
        <v>12078</v>
      </c>
      <c r="AB494" t="s">
        <v>129</v>
      </c>
      <c r="AC494" s="3" t="str">
        <f>"12845"</f>
        <v>12845</v>
      </c>
      <c r="AD494" t="s">
        <v>128</v>
      </c>
      <c r="AF494" s="4">
        <v>15186683332</v>
      </c>
      <c r="AH494" t="str">
        <f>"7211"</f>
        <v>7211</v>
      </c>
      <c r="AI494" t="s">
        <v>287</v>
      </c>
      <c r="AJ494" t="s">
        <v>2209</v>
      </c>
      <c r="AK494" t="s">
        <v>1459</v>
      </c>
      <c r="AL494" t="s">
        <v>2210</v>
      </c>
      <c r="AM494" t="s">
        <v>2211</v>
      </c>
      <c r="AN494" t="s">
        <v>788</v>
      </c>
      <c r="AO494" t="s">
        <v>2212</v>
      </c>
      <c r="AP494" t="s">
        <v>400</v>
      </c>
      <c r="AQ494" s="5">
        <v>75033</v>
      </c>
      <c r="AR494" t="s">
        <v>128</v>
      </c>
      <c r="AT494" s="4">
        <v>19727789690</v>
      </c>
      <c r="AV494" t="s">
        <v>4772</v>
      </c>
      <c r="AW494" t="s">
        <v>2214</v>
      </c>
      <c r="AX494" t="s">
        <v>131</v>
      </c>
      <c r="AY494" t="s">
        <v>131</v>
      </c>
      <c r="AZ494" t="s">
        <v>131</v>
      </c>
      <c r="BA494" t="s">
        <v>131</v>
      </c>
      <c r="BB494" t="s">
        <v>131</v>
      </c>
      <c r="BC494" t="s">
        <v>131</v>
      </c>
      <c r="BD494" t="s">
        <v>131</v>
      </c>
      <c r="BE494" t="s">
        <v>132</v>
      </c>
      <c r="BH494" t="s">
        <v>16906</v>
      </c>
      <c r="BI494" t="s">
        <v>131</v>
      </c>
      <c r="BL494" t="s">
        <v>167</v>
      </c>
      <c r="BO494" t="s">
        <v>131</v>
      </c>
      <c r="BP494" t="s">
        <v>134</v>
      </c>
      <c r="BQ494" t="s">
        <v>131</v>
      </c>
      <c r="BS494" t="str">
        <f t="shared" si="39"/>
        <v>N/A</v>
      </c>
      <c r="BT494" t="s">
        <v>135</v>
      </c>
      <c r="BU494">
        <v>2</v>
      </c>
      <c r="BV494" t="str">
        <f>"Hotel/Resort Housekeeper"</f>
        <v>Hotel/Resort Housekeeper</v>
      </c>
      <c r="BW494" t="s">
        <v>135</v>
      </c>
      <c r="BX494" t="str">
        <f>""</f>
        <v/>
      </c>
      <c r="BY494" t="str">
        <f>""</f>
        <v/>
      </c>
      <c r="BZ494" t="str">
        <f>""</f>
        <v/>
      </c>
      <c r="CA494" t="str">
        <f>"MUST BE ABLE TO WORK A 5 DAY SCHEDULE, INCLUDING WEEKENDS AND HOLIDAYS AS REQUIRED. APPLICANT MUST COMPLETE AN EMPLOYMENT APPLICATION."</f>
        <v>MUST BE ABLE TO WORK A 5 DAY SCHEDULE, INCLUDING WEEKENDS AND HOLIDAYS AS REQUIRED. APPLICANT MUST COMPLETE AN EMPLOYMENT APPLICATION.</v>
      </c>
      <c r="CB494" t="s">
        <v>131</v>
      </c>
      <c r="CF494" t="s">
        <v>131</v>
      </c>
      <c r="CH494" t="str">
        <f>""</f>
        <v/>
      </c>
      <c r="CI494" t="s">
        <v>131</v>
      </c>
      <c r="CK494" t="s">
        <v>131</v>
      </c>
      <c r="CL494" t="str">
        <f>""</f>
        <v/>
      </c>
      <c r="CM494" t="str">
        <f>""</f>
        <v/>
      </c>
      <c r="CN494" t="str">
        <f>""</f>
        <v/>
      </c>
      <c r="CO494" t="str">
        <f>""</f>
        <v/>
      </c>
      <c r="CP494" t="str">
        <f>"37-2012.00"</f>
        <v>37-2012.00</v>
      </c>
      <c r="CQ494" t="s">
        <v>479</v>
      </c>
      <c r="CS494" t="s">
        <v>131</v>
      </c>
      <c r="CU494" t="s">
        <v>17110</v>
      </c>
      <c r="CW494" t="s">
        <v>12078</v>
      </c>
      <c r="CX494" t="s">
        <v>129</v>
      </c>
      <c r="CZ494" s="3" t="str">
        <f>"12845"</f>
        <v>12845</v>
      </c>
      <c r="DA494" t="s">
        <v>131</v>
      </c>
      <c r="DB494" t="str">
        <f>"37-2012"</f>
        <v>37-2012</v>
      </c>
      <c r="DC494" t="s">
        <v>479</v>
      </c>
      <c r="DD494" t="s">
        <v>134</v>
      </c>
      <c r="DE494" t="s">
        <v>134</v>
      </c>
      <c r="DF494" t="str">
        <f>""</f>
        <v/>
      </c>
      <c r="DH494" s="6">
        <v>12.69</v>
      </c>
      <c r="DI494" t="s">
        <v>344</v>
      </c>
      <c r="DK494" t="s">
        <v>345</v>
      </c>
      <c r="DR494" t="s">
        <v>17113</v>
      </c>
      <c r="DS494" s="6">
        <v>12.69</v>
      </c>
      <c r="DT494" t="s">
        <v>424</v>
      </c>
      <c r="DU494" s="1">
        <v>44357</v>
      </c>
      <c r="DV494" s="1">
        <v>44446</v>
      </c>
    </row>
    <row r="495" spans="1:126" ht="15" customHeight="1" x14ac:dyDescent="0.35">
      <c r="A495" t="s">
        <v>19727</v>
      </c>
      <c r="B495" t="s">
        <v>318</v>
      </c>
      <c r="C495" s="1">
        <v>44330</v>
      </c>
      <c r="D495" s="1">
        <v>44357</v>
      </c>
      <c r="H495" t="s">
        <v>319</v>
      </c>
      <c r="I495" t="s">
        <v>17109</v>
      </c>
      <c r="J495" t="s">
        <v>4508</v>
      </c>
      <c r="L495" t="s">
        <v>7859</v>
      </c>
      <c r="M495" t="s">
        <v>17110</v>
      </c>
      <c r="O495" t="s">
        <v>12078</v>
      </c>
      <c r="P495" t="s">
        <v>127</v>
      </c>
      <c r="Q495" s="3">
        <v>12845</v>
      </c>
      <c r="R495" t="s">
        <v>128</v>
      </c>
      <c r="T495" s="4">
        <v>15186683332</v>
      </c>
      <c r="V495" t="s">
        <v>17111</v>
      </c>
      <c r="W495" t="s">
        <v>17435</v>
      </c>
      <c r="Y495" t="s">
        <v>17110</v>
      </c>
      <c r="AA495" t="s">
        <v>12078</v>
      </c>
      <c r="AB495" t="s">
        <v>129</v>
      </c>
      <c r="AC495" s="3" t="str">
        <f>"12845"</f>
        <v>12845</v>
      </c>
      <c r="AD495" t="s">
        <v>128</v>
      </c>
      <c r="AF495" s="4">
        <v>15186683332</v>
      </c>
      <c r="AH495" t="str">
        <f>"7211"</f>
        <v>7211</v>
      </c>
      <c r="AI495" t="s">
        <v>287</v>
      </c>
      <c r="AJ495" t="s">
        <v>2209</v>
      </c>
      <c r="AK495" t="s">
        <v>1459</v>
      </c>
      <c r="AL495" t="s">
        <v>2210</v>
      </c>
      <c r="AM495" t="s">
        <v>2211</v>
      </c>
      <c r="AN495" t="s">
        <v>788</v>
      </c>
      <c r="AO495" t="s">
        <v>2212</v>
      </c>
      <c r="AP495" t="s">
        <v>400</v>
      </c>
      <c r="AQ495" s="5">
        <v>75033</v>
      </c>
      <c r="AR495" t="s">
        <v>128</v>
      </c>
      <c r="AT495" s="4">
        <v>19727789690</v>
      </c>
      <c r="AV495" t="s">
        <v>4772</v>
      </c>
      <c r="AW495" t="s">
        <v>2214</v>
      </c>
      <c r="AX495" t="s">
        <v>131</v>
      </c>
      <c r="AY495" t="s">
        <v>131</v>
      </c>
      <c r="AZ495" t="s">
        <v>131</v>
      </c>
      <c r="BA495" t="s">
        <v>131</v>
      </c>
      <c r="BB495" t="s">
        <v>131</v>
      </c>
      <c r="BC495" t="s">
        <v>131</v>
      </c>
      <c r="BD495" t="s">
        <v>131</v>
      </c>
      <c r="BE495" t="s">
        <v>132</v>
      </c>
      <c r="BH495" t="s">
        <v>19728</v>
      </c>
      <c r="BI495" t="s">
        <v>131</v>
      </c>
      <c r="BL495" t="s">
        <v>167</v>
      </c>
      <c r="BO495" t="s">
        <v>131</v>
      </c>
      <c r="BP495" t="s">
        <v>134</v>
      </c>
      <c r="BQ495" t="s">
        <v>131</v>
      </c>
      <c r="BS495" t="str">
        <f t="shared" si="39"/>
        <v>N/A</v>
      </c>
      <c r="BT495" t="s">
        <v>135</v>
      </c>
      <c r="BU495">
        <v>3</v>
      </c>
      <c r="BV495" t="str">
        <f>"Hotel/Resort Grounds Worker"</f>
        <v>Hotel/Resort Grounds Worker</v>
      </c>
      <c r="BW495" t="s">
        <v>135</v>
      </c>
      <c r="BX495" t="str">
        <f>""</f>
        <v/>
      </c>
      <c r="BY495" t="str">
        <f>""</f>
        <v/>
      </c>
      <c r="BZ495" t="str">
        <f>""</f>
        <v/>
      </c>
      <c r="CA495" t="str">
        <f>"MUST BE ABLE TO WORK A 5 DAY SCHEDULE, INCLUDING WEEKENDS AND HOLIDAYS AS REQUIRED. APPLICANTS MUST COMPLETE AN EMPLOYMENT APPLICATION."</f>
        <v>MUST BE ABLE TO WORK A 5 DAY SCHEDULE, INCLUDING WEEKENDS AND HOLIDAYS AS REQUIRED. APPLICANTS MUST COMPLETE AN EMPLOYMENT APPLICATION.</v>
      </c>
      <c r="CB495" t="s">
        <v>131</v>
      </c>
      <c r="CF495" t="s">
        <v>131</v>
      </c>
      <c r="CH495" t="str">
        <f>""</f>
        <v/>
      </c>
      <c r="CI495" t="s">
        <v>131</v>
      </c>
      <c r="CK495" t="s">
        <v>131</v>
      </c>
      <c r="CL495" t="str">
        <f>""</f>
        <v/>
      </c>
      <c r="CM495" t="str">
        <f>""</f>
        <v/>
      </c>
      <c r="CN495" t="str">
        <f>""</f>
        <v/>
      </c>
      <c r="CO495" t="str">
        <f>""</f>
        <v/>
      </c>
      <c r="CP495" t="str">
        <f>"37-3011.00"</f>
        <v>37-3011.00</v>
      </c>
      <c r="CQ495" t="s">
        <v>920</v>
      </c>
      <c r="CS495" t="s">
        <v>131</v>
      </c>
      <c r="CU495" t="s">
        <v>17110</v>
      </c>
      <c r="CW495" t="s">
        <v>12078</v>
      </c>
      <c r="CX495" t="s">
        <v>129</v>
      </c>
      <c r="CZ495" s="3" t="str">
        <f>"12845"</f>
        <v>12845</v>
      </c>
      <c r="DA495" t="s">
        <v>131</v>
      </c>
      <c r="DB495" t="str">
        <f>"37-3011"</f>
        <v>37-3011</v>
      </c>
      <c r="DC495" t="s">
        <v>920</v>
      </c>
      <c r="DD495" t="s">
        <v>134</v>
      </c>
      <c r="DE495" t="s">
        <v>134</v>
      </c>
      <c r="DF495" t="str">
        <f>""</f>
        <v/>
      </c>
      <c r="DH495" s="6">
        <v>17.649999999999999</v>
      </c>
      <c r="DI495" t="s">
        <v>344</v>
      </c>
      <c r="DK495" t="s">
        <v>345</v>
      </c>
      <c r="DR495" t="s">
        <v>17113</v>
      </c>
      <c r="DS495" s="6">
        <v>17.649999999999999</v>
      </c>
      <c r="DT495" t="s">
        <v>424</v>
      </c>
      <c r="DU495" s="1">
        <v>44357</v>
      </c>
      <c r="DV495" s="1">
        <v>44446</v>
      </c>
    </row>
    <row r="496" spans="1:126" ht="15" customHeight="1" x14ac:dyDescent="0.35">
      <c r="A496" t="s">
        <v>9413</v>
      </c>
      <c r="B496" t="s">
        <v>318</v>
      </c>
      <c r="C496" s="1">
        <v>44330</v>
      </c>
      <c r="D496" s="1">
        <v>44357</v>
      </c>
      <c r="H496" t="s">
        <v>319</v>
      </c>
      <c r="I496" t="s">
        <v>1826</v>
      </c>
      <c r="J496" t="s">
        <v>4643</v>
      </c>
      <c r="K496" t="s">
        <v>268</v>
      </c>
      <c r="L496" t="s">
        <v>774</v>
      </c>
      <c r="M496" t="s">
        <v>5531</v>
      </c>
      <c r="N496" t="s">
        <v>9414</v>
      </c>
      <c r="O496" t="s">
        <v>3381</v>
      </c>
      <c r="P496" t="s">
        <v>857</v>
      </c>
      <c r="Q496" s="3">
        <v>85338</v>
      </c>
      <c r="R496" t="s">
        <v>128</v>
      </c>
      <c r="T496" s="4">
        <v>16232303668</v>
      </c>
      <c r="V496" t="s">
        <v>5528</v>
      </c>
      <c r="W496" t="s">
        <v>9415</v>
      </c>
      <c r="X496" t="s">
        <v>5530</v>
      </c>
      <c r="Y496" t="s">
        <v>5531</v>
      </c>
      <c r="Z496" t="s">
        <v>5527</v>
      </c>
      <c r="AA496" t="s">
        <v>3381</v>
      </c>
      <c r="AB496" t="s">
        <v>808</v>
      </c>
      <c r="AC496" s="3" t="str">
        <f>"85338"</f>
        <v>85338</v>
      </c>
      <c r="AD496" t="s">
        <v>128</v>
      </c>
      <c r="AF496" s="4">
        <v>16232303668</v>
      </c>
      <c r="AH496" t="str">
        <f>"722513"</f>
        <v>722513</v>
      </c>
      <c r="AI496" t="s">
        <v>130</v>
      </c>
      <c r="AJ496" t="s">
        <v>9416</v>
      </c>
      <c r="AK496" t="s">
        <v>1601</v>
      </c>
      <c r="AL496" t="s">
        <v>302</v>
      </c>
      <c r="AM496" t="s">
        <v>5533</v>
      </c>
      <c r="AN496" t="s">
        <v>5534</v>
      </c>
      <c r="AO496" t="s">
        <v>807</v>
      </c>
      <c r="AP496" t="s">
        <v>808</v>
      </c>
      <c r="AQ496" s="5">
        <v>85004</v>
      </c>
      <c r="AR496" t="s">
        <v>128</v>
      </c>
      <c r="AT496" s="4">
        <v>16026068848</v>
      </c>
      <c r="AV496" t="s">
        <v>5535</v>
      </c>
      <c r="AW496" t="s">
        <v>9417</v>
      </c>
      <c r="AX496" t="s">
        <v>131</v>
      </c>
      <c r="AY496" t="s">
        <v>131</v>
      </c>
      <c r="AZ496" t="s">
        <v>131</v>
      </c>
      <c r="BA496" t="s">
        <v>131</v>
      </c>
      <c r="BB496" t="s">
        <v>131</v>
      </c>
      <c r="BC496" t="s">
        <v>131</v>
      </c>
      <c r="BD496" t="s">
        <v>131</v>
      </c>
      <c r="BE496" t="s">
        <v>132</v>
      </c>
      <c r="BH496" t="s">
        <v>1080</v>
      </c>
      <c r="BI496" t="s">
        <v>131</v>
      </c>
      <c r="BL496" t="s">
        <v>167</v>
      </c>
      <c r="BO496" t="s">
        <v>131</v>
      </c>
      <c r="BP496" t="s">
        <v>134</v>
      </c>
      <c r="BQ496" t="s">
        <v>131</v>
      </c>
      <c r="BS496" t="str">
        <f t="shared" si="39"/>
        <v>N/A</v>
      </c>
      <c r="BT496" t="s">
        <v>131</v>
      </c>
      <c r="BV496" t="str">
        <f>""</f>
        <v/>
      </c>
      <c r="BW496" t="s">
        <v>131</v>
      </c>
      <c r="BX496" t="str">
        <f>""</f>
        <v/>
      </c>
      <c r="BY496" t="str">
        <f>""</f>
        <v/>
      </c>
      <c r="BZ496" t="str">
        <f>""</f>
        <v/>
      </c>
      <c r="CA496" t="str">
        <f>""</f>
        <v/>
      </c>
      <c r="CB496" t="s">
        <v>131</v>
      </c>
      <c r="CF496" t="s">
        <v>131</v>
      </c>
      <c r="CH496" t="str">
        <f>""</f>
        <v/>
      </c>
      <c r="CI496" t="s">
        <v>131</v>
      </c>
      <c r="CK496" t="s">
        <v>131</v>
      </c>
      <c r="CL496" t="str">
        <f>""</f>
        <v/>
      </c>
      <c r="CM496" t="str">
        <f>""</f>
        <v/>
      </c>
      <c r="CN496" t="str">
        <f>""</f>
        <v/>
      </c>
      <c r="CO496" t="str">
        <f>""</f>
        <v/>
      </c>
      <c r="CP496" t="str">
        <f>"35-2014.00"</f>
        <v>35-2014.00</v>
      </c>
      <c r="CQ496" t="s">
        <v>581</v>
      </c>
      <c r="CS496" t="s">
        <v>131</v>
      </c>
      <c r="CU496" t="s">
        <v>5531</v>
      </c>
      <c r="CV496" t="s">
        <v>9414</v>
      </c>
      <c r="CW496" t="s">
        <v>3381</v>
      </c>
      <c r="CX496" t="s">
        <v>808</v>
      </c>
      <c r="CZ496" s="3" t="str">
        <f>"85338"</f>
        <v>85338</v>
      </c>
      <c r="DA496" t="s">
        <v>131</v>
      </c>
      <c r="DB496" t="str">
        <f>"35-2014"</f>
        <v>35-2014</v>
      </c>
      <c r="DC496" t="s">
        <v>581</v>
      </c>
      <c r="DD496" t="s">
        <v>134</v>
      </c>
      <c r="DE496" t="s">
        <v>134</v>
      </c>
      <c r="DF496" t="str">
        <f>""</f>
        <v/>
      </c>
      <c r="DH496" s="6">
        <v>14.17</v>
      </c>
      <c r="DI496" t="s">
        <v>344</v>
      </c>
      <c r="DK496" t="s">
        <v>345</v>
      </c>
      <c r="DR496" t="s">
        <v>2199</v>
      </c>
      <c r="DS496" s="6">
        <v>14.17</v>
      </c>
      <c r="DT496" t="s">
        <v>424</v>
      </c>
      <c r="DU496" s="1">
        <v>44357</v>
      </c>
      <c r="DV496" s="1">
        <v>44446</v>
      </c>
    </row>
    <row r="497" spans="1:126" ht="15" customHeight="1" x14ac:dyDescent="0.35">
      <c r="A497" t="s">
        <v>20011</v>
      </c>
      <c r="B497" t="s">
        <v>318</v>
      </c>
      <c r="C497" s="1">
        <v>44330</v>
      </c>
      <c r="D497" s="1">
        <v>44357</v>
      </c>
      <c r="H497" t="s">
        <v>319</v>
      </c>
      <c r="I497" t="s">
        <v>221</v>
      </c>
      <c r="J497" t="s">
        <v>10227</v>
      </c>
      <c r="L497" t="s">
        <v>10228</v>
      </c>
      <c r="M497" t="s">
        <v>15175</v>
      </c>
      <c r="O497" t="s">
        <v>5934</v>
      </c>
      <c r="P497" t="s">
        <v>3075</v>
      </c>
      <c r="Q497" s="3">
        <v>83814</v>
      </c>
      <c r="R497" t="s">
        <v>128</v>
      </c>
      <c r="T497" s="4">
        <v>12087650880</v>
      </c>
      <c r="V497" t="s">
        <v>13121</v>
      </c>
      <c r="W497" t="s">
        <v>10231</v>
      </c>
      <c r="Y497" t="s">
        <v>10229</v>
      </c>
      <c r="AA497" t="s">
        <v>10230</v>
      </c>
      <c r="AB497" t="s">
        <v>1243</v>
      </c>
      <c r="AC497" s="3" t="str">
        <f>"83814"</f>
        <v>83814</v>
      </c>
      <c r="AD497" t="s">
        <v>128</v>
      </c>
      <c r="AF497" s="4">
        <v>12087650880</v>
      </c>
      <c r="AH497" t="str">
        <f>"11531"</f>
        <v>11531</v>
      </c>
      <c r="AI497" t="s">
        <v>287</v>
      </c>
      <c r="AJ497" t="s">
        <v>5932</v>
      </c>
      <c r="AK497" t="s">
        <v>1756</v>
      </c>
      <c r="AM497" t="s">
        <v>5933</v>
      </c>
      <c r="AO497" t="s">
        <v>5934</v>
      </c>
      <c r="AP497" t="s">
        <v>1243</v>
      </c>
      <c r="AQ497" s="5">
        <v>83815</v>
      </c>
      <c r="AR497" t="s">
        <v>128</v>
      </c>
      <c r="AT497" s="4">
        <v>12089303246</v>
      </c>
      <c r="AV497" t="s">
        <v>5935</v>
      </c>
      <c r="AW497" t="s">
        <v>5936</v>
      </c>
      <c r="AX497" t="s">
        <v>131</v>
      </c>
      <c r="AY497" t="s">
        <v>131</v>
      </c>
      <c r="AZ497" t="s">
        <v>131</v>
      </c>
      <c r="BA497" t="s">
        <v>131</v>
      </c>
      <c r="BB497" t="s">
        <v>131</v>
      </c>
      <c r="BC497" t="s">
        <v>131</v>
      </c>
      <c r="BD497" t="s">
        <v>131</v>
      </c>
      <c r="BE497" t="s">
        <v>132</v>
      </c>
      <c r="BH497" t="s">
        <v>5937</v>
      </c>
      <c r="BI497" t="s">
        <v>131</v>
      </c>
      <c r="BL497" t="s">
        <v>167</v>
      </c>
      <c r="BO497" t="s">
        <v>131</v>
      </c>
      <c r="BP497" t="s">
        <v>134</v>
      </c>
      <c r="BQ497" t="s">
        <v>131</v>
      </c>
      <c r="BS497" t="str">
        <f t="shared" si="39"/>
        <v>N/A</v>
      </c>
      <c r="BT497" t="s">
        <v>131</v>
      </c>
      <c r="BV497" t="str">
        <f>""</f>
        <v/>
      </c>
      <c r="BW497" t="s">
        <v>131</v>
      </c>
      <c r="BX497" t="str">
        <f>""</f>
        <v/>
      </c>
      <c r="BY497" t="str">
        <f>""</f>
        <v/>
      </c>
      <c r="BZ497" t="str">
        <f>""</f>
        <v/>
      </c>
      <c r="CA497" t="str">
        <f>""</f>
        <v/>
      </c>
      <c r="CB497" t="s">
        <v>131</v>
      </c>
      <c r="CF497" t="s">
        <v>131</v>
      </c>
      <c r="CH497" t="str">
        <f>""</f>
        <v/>
      </c>
      <c r="CI497" t="s">
        <v>131</v>
      </c>
      <c r="CK497" t="s">
        <v>131</v>
      </c>
      <c r="CL497" t="str">
        <f>""</f>
        <v/>
      </c>
      <c r="CM497" t="str">
        <f>""</f>
        <v/>
      </c>
      <c r="CN497" t="str">
        <f>""</f>
        <v/>
      </c>
      <c r="CO497" t="str">
        <f>""</f>
        <v/>
      </c>
      <c r="CP497" t="str">
        <f>"45-4011.00"</f>
        <v>45-4011.00</v>
      </c>
      <c r="CQ497" t="s">
        <v>4310</v>
      </c>
      <c r="CR497" t="s">
        <v>16018</v>
      </c>
      <c r="CS497" t="s">
        <v>135</v>
      </c>
      <c r="CT497" t="s">
        <v>20012</v>
      </c>
      <c r="CU497" t="s">
        <v>13123</v>
      </c>
      <c r="CW497" t="s">
        <v>10232</v>
      </c>
      <c r="CX497" t="s">
        <v>630</v>
      </c>
      <c r="CZ497" s="3" t="str">
        <f>"39365"</f>
        <v>39365</v>
      </c>
      <c r="DA497" t="s">
        <v>135</v>
      </c>
      <c r="DB497" t="str">
        <f>"45-4011"</f>
        <v>45-4011</v>
      </c>
      <c r="DC497" t="s">
        <v>4310</v>
      </c>
      <c r="DD497" t="s">
        <v>134</v>
      </c>
      <c r="DE497" t="s">
        <v>134</v>
      </c>
      <c r="DF497" t="str">
        <f>""</f>
        <v/>
      </c>
      <c r="DH497" s="6">
        <v>15.76</v>
      </c>
      <c r="DI497" t="s">
        <v>344</v>
      </c>
      <c r="DK497" t="s">
        <v>345</v>
      </c>
      <c r="DS497" s="6">
        <v>25.54</v>
      </c>
      <c r="DT497" s="2" t="s">
        <v>347</v>
      </c>
      <c r="DU497" s="1">
        <v>44357</v>
      </c>
      <c r="DV497" s="1">
        <v>44446</v>
      </c>
    </row>
    <row r="498" spans="1:126" ht="15" customHeight="1" x14ac:dyDescent="0.35">
      <c r="A498" t="s">
        <v>17108</v>
      </c>
      <c r="B498" t="s">
        <v>318</v>
      </c>
      <c r="C498" s="1">
        <v>44330</v>
      </c>
      <c r="D498" s="1">
        <v>44357</v>
      </c>
      <c r="H498" t="s">
        <v>319</v>
      </c>
      <c r="I498" t="s">
        <v>17109</v>
      </c>
      <c r="J498" t="s">
        <v>4508</v>
      </c>
      <c r="L498" t="s">
        <v>7859</v>
      </c>
      <c r="M498" t="s">
        <v>17110</v>
      </c>
      <c r="O498" t="s">
        <v>12078</v>
      </c>
      <c r="P498" t="s">
        <v>127</v>
      </c>
      <c r="Q498" s="3">
        <v>12845</v>
      </c>
      <c r="R498" t="s">
        <v>128</v>
      </c>
      <c r="T498" s="4">
        <v>15186683332</v>
      </c>
      <c r="V498" t="s">
        <v>17111</v>
      </c>
      <c r="W498" t="s">
        <v>17112</v>
      </c>
      <c r="Y498" t="s">
        <v>17110</v>
      </c>
      <c r="AA498" t="s">
        <v>12078</v>
      </c>
      <c r="AB498" t="s">
        <v>129</v>
      </c>
      <c r="AC498" s="3" t="str">
        <f>"12845"</f>
        <v>12845</v>
      </c>
      <c r="AD498" t="s">
        <v>128</v>
      </c>
      <c r="AF498" s="4">
        <v>15186683332</v>
      </c>
      <c r="AH498" t="str">
        <f>"7225"</f>
        <v>7225</v>
      </c>
      <c r="AI498" t="s">
        <v>287</v>
      </c>
      <c r="AJ498" t="s">
        <v>2209</v>
      </c>
      <c r="AK498" t="s">
        <v>1459</v>
      </c>
      <c r="AL498" t="s">
        <v>2210</v>
      </c>
      <c r="AM498" t="s">
        <v>2211</v>
      </c>
      <c r="AN498" t="s">
        <v>788</v>
      </c>
      <c r="AO498" t="s">
        <v>2212</v>
      </c>
      <c r="AP498" t="s">
        <v>400</v>
      </c>
      <c r="AQ498" s="5">
        <v>75033</v>
      </c>
      <c r="AR498" t="s">
        <v>128</v>
      </c>
      <c r="AT498" s="4">
        <v>19727789690</v>
      </c>
      <c r="AV498" t="s">
        <v>4772</v>
      </c>
      <c r="AW498" t="s">
        <v>2214</v>
      </c>
      <c r="AX498" t="s">
        <v>131</v>
      </c>
      <c r="AY498" t="s">
        <v>131</v>
      </c>
      <c r="AZ498" t="s">
        <v>131</v>
      </c>
      <c r="BA498" t="s">
        <v>131</v>
      </c>
      <c r="BB498" t="s">
        <v>131</v>
      </c>
      <c r="BC498" t="s">
        <v>131</v>
      </c>
      <c r="BD498" t="s">
        <v>131</v>
      </c>
      <c r="BE498" t="s">
        <v>132</v>
      </c>
      <c r="BH498" t="s">
        <v>1080</v>
      </c>
      <c r="BI498" t="s">
        <v>131</v>
      </c>
      <c r="BL498" t="s">
        <v>167</v>
      </c>
      <c r="BO498" t="s">
        <v>131</v>
      </c>
      <c r="BP498" t="s">
        <v>134</v>
      </c>
      <c r="BQ498" t="s">
        <v>131</v>
      </c>
      <c r="BS498" t="str">
        <f t="shared" si="39"/>
        <v>N/A</v>
      </c>
      <c r="BT498" t="s">
        <v>135</v>
      </c>
      <c r="BU498">
        <v>6</v>
      </c>
      <c r="BV498" t="str">
        <f>"Hotel/Restaurant Cook (non-fast food)"</f>
        <v>Hotel/Restaurant Cook (non-fast food)</v>
      </c>
      <c r="BW498" t="s">
        <v>135</v>
      </c>
      <c r="BX498" t="str">
        <f>""</f>
        <v/>
      </c>
      <c r="BY498" t="str">
        <f>""</f>
        <v/>
      </c>
      <c r="BZ498" t="str">
        <f>""</f>
        <v/>
      </c>
      <c r="CA498" t="str">
        <f>"MUST BE ABLE TO WORK A 5 DAY SCHEDULE, INCLUDING WEEKENDS AND HOLIDAYS AS REQUIRED. APPLICANTS MUST COMPLETE AN EMPLOYMENT APPLICATION."</f>
        <v>MUST BE ABLE TO WORK A 5 DAY SCHEDULE, INCLUDING WEEKENDS AND HOLIDAYS AS REQUIRED. APPLICANTS MUST COMPLETE AN EMPLOYMENT APPLICATION.</v>
      </c>
      <c r="CB498" t="s">
        <v>131</v>
      </c>
      <c r="CF498" t="s">
        <v>131</v>
      </c>
      <c r="CH498" t="str">
        <f>""</f>
        <v/>
      </c>
      <c r="CI498" t="s">
        <v>131</v>
      </c>
      <c r="CK498" t="s">
        <v>131</v>
      </c>
      <c r="CL498" t="str">
        <f>""</f>
        <v/>
      </c>
      <c r="CM498" t="str">
        <f>""</f>
        <v/>
      </c>
      <c r="CN498" t="str">
        <f>""</f>
        <v/>
      </c>
      <c r="CO498" t="str">
        <f>""</f>
        <v/>
      </c>
      <c r="CP498" t="str">
        <f>"35-2014.00"</f>
        <v>35-2014.00</v>
      </c>
      <c r="CQ498" t="s">
        <v>581</v>
      </c>
      <c r="CS498" t="s">
        <v>131</v>
      </c>
      <c r="CU498" t="s">
        <v>17110</v>
      </c>
      <c r="CW498" t="s">
        <v>12078</v>
      </c>
      <c r="CX498" t="s">
        <v>129</v>
      </c>
      <c r="CZ498" s="3" t="str">
        <f>"12845"</f>
        <v>12845</v>
      </c>
      <c r="DA498" t="s">
        <v>131</v>
      </c>
      <c r="DB498" t="str">
        <f>"35-2014"</f>
        <v>35-2014</v>
      </c>
      <c r="DC498" t="s">
        <v>581</v>
      </c>
      <c r="DD498" t="s">
        <v>134</v>
      </c>
      <c r="DE498" t="s">
        <v>134</v>
      </c>
      <c r="DF498" t="str">
        <f>""</f>
        <v/>
      </c>
      <c r="DH498" s="6">
        <v>15.53</v>
      </c>
      <c r="DI498" t="s">
        <v>344</v>
      </c>
      <c r="DK498" t="s">
        <v>345</v>
      </c>
      <c r="DR498" t="s">
        <v>17113</v>
      </c>
      <c r="DS498" s="6">
        <v>15.53</v>
      </c>
      <c r="DT498" t="s">
        <v>424</v>
      </c>
      <c r="DU498" s="1">
        <v>44357</v>
      </c>
      <c r="DV498" s="1">
        <v>44446</v>
      </c>
    </row>
    <row r="499" spans="1:126" ht="15" customHeight="1" x14ac:dyDescent="0.35">
      <c r="A499" t="s">
        <v>4764</v>
      </c>
      <c r="B499" t="s">
        <v>318</v>
      </c>
      <c r="C499" s="1">
        <v>44330</v>
      </c>
      <c r="D499" s="1">
        <v>44357</v>
      </c>
      <c r="H499" t="s">
        <v>319</v>
      </c>
      <c r="I499" t="s">
        <v>4765</v>
      </c>
      <c r="J499" t="s">
        <v>4766</v>
      </c>
      <c r="L499" t="s">
        <v>1031</v>
      </c>
      <c r="M499" t="s">
        <v>4767</v>
      </c>
      <c r="O499" t="s">
        <v>4768</v>
      </c>
      <c r="P499" t="s">
        <v>3075</v>
      </c>
      <c r="Q499" s="3">
        <v>83402</v>
      </c>
      <c r="R499" t="s">
        <v>128</v>
      </c>
      <c r="T499" s="4">
        <v>12085299201</v>
      </c>
      <c r="V499" t="s">
        <v>4769</v>
      </c>
      <c r="W499" t="s">
        <v>4770</v>
      </c>
      <c r="Y499" t="s">
        <v>4767</v>
      </c>
      <c r="Z499" t="s">
        <v>4771</v>
      </c>
      <c r="AA499" t="s">
        <v>4768</v>
      </c>
      <c r="AB499" t="s">
        <v>1243</v>
      </c>
      <c r="AC499" s="3" t="str">
        <f>"83402"</f>
        <v>83402</v>
      </c>
      <c r="AD499" t="s">
        <v>128</v>
      </c>
      <c r="AF499" s="4">
        <v>12085299201</v>
      </c>
      <c r="AH499" t="str">
        <f>"5617"</f>
        <v>5617</v>
      </c>
      <c r="AI499" t="s">
        <v>287</v>
      </c>
      <c r="AJ499" t="s">
        <v>2209</v>
      </c>
      <c r="AK499" t="s">
        <v>1459</v>
      </c>
      <c r="AL499" t="s">
        <v>2210</v>
      </c>
      <c r="AM499" t="s">
        <v>2211</v>
      </c>
      <c r="AN499" t="s">
        <v>788</v>
      </c>
      <c r="AO499" t="s">
        <v>2212</v>
      </c>
      <c r="AP499" t="s">
        <v>400</v>
      </c>
      <c r="AQ499" s="5">
        <v>75033</v>
      </c>
      <c r="AR499" t="s">
        <v>128</v>
      </c>
      <c r="AT499" s="4">
        <v>19727789690</v>
      </c>
      <c r="AV499" t="s">
        <v>4772</v>
      </c>
      <c r="AW499" t="s">
        <v>2214</v>
      </c>
      <c r="AX499" t="s">
        <v>131</v>
      </c>
      <c r="AY499" t="s">
        <v>131</v>
      </c>
      <c r="AZ499" t="s">
        <v>131</v>
      </c>
      <c r="BA499" t="s">
        <v>131</v>
      </c>
      <c r="BB499" t="s">
        <v>131</v>
      </c>
      <c r="BC499" t="s">
        <v>131</v>
      </c>
      <c r="BD499" t="s">
        <v>131</v>
      </c>
      <c r="BE499" t="s">
        <v>132</v>
      </c>
      <c r="BH499" t="s">
        <v>2215</v>
      </c>
      <c r="BI499" t="s">
        <v>131</v>
      </c>
      <c r="BL499" t="s">
        <v>167</v>
      </c>
      <c r="BO499" t="s">
        <v>131</v>
      </c>
      <c r="BP499" t="s">
        <v>134</v>
      </c>
      <c r="BQ499" t="s">
        <v>131</v>
      </c>
      <c r="BS499" t="str">
        <f t="shared" si="39"/>
        <v>N/A</v>
      </c>
      <c r="BT499" t="s">
        <v>131</v>
      </c>
      <c r="BV499" t="str">
        <f>""</f>
        <v/>
      </c>
      <c r="BW499" t="s">
        <v>135</v>
      </c>
      <c r="BX499" t="str">
        <f>""</f>
        <v/>
      </c>
      <c r="BY499" t="str">
        <f>""</f>
        <v/>
      </c>
      <c r="BZ499" t="str">
        <f>""</f>
        <v/>
      </c>
      <c r="CA499" t="str">
        <f>"TRANSPORTATION PROVIDED FROM A CENTRAL LOCATION TO MULTIPLE WORKSITES WITHIN THE AREA OF INTENDED EMPLOYMENT."</f>
        <v>TRANSPORTATION PROVIDED FROM A CENTRAL LOCATION TO MULTIPLE WORKSITES WITHIN THE AREA OF INTENDED EMPLOYMENT.</v>
      </c>
      <c r="CB499" t="s">
        <v>131</v>
      </c>
      <c r="CF499" t="s">
        <v>131</v>
      </c>
      <c r="CH499" t="str">
        <f>""</f>
        <v/>
      </c>
      <c r="CI499" t="s">
        <v>131</v>
      </c>
      <c r="CK499" t="s">
        <v>131</v>
      </c>
      <c r="CL499" t="str">
        <f>""</f>
        <v/>
      </c>
      <c r="CM499" t="str">
        <f>""</f>
        <v/>
      </c>
      <c r="CN499" t="str">
        <f>""</f>
        <v/>
      </c>
      <c r="CO499" t="str">
        <f>""</f>
        <v/>
      </c>
      <c r="CP499" t="str">
        <f>"37-3011.00"</f>
        <v>37-3011.00</v>
      </c>
      <c r="CQ499" t="s">
        <v>920</v>
      </c>
      <c r="CS499" t="s">
        <v>135</v>
      </c>
      <c r="CT499" t="s">
        <v>4773</v>
      </c>
      <c r="CU499" t="s">
        <v>4774</v>
      </c>
      <c r="CW499" t="s">
        <v>4775</v>
      </c>
      <c r="CX499" t="s">
        <v>1243</v>
      </c>
      <c r="CZ499" s="3" t="str">
        <f>"83402"</f>
        <v>83402</v>
      </c>
      <c r="DA499" t="s">
        <v>135</v>
      </c>
      <c r="DB499" t="str">
        <f>"37-3011"</f>
        <v>37-3011</v>
      </c>
      <c r="DC499" t="s">
        <v>920</v>
      </c>
      <c r="DD499" t="s">
        <v>134</v>
      </c>
      <c r="DE499" t="s">
        <v>134</v>
      </c>
      <c r="DF499" t="str">
        <f>""</f>
        <v/>
      </c>
      <c r="DH499" s="6">
        <v>13.67</v>
      </c>
      <c r="DI499" t="s">
        <v>344</v>
      </c>
      <c r="DK499" t="s">
        <v>345</v>
      </c>
      <c r="DR499" t="s">
        <v>4776</v>
      </c>
      <c r="DS499" s="6">
        <v>13.67</v>
      </c>
      <c r="DT499" s="2" t="s">
        <v>347</v>
      </c>
      <c r="DU499" s="1">
        <v>44357</v>
      </c>
      <c r="DV499" s="1">
        <v>44446</v>
      </c>
    </row>
    <row r="500" spans="1:126" ht="15" customHeight="1" x14ac:dyDescent="0.35">
      <c r="A500" t="s">
        <v>10938</v>
      </c>
      <c r="B500" t="s">
        <v>318</v>
      </c>
      <c r="C500" s="1">
        <v>44331</v>
      </c>
      <c r="D500" s="1">
        <v>44361</v>
      </c>
      <c r="H500" t="s">
        <v>319</v>
      </c>
      <c r="I500" t="s">
        <v>10939</v>
      </c>
      <c r="J500" t="s">
        <v>10940</v>
      </c>
      <c r="L500" t="s">
        <v>10941</v>
      </c>
      <c r="M500" t="s">
        <v>10942</v>
      </c>
      <c r="O500" t="s">
        <v>699</v>
      </c>
      <c r="P500" t="s">
        <v>412</v>
      </c>
      <c r="Q500" s="3">
        <v>78223</v>
      </c>
      <c r="R500" t="s">
        <v>128</v>
      </c>
      <c r="T500" s="4">
        <v>12105649338</v>
      </c>
      <c r="V500" t="s">
        <v>10943</v>
      </c>
      <c r="W500" t="s">
        <v>10944</v>
      </c>
      <c r="X500" t="s">
        <v>10945</v>
      </c>
      <c r="Y500" t="s">
        <v>10942</v>
      </c>
      <c r="AA500" t="s">
        <v>699</v>
      </c>
      <c r="AB500" t="s">
        <v>400</v>
      </c>
      <c r="AC500" s="3" t="str">
        <f>"78223"</f>
        <v>78223</v>
      </c>
      <c r="AD500" t="s">
        <v>128</v>
      </c>
      <c r="AF500" s="4">
        <v>12105649338</v>
      </c>
      <c r="AH500" t="str">
        <f>"238110"</f>
        <v>238110</v>
      </c>
      <c r="AI500" t="s">
        <v>287</v>
      </c>
      <c r="AJ500" t="s">
        <v>10946</v>
      </c>
      <c r="AK500" t="s">
        <v>4602</v>
      </c>
      <c r="AL500" t="s">
        <v>10947</v>
      </c>
      <c r="AM500" t="s">
        <v>10948</v>
      </c>
      <c r="AN500" t="s">
        <v>10949</v>
      </c>
      <c r="AO500" t="s">
        <v>10950</v>
      </c>
      <c r="AP500" t="s">
        <v>400</v>
      </c>
      <c r="AQ500" s="5">
        <v>78557</v>
      </c>
      <c r="AR500" t="s">
        <v>128</v>
      </c>
      <c r="AT500" s="4">
        <v>12108911002</v>
      </c>
      <c r="AV500" t="s">
        <v>10951</v>
      </c>
      <c r="AW500" t="s">
        <v>10952</v>
      </c>
      <c r="AX500" t="s">
        <v>131</v>
      </c>
      <c r="AY500" t="s">
        <v>131</v>
      </c>
      <c r="AZ500" t="s">
        <v>131</v>
      </c>
      <c r="BA500" t="s">
        <v>131</v>
      </c>
      <c r="BB500" t="s">
        <v>131</v>
      </c>
      <c r="BC500" t="s">
        <v>131</v>
      </c>
      <c r="BD500" t="s">
        <v>131</v>
      </c>
      <c r="BE500" t="s">
        <v>132</v>
      </c>
      <c r="BH500" t="s">
        <v>10953</v>
      </c>
      <c r="BI500" t="s">
        <v>131</v>
      </c>
      <c r="BL500" t="s">
        <v>167</v>
      </c>
      <c r="BO500" t="s">
        <v>131</v>
      </c>
      <c r="BP500" t="s">
        <v>134</v>
      </c>
      <c r="BQ500" t="s">
        <v>131</v>
      </c>
      <c r="BS500" t="str">
        <f t="shared" si="39"/>
        <v>N/A</v>
      </c>
      <c r="BT500" t="s">
        <v>135</v>
      </c>
      <c r="BU500">
        <v>6</v>
      </c>
      <c r="BV500" t="str">
        <f>"Rebar Worker"</f>
        <v>Rebar Worker</v>
      </c>
      <c r="BW500" t="s">
        <v>131</v>
      </c>
      <c r="BX500" t="str">
        <f>""</f>
        <v/>
      </c>
      <c r="BY500" t="str">
        <f>""</f>
        <v/>
      </c>
      <c r="BZ500" t="str">
        <f>""</f>
        <v/>
      </c>
      <c r="CA500" t="str">
        <f>""</f>
        <v/>
      </c>
      <c r="CB500" t="s">
        <v>131</v>
      </c>
      <c r="CF500" t="s">
        <v>131</v>
      </c>
      <c r="CH500" t="str">
        <f>""</f>
        <v/>
      </c>
      <c r="CI500" t="s">
        <v>131</v>
      </c>
      <c r="CK500" t="s">
        <v>131</v>
      </c>
      <c r="CL500" t="str">
        <f>""</f>
        <v/>
      </c>
      <c r="CM500" t="str">
        <f>""</f>
        <v/>
      </c>
      <c r="CN500" t="str">
        <f>""</f>
        <v/>
      </c>
      <c r="CO500" t="str">
        <f>""</f>
        <v/>
      </c>
      <c r="CP500" t="str">
        <f>"47-2171.00"</f>
        <v>47-2171.00</v>
      </c>
      <c r="CQ500" t="s">
        <v>10954</v>
      </c>
      <c r="CR500" t="s">
        <v>10955</v>
      </c>
      <c r="CS500" t="s">
        <v>131</v>
      </c>
      <c r="CU500" t="s">
        <v>10956</v>
      </c>
      <c r="CW500" t="s">
        <v>10957</v>
      </c>
      <c r="CX500" t="s">
        <v>1763</v>
      </c>
      <c r="CZ500" s="3" t="str">
        <f>"70723"</f>
        <v>70723</v>
      </c>
      <c r="DA500" t="s">
        <v>131</v>
      </c>
      <c r="DB500" t="str">
        <f>"47-2171"</f>
        <v>47-2171</v>
      </c>
      <c r="DC500" t="s">
        <v>10954</v>
      </c>
      <c r="DD500" t="s">
        <v>134</v>
      </c>
      <c r="DE500" t="s">
        <v>134</v>
      </c>
      <c r="DF500" t="str">
        <f>""</f>
        <v/>
      </c>
      <c r="DH500" s="6">
        <v>24.53</v>
      </c>
      <c r="DI500" t="s">
        <v>344</v>
      </c>
      <c r="DK500" t="s">
        <v>345</v>
      </c>
      <c r="DS500" s="6">
        <v>24.53</v>
      </c>
      <c r="DT500" t="s">
        <v>424</v>
      </c>
      <c r="DU500" s="1">
        <v>44361</v>
      </c>
      <c r="DV500" s="1">
        <v>44450</v>
      </c>
    </row>
    <row r="501" spans="1:126" ht="15" customHeight="1" x14ac:dyDescent="0.35">
      <c r="A501" t="s">
        <v>20129</v>
      </c>
      <c r="B501" t="s">
        <v>318</v>
      </c>
      <c r="C501" s="1">
        <v>44332</v>
      </c>
      <c r="D501" s="1">
        <v>44364</v>
      </c>
      <c r="H501" t="s">
        <v>319</v>
      </c>
      <c r="I501" t="s">
        <v>20130</v>
      </c>
      <c r="J501" t="s">
        <v>16558</v>
      </c>
      <c r="K501" t="s">
        <v>978</v>
      </c>
      <c r="L501" t="s">
        <v>9816</v>
      </c>
      <c r="M501" t="s">
        <v>20131</v>
      </c>
      <c r="O501" t="s">
        <v>20106</v>
      </c>
      <c r="P501" t="s">
        <v>1174</v>
      </c>
      <c r="Q501" s="3">
        <v>97103</v>
      </c>
      <c r="R501" t="s">
        <v>128</v>
      </c>
      <c r="T501" s="4">
        <v>15033256604</v>
      </c>
      <c r="V501" t="s">
        <v>20132</v>
      </c>
      <c r="W501" t="s">
        <v>20133</v>
      </c>
      <c r="X501" t="s">
        <v>20134</v>
      </c>
      <c r="Y501" t="s">
        <v>20131</v>
      </c>
      <c r="AA501" t="s">
        <v>20106</v>
      </c>
      <c r="AB501" t="s">
        <v>1512</v>
      </c>
      <c r="AC501" s="3" t="str">
        <f>"97103"</f>
        <v>97103</v>
      </c>
      <c r="AD501" t="s">
        <v>128</v>
      </c>
      <c r="AF501" s="4">
        <v>15033256604</v>
      </c>
      <c r="AH501" t="str">
        <f>"33999"</f>
        <v>33999</v>
      </c>
      <c r="AI501" t="s">
        <v>167</v>
      </c>
      <c r="AX501" t="s">
        <v>131</v>
      </c>
      <c r="AY501" t="s">
        <v>131</v>
      </c>
      <c r="AZ501" t="s">
        <v>131</v>
      </c>
      <c r="BA501" t="s">
        <v>131</v>
      </c>
      <c r="BB501" t="s">
        <v>131</v>
      </c>
      <c r="BC501" t="s">
        <v>131</v>
      </c>
      <c r="BD501" t="s">
        <v>131</v>
      </c>
      <c r="BE501" t="s">
        <v>132</v>
      </c>
      <c r="BH501" t="s">
        <v>20028</v>
      </c>
      <c r="BI501" t="s">
        <v>131</v>
      </c>
      <c r="BL501" t="s">
        <v>167</v>
      </c>
      <c r="BO501" t="s">
        <v>131</v>
      </c>
      <c r="BP501" t="s">
        <v>134</v>
      </c>
      <c r="BQ501" t="s">
        <v>131</v>
      </c>
      <c r="BS501" t="str">
        <f t="shared" si="39"/>
        <v>N/A</v>
      </c>
      <c r="BT501" t="s">
        <v>131</v>
      </c>
      <c r="BV501" t="str">
        <f>""</f>
        <v/>
      </c>
      <c r="BW501" t="s">
        <v>135</v>
      </c>
      <c r="BX501" t="str">
        <f>""</f>
        <v/>
      </c>
      <c r="BY501" t="str">
        <f>""</f>
        <v/>
      </c>
      <c r="BZ501" t="str">
        <f>""</f>
        <v/>
      </c>
      <c r="CA501" t="s">
        <v>20135</v>
      </c>
      <c r="CB501" t="s">
        <v>131</v>
      </c>
      <c r="CF501" t="s">
        <v>131</v>
      </c>
      <c r="CH501" t="str">
        <f>""</f>
        <v/>
      </c>
      <c r="CI501" t="s">
        <v>131</v>
      </c>
      <c r="CK501" t="s">
        <v>131</v>
      </c>
      <c r="CL501" t="str">
        <f>""</f>
        <v/>
      </c>
      <c r="CM501" t="str">
        <f>""</f>
        <v/>
      </c>
      <c r="CN501" t="str">
        <f>""</f>
        <v/>
      </c>
      <c r="CO501" t="str">
        <f>""</f>
        <v/>
      </c>
      <c r="CP501" t="str">
        <f>"53-7064.00"</f>
        <v>53-7064.00</v>
      </c>
      <c r="CQ501" t="s">
        <v>2987</v>
      </c>
      <c r="CR501" t="s">
        <v>5068</v>
      </c>
      <c r="CS501" t="s">
        <v>131</v>
      </c>
      <c r="CU501" t="s">
        <v>20131</v>
      </c>
      <c r="CW501" t="s">
        <v>20106</v>
      </c>
      <c r="CX501" t="s">
        <v>1512</v>
      </c>
      <c r="CZ501" s="3" t="str">
        <f>"97103"</f>
        <v>97103</v>
      </c>
      <c r="DA501" t="s">
        <v>131</v>
      </c>
      <c r="DB501" t="str">
        <f>"53-7064"</f>
        <v>53-7064</v>
      </c>
      <c r="DC501" t="s">
        <v>2987</v>
      </c>
      <c r="DD501" t="s">
        <v>134</v>
      </c>
      <c r="DE501" t="s">
        <v>134</v>
      </c>
      <c r="DF501" t="str">
        <f>""</f>
        <v/>
      </c>
      <c r="DH501" s="6">
        <v>12.89</v>
      </c>
      <c r="DI501" t="s">
        <v>344</v>
      </c>
      <c r="DK501" t="s">
        <v>345</v>
      </c>
      <c r="DR501" t="s">
        <v>20136</v>
      </c>
      <c r="DS501" s="6">
        <v>12.89</v>
      </c>
      <c r="DT501" t="s">
        <v>424</v>
      </c>
      <c r="DU501" s="1">
        <v>44364</v>
      </c>
      <c r="DV501" s="1">
        <v>44453</v>
      </c>
    </row>
    <row r="502" spans="1:126" ht="15" customHeight="1" x14ac:dyDescent="0.35">
      <c r="A502" t="s">
        <v>9814</v>
      </c>
      <c r="B502" t="s">
        <v>318</v>
      </c>
      <c r="C502" s="1">
        <v>44333</v>
      </c>
      <c r="D502" s="1">
        <v>44364</v>
      </c>
      <c r="H502" t="s">
        <v>319</v>
      </c>
      <c r="I502" t="s">
        <v>9815</v>
      </c>
      <c r="J502" t="s">
        <v>3385</v>
      </c>
      <c r="K502" t="s">
        <v>6235</v>
      </c>
      <c r="L502" t="s">
        <v>9816</v>
      </c>
      <c r="M502" t="s">
        <v>9817</v>
      </c>
      <c r="O502" t="s">
        <v>9818</v>
      </c>
      <c r="P502" t="s">
        <v>412</v>
      </c>
      <c r="Q502" s="3">
        <v>77578</v>
      </c>
      <c r="R502" t="s">
        <v>128</v>
      </c>
      <c r="T502" s="4">
        <v>17138291840</v>
      </c>
      <c r="V502" t="s">
        <v>9819</v>
      </c>
      <c r="W502" t="s">
        <v>9820</v>
      </c>
      <c r="Y502" t="s">
        <v>9821</v>
      </c>
      <c r="AA502" t="s">
        <v>1272</v>
      </c>
      <c r="AB502" t="s">
        <v>400</v>
      </c>
      <c r="AC502" s="3" t="str">
        <f>"77588"</f>
        <v>77588</v>
      </c>
      <c r="AD502" t="s">
        <v>128</v>
      </c>
      <c r="AF502" s="4">
        <v>7138291840</v>
      </c>
      <c r="AH502" t="str">
        <f>"237310"</f>
        <v>237310</v>
      </c>
      <c r="AI502" t="s">
        <v>130</v>
      </c>
      <c r="AJ502" t="s">
        <v>9822</v>
      </c>
      <c r="AK502" t="s">
        <v>9823</v>
      </c>
      <c r="AM502" t="s">
        <v>9824</v>
      </c>
      <c r="AN502">
        <v>1649</v>
      </c>
      <c r="AO502" t="s">
        <v>2832</v>
      </c>
      <c r="AP502" t="s">
        <v>400</v>
      </c>
      <c r="AQ502" s="5">
        <v>77079</v>
      </c>
      <c r="AR502" t="s">
        <v>128</v>
      </c>
      <c r="AT502" s="4">
        <v>12816369534</v>
      </c>
      <c r="AV502" t="s">
        <v>9825</v>
      </c>
      <c r="AW502" t="s">
        <v>9826</v>
      </c>
      <c r="AX502" t="s">
        <v>131</v>
      </c>
      <c r="AY502" t="s">
        <v>131</v>
      </c>
      <c r="AZ502" t="s">
        <v>131</v>
      </c>
      <c r="BA502" t="s">
        <v>131</v>
      </c>
      <c r="BB502" t="s">
        <v>131</v>
      </c>
      <c r="BC502" t="s">
        <v>131</v>
      </c>
      <c r="BD502" t="s">
        <v>131</v>
      </c>
      <c r="BE502" t="s">
        <v>132</v>
      </c>
      <c r="BH502" t="s">
        <v>9827</v>
      </c>
      <c r="BI502" t="s">
        <v>131</v>
      </c>
      <c r="BL502" t="s">
        <v>167</v>
      </c>
      <c r="BO502" t="s">
        <v>131</v>
      </c>
      <c r="BP502" t="s">
        <v>134</v>
      </c>
      <c r="BQ502" t="s">
        <v>131</v>
      </c>
      <c r="BS502" t="str">
        <f t="shared" si="39"/>
        <v>N/A</v>
      </c>
      <c r="BT502" t="s">
        <v>131</v>
      </c>
      <c r="BV502" t="str">
        <f>""</f>
        <v/>
      </c>
      <c r="BW502" t="s">
        <v>135</v>
      </c>
      <c r="BX502" t="str">
        <f>""</f>
        <v/>
      </c>
      <c r="BY502" t="str">
        <f>""</f>
        <v/>
      </c>
      <c r="BZ502" t="str">
        <f>""</f>
        <v/>
      </c>
      <c r="CA502" s="2" t="s">
        <v>9828</v>
      </c>
      <c r="CB502" t="s">
        <v>131</v>
      </c>
      <c r="CF502" t="s">
        <v>131</v>
      </c>
      <c r="CH502" t="str">
        <f>""</f>
        <v/>
      </c>
      <c r="CI502" t="s">
        <v>131</v>
      </c>
      <c r="CK502" t="s">
        <v>131</v>
      </c>
      <c r="CL502" t="str">
        <f>""</f>
        <v/>
      </c>
      <c r="CM502" t="str">
        <f>""</f>
        <v/>
      </c>
      <c r="CN502" t="str">
        <f>""</f>
        <v/>
      </c>
      <c r="CO502" t="str">
        <f>""</f>
        <v/>
      </c>
      <c r="CP502" t="str">
        <f>"47-2071.00"</f>
        <v>47-2071.00</v>
      </c>
      <c r="CQ502" t="s">
        <v>4592</v>
      </c>
      <c r="CS502" t="s">
        <v>135</v>
      </c>
      <c r="CT502" t="s">
        <v>9829</v>
      </c>
      <c r="CU502" t="s">
        <v>9830</v>
      </c>
      <c r="CW502" t="s">
        <v>9831</v>
      </c>
      <c r="CX502" t="s">
        <v>400</v>
      </c>
      <c r="CZ502" s="3" t="str">
        <f>"77588"</f>
        <v>77588</v>
      </c>
      <c r="DA502" t="s">
        <v>131</v>
      </c>
      <c r="DB502" t="str">
        <f>"47-2071"</f>
        <v>47-2071</v>
      </c>
      <c r="DC502" t="s">
        <v>4592</v>
      </c>
      <c r="DD502" t="s">
        <v>134</v>
      </c>
      <c r="DE502" t="s">
        <v>134</v>
      </c>
      <c r="DF502" t="str">
        <f>""</f>
        <v/>
      </c>
      <c r="DH502" s="6">
        <v>19.010000000000002</v>
      </c>
      <c r="DI502" t="s">
        <v>344</v>
      </c>
      <c r="DK502" t="s">
        <v>345</v>
      </c>
      <c r="DS502" s="6">
        <v>19.010000000000002</v>
      </c>
      <c r="DT502" s="2" t="s">
        <v>347</v>
      </c>
      <c r="DU502" s="1">
        <v>44364</v>
      </c>
      <c r="DV502" s="1">
        <v>44453</v>
      </c>
    </row>
    <row r="503" spans="1:126" ht="15" customHeight="1" x14ac:dyDescent="0.35">
      <c r="A503" t="s">
        <v>3764</v>
      </c>
      <c r="B503" t="s">
        <v>318</v>
      </c>
      <c r="C503" s="1">
        <v>44333</v>
      </c>
      <c r="D503" s="1">
        <v>44361</v>
      </c>
      <c r="H503" t="s">
        <v>319</v>
      </c>
      <c r="I503" t="s">
        <v>3765</v>
      </c>
      <c r="J503" t="s">
        <v>3766</v>
      </c>
      <c r="L503" t="s">
        <v>3767</v>
      </c>
      <c r="M503" t="s">
        <v>3768</v>
      </c>
      <c r="O503" t="s">
        <v>3769</v>
      </c>
      <c r="P503" t="s">
        <v>702</v>
      </c>
      <c r="Q503" s="3">
        <v>6776</v>
      </c>
      <c r="R503" t="s">
        <v>128</v>
      </c>
      <c r="T503" s="4">
        <v>18603502737</v>
      </c>
      <c r="V503" t="s">
        <v>134</v>
      </c>
      <c r="W503" t="s">
        <v>3770</v>
      </c>
      <c r="X503" t="s">
        <v>3771</v>
      </c>
      <c r="Y503" t="s">
        <v>3768</v>
      </c>
      <c r="AA503" t="s">
        <v>3769</v>
      </c>
      <c r="AB503" t="s">
        <v>703</v>
      </c>
      <c r="AC503" s="3" t="str">
        <f>"06776"</f>
        <v>06776</v>
      </c>
      <c r="AD503" t="s">
        <v>128</v>
      </c>
      <c r="AF503" s="4">
        <v>18603502737</v>
      </c>
      <c r="AH503" t="str">
        <f>"56173"</f>
        <v>56173</v>
      </c>
      <c r="AI503" t="s">
        <v>287</v>
      </c>
      <c r="AJ503" t="s">
        <v>2917</v>
      </c>
      <c r="AK503" t="s">
        <v>2918</v>
      </c>
      <c r="AM503" t="s">
        <v>3772</v>
      </c>
      <c r="AO503" t="s">
        <v>3773</v>
      </c>
      <c r="AP503" t="s">
        <v>306</v>
      </c>
      <c r="AQ503" s="5">
        <v>22903</v>
      </c>
      <c r="AR503" t="s">
        <v>128</v>
      </c>
      <c r="AT503" s="4">
        <v>14342634300</v>
      </c>
      <c r="AV503" t="s">
        <v>3774</v>
      </c>
      <c r="AW503" t="s">
        <v>2923</v>
      </c>
      <c r="AX503" t="s">
        <v>131</v>
      </c>
      <c r="AY503" t="s">
        <v>131</v>
      </c>
      <c r="AZ503" t="s">
        <v>131</v>
      </c>
      <c r="BA503" t="s">
        <v>131</v>
      </c>
      <c r="BB503" t="s">
        <v>131</v>
      </c>
      <c r="BC503" t="s">
        <v>131</v>
      </c>
      <c r="BD503" t="s">
        <v>131</v>
      </c>
      <c r="BE503" t="s">
        <v>132</v>
      </c>
      <c r="BH503" t="s">
        <v>3775</v>
      </c>
      <c r="BI503" t="s">
        <v>131</v>
      </c>
      <c r="BL503" t="s">
        <v>167</v>
      </c>
      <c r="BO503" t="s">
        <v>131</v>
      </c>
      <c r="BP503" t="s">
        <v>134</v>
      </c>
      <c r="BQ503" t="s">
        <v>131</v>
      </c>
      <c r="BS503" t="str">
        <f t="shared" si="39"/>
        <v>N/A</v>
      </c>
      <c r="BT503" t="s">
        <v>135</v>
      </c>
      <c r="BU503">
        <v>3</v>
      </c>
      <c r="BV503" t="str">
        <f>"Requires three months of previous landscape experience."</f>
        <v>Requires three months of previous landscape experience.</v>
      </c>
      <c r="BW503" t="s">
        <v>135</v>
      </c>
      <c r="BX503" t="str">
        <f>""</f>
        <v/>
      </c>
      <c r="BY503" t="str">
        <f>""</f>
        <v/>
      </c>
      <c r="BZ503" t="str">
        <f>""</f>
        <v/>
      </c>
      <c r="CA503" t="s">
        <v>3776</v>
      </c>
      <c r="CB503" t="s">
        <v>131</v>
      </c>
      <c r="CF503" t="s">
        <v>131</v>
      </c>
      <c r="CH503" t="str">
        <f>""</f>
        <v/>
      </c>
      <c r="CI503" t="s">
        <v>131</v>
      </c>
      <c r="CK503" t="s">
        <v>131</v>
      </c>
      <c r="CL503" t="str">
        <f>""</f>
        <v/>
      </c>
      <c r="CM503" t="str">
        <f>""</f>
        <v/>
      </c>
      <c r="CN503" t="str">
        <f>""</f>
        <v/>
      </c>
      <c r="CO503" t="str">
        <f>""</f>
        <v/>
      </c>
      <c r="CP503" t="str">
        <f>"37-3011.00"</f>
        <v>37-3011.00</v>
      </c>
      <c r="CQ503" t="s">
        <v>920</v>
      </c>
      <c r="CR503" t="s">
        <v>2924</v>
      </c>
      <c r="CS503" t="s">
        <v>135</v>
      </c>
      <c r="CT503" t="s">
        <v>2925</v>
      </c>
      <c r="CU503" t="s">
        <v>3777</v>
      </c>
      <c r="CW503" t="s">
        <v>3769</v>
      </c>
      <c r="CX503" t="s">
        <v>703</v>
      </c>
      <c r="CZ503" s="3" t="str">
        <f>"06776"</f>
        <v>06776</v>
      </c>
      <c r="DA503" t="s">
        <v>135</v>
      </c>
      <c r="DB503" t="str">
        <f>"37-3011"</f>
        <v>37-3011</v>
      </c>
      <c r="DC503" t="s">
        <v>920</v>
      </c>
      <c r="DD503" t="s">
        <v>134</v>
      </c>
      <c r="DE503" t="s">
        <v>134</v>
      </c>
      <c r="DF503" t="str">
        <f>""</f>
        <v/>
      </c>
      <c r="DH503" s="6">
        <v>16.82</v>
      </c>
      <c r="DI503" t="s">
        <v>344</v>
      </c>
      <c r="DK503" t="s">
        <v>345</v>
      </c>
      <c r="DS503" s="6">
        <v>18.11</v>
      </c>
      <c r="DT503" t="s">
        <v>424</v>
      </c>
      <c r="DU503" s="1">
        <v>44361</v>
      </c>
      <c r="DV503" s="1">
        <v>44450</v>
      </c>
    </row>
    <row r="504" spans="1:126" ht="15" customHeight="1" x14ac:dyDescent="0.35">
      <c r="A504" t="s">
        <v>18283</v>
      </c>
      <c r="B504" t="s">
        <v>318</v>
      </c>
      <c r="C504" s="1">
        <v>44333</v>
      </c>
      <c r="D504" s="1">
        <v>44361</v>
      </c>
      <c r="H504" t="s">
        <v>319</v>
      </c>
      <c r="I504" t="s">
        <v>11306</v>
      </c>
      <c r="J504" t="s">
        <v>4765</v>
      </c>
      <c r="L504" t="s">
        <v>392</v>
      </c>
      <c r="M504" t="s">
        <v>11308</v>
      </c>
      <c r="N504">
        <v>221</v>
      </c>
      <c r="O504" t="s">
        <v>11309</v>
      </c>
      <c r="P504" t="s">
        <v>194</v>
      </c>
      <c r="Q504" s="3">
        <v>33418</v>
      </c>
      <c r="R504" t="s">
        <v>128</v>
      </c>
      <c r="S504" t="s">
        <v>11310</v>
      </c>
      <c r="T504" s="4">
        <v>15613793601</v>
      </c>
      <c r="V504" t="s">
        <v>11633</v>
      </c>
      <c r="W504" t="s">
        <v>11312</v>
      </c>
      <c r="X504" t="s">
        <v>11312</v>
      </c>
      <c r="Y504" t="s">
        <v>11308</v>
      </c>
      <c r="Z504">
        <v>22</v>
      </c>
      <c r="AA504" t="s">
        <v>11309</v>
      </c>
      <c r="AB504" t="s">
        <v>195</v>
      </c>
      <c r="AC504" s="3" t="str">
        <f>"33416"</f>
        <v>33416</v>
      </c>
      <c r="AD504" t="s">
        <v>128</v>
      </c>
      <c r="AE504" t="s">
        <v>11635</v>
      </c>
      <c r="AF504" s="4">
        <v>15613793601</v>
      </c>
      <c r="AH504" t="str">
        <f>"561720"</f>
        <v>561720</v>
      </c>
      <c r="AI504" t="s">
        <v>130</v>
      </c>
      <c r="AJ504" t="s">
        <v>11316</v>
      </c>
      <c r="AK504" t="s">
        <v>5506</v>
      </c>
      <c r="AL504" t="s">
        <v>1568</v>
      </c>
      <c r="AM504" t="s">
        <v>11307</v>
      </c>
      <c r="AN504" t="s">
        <v>18284</v>
      </c>
      <c r="AO504" t="s">
        <v>205</v>
      </c>
      <c r="AP504" t="s">
        <v>195</v>
      </c>
      <c r="AQ504" s="5">
        <v>33647</v>
      </c>
      <c r="AR504" t="s">
        <v>128</v>
      </c>
      <c r="AT504" s="4">
        <v>18135288934</v>
      </c>
      <c r="AV504" t="s">
        <v>11311</v>
      </c>
      <c r="AW504" t="s">
        <v>11307</v>
      </c>
      <c r="AX504" t="s">
        <v>131</v>
      </c>
      <c r="AY504" t="s">
        <v>131</v>
      </c>
      <c r="AZ504" t="s">
        <v>131</v>
      </c>
      <c r="BA504" t="s">
        <v>131</v>
      </c>
      <c r="BB504" t="s">
        <v>131</v>
      </c>
      <c r="BC504" t="s">
        <v>131</v>
      </c>
      <c r="BD504" t="s">
        <v>131</v>
      </c>
      <c r="BE504" t="s">
        <v>132</v>
      </c>
      <c r="BH504" t="s">
        <v>4277</v>
      </c>
      <c r="BI504" t="s">
        <v>131</v>
      </c>
      <c r="BL504" t="s">
        <v>167</v>
      </c>
      <c r="BO504" t="s">
        <v>131</v>
      </c>
      <c r="BP504" t="s">
        <v>134</v>
      </c>
      <c r="BQ504" t="s">
        <v>131</v>
      </c>
      <c r="BS504" t="str">
        <f t="shared" si="39"/>
        <v>N/A</v>
      </c>
      <c r="BT504" t="s">
        <v>135</v>
      </c>
      <c r="BU504">
        <v>3</v>
      </c>
      <c r="BV504" t="str">
        <f>"HOUSEKEEPING"</f>
        <v>HOUSEKEEPING</v>
      </c>
      <c r="BW504" t="s">
        <v>131</v>
      </c>
      <c r="BX504" t="str">
        <f>""</f>
        <v/>
      </c>
      <c r="BY504" t="str">
        <f>""</f>
        <v/>
      </c>
      <c r="BZ504" t="str">
        <f>""</f>
        <v/>
      </c>
      <c r="CA504" t="str">
        <f>""</f>
        <v/>
      </c>
      <c r="CB504" t="s">
        <v>131</v>
      </c>
      <c r="CF504" t="s">
        <v>131</v>
      </c>
      <c r="CH504" t="str">
        <f>""</f>
        <v/>
      </c>
      <c r="CI504" t="s">
        <v>131</v>
      </c>
      <c r="CK504" t="s">
        <v>131</v>
      </c>
      <c r="CL504" t="str">
        <f>""</f>
        <v/>
      </c>
      <c r="CM504" t="str">
        <f>""</f>
        <v/>
      </c>
      <c r="CN504" t="str">
        <f>""</f>
        <v/>
      </c>
      <c r="CO504" t="str">
        <f>""</f>
        <v/>
      </c>
      <c r="CP504" t="str">
        <f>"37-2012.00"</f>
        <v>37-2012.00</v>
      </c>
      <c r="CQ504" t="s">
        <v>479</v>
      </c>
      <c r="CR504" t="s">
        <v>4277</v>
      </c>
      <c r="CS504" t="s">
        <v>135</v>
      </c>
      <c r="CT504" t="s">
        <v>11318</v>
      </c>
      <c r="CU504" t="s">
        <v>11319</v>
      </c>
      <c r="CV504" t="s">
        <v>11320</v>
      </c>
      <c r="CW504" t="s">
        <v>18285</v>
      </c>
      <c r="CX504" t="s">
        <v>1218</v>
      </c>
      <c r="CZ504" s="3" t="str">
        <f>"36104"</f>
        <v>36104</v>
      </c>
      <c r="DA504" t="s">
        <v>131</v>
      </c>
      <c r="DB504" t="str">
        <f>"37-2012"</f>
        <v>37-2012</v>
      </c>
      <c r="DC504" t="s">
        <v>479</v>
      </c>
      <c r="DD504" t="s">
        <v>134</v>
      </c>
      <c r="DE504" t="s">
        <v>134</v>
      </c>
      <c r="DF504" t="str">
        <f>""</f>
        <v/>
      </c>
      <c r="DH504" s="6">
        <v>9.9600000000000009</v>
      </c>
      <c r="DI504" t="s">
        <v>344</v>
      </c>
      <c r="DK504" t="s">
        <v>345</v>
      </c>
      <c r="DR504" t="s">
        <v>11750</v>
      </c>
      <c r="DS504" s="6">
        <v>9.9600000000000009</v>
      </c>
      <c r="DT504" s="2" t="s">
        <v>347</v>
      </c>
      <c r="DU504" s="1">
        <v>44361</v>
      </c>
      <c r="DV504" s="1">
        <v>44450</v>
      </c>
    </row>
    <row r="505" spans="1:126" ht="15" customHeight="1" x14ac:dyDescent="0.35">
      <c r="A505" t="s">
        <v>20092</v>
      </c>
      <c r="B505" t="s">
        <v>318</v>
      </c>
      <c r="C505" s="1">
        <v>44333</v>
      </c>
      <c r="D505" s="1">
        <v>44369</v>
      </c>
      <c r="H505" t="s">
        <v>319</v>
      </c>
      <c r="I505" t="s">
        <v>7720</v>
      </c>
      <c r="J505" t="s">
        <v>6423</v>
      </c>
      <c r="L505" t="s">
        <v>13201</v>
      </c>
      <c r="M505" t="s">
        <v>10465</v>
      </c>
      <c r="O505" t="s">
        <v>7534</v>
      </c>
      <c r="P505" t="s">
        <v>396</v>
      </c>
      <c r="Q505" s="3">
        <v>72802</v>
      </c>
      <c r="R505" t="s">
        <v>128</v>
      </c>
      <c r="T505" s="4">
        <v>14792195263</v>
      </c>
      <c r="V505" t="s">
        <v>10466</v>
      </c>
      <c r="W505" t="s">
        <v>10467</v>
      </c>
      <c r="Y505" t="s">
        <v>10465</v>
      </c>
      <c r="AA505" t="s">
        <v>7534</v>
      </c>
      <c r="AB505" t="s">
        <v>397</v>
      </c>
      <c r="AC505" s="3" t="str">
        <f>"72802"</f>
        <v>72802</v>
      </c>
      <c r="AD505" t="s">
        <v>128</v>
      </c>
      <c r="AF505" s="4">
        <v>14792195263</v>
      </c>
      <c r="AH505" t="str">
        <f>"1153"</f>
        <v>1153</v>
      </c>
      <c r="AI505" t="s">
        <v>287</v>
      </c>
      <c r="AJ505" t="s">
        <v>4134</v>
      </c>
      <c r="AK505" t="s">
        <v>3493</v>
      </c>
      <c r="AM505" t="s">
        <v>4135</v>
      </c>
      <c r="AO505" t="s">
        <v>4136</v>
      </c>
      <c r="AP505" t="s">
        <v>643</v>
      </c>
      <c r="AQ505" s="5">
        <v>31636</v>
      </c>
      <c r="AR505" t="s">
        <v>128</v>
      </c>
      <c r="AT505" s="4">
        <v>12295596879</v>
      </c>
      <c r="AV505" t="s">
        <v>4137</v>
      </c>
      <c r="AW505" t="s">
        <v>4138</v>
      </c>
      <c r="AX505" t="s">
        <v>131</v>
      </c>
      <c r="AY505" t="s">
        <v>131</v>
      </c>
      <c r="AZ505" t="s">
        <v>131</v>
      </c>
      <c r="BA505" t="s">
        <v>131</v>
      </c>
      <c r="BB505" t="s">
        <v>131</v>
      </c>
      <c r="BC505" t="s">
        <v>131</v>
      </c>
      <c r="BD505" t="s">
        <v>131</v>
      </c>
      <c r="BE505" t="s">
        <v>132</v>
      </c>
      <c r="BH505" t="s">
        <v>13202</v>
      </c>
      <c r="BI505" t="s">
        <v>131</v>
      </c>
      <c r="BL505" t="s">
        <v>167</v>
      </c>
      <c r="BO505" t="s">
        <v>131</v>
      </c>
      <c r="BP505" t="s">
        <v>134</v>
      </c>
      <c r="BQ505" t="s">
        <v>131</v>
      </c>
      <c r="BS505" t="str">
        <f t="shared" si="39"/>
        <v>N/A</v>
      </c>
      <c r="BT505" t="s">
        <v>131</v>
      </c>
      <c r="BV505" t="str">
        <f>""</f>
        <v/>
      </c>
      <c r="BW505" t="s">
        <v>135</v>
      </c>
      <c r="BX505" t="str">
        <f>""</f>
        <v/>
      </c>
      <c r="BY505" t="str">
        <f>""</f>
        <v/>
      </c>
      <c r="BZ505" t="str">
        <f>""</f>
        <v/>
      </c>
      <c r="CA505" t="s">
        <v>15505</v>
      </c>
      <c r="CB505" t="s">
        <v>131</v>
      </c>
      <c r="CF505" t="s">
        <v>131</v>
      </c>
      <c r="CH505" t="str">
        <f>""</f>
        <v/>
      </c>
      <c r="CI505" t="s">
        <v>131</v>
      </c>
      <c r="CK505" t="s">
        <v>131</v>
      </c>
      <c r="CL505" t="str">
        <f>""</f>
        <v/>
      </c>
      <c r="CM505" t="str">
        <f>""</f>
        <v/>
      </c>
      <c r="CN505" t="str">
        <f>""</f>
        <v/>
      </c>
      <c r="CO505" t="str">
        <f>""</f>
        <v/>
      </c>
      <c r="CP505" t="str">
        <f>"45-4011.00"</f>
        <v>45-4011.00</v>
      </c>
      <c r="CQ505" t="s">
        <v>4310</v>
      </c>
      <c r="CS505" t="s">
        <v>135</v>
      </c>
      <c r="CT505" t="s">
        <v>2925</v>
      </c>
      <c r="CU505" t="s">
        <v>15506</v>
      </c>
      <c r="CW505" t="s">
        <v>1319</v>
      </c>
      <c r="CX505" t="s">
        <v>779</v>
      </c>
      <c r="CZ505" s="3" t="str">
        <f>"38305"</f>
        <v>38305</v>
      </c>
      <c r="DA505" t="s">
        <v>135</v>
      </c>
      <c r="DB505" t="str">
        <f>"37-3011"</f>
        <v>37-3011</v>
      </c>
      <c r="DC505" t="s">
        <v>920</v>
      </c>
      <c r="DD505" t="s">
        <v>134</v>
      </c>
      <c r="DE505" t="s">
        <v>134</v>
      </c>
      <c r="DF505" t="str">
        <f>"45-4011.00"</f>
        <v>45-4011.00</v>
      </c>
      <c r="DG505" t="s">
        <v>4310</v>
      </c>
      <c r="DH505" s="6">
        <v>13.22</v>
      </c>
      <c r="DI505" t="s">
        <v>344</v>
      </c>
      <c r="DK505" t="s">
        <v>345</v>
      </c>
      <c r="DS505" s="6">
        <v>22.2</v>
      </c>
      <c r="DT505" s="2" t="s">
        <v>347</v>
      </c>
      <c r="DU505" s="1">
        <v>44369</v>
      </c>
      <c r="DV505" s="1">
        <v>44458</v>
      </c>
    </row>
    <row r="506" spans="1:126" ht="15" customHeight="1" x14ac:dyDescent="0.35">
      <c r="A506" t="s">
        <v>19154</v>
      </c>
      <c r="B506" t="s">
        <v>318</v>
      </c>
      <c r="C506" s="1">
        <v>44333</v>
      </c>
      <c r="D506" s="1">
        <v>44369</v>
      </c>
      <c r="H506" t="s">
        <v>319</v>
      </c>
      <c r="I506" t="s">
        <v>7720</v>
      </c>
      <c r="J506" t="s">
        <v>6423</v>
      </c>
      <c r="L506" t="s">
        <v>13201</v>
      </c>
      <c r="M506" t="s">
        <v>10465</v>
      </c>
      <c r="O506" t="s">
        <v>7534</v>
      </c>
      <c r="P506" t="s">
        <v>396</v>
      </c>
      <c r="Q506" s="3">
        <v>72802</v>
      </c>
      <c r="R506" t="s">
        <v>128</v>
      </c>
      <c r="T506" s="4">
        <v>14792195263</v>
      </c>
      <c r="V506" t="s">
        <v>10466</v>
      </c>
      <c r="W506" t="s">
        <v>10467</v>
      </c>
      <c r="Y506" t="s">
        <v>10465</v>
      </c>
      <c r="AA506" t="s">
        <v>7534</v>
      </c>
      <c r="AB506" t="s">
        <v>397</v>
      </c>
      <c r="AC506" s="3" t="str">
        <f>"72802"</f>
        <v>72802</v>
      </c>
      <c r="AD506" t="s">
        <v>128</v>
      </c>
      <c r="AF506" s="4">
        <v>14792195263</v>
      </c>
      <c r="AH506" t="str">
        <f>"1153"</f>
        <v>1153</v>
      </c>
      <c r="AI506" t="s">
        <v>287</v>
      </c>
      <c r="AJ506" t="s">
        <v>4134</v>
      </c>
      <c r="AK506" t="s">
        <v>3493</v>
      </c>
      <c r="AM506" t="s">
        <v>4135</v>
      </c>
      <c r="AO506" t="s">
        <v>4136</v>
      </c>
      <c r="AP506" t="s">
        <v>643</v>
      </c>
      <c r="AQ506" s="5">
        <v>31636</v>
      </c>
      <c r="AR506" t="s">
        <v>128</v>
      </c>
      <c r="AT506" s="4">
        <v>12295596879</v>
      </c>
      <c r="AV506" t="s">
        <v>4137</v>
      </c>
      <c r="AW506" t="s">
        <v>4138</v>
      </c>
      <c r="AX506" t="s">
        <v>131</v>
      </c>
      <c r="AY506" t="s">
        <v>131</v>
      </c>
      <c r="AZ506" t="s">
        <v>131</v>
      </c>
      <c r="BA506" t="s">
        <v>131</v>
      </c>
      <c r="BB506" t="s">
        <v>131</v>
      </c>
      <c r="BC506" t="s">
        <v>131</v>
      </c>
      <c r="BD506" t="s">
        <v>131</v>
      </c>
      <c r="BE506" t="s">
        <v>132</v>
      </c>
      <c r="BH506" t="s">
        <v>13202</v>
      </c>
      <c r="BI506" t="s">
        <v>131</v>
      </c>
      <c r="BL506" t="s">
        <v>167</v>
      </c>
      <c r="BO506" t="s">
        <v>131</v>
      </c>
      <c r="BP506" t="s">
        <v>134</v>
      </c>
      <c r="BQ506" t="s">
        <v>131</v>
      </c>
      <c r="BS506" t="str">
        <f t="shared" si="39"/>
        <v>N/A</v>
      </c>
      <c r="BT506" t="s">
        <v>131</v>
      </c>
      <c r="BV506" t="str">
        <f>""</f>
        <v/>
      </c>
      <c r="BW506" t="s">
        <v>135</v>
      </c>
      <c r="BX506" t="str">
        <f>""</f>
        <v/>
      </c>
      <c r="BY506" t="str">
        <f>""</f>
        <v/>
      </c>
      <c r="BZ506" t="str">
        <f>""</f>
        <v/>
      </c>
      <c r="CA506" t="s">
        <v>15505</v>
      </c>
      <c r="CB506" t="s">
        <v>131</v>
      </c>
      <c r="CF506" t="s">
        <v>131</v>
      </c>
      <c r="CH506" t="str">
        <f>""</f>
        <v/>
      </c>
      <c r="CI506" t="s">
        <v>131</v>
      </c>
      <c r="CK506" t="s">
        <v>131</v>
      </c>
      <c r="CL506" t="str">
        <f>""</f>
        <v/>
      </c>
      <c r="CM506" t="str">
        <f>""</f>
        <v/>
      </c>
      <c r="CN506" t="str">
        <f>""</f>
        <v/>
      </c>
      <c r="CO506" t="str">
        <f>""</f>
        <v/>
      </c>
      <c r="CP506" t="str">
        <f>"45-4011.00"</f>
        <v>45-4011.00</v>
      </c>
      <c r="CQ506" t="s">
        <v>4310</v>
      </c>
      <c r="CS506" t="s">
        <v>135</v>
      </c>
      <c r="CT506" t="s">
        <v>2925</v>
      </c>
      <c r="CU506" t="s">
        <v>15506</v>
      </c>
      <c r="CW506" t="s">
        <v>1319</v>
      </c>
      <c r="CX506" t="s">
        <v>779</v>
      </c>
      <c r="CZ506" s="3" t="str">
        <f>"38305"</f>
        <v>38305</v>
      </c>
      <c r="DA506" t="s">
        <v>135</v>
      </c>
      <c r="DB506" t="str">
        <f>"37-3011"</f>
        <v>37-3011</v>
      </c>
      <c r="DC506" t="s">
        <v>920</v>
      </c>
      <c r="DD506" t="s">
        <v>134</v>
      </c>
      <c r="DE506" t="s">
        <v>134</v>
      </c>
      <c r="DF506" t="str">
        <f>"45-4011.00"</f>
        <v>45-4011.00</v>
      </c>
      <c r="DG506" t="s">
        <v>4310</v>
      </c>
      <c r="DH506" s="6">
        <v>13.22</v>
      </c>
      <c r="DI506" t="s">
        <v>344</v>
      </c>
      <c r="DK506" t="s">
        <v>345</v>
      </c>
      <c r="DS506" s="6">
        <v>25.54</v>
      </c>
      <c r="DT506" s="2" t="s">
        <v>347</v>
      </c>
      <c r="DU506" s="1">
        <v>44369</v>
      </c>
      <c r="DV506" s="1">
        <v>44458</v>
      </c>
    </row>
    <row r="507" spans="1:126" ht="15" customHeight="1" x14ac:dyDescent="0.35">
      <c r="A507" t="s">
        <v>10461</v>
      </c>
      <c r="B507" t="s">
        <v>318</v>
      </c>
      <c r="C507" s="1">
        <v>44333</v>
      </c>
      <c r="D507" s="1">
        <v>44361</v>
      </c>
      <c r="H507" t="s">
        <v>319</v>
      </c>
      <c r="I507" t="s">
        <v>10462</v>
      </c>
      <c r="J507" t="s">
        <v>10463</v>
      </c>
      <c r="L507" t="s">
        <v>10464</v>
      </c>
      <c r="M507" t="s">
        <v>10465</v>
      </c>
      <c r="O507" t="s">
        <v>7534</v>
      </c>
      <c r="P507" t="s">
        <v>396</v>
      </c>
      <c r="Q507" s="3">
        <v>72802</v>
      </c>
      <c r="R507" t="s">
        <v>128</v>
      </c>
      <c r="T507" s="4">
        <v>14792195263</v>
      </c>
      <c r="V507" t="s">
        <v>10466</v>
      </c>
      <c r="W507" t="s">
        <v>10467</v>
      </c>
      <c r="Y507" t="s">
        <v>10465</v>
      </c>
      <c r="AA507" t="s">
        <v>7534</v>
      </c>
      <c r="AB507" t="s">
        <v>397</v>
      </c>
      <c r="AC507" s="3" t="str">
        <f>"72802"</f>
        <v>72802</v>
      </c>
      <c r="AD507" t="s">
        <v>128</v>
      </c>
      <c r="AF507" s="4">
        <v>14792195263</v>
      </c>
      <c r="AH507" t="str">
        <f>"11531"</f>
        <v>11531</v>
      </c>
      <c r="AI507" t="s">
        <v>287</v>
      </c>
      <c r="AJ507" t="s">
        <v>4134</v>
      </c>
      <c r="AK507" t="s">
        <v>3493</v>
      </c>
      <c r="AM507" t="s">
        <v>4135</v>
      </c>
      <c r="AO507" t="s">
        <v>4136</v>
      </c>
      <c r="AP507" t="s">
        <v>643</v>
      </c>
      <c r="AQ507" s="5">
        <v>31636</v>
      </c>
      <c r="AR507" t="s">
        <v>128</v>
      </c>
      <c r="AT507" s="4">
        <v>12295596879</v>
      </c>
      <c r="AV507" t="s">
        <v>4137</v>
      </c>
      <c r="AW507" t="s">
        <v>4138</v>
      </c>
      <c r="AX507" t="s">
        <v>131</v>
      </c>
      <c r="AY507" t="s">
        <v>131</v>
      </c>
      <c r="AZ507" t="s">
        <v>131</v>
      </c>
      <c r="BA507" t="s">
        <v>131</v>
      </c>
      <c r="BB507" t="s">
        <v>131</v>
      </c>
      <c r="BC507" t="s">
        <v>131</v>
      </c>
      <c r="BD507" t="s">
        <v>131</v>
      </c>
      <c r="BE507" t="s">
        <v>132</v>
      </c>
      <c r="BH507" t="s">
        <v>4716</v>
      </c>
      <c r="BI507" t="s">
        <v>131</v>
      </c>
      <c r="BL507" t="s">
        <v>167</v>
      </c>
      <c r="BO507" t="s">
        <v>131</v>
      </c>
      <c r="BP507" t="s">
        <v>134</v>
      </c>
      <c r="BQ507" t="s">
        <v>131</v>
      </c>
      <c r="BS507" t="str">
        <f t="shared" si="39"/>
        <v>N/A</v>
      </c>
      <c r="BT507" t="s">
        <v>131</v>
      </c>
      <c r="BV507" t="str">
        <f>""</f>
        <v/>
      </c>
      <c r="BW507" t="s">
        <v>135</v>
      </c>
      <c r="BX507" t="str">
        <f>""</f>
        <v/>
      </c>
      <c r="BY507" t="str">
        <f>""</f>
        <v/>
      </c>
      <c r="BZ507" t="str">
        <f>""</f>
        <v/>
      </c>
      <c r="CA507" t="str">
        <f>"Requires walking over rough and uneven land with continuous bending, crouching, stooping, and lifting. Must carry 55 lbs. Work schedule and locations dependent on weather conditions. Must pass drug screenings."</f>
        <v>Requires walking over rough and uneven land with continuous bending, crouching, stooping, and lifting. Must carry 55 lbs. Work schedule and locations dependent on weather conditions. Must pass drug screenings.</v>
      </c>
      <c r="CB507" t="s">
        <v>131</v>
      </c>
      <c r="CF507" t="s">
        <v>131</v>
      </c>
      <c r="CH507" t="str">
        <f>""</f>
        <v/>
      </c>
      <c r="CI507" t="s">
        <v>131</v>
      </c>
      <c r="CK507" t="s">
        <v>131</v>
      </c>
      <c r="CL507" t="str">
        <f>""</f>
        <v/>
      </c>
      <c r="CM507" t="str">
        <f>""</f>
        <v/>
      </c>
      <c r="CN507" t="str">
        <f>""</f>
        <v/>
      </c>
      <c r="CO507" t="str">
        <f>""</f>
        <v/>
      </c>
      <c r="CP507" t="str">
        <f>"45-2092.00"</f>
        <v>45-2092.00</v>
      </c>
      <c r="CQ507" t="s">
        <v>3820</v>
      </c>
      <c r="CS507" t="s">
        <v>131</v>
      </c>
      <c r="CU507" t="s">
        <v>10468</v>
      </c>
      <c r="CW507" t="s">
        <v>10469</v>
      </c>
      <c r="CX507" t="s">
        <v>630</v>
      </c>
      <c r="CZ507" s="3" t="str">
        <f>"39083"</f>
        <v>39083</v>
      </c>
      <c r="DA507" t="s">
        <v>131</v>
      </c>
      <c r="DB507" t="str">
        <f>"45-2092"</f>
        <v>45-2092</v>
      </c>
      <c r="DC507" t="s">
        <v>3820</v>
      </c>
      <c r="DD507" t="s">
        <v>10470</v>
      </c>
      <c r="DE507" t="s">
        <v>3197</v>
      </c>
      <c r="DF507" t="str">
        <f>""</f>
        <v/>
      </c>
      <c r="DH507" s="6">
        <v>12.27</v>
      </c>
      <c r="DI507" t="s">
        <v>344</v>
      </c>
      <c r="DK507" t="s">
        <v>345</v>
      </c>
      <c r="DS507" s="6">
        <v>12.27</v>
      </c>
      <c r="DT507" t="s">
        <v>424</v>
      </c>
      <c r="DU507" s="1">
        <v>44361</v>
      </c>
      <c r="DV507" s="1">
        <v>44450</v>
      </c>
    </row>
    <row r="508" spans="1:126" ht="15" customHeight="1" x14ac:dyDescent="0.35">
      <c r="A508" t="s">
        <v>11632</v>
      </c>
      <c r="B508" t="s">
        <v>318</v>
      </c>
      <c r="C508" s="1">
        <v>44333</v>
      </c>
      <c r="D508" s="1">
        <v>44361</v>
      </c>
      <c r="H508" t="s">
        <v>319</v>
      </c>
      <c r="I508" t="s">
        <v>11306</v>
      </c>
      <c r="J508" t="s">
        <v>4765</v>
      </c>
      <c r="L508" t="s">
        <v>392</v>
      </c>
      <c r="M508" t="s">
        <v>11308</v>
      </c>
      <c r="N508">
        <v>221</v>
      </c>
      <c r="O508" t="s">
        <v>11309</v>
      </c>
      <c r="P508" t="s">
        <v>194</v>
      </c>
      <c r="Q508" s="3">
        <v>33418</v>
      </c>
      <c r="R508" t="s">
        <v>128</v>
      </c>
      <c r="S508" t="s">
        <v>11310</v>
      </c>
      <c r="T508" s="4">
        <v>15613793601</v>
      </c>
      <c r="V508" t="s">
        <v>11633</v>
      </c>
      <c r="W508" t="s">
        <v>11312</v>
      </c>
      <c r="X508" t="s">
        <v>11312</v>
      </c>
      <c r="Y508" t="s">
        <v>11634</v>
      </c>
      <c r="Z508" t="s">
        <v>11313</v>
      </c>
      <c r="AA508" t="s">
        <v>2737</v>
      </c>
      <c r="AB508" t="s">
        <v>195</v>
      </c>
      <c r="AC508" s="3" t="str">
        <f>"33418"</f>
        <v>33418</v>
      </c>
      <c r="AD508" t="s">
        <v>128</v>
      </c>
      <c r="AE508" t="s">
        <v>11635</v>
      </c>
      <c r="AF508" s="4">
        <v>15613793601</v>
      </c>
      <c r="AH508" t="str">
        <f>"561720"</f>
        <v>561720</v>
      </c>
      <c r="AI508" t="s">
        <v>130</v>
      </c>
      <c r="AJ508" t="s">
        <v>11316</v>
      </c>
      <c r="AK508" t="s">
        <v>5506</v>
      </c>
      <c r="AL508" t="s">
        <v>1568</v>
      </c>
      <c r="AM508" t="s">
        <v>11307</v>
      </c>
      <c r="AN508" t="s">
        <v>11636</v>
      </c>
      <c r="AO508" t="s">
        <v>205</v>
      </c>
      <c r="AP508" t="s">
        <v>195</v>
      </c>
      <c r="AQ508" s="5">
        <v>33547</v>
      </c>
      <c r="AR508" t="s">
        <v>128</v>
      </c>
      <c r="AT508" s="4">
        <v>18135288934</v>
      </c>
      <c r="AV508" t="s">
        <v>11311</v>
      </c>
      <c r="AW508" t="s">
        <v>11307</v>
      </c>
      <c r="AX508" t="s">
        <v>131</v>
      </c>
      <c r="AY508" t="s">
        <v>131</v>
      </c>
      <c r="AZ508" t="s">
        <v>131</v>
      </c>
      <c r="BA508" t="s">
        <v>131</v>
      </c>
      <c r="BB508" t="s">
        <v>131</v>
      </c>
      <c r="BC508" t="s">
        <v>131</v>
      </c>
      <c r="BD508" t="s">
        <v>131</v>
      </c>
      <c r="BE508" t="s">
        <v>132</v>
      </c>
      <c r="BH508" t="s">
        <v>4277</v>
      </c>
      <c r="BI508" t="s">
        <v>131</v>
      </c>
      <c r="BL508" t="s">
        <v>167</v>
      </c>
      <c r="BO508" t="s">
        <v>131</v>
      </c>
      <c r="BP508" t="s">
        <v>134</v>
      </c>
      <c r="BQ508" t="s">
        <v>131</v>
      </c>
      <c r="BS508" t="str">
        <f t="shared" si="39"/>
        <v>N/A</v>
      </c>
      <c r="BT508" t="s">
        <v>135</v>
      </c>
      <c r="BU508">
        <v>3</v>
      </c>
      <c r="BV508" t="str">
        <f>"HOUSEKEEPING"</f>
        <v>HOUSEKEEPING</v>
      </c>
      <c r="BW508" t="s">
        <v>131</v>
      </c>
      <c r="BX508" t="str">
        <f>""</f>
        <v/>
      </c>
      <c r="BY508" t="str">
        <f>""</f>
        <v/>
      </c>
      <c r="BZ508" t="str">
        <f>""</f>
        <v/>
      </c>
      <c r="CA508" t="str">
        <f>""</f>
        <v/>
      </c>
      <c r="CB508" t="s">
        <v>131</v>
      </c>
      <c r="CF508" t="s">
        <v>131</v>
      </c>
      <c r="CH508" t="str">
        <f>""</f>
        <v/>
      </c>
      <c r="CI508" t="s">
        <v>131</v>
      </c>
      <c r="CK508" t="s">
        <v>131</v>
      </c>
      <c r="CL508" t="str">
        <f>""</f>
        <v/>
      </c>
      <c r="CM508" t="str">
        <f>""</f>
        <v/>
      </c>
      <c r="CN508" t="str">
        <f>""</f>
        <v/>
      </c>
      <c r="CO508" t="str">
        <f>""</f>
        <v/>
      </c>
      <c r="CP508" t="str">
        <f>"37-2012.00"</f>
        <v>37-2012.00</v>
      </c>
      <c r="CQ508" t="s">
        <v>479</v>
      </c>
      <c r="CR508" t="s">
        <v>4277</v>
      </c>
      <c r="CS508" t="s">
        <v>135</v>
      </c>
      <c r="CT508" t="s">
        <v>11318</v>
      </c>
      <c r="CU508" t="s">
        <v>11637</v>
      </c>
      <c r="CV508" t="s">
        <v>11638</v>
      </c>
      <c r="CW508" t="s">
        <v>7641</v>
      </c>
      <c r="CX508" t="s">
        <v>195</v>
      </c>
      <c r="CZ508" s="3" t="str">
        <f>"35019"</f>
        <v>35019</v>
      </c>
      <c r="DA508" t="s">
        <v>131</v>
      </c>
      <c r="DB508" t="str">
        <f>"37-2012"</f>
        <v>37-2012</v>
      </c>
      <c r="DC508" t="s">
        <v>479</v>
      </c>
      <c r="DD508" t="s">
        <v>134</v>
      </c>
      <c r="DE508" t="s">
        <v>134</v>
      </c>
      <c r="DF508" t="str">
        <f>""</f>
        <v/>
      </c>
      <c r="DH508" s="6">
        <v>11.7</v>
      </c>
      <c r="DI508" t="s">
        <v>344</v>
      </c>
      <c r="DK508" t="s">
        <v>345</v>
      </c>
      <c r="DR508" t="s">
        <v>2160</v>
      </c>
      <c r="DS508" s="6">
        <v>11.7</v>
      </c>
      <c r="DT508" s="2" t="s">
        <v>347</v>
      </c>
      <c r="DU508" s="1">
        <v>44361</v>
      </c>
      <c r="DV508" s="1">
        <v>44450</v>
      </c>
    </row>
    <row r="509" spans="1:126" ht="15" customHeight="1" x14ac:dyDescent="0.35">
      <c r="A509" t="s">
        <v>18169</v>
      </c>
      <c r="B509" t="s">
        <v>318</v>
      </c>
      <c r="C509" s="1">
        <v>44333</v>
      </c>
      <c r="D509" s="1">
        <v>44361</v>
      </c>
      <c r="H509" t="s">
        <v>319</v>
      </c>
      <c r="I509" t="s">
        <v>17838</v>
      </c>
      <c r="J509" t="s">
        <v>17839</v>
      </c>
      <c r="L509" t="s">
        <v>13356</v>
      </c>
      <c r="M509" t="s">
        <v>17840</v>
      </c>
      <c r="O509" t="s">
        <v>4408</v>
      </c>
      <c r="P509" t="s">
        <v>194</v>
      </c>
      <c r="Q509" s="3">
        <v>34120</v>
      </c>
      <c r="R509" t="s">
        <v>128</v>
      </c>
      <c r="T509" s="4">
        <v>12393482662</v>
      </c>
      <c r="V509" t="s">
        <v>17841</v>
      </c>
      <c r="W509" t="s">
        <v>17842</v>
      </c>
      <c r="X509" t="s">
        <v>17843</v>
      </c>
      <c r="Y509" t="s">
        <v>17840</v>
      </c>
      <c r="AA509" t="s">
        <v>4408</v>
      </c>
      <c r="AB509" t="s">
        <v>195</v>
      </c>
      <c r="AC509" s="3" t="str">
        <f>"34120"</f>
        <v>34120</v>
      </c>
      <c r="AD509" t="s">
        <v>128</v>
      </c>
      <c r="AF509" s="4">
        <v>12393482662</v>
      </c>
      <c r="AH509" t="str">
        <f>"713910"</f>
        <v>713910</v>
      </c>
      <c r="AI509" t="s">
        <v>130</v>
      </c>
      <c r="AJ509" t="s">
        <v>1386</v>
      </c>
      <c r="AK509" t="s">
        <v>1387</v>
      </c>
      <c r="AL509" t="s">
        <v>1036</v>
      </c>
      <c r="AM509" t="s">
        <v>1388</v>
      </c>
      <c r="AN509" t="s">
        <v>997</v>
      </c>
      <c r="AO509" t="s">
        <v>719</v>
      </c>
      <c r="AP509" t="s">
        <v>377</v>
      </c>
      <c r="AQ509" s="5">
        <v>1701</v>
      </c>
      <c r="AR509" t="s">
        <v>128</v>
      </c>
      <c r="AS509" t="s">
        <v>134</v>
      </c>
      <c r="AT509" s="4">
        <v>16179399444</v>
      </c>
      <c r="AV509" t="s">
        <v>1389</v>
      </c>
      <c r="AW509" t="s">
        <v>1390</v>
      </c>
      <c r="AX509" t="s">
        <v>131</v>
      </c>
      <c r="AY509" t="s">
        <v>131</v>
      </c>
      <c r="AZ509" t="s">
        <v>131</v>
      </c>
      <c r="BA509" t="s">
        <v>131</v>
      </c>
      <c r="BB509" t="s">
        <v>131</v>
      </c>
      <c r="BC509" t="s">
        <v>131</v>
      </c>
      <c r="BD509" t="s">
        <v>131</v>
      </c>
      <c r="BE509" t="s">
        <v>132</v>
      </c>
      <c r="BH509" t="s">
        <v>1213</v>
      </c>
      <c r="BI509" t="s">
        <v>131</v>
      </c>
      <c r="BL509" t="s">
        <v>167</v>
      </c>
      <c r="BO509" t="s">
        <v>131</v>
      </c>
      <c r="BP509" t="s">
        <v>134</v>
      </c>
      <c r="BQ509" t="s">
        <v>131</v>
      </c>
      <c r="BS509" t="str">
        <f t="shared" si="39"/>
        <v>N/A</v>
      </c>
      <c r="BT509" t="s">
        <v>135</v>
      </c>
      <c r="BU509">
        <v>3</v>
      </c>
      <c r="BV509" t="str">
        <f>"Server"</f>
        <v>Server</v>
      </c>
      <c r="BW509" t="s">
        <v>135</v>
      </c>
      <c r="BX509" t="str">
        <f>""</f>
        <v/>
      </c>
      <c r="BY509" t="str">
        <f>""</f>
        <v/>
      </c>
      <c r="BZ509" t="str">
        <f>""</f>
        <v/>
      </c>
      <c r="CA509" s="2" t="s">
        <v>15988</v>
      </c>
      <c r="CB509" t="s">
        <v>131</v>
      </c>
      <c r="CF509" t="s">
        <v>131</v>
      </c>
      <c r="CH509" t="str">
        <f>""</f>
        <v/>
      </c>
      <c r="CI509" t="s">
        <v>131</v>
      </c>
      <c r="CK509" t="s">
        <v>131</v>
      </c>
      <c r="CL509" t="str">
        <f>""</f>
        <v/>
      </c>
      <c r="CM509" t="str">
        <f>""</f>
        <v/>
      </c>
      <c r="CN509" t="str">
        <f>""</f>
        <v/>
      </c>
      <c r="CO509" t="str">
        <f>""</f>
        <v/>
      </c>
      <c r="CP509" t="str">
        <f>"35-3031.00"</f>
        <v>35-3031.00</v>
      </c>
      <c r="CQ509" t="s">
        <v>1214</v>
      </c>
      <c r="CR509" t="s">
        <v>12426</v>
      </c>
      <c r="CS509" t="s">
        <v>131</v>
      </c>
      <c r="CU509" t="s">
        <v>17840</v>
      </c>
      <c r="CW509" t="s">
        <v>4408</v>
      </c>
      <c r="CX509" t="s">
        <v>195</v>
      </c>
      <c r="CZ509" s="3" t="str">
        <f>"34120"</f>
        <v>34120</v>
      </c>
      <c r="DA509" t="s">
        <v>131</v>
      </c>
      <c r="DB509" t="str">
        <f>"35-3031"</f>
        <v>35-3031</v>
      </c>
      <c r="DC509" t="s">
        <v>1214</v>
      </c>
      <c r="DD509" t="s">
        <v>134</v>
      </c>
      <c r="DE509" t="s">
        <v>134</v>
      </c>
      <c r="DF509" t="str">
        <f>""</f>
        <v/>
      </c>
      <c r="DH509" s="6">
        <v>15.48</v>
      </c>
      <c r="DI509" t="s">
        <v>344</v>
      </c>
      <c r="DK509" t="s">
        <v>345</v>
      </c>
      <c r="DS509" s="6">
        <v>15.48</v>
      </c>
      <c r="DT509" t="s">
        <v>424</v>
      </c>
      <c r="DU509" s="1">
        <v>44361</v>
      </c>
      <c r="DV509" s="1">
        <v>44450</v>
      </c>
    </row>
    <row r="510" spans="1:126" ht="15" customHeight="1" x14ac:dyDescent="0.35">
      <c r="A510" t="s">
        <v>7216</v>
      </c>
      <c r="B510" t="s">
        <v>318</v>
      </c>
      <c r="C510" s="1">
        <v>44333</v>
      </c>
      <c r="D510" s="1">
        <v>44361</v>
      </c>
      <c r="H510" t="s">
        <v>319</v>
      </c>
      <c r="I510" t="s">
        <v>7217</v>
      </c>
      <c r="J510" t="s">
        <v>7218</v>
      </c>
      <c r="L510" t="s">
        <v>628</v>
      </c>
      <c r="M510" t="s">
        <v>7219</v>
      </c>
      <c r="O510" t="s">
        <v>4582</v>
      </c>
      <c r="P510" t="s">
        <v>194</v>
      </c>
      <c r="Q510" s="3">
        <v>33449</v>
      </c>
      <c r="R510" t="s">
        <v>128</v>
      </c>
      <c r="T510" s="4">
        <v>15619643840</v>
      </c>
      <c r="U510">
        <v>0</v>
      </c>
      <c r="V510" t="s">
        <v>7220</v>
      </c>
      <c r="W510" t="s">
        <v>7221</v>
      </c>
      <c r="X510" t="s">
        <v>134</v>
      </c>
      <c r="Y510" t="s">
        <v>7222</v>
      </c>
      <c r="AA510" t="s">
        <v>7223</v>
      </c>
      <c r="AB510" t="s">
        <v>195</v>
      </c>
      <c r="AC510" s="3" t="str">
        <f>"33449"</f>
        <v>33449</v>
      </c>
      <c r="AD510" t="s">
        <v>128</v>
      </c>
      <c r="AF510" s="4">
        <v>15619643840</v>
      </c>
      <c r="AG510">
        <v>0</v>
      </c>
      <c r="AH510" t="str">
        <f>"71391"</f>
        <v>71391</v>
      </c>
      <c r="AI510" t="s">
        <v>130</v>
      </c>
      <c r="AJ510" t="s">
        <v>1080</v>
      </c>
      <c r="AK510" t="s">
        <v>1278</v>
      </c>
      <c r="AL510" t="s">
        <v>2210</v>
      </c>
      <c r="AM510" t="s">
        <v>4475</v>
      </c>
      <c r="AN510" t="s">
        <v>1507</v>
      </c>
      <c r="AO510" t="s">
        <v>642</v>
      </c>
      <c r="AP510" t="s">
        <v>643</v>
      </c>
      <c r="AQ510" s="5">
        <v>30309</v>
      </c>
      <c r="AR510" t="s">
        <v>128</v>
      </c>
      <c r="AT510" s="4">
        <v>14042404151</v>
      </c>
      <c r="AV510" t="s">
        <v>4476</v>
      </c>
      <c r="AW510" t="s">
        <v>559</v>
      </c>
      <c r="AX510" t="s">
        <v>131</v>
      </c>
      <c r="AY510" t="s">
        <v>131</v>
      </c>
      <c r="AZ510" t="s">
        <v>131</v>
      </c>
      <c r="BA510" t="s">
        <v>131</v>
      </c>
      <c r="BB510" t="s">
        <v>131</v>
      </c>
      <c r="BC510" t="s">
        <v>131</v>
      </c>
      <c r="BD510" t="s">
        <v>131</v>
      </c>
      <c r="BE510" t="s">
        <v>132</v>
      </c>
      <c r="BH510" t="s">
        <v>7224</v>
      </c>
      <c r="BI510" t="s">
        <v>131</v>
      </c>
      <c r="BL510" t="s">
        <v>167</v>
      </c>
      <c r="BO510" t="s">
        <v>131</v>
      </c>
      <c r="BP510" t="s">
        <v>134</v>
      </c>
      <c r="BQ510" t="s">
        <v>131</v>
      </c>
      <c r="BS510" t="str">
        <f t="shared" si="39"/>
        <v>N/A</v>
      </c>
      <c r="BT510" t="s">
        <v>131</v>
      </c>
      <c r="BV510" t="str">
        <f>""</f>
        <v/>
      </c>
      <c r="BW510" t="s">
        <v>135</v>
      </c>
      <c r="BX510" t="str">
        <f>""</f>
        <v/>
      </c>
      <c r="BY510" t="str">
        <f>""</f>
        <v/>
      </c>
      <c r="BZ510" t="str">
        <f>""</f>
        <v/>
      </c>
      <c r="CA510" t="str">
        <f>"Training not required but is offered if necessary"</f>
        <v>Training not required but is offered if necessary</v>
      </c>
      <c r="CB510" t="s">
        <v>131</v>
      </c>
      <c r="CF510" t="s">
        <v>131</v>
      </c>
      <c r="CH510" t="str">
        <f>""</f>
        <v/>
      </c>
      <c r="CI510" t="s">
        <v>131</v>
      </c>
      <c r="CK510" t="s">
        <v>131</v>
      </c>
      <c r="CL510" t="str">
        <f>""</f>
        <v/>
      </c>
      <c r="CM510" t="str">
        <f>""</f>
        <v/>
      </c>
      <c r="CN510" t="str">
        <f>""</f>
        <v/>
      </c>
      <c r="CO510" t="str">
        <f>""</f>
        <v/>
      </c>
      <c r="CP510" t="str">
        <f>"35-3031.00"</f>
        <v>35-3031.00</v>
      </c>
      <c r="CQ510" t="s">
        <v>1214</v>
      </c>
      <c r="CS510" t="s">
        <v>131</v>
      </c>
      <c r="CU510" t="s">
        <v>7225</v>
      </c>
      <c r="CW510" t="s">
        <v>4582</v>
      </c>
      <c r="CX510" t="s">
        <v>195</v>
      </c>
      <c r="CZ510" s="3" t="str">
        <f>"33449"</f>
        <v>33449</v>
      </c>
      <c r="DA510" t="s">
        <v>131</v>
      </c>
      <c r="DB510" t="str">
        <f>"35-3031"</f>
        <v>35-3031</v>
      </c>
      <c r="DC510" t="s">
        <v>1214</v>
      </c>
      <c r="DD510" t="s">
        <v>134</v>
      </c>
      <c r="DE510" t="s">
        <v>134</v>
      </c>
      <c r="DF510" t="str">
        <f>""</f>
        <v/>
      </c>
      <c r="DH510" s="6">
        <v>12.55</v>
      </c>
      <c r="DI510" t="s">
        <v>344</v>
      </c>
      <c r="DK510" t="s">
        <v>345</v>
      </c>
      <c r="DR510" t="s">
        <v>2160</v>
      </c>
      <c r="DS510" s="6">
        <v>12.55</v>
      </c>
      <c r="DT510" t="s">
        <v>424</v>
      </c>
      <c r="DU510" s="1">
        <v>44361</v>
      </c>
      <c r="DV510" s="1">
        <v>44450</v>
      </c>
    </row>
    <row r="511" spans="1:126" ht="15" customHeight="1" x14ac:dyDescent="0.35">
      <c r="A511" t="s">
        <v>19307</v>
      </c>
      <c r="B511" t="s">
        <v>318</v>
      </c>
      <c r="C511" s="1">
        <v>44333</v>
      </c>
      <c r="D511" s="1">
        <v>44364</v>
      </c>
      <c r="H511" t="s">
        <v>319</v>
      </c>
      <c r="I511" t="s">
        <v>7217</v>
      </c>
      <c r="J511" t="s">
        <v>7218</v>
      </c>
      <c r="L511" t="s">
        <v>628</v>
      </c>
      <c r="M511" t="s">
        <v>7219</v>
      </c>
      <c r="O511" t="s">
        <v>4582</v>
      </c>
      <c r="P511" t="s">
        <v>194</v>
      </c>
      <c r="Q511" s="3">
        <v>33449</v>
      </c>
      <c r="R511" t="s">
        <v>128</v>
      </c>
      <c r="T511" s="4">
        <v>15619643840</v>
      </c>
      <c r="U511">
        <v>0</v>
      </c>
      <c r="V511" t="s">
        <v>7220</v>
      </c>
      <c r="W511" t="s">
        <v>7221</v>
      </c>
      <c r="X511" t="s">
        <v>134</v>
      </c>
      <c r="Y511" t="s">
        <v>7222</v>
      </c>
      <c r="AA511" t="s">
        <v>7223</v>
      </c>
      <c r="AB511" t="s">
        <v>195</v>
      </c>
      <c r="AC511" s="3" t="str">
        <f>"33449"</f>
        <v>33449</v>
      </c>
      <c r="AD511" t="s">
        <v>128</v>
      </c>
      <c r="AF511" s="4">
        <v>15619643840</v>
      </c>
      <c r="AG511">
        <v>0</v>
      </c>
      <c r="AH511" t="str">
        <f>"71391"</f>
        <v>71391</v>
      </c>
      <c r="AI511" t="s">
        <v>130</v>
      </c>
      <c r="AJ511" t="s">
        <v>1080</v>
      </c>
      <c r="AK511" t="s">
        <v>1278</v>
      </c>
      <c r="AL511" t="s">
        <v>2210</v>
      </c>
      <c r="AM511" t="s">
        <v>4475</v>
      </c>
      <c r="AN511" t="s">
        <v>1507</v>
      </c>
      <c r="AO511" t="s">
        <v>642</v>
      </c>
      <c r="AP511" t="s">
        <v>643</v>
      </c>
      <c r="AQ511" s="5">
        <v>30309</v>
      </c>
      <c r="AR511" t="s">
        <v>128</v>
      </c>
      <c r="AT511" s="4">
        <v>14042404151</v>
      </c>
      <c r="AV511" t="s">
        <v>4476</v>
      </c>
      <c r="AW511" t="s">
        <v>559</v>
      </c>
      <c r="AX511" t="s">
        <v>131</v>
      </c>
      <c r="AY511" t="s">
        <v>131</v>
      </c>
      <c r="AZ511" t="s">
        <v>131</v>
      </c>
      <c r="BA511" t="s">
        <v>131</v>
      </c>
      <c r="BB511" t="s">
        <v>131</v>
      </c>
      <c r="BC511" t="s">
        <v>131</v>
      </c>
      <c r="BD511" t="s">
        <v>131</v>
      </c>
      <c r="BE511" t="s">
        <v>132</v>
      </c>
      <c r="BH511" t="s">
        <v>5764</v>
      </c>
      <c r="BI511" t="s">
        <v>131</v>
      </c>
      <c r="BL511" t="s">
        <v>167</v>
      </c>
      <c r="BO511" t="s">
        <v>131</v>
      </c>
      <c r="BP511" t="s">
        <v>134</v>
      </c>
      <c r="BQ511" t="s">
        <v>131</v>
      </c>
      <c r="BS511" t="str">
        <f t="shared" si="39"/>
        <v>N/A</v>
      </c>
      <c r="BT511" t="s">
        <v>131</v>
      </c>
      <c r="BV511" t="str">
        <f>""</f>
        <v/>
      </c>
      <c r="BW511" t="s">
        <v>135</v>
      </c>
      <c r="BX511" t="str">
        <f>""</f>
        <v/>
      </c>
      <c r="BY511" t="str">
        <f>""</f>
        <v/>
      </c>
      <c r="BZ511" t="str">
        <f>""</f>
        <v/>
      </c>
      <c r="CA511" t="str">
        <f>"Training not required but is offered if necessary"</f>
        <v>Training not required but is offered if necessary</v>
      </c>
      <c r="CB511" t="s">
        <v>131</v>
      </c>
      <c r="CF511" t="s">
        <v>131</v>
      </c>
      <c r="CH511" t="str">
        <f>""</f>
        <v/>
      </c>
      <c r="CI511" t="s">
        <v>131</v>
      </c>
      <c r="CK511" t="s">
        <v>131</v>
      </c>
      <c r="CL511" t="str">
        <f>""</f>
        <v/>
      </c>
      <c r="CM511" t="str">
        <f>""</f>
        <v/>
      </c>
      <c r="CN511" t="str">
        <f>""</f>
        <v/>
      </c>
      <c r="CO511" t="str">
        <f>""</f>
        <v/>
      </c>
      <c r="CP511" t="str">
        <f>"35-2015.00"</f>
        <v>35-2015.00</v>
      </c>
      <c r="CQ511" t="s">
        <v>3425</v>
      </c>
      <c r="CS511" t="s">
        <v>131</v>
      </c>
      <c r="CU511" t="s">
        <v>12521</v>
      </c>
      <c r="CW511" t="s">
        <v>4582</v>
      </c>
      <c r="CX511" t="s">
        <v>195</v>
      </c>
      <c r="CZ511" s="3" t="str">
        <f>"33449"</f>
        <v>33449</v>
      </c>
      <c r="DA511" t="s">
        <v>131</v>
      </c>
      <c r="DB511" t="str">
        <f>"35-2015"</f>
        <v>35-2015</v>
      </c>
      <c r="DC511" t="s">
        <v>3425</v>
      </c>
      <c r="DD511" t="s">
        <v>134</v>
      </c>
      <c r="DE511" t="s">
        <v>134</v>
      </c>
      <c r="DF511" t="str">
        <f>""</f>
        <v/>
      </c>
      <c r="DH511" s="6">
        <v>16.95</v>
      </c>
      <c r="DI511" t="s">
        <v>344</v>
      </c>
      <c r="DK511" t="s">
        <v>345</v>
      </c>
      <c r="DR511" t="s">
        <v>2160</v>
      </c>
      <c r="DS511" s="6">
        <v>16.95</v>
      </c>
      <c r="DT511" t="s">
        <v>424</v>
      </c>
      <c r="DU511" s="1">
        <v>44364</v>
      </c>
      <c r="DV511" s="1">
        <v>44453</v>
      </c>
    </row>
    <row r="512" spans="1:126" ht="15" customHeight="1" x14ac:dyDescent="0.35">
      <c r="A512" t="s">
        <v>19536</v>
      </c>
      <c r="B512" t="s">
        <v>318</v>
      </c>
      <c r="C512" s="1">
        <v>44333</v>
      </c>
      <c r="D512" s="1">
        <v>44361</v>
      </c>
      <c r="H512" t="s">
        <v>319</v>
      </c>
      <c r="I512" t="s">
        <v>6388</v>
      </c>
      <c r="J512" t="s">
        <v>6389</v>
      </c>
      <c r="K512" t="s">
        <v>134</v>
      </c>
      <c r="L512" t="s">
        <v>1105</v>
      </c>
      <c r="M512" t="s">
        <v>19537</v>
      </c>
      <c r="O512" t="s">
        <v>6188</v>
      </c>
      <c r="P512" t="s">
        <v>256</v>
      </c>
      <c r="Q512" s="3">
        <v>63026</v>
      </c>
      <c r="R512" t="s">
        <v>128</v>
      </c>
      <c r="T512" s="4">
        <v>13145184937</v>
      </c>
      <c r="V512" t="s">
        <v>6391</v>
      </c>
      <c r="W512" t="s">
        <v>6392</v>
      </c>
      <c r="Y512" t="s">
        <v>19537</v>
      </c>
      <c r="AA512" t="s">
        <v>6188</v>
      </c>
      <c r="AB512" t="s">
        <v>258</v>
      </c>
      <c r="AC512" s="3" t="str">
        <f>"63026"</f>
        <v>63026</v>
      </c>
      <c r="AD512" t="s">
        <v>128</v>
      </c>
      <c r="AF512" s="4">
        <v>13145184937</v>
      </c>
      <c r="AH512" t="str">
        <f>"56173"</f>
        <v>56173</v>
      </c>
      <c r="AI512" t="s">
        <v>287</v>
      </c>
      <c r="AJ512" t="s">
        <v>5363</v>
      </c>
      <c r="AK512" t="s">
        <v>5364</v>
      </c>
      <c r="AL512" t="s">
        <v>134</v>
      </c>
      <c r="AM512" t="s">
        <v>5365</v>
      </c>
      <c r="AN512" t="s">
        <v>2377</v>
      </c>
      <c r="AO512" t="s">
        <v>4815</v>
      </c>
      <c r="AP512" t="s">
        <v>1243</v>
      </c>
      <c r="AQ512" s="5">
        <v>83814</v>
      </c>
      <c r="AR512" t="s">
        <v>128</v>
      </c>
      <c r="AT512" s="4">
        <v>12087772654</v>
      </c>
      <c r="AV512" t="s">
        <v>5366</v>
      </c>
      <c r="AW512" t="s">
        <v>4715</v>
      </c>
      <c r="AX512" t="s">
        <v>131</v>
      </c>
      <c r="AY512" t="s">
        <v>131</v>
      </c>
      <c r="AZ512" t="s">
        <v>131</v>
      </c>
      <c r="BA512" t="s">
        <v>131</v>
      </c>
      <c r="BB512" t="s">
        <v>131</v>
      </c>
      <c r="BC512" t="s">
        <v>131</v>
      </c>
      <c r="BD512" t="s">
        <v>131</v>
      </c>
      <c r="BE512" t="s">
        <v>132</v>
      </c>
      <c r="BH512" t="s">
        <v>2215</v>
      </c>
      <c r="BI512" t="s">
        <v>131</v>
      </c>
      <c r="BL512" t="s">
        <v>167</v>
      </c>
      <c r="BO512" t="s">
        <v>131</v>
      </c>
      <c r="BP512" t="s">
        <v>134</v>
      </c>
      <c r="BQ512" t="s">
        <v>131</v>
      </c>
      <c r="BS512" t="str">
        <f t="shared" si="39"/>
        <v>N/A</v>
      </c>
      <c r="BT512" t="s">
        <v>131</v>
      </c>
      <c r="BV512" t="str">
        <f>""</f>
        <v/>
      </c>
      <c r="BW512" t="s">
        <v>135</v>
      </c>
      <c r="BX512" t="str">
        <f>""</f>
        <v/>
      </c>
      <c r="BY512" t="str">
        <f>""</f>
        <v/>
      </c>
      <c r="BZ512" t="str">
        <f>""</f>
        <v/>
      </c>
      <c r="CA512" t="s">
        <v>6393</v>
      </c>
      <c r="CB512" t="s">
        <v>131</v>
      </c>
      <c r="CF512" t="s">
        <v>131</v>
      </c>
      <c r="CH512" t="str">
        <f>""</f>
        <v/>
      </c>
      <c r="CI512" t="s">
        <v>131</v>
      </c>
      <c r="CK512" t="s">
        <v>131</v>
      </c>
      <c r="CL512" t="str">
        <f>""</f>
        <v/>
      </c>
      <c r="CM512" t="str">
        <f>""</f>
        <v/>
      </c>
      <c r="CN512" t="str">
        <f>""</f>
        <v/>
      </c>
      <c r="CO512" t="str">
        <f>""</f>
        <v/>
      </c>
      <c r="CP512" t="str">
        <f>"37-3011.00"</f>
        <v>37-3011.00</v>
      </c>
      <c r="CQ512" t="s">
        <v>920</v>
      </c>
      <c r="CS512" t="s">
        <v>135</v>
      </c>
      <c r="CT512" t="s">
        <v>19538</v>
      </c>
      <c r="CU512" t="s">
        <v>19539</v>
      </c>
      <c r="CW512" t="s">
        <v>6188</v>
      </c>
      <c r="CX512" t="s">
        <v>258</v>
      </c>
      <c r="CZ512" s="3" t="str">
        <f>"63026"</f>
        <v>63026</v>
      </c>
      <c r="DA512" t="s">
        <v>135</v>
      </c>
      <c r="DB512" t="str">
        <f>"37-3011"</f>
        <v>37-3011</v>
      </c>
      <c r="DC512" t="s">
        <v>920</v>
      </c>
      <c r="DD512" t="s">
        <v>134</v>
      </c>
      <c r="DE512" t="s">
        <v>134</v>
      </c>
      <c r="DF512" t="str">
        <f>""</f>
        <v/>
      </c>
      <c r="DH512" s="6">
        <v>15.37</v>
      </c>
      <c r="DI512" t="s">
        <v>344</v>
      </c>
      <c r="DK512" t="s">
        <v>345</v>
      </c>
      <c r="DS512" s="6">
        <v>15.37</v>
      </c>
      <c r="DT512" s="2" t="s">
        <v>347</v>
      </c>
      <c r="DU512" s="1">
        <v>44361</v>
      </c>
      <c r="DV512" s="1">
        <v>44450</v>
      </c>
    </row>
    <row r="513" spans="1:126" ht="15" customHeight="1" x14ac:dyDescent="0.35">
      <c r="A513" t="s">
        <v>18914</v>
      </c>
      <c r="B513" t="s">
        <v>318</v>
      </c>
      <c r="C513" s="1">
        <v>44333</v>
      </c>
      <c r="D513" s="1">
        <v>44361</v>
      </c>
      <c r="H513" t="s">
        <v>319</v>
      </c>
      <c r="I513" t="s">
        <v>18915</v>
      </c>
      <c r="J513" t="s">
        <v>4044</v>
      </c>
      <c r="L513" t="s">
        <v>1105</v>
      </c>
      <c r="M513" t="s">
        <v>18916</v>
      </c>
      <c r="O513" t="s">
        <v>1636</v>
      </c>
      <c r="P513" t="s">
        <v>1004</v>
      </c>
      <c r="Q513" s="3">
        <v>84060</v>
      </c>
      <c r="R513" t="s">
        <v>128</v>
      </c>
      <c r="T513" s="4">
        <v>19175680253</v>
      </c>
      <c r="V513" t="s">
        <v>18917</v>
      </c>
      <c r="W513" t="s">
        <v>18918</v>
      </c>
      <c r="Y513" t="s">
        <v>18919</v>
      </c>
      <c r="AA513" t="s">
        <v>1636</v>
      </c>
      <c r="AB513" t="s">
        <v>1008</v>
      </c>
      <c r="AC513" s="3" t="str">
        <f>"84060"</f>
        <v>84060</v>
      </c>
      <c r="AD513" t="s">
        <v>128</v>
      </c>
      <c r="AF513" s="4">
        <v>19175680253</v>
      </c>
      <c r="AH513" t="str">
        <f>"711219"</f>
        <v>711219</v>
      </c>
      <c r="AI513" t="s">
        <v>130</v>
      </c>
      <c r="AJ513" t="s">
        <v>4479</v>
      </c>
      <c r="AK513" t="s">
        <v>563</v>
      </c>
      <c r="AL513" t="s">
        <v>2245</v>
      </c>
      <c r="AM513" t="s">
        <v>5030</v>
      </c>
      <c r="AN513" t="s">
        <v>1253</v>
      </c>
      <c r="AO513" t="s">
        <v>1012</v>
      </c>
      <c r="AP513" t="s">
        <v>1008</v>
      </c>
      <c r="AQ513" s="5">
        <v>84117</v>
      </c>
      <c r="AR513" t="s">
        <v>128</v>
      </c>
      <c r="AT513" s="4">
        <v>18012632314</v>
      </c>
      <c r="AV513" t="s">
        <v>4480</v>
      </c>
      <c r="AW513" t="s">
        <v>4481</v>
      </c>
      <c r="AX513" t="s">
        <v>131</v>
      </c>
      <c r="AY513" t="s">
        <v>131</v>
      </c>
      <c r="AZ513" t="s">
        <v>131</v>
      </c>
      <c r="BA513" t="s">
        <v>131</v>
      </c>
      <c r="BB513" t="s">
        <v>131</v>
      </c>
      <c r="BC513" t="s">
        <v>131</v>
      </c>
      <c r="BD513" t="s">
        <v>131</v>
      </c>
      <c r="BE513" t="s">
        <v>132</v>
      </c>
      <c r="BH513" t="s">
        <v>18920</v>
      </c>
      <c r="BI513" t="s">
        <v>131</v>
      </c>
      <c r="BL513" t="s">
        <v>167</v>
      </c>
      <c r="BO513" t="s">
        <v>131</v>
      </c>
      <c r="BP513" t="s">
        <v>134</v>
      </c>
      <c r="BQ513" t="s">
        <v>131</v>
      </c>
      <c r="BS513" t="str">
        <f t="shared" si="39"/>
        <v>N/A</v>
      </c>
      <c r="BT513" t="s">
        <v>135</v>
      </c>
      <c r="BU513">
        <v>36</v>
      </c>
      <c r="BV513" t="str">
        <f>"Ski Coach"</f>
        <v>Ski Coach</v>
      </c>
      <c r="BW513" t="s">
        <v>131</v>
      </c>
      <c r="BX513" t="str">
        <f>""</f>
        <v/>
      </c>
      <c r="BY513" t="str">
        <f>""</f>
        <v/>
      </c>
      <c r="BZ513" t="str">
        <f>""</f>
        <v/>
      </c>
      <c r="CA513" t="str">
        <f>""</f>
        <v/>
      </c>
      <c r="CB513" t="s">
        <v>131</v>
      </c>
      <c r="CF513" t="s">
        <v>131</v>
      </c>
      <c r="CH513" t="str">
        <f>""</f>
        <v/>
      </c>
      <c r="CI513" t="s">
        <v>131</v>
      </c>
      <c r="CK513" t="s">
        <v>131</v>
      </c>
      <c r="CL513" t="str">
        <f>""</f>
        <v/>
      </c>
      <c r="CM513" t="str">
        <f>""</f>
        <v/>
      </c>
      <c r="CN513" t="str">
        <f>""</f>
        <v/>
      </c>
      <c r="CO513" t="str">
        <f>""</f>
        <v/>
      </c>
      <c r="CP513" t="str">
        <f>"27-2022.00"</f>
        <v>27-2022.00</v>
      </c>
      <c r="CQ513" t="s">
        <v>4698</v>
      </c>
      <c r="CR513" t="s">
        <v>1105</v>
      </c>
      <c r="CS513" t="s">
        <v>131</v>
      </c>
      <c r="CU513" t="s">
        <v>18921</v>
      </c>
      <c r="CW513" t="s">
        <v>1636</v>
      </c>
      <c r="CX513" t="s">
        <v>1008</v>
      </c>
      <c r="CZ513" s="3" t="str">
        <f>"84060"</f>
        <v>84060</v>
      </c>
      <c r="DA513" t="s">
        <v>131</v>
      </c>
      <c r="DB513" t="str">
        <f>"27-2022"</f>
        <v>27-2022</v>
      </c>
      <c r="DC513" t="s">
        <v>4698</v>
      </c>
      <c r="DD513" t="s">
        <v>134</v>
      </c>
      <c r="DE513" t="s">
        <v>134</v>
      </c>
      <c r="DF513" t="str">
        <f>""</f>
        <v/>
      </c>
      <c r="DH513" s="6">
        <v>36.909999999999997</v>
      </c>
      <c r="DI513" t="s">
        <v>344</v>
      </c>
      <c r="DK513" t="s">
        <v>345</v>
      </c>
      <c r="DS513" s="6">
        <v>36.909999999999997</v>
      </c>
      <c r="DT513" t="s">
        <v>424</v>
      </c>
      <c r="DU513" s="1">
        <v>44361</v>
      </c>
      <c r="DV513" s="1">
        <v>44450</v>
      </c>
    </row>
    <row r="514" spans="1:126" ht="15" customHeight="1" x14ac:dyDescent="0.35">
      <c r="A514" t="s">
        <v>10705</v>
      </c>
      <c r="B514" t="s">
        <v>318</v>
      </c>
      <c r="C514" s="1">
        <v>44333</v>
      </c>
      <c r="D514" s="1">
        <v>44361</v>
      </c>
      <c r="H514" t="s">
        <v>319</v>
      </c>
      <c r="I514" t="s">
        <v>10706</v>
      </c>
      <c r="J514" t="s">
        <v>9905</v>
      </c>
      <c r="K514" t="s">
        <v>134</v>
      </c>
      <c r="L514" t="s">
        <v>1105</v>
      </c>
      <c r="M514" t="s">
        <v>10707</v>
      </c>
      <c r="O514" t="s">
        <v>10708</v>
      </c>
      <c r="P514" t="s">
        <v>3075</v>
      </c>
      <c r="Q514" s="3">
        <v>83445</v>
      </c>
      <c r="R514" t="s">
        <v>128</v>
      </c>
      <c r="T514" s="4">
        <v>12086243049</v>
      </c>
      <c r="V514" t="s">
        <v>10709</v>
      </c>
      <c r="W514" t="s">
        <v>10710</v>
      </c>
      <c r="Y514" t="s">
        <v>10707</v>
      </c>
      <c r="AA514" t="s">
        <v>10708</v>
      </c>
      <c r="AB514" t="s">
        <v>1243</v>
      </c>
      <c r="AC514" s="3" t="str">
        <f>"83445"</f>
        <v>83445</v>
      </c>
      <c r="AD514" t="s">
        <v>128</v>
      </c>
      <c r="AF514" s="4">
        <v>12086243049</v>
      </c>
      <c r="AH514" t="str">
        <f>"44521"</f>
        <v>44521</v>
      </c>
      <c r="AI514" t="s">
        <v>287</v>
      </c>
      <c r="AJ514" t="s">
        <v>5363</v>
      </c>
      <c r="AK514" t="s">
        <v>5364</v>
      </c>
      <c r="AL514" t="s">
        <v>134</v>
      </c>
      <c r="AM514" t="s">
        <v>5365</v>
      </c>
      <c r="AN514" t="s">
        <v>2377</v>
      </c>
      <c r="AO514" t="s">
        <v>4815</v>
      </c>
      <c r="AP514" t="s">
        <v>1243</v>
      </c>
      <c r="AQ514" s="5">
        <v>83814</v>
      </c>
      <c r="AR514" t="s">
        <v>128</v>
      </c>
      <c r="AT514" s="4">
        <v>12087772654</v>
      </c>
      <c r="AV514" t="s">
        <v>5366</v>
      </c>
      <c r="AW514" t="s">
        <v>4715</v>
      </c>
      <c r="AX514" t="s">
        <v>131</v>
      </c>
      <c r="AY514" t="s">
        <v>131</v>
      </c>
      <c r="AZ514" t="s">
        <v>131</v>
      </c>
      <c r="BA514" t="s">
        <v>131</v>
      </c>
      <c r="BB514" t="s">
        <v>131</v>
      </c>
      <c r="BC514" t="s">
        <v>131</v>
      </c>
      <c r="BD514" t="s">
        <v>131</v>
      </c>
      <c r="BE514" t="s">
        <v>132</v>
      </c>
      <c r="BH514" t="s">
        <v>10711</v>
      </c>
      <c r="BI514" t="s">
        <v>131</v>
      </c>
      <c r="BL514" t="s">
        <v>167</v>
      </c>
      <c r="BO514" t="s">
        <v>131</v>
      </c>
      <c r="BP514" t="s">
        <v>134</v>
      </c>
      <c r="BQ514" t="s">
        <v>131</v>
      </c>
      <c r="BS514" t="str">
        <f t="shared" ref="BS514:BS554" si="40">"N/A"</f>
        <v>N/A</v>
      </c>
      <c r="BT514" t="s">
        <v>135</v>
      </c>
      <c r="BU514">
        <v>3</v>
      </c>
      <c r="BV514" t="str">
        <f>"Meat Processing"</f>
        <v>Meat Processing</v>
      </c>
      <c r="BW514" t="s">
        <v>135</v>
      </c>
      <c r="BX514" t="str">
        <f>""</f>
        <v/>
      </c>
      <c r="BY514" t="str">
        <f>""</f>
        <v/>
      </c>
      <c r="BZ514" t="str">
        <f>""</f>
        <v/>
      </c>
      <c r="CA514" t="s">
        <v>10712</v>
      </c>
      <c r="CB514" t="s">
        <v>131</v>
      </c>
      <c r="CF514" t="s">
        <v>131</v>
      </c>
      <c r="CH514" t="str">
        <f>""</f>
        <v/>
      </c>
      <c r="CI514" t="s">
        <v>131</v>
      </c>
      <c r="CK514" t="s">
        <v>131</v>
      </c>
      <c r="CL514" t="str">
        <f>""</f>
        <v/>
      </c>
      <c r="CM514" t="str">
        <f>""</f>
        <v/>
      </c>
      <c r="CN514" t="str">
        <f>""</f>
        <v/>
      </c>
      <c r="CO514" t="str">
        <f>""</f>
        <v/>
      </c>
      <c r="CP514" t="str">
        <f>"51-3021.00"</f>
        <v>51-3021.00</v>
      </c>
      <c r="CQ514" t="s">
        <v>10711</v>
      </c>
      <c r="CS514" t="s">
        <v>135</v>
      </c>
      <c r="CT514" t="s">
        <v>10713</v>
      </c>
      <c r="CU514" t="s">
        <v>10714</v>
      </c>
      <c r="CW514" t="s">
        <v>10708</v>
      </c>
      <c r="CX514" t="s">
        <v>1243</v>
      </c>
      <c r="CZ514" s="3" t="str">
        <f>"83445"</f>
        <v>83445</v>
      </c>
      <c r="DA514" t="s">
        <v>135</v>
      </c>
      <c r="DB514" t="str">
        <f>"51-3021"</f>
        <v>51-3021</v>
      </c>
      <c r="DC514" t="s">
        <v>10711</v>
      </c>
      <c r="DD514" t="s">
        <v>134</v>
      </c>
      <c r="DE514" t="s">
        <v>134</v>
      </c>
      <c r="DF514" t="str">
        <f>""</f>
        <v/>
      </c>
      <c r="DH514" s="6">
        <v>14.76</v>
      </c>
      <c r="DI514" t="s">
        <v>344</v>
      </c>
      <c r="DK514" t="s">
        <v>345</v>
      </c>
      <c r="DS514" s="6">
        <v>14.76</v>
      </c>
      <c r="DT514" s="2" t="s">
        <v>347</v>
      </c>
      <c r="DU514" s="1">
        <v>44361</v>
      </c>
      <c r="DV514" s="1">
        <v>44450</v>
      </c>
    </row>
    <row r="515" spans="1:126" ht="15" customHeight="1" x14ac:dyDescent="0.35">
      <c r="A515" t="s">
        <v>19902</v>
      </c>
      <c r="B515" t="s">
        <v>318</v>
      </c>
      <c r="C515" s="1">
        <v>44333</v>
      </c>
      <c r="D515" s="1">
        <v>44361</v>
      </c>
      <c r="H515" t="s">
        <v>319</v>
      </c>
      <c r="I515" t="s">
        <v>19903</v>
      </c>
      <c r="J515" t="s">
        <v>1060</v>
      </c>
      <c r="K515" t="s">
        <v>314</v>
      </c>
      <c r="L515" t="s">
        <v>1105</v>
      </c>
      <c r="M515" t="s">
        <v>19904</v>
      </c>
      <c r="O515" t="s">
        <v>3875</v>
      </c>
      <c r="P515" t="s">
        <v>441</v>
      </c>
      <c r="Q515" s="3">
        <v>44236</v>
      </c>
      <c r="R515" t="s">
        <v>128</v>
      </c>
      <c r="T515" s="4">
        <v>13306501226</v>
      </c>
      <c r="V515" t="s">
        <v>19905</v>
      </c>
      <c r="W515" t="s">
        <v>19906</v>
      </c>
      <c r="X515" t="s">
        <v>19907</v>
      </c>
      <c r="Y515" t="s">
        <v>19904</v>
      </c>
      <c r="AA515" t="s">
        <v>3875</v>
      </c>
      <c r="AB515" t="s">
        <v>444</v>
      </c>
      <c r="AC515" s="3" t="str">
        <f>"44236"</f>
        <v>44236</v>
      </c>
      <c r="AD515" t="s">
        <v>128</v>
      </c>
      <c r="AF515" s="4">
        <v>13306501226</v>
      </c>
      <c r="AH515" t="str">
        <f>"56173"</f>
        <v>56173</v>
      </c>
      <c r="AI515" t="s">
        <v>287</v>
      </c>
      <c r="AJ515" t="s">
        <v>4134</v>
      </c>
      <c r="AK515" t="s">
        <v>3493</v>
      </c>
      <c r="AM515" t="s">
        <v>4135</v>
      </c>
      <c r="AO515" t="s">
        <v>4136</v>
      </c>
      <c r="AP515" t="s">
        <v>643</v>
      </c>
      <c r="AQ515" s="5">
        <v>31636</v>
      </c>
      <c r="AR515" t="s">
        <v>128</v>
      </c>
      <c r="AT515" s="4">
        <v>12295596879</v>
      </c>
      <c r="AV515" t="s">
        <v>4137</v>
      </c>
      <c r="AW515" t="s">
        <v>4138</v>
      </c>
      <c r="AX515" t="s">
        <v>131</v>
      </c>
      <c r="AY515" t="s">
        <v>131</v>
      </c>
      <c r="AZ515" t="s">
        <v>131</v>
      </c>
      <c r="BA515" t="s">
        <v>131</v>
      </c>
      <c r="BB515" t="s">
        <v>131</v>
      </c>
      <c r="BC515" t="s">
        <v>131</v>
      </c>
      <c r="BD515" t="s">
        <v>131</v>
      </c>
      <c r="BE515" t="s">
        <v>132</v>
      </c>
      <c r="BH515" t="s">
        <v>3780</v>
      </c>
      <c r="BI515" t="s">
        <v>131</v>
      </c>
      <c r="BL515" t="s">
        <v>167</v>
      </c>
      <c r="BO515" t="s">
        <v>131</v>
      </c>
      <c r="BP515" t="s">
        <v>134</v>
      </c>
      <c r="BQ515" t="s">
        <v>131</v>
      </c>
      <c r="BS515" t="str">
        <f t="shared" si="40"/>
        <v>N/A</v>
      </c>
      <c r="BT515" t="s">
        <v>131</v>
      </c>
      <c r="BV515" t="str">
        <f>""</f>
        <v/>
      </c>
      <c r="BW515" t="s">
        <v>135</v>
      </c>
      <c r="BX515" t="str">
        <f>""</f>
        <v/>
      </c>
      <c r="BY515" t="str">
        <f>""</f>
        <v/>
      </c>
      <c r="BZ515" t="str">
        <f>""</f>
        <v/>
      </c>
      <c r="CA515" t="str">
        <f>"Requires physical stamina. Must lift and carry 50 lbs. Work outdoors, in extreme temperatures, and in adverse weather. We are a non-smoking company."</f>
        <v>Requires physical stamina. Must lift and carry 50 lbs. Work outdoors, in extreme temperatures, and in adverse weather. We are a non-smoking company.</v>
      </c>
      <c r="CB515" t="s">
        <v>131</v>
      </c>
      <c r="CF515" t="s">
        <v>131</v>
      </c>
      <c r="CH515" t="str">
        <f>""</f>
        <v/>
      </c>
      <c r="CI515" t="s">
        <v>131</v>
      </c>
      <c r="CK515" t="s">
        <v>131</v>
      </c>
      <c r="CL515" t="str">
        <f>""</f>
        <v/>
      </c>
      <c r="CM515" t="str">
        <f>""</f>
        <v/>
      </c>
      <c r="CN515" t="str">
        <f>""</f>
        <v/>
      </c>
      <c r="CO515" t="str">
        <f>""</f>
        <v/>
      </c>
      <c r="CP515" t="str">
        <f>"37-3011.00"</f>
        <v>37-3011.00</v>
      </c>
      <c r="CQ515" t="s">
        <v>920</v>
      </c>
      <c r="CS515" t="s">
        <v>135</v>
      </c>
      <c r="CT515" t="s">
        <v>2925</v>
      </c>
      <c r="CU515" t="s">
        <v>19908</v>
      </c>
      <c r="CW515" t="s">
        <v>3875</v>
      </c>
      <c r="CX515" t="s">
        <v>444</v>
      </c>
      <c r="CZ515" s="3" t="str">
        <f>"44236"</f>
        <v>44236</v>
      </c>
      <c r="DA515" t="s">
        <v>135</v>
      </c>
      <c r="DB515" t="str">
        <f>"37-3011"</f>
        <v>37-3011</v>
      </c>
      <c r="DC515" t="s">
        <v>920</v>
      </c>
      <c r="DD515" t="s">
        <v>134</v>
      </c>
      <c r="DE515" t="s">
        <v>134</v>
      </c>
      <c r="DF515" t="str">
        <f>""</f>
        <v/>
      </c>
      <c r="DH515" s="6">
        <v>13.78</v>
      </c>
      <c r="DI515" t="s">
        <v>344</v>
      </c>
      <c r="DK515" t="s">
        <v>345</v>
      </c>
      <c r="DS515" s="6">
        <v>13.78</v>
      </c>
      <c r="DT515" s="2" t="s">
        <v>347</v>
      </c>
      <c r="DU515" s="1">
        <v>44361</v>
      </c>
      <c r="DV515" s="1">
        <v>44450</v>
      </c>
    </row>
    <row r="516" spans="1:126" ht="15" customHeight="1" x14ac:dyDescent="0.35">
      <c r="A516" t="s">
        <v>16010</v>
      </c>
      <c r="B516" t="s">
        <v>318</v>
      </c>
      <c r="C516" s="1">
        <v>44333</v>
      </c>
      <c r="D516" s="1">
        <v>44361</v>
      </c>
      <c r="H516" t="s">
        <v>319</v>
      </c>
      <c r="I516" t="s">
        <v>16011</v>
      </c>
      <c r="J516" t="s">
        <v>16012</v>
      </c>
      <c r="L516" t="s">
        <v>1031</v>
      </c>
      <c r="M516" t="s">
        <v>16013</v>
      </c>
      <c r="O516" t="s">
        <v>16014</v>
      </c>
      <c r="P516" t="s">
        <v>396</v>
      </c>
      <c r="Q516" s="3">
        <v>72650</v>
      </c>
      <c r="R516" t="s">
        <v>128</v>
      </c>
      <c r="T516" s="4">
        <v>18704482183</v>
      </c>
      <c r="V516" t="s">
        <v>16015</v>
      </c>
      <c r="W516" t="s">
        <v>16016</v>
      </c>
      <c r="Y516" t="s">
        <v>16013</v>
      </c>
      <c r="AA516" t="s">
        <v>16014</v>
      </c>
      <c r="AB516" t="s">
        <v>397</v>
      </c>
      <c r="AC516" s="3" t="str">
        <f>"72650"</f>
        <v>72650</v>
      </c>
      <c r="AD516" t="s">
        <v>128</v>
      </c>
      <c r="AF516" s="4">
        <v>18704482183</v>
      </c>
      <c r="AH516" t="str">
        <f>"56173"</f>
        <v>56173</v>
      </c>
      <c r="AI516" t="s">
        <v>287</v>
      </c>
      <c r="AJ516" t="s">
        <v>5932</v>
      </c>
      <c r="AK516" t="s">
        <v>1756</v>
      </c>
      <c r="AM516" t="s">
        <v>5933</v>
      </c>
      <c r="AO516" t="s">
        <v>10230</v>
      </c>
      <c r="AP516" t="s">
        <v>1243</v>
      </c>
      <c r="AQ516" s="5">
        <v>83815</v>
      </c>
      <c r="AR516" t="s">
        <v>128</v>
      </c>
      <c r="AT516" s="4">
        <v>12089303246</v>
      </c>
      <c r="AV516" t="s">
        <v>5935</v>
      </c>
      <c r="AW516" t="s">
        <v>5988</v>
      </c>
      <c r="AX516" t="s">
        <v>131</v>
      </c>
      <c r="AY516" t="s">
        <v>131</v>
      </c>
      <c r="AZ516" t="s">
        <v>131</v>
      </c>
      <c r="BA516" t="s">
        <v>131</v>
      </c>
      <c r="BB516" t="s">
        <v>131</v>
      </c>
      <c r="BC516" t="s">
        <v>131</v>
      </c>
      <c r="BD516" t="s">
        <v>131</v>
      </c>
      <c r="BE516" t="s">
        <v>132</v>
      </c>
      <c r="BH516" t="s">
        <v>16017</v>
      </c>
      <c r="BI516" t="s">
        <v>131</v>
      </c>
      <c r="BL516" t="s">
        <v>167</v>
      </c>
      <c r="BO516" t="s">
        <v>131</v>
      </c>
      <c r="BP516" t="s">
        <v>134</v>
      </c>
      <c r="BQ516" t="s">
        <v>131</v>
      </c>
      <c r="BS516" t="str">
        <f t="shared" si="40"/>
        <v>N/A</v>
      </c>
      <c r="BT516" t="s">
        <v>131</v>
      </c>
      <c r="BV516" t="str">
        <f>""</f>
        <v/>
      </c>
      <c r="BW516" t="s">
        <v>131</v>
      </c>
      <c r="BX516" t="str">
        <f>""</f>
        <v/>
      </c>
      <c r="BY516" t="str">
        <f>""</f>
        <v/>
      </c>
      <c r="BZ516" t="str">
        <f>""</f>
        <v/>
      </c>
      <c r="CA516" t="str">
        <f>""</f>
        <v/>
      </c>
      <c r="CB516" t="s">
        <v>131</v>
      </c>
      <c r="CF516" t="s">
        <v>131</v>
      </c>
      <c r="CH516" t="str">
        <f>""</f>
        <v/>
      </c>
      <c r="CI516" t="s">
        <v>131</v>
      </c>
      <c r="CK516" t="s">
        <v>131</v>
      </c>
      <c r="CL516" t="str">
        <f>""</f>
        <v/>
      </c>
      <c r="CM516" t="str">
        <f>""</f>
        <v/>
      </c>
      <c r="CN516" t="str">
        <f>""</f>
        <v/>
      </c>
      <c r="CO516" t="str">
        <f>""</f>
        <v/>
      </c>
      <c r="CP516" t="str">
        <f>"37-3011.00"</f>
        <v>37-3011.00</v>
      </c>
      <c r="CQ516" t="s">
        <v>920</v>
      </c>
      <c r="CR516" t="s">
        <v>16018</v>
      </c>
      <c r="CS516" t="s">
        <v>135</v>
      </c>
      <c r="CT516" t="s">
        <v>16019</v>
      </c>
      <c r="CU516" t="s">
        <v>16013</v>
      </c>
      <c r="CW516" t="s">
        <v>16014</v>
      </c>
      <c r="CX516" t="s">
        <v>397</v>
      </c>
      <c r="CZ516" s="3" t="str">
        <f>"72650"</f>
        <v>72650</v>
      </c>
      <c r="DA516" t="s">
        <v>135</v>
      </c>
      <c r="DB516" t="str">
        <f>"37-3011"</f>
        <v>37-3011</v>
      </c>
      <c r="DC516" t="s">
        <v>920</v>
      </c>
      <c r="DD516" t="s">
        <v>134</v>
      </c>
      <c r="DE516" t="s">
        <v>134</v>
      </c>
      <c r="DF516" t="str">
        <f>""</f>
        <v/>
      </c>
      <c r="DH516" s="6">
        <v>11.71</v>
      </c>
      <c r="DI516" t="s">
        <v>344</v>
      </c>
      <c r="DK516" t="s">
        <v>345</v>
      </c>
      <c r="DR516" t="s">
        <v>16020</v>
      </c>
      <c r="DS516" s="6">
        <v>18.010000000000002</v>
      </c>
      <c r="DT516" s="2" t="s">
        <v>347</v>
      </c>
      <c r="DU516" s="1">
        <v>44361</v>
      </c>
      <c r="DV516" s="1">
        <v>44450</v>
      </c>
    </row>
    <row r="517" spans="1:126" ht="15" customHeight="1" x14ac:dyDescent="0.35">
      <c r="A517" t="s">
        <v>13518</v>
      </c>
      <c r="B517" t="s">
        <v>318</v>
      </c>
      <c r="C517" s="1">
        <v>44333</v>
      </c>
      <c r="D517" s="1">
        <v>44361</v>
      </c>
      <c r="H517" t="s">
        <v>319</v>
      </c>
      <c r="I517" t="s">
        <v>13519</v>
      </c>
      <c r="J517" t="s">
        <v>13520</v>
      </c>
      <c r="L517" t="s">
        <v>13521</v>
      </c>
      <c r="M517" t="s">
        <v>13522</v>
      </c>
      <c r="N517" t="s">
        <v>13523</v>
      </c>
      <c r="O517" t="s">
        <v>13524</v>
      </c>
      <c r="P517" t="s">
        <v>1760</v>
      </c>
      <c r="Q517" s="3">
        <v>71261</v>
      </c>
      <c r="R517" t="s">
        <v>128</v>
      </c>
      <c r="T517" s="4">
        <v>13186475744</v>
      </c>
      <c r="V517" t="s">
        <v>134</v>
      </c>
      <c r="W517" t="s">
        <v>13525</v>
      </c>
      <c r="Y517" t="s">
        <v>13522</v>
      </c>
      <c r="Z517" t="s">
        <v>13523</v>
      </c>
      <c r="AA517" t="s">
        <v>13524</v>
      </c>
      <c r="AB517" t="s">
        <v>1763</v>
      </c>
      <c r="AC517" s="3" t="str">
        <f>"71261"</f>
        <v>71261</v>
      </c>
      <c r="AD517" t="s">
        <v>128</v>
      </c>
      <c r="AF517" s="4">
        <v>13186475744</v>
      </c>
      <c r="AH517" t="str">
        <f>"311212"</f>
        <v>311212</v>
      </c>
      <c r="AI517" t="s">
        <v>287</v>
      </c>
      <c r="AJ517" t="s">
        <v>2917</v>
      </c>
      <c r="AK517" t="s">
        <v>2918</v>
      </c>
      <c r="AM517" t="s">
        <v>3772</v>
      </c>
      <c r="AO517" t="s">
        <v>3773</v>
      </c>
      <c r="AP517" t="s">
        <v>306</v>
      </c>
      <c r="AQ517" s="5">
        <v>22903</v>
      </c>
      <c r="AR517" t="s">
        <v>128</v>
      </c>
      <c r="AT517" s="4">
        <v>14342634300</v>
      </c>
      <c r="AV517" t="s">
        <v>3774</v>
      </c>
      <c r="AW517" t="s">
        <v>2923</v>
      </c>
      <c r="AX517" t="s">
        <v>131</v>
      </c>
      <c r="AY517" t="s">
        <v>131</v>
      </c>
      <c r="AZ517" t="s">
        <v>131</v>
      </c>
      <c r="BA517" t="s">
        <v>131</v>
      </c>
      <c r="BB517" t="s">
        <v>131</v>
      </c>
      <c r="BC517" t="s">
        <v>131</v>
      </c>
      <c r="BD517" t="s">
        <v>131</v>
      </c>
      <c r="BE517" t="s">
        <v>132</v>
      </c>
      <c r="BH517" t="s">
        <v>13526</v>
      </c>
      <c r="BI517" t="s">
        <v>131</v>
      </c>
      <c r="BL517" t="s">
        <v>167</v>
      </c>
      <c r="BO517" t="s">
        <v>131</v>
      </c>
      <c r="BP517" t="s">
        <v>134</v>
      </c>
      <c r="BQ517" t="s">
        <v>131</v>
      </c>
      <c r="BS517" t="str">
        <f t="shared" si="40"/>
        <v>N/A</v>
      </c>
      <c r="BT517" t="s">
        <v>131</v>
      </c>
      <c r="BV517" t="str">
        <f>""</f>
        <v/>
      </c>
      <c r="BW517" t="s">
        <v>135</v>
      </c>
      <c r="BX517" t="str">
        <f>""</f>
        <v/>
      </c>
      <c r="BY517" t="str">
        <f>""</f>
        <v/>
      </c>
      <c r="BZ517" t="str">
        <f>""</f>
        <v/>
      </c>
      <c r="CA517" t="s">
        <v>13527</v>
      </c>
      <c r="CB517" t="s">
        <v>131</v>
      </c>
      <c r="CF517" t="s">
        <v>131</v>
      </c>
      <c r="CH517" t="str">
        <f>""</f>
        <v/>
      </c>
      <c r="CI517" t="s">
        <v>131</v>
      </c>
      <c r="CK517" t="s">
        <v>131</v>
      </c>
      <c r="CL517" t="str">
        <f>""</f>
        <v/>
      </c>
      <c r="CM517" t="str">
        <f>""</f>
        <v/>
      </c>
      <c r="CN517" t="str">
        <f>""</f>
        <v/>
      </c>
      <c r="CO517" t="str">
        <f>""</f>
        <v/>
      </c>
      <c r="CP517" t="str">
        <f>"53-7064.00"</f>
        <v>53-7064.00</v>
      </c>
      <c r="CQ517" t="s">
        <v>2987</v>
      </c>
      <c r="CR517" t="s">
        <v>2924</v>
      </c>
      <c r="CS517" t="s">
        <v>131</v>
      </c>
      <c r="CU517" t="s">
        <v>13528</v>
      </c>
      <c r="CW517" t="s">
        <v>13524</v>
      </c>
      <c r="CX517" t="s">
        <v>1763</v>
      </c>
      <c r="CZ517" s="3" t="str">
        <f>"71261"</f>
        <v>71261</v>
      </c>
      <c r="DA517" t="s">
        <v>131</v>
      </c>
      <c r="DB517" t="str">
        <f>"53-7064"</f>
        <v>53-7064</v>
      </c>
      <c r="DC517" t="s">
        <v>2987</v>
      </c>
      <c r="DD517" t="s">
        <v>134</v>
      </c>
      <c r="DE517" t="s">
        <v>134</v>
      </c>
      <c r="DF517" t="str">
        <f>""</f>
        <v/>
      </c>
      <c r="DH517" s="6">
        <v>9.92</v>
      </c>
      <c r="DI517" t="s">
        <v>344</v>
      </c>
      <c r="DK517" t="s">
        <v>345</v>
      </c>
      <c r="DS517" s="6">
        <v>9.92</v>
      </c>
      <c r="DT517" t="s">
        <v>424</v>
      </c>
      <c r="DU517" s="1">
        <v>44361</v>
      </c>
      <c r="DV517" s="1">
        <v>44450</v>
      </c>
    </row>
    <row r="518" spans="1:126" ht="15" customHeight="1" x14ac:dyDescent="0.35">
      <c r="A518" t="s">
        <v>9938</v>
      </c>
      <c r="B518" t="s">
        <v>318</v>
      </c>
      <c r="C518" s="1">
        <v>44333</v>
      </c>
      <c r="D518" s="1">
        <v>44369</v>
      </c>
      <c r="H518" t="s">
        <v>319</v>
      </c>
      <c r="I518" t="s">
        <v>9939</v>
      </c>
      <c r="J518" t="s">
        <v>5151</v>
      </c>
      <c r="K518" t="s">
        <v>134</v>
      </c>
      <c r="L518" t="s">
        <v>395</v>
      </c>
      <c r="M518" t="s">
        <v>9940</v>
      </c>
      <c r="O518" t="s">
        <v>9941</v>
      </c>
      <c r="P518" t="s">
        <v>194</v>
      </c>
      <c r="Q518" s="3">
        <v>32577</v>
      </c>
      <c r="R518" t="s">
        <v>128</v>
      </c>
      <c r="T518" s="4">
        <v>18502615385</v>
      </c>
      <c r="V518" t="s">
        <v>9942</v>
      </c>
      <c r="W518" t="s">
        <v>9943</v>
      </c>
      <c r="Y518" t="s">
        <v>9940</v>
      </c>
      <c r="AA518" t="s">
        <v>9941</v>
      </c>
      <c r="AB518" t="s">
        <v>195</v>
      </c>
      <c r="AC518" s="3" t="str">
        <f>"32577"</f>
        <v>32577</v>
      </c>
      <c r="AD518" t="s">
        <v>128</v>
      </c>
      <c r="AF518" s="4">
        <v>18502615385</v>
      </c>
      <c r="AH518" t="str">
        <f>"1153"</f>
        <v>1153</v>
      </c>
      <c r="AI518" t="s">
        <v>287</v>
      </c>
      <c r="AJ518" t="s">
        <v>9944</v>
      </c>
      <c r="AK518" t="s">
        <v>9945</v>
      </c>
      <c r="AL518" t="s">
        <v>355</v>
      </c>
      <c r="AM518" t="s">
        <v>2048</v>
      </c>
      <c r="AN518" t="s">
        <v>9946</v>
      </c>
      <c r="AO518" t="s">
        <v>9947</v>
      </c>
      <c r="AP518" t="s">
        <v>1243</v>
      </c>
      <c r="AQ518" s="5">
        <v>83814</v>
      </c>
      <c r="AR518" t="s">
        <v>128</v>
      </c>
      <c r="AT518" s="4">
        <v>12087772654</v>
      </c>
      <c r="AV518" t="s">
        <v>9942</v>
      </c>
      <c r="AW518" t="s">
        <v>4715</v>
      </c>
      <c r="AX518" t="s">
        <v>131</v>
      </c>
      <c r="AY518" t="s">
        <v>131</v>
      </c>
      <c r="AZ518" t="s">
        <v>131</v>
      </c>
      <c r="BA518" t="s">
        <v>131</v>
      </c>
      <c r="BB518" t="s">
        <v>131</v>
      </c>
      <c r="BC518" t="s">
        <v>131</v>
      </c>
      <c r="BD518" t="s">
        <v>131</v>
      </c>
      <c r="BE518" t="s">
        <v>132</v>
      </c>
      <c r="BH518" t="s">
        <v>6431</v>
      </c>
      <c r="BI518" t="s">
        <v>131</v>
      </c>
      <c r="BL518" t="s">
        <v>167</v>
      </c>
      <c r="BO518" t="s">
        <v>131</v>
      </c>
      <c r="BP518" t="s">
        <v>134</v>
      </c>
      <c r="BQ518" t="s">
        <v>131</v>
      </c>
      <c r="BS518" t="str">
        <f t="shared" si="40"/>
        <v>N/A</v>
      </c>
      <c r="BT518" t="s">
        <v>135</v>
      </c>
      <c r="BU518">
        <v>3</v>
      </c>
      <c r="BV518" t="str">
        <f>"Commercial Brushsaw/Chainsaw Experience."</f>
        <v>Commercial Brushsaw/Chainsaw Experience.</v>
      </c>
      <c r="BW518" t="s">
        <v>135</v>
      </c>
      <c r="BX518" t="str">
        <f>""</f>
        <v/>
      </c>
      <c r="BY518" t="str">
        <f>""</f>
        <v/>
      </c>
      <c r="BZ518" t="str">
        <f>""</f>
        <v/>
      </c>
      <c r="CA518" t="s">
        <v>9948</v>
      </c>
      <c r="CB518" t="s">
        <v>131</v>
      </c>
      <c r="CF518" t="s">
        <v>131</v>
      </c>
      <c r="CH518" t="str">
        <f>""</f>
        <v/>
      </c>
      <c r="CI518" t="s">
        <v>131</v>
      </c>
      <c r="CK518" t="s">
        <v>131</v>
      </c>
      <c r="CL518" t="str">
        <f>""</f>
        <v/>
      </c>
      <c r="CM518" t="str">
        <f>""</f>
        <v/>
      </c>
      <c r="CN518" t="str">
        <f>""</f>
        <v/>
      </c>
      <c r="CO518" t="str">
        <f>""</f>
        <v/>
      </c>
      <c r="CP518" t="str">
        <f>"45-4011.00"</f>
        <v>45-4011.00</v>
      </c>
      <c r="CQ518" t="s">
        <v>4310</v>
      </c>
      <c r="CS518" t="s">
        <v>135</v>
      </c>
      <c r="CT518" s="2" t="s">
        <v>9949</v>
      </c>
      <c r="CU518" t="s">
        <v>9950</v>
      </c>
      <c r="CW518" t="s">
        <v>4496</v>
      </c>
      <c r="CX518" t="s">
        <v>3100</v>
      </c>
      <c r="CZ518" s="3" t="str">
        <f>"87107"</f>
        <v>87107</v>
      </c>
      <c r="DA518" t="s">
        <v>135</v>
      </c>
      <c r="DB518" t="str">
        <f>"45-4011"</f>
        <v>45-4011</v>
      </c>
      <c r="DC518" t="s">
        <v>4310</v>
      </c>
      <c r="DD518" t="s">
        <v>134</v>
      </c>
      <c r="DE518" t="s">
        <v>134</v>
      </c>
      <c r="DF518" t="str">
        <f>""</f>
        <v/>
      </c>
      <c r="DH518" s="6">
        <v>15.76</v>
      </c>
      <c r="DI518" t="s">
        <v>344</v>
      </c>
      <c r="DK518" t="s">
        <v>345</v>
      </c>
      <c r="DS518" s="6">
        <v>20.53</v>
      </c>
      <c r="DT518" s="2" t="s">
        <v>9951</v>
      </c>
      <c r="DU518" s="1">
        <v>44369</v>
      </c>
      <c r="DV518" s="1">
        <v>44458</v>
      </c>
    </row>
    <row r="519" spans="1:126" ht="15" customHeight="1" x14ac:dyDescent="0.35">
      <c r="A519" t="s">
        <v>7394</v>
      </c>
      <c r="B519" t="s">
        <v>318</v>
      </c>
      <c r="C519" s="1">
        <v>44333</v>
      </c>
      <c r="D519" s="1">
        <v>44361</v>
      </c>
      <c r="H519" t="s">
        <v>319</v>
      </c>
      <c r="I519" t="s">
        <v>1070</v>
      </c>
      <c r="J519" t="s">
        <v>7395</v>
      </c>
      <c r="L519" t="s">
        <v>5333</v>
      </c>
      <c r="M519" t="s">
        <v>7396</v>
      </c>
      <c r="N519" t="s">
        <v>134</v>
      </c>
      <c r="O519" t="s">
        <v>1677</v>
      </c>
      <c r="P519" t="s">
        <v>857</v>
      </c>
      <c r="Q519" s="3">
        <v>85262</v>
      </c>
      <c r="R519" t="s">
        <v>128</v>
      </c>
      <c r="S519" t="s">
        <v>134</v>
      </c>
      <c r="T519" s="4">
        <v>14804371500</v>
      </c>
      <c r="V519" t="s">
        <v>7397</v>
      </c>
      <c r="W519" t="s">
        <v>7398</v>
      </c>
      <c r="X519" t="s">
        <v>134</v>
      </c>
      <c r="Y519" t="s">
        <v>7396</v>
      </c>
      <c r="Z519" t="s">
        <v>134</v>
      </c>
      <c r="AA519" t="s">
        <v>1677</v>
      </c>
      <c r="AB519" t="s">
        <v>808</v>
      </c>
      <c r="AC519" s="3" t="str">
        <f>"85262"</f>
        <v>85262</v>
      </c>
      <c r="AD519" t="s">
        <v>128</v>
      </c>
      <c r="AE519" t="s">
        <v>134</v>
      </c>
      <c r="AF519" s="4">
        <v>14804371500</v>
      </c>
      <c r="AH519" t="str">
        <f>"713910"</f>
        <v>713910</v>
      </c>
      <c r="AI519" t="s">
        <v>130</v>
      </c>
      <c r="AJ519" t="s">
        <v>1386</v>
      </c>
      <c r="AK519" t="s">
        <v>1387</v>
      </c>
      <c r="AL519" t="s">
        <v>1036</v>
      </c>
      <c r="AM519" t="s">
        <v>1388</v>
      </c>
      <c r="AN519" t="s">
        <v>997</v>
      </c>
      <c r="AO519" t="s">
        <v>719</v>
      </c>
      <c r="AP519" t="s">
        <v>377</v>
      </c>
      <c r="AQ519" s="5">
        <v>1701</v>
      </c>
      <c r="AR519" t="s">
        <v>128</v>
      </c>
      <c r="AS519" t="s">
        <v>134</v>
      </c>
      <c r="AT519" s="4">
        <v>16179399444</v>
      </c>
      <c r="AV519" t="s">
        <v>1389</v>
      </c>
      <c r="AW519" t="s">
        <v>1390</v>
      </c>
      <c r="AX519" t="s">
        <v>131</v>
      </c>
      <c r="AY519" t="s">
        <v>131</v>
      </c>
      <c r="AZ519" t="s">
        <v>131</v>
      </c>
      <c r="BA519" t="s">
        <v>131</v>
      </c>
      <c r="BB519" t="s">
        <v>131</v>
      </c>
      <c r="BC519" t="s">
        <v>131</v>
      </c>
      <c r="BD519" t="s">
        <v>131</v>
      </c>
      <c r="BE519" t="s">
        <v>132</v>
      </c>
      <c r="BH519" t="s">
        <v>7399</v>
      </c>
      <c r="BI519" t="s">
        <v>131</v>
      </c>
      <c r="BL519" t="s">
        <v>167</v>
      </c>
      <c r="BO519" t="s">
        <v>131</v>
      </c>
      <c r="BP519" t="s">
        <v>134</v>
      </c>
      <c r="BQ519" t="s">
        <v>131</v>
      </c>
      <c r="BS519" t="str">
        <f t="shared" si="40"/>
        <v>N/A</v>
      </c>
      <c r="BT519" t="s">
        <v>135</v>
      </c>
      <c r="BU519">
        <v>3</v>
      </c>
      <c r="BV519" t="str">
        <f>"Greenskeeper"</f>
        <v>Greenskeeper</v>
      </c>
      <c r="BW519" t="s">
        <v>135</v>
      </c>
      <c r="BX519" t="str">
        <f>""</f>
        <v/>
      </c>
      <c r="BY519" t="str">
        <f>""</f>
        <v/>
      </c>
      <c r="BZ519" t="str">
        <f>""</f>
        <v/>
      </c>
      <c r="CA519" t="str">
        <f>"The Petitioner will consider for employment any person who possesses at least three (3) months of experience maintaining grounds at a high-end hotel, resort, or private club."</f>
        <v>The Petitioner will consider for employment any person who possesses at least three (3) months of experience maintaining grounds at a high-end hotel, resort, or private club.</v>
      </c>
      <c r="CB519" t="s">
        <v>131</v>
      </c>
      <c r="CF519" t="s">
        <v>131</v>
      </c>
      <c r="CH519" t="str">
        <f>""</f>
        <v/>
      </c>
      <c r="CI519" t="s">
        <v>131</v>
      </c>
      <c r="CK519" t="s">
        <v>131</v>
      </c>
      <c r="CL519" t="str">
        <f>""</f>
        <v/>
      </c>
      <c r="CM519" t="str">
        <f>""</f>
        <v/>
      </c>
      <c r="CN519" t="str">
        <f>""</f>
        <v/>
      </c>
      <c r="CO519" t="str">
        <f>""</f>
        <v/>
      </c>
      <c r="CP519" t="str">
        <f>"37-3011.00"</f>
        <v>37-3011.00</v>
      </c>
      <c r="CQ519" t="s">
        <v>920</v>
      </c>
      <c r="CR519" t="s">
        <v>7400</v>
      </c>
      <c r="CS519" t="s">
        <v>131</v>
      </c>
      <c r="CU519" t="s">
        <v>7396</v>
      </c>
      <c r="CV519" t="s">
        <v>134</v>
      </c>
      <c r="CW519" t="s">
        <v>1677</v>
      </c>
      <c r="CX519" t="s">
        <v>808</v>
      </c>
      <c r="CZ519" s="3" t="str">
        <f>"85262"</f>
        <v>85262</v>
      </c>
      <c r="DA519" t="s">
        <v>131</v>
      </c>
      <c r="DB519" t="str">
        <f>"37-3011"</f>
        <v>37-3011</v>
      </c>
      <c r="DC519" t="s">
        <v>920</v>
      </c>
      <c r="DD519" t="s">
        <v>134</v>
      </c>
      <c r="DE519" t="s">
        <v>134</v>
      </c>
      <c r="DF519" t="str">
        <f>""</f>
        <v/>
      </c>
      <c r="DH519" s="6">
        <v>14.47</v>
      </c>
      <c r="DI519" t="s">
        <v>344</v>
      </c>
      <c r="DK519" t="s">
        <v>345</v>
      </c>
      <c r="DS519" s="6">
        <v>14.47</v>
      </c>
      <c r="DT519" t="s">
        <v>424</v>
      </c>
      <c r="DU519" s="1">
        <v>44361</v>
      </c>
      <c r="DV519" s="1">
        <v>44450</v>
      </c>
    </row>
    <row r="520" spans="1:126" ht="15" customHeight="1" x14ac:dyDescent="0.35">
      <c r="A520" t="s">
        <v>9706</v>
      </c>
      <c r="B520" t="s">
        <v>318</v>
      </c>
      <c r="C520" s="1">
        <v>44333</v>
      </c>
      <c r="D520" s="1">
        <v>44364</v>
      </c>
      <c r="H520" t="s">
        <v>319</v>
      </c>
      <c r="I520" t="s">
        <v>9707</v>
      </c>
      <c r="J520" t="s">
        <v>1540</v>
      </c>
      <c r="L520" t="s">
        <v>1105</v>
      </c>
      <c r="M520" t="s">
        <v>9708</v>
      </c>
      <c r="O520" t="s">
        <v>8869</v>
      </c>
      <c r="P520" t="s">
        <v>3898</v>
      </c>
      <c r="Q520" s="3">
        <v>41018</v>
      </c>
      <c r="R520" t="s">
        <v>128</v>
      </c>
      <c r="T520" s="4">
        <v>18596639849</v>
      </c>
      <c r="V520" t="s">
        <v>9709</v>
      </c>
      <c r="W520" t="s">
        <v>9710</v>
      </c>
      <c r="Y520" t="s">
        <v>9708</v>
      </c>
      <c r="AA520" t="s">
        <v>8869</v>
      </c>
      <c r="AB520" t="s">
        <v>2436</v>
      </c>
      <c r="AC520" s="3" t="str">
        <f>"41018"</f>
        <v>41018</v>
      </c>
      <c r="AD520" t="s">
        <v>128</v>
      </c>
      <c r="AF520" s="4">
        <v>18596639849</v>
      </c>
      <c r="AH520" t="str">
        <f>"238110"</f>
        <v>238110</v>
      </c>
      <c r="AI520" t="s">
        <v>130</v>
      </c>
      <c r="AJ520" t="s">
        <v>3252</v>
      </c>
      <c r="AK520" t="s">
        <v>3253</v>
      </c>
      <c r="AL520" t="s">
        <v>589</v>
      </c>
      <c r="AM520" t="s">
        <v>3254</v>
      </c>
      <c r="AO520" t="s">
        <v>3255</v>
      </c>
      <c r="AP520" t="s">
        <v>779</v>
      </c>
      <c r="AQ520" s="5">
        <v>37110</v>
      </c>
      <c r="AR520" t="s">
        <v>128</v>
      </c>
      <c r="AT520" s="4">
        <v>19312747811</v>
      </c>
      <c r="AV520" t="s">
        <v>3256</v>
      </c>
      <c r="AW520" t="s">
        <v>3257</v>
      </c>
      <c r="AX520" t="s">
        <v>131</v>
      </c>
      <c r="AY520" t="s">
        <v>131</v>
      </c>
      <c r="AZ520" t="s">
        <v>131</v>
      </c>
      <c r="BA520" t="s">
        <v>131</v>
      </c>
      <c r="BB520" t="s">
        <v>131</v>
      </c>
      <c r="BC520" t="s">
        <v>131</v>
      </c>
      <c r="BD520" t="s">
        <v>131</v>
      </c>
      <c r="BE520" t="s">
        <v>132</v>
      </c>
      <c r="BH520" t="s">
        <v>9711</v>
      </c>
      <c r="BI520" t="s">
        <v>131</v>
      </c>
      <c r="BL520" t="s">
        <v>167</v>
      </c>
      <c r="BO520" t="s">
        <v>131</v>
      </c>
      <c r="BP520" t="s">
        <v>134</v>
      </c>
      <c r="BQ520" t="s">
        <v>131</v>
      </c>
      <c r="BS520" t="str">
        <f t="shared" si="40"/>
        <v>N/A</v>
      </c>
      <c r="BT520" t="s">
        <v>131</v>
      </c>
      <c r="BV520" t="str">
        <f>""</f>
        <v/>
      </c>
      <c r="BW520" t="s">
        <v>135</v>
      </c>
      <c r="BX520" t="str">
        <f>""</f>
        <v/>
      </c>
      <c r="BY520" t="str">
        <f>""</f>
        <v/>
      </c>
      <c r="BZ520" t="str">
        <f>""</f>
        <v/>
      </c>
      <c r="CA520" t="str">
        <f>"MUST BE ABLE TO LIFT 75 LBS"</f>
        <v>MUST BE ABLE TO LIFT 75 LBS</v>
      </c>
      <c r="CB520" t="s">
        <v>131</v>
      </c>
      <c r="CF520" t="s">
        <v>131</v>
      </c>
      <c r="CH520" t="str">
        <f>""</f>
        <v/>
      </c>
      <c r="CI520" t="s">
        <v>131</v>
      </c>
      <c r="CK520" t="s">
        <v>131</v>
      </c>
      <c r="CL520" t="str">
        <f>""</f>
        <v/>
      </c>
      <c r="CM520" t="str">
        <f>""</f>
        <v/>
      </c>
      <c r="CN520" t="str">
        <f>""</f>
        <v/>
      </c>
      <c r="CO520" t="str">
        <f>""</f>
        <v/>
      </c>
      <c r="CP520" t="str">
        <f>"47-2061.00"</f>
        <v>47-2061.00</v>
      </c>
      <c r="CQ520" t="s">
        <v>393</v>
      </c>
      <c r="CS520" t="s">
        <v>131</v>
      </c>
      <c r="CU520" t="s">
        <v>9712</v>
      </c>
      <c r="CW520" t="s">
        <v>9713</v>
      </c>
      <c r="CX520" t="s">
        <v>2436</v>
      </c>
      <c r="CZ520" s="3" t="str">
        <f>"41018"</f>
        <v>41018</v>
      </c>
      <c r="DA520" t="s">
        <v>135</v>
      </c>
      <c r="DB520" t="str">
        <f>"47-2061"</f>
        <v>47-2061</v>
      </c>
      <c r="DC520" t="s">
        <v>393</v>
      </c>
      <c r="DD520" t="s">
        <v>134</v>
      </c>
      <c r="DE520" t="s">
        <v>134</v>
      </c>
      <c r="DF520" t="str">
        <f>""</f>
        <v/>
      </c>
      <c r="DH520" s="6">
        <v>21.15</v>
      </c>
      <c r="DI520" t="s">
        <v>344</v>
      </c>
      <c r="DK520" t="s">
        <v>345</v>
      </c>
      <c r="DR520" t="s">
        <v>7928</v>
      </c>
      <c r="DS520" s="6">
        <v>21.15</v>
      </c>
      <c r="DT520" t="s">
        <v>424</v>
      </c>
      <c r="DU520" s="1">
        <v>44364</v>
      </c>
      <c r="DV520" s="1">
        <v>44453</v>
      </c>
    </row>
    <row r="521" spans="1:126" ht="15" customHeight="1" x14ac:dyDescent="0.35">
      <c r="A521" t="s">
        <v>15174</v>
      </c>
      <c r="B521" t="s">
        <v>318</v>
      </c>
      <c r="C521" s="1">
        <v>44333</v>
      </c>
      <c r="D521" s="1">
        <v>44369</v>
      </c>
      <c r="H521" t="s">
        <v>319</v>
      </c>
      <c r="I521" t="s">
        <v>221</v>
      </c>
      <c r="J521" t="s">
        <v>10227</v>
      </c>
      <c r="L521" t="s">
        <v>10228</v>
      </c>
      <c r="M521" t="s">
        <v>15175</v>
      </c>
      <c r="O521" t="s">
        <v>10230</v>
      </c>
      <c r="P521" t="s">
        <v>3075</v>
      </c>
      <c r="Q521" s="3">
        <v>83814</v>
      </c>
      <c r="R521" t="s">
        <v>128</v>
      </c>
      <c r="T521" s="4">
        <v>12087650880</v>
      </c>
      <c r="V521" t="s">
        <v>13121</v>
      </c>
      <c r="W521" t="s">
        <v>10231</v>
      </c>
      <c r="Y521" t="s">
        <v>15175</v>
      </c>
      <c r="AA521" t="s">
        <v>10230</v>
      </c>
      <c r="AB521" t="s">
        <v>1243</v>
      </c>
      <c r="AC521" s="3" t="str">
        <f>"83814"</f>
        <v>83814</v>
      </c>
      <c r="AD521" t="s">
        <v>128</v>
      </c>
      <c r="AF521" s="4">
        <v>12087650880</v>
      </c>
      <c r="AH521" t="str">
        <f>"11531"</f>
        <v>11531</v>
      </c>
      <c r="AI521" t="s">
        <v>287</v>
      </c>
      <c r="AJ521" t="s">
        <v>5932</v>
      </c>
      <c r="AK521" t="s">
        <v>1756</v>
      </c>
      <c r="AM521" t="s">
        <v>5933</v>
      </c>
      <c r="AO521" t="s">
        <v>10230</v>
      </c>
      <c r="AP521" t="s">
        <v>1243</v>
      </c>
      <c r="AQ521" s="5">
        <v>83815</v>
      </c>
      <c r="AR521" t="s">
        <v>128</v>
      </c>
      <c r="AT521" s="4">
        <v>12089303246</v>
      </c>
      <c r="AV521" t="s">
        <v>5935</v>
      </c>
      <c r="AW521" t="s">
        <v>5936</v>
      </c>
      <c r="AX521" t="s">
        <v>131</v>
      </c>
      <c r="AY521" t="s">
        <v>131</v>
      </c>
      <c r="AZ521" t="s">
        <v>131</v>
      </c>
      <c r="BA521" t="s">
        <v>131</v>
      </c>
      <c r="BB521" t="s">
        <v>131</v>
      </c>
      <c r="BC521" t="s">
        <v>131</v>
      </c>
      <c r="BD521" t="s">
        <v>131</v>
      </c>
      <c r="BE521" t="s">
        <v>132</v>
      </c>
      <c r="BH521" t="s">
        <v>5937</v>
      </c>
      <c r="BI521" t="s">
        <v>131</v>
      </c>
      <c r="BL521" t="s">
        <v>167</v>
      </c>
      <c r="BO521" t="s">
        <v>131</v>
      </c>
      <c r="BP521" t="s">
        <v>134</v>
      </c>
      <c r="BQ521" t="s">
        <v>131</v>
      </c>
      <c r="BS521" t="str">
        <f t="shared" si="40"/>
        <v>N/A</v>
      </c>
      <c r="BT521" t="s">
        <v>131</v>
      </c>
      <c r="BV521" t="str">
        <f>""</f>
        <v/>
      </c>
      <c r="BW521" t="s">
        <v>131</v>
      </c>
      <c r="BX521" t="str">
        <f>""</f>
        <v/>
      </c>
      <c r="BY521" t="str">
        <f>""</f>
        <v/>
      </c>
      <c r="BZ521" t="str">
        <f>""</f>
        <v/>
      </c>
      <c r="CA521" t="str">
        <f>""</f>
        <v/>
      </c>
      <c r="CB521" t="s">
        <v>131</v>
      </c>
      <c r="CF521" t="s">
        <v>131</v>
      </c>
      <c r="CH521" t="str">
        <f>""</f>
        <v/>
      </c>
      <c r="CI521" t="s">
        <v>131</v>
      </c>
      <c r="CK521" t="s">
        <v>131</v>
      </c>
      <c r="CL521" t="str">
        <f>""</f>
        <v/>
      </c>
      <c r="CM521" t="str">
        <f>""</f>
        <v/>
      </c>
      <c r="CN521" t="str">
        <f>""</f>
        <v/>
      </c>
      <c r="CO521" t="str">
        <f>""</f>
        <v/>
      </c>
      <c r="CP521" t="str">
        <f>"45-4011.00"</f>
        <v>45-4011.00</v>
      </c>
      <c r="CQ521" t="s">
        <v>4310</v>
      </c>
      <c r="CR521" t="s">
        <v>5068</v>
      </c>
      <c r="CS521" t="s">
        <v>135</v>
      </c>
      <c r="CT521" t="s">
        <v>15176</v>
      </c>
      <c r="CU521" t="s">
        <v>13123</v>
      </c>
      <c r="CW521" t="s">
        <v>10232</v>
      </c>
      <c r="CX521" t="s">
        <v>630</v>
      </c>
      <c r="CZ521" s="3" t="str">
        <f>"39365"</f>
        <v>39365</v>
      </c>
      <c r="DA521" t="s">
        <v>135</v>
      </c>
      <c r="DB521" t="str">
        <f>"45-4011"</f>
        <v>45-4011</v>
      </c>
      <c r="DC521" t="s">
        <v>4310</v>
      </c>
      <c r="DD521" t="s">
        <v>134</v>
      </c>
      <c r="DE521" t="s">
        <v>134</v>
      </c>
      <c r="DF521" t="str">
        <f>""</f>
        <v/>
      </c>
      <c r="DH521" s="6">
        <v>15.76</v>
      </c>
      <c r="DI521" t="s">
        <v>344</v>
      </c>
      <c r="DK521" t="s">
        <v>345</v>
      </c>
      <c r="DS521" s="6">
        <v>25.54</v>
      </c>
      <c r="DT521" s="2" t="s">
        <v>347</v>
      </c>
      <c r="DU521" s="1">
        <v>44369</v>
      </c>
      <c r="DV521" s="1">
        <v>44458</v>
      </c>
    </row>
    <row r="522" spans="1:126" ht="15" customHeight="1" x14ac:dyDescent="0.35">
      <c r="A522" t="s">
        <v>10969</v>
      </c>
      <c r="B522" t="s">
        <v>318</v>
      </c>
      <c r="C522" s="1">
        <v>44333</v>
      </c>
      <c r="D522" s="1">
        <v>44361</v>
      </c>
      <c r="H522" t="s">
        <v>319</v>
      </c>
      <c r="I522" t="s">
        <v>5141</v>
      </c>
      <c r="J522" t="s">
        <v>1519</v>
      </c>
      <c r="L522" t="s">
        <v>10970</v>
      </c>
      <c r="M522" t="s">
        <v>10971</v>
      </c>
      <c r="N522" t="s">
        <v>10972</v>
      </c>
      <c r="O522" t="s">
        <v>10973</v>
      </c>
      <c r="P522" t="s">
        <v>811</v>
      </c>
      <c r="Q522" s="3">
        <v>29928</v>
      </c>
      <c r="R522" t="s">
        <v>128</v>
      </c>
      <c r="T522" s="4">
        <v>18437851106</v>
      </c>
      <c r="V522" t="s">
        <v>10974</v>
      </c>
      <c r="W522" t="s">
        <v>10975</v>
      </c>
      <c r="X522" t="s">
        <v>10976</v>
      </c>
      <c r="Y522" t="s">
        <v>10971</v>
      </c>
      <c r="Z522" t="s">
        <v>10977</v>
      </c>
      <c r="AA522" t="s">
        <v>10973</v>
      </c>
      <c r="AB522" t="s">
        <v>812</v>
      </c>
      <c r="AC522" s="3" t="str">
        <f>"29928"</f>
        <v>29928</v>
      </c>
      <c r="AD522" t="s">
        <v>128</v>
      </c>
      <c r="AF522" s="4">
        <v>18437851106</v>
      </c>
      <c r="AH522" t="str">
        <f>"72111"</f>
        <v>72111</v>
      </c>
      <c r="AI522" t="s">
        <v>287</v>
      </c>
      <c r="AJ522" t="s">
        <v>2209</v>
      </c>
      <c r="AK522" t="s">
        <v>1459</v>
      </c>
      <c r="AL522" t="s">
        <v>2210</v>
      </c>
      <c r="AM522" t="s">
        <v>2211</v>
      </c>
      <c r="AN522" t="s">
        <v>788</v>
      </c>
      <c r="AO522" t="s">
        <v>2212</v>
      </c>
      <c r="AP522" t="s">
        <v>400</v>
      </c>
      <c r="AQ522" s="5">
        <v>75033</v>
      </c>
      <c r="AR522" t="s">
        <v>128</v>
      </c>
      <c r="AT522" s="4">
        <v>19727789690</v>
      </c>
      <c r="AV522" t="s">
        <v>4772</v>
      </c>
      <c r="AW522" t="s">
        <v>2214</v>
      </c>
      <c r="AX522" t="s">
        <v>131</v>
      </c>
      <c r="AY522" t="s">
        <v>131</v>
      </c>
      <c r="AZ522" t="s">
        <v>131</v>
      </c>
      <c r="BA522" t="s">
        <v>131</v>
      </c>
      <c r="BB522" t="s">
        <v>131</v>
      </c>
      <c r="BC522" t="s">
        <v>131</v>
      </c>
      <c r="BD522" t="s">
        <v>131</v>
      </c>
      <c r="BE522" t="s">
        <v>132</v>
      </c>
      <c r="BH522" t="s">
        <v>1080</v>
      </c>
      <c r="BI522" t="s">
        <v>131</v>
      </c>
      <c r="BL522" t="s">
        <v>167</v>
      </c>
      <c r="BO522" t="s">
        <v>131</v>
      </c>
      <c r="BP522" t="s">
        <v>134</v>
      </c>
      <c r="BQ522" t="s">
        <v>131</v>
      </c>
      <c r="BS522" t="str">
        <f t="shared" si="40"/>
        <v>N/A</v>
      </c>
      <c r="BT522" t="s">
        <v>135</v>
      </c>
      <c r="BU522">
        <v>3</v>
      </c>
      <c r="BV522" t="str">
        <f>"Hotel/Resort Cook experience"</f>
        <v>Hotel/Resort Cook experience</v>
      </c>
      <c r="BW522" t="s">
        <v>135</v>
      </c>
      <c r="BX522" t="str">
        <f>""</f>
        <v/>
      </c>
      <c r="BY522" t="str">
        <f>""</f>
        <v/>
      </c>
      <c r="BZ522" t="str">
        <f>""</f>
        <v/>
      </c>
      <c r="CA522" t="s">
        <v>10978</v>
      </c>
      <c r="CB522" t="s">
        <v>131</v>
      </c>
      <c r="CF522" t="s">
        <v>131</v>
      </c>
      <c r="CH522" t="str">
        <f>""</f>
        <v/>
      </c>
      <c r="CI522" t="s">
        <v>131</v>
      </c>
      <c r="CK522" t="s">
        <v>131</v>
      </c>
      <c r="CL522" t="str">
        <f>""</f>
        <v/>
      </c>
      <c r="CM522" t="str">
        <f>""</f>
        <v/>
      </c>
      <c r="CN522" t="str">
        <f>""</f>
        <v/>
      </c>
      <c r="CO522" t="str">
        <f>""</f>
        <v/>
      </c>
      <c r="CP522" t="str">
        <f>"35-2014.00"</f>
        <v>35-2014.00</v>
      </c>
      <c r="CQ522" t="s">
        <v>581</v>
      </c>
      <c r="CS522" t="s">
        <v>131</v>
      </c>
      <c r="CU522" t="s">
        <v>10971</v>
      </c>
      <c r="CW522" t="s">
        <v>10973</v>
      </c>
      <c r="CX522" t="s">
        <v>812</v>
      </c>
      <c r="CZ522" s="3" t="str">
        <f>"29928"</f>
        <v>29928</v>
      </c>
      <c r="DA522" t="s">
        <v>131</v>
      </c>
      <c r="DB522" t="str">
        <f>"35-2014"</f>
        <v>35-2014</v>
      </c>
      <c r="DC522" t="s">
        <v>581</v>
      </c>
      <c r="DD522" t="s">
        <v>134</v>
      </c>
      <c r="DE522" t="s">
        <v>134</v>
      </c>
      <c r="DF522" t="str">
        <f>""</f>
        <v/>
      </c>
      <c r="DH522" s="6">
        <v>13.72</v>
      </c>
      <c r="DI522" t="s">
        <v>344</v>
      </c>
      <c r="DK522" t="s">
        <v>345</v>
      </c>
      <c r="DR522" t="s">
        <v>6420</v>
      </c>
      <c r="DS522" s="6">
        <v>13.72</v>
      </c>
      <c r="DT522" t="s">
        <v>424</v>
      </c>
      <c r="DU522" s="1">
        <v>44361</v>
      </c>
      <c r="DV522" s="1">
        <v>44450</v>
      </c>
    </row>
    <row r="523" spans="1:126" ht="15" customHeight="1" x14ac:dyDescent="0.35">
      <c r="A523" t="s">
        <v>16537</v>
      </c>
      <c r="B523" t="s">
        <v>318</v>
      </c>
      <c r="C523" s="1">
        <v>44333</v>
      </c>
      <c r="D523" s="1">
        <v>44361</v>
      </c>
      <c r="H523" t="s">
        <v>319</v>
      </c>
      <c r="I523" t="s">
        <v>860</v>
      </c>
      <c r="J523" t="s">
        <v>948</v>
      </c>
      <c r="K523" t="s">
        <v>2673</v>
      </c>
      <c r="L523" t="s">
        <v>395</v>
      </c>
      <c r="M523" t="s">
        <v>16538</v>
      </c>
      <c r="O523" t="s">
        <v>6429</v>
      </c>
      <c r="P523" t="s">
        <v>539</v>
      </c>
      <c r="Q523" s="3">
        <v>62563</v>
      </c>
      <c r="R523" t="s">
        <v>128</v>
      </c>
      <c r="T523" s="4">
        <v>12178364943</v>
      </c>
      <c r="V523" t="s">
        <v>16539</v>
      </c>
      <c r="W523" t="s">
        <v>16540</v>
      </c>
      <c r="X523" t="s">
        <v>16541</v>
      </c>
      <c r="Y523" t="s">
        <v>16542</v>
      </c>
      <c r="AA523" t="s">
        <v>3344</v>
      </c>
      <c r="AB523" t="s">
        <v>263</v>
      </c>
      <c r="AC523" s="3" t="str">
        <f>"62563"</f>
        <v>62563</v>
      </c>
      <c r="AD523" t="s">
        <v>128</v>
      </c>
      <c r="AF523" s="4">
        <v>12178364943</v>
      </c>
      <c r="AH523" t="str">
        <f>"238140"</f>
        <v>238140</v>
      </c>
      <c r="AI523" t="s">
        <v>167</v>
      </c>
      <c r="AX523" t="s">
        <v>131</v>
      </c>
      <c r="AY523" t="s">
        <v>131</v>
      </c>
      <c r="AZ523" t="s">
        <v>131</v>
      </c>
      <c r="BA523" t="s">
        <v>131</v>
      </c>
      <c r="BB523" t="s">
        <v>131</v>
      </c>
      <c r="BC523" t="s">
        <v>131</v>
      </c>
      <c r="BD523" t="s">
        <v>131</v>
      </c>
      <c r="BE523" t="s">
        <v>132</v>
      </c>
      <c r="BH523" t="s">
        <v>4361</v>
      </c>
      <c r="BI523" t="s">
        <v>131</v>
      </c>
      <c r="BL523" t="s">
        <v>167</v>
      </c>
      <c r="BO523" t="s">
        <v>131</v>
      </c>
      <c r="BP523" t="s">
        <v>134</v>
      </c>
      <c r="BQ523" t="s">
        <v>131</v>
      </c>
      <c r="BS523" t="str">
        <f t="shared" si="40"/>
        <v>N/A</v>
      </c>
      <c r="BT523" t="s">
        <v>135</v>
      </c>
      <c r="BU523">
        <v>24</v>
      </c>
      <c r="BV523" t="str">
        <f>"brick and stone mason"</f>
        <v>brick and stone mason</v>
      </c>
      <c r="BW523" t="s">
        <v>131</v>
      </c>
      <c r="BX523" t="str">
        <f>""</f>
        <v/>
      </c>
      <c r="BY523" t="str">
        <f>""</f>
        <v/>
      </c>
      <c r="BZ523" t="str">
        <f>""</f>
        <v/>
      </c>
      <c r="CA523" t="str">
        <f>""</f>
        <v/>
      </c>
      <c r="CB523" t="s">
        <v>131</v>
      </c>
      <c r="CF523" t="s">
        <v>131</v>
      </c>
      <c r="CH523" t="str">
        <f>""</f>
        <v/>
      </c>
      <c r="CI523" t="s">
        <v>131</v>
      </c>
      <c r="CK523" t="s">
        <v>131</v>
      </c>
      <c r="CL523" t="str">
        <f>""</f>
        <v/>
      </c>
      <c r="CM523" t="str">
        <f>""</f>
        <v/>
      </c>
      <c r="CN523" t="str">
        <f>""</f>
        <v/>
      </c>
      <c r="CO523" t="str">
        <f>""</f>
        <v/>
      </c>
      <c r="CP523" t="str">
        <f>"47-2022.00"</f>
        <v>47-2022.00</v>
      </c>
      <c r="CQ523" t="s">
        <v>5319</v>
      </c>
      <c r="CR523" t="s">
        <v>3086</v>
      </c>
      <c r="CS523" t="s">
        <v>131</v>
      </c>
      <c r="CU523" t="s">
        <v>16543</v>
      </c>
      <c r="CW523" t="s">
        <v>6429</v>
      </c>
      <c r="CX523" t="s">
        <v>263</v>
      </c>
      <c r="CZ523" s="3" t="str">
        <f>"62702"</f>
        <v>62702</v>
      </c>
      <c r="DA523" t="s">
        <v>131</v>
      </c>
      <c r="DB523" t="str">
        <f>"47-2022"</f>
        <v>47-2022</v>
      </c>
      <c r="DC523" t="s">
        <v>5319</v>
      </c>
      <c r="DD523" t="s">
        <v>134</v>
      </c>
      <c r="DE523" t="s">
        <v>134</v>
      </c>
      <c r="DF523" t="str">
        <f>""</f>
        <v/>
      </c>
      <c r="DH523" s="6">
        <v>32.24</v>
      </c>
      <c r="DI523" t="s">
        <v>344</v>
      </c>
      <c r="DK523" t="s">
        <v>345</v>
      </c>
      <c r="DR523" t="s">
        <v>16544</v>
      </c>
      <c r="DS523" s="6">
        <v>32.24</v>
      </c>
      <c r="DT523" t="s">
        <v>424</v>
      </c>
      <c r="DU523" s="1">
        <v>44361</v>
      </c>
      <c r="DV523" s="1">
        <v>44450</v>
      </c>
    </row>
    <row r="524" spans="1:126" ht="15" customHeight="1" x14ac:dyDescent="0.35">
      <c r="A524" t="s">
        <v>17095</v>
      </c>
      <c r="B524" t="s">
        <v>318</v>
      </c>
      <c r="C524" s="1">
        <v>44333</v>
      </c>
      <c r="D524" s="1">
        <v>44361</v>
      </c>
      <c r="H524" t="s">
        <v>319</v>
      </c>
      <c r="I524" t="s">
        <v>860</v>
      </c>
      <c r="J524" t="s">
        <v>2673</v>
      </c>
      <c r="K524" t="s">
        <v>589</v>
      </c>
      <c r="L524" t="s">
        <v>1105</v>
      </c>
      <c r="M524" t="s">
        <v>17096</v>
      </c>
      <c r="N524" t="s">
        <v>17097</v>
      </c>
      <c r="O524" t="s">
        <v>17098</v>
      </c>
      <c r="P524" t="s">
        <v>127</v>
      </c>
      <c r="Q524" s="3">
        <v>12758</v>
      </c>
      <c r="R524" t="s">
        <v>128</v>
      </c>
      <c r="T524" s="4">
        <v>18457988915</v>
      </c>
      <c r="V524" t="s">
        <v>17099</v>
      </c>
      <c r="W524" t="s">
        <v>17100</v>
      </c>
      <c r="X524" t="s">
        <v>17101</v>
      </c>
      <c r="Y524" t="s">
        <v>17102</v>
      </c>
      <c r="AA524" t="s">
        <v>6737</v>
      </c>
      <c r="AB524" t="s">
        <v>129</v>
      </c>
      <c r="AC524" s="3" t="str">
        <f>"12754"</f>
        <v>12754</v>
      </c>
      <c r="AD524" t="s">
        <v>128</v>
      </c>
      <c r="AF524" s="4">
        <v>18457988915</v>
      </c>
      <c r="AH524" t="str">
        <f>"722511"</f>
        <v>722511</v>
      </c>
      <c r="AI524" t="s">
        <v>167</v>
      </c>
      <c r="AX524" t="s">
        <v>131</v>
      </c>
      <c r="AY524" t="s">
        <v>131</v>
      </c>
      <c r="AZ524" t="s">
        <v>131</v>
      </c>
      <c r="BA524" t="s">
        <v>131</v>
      </c>
      <c r="BB524" t="s">
        <v>131</v>
      </c>
      <c r="BC524" t="s">
        <v>131</v>
      </c>
      <c r="BD524" t="s">
        <v>131</v>
      </c>
      <c r="BE524" t="s">
        <v>132</v>
      </c>
      <c r="BH524" t="s">
        <v>17103</v>
      </c>
      <c r="BI524" t="s">
        <v>131</v>
      </c>
      <c r="BL524" t="s">
        <v>167</v>
      </c>
      <c r="BO524" t="s">
        <v>131</v>
      </c>
      <c r="BP524" t="s">
        <v>134</v>
      </c>
      <c r="BQ524" t="s">
        <v>131</v>
      </c>
      <c r="BS524" t="str">
        <f t="shared" si="40"/>
        <v>N/A</v>
      </c>
      <c r="BT524" t="s">
        <v>131</v>
      </c>
      <c r="BV524" t="str">
        <f>""</f>
        <v/>
      </c>
      <c r="BW524" t="s">
        <v>135</v>
      </c>
      <c r="BX524" t="str">
        <f>""</f>
        <v/>
      </c>
      <c r="BY524" t="str">
        <f>""</f>
        <v/>
      </c>
      <c r="BZ524" t="str">
        <f>""</f>
        <v/>
      </c>
      <c r="CA524" t="str">
        <f>"knowledge of authentic Thai recipes."</f>
        <v>knowledge of authentic Thai recipes.</v>
      </c>
      <c r="CB524" t="s">
        <v>131</v>
      </c>
      <c r="CF524" t="s">
        <v>131</v>
      </c>
      <c r="CH524" t="str">
        <f>""</f>
        <v/>
      </c>
      <c r="CI524" t="s">
        <v>131</v>
      </c>
      <c r="CK524" t="s">
        <v>131</v>
      </c>
      <c r="CL524" t="str">
        <f>""</f>
        <v/>
      </c>
      <c r="CM524" t="str">
        <f>""</f>
        <v/>
      </c>
      <c r="CN524" t="str">
        <f>""</f>
        <v/>
      </c>
      <c r="CO524" t="str">
        <f>""</f>
        <v/>
      </c>
      <c r="CP524" t="str">
        <f>"35-2014.00"</f>
        <v>35-2014.00</v>
      </c>
      <c r="CQ524" t="s">
        <v>581</v>
      </c>
      <c r="CR524" t="s">
        <v>17104</v>
      </c>
      <c r="CS524" t="s">
        <v>131</v>
      </c>
      <c r="CU524" t="s">
        <v>17102</v>
      </c>
      <c r="CW524" t="s">
        <v>6737</v>
      </c>
      <c r="CX524" t="s">
        <v>129</v>
      </c>
      <c r="CZ524" s="3" t="str">
        <f>"12754"</f>
        <v>12754</v>
      </c>
      <c r="DA524" t="s">
        <v>131</v>
      </c>
      <c r="DB524" t="str">
        <f>"35-2014"</f>
        <v>35-2014</v>
      </c>
      <c r="DC524" t="s">
        <v>581</v>
      </c>
      <c r="DD524" t="s">
        <v>134</v>
      </c>
      <c r="DE524" t="s">
        <v>134</v>
      </c>
      <c r="DF524" t="str">
        <f>""</f>
        <v/>
      </c>
      <c r="DH524" s="6">
        <v>14.21</v>
      </c>
      <c r="DI524" t="s">
        <v>344</v>
      </c>
      <c r="DK524" t="s">
        <v>345</v>
      </c>
      <c r="DS524" s="6">
        <v>14.21</v>
      </c>
      <c r="DT524" t="s">
        <v>424</v>
      </c>
      <c r="DU524" s="1">
        <v>44361</v>
      </c>
      <c r="DV524" s="1">
        <v>44450</v>
      </c>
    </row>
    <row r="525" spans="1:126" ht="15" customHeight="1" x14ac:dyDescent="0.35">
      <c r="A525" t="s">
        <v>17250</v>
      </c>
      <c r="B525" t="s">
        <v>318</v>
      </c>
      <c r="C525" s="1">
        <v>44333</v>
      </c>
      <c r="D525" s="1">
        <v>44364</v>
      </c>
      <c r="H525" t="s">
        <v>319</v>
      </c>
      <c r="I525" t="s">
        <v>17251</v>
      </c>
      <c r="J525" t="s">
        <v>2437</v>
      </c>
      <c r="L525" t="s">
        <v>17252</v>
      </c>
      <c r="M525" t="s">
        <v>17253</v>
      </c>
      <c r="O525" t="s">
        <v>17254</v>
      </c>
      <c r="P525" t="s">
        <v>127</v>
      </c>
      <c r="Q525" s="3">
        <v>12534</v>
      </c>
      <c r="R525" t="s">
        <v>128</v>
      </c>
      <c r="T525" s="4">
        <v>15188281151</v>
      </c>
      <c r="V525" t="s">
        <v>17255</v>
      </c>
      <c r="W525" t="s">
        <v>17256</v>
      </c>
      <c r="Y525" t="s">
        <v>17253</v>
      </c>
      <c r="AA525" t="s">
        <v>17254</v>
      </c>
      <c r="AB525" t="s">
        <v>129</v>
      </c>
      <c r="AC525" s="3" t="str">
        <f>"12534"</f>
        <v>12534</v>
      </c>
      <c r="AD525" t="s">
        <v>128</v>
      </c>
      <c r="AF525" s="4">
        <v>15188281151</v>
      </c>
      <c r="AH525" t="str">
        <f>"3331"</f>
        <v>3331</v>
      </c>
      <c r="AI525" t="s">
        <v>287</v>
      </c>
      <c r="AJ525" t="s">
        <v>17257</v>
      </c>
      <c r="AK525" t="s">
        <v>17258</v>
      </c>
      <c r="AM525" t="s">
        <v>17259</v>
      </c>
      <c r="AN525" t="s">
        <v>17260</v>
      </c>
      <c r="AO525" t="s">
        <v>17261</v>
      </c>
      <c r="AP525" t="s">
        <v>129</v>
      </c>
      <c r="AQ525" s="5">
        <v>12547</v>
      </c>
      <c r="AR525" t="s">
        <v>128</v>
      </c>
      <c r="AT525" s="4">
        <v>18457952128</v>
      </c>
      <c r="AV525" t="s">
        <v>17262</v>
      </c>
      <c r="AW525" t="s">
        <v>17263</v>
      </c>
      <c r="AX525" t="s">
        <v>131</v>
      </c>
      <c r="AY525" t="s">
        <v>131</v>
      </c>
      <c r="AZ525" t="s">
        <v>131</v>
      </c>
      <c r="BA525" t="s">
        <v>131</v>
      </c>
      <c r="BB525" t="s">
        <v>131</v>
      </c>
      <c r="BC525" t="s">
        <v>131</v>
      </c>
      <c r="BD525" t="s">
        <v>131</v>
      </c>
      <c r="BE525" t="s">
        <v>132</v>
      </c>
      <c r="BH525" t="s">
        <v>17264</v>
      </c>
      <c r="BI525" t="s">
        <v>131</v>
      </c>
      <c r="BL525" t="s">
        <v>167</v>
      </c>
      <c r="BO525" t="s">
        <v>131</v>
      </c>
      <c r="BP525" t="s">
        <v>134</v>
      </c>
      <c r="BQ525" t="s">
        <v>131</v>
      </c>
      <c r="BS525" t="str">
        <f t="shared" si="40"/>
        <v>N/A</v>
      </c>
      <c r="BT525" t="s">
        <v>131</v>
      </c>
      <c r="BV525" t="str">
        <f>""</f>
        <v/>
      </c>
      <c r="BW525" t="s">
        <v>135</v>
      </c>
      <c r="BX525" t="str">
        <f>""</f>
        <v/>
      </c>
      <c r="BY525" t="str">
        <f>""</f>
        <v/>
      </c>
      <c r="BZ525" t="str">
        <f>""</f>
        <v/>
      </c>
      <c r="CA525" t="str">
        <f>"LIFT 50 LBS ON A CONTINUOUS BASIS THROUGHOUT THE DAY "</f>
        <v xml:space="preserve">LIFT 50 LBS ON A CONTINUOUS BASIS THROUGHOUT THE DAY </v>
      </c>
      <c r="CB525" t="s">
        <v>131</v>
      </c>
      <c r="CF525" t="s">
        <v>131</v>
      </c>
      <c r="CH525" t="str">
        <f>""</f>
        <v/>
      </c>
      <c r="CI525" t="s">
        <v>131</v>
      </c>
      <c r="CK525" t="s">
        <v>131</v>
      </c>
      <c r="CL525" t="str">
        <f>""</f>
        <v/>
      </c>
      <c r="CM525" t="str">
        <f>""</f>
        <v/>
      </c>
      <c r="CN525" t="str">
        <f>""</f>
        <v/>
      </c>
      <c r="CO525" t="str">
        <f>""</f>
        <v/>
      </c>
      <c r="CP525" t="str">
        <f>"45-2041.00"</f>
        <v>45-2041.00</v>
      </c>
      <c r="CQ525" t="s">
        <v>4187</v>
      </c>
      <c r="CR525" t="s">
        <v>17265</v>
      </c>
      <c r="CS525" t="s">
        <v>131</v>
      </c>
      <c r="CU525" t="s">
        <v>17266</v>
      </c>
      <c r="CW525" t="s">
        <v>17254</v>
      </c>
      <c r="CX525" t="s">
        <v>129</v>
      </c>
      <c r="CZ525" s="3" t="str">
        <f>"12534"</f>
        <v>12534</v>
      </c>
      <c r="DA525" t="s">
        <v>131</v>
      </c>
      <c r="DB525" t="str">
        <f>"45-2041"</f>
        <v>45-2041</v>
      </c>
      <c r="DC525" t="s">
        <v>4187</v>
      </c>
      <c r="DD525" t="s">
        <v>134</v>
      </c>
      <c r="DE525" t="s">
        <v>134</v>
      </c>
      <c r="DF525" t="str">
        <f>""</f>
        <v/>
      </c>
      <c r="DH525" s="6">
        <v>15.67</v>
      </c>
      <c r="DI525" t="s">
        <v>344</v>
      </c>
      <c r="DK525" t="s">
        <v>345</v>
      </c>
      <c r="DR525" t="s">
        <v>17267</v>
      </c>
      <c r="DS525" s="6">
        <v>15.67</v>
      </c>
      <c r="DT525" t="s">
        <v>424</v>
      </c>
      <c r="DU525" s="1">
        <v>44364</v>
      </c>
      <c r="DV525" s="1">
        <v>44453</v>
      </c>
    </row>
    <row r="526" spans="1:126" ht="15" customHeight="1" x14ac:dyDescent="0.35">
      <c r="A526" t="s">
        <v>10750</v>
      </c>
      <c r="B526" t="s">
        <v>318</v>
      </c>
      <c r="C526" s="1">
        <v>44333</v>
      </c>
      <c r="D526" s="1">
        <v>44361</v>
      </c>
      <c r="H526" t="s">
        <v>319</v>
      </c>
      <c r="I526" t="s">
        <v>3354</v>
      </c>
      <c r="J526" t="s">
        <v>8925</v>
      </c>
      <c r="L526" t="s">
        <v>8414</v>
      </c>
      <c r="M526" t="s">
        <v>8926</v>
      </c>
      <c r="O526" t="s">
        <v>1674</v>
      </c>
      <c r="P526" t="s">
        <v>1675</v>
      </c>
      <c r="Q526" s="3">
        <v>68512</v>
      </c>
      <c r="R526" t="s">
        <v>128</v>
      </c>
      <c r="T526" s="4">
        <v>14024236653</v>
      </c>
      <c r="V526" t="s">
        <v>8927</v>
      </c>
      <c r="W526" t="s">
        <v>8928</v>
      </c>
      <c r="Y526" t="s">
        <v>8926</v>
      </c>
      <c r="AA526" t="s">
        <v>1674</v>
      </c>
      <c r="AB526" t="s">
        <v>1176</v>
      </c>
      <c r="AC526" s="3" t="str">
        <f>"68512"</f>
        <v>68512</v>
      </c>
      <c r="AD526" t="s">
        <v>128</v>
      </c>
      <c r="AF526" s="4">
        <v>14024236653</v>
      </c>
      <c r="AH526" t="str">
        <f>"237990"</f>
        <v>237990</v>
      </c>
      <c r="AI526" t="s">
        <v>130</v>
      </c>
      <c r="AJ526" t="s">
        <v>4566</v>
      </c>
      <c r="AK526" t="s">
        <v>4567</v>
      </c>
      <c r="AL526" t="s">
        <v>4568</v>
      </c>
      <c r="AM526" t="s">
        <v>4569</v>
      </c>
      <c r="AN526" t="s">
        <v>4570</v>
      </c>
      <c r="AO526" t="s">
        <v>433</v>
      </c>
      <c r="AP526" t="s">
        <v>400</v>
      </c>
      <c r="AQ526" s="5">
        <v>75234</v>
      </c>
      <c r="AR526" t="s">
        <v>128</v>
      </c>
      <c r="AT526" s="4">
        <v>19722416445</v>
      </c>
      <c r="AV526" t="s">
        <v>4571</v>
      </c>
      <c r="AW526" t="s">
        <v>4572</v>
      </c>
      <c r="AX526" t="s">
        <v>131</v>
      </c>
      <c r="AY526" t="s">
        <v>131</v>
      </c>
      <c r="AZ526" t="s">
        <v>131</v>
      </c>
      <c r="BA526" t="s">
        <v>131</v>
      </c>
      <c r="BB526" t="s">
        <v>131</v>
      </c>
      <c r="BC526" t="s">
        <v>131</v>
      </c>
      <c r="BD526" t="s">
        <v>131</v>
      </c>
      <c r="BE526" t="s">
        <v>132</v>
      </c>
      <c r="BH526" t="s">
        <v>8929</v>
      </c>
      <c r="BI526" t="s">
        <v>131</v>
      </c>
      <c r="BL526" t="s">
        <v>167</v>
      </c>
      <c r="BO526" t="s">
        <v>131</v>
      </c>
      <c r="BP526" t="s">
        <v>134</v>
      </c>
      <c r="BQ526" t="s">
        <v>131</v>
      </c>
      <c r="BS526" t="str">
        <f t="shared" si="40"/>
        <v>N/A</v>
      </c>
      <c r="BT526" t="s">
        <v>135</v>
      </c>
      <c r="BU526">
        <v>6</v>
      </c>
      <c r="BV526" t="str">
        <f>"Landscape Laborer"</f>
        <v>Landscape Laborer</v>
      </c>
      <c r="BW526" t="s">
        <v>135</v>
      </c>
      <c r="BX526" t="str">
        <f>""</f>
        <v/>
      </c>
      <c r="BY526" t="str">
        <f>""</f>
        <v/>
      </c>
      <c r="BZ526" t="str">
        <f>""</f>
        <v/>
      </c>
      <c r="CA526" t="s">
        <v>9095</v>
      </c>
      <c r="CB526" t="s">
        <v>131</v>
      </c>
      <c r="CF526" t="s">
        <v>131</v>
      </c>
      <c r="CH526" t="str">
        <f>""</f>
        <v/>
      </c>
      <c r="CI526" t="s">
        <v>131</v>
      </c>
      <c r="CK526" t="s">
        <v>131</v>
      </c>
      <c r="CL526" t="str">
        <f>""</f>
        <v/>
      </c>
      <c r="CM526" t="str">
        <f>""</f>
        <v/>
      </c>
      <c r="CN526" t="str">
        <f>""</f>
        <v/>
      </c>
      <c r="CO526" t="str">
        <f>""</f>
        <v/>
      </c>
      <c r="CP526" t="str">
        <f>"37-3011.00"</f>
        <v>37-3011.00</v>
      </c>
      <c r="CQ526" t="s">
        <v>920</v>
      </c>
      <c r="CR526" t="s">
        <v>8930</v>
      </c>
      <c r="CS526" t="s">
        <v>131</v>
      </c>
      <c r="CU526" t="s">
        <v>10751</v>
      </c>
      <c r="CV526" t="s">
        <v>8932</v>
      </c>
      <c r="CW526" t="s">
        <v>10752</v>
      </c>
      <c r="CX526" t="s">
        <v>306</v>
      </c>
      <c r="CZ526" s="3" t="str">
        <f>"23226"</f>
        <v>23226</v>
      </c>
      <c r="DA526" t="s">
        <v>131</v>
      </c>
      <c r="DB526" t="str">
        <f>"37-3011"</f>
        <v>37-3011</v>
      </c>
      <c r="DC526" t="s">
        <v>920</v>
      </c>
      <c r="DD526" t="s">
        <v>134</v>
      </c>
      <c r="DE526" t="s">
        <v>134</v>
      </c>
      <c r="DF526" t="str">
        <f>""</f>
        <v/>
      </c>
      <c r="DH526" s="6">
        <v>16.100000000000001</v>
      </c>
      <c r="DI526" t="s">
        <v>344</v>
      </c>
      <c r="DK526" t="s">
        <v>345</v>
      </c>
      <c r="DS526" s="6">
        <v>16.100000000000001</v>
      </c>
      <c r="DT526" t="s">
        <v>424</v>
      </c>
      <c r="DU526" s="1">
        <v>44361</v>
      </c>
      <c r="DV526" s="1">
        <v>44450</v>
      </c>
    </row>
    <row r="527" spans="1:126" ht="15" customHeight="1" x14ac:dyDescent="0.35">
      <c r="A527" t="s">
        <v>19832</v>
      </c>
      <c r="B527" t="s">
        <v>318</v>
      </c>
      <c r="C527" s="1">
        <v>44333</v>
      </c>
      <c r="D527" s="1">
        <v>44361</v>
      </c>
      <c r="H527" t="s">
        <v>319</v>
      </c>
      <c r="I527" t="s">
        <v>3354</v>
      </c>
      <c r="J527" t="s">
        <v>8925</v>
      </c>
      <c r="L527" t="s">
        <v>8414</v>
      </c>
      <c r="M527" t="s">
        <v>8926</v>
      </c>
      <c r="O527" t="s">
        <v>1674</v>
      </c>
      <c r="P527" t="s">
        <v>1675</v>
      </c>
      <c r="Q527" s="3">
        <v>68512</v>
      </c>
      <c r="R527" t="s">
        <v>128</v>
      </c>
      <c r="T527" s="4">
        <v>14024236653</v>
      </c>
      <c r="V527" t="s">
        <v>8927</v>
      </c>
      <c r="W527" t="s">
        <v>8928</v>
      </c>
      <c r="Y527" t="s">
        <v>8926</v>
      </c>
      <c r="AA527" t="s">
        <v>1674</v>
      </c>
      <c r="AB527" t="s">
        <v>1176</v>
      </c>
      <c r="AC527" s="3" t="str">
        <f>"68512"</f>
        <v>68512</v>
      </c>
      <c r="AD527" t="s">
        <v>128</v>
      </c>
      <c r="AF527" s="4">
        <v>14024236653</v>
      </c>
      <c r="AH527" t="str">
        <f>"237990"</f>
        <v>237990</v>
      </c>
      <c r="AI527" t="s">
        <v>130</v>
      </c>
      <c r="AJ527" t="s">
        <v>4566</v>
      </c>
      <c r="AK527" t="s">
        <v>4567</v>
      </c>
      <c r="AL527" t="s">
        <v>4568</v>
      </c>
      <c r="AM527" t="s">
        <v>4569</v>
      </c>
      <c r="AN527" t="s">
        <v>4570</v>
      </c>
      <c r="AO527" t="s">
        <v>433</v>
      </c>
      <c r="AP527" t="s">
        <v>400</v>
      </c>
      <c r="AQ527" s="5">
        <v>75234</v>
      </c>
      <c r="AR527" t="s">
        <v>128</v>
      </c>
      <c r="AT527" s="4">
        <v>19722416445</v>
      </c>
      <c r="AV527" t="s">
        <v>4571</v>
      </c>
      <c r="AW527" t="s">
        <v>4572</v>
      </c>
      <c r="AX527" t="s">
        <v>131</v>
      </c>
      <c r="AY527" t="s">
        <v>131</v>
      </c>
      <c r="AZ527" t="s">
        <v>131</v>
      </c>
      <c r="BA527" t="s">
        <v>131</v>
      </c>
      <c r="BB527" t="s">
        <v>131</v>
      </c>
      <c r="BC527" t="s">
        <v>131</v>
      </c>
      <c r="BD527" t="s">
        <v>131</v>
      </c>
      <c r="BE527" t="s">
        <v>132</v>
      </c>
      <c r="BH527" t="s">
        <v>8929</v>
      </c>
      <c r="BI527" t="s">
        <v>131</v>
      </c>
      <c r="BL527" t="s">
        <v>167</v>
      </c>
      <c r="BO527" t="s">
        <v>131</v>
      </c>
      <c r="BP527" t="s">
        <v>134</v>
      </c>
      <c r="BQ527" t="s">
        <v>131</v>
      </c>
      <c r="BS527" t="str">
        <f t="shared" si="40"/>
        <v>N/A</v>
      </c>
      <c r="BT527" t="s">
        <v>135</v>
      </c>
      <c r="BU527">
        <v>6</v>
      </c>
      <c r="BV527" t="str">
        <f>"Landscape Laborer"</f>
        <v>Landscape Laborer</v>
      </c>
      <c r="BW527" t="s">
        <v>135</v>
      </c>
      <c r="BX527" t="str">
        <f>""</f>
        <v/>
      </c>
      <c r="BY527" t="str">
        <f>""</f>
        <v/>
      </c>
      <c r="BZ527" t="str">
        <f>""</f>
        <v/>
      </c>
      <c r="CA527" t="s">
        <v>9095</v>
      </c>
      <c r="CB527" t="s">
        <v>131</v>
      </c>
      <c r="CF527" t="s">
        <v>131</v>
      </c>
      <c r="CH527" t="str">
        <f>""</f>
        <v/>
      </c>
      <c r="CI527" t="s">
        <v>131</v>
      </c>
      <c r="CK527" t="s">
        <v>131</v>
      </c>
      <c r="CL527" t="str">
        <f>""</f>
        <v/>
      </c>
      <c r="CM527" t="str">
        <f>""</f>
        <v/>
      </c>
      <c r="CN527" t="str">
        <f>""</f>
        <v/>
      </c>
      <c r="CO527" t="str">
        <f>""</f>
        <v/>
      </c>
      <c r="CP527" t="str">
        <f>"37-3011.00"</f>
        <v>37-3011.00</v>
      </c>
      <c r="CQ527" t="s">
        <v>920</v>
      </c>
      <c r="CR527" t="s">
        <v>8930</v>
      </c>
      <c r="CS527" t="s">
        <v>131</v>
      </c>
      <c r="CU527" t="s">
        <v>19833</v>
      </c>
      <c r="CV527" t="s">
        <v>8932</v>
      </c>
      <c r="CW527" t="s">
        <v>19834</v>
      </c>
      <c r="CX527" t="s">
        <v>306</v>
      </c>
      <c r="CZ527" s="3" t="str">
        <f>"23103"</f>
        <v>23103</v>
      </c>
      <c r="DA527" t="s">
        <v>131</v>
      </c>
      <c r="DB527" t="str">
        <f>"37-3011"</f>
        <v>37-3011</v>
      </c>
      <c r="DC527" t="s">
        <v>920</v>
      </c>
      <c r="DD527" t="s">
        <v>134</v>
      </c>
      <c r="DE527" t="s">
        <v>134</v>
      </c>
      <c r="DF527" t="str">
        <f>""</f>
        <v/>
      </c>
      <c r="DH527" s="6">
        <v>16.100000000000001</v>
      </c>
      <c r="DI527" t="s">
        <v>344</v>
      </c>
      <c r="DK527" t="s">
        <v>345</v>
      </c>
      <c r="DS527" s="6">
        <v>16.100000000000001</v>
      </c>
      <c r="DT527" t="s">
        <v>424</v>
      </c>
      <c r="DU527" s="1">
        <v>44361</v>
      </c>
      <c r="DV527" s="1">
        <v>44450</v>
      </c>
    </row>
    <row r="528" spans="1:126" ht="15" customHeight="1" x14ac:dyDescent="0.35">
      <c r="A528" t="s">
        <v>9094</v>
      </c>
      <c r="B528" t="s">
        <v>318</v>
      </c>
      <c r="C528" s="1">
        <v>44333</v>
      </c>
      <c r="D528" s="1">
        <v>44361</v>
      </c>
      <c r="H528" t="s">
        <v>319</v>
      </c>
      <c r="I528" t="s">
        <v>3354</v>
      </c>
      <c r="J528" t="s">
        <v>8925</v>
      </c>
      <c r="L528" t="s">
        <v>8414</v>
      </c>
      <c r="M528" t="s">
        <v>8926</v>
      </c>
      <c r="O528" t="s">
        <v>1674</v>
      </c>
      <c r="P528" t="s">
        <v>1675</v>
      </c>
      <c r="Q528" s="3">
        <v>68512</v>
      </c>
      <c r="R528" t="s">
        <v>128</v>
      </c>
      <c r="T528" s="4">
        <v>14024236653</v>
      </c>
      <c r="V528" t="s">
        <v>8927</v>
      </c>
      <c r="W528" t="s">
        <v>8928</v>
      </c>
      <c r="Y528" t="s">
        <v>8926</v>
      </c>
      <c r="AA528" t="s">
        <v>1674</v>
      </c>
      <c r="AB528" t="s">
        <v>1176</v>
      </c>
      <c r="AC528" s="3" t="str">
        <f>"68512"</f>
        <v>68512</v>
      </c>
      <c r="AD528" t="s">
        <v>128</v>
      </c>
      <c r="AF528" s="4">
        <v>14024236653</v>
      </c>
      <c r="AH528" t="str">
        <f>"237990"</f>
        <v>237990</v>
      </c>
      <c r="AI528" t="s">
        <v>130</v>
      </c>
      <c r="AJ528" t="s">
        <v>4566</v>
      </c>
      <c r="AK528" t="s">
        <v>4567</v>
      </c>
      <c r="AL528" t="s">
        <v>4568</v>
      </c>
      <c r="AM528" t="s">
        <v>4569</v>
      </c>
      <c r="AN528" t="s">
        <v>4570</v>
      </c>
      <c r="AO528" t="s">
        <v>433</v>
      </c>
      <c r="AP528" t="s">
        <v>400</v>
      </c>
      <c r="AQ528" s="5">
        <v>75234</v>
      </c>
      <c r="AR528" t="s">
        <v>128</v>
      </c>
      <c r="AT528" s="4">
        <v>19722416445</v>
      </c>
      <c r="AV528" t="s">
        <v>4571</v>
      </c>
      <c r="AW528" t="s">
        <v>4572</v>
      </c>
      <c r="AX528" t="s">
        <v>131</v>
      </c>
      <c r="AY528" t="s">
        <v>131</v>
      </c>
      <c r="AZ528" t="s">
        <v>131</v>
      </c>
      <c r="BA528" t="s">
        <v>131</v>
      </c>
      <c r="BB528" t="s">
        <v>131</v>
      </c>
      <c r="BC528" t="s">
        <v>131</v>
      </c>
      <c r="BD528" t="s">
        <v>131</v>
      </c>
      <c r="BE528" t="s">
        <v>132</v>
      </c>
      <c r="BH528" t="s">
        <v>8929</v>
      </c>
      <c r="BI528" t="s">
        <v>131</v>
      </c>
      <c r="BL528" t="s">
        <v>167</v>
      </c>
      <c r="BO528" t="s">
        <v>131</v>
      </c>
      <c r="BP528" t="s">
        <v>134</v>
      </c>
      <c r="BQ528" t="s">
        <v>131</v>
      </c>
      <c r="BS528" t="str">
        <f t="shared" si="40"/>
        <v>N/A</v>
      </c>
      <c r="BT528" t="s">
        <v>135</v>
      </c>
      <c r="BU528">
        <v>6</v>
      </c>
      <c r="BV528" t="str">
        <f>"Landscape Laborer"</f>
        <v>Landscape Laborer</v>
      </c>
      <c r="BW528" t="s">
        <v>135</v>
      </c>
      <c r="BX528" t="str">
        <f>""</f>
        <v/>
      </c>
      <c r="BY528" t="str">
        <f>""</f>
        <v/>
      </c>
      <c r="BZ528" t="str">
        <f>""</f>
        <v/>
      </c>
      <c r="CA528" t="s">
        <v>9095</v>
      </c>
      <c r="CB528" t="s">
        <v>131</v>
      </c>
      <c r="CF528" t="s">
        <v>131</v>
      </c>
      <c r="CH528" t="str">
        <f>""</f>
        <v/>
      </c>
      <c r="CI528" t="s">
        <v>131</v>
      </c>
      <c r="CK528" t="s">
        <v>131</v>
      </c>
      <c r="CL528" t="str">
        <f>""</f>
        <v/>
      </c>
      <c r="CM528" t="str">
        <f>""</f>
        <v/>
      </c>
      <c r="CN528" t="str">
        <f>""</f>
        <v/>
      </c>
      <c r="CO528" t="str">
        <f>""</f>
        <v/>
      </c>
      <c r="CP528" t="str">
        <f>"37-3011.00"</f>
        <v>37-3011.00</v>
      </c>
      <c r="CQ528" t="s">
        <v>920</v>
      </c>
      <c r="CR528" t="s">
        <v>8930</v>
      </c>
      <c r="CS528" t="s">
        <v>131</v>
      </c>
      <c r="CU528" t="s">
        <v>9096</v>
      </c>
      <c r="CV528" t="s">
        <v>8932</v>
      </c>
      <c r="CW528" t="s">
        <v>9097</v>
      </c>
      <c r="CX528" t="s">
        <v>229</v>
      </c>
      <c r="CZ528" s="3" t="str">
        <f>"46375"</f>
        <v>46375</v>
      </c>
      <c r="DA528" t="s">
        <v>131</v>
      </c>
      <c r="DB528" t="str">
        <f>"37-3011"</f>
        <v>37-3011</v>
      </c>
      <c r="DC528" t="s">
        <v>920</v>
      </c>
      <c r="DD528" t="s">
        <v>134</v>
      </c>
      <c r="DE528" t="s">
        <v>134</v>
      </c>
      <c r="DF528" t="str">
        <f>""</f>
        <v/>
      </c>
      <c r="DH528" s="6">
        <v>16.34</v>
      </c>
      <c r="DI528" t="s">
        <v>344</v>
      </c>
      <c r="DK528" t="s">
        <v>345</v>
      </c>
      <c r="DS528" s="6">
        <v>16.34</v>
      </c>
      <c r="DT528" t="s">
        <v>424</v>
      </c>
      <c r="DU528" s="1">
        <v>44361</v>
      </c>
      <c r="DV528" s="1">
        <v>44450</v>
      </c>
    </row>
    <row r="529" spans="1:126" ht="15" customHeight="1" x14ac:dyDescent="0.35">
      <c r="A529" t="s">
        <v>9722</v>
      </c>
      <c r="B529" t="s">
        <v>318</v>
      </c>
      <c r="C529" s="1">
        <v>44333</v>
      </c>
      <c r="D529" s="1">
        <v>44364</v>
      </c>
      <c r="H529" t="s">
        <v>319</v>
      </c>
      <c r="I529" t="s">
        <v>3354</v>
      </c>
      <c r="J529" t="s">
        <v>8925</v>
      </c>
      <c r="L529" t="s">
        <v>8414</v>
      </c>
      <c r="M529" t="s">
        <v>8926</v>
      </c>
      <c r="O529" t="s">
        <v>1674</v>
      </c>
      <c r="P529" t="s">
        <v>1675</v>
      </c>
      <c r="Q529" s="3">
        <v>68512</v>
      </c>
      <c r="R529" t="s">
        <v>128</v>
      </c>
      <c r="T529" s="4">
        <v>14024236653</v>
      </c>
      <c r="V529" t="s">
        <v>8927</v>
      </c>
      <c r="W529" t="s">
        <v>8928</v>
      </c>
      <c r="Y529" t="s">
        <v>8926</v>
      </c>
      <c r="AA529" t="s">
        <v>1674</v>
      </c>
      <c r="AB529" t="s">
        <v>1176</v>
      </c>
      <c r="AC529" s="3" t="str">
        <f>"68512"</f>
        <v>68512</v>
      </c>
      <c r="AD529" t="s">
        <v>128</v>
      </c>
      <c r="AF529" s="4">
        <v>14024236653</v>
      </c>
      <c r="AH529" t="str">
        <f>"237990"</f>
        <v>237990</v>
      </c>
      <c r="AI529" t="s">
        <v>130</v>
      </c>
      <c r="AJ529" t="s">
        <v>4566</v>
      </c>
      <c r="AK529" t="s">
        <v>4567</v>
      </c>
      <c r="AL529" t="s">
        <v>4568</v>
      </c>
      <c r="AM529" t="s">
        <v>4569</v>
      </c>
      <c r="AN529" t="s">
        <v>4570</v>
      </c>
      <c r="AO529" t="s">
        <v>433</v>
      </c>
      <c r="AP529" t="s">
        <v>400</v>
      </c>
      <c r="AQ529" s="5">
        <v>75234</v>
      </c>
      <c r="AR529" t="s">
        <v>128</v>
      </c>
      <c r="AT529" s="4">
        <v>19722416445</v>
      </c>
      <c r="AV529" t="s">
        <v>4571</v>
      </c>
      <c r="AW529" t="s">
        <v>4572</v>
      </c>
      <c r="AX529" t="s">
        <v>131</v>
      </c>
      <c r="AY529" t="s">
        <v>131</v>
      </c>
      <c r="AZ529" t="s">
        <v>131</v>
      </c>
      <c r="BA529" t="s">
        <v>131</v>
      </c>
      <c r="BB529" t="s">
        <v>131</v>
      </c>
      <c r="BC529" t="s">
        <v>131</v>
      </c>
      <c r="BD529" t="s">
        <v>131</v>
      </c>
      <c r="BE529" t="s">
        <v>132</v>
      </c>
      <c r="BH529" t="s">
        <v>8929</v>
      </c>
      <c r="BI529" t="s">
        <v>131</v>
      </c>
      <c r="BL529" t="s">
        <v>167</v>
      </c>
      <c r="BO529" t="s">
        <v>131</v>
      </c>
      <c r="BP529" t="s">
        <v>134</v>
      </c>
      <c r="BQ529" t="s">
        <v>131</v>
      </c>
      <c r="BS529" t="str">
        <f t="shared" si="40"/>
        <v>N/A</v>
      </c>
      <c r="BT529" t="s">
        <v>135</v>
      </c>
      <c r="BU529">
        <v>6</v>
      </c>
      <c r="BV529" t="str">
        <f>"Landscape Laborer"</f>
        <v>Landscape Laborer</v>
      </c>
      <c r="BW529" t="s">
        <v>135</v>
      </c>
      <c r="BX529" t="str">
        <f>""</f>
        <v/>
      </c>
      <c r="BY529" t="str">
        <f>""</f>
        <v/>
      </c>
      <c r="BZ529" t="str">
        <f>""</f>
        <v/>
      </c>
      <c r="CA529" t="s">
        <v>9095</v>
      </c>
      <c r="CB529" t="s">
        <v>131</v>
      </c>
      <c r="CF529" t="s">
        <v>131</v>
      </c>
      <c r="CH529" t="str">
        <f>""</f>
        <v/>
      </c>
      <c r="CI529" t="s">
        <v>131</v>
      </c>
      <c r="CK529" t="s">
        <v>131</v>
      </c>
      <c r="CL529" t="str">
        <f>""</f>
        <v/>
      </c>
      <c r="CM529" t="str">
        <f>""</f>
        <v/>
      </c>
      <c r="CN529" t="str">
        <f>""</f>
        <v/>
      </c>
      <c r="CO529" t="str">
        <f>""</f>
        <v/>
      </c>
      <c r="CP529" t="str">
        <f>"37-3011.00"</f>
        <v>37-3011.00</v>
      </c>
      <c r="CQ529" t="s">
        <v>920</v>
      </c>
      <c r="CR529" t="s">
        <v>8930</v>
      </c>
      <c r="CS529" t="s">
        <v>131</v>
      </c>
      <c r="CU529" t="s">
        <v>9723</v>
      </c>
      <c r="CV529" t="s">
        <v>8932</v>
      </c>
      <c r="CW529" t="s">
        <v>9724</v>
      </c>
      <c r="CX529" t="s">
        <v>6838</v>
      </c>
      <c r="CZ529" s="3" t="str">
        <f>"82609"</f>
        <v>82609</v>
      </c>
      <c r="DA529" t="s">
        <v>131</v>
      </c>
      <c r="DB529" t="str">
        <f>"37-3011"</f>
        <v>37-3011</v>
      </c>
      <c r="DC529" t="s">
        <v>920</v>
      </c>
      <c r="DD529" t="s">
        <v>134</v>
      </c>
      <c r="DE529" t="s">
        <v>134</v>
      </c>
      <c r="DF529" t="str">
        <f>""</f>
        <v/>
      </c>
      <c r="DH529" s="6">
        <v>12.92</v>
      </c>
      <c r="DI529" t="s">
        <v>344</v>
      </c>
      <c r="DK529" t="s">
        <v>345</v>
      </c>
      <c r="DS529" s="6">
        <v>12.92</v>
      </c>
      <c r="DT529" t="s">
        <v>424</v>
      </c>
      <c r="DU529" s="1">
        <v>44364</v>
      </c>
      <c r="DV529" s="1">
        <v>44453</v>
      </c>
    </row>
    <row r="530" spans="1:126" ht="15" customHeight="1" x14ac:dyDescent="0.35">
      <c r="A530" t="s">
        <v>17472</v>
      </c>
      <c r="B530" t="s">
        <v>318</v>
      </c>
      <c r="C530" s="1">
        <v>44333</v>
      </c>
      <c r="D530" s="1">
        <v>44361</v>
      </c>
      <c r="H530" t="s">
        <v>319</v>
      </c>
      <c r="I530" t="s">
        <v>3354</v>
      </c>
      <c r="J530" t="s">
        <v>8925</v>
      </c>
      <c r="L530" t="s">
        <v>8414</v>
      </c>
      <c r="M530" t="s">
        <v>8926</v>
      </c>
      <c r="O530" t="s">
        <v>1674</v>
      </c>
      <c r="P530" t="s">
        <v>1675</v>
      </c>
      <c r="Q530" s="3">
        <v>68512</v>
      </c>
      <c r="R530" t="s">
        <v>128</v>
      </c>
      <c r="T530" s="4">
        <v>14024236653</v>
      </c>
      <c r="V530" t="s">
        <v>8927</v>
      </c>
      <c r="W530" t="s">
        <v>8928</v>
      </c>
      <c r="Y530" t="s">
        <v>8926</v>
      </c>
      <c r="AA530" t="s">
        <v>1674</v>
      </c>
      <c r="AB530" t="s">
        <v>1176</v>
      </c>
      <c r="AC530" s="3" t="str">
        <f>"68512"</f>
        <v>68512</v>
      </c>
      <c r="AD530" t="s">
        <v>128</v>
      </c>
      <c r="AF530" s="4">
        <v>14024236653</v>
      </c>
      <c r="AH530" t="str">
        <f>"237990"</f>
        <v>237990</v>
      </c>
      <c r="AI530" t="s">
        <v>130</v>
      </c>
      <c r="AJ530" t="s">
        <v>4566</v>
      </c>
      <c r="AK530" t="s">
        <v>4567</v>
      </c>
      <c r="AL530" t="s">
        <v>4568</v>
      </c>
      <c r="AM530" t="s">
        <v>4569</v>
      </c>
      <c r="AN530" t="s">
        <v>4570</v>
      </c>
      <c r="AO530" t="s">
        <v>433</v>
      </c>
      <c r="AP530" t="s">
        <v>400</v>
      </c>
      <c r="AQ530" s="5">
        <v>75234</v>
      </c>
      <c r="AR530" t="s">
        <v>128</v>
      </c>
      <c r="AT530" s="4">
        <v>19722416445</v>
      </c>
      <c r="AV530" t="s">
        <v>4571</v>
      </c>
      <c r="AW530" t="s">
        <v>4572</v>
      </c>
      <c r="AX530" t="s">
        <v>131</v>
      </c>
      <c r="AY530" t="s">
        <v>131</v>
      </c>
      <c r="AZ530" t="s">
        <v>131</v>
      </c>
      <c r="BA530" t="s">
        <v>131</v>
      </c>
      <c r="BB530" t="s">
        <v>131</v>
      </c>
      <c r="BC530" t="s">
        <v>131</v>
      </c>
      <c r="BD530" t="s">
        <v>131</v>
      </c>
      <c r="BE530" t="s">
        <v>132</v>
      </c>
      <c r="BH530" t="s">
        <v>8929</v>
      </c>
      <c r="BI530" t="s">
        <v>131</v>
      </c>
      <c r="BL530" t="s">
        <v>167</v>
      </c>
      <c r="BO530" t="s">
        <v>131</v>
      </c>
      <c r="BP530" t="s">
        <v>134</v>
      </c>
      <c r="BQ530" t="s">
        <v>131</v>
      </c>
      <c r="BS530" t="str">
        <f t="shared" si="40"/>
        <v>N/A</v>
      </c>
      <c r="BT530" t="s">
        <v>135</v>
      </c>
      <c r="BU530">
        <v>6</v>
      </c>
      <c r="BV530" t="str">
        <f>"Landscape Laborer"</f>
        <v>Landscape Laborer</v>
      </c>
      <c r="BW530" t="s">
        <v>135</v>
      </c>
      <c r="BX530" t="str">
        <f>""</f>
        <v/>
      </c>
      <c r="BY530" t="str">
        <f>""</f>
        <v/>
      </c>
      <c r="BZ530" t="str">
        <f>""</f>
        <v/>
      </c>
      <c r="CA530" t="s">
        <v>9095</v>
      </c>
      <c r="CB530" t="s">
        <v>131</v>
      </c>
      <c r="CF530" t="s">
        <v>131</v>
      </c>
      <c r="CH530" t="str">
        <f>""</f>
        <v/>
      </c>
      <c r="CI530" t="s">
        <v>131</v>
      </c>
      <c r="CK530" t="s">
        <v>131</v>
      </c>
      <c r="CL530" t="str">
        <f>""</f>
        <v/>
      </c>
      <c r="CM530" t="str">
        <f>""</f>
        <v/>
      </c>
      <c r="CN530" t="str">
        <f>""</f>
        <v/>
      </c>
      <c r="CO530" t="str">
        <f>""</f>
        <v/>
      </c>
      <c r="CP530" t="str">
        <f>"37-3011.00"</f>
        <v>37-3011.00</v>
      </c>
      <c r="CQ530" t="s">
        <v>920</v>
      </c>
      <c r="CR530" t="s">
        <v>8930</v>
      </c>
      <c r="CS530" t="s">
        <v>131</v>
      </c>
      <c r="CU530" t="s">
        <v>17473</v>
      </c>
      <c r="CV530" t="s">
        <v>8932</v>
      </c>
      <c r="CW530" t="s">
        <v>8362</v>
      </c>
      <c r="CX530" t="s">
        <v>1176</v>
      </c>
      <c r="CZ530" s="3" t="str">
        <f>"68522"</f>
        <v>68522</v>
      </c>
      <c r="DA530" t="s">
        <v>131</v>
      </c>
      <c r="DB530" t="str">
        <f>"37-3011"</f>
        <v>37-3011</v>
      </c>
      <c r="DC530" t="s">
        <v>920</v>
      </c>
      <c r="DD530" t="s">
        <v>134</v>
      </c>
      <c r="DE530" t="s">
        <v>134</v>
      </c>
      <c r="DF530" t="str">
        <f>""</f>
        <v/>
      </c>
      <c r="DH530" s="6">
        <v>13.86</v>
      </c>
      <c r="DI530" t="s">
        <v>344</v>
      </c>
      <c r="DK530" t="s">
        <v>345</v>
      </c>
      <c r="DS530" s="6">
        <v>13.86</v>
      </c>
      <c r="DT530" t="s">
        <v>424</v>
      </c>
      <c r="DU530" s="1">
        <v>44361</v>
      </c>
      <c r="DV530" s="1">
        <v>44450</v>
      </c>
    </row>
    <row r="531" spans="1:126" ht="15" customHeight="1" x14ac:dyDescent="0.35">
      <c r="A531" t="s">
        <v>12835</v>
      </c>
      <c r="B531" t="s">
        <v>318</v>
      </c>
      <c r="C531" s="1">
        <v>44333</v>
      </c>
      <c r="D531" s="1">
        <v>44361</v>
      </c>
      <c r="H531" t="s">
        <v>319</v>
      </c>
      <c r="I531" t="s">
        <v>462</v>
      </c>
      <c r="J531" t="s">
        <v>463</v>
      </c>
      <c r="L531" t="s">
        <v>464</v>
      </c>
      <c r="M531" t="s">
        <v>465</v>
      </c>
      <c r="O531" t="s">
        <v>466</v>
      </c>
      <c r="P531" t="s">
        <v>467</v>
      </c>
      <c r="Q531" s="3">
        <v>80021</v>
      </c>
      <c r="R531" t="s">
        <v>128</v>
      </c>
      <c r="T531" s="4">
        <v>13034041800</v>
      </c>
      <c r="V531" t="s">
        <v>468</v>
      </c>
      <c r="W531" t="s">
        <v>12480</v>
      </c>
      <c r="X531" t="s">
        <v>1636</v>
      </c>
      <c r="Y531" t="s">
        <v>12481</v>
      </c>
      <c r="AA531" t="s">
        <v>1636</v>
      </c>
      <c r="AB531" t="s">
        <v>1008</v>
      </c>
      <c r="AC531" s="3" t="str">
        <f>"84098"</f>
        <v>84098</v>
      </c>
      <c r="AD531" t="s">
        <v>128</v>
      </c>
      <c r="AF531" s="4">
        <v>14356153381</v>
      </c>
      <c r="AH531" t="str">
        <f>"713920"</f>
        <v>713920</v>
      </c>
      <c r="AI531" t="s">
        <v>130</v>
      </c>
      <c r="AJ531" t="s">
        <v>472</v>
      </c>
      <c r="AK531" t="s">
        <v>473</v>
      </c>
      <c r="AL531" t="s">
        <v>474</v>
      </c>
      <c r="AM531" t="s">
        <v>475</v>
      </c>
      <c r="AN531" t="s">
        <v>439</v>
      </c>
      <c r="AO531" t="s">
        <v>476</v>
      </c>
      <c r="AP531" t="s">
        <v>172</v>
      </c>
      <c r="AQ531" s="5">
        <v>90071</v>
      </c>
      <c r="AR531" t="s">
        <v>128</v>
      </c>
      <c r="AT531" s="4">
        <v>13108203322</v>
      </c>
      <c r="AV531" t="s">
        <v>477</v>
      </c>
      <c r="AW531" t="s">
        <v>386</v>
      </c>
      <c r="AX531" t="s">
        <v>131</v>
      </c>
      <c r="AY531" t="s">
        <v>131</v>
      </c>
      <c r="AZ531" t="s">
        <v>131</v>
      </c>
      <c r="BA531" t="s">
        <v>131</v>
      </c>
      <c r="BB531" t="s">
        <v>131</v>
      </c>
      <c r="BC531" t="s">
        <v>131</v>
      </c>
      <c r="BD531" t="s">
        <v>131</v>
      </c>
      <c r="BE531" t="s">
        <v>132</v>
      </c>
      <c r="BH531" t="s">
        <v>12836</v>
      </c>
      <c r="BI531" t="s">
        <v>131</v>
      </c>
      <c r="BL531" t="s">
        <v>167</v>
      </c>
      <c r="BO531" t="s">
        <v>131</v>
      </c>
      <c r="BP531" t="s">
        <v>134</v>
      </c>
      <c r="BQ531" t="s">
        <v>131</v>
      </c>
      <c r="BS531" t="str">
        <f t="shared" si="40"/>
        <v>N/A</v>
      </c>
      <c r="BT531" t="s">
        <v>131</v>
      </c>
      <c r="BV531" t="str">
        <f>""</f>
        <v/>
      </c>
      <c r="BW531" t="s">
        <v>135</v>
      </c>
      <c r="BX531" t="str">
        <f>"Must have current Level III certification w/ Professional Ski Instructors of America (PSIA), International Ski Instructors Association (ISIA), or equivalent organization."</f>
        <v>Must have current Level III certification w/ Professional Ski Instructors of America (PSIA), International Ski Instructors Association (ISIA), or equivalent organization.</v>
      </c>
      <c r="BY531" t="str">
        <f>""</f>
        <v/>
      </c>
      <c r="BZ531" t="str">
        <f>""</f>
        <v/>
      </c>
      <c r="CA531" t="str">
        <f>"Must be able to work the full period of employment."</f>
        <v>Must be able to work the full period of employment.</v>
      </c>
      <c r="CB531" t="s">
        <v>131</v>
      </c>
      <c r="CF531" t="s">
        <v>131</v>
      </c>
      <c r="CH531" t="str">
        <f>""</f>
        <v/>
      </c>
      <c r="CI531" t="s">
        <v>131</v>
      </c>
      <c r="CK531" t="s">
        <v>131</v>
      </c>
      <c r="CL531" t="str">
        <f>""</f>
        <v/>
      </c>
      <c r="CM531" t="str">
        <f>""</f>
        <v/>
      </c>
      <c r="CN531" t="str">
        <f>""</f>
        <v/>
      </c>
      <c r="CO531" t="str">
        <f>""</f>
        <v/>
      </c>
      <c r="CP531" t="str">
        <f>"25-3021.00"</f>
        <v>25-3021.00</v>
      </c>
      <c r="CQ531" t="s">
        <v>2805</v>
      </c>
      <c r="CR531" t="s">
        <v>12837</v>
      </c>
      <c r="CS531" t="s">
        <v>131</v>
      </c>
      <c r="CU531" t="s">
        <v>12481</v>
      </c>
      <c r="CW531" t="s">
        <v>1636</v>
      </c>
      <c r="CX531" t="s">
        <v>1008</v>
      </c>
      <c r="CZ531" s="3" t="str">
        <f>"84098"</f>
        <v>84098</v>
      </c>
      <c r="DA531" t="s">
        <v>131</v>
      </c>
      <c r="DB531" t="str">
        <f>"25-3021"</f>
        <v>25-3021</v>
      </c>
      <c r="DC531" t="s">
        <v>2805</v>
      </c>
      <c r="DD531" t="s">
        <v>134</v>
      </c>
      <c r="DE531" t="s">
        <v>134</v>
      </c>
      <c r="DF531" t="str">
        <f>""</f>
        <v/>
      </c>
      <c r="DH531" s="6">
        <v>19.170000000000002</v>
      </c>
      <c r="DI531" t="s">
        <v>344</v>
      </c>
      <c r="DK531" t="s">
        <v>345</v>
      </c>
      <c r="DS531" s="6">
        <v>19.170000000000002</v>
      </c>
      <c r="DT531" t="s">
        <v>424</v>
      </c>
      <c r="DU531" s="1">
        <v>44361</v>
      </c>
      <c r="DV531" s="1">
        <v>44450</v>
      </c>
    </row>
    <row r="532" spans="1:126" ht="15" customHeight="1" x14ac:dyDescent="0.35">
      <c r="A532" t="s">
        <v>15542</v>
      </c>
      <c r="B532" t="s">
        <v>318</v>
      </c>
      <c r="C532" s="1">
        <v>44333</v>
      </c>
      <c r="D532" s="1">
        <v>44361</v>
      </c>
      <c r="H532" t="s">
        <v>319</v>
      </c>
      <c r="I532" t="s">
        <v>462</v>
      </c>
      <c r="J532" t="s">
        <v>463</v>
      </c>
      <c r="L532" t="s">
        <v>464</v>
      </c>
      <c r="M532" t="s">
        <v>465</v>
      </c>
      <c r="O532" t="s">
        <v>466</v>
      </c>
      <c r="P532" t="s">
        <v>467</v>
      </c>
      <c r="Q532" s="3">
        <v>80021</v>
      </c>
      <c r="R532" t="s">
        <v>128</v>
      </c>
      <c r="T532" s="4">
        <v>13034041800</v>
      </c>
      <c r="V532" t="s">
        <v>468</v>
      </c>
      <c r="W532" t="s">
        <v>13879</v>
      </c>
      <c r="X532" t="s">
        <v>13880</v>
      </c>
      <c r="Y532" t="s">
        <v>13881</v>
      </c>
      <c r="AA532" t="s">
        <v>8478</v>
      </c>
      <c r="AB532" t="s">
        <v>172</v>
      </c>
      <c r="AC532" s="3" t="str">
        <f>"96161"</f>
        <v>96161</v>
      </c>
      <c r="AD532" t="s">
        <v>128</v>
      </c>
      <c r="AF532" s="4">
        <v>15305621010</v>
      </c>
      <c r="AH532" t="str">
        <f>"713920"</f>
        <v>713920</v>
      </c>
      <c r="AI532" t="s">
        <v>130</v>
      </c>
      <c r="AJ532" t="s">
        <v>472</v>
      </c>
      <c r="AK532" t="s">
        <v>473</v>
      </c>
      <c r="AL532" t="s">
        <v>474</v>
      </c>
      <c r="AM532" t="s">
        <v>475</v>
      </c>
      <c r="AN532" t="s">
        <v>439</v>
      </c>
      <c r="AO532" t="s">
        <v>476</v>
      </c>
      <c r="AP532" t="s">
        <v>172</v>
      </c>
      <c r="AQ532" s="5">
        <v>90071</v>
      </c>
      <c r="AR532" t="s">
        <v>128</v>
      </c>
      <c r="AT532" s="4">
        <v>13108203322</v>
      </c>
      <c r="AV532" t="s">
        <v>477</v>
      </c>
      <c r="AW532" t="s">
        <v>386</v>
      </c>
      <c r="AX532" t="s">
        <v>131</v>
      </c>
      <c r="AY532" t="s">
        <v>131</v>
      </c>
      <c r="AZ532" t="s">
        <v>131</v>
      </c>
      <c r="BA532" t="s">
        <v>131</v>
      </c>
      <c r="BB532" t="s">
        <v>131</v>
      </c>
      <c r="BC532" t="s">
        <v>131</v>
      </c>
      <c r="BD532" t="s">
        <v>131</v>
      </c>
      <c r="BE532" t="s">
        <v>132</v>
      </c>
      <c r="BH532" t="s">
        <v>15543</v>
      </c>
      <c r="BI532" t="s">
        <v>131</v>
      </c>
      <c r="BL532" t="s">
        <v>167</v>
      </c>
      <c r="BO532" t="s">
        <v>131</v>
      </c>
      <c r="BP532" t="s">
        <v>134</v>
      </c>
      <c r="BQ532" t="s">
        <v>131</v>
      </c>
      <c r="BS532" t="str">
        <f t="shared" si="40"/>
        <v>N/A</v>
      </c>
      <c r="BT532" t="s">
        <v>131</v>
      </c>
      <c r="BV532" t="str">
        <f>""</f>
        <v/>
      </c>
      <c r="BW532" t="s">
        <v>135</v>
      </c>
      <c r="BX532" t="str">
        <f>"Must have current Level III certification w/ Professional Ski Instructors of America (PSIA), American Association of Snowboard Instructors (AASI), International Ski Instructors Association (ISIA), or equivalent organization."</f>
        <v>Must have current Level III certification w/ Professional Ski Instructors of America (PSIA), American Association of Snowboard Instructors (AASI), International Ski Instructors Association (ISIA), or equivalent organization.</v>
      </c>
      <c r="BY532" t="str">
        <f>""</f>
        <v/>
      </c>
      <c r="BZ532" t="str">
        <f>""</f>
        <v/>
      </c>
      <c r="CA532" t="str">
        <f>"Must be able to work the full period of employment."</f>
        <v>Must be able to work the full period of employment.</v>
      </c>
      <c r="CB532" t="s">
        <v>131</v>
      </c>
      <c r="CF532" t="s">
        <v>131</v>
      </c>
      <c r="CH532" t="str">
        <f>""</f>
        <v/>
      </c>
      <c r="CI532" t="s">
        <v>131</v>
      </c>
      <c r="CK532" t="s">
        <v>131</v>
      </c>
      <c r="CL532" t="str">
        <f>""</f>
        <v/>
      </c>
      <c r="CM532" t="str">
        <f>""</f>
        <v/>
      </c>
      <c r="CN532" t="str">
        <f>""</f>
        <v/>
      </c>
      <c r="CO532" t="str">
        <f>""</f>
        <v/>
      </c>
      <c r="CP532" t="str">
        <f>"25-3021.00"</f>
        <v>25-3021.00</v>
      </c>
      <c r="CQ532" t="s">
        <v>2805</v>
      </c>
      <c r="CR532" t="s">
        <v>15544</v>
      </c>
      <c r="CS532" t="s">
        <v>131</v>
      </c>
      <c r="CU532" t="s">
        <v>15545</v>
      </c>
      <c r="CW532" t="s">
        <v>8478</v>
      </c>
      <c r="CX532" t="s">
        <v>172</v>
      </c>
      <c r="CZ532" s="3" t="str">
        <f>"96161"</f>
        <v>96161</v>
      </c>
      <c r="DA532" t="s">
        <v>131</v>
      </c>
      <c r="DB532" t="str">
        <f>"25-3021"</f>
        <v>25-3021</v>
      </c>
      <c r="DC532" t="s">
        <v>2805</v>
      </c>
      <c r="DD532" t="s">
        <v>134</v>
      </c>
      <c r="DE532" t="s">
        <v>134</v>
      </c>
      <c r="DF532" t="str">
        <f>""</f>
        <v/>
      </c>
      <c r="DH532" s="6">
        <v>22.4</v>
      </c>
      <c r="DI532" t="s">
        <v>344</v>
      </c>
      <c r="DK532" t="s">
        <v>345</v>
      </c>
      <c r="DS532" s="6">
        <v>22.4</v>
      </c>
      <c r="DT532" t="s">
        <v>424</v>
      </c>
      <c r="DU532" s="1">
        <v>44361</v>
      </c>
      <c r="DV532" s="1">
        <v>44450</v>
      </c>
    </row>
    <row r="533" spans="1:126" ht="15" customHeight="1" x14ac:dyDescent="0.35">
      <c r="A533" t="s">
        <v>19386</v>
      </c>
      <c r="B533" t="s">
        <v>318</v>
      </c>
      <c r="C533" s="1">
        <v>44333</v>
      </c>
      <c r="D533" s="1">
        <v>44361</v>
      </c>
      <c r="H533" t="s">
        <v>319</v>
      </c>
      <c r="I533" t="s">
        <v>462</v>
      </c>
      <c r="J533" t="s">
        <v>463</v>
      </c>
      <c r="L533" t="s">
        <v>464</v>
      </c>
      <c r="M533" t="s">
        <v>465</v>
      </c>
      <c r="O533" t="s">
        <v>466</v>
      </c>
      <c r="P533" t="s">
        <v>467</v>
      </c>
      <c r="Q533" s="3">
        <v>80021</v>
      </c>
      <c r="R533" t="s">
        <v>128</v>
      </c>
      <c r="T533" s="4">
        <v>13034041800</v>
      </c>
      <c r="V533" t="s">
        <v>468</v>
      </c>
      <c r="W533" t="s">
        <v>19387</v>
      </c>
      <c r="X533" t="s">
        <v>19388</v>
      </c>
      <c r="Y533" t="s">
        <v>19389</v>
      </c>
      <c r="AA533" t="s">
        <v>5889</v>
      </c>
      <c r="AB533" t="s">
        <v>2549</v>
      </c>
      <c r="AC533" s="3" t="str">
        <f>"05672"</f>
        <v>05672</v>
      </c>
      <c r="AD533" t="s">
        <v>128</v>
      </c>
      <c r="AF533" s="4">
        <v>18022533559</v>
      </c>
      <c r="AH533" t="str">
        <f>"713920"</f>
        <v>713920</v>
      </c>
      <c r="AI533" t="s">
        <v>130</v>
      </c>
      <c r="AJ533" t="s">
        <v>472</v>
      </c>
      <c r="AK533" t="s">
        <v>473</v>
      </c>
      <c r="AL533" t="s">
        <v>474</v>
      </c>
      <c r="AM533" t="s">
        <v>475</v>
      </c>
      <c r="AN533" t="s">
        <v>439</v>
      </c>
      <c r="AO533" t="s">
        <v>476</v>
      </c>
      <c r="AP533" t="s">
        <v>172</v>
      </c>
      <c r="AQ533" s="5">
        <v>90071</v>
      </c>
      <c r="AR533" t="s">
        <v>128</v>
      </c>
      <c r="AT533" s="4">
        <v>13108203322</v>
      </c>
      <c r="AV533" t="s">
        <v>477</v>
      </c>
      <c r="AW533" t="s">
        <v>386</v>
      </c>
      <c r="AX533" t="s">
        <v>131</v>
      </c>
      <c r="AY533" t="s">
        <v>131</v>
      </c>
      <c r="AZ533" t="s">
        <v>131</v>
      </c>
      <c r="BA533" t="s">
        <v>131</v>
      </c>
      <c r="BB533" t="s">
        <v>131</v>
      </c>
      <c r="BC533" t="s">
        <v>131</v>
      </c>
      <c r="BD533" t="s">
        <v>131</v>
      </c>
      <c r="BE533" t="s">
        <v>132</v>
      </c>
      <c r="BH533" t="s">
        <v>1080</v>
      </c>
      <c r="BI533" t="s">
        <v>131</v>
      </c>
      <c r="BL533" t="s">
        <v>167</v>
      </c>
      <c r="BO533" t="s">
        <v>131</v>
      </c>
      <c r="BP533" t="s">
        <v>134</v>
      </c>
      <c r="BQ533" t="s">
        <v>131</v>
      </c>
      <c r="BS533" t="str">
        <f t="shared" si="40"/>
        <v>N/A</v>
      </c>
      <c r="BT533" t="s">
        <v>135</v>
      </c>
      <c r="BU533">
        <v>24</v>
      </c>
      <c r="BV533" t="str">
        <f>"Cook or related occupation."</f>
        <v>Cook or related occupation.</v>
      </c>
      <c r="BW533" t="s">
        <v>135</v>
      </c>
      <c r="BX533" t="str">
        <f>""</f>
        <v/>
      </c>
      <c r="BY533" t="str">
        <f>""</f>
        <v/>
      </c>
      <c r="BZ533" t="str">
        <f>""</f>
        <v/>
      </c>
      <c r="CA533" t="str">
        <f t="shared" ref="CA533:CA538" si="41">"Must be able to lift up to 50 lbs."</f>
        <v>Must be able to lift up to 50 lbs.</v>
      </c>
      <c r="CB533" t="s">
        <v>131</v>
      </c>
      <c r="CF533" t="s">
        <v>131</v>
      </c>
      <c r="CH533" t="str">
        <f>""</f>
        <v/>
      </c>
      <c r="CI533" t="s">
        <v>131</v>
      </c>
      <c r="CK533" t="s">
        <v>131</v>
      </c>
      <c r="CL533" t="str">
        <f>""</f>
        <v/>
      </c>
      <c r="CM533" t="str">
        <f>""</f>
        <v/>
      </c>
      <c r="CN533" t="str">
        <f>""</f>
        <v/>
      </c>
      <c r="CO533" t="str">
        <f>""</f>
        <v/>
      </c>
      <c r="CP533" t="str">
        <f>"35-2012.00"</f>
        <v>35-2012.00</v>
      </c>
      <c r="CQ533" t="s">
        <v>11325</v>
      </c>
      <c r="CR533" t="s">
        <v>1941</v>
      </c>
      <c r="CS533" t="s">
        <v>131</v>
      </c>
      <c r="CU533" t="s">
        <v>19390</v>
      </c>
      <c r="CW533" t="s">
        <v>5889</v>
      </c>
      <c r="CX533" t="s">
        <v>2549</v>
      </c>
      <c r="CZ533" s="3" t="str">
        <f>"05672"</f>
        <v>05672</v>
      </c>
      <c r="DA533" t="s">
        <v>131</v>
      </c>
      <c r="DB533" t="str">
        <f>"35-2012"</f>
        <v>35-2012</v>
      </c>
      <c r="DC533" t="s">
        <v>11325</v>
      </c>
      <c r="DD533" t="s">
        <v>134</v>
      </c>
      <c r="DE533" t="s">
        <v>134</v>
      </c>
      <c r="DF533" t="str">
        <f>""</f>
        <v/>
      </c>
      <c r="DH533" s="6">
        <v>15.1</v>
      </c>
      <c r="DI533" t="s">
        <v>344</v>
      </c>
      <c r="DK533" t="s">
        <v>345</v>
      </c>
      <c r="DS533" s="6">
        <v>15.1</v>
      </c>
      <c r="DT533" t="s">
        <v>424</v>
      </c>
      <c r="DU533" s="1">
        <v>44361</v>
      </c>
      <c r="DV533" s="1">
        <v>44450</v>
      </c>
    </row>
    <row r="534" spans="1:126" ht="15" customHeight="1" x14ac:dyDescent="0.35">
      <c r="A534" t="s">
        <v>14083</v>
      </c>
      <c r="B534" t="s">
        <v>318</v>
      </c>
      <c r="C534" s="1">
        <v>44333</v>
      </c>
      <c r="D534" s="1">
        <v>44361</v>
      </c>
      <c r="H534" t="s">
        <v>319</v>
      </c>
      <c r="I534" t="s">
        <v>462</v>
      </c>
      <c r="J534" t="s">
        <v>463</v>
      </c>
      <c r="L534" t="s">
        <v>464</v>
      </c>
      <c r="M534" t="s">
        <v>465</v>
      </c>
      <c r="O534" t="s">
        <v>466</v>
      </c>
      <c r="P534" t="s">
        <v>467</v>
      </c>
      <c r="Q534" s="3">
        <v>80021</v>
      </c>
      <c r="R534" t="s">
        <v>128</v>
      </c>
      <c r="T534" s="4">
        <v>13034041800</v>
      </c>
      <c r="V534" t="s">
        <v>468</v>
      </c>
      <c r="W534" t="s">
        <v>12480</v>
      </c>
      <c r="X534" t="s">
        <v>1636</v>
      </c>
      <c r="Y534" t="s">
        <v>12481</v>
      </c>
      <c r="AA534" t="s">
        <v>1636</v>
      </c>
      <c r="AB534" t="s">
        <v>1008</v>
      </c>
      <c r="AC534" s="3" t="str">
        <f>"84098"</f>
        <v>84098</v>
      </c>
      <c r="AD534" t="s">
        <v>128</v>
      </c>
      <c r="AF534" s="4">
        <v>14356153381</v>
      </c>
      <c r="AH534" t="str">
        <f>"713920"</f>
        <v>713920</v>
      </c>
      <c r="AI534" t="s">
        <v>130</v>
      </c>
      <c r="AJ534" t="s">
        <v>472</v>
      </c>
      <c r="AK534" t="s">
        <v>473</v>
      </c>
      <c r="AL534" t="s">
        <v>474</v>
      </c>
      <c r="AM534" t="s">
        <v>475</v>
      </c>
      <c r="AN534" t="s">
        <v>439</v>
      </c>
      <c r="AO534" t="s">
        <v>476</v>
      </c>
      <c r="AP534" t="s">
        <v>172</v>
      </c>
      <c r="AQ534" s="5">
        <v>90071</v>
      </c>
      <c r="AR534" t="s">
        <v>128</v>
      </c>
      <c r="AT534" s="4">
        <v>13108203322</v>
      </c>
      <c r="AV534" t="s">
        <v>477</v>
      </c>
      <c r="AW534" t="s">
        <v>386</v>
      </c>
      <c r="AX534" t="s">
        <v>131</v>
      </c>
      <c r="AY534" t="s">
        <v>131</v>
      </c>
      <c r="AZ534" t="s">
        <v>131</v>
      </c>
      <c r="BA534" t="s">
        <v>131</v>
      </c>
      <c r="BB534" t="s">
        <v>131</v>
      </c>
      <c r="BC534" t="s">
        <v>131</v>
      </c>
      <c r="BD534" t="s">
        <v>131</v>
      </c>
      <c r="BE534" t="s">
        <v>132</v>
      </c>
      <c r="BH534" t="s">
        <v>1080</v>
      </c>
      <c r="BI534" t="s">
        <v>131</v>
      </c>
      <c r="BL534" t="s">
        <v>167</v>
      </c>
      <c r="BO534" t="s">
        <v>131</v>
      </c>
      <c r="BP534" t="s">
        <v>134</v>
      </c>
      <c r="BQ534" t="s">
        <v>131</v>
      </c>
      <c r="BS534" t="str">
        <f t="shared" si="40"/>
        <v>N/A</v>
      </c>
      <c r="BT534" t="s">
        <v>135</v>
      </c>
      <c r="BU534">
        <v>36</v>
      </c>
      <c r="BV534" t="str">
        <f>"Cook or related occupation. "</f>
        <v xml:space="preserve">Cook or related occupation. </v>
      </c>
      <c r="BW534" t="s">
        <v>135</v>
      </c>
      <c r="BX534" t="str">
        <f>""</f>
        <v/>
      </c>
      <c r="BY534" t="str">
        <f>""</f>
        <v/>
      </c>
      <c r="BZ534" t="str">
        <f>""</f>
        <v/>
      </c>
      <c r="CA534" t="str">
        <f t="shared" si="41"/>
        <v>Must be able to lift up to 50 lbs.</v>
      </c>
      <c r="CB534" t="s">
        <v>131</v>
      </c>
      <c r="CF534" t="s">
        <v>131</v>
      </c>
      <c r="CH534" t="str">
        <f>""</f>
        <v/>
      </c>
      <c r="CI534" t="s">
        <v>131</v>
      </c>
      <c r="CK534" t="s">
        <v>131</v>
      </c>
      <c r="CL534" t="str">
        <f>""</f>
        <v/>
      </c>
      <c r="CM534" t="str">
        <f>""</f>
        <v/>
      </c>
      <c r="CN534" t="str">
        <f>""</f>
        <v/>
      </c>
      <c r="CO534" t="str">
        <f>""</f>
        <v/>
      </c>
      <c r="CP534" t="str">
        <f>"35-2014.00"</f>
        <v>35-2014.00</v>
      </c>
      <c r="CQ534" t="s">
        <v>581</v>
      </c>
      <c r="CR534" t="s">
        <v>1941</v>
      </c>
      <c r="CS534" t="s">
        <v>131</v>
      </c>
      <c r="CU534" t="s">
        <v>12481</v>
      </c>
      <c r="CW534" t="s">
        <v>1636</v>
      </c>
      <c r="CX534" t="s">
        <v>1008</v>
      </c>
      <c r="CZ534" s="3" t="str">
        <f>"84098"</f>
        <v>84098</v>
      </c>
      <c r="DA534" t="s">
        <v>131</v>
      </c>
      <c r="DB534" t="str">
        <f>"35-2014"</f>
        <v>35-2014</v>
      </c>
      <c r="DC534" t="s">
        <v>581</v>
      </c>
      <c r="DD534" t="s">
        <v>134</v>
      </c>
      <c r="DE534" t="s">
        <v>134</v>
      </c>
      <c r="DF534" t="str">
        <f>""</f>
        <v/>
      </c>
      <c r="DH534" s="6">
        <v>14.29</v>
      </c>
      <c r="DI534" t="s">
        <v>344</v>
      </c>
      <c r="DK534" t="s">
        <v>345</v>
      </c>
      <c r="DS534" s="6">
        <v>14.29</v>
      </c>
      <c r="DT534" t="s">
        <v>424</v>
      </c>
      <c r="DU534" s="1">
        <v>44361</v>
      </c>
      <c r="DV534" s="1">
        <v>44450</v>
      </c>
    </row>
    <row r="535" spans="1:126" ht="15" customHeight="1" x14ac:dyDescent="0.35">
      <c r="A535" t="s">
        <v>18328</v>
      </c>
      <c r="B535" t="s">
        <v>318</v>
      </c>
      <c r="C535" s="1">
        <v>44333</v>
      </c>
      <c r="D535" s="1">
        <v>44361</v>
      </c>
      <c r="H535" t="s">
        <v>319</v>
      </c>
      <c r="I535" t="s">
        <v>462</v>
      </c>
      <c r="J535" t="s">
        <v>463</v>
      </c>
      <c r="L535" t="s">
        <v>464</v>
      </c>
      <c r="M535" t="s">
        <v>465</v>
      </c>
      <c r="O535" t="s">
        <v>466</v>
      </c>
      <c r="P535" t="s">
        <v>467</v>
      </c>
      <c r="Q535" s="3">
        <v>80021</v>
      </c>
      <c r="R535" t="s">
        <v>128</v>
      </c>
      <c r="T535" s="4">
        <v>13034041800</v>
      </c>
      <c r="V535" t="s">
        <v>468</v>
      </c>
      <c r="W535" t="s">
        <v>11261</v>
      </c>
      <c r="X535" t="s">
        <v>11262</v>
      </c>
      <c r="Y535" t="s">
        <v>11263</v>
      </c>
      <c r="AA535" t="s">
        <v>11264</v>
      </c>
      <c r="AB535" t="s">
        <v>2549</v>
      </c>
      <c r="AC535" s="3" t="str">
        <f>"05149"</f>
        <v>05149</v>
      </c>
      <c r="AD535" t="s">
        <v>128</v>
      </c>
      <c r="AF535" s="4">
        <v>18022281966</v>
      </c>
      <c r="AH535" t="str">
        <f>"7211"</f>
        <v>7211</v>
      </c>
      <c r="AI535" t="s">
        <v>130</v>
      </c>
      <c r="AJ535" t="s">
        <v>472</v>
      </c>
      <c r="AK535" t="s">
        <v>473</v>
      </c>
      <c r="AL535" t="s">
        <v>474</v>
      </c>
      <c r="AM535" t="s">
        <v>475</v>
      </c>
      <c r="AN535" t="s">
        <v>439</v>
      </c>
      <c r="AO535" t="s">
        <v>476</v>
      </c>
      <c r="AP535" t="s">
        <v>172</v>
      </c>
      <c r="AQ535" s="5">
        <v>90071</v>
      </c>
      <c r="AR535" t="s">
        <v>128</v>
      </c>
      <c r="AT535" s="4">
        <v>13108203322</v>
      </c>
      <c r="AV535" t="s">
        <v>477</v>
      </c>
      <c r="AW535" t="s">
        <v>386</v>
      </c>
      <c r="AX535" t="s">
        <v>131</v>
      </c>
      <c r="AY535" t="s">
        <v>131</v>
      </c>
      <c r="AZ535" t="s">
        <v>131</v>
      </c>
      <c r="BA535" t="s">
        <v>131</v>
      </c>
      <c r="BB535" t="s">
        <v>131</v>
      </c>
      <c r="BC535" t="s">
        <v>131</v>
      </c>
      <c r="BD535" t="s">
        <v>131</v>
      </c>
      <c r="BE535" t="s">
        <v>132</v>
      </c>
      <c r="BH535" t="s">
        <v>1080</v>
      </c>
      <c r="BI535" t="s">
        <v>131</v>
      </c>
      <c r="BL535" t="s">
        <v>167</v>
      </c>
      <c r="BO535" t="s">
        <v>131</v>
      </c>
      <c r="BP535" t="s">
        <v>134</v>
      </c>
      <c r="BQ535" t="s">
        <v>131</v>
      </c>
      <c r="BS535" t="str">
        <f t="shared" si="40"/>
        <v>N/A</v>
      </c>
      <c r="BT535" t="s">
        <v>135</v>
      </c>
      <c r="BU535">
        <v>24</v>
      </c>
      <c r="BV535" t="str">
        <f>"Cook or related occupation."</f>
        <v>Cook or related occupation.</v>
      </c>
      <c r="BW535" t="s">
        <v>135</v>
      </c>
      <c r="BX535" t="str">
        <f>""</f>
        <v/>
      </c>
      <c r="BY535" t="str">
        <f>""</f>
        <v/>
      </c>
      <c r="BZ535" t="str">
        <f>""</f>
        <v/>
      </c>
      <c r="CA535" t="str">
        <f t="shared" si="41"/>
        <v>Must be able to lift up to 50 lbs.</v>
      </c>
      <c r="CB535" t="s">
        <v>131</v>
      </c>
      <c r="CF535" t="s">
        <v>131</v>
      </c>
      <c r="CH535" t="str">
        <f>""</f>
        <v/>
      </c>
      <c r="CI535" t="s">
        <v>131</v>
      </c>
      <c r="CK535" t="s">
        <v>131</v>
      </c>
      <c r="CL535" t="str">
        <f>""</f>
        <v/>
      </c>
      <c r="CM535" t="str">
        <f>""</f>
        <v/>
      </c>
      <c r="CN535" t="str">
        <f>""</f>
        <v/>
      </c>
      <c r="CO535" t="str">
        <f>""</f>
        <v/>
      </c>
      <c r="CP535" t="str">
        <f>"35-2012.00"</f>
        <v>35-2012.00</v>
      </c>
      <c r="CQ535" t="s">
        <v>11325</v>
      </c>
      <c r="CR535" t="s">
        <v>1941</v>
      </c>
      <c r="CS535" t="s">
        <v>131</v>
      </c>
      <c r="CU535" t="s">
        <v>11263</v>
      </c>
      <c r="CW535" t="s">
        <v>11264</v>
      </c>
      <c r="CX535" t="s">
        <v>2549</v>
      </c>
      <c r="CZ535" s="3" t="str">
        <f>"05149"</f>
        <v>05149</v>
      </c>
      <c r="DA535" t="s">
        <v>131</v>
      </c>
      <c r="DB535" t="str">
        <f>"35-2012"</f>
        <v>35-2012</v>
      </c>
      <c r="DC535" t="s">
        <v>11325</v>
      </c>
      <c r="DD535" t="s">
        <v>134</v>
      </c>
      <c r="DE535" t="s">
        <v>134</v>
      </c>
      <c r="DF535" t="str">
        <f>""</f>
        <v/>
      </c>
      <c r="DH535" s="6">
        <v>16.170000000000002</v>
      </c>
      <c r="DI535" t="s">
        <v>344</v>
      </c>
      <c r="DK535" t="s">
        <v>345</v>
      </c>
      <c r="DS535" s="6">
        <v>16.170000000000002</v>
      </c>
      <c r="DT535" t="s">
        <v>424</v>
      </c>
      <c r="DU535" s="1">
        <v>44361</v>
      </c>
      <c r="DV535" s="1">
        <v>44450</v>
      </c>
    </row>
    <row r="536" spans="1:126" ht="15" customHeight="1" x14ac:dyDescent="0.35">
      <c r="A536" t="s">
        <v>13878</v>
      </c>
      <c r="B536" t="s">
        <v>318</v>
      </c>
      <c r="C536" s="1">
        <v>44333</v>
      </c>
      <c r="D536" s="1">
        <v>44361</v>
      </c>
      <c r="H536" t="s">
        <v>319</v>
      </c>
      <c r="I536" t="s">
        <v>462</v>
      </c>
      <c r="J536" t="s">
        <v>463</v>
      </c>
      <c r="L536" t="s">
        <v>464</v>
      </c>
      <c r="M536" t="s">
        <v>465</v>
      </c>
      <c r="O536" t="s">
        <v>466</v>
      </c>
      <c r="P536" t="s">
        <v>178</v>
      </c>
      <c r="Q536" s="3">
        <v>80021</v>
      </c>
      <c r="R536" t="s">
        <v>128</v>
      </c>
      <c r="T536" s="4">
        <v>13034041800</v>
      </c>
      <c r="V536" t="s">
        <v>468</v>
      </c>
      <c r="W536" t="s">
        <v>13879</v>
      </c>
      <c r="X536" t="s">
        <v>13880</v>
      </c>
      <c r="Y536" t="s">
        <v>13881</v>
      </c>
      <c r="AA536" t="s">
        <v>8478</v>
      </c>
      <c r="AB536" t="s">
        <v>172</v>
      </c>
      <c r="AC536" s="3" t="str">
        <f>"96161"</f>
        <v>96161</v>
      </c>
      <c r="AD536" t="s">
        <v>128</v>
      </c>
      <c r="AF536" s="4">
        <v>15305621010</v>
      </c>
      <c r="AH536" t="str">
        <f>"713920"</f>
        <v>713920</v>
      </c>
      <c r="AI536" t="s">
        <v>130</v>
      </c>
      <c r="AJ536" t="s">
        <v>472</v>
      </c>
      <c r="AK536" t="s">
        <v>473</v>
      </c>
      <c r="AL536" t="s">
        <v>474</v>
      </c>
      <c r="AM536" t="s">
        <v>475</v>
      </c>
      <c r="AN536" t="s">
        <v>439</v>
      </c>
      <c r="AO536" t="s">
        <v>476</v>
      </c>
      <c r="AP536" t="s">
        <v>172</v>
      </c>
      <c r="AQ536" s="5">
        <v>90071</v>
      </c>
      <c r="AR536" t="s">
        <v>128</v>
      </c>
      <c r="AT536" s="4">
        <v>13108203322</v>
      </c>
      <c r="AV536" t="s">
        <v>477</v>
      </c>
      <c r="AW536" t="s">
        <v>386</v>
      </c>
      <c r="AX536" t="s">
        <v>131</v>
      </c>
      <c r="AY536" t="s">
        <v>131</v>
      </c>
      <c r="AZ536" t="s">
        <v>131</v>
      </c>
      <c r="BA536" t="s">
        <v>131</v>
      </c>
      <c r="BB536" t="s">
        <v>131</v>
      </c>
      <c r="BC536" t="s">
        <v>131</v>
      </c>
      <c r="BD536" t="s">
        <v>131</v>
      </c>
      <c r="BE536" t="s">
        <v>132</v>
      </c>
      <c r="BH536" t="s">
        <v>1080</v>
      </c>
      <c r="BI536" t="s">
        <v>131</v>
      </c>
      <c r="BL536" t="s">
        <v>167</v>
      </c>
      <c r="BO536" t="s">
        <v>131</v>
      </c>
      <c r="BP536" t="s">
        <v>134</v>
      </c>
      <c r="BQ536" t="s">
        <v>131</v>
      </c>
      <c r="BS536" t="str">
        <f t="shared" si="40"/>
        <v>N/A</v>
      </c>
      <c r="BT536" t="s">
        <v>135</v>
      </c>
      <c r="BU536">
        <v>24</v>
      </c>
      <c r="BV536" t="str">
        <f>"Cook or related occupation."</f>
        <v>Cook or related occupation.</v>
      </c>
      <c r="BW536" t="s">
        <v>135</v>
      </c>
      <c r="BX536" t="str">
        <f>""</f>
        <v/>
      </c>
      <c r="BY536" t="str">
        <f>""</f>
        <v/>
      </c>
      <c r="BZ536" t="str">
        <f>""</f>
        <v/>
      </c>
      <c r="CA536" t="str">
        <f t="shared" si="41"/>
        <v>Must be able to lift up to 50 lbs.</v>
      </c>
      <c r="CB536" t="s">
        <v>131</v>
      </c>
      <c r="CF536" t="s">
        <v>131</v>
      </c>
      <c r="CH536" t="str">
        <f>""</f>
        <v/>
      </c>
      <c r="CI536" t="s">
        <v>131</v>
      </c>
      <c r="CK536" t="s">
        <v>131</v>
      </c>
      <c r="CL536" t="str">
        <f>""</f>
        <v/>
      </c>
      <c r="CM536" t="str">
        <f>""</f>
        <v/>
      </c>
      <c r="CN536" t="str">
        <f>""</f>
        <v/>
      </c>
      <c r="CO536" t="str">
        <f>""</f>
        <v/>
      </c>
      <c r="CP536" t="str">
        <f>"35-2014.00"</f>
        <v>35-2014.00</v>
      </c>
      <c r="CQ536" t="s">
        <v>581</v>
      </c>
      <c r="CR536" t="s">
        <v>1941</v>
      </c>
      <c r="CS536" t="s">
        <v>131</v>
      </c>
      <c r="CU536" t="s">
        <v>13882</v>
      </c>
      <c r="CW536" t="s">
        <v>8478</v>
      </c>
      <c r="CX536" t="s">
        <v>172</v>
      </c>
      <c r="CZ536" s="3" t="str">
        <f>"96161"</f>
        <v>96161</v>
      </c>
      <c r="DA536" t="s">
        <v>135</v>
      </c>
      <c r="DB536" t="str">
        <f>"35-2014"</f>
        <v>35-2014</v>
      </c>
      <c r="DC536" t="s">
        <v>581</v>
      </c>
      <c r="DD536" t="s">
        <v>134</v>
      </c>
      <c r="DE536" t="s">
        <v>134</v>
      </c>
      <c r="DF536" t="str">
        <f>""</f>
        <v/>
      </c>
      <c r="DH536" s="6">
        <v>13.8</v>
      </c>
      <c r="DI536" t="s">
        <v>344</v>
      </c>
      <c r="DK536" t="s">
        <v>345</v>
      </c>
      <c r="DS536" s="6">
        <v>13.8</v>
      </c>
      <c r="DT536" t="s">
        <v>424</v>
      </c>
      <c r="DU536" s="1">
        <v>44361</v>
      </c>
      <c r="DV536" s="1">
        <v>44450</v>
      </c>
    </row>
    <row r="537" spans="1:126" ht="15" customHeight="1" x14ac:dyDescent="0.35">
      <c r="A537" t="s">
        <v>17355</v>
      </c>
      <c r="B537" t="s">
        <v>318</v>
      </c>
      <c r="C537" s="1">
        <v>44333</v>
      </c>
      <c r="D537" s="1">
        <v>44361</v>
      </c>
      <c r="H537" t="s">
        <v>319</v>
      </c>
      <c r="I537" t="s">
        <v>462</v>
      </c>
      <c r="J537" t="s">
        <v>463</v>
      </c>
      <c r="L537" t="s">
        <v>464</v>
      </c>
      <c r="M537" t="s">
        <v>465</v>
      </c>
      <c r="O537" t="s">
        <v>466</v>
      </c>
      <c r="P537" t="s">
        <v>178</v>
      </c>
      <c r="Q537" s="3">
        <v>80021</v>
      </c>
      <c r="R537" t="s">
        <v>128</v>
      </c>
      <c r="T537" s="4">
        <v>13034041800</v>
      </c>
      <c r="V537" t="s">
        <v>468</v>
      </c>
      <c r="W537" t="s">
        <v>17356</v>
      </c>
      <c r="X537" t="s">
        <v>17357</v>
      </c>
      <c r="Y537" t="s">
        <v>465</v>
      </c>
      <c r="AA537" t="s">
        <v>466</v>
      </c>
      <c r="AB537" t="s">
        <v>471</v>
      </c>
      <c r="AC537" s="3" t="str">
        <f>"80021"</f>
        <v>80021</v>
      </c>
      <c r="AD537" t="s">
        <v>128</v>
      </c>
      <c r="AF537" s="4">
        <v>13034041800</v>
      </c>
      <c r="AH537" t="str">
        <f>"713920"</f>
        <v>713920</v>
      </c>
      <c r="AI537" t="s">
        <v>130</v>
      </c>
      <c r="AJ537" t="s">
        <v>472</v>
      </c>
      <c r="AK537" t="s">
        <v>473</v>
      </c>
      <c r="AL537" t="s">
        <v>474</v>
      </c>
      <c r="AM537" t="s">
        <v>475</v>
      </c>
      <c r="AN537" t="s">
        <v>439</v>
      </c>
      <c r="AO537" t="s">
        <v>476</v>
      </c>
      <c r="AP537" t="s">
        <v>172</v>
      </c>
      <c r="AQ537" s="5">
        <v>90071</v>
      </c>
      <c r="AR537" t="s">
        <v>128</v>
      </c>
      <c r="AT537" s="4">
        <v>13108203322</v>
      </c>
      <c r="AV537" t="s">
        <v>477</v>
      </c>
      <c r="AW537" t="s">
        <v>386</v>
      </c>
      <c r="AX537" t="s">
        <v>131</v>
      </c>
      <c r="AY537" t="s">
        <v>131</v>
      </c>
      <c r="AZ537" t="s">
        <v>131</v>
      </c>
      <c r="BA537" t="s">
        <v>131</v>
      </c>
      <c r="BB537" t="s">
        <v>131</v>
      </c>
      <c r="BC537" t="s">
        <v>131</v>
      </c>
      <c r="BD537" t="s">
        <v>131</v>
      </c>
      <c r="BE537" t="s">
        <v>132</v>
      </c>
      <c r="BH537" t="s">
        <v>1080</v>
      </c>
      <c r="BI537" t="s">
        <v>131</v>
      </c>
      <c r="BL537" t="s">
        <v>167</v>
      </c>
      <c r="BO537" t="s">
        <v>131</v>
      </c>
      <c r="BP537" t="s">
        <v>134</v>
      </c>
      <c r="BQ537" t="s">
        <v>131</v>
      </c>
      <c r="BS537" t="str">
        <f t="shared" si="40"/>
        <v>N/A</v>
      </c>
      <c r="BT537" t="s">
        <v>135</v>
      </c>
      <c r="BU537">
        <v>24</v>
      </c>
      <c r="BV537" t="str">
        <f>"Cook or related occupation."</f>
        <v>Cook or related occupation.</v>
      </c>
      <c r="BW537" t="s">
        <v>135</v>
      </c>
      <c r="BX537" t="str">
        <f>""</f>
        <v/>
      </c>
      <c r="BY537" t="str">
        <f>""</f>
        <v/>
      </c>
      <c r="BZ537" t="str">
        <f>""</f>
        <v/>
      </c>
      <c r="CA537" t="str">
        <f t="shared" si="41"/>
        <v>Must be able to lift up to 50 lbs.</v>
      </c>
      <c r="CB537" t="s">
        <v>131</v>
      </c>
      <c r="CF537" t="s">
        <v>131</v>
      </c>
      <c r="CH537" t="str">
        <f>""</f>
        <v/>
      </c>
      <c r="CI537" t="s">
        <v>131</v>
      </c>
      <c r="CK537" t="s">
        <v>131</v>
      </c>
      <c r="CL537" t="str">
        <f>""</f>
        <v/>
      </c>
      <c r="CM537" t="str">
        <f>""</f>
        <v/>
      </c>
      <c r="CN537" t="str">
        <f>""</f>
        <v/>
      </c>
      <c r="CO537" t="str">
        <f>""</f>
        <v/>
      </c>
      <c r="CP537" t="str">
        <f>"35-2014.00"</f>
        <v>35-2014.00</v>
      </c>
      <c r="CQ537" t="s">
        <v>581</v>
      </c>
      <c r="CR537" t="s">
        <v>1941</v>
      </c>
      <c r="CS537" t="s">
        <v>131</v>
      </c>
      <c r="CU537" t="s">
        <v>17358</v>
      </c>
      <c r="CW537" t="s">
        <v>5809</v>
      </c>
      <c r="CX537" t="s">
        <v>172</v>
      </c>
      <c r="CZ537" s="3" t="str">
        <f>"95646"</f>
        <v>95646</v>
      </c>
      <c r="DA537" t="s">
        <v>131</v>
      </c>
      <c r="DB537" t="str">
        <f>"35-2014"</f>
        <v>35-2014</v>
      </c>
      <c r="DC537" t="s">
        <v>581</v>
      </c>
      <c r="DD537" t="s">
        <v>134</v>
      </c>
      <c r="DE537" t="s">
        <v>134</v>
      </c>
      <c r="DF537" t="str">
        <f>""</f>
        <v/>
      </c>
      <c r="DH537" s="6">
        <v>15.13</v>
      </c>
      <c r="DI537" t="s">
        <v>344</v>
      </c>
      <c r="DK537" t="s">
        <v>345</v>
      </c>
      <c r="DS537" s="6">
        <v>15.13</v>
      </c>
      <c r="DT537" t="s">
        <v>424</v>
      </c>
      <c r="DU537" s="1">
        <v>44361</v>
      </c>
      <c r="DV537" s="1">
        <v>44450</v>
      </c>
    </row>
    <row r="538" spans="1:126" ht="15" customHeight="1" x14ac:dyDescent="0.35">
      <c r="A538" t="s">
        <v>19651</v>
      </c>
      <c r="B538" t="s">
        <v>318</v>
      </c>
      <c r="C538" s="1">
        <v>44333</v>
      </c>
      <c r="D538" s="1">
        <v>44361</v>
      </c>
      <c r="H538" t="s">
        <v>319</v>
      </c>
      <c r="I538" t="s">
        <v>462</v>
      </c>
      <c r="J538" t="s">
        <v>463</v>
      </c>
      <c r="L538" t="s">
        <v>464</v>
      </c>
      <c r="M538" t="s">
        <v>465</v>
      </c>
      <c r="O538" t="s">
        <v>466</v>
      </c>
      <c r="P538" t="s">
        <v>467</v>
      </c>
      <c r="Q538" s="3">
        <v>80021</v>
      </c>
      <c r="R538" t="s">
        <v>128</v>
      </c>
      <c r="T538" s="4">
        <v>13034041800</v>
      </c>
      <c r="V538" t="s">
        <v>468</v>
      </c>
      <c r="W538" t="s">
        <v>17356</v>
      </c>
      <c r="X538" t="s">
        <v>18896</v>
      </c>
      <c r="Y538" t="s">
        <v>465</v>
      </c>
      <c r="AA538" t="s">
        <v>466</v>
      </c>
      <c r="AB538" t="s">
        <v>471</v>
      </c>
      <c r="AC538" s="3" t="str">
        <f>"80021"</f>
        <v>80021</v>
      </c>
      <c r="AD538" t="s">
        <v>128</v>
      </c>
      <c r="AF538" s="4">
        <v>13034041800</v>
      </c>
      <c r="AH538" t="str">
        <f>"713920"</f>
        <v>713920</v>
      </c>
      <c r="AI538" t="s">
        <v>130</v>
      </c>
      <c r="AJ538" t="s">
        <v>472</v>
      </c>
      <c r="AK538" t="s">
        <v>473</v>
      </c>
      <c r="AL538" t="s">
        <v>474</v>
      </c>
      <c r="AM538" t="s">
        <v>475</v>
      </c>
      <c r="AN538" t="s">
        <v>439</v>
      </c>
      <c r="AO538" t="s">
        <v>476</v>
      </c>
      <c r="AP538" t="s">
        <v>172</v>
      </c>
      <c r="AQ538" s="5">
        <v>90071</v>
      </c>
      <c r="AR538" t="s">
        <v>128</v>
      </c>
      <c r="AT538" s="4">
        <v>13108203322</v>
      </c>
      <c r="AV538" t="s">
        <v>477</v>
      </c>
      <c r="AW538" t="s">
        <v>386</v>
      </c>
      <c r="AX538" t="s">
        <v>131</v>
      </c>
      <c r="AY538" t="s">
        <v>131</v>
      </c>
      <c r="AZ538" t="s">
        <v>131</v>
      </c>
      <c r="BA538" t="s">
        <v>131</v>
      </c>
      <c r="BB538" t="s">
        <v>131</v>
      </c>
      <c r="BC538" t="s">
        <v>131</v>
      </c>
      <c r="BD538" t="s">
        <v>131</v>
      </c>
      <c r="BE538" t="s">
        <v>132</v>
      </c>
      <c r="BH538" t="s">
        <v>1080</v>
      </c>
      <c r="BI538" t="s">
        <v>131</v>
      </c>
      <c r="BL538" t="s">
        <v>167</v>
      </c>
      <c r="BO538" t="s">
        <v>131</v>
      </c>
      <c r="BP538" t="s">
        <v>134</v>
      </c>
      <c r="BQ538" t="s">
        <v>131</v>
      </c>
      <c r="BS538" t="str">
        <f t="shared" si="40"/>
        <v>N/A</v>
      </c>
      <c r="BT538" t="s">
        <v>135</v>
      </c>
      <c r="BU538">
        <v>24</v>
      </c>
      <c r="BV538" t="str">
        <f>"Cook or related occupation."</f>
        <v>Cook or related occupation.</v>
      </c>
      <c r="BW538" t="s">
        <v>135</v>
      </c>
      <c r="BX538" t="str">
        <f>""</f>
        <v/>
      </c>
      <c r="BY538" t="str">
        <f>""</f>
        <v/>
      </c>
      <c r="BZ538" t="str">
        <f>""</f>
        <v/>
      </c>
      <c r="CA538" t="str">
        <f t="shared" si="41"/>
        <v>Must be able to lift up to 50 lbs.</v>
      </c>
      <c r="CB538" t="s">
        <v>131</v>
      </c>
      <c r="CF538" t="s">
        <v>131</v>
      </c>
      <c r="CH538" t="str">
        <f>""</f>
        <v/>
      </c>
      <c r="CI538" t="s">
        <v>131</v>
      </c>
      <c r="CK538" t="s">
        <v>131</v>
      </c>
      <c r="CL538" t="str">
        <f>""</f>
        <v/>
      </c>
      <c r="CM538" t="str">
        <f>""</f>
        <v/>
      </c>
      <c r="CN538" t="str">
        <f>""</f>
        <v/>
      </c>
      <c r="CO538" t="str">
        <f>""</f>
        <v/>
      </c>
      <c r="CP538" t="str">
        <f>"35-2014.00"</f>
        <v>35-2014.00</v>
      </c>
      <c r="CQ538" t="s">
        <v>581</v>
      </c>
      <c r="CR538" t="s">
        <v>1941</v>
      </c>
      <c r="CS538" t="s">
        <v>131</v>
      </c>
      <c r="CU538" t="s">
        <v>19652</v>
      </c>
      <c r="CW538" t="s">
        <v>13243</v>
      </c>
      <c r="CX538" t="s">
        <v>172</v>
      </c>
      <c r="CZ538" s="3" t="str">
        <f>"96150"</f>
        <v>96150</v>
      </c>
      <c r="DA538" t="s">
        <v>131</v>
      </c>
      <c r="DB538" t="str">
        <f>"35-2014"</f>
        <v>35-2014</v>
      </c>
      <c r="DC538" t="s">
        <v>581</v>
      </c>
      <c r="DD538" t="s">
        <v>134</v>
      </c>
      <c r="DE538" t="s">
        <v>134</v>
      </c>
      <c r="DF538" t="str">
        <f>""</f>
        <v/>
      </c>
      <c r="DH538" s="6">
        <v>13.8</v>
      </c>
      <c r="DI538" t="s">
        <v>344</v>
      </c>
      <c r="DK538" t="s">
        <v>345</v>
      </c>
      <c r="DS538" s="6">
        <v>13.8</v>
      </c>
      <c r="DT538" t="s">
        <v>424</v>
      </c>
      <c r="DU538" s="1">
        <v>44361</v>
      </c>
      <c r="DV538" s="1">
        <v>44450</v>
      </c>
    </row>
    <row r="539" spans="1:126" ht="15" customHeight="1" x14ac:dyDescent="0.35">
      <c r="A539" t="s">
        <v>14192</v>
      </c>
      <c r="B539" t="s">
        <v>318</v>
      </c>
      <c r="C539" s="1">
        <v>44333</v>
      </c>
      <c r="D539" s="1">
        <v>44361</v>
      </c>
      <c r="H539" t="s">
        <v>319</v>
      </c>
      <c r="I539" t="s">
        <v>462</v>
      </c>
      <c r="J539" t="s">
        <v>463</v>
      </c>
      <c r="L539" t="s">
        <v>464</v>
      </c>
      <c r="M539" t="s">
        <v>465</v>
      </c>
      <c r="O539" t="s">
        <v>466</v>
      </c>
      <c r="P539" t="s">
        <v>467</v>
      </c>
      <c r="Q539" s="3">
        <v>80021</v>
      </c>
      <c r="R539" t="s">
        <v>128</v>
      </c>
      <c r="T539" s="4">
        <v>13034041800</v>
      </c>
      <c r="V539" t="s">
        <v>468</v>
      </c>
      <c r="W539" t="s">
        <v>469</v>
      </c>
      <c r="Y539" t="s">
        <v>465</v>
      </c>
      <c r="AA539" t="s">
        <v>466</v>
      </c>
      <c r="AB539" t="s">
        <v>471</v>
      </c>
      <c r="AC539" s="3" t="str">
        <f>"80021"</f>
        <v>80021</v>
      </c>
      <c r="AD539" t="s">
        <v>128</v>
      </c>
      <c r="AF539" s="4">
        <v>13034041800</v>
      </c>
      <c r="AH539" t="str">
        <f>"713920"</f>
        <v>713920</v>
      </c>
      <c r="AI539" t="s">
        <v>130</v>
      </c>
      <c r="AJ539" t="s">
        <v>472</v>
      </c>
      <c r="AK539" t="s">
        <v>473</v>
      </c>
      <c r="AL539" t="s">
        <v>474</v>
      </c>
      <c r="AM539" t="s">
        <v>475</v>
      </c>
      <c r="AN539" t="s">
        <v>439</v>
      </c>
      <c r="AO539" t="s">
        <v>476</v>
      </c>
      <c r="AP539" t="s">
        <v>172</v>
      </c>
      <c r="AQ539" s="5">
        <v>90071</v>
      </c>
      <c r="AR539" t="s">
        <v>128</v>
      </c>
      <c r="AT539" s="4">
        <v>13108203322</v>
      </c>
      <c r="AV539" t="s">
        <v>477</v>
      </c>
      <c r="AW539" t="s">
        <v>386</v>
      </c>
      <c r="AX539" t="s">
        <v>131</v>
      </c>
      <c r="AY539" t="s">
        <v>131</v>
      </c>
      <c r="AZ539" t="s">
        <v>131</v>
      </c>
      <c r="BA539" t="s">
        <v>131</v>
      </c>
      <c r="BB539" t="s">
        <v>131</v>
      </c>
      <c r="BC539" t="s">
        <v>131</v>
      </c>
      <c r="BD539" t="s">
        <v>131</v>
      </c>
      <c r="BE539" t="s">
        <v>132</v>
      </c>
      <c r="BH539" t="s">
        <v>478</v>
      </c>
      <c r="BI539" t="s">
        <v>131</v>
      </c>
      <c r="BL539" t="s">
        <v>167</v>
      </c>
      <c r="BO539" t="s">
        <v>131</v>
      </c>
      <c r="BP539" t="s">
        <v>134</v>
      </c>
      <c r="BQ539" t="s">
        <v>131</v>
      </c>
      <c r="BS539" t="str">
        <f t="shared" si="40"/>
        <v>N/A</v>
      </c>
      <c r="BT539" t="s">
        <v>135</v>
      </c>
      <c r="BU539">
        <v>12</v>
      </c>
      <c r="BV539" t="str">
        <f>"Maid, Housekeeping Cleaner or related"</f>
        <v>Maid, Housekeeping Cleaner or related</v>
      </c>
      <c r="BW539" t="s">
        <v>135</v>
      </c>
      <c r="BX539" t="str">
        <f>""</f>
        <v/>
      </c>
      <c r="BY539" t="str">
        <f>""</f>
        <v/>
      </c>
      <c r="BZ539" t="str">
        <f>""</f>
        <v/>
      </c>
      <c r="CA539" t="str">
        <f>"Must be able to lift 50 lbs. Must be able to stand for extended periods of time. Must have a minimum of 1 year of housekeeping experience."</f>
        <v>Must be able to lift 50 lbs. Must be able to stand for extended periods of time. Must have a minimum of 1 year of housekeeping experience.</v>
      </c>
      <c r="CB539" t="s">
        <v>131</v>
      </c>
      <c r="CF539" t="s">
        <v>131</v>
      </c>
      <c r="CH539" t="str">
        <f>""</f>
        <v/>
      </c>
      <c r="CI539" t="s">
        <v>131</v>
      </c>
      <c r="CK539" t="s">
        <v>131</v>
      </c>
      <c r="CL539" t="str">
        <f>""</f>
        <v/>
      </c>
      <c r="CM539" t="str">
        <f>""</f>
        <v/>
      </c>
      <c r="CN539" t="str">
        <f>""</f>
        <v/>
      </c>
      <c r="CO539" t="str">
        <f>""</f>
        <v/>
      </c>
      <c r="CP539" t="str">
        <f>"37-2012.00"</f>
        <v>37-2012.00</v>
      </c>
      <c r="CQ539" t="s">
        <v>479</v>
      </c>
      <c r="CR539" t="s">
        <v>480</v>
      </c>
      <c r="CS539" t="s">
        <v>131</v>
      </c>
      <c r="CU539" t="s">
        <v>14193</v>
      </c>
      <c r="CW539" t="s">
        <v>10847</v>
      </c>
      <c r="CX539" t="s">
        <v>471</v>
      </c>
      <c r="CZ539" s="3" t="str">
        <f>"80435"</f>
        <v>80435</v>
      </c>
      <c r="DA539" t="s">
        <v>135</v>
      </c>
      <c r="DB539" t="str">
        <f>"37-2012"</f>
        <v>37-2012</v>
      </c>
      <c r="DC539" t="s">
        <v>479</v>
      </c>
      <c r="DD539" t="s">
        <v>134</v>
      </c>
      <c r="DE539" t="s">
        <v>134</v>
      </c>
      <c r="DF539" t="str">
        <f>""</f>
        <v/>
      </c>
      <c r="DH539" s="6">
        <v>15.39</v>
      </c>
      <c r="DI539" t="s">
        <v>344</v>
      </c>
      <c r="DK539" t="s">
        <v>345</v>
      </c>
      <c r="DS539" s="6">
        <v>15.39</v>
      </c>
      <c r="DT539" t="s">
        <v>424</v>
      </c>
      <c r="DU539" s="1">
        <v>44361</v>
      </c>
      <c r="DV539" s="1">
        <v>44450</v>
      </c>
    </row>
    <row r="540" spans="1:126" ht="15" customHeight="1" x14ac:dyDescent="0.35">
      <c r="A540" t="s">
        <v>6876</v>
      </c>
      <c r="B540" t="s">
        <v>318</v>
      </c>
      <c r="C540" s="1">
        <v>44333</v>
      </c>
      <c r="D540" s="1">
        <v>44361</v>
      </c>
      <c r="H540" t="s">
        <v>319</v>
      </c>
      <c r="I540" t="s">
        <v>462</v>
      </c>
      <c r="J540" t="s">
        <v>463</v>
      </c>
      <c r="L540" t="s">
        <v>464</v>
      </c>
      <c r="M540" t="s">
        <v>465</v>
      </c>
      <c r="O540" t="s">
        <v>466</v>
      </c>
      <c r="P540" t="s">
        <v>467</v>
      </c>
      <c r="Q540" s="3">
        <v>80021</v>
      </c>
      <c r="R540" t="s">
        <v>128</v>
      </c>
      <c r="T540" s="4">
        <v>13034041800</v>
      </c>
      <c r="V540" t="s">
        <v>468</v>
      </c>
      <c r="W540" t="s">
        <v>469</v>
      </c>
      <c r="Y540" t="s">
        <v>465</v>
      </c>
      <c r="AA540" t="s">
        <v>466</v>
      </c>
      <c r="AB540" t="s">
        <v>471</v>
      </c>
      <c r="AC540" s="3" t="str">
        <f>"80021"</f>
        <v>80021</v>
      </c>
      <c r="AD540" t="s">
        <v>128</v>
      </c>
      <c r="AF540" s="4">
        <v>13034041800</v>
      </c>
      <c r="AH540" t="str">
        <f>"713920"</f>
        <v>713920</v>
      </c>
      <c r="AI540" t="s">
        <v>130</v>
      </c>
      <c r="AJ540" t="s">
        <v>472</v>
      </c>
      <c r="AK540" t="s">
        <v>473</v>
      </c>
      <c r="AL540" t="s">
        <v>474</v>
      </c>
      <c r="AM540" t="s">
        <v>475</v>
      </c>
      <c r="AN540" t="s">
        <v>439</v>
      </c>
      <c r="AO540" t="s">
        <v>476</v>
      </c>
      <c r="AP540" t="s">
        <v>172</v>
      </c>
      <c r="AQ540" s="5">
        <v>90071</v>
      </c>
      <c r="AR540" t="s">
        <v>128</v>
      </c>
      <c r="AT540" s="4">
        <v>13108203322</v>
      </c>
      <c r="AV540" t="s">
        <v>477</v>
      </c>
      <c r="AW540" t="s">
        <v>386</v>
      </c>
      <c r="AX540" t="s">
        <v>131</v>
      </c>
      <c r="AY540" t="s">
        <v>131</v>
      </c>
      <c r="AZ540" t="s">
        <v>131</v>
      </c>
      <c r="BA540" t="s">
        <v>131</v>
      </c>
      <c r="BB540" t="s">
        <v>131</v>
      </c>
      <c r="BC540" t="s">
        <v>131</v>
      </c>
      <c r="BD540" t="s">
        <v>131</v>
      </c>
      <c r="BE540" t="s">
        <v>132</v>
      </c>
      <c r="BH540" t="s">
        <v>478</v>
      </c>
      <c r="BI540" t="s">
        <v>131</v>
      </c>
      <c r="BL540" t="s">
        <v>167</v>
      </c>
      <c r="BO540" t="s">
        <v>131</v>
      </c>
      <c r="BP540" t="s">
        <v>134</v>
      </c>
      <c r="BQ540" t="s">
        <v>131</v>
      </c>
      <c r="BS540" t="str">
        <f t="shared" si="40"/>
        <v>N/A</v>
      </c>
      <c r="BT540" t="s">
        <v>135</v>
      </c>
      <c r="BU540">
        <v>12</v>
      </c>
      <c r="BV540" t="str">
        <f>"Maid, Housekeeping Cleaner or related"</f>
        <v>Maid, Housekeeping Cleaner or related</v>
      </c>
      <c r="BW540" t="s">
        <v>135</v>
      </c>
      <c r="BX540" t="str">
        <f>""</f>
        <v/>
      </c>
      <c r="BY540" t="str">
        <f>""</f>
        <v/>
      </c>
      <c r="BZ540" t="str">
        <f>""</f>
        <v/>
      </c>
      <c r="CA540" t="str">
        <f>"Must be able to lift 50 lbs. Must be able to stand for extended periods of time. Must have a minimum of 1 year of housekeeping experience."</f>
        <v>Must be able to lift 50 lbs. Must be able to stand for extended periods of time. Must have a minimum of 1 year of housekeeping experience.</v>
      </c>
      <c r="CB540" t="s">
        <v>131</v>
      </c>
      <c r="CF540" t="s">
        <v>131</v>
      </c>
      <c r="CH540" t="str">
        <f>""</f>
        <v/>
      </c>
      <c r="CI540" t="s">
        <v>131</v>
      </c>
      <c r="CK540" t="s">
        <v>131</v>
      </c>
      <c r="CL540" t="str">
        <f>""</f>
        <v/>
      </c>
      <c r="CM540" t="str">
        <f>""</f>
        <v/>
      </c>
      <c r="CN540" t="str">
        <f>""</f>
        <v/>
      </c>
      <c r="CO540" t="str">
        <f>""</f>
        <v/>
      </c>
      <c r="CP540" t="str">
        <f>"37-2012.00"</f>
        <v>37-2012.00</v>
      </c>
      <c r="CQ540" t="s">
        <v>479</v>
      </c>
      <c r="CR540" t="s">
        <v>480</v>
      </c>
      <c r="CS540" t="s">
        <v>131</v>
      </c>
      <c r="CU540" t="s">
        <v>6877</v>
      </c>
      <c r="CW540" t="s">
        <v>1735</v>
      </c>
      <c r="CX540" t="s">
        <v>471</v>
      </c>
      <c r="CZ540" s="3" t="str">
        <f>"81657"</f>
        <v>81657</v>
      </c>
      <c r="DA540" t="s">
        <v>135</v>
      </c>
      <c r="DB540" t="str">
        <f>"37-2012"</f>
        <v>37-2012</v>
      </c>
      <c r="DC540" t="s">
        <v>479</v>
      </c>
      <c r="DD540" t="s">
        <v>134</v>
      </c>
      <c r="DE540" t="s">
        <v>134</v>
      </c>
      <c r="DF540" t="str">
        <f>""</f>
        <v/>
      </c>
      <c r="DH540" s="6">
        <v>15.39</v>
      </c>
      <c r="DI540" t="s">
        <v>344</v>
      </c>
      <c r="DK540" t="s">
        <v>345</v>
      </c>
      <c r="DS540" s="6">
        <v>15.39</v>
      </c>
      <c r="DT540" t="s">
        <v>424</v>
      </c>
      <c r="DU540" s="1">
        <v>44361</v>
      </c>
      <c r="DV540" s="1">
        <v>44450</v>
      </c>
    </row>
    <row r="541" spans="1:126" ht="15" customHeight="1" x14ac:dyDescent="0.35">
      <c r="A541" t="s">
        <v>4279</v>
      </c>
      <c r="B541" t="s">
        <v>318</v>
      </c>
      <c r="C541" s="1">
        <v>44333</v>
      </c>
      <c r="D541" s="1">
        <v>44361</v>
      </c>
      <c r="H541" t="s">
        <v>319</v>
      </c>
      <c r="I541" t="s">
        <v>4280</v>
      </c>
      <c r="J541" t="s">
        <v>3519</v>
      </c>
      <c r="L541" t="s">
        <v>1105</v>
      </c>
      <c r="M541" t="s">
        <v>4281</v>
      </c>
      <c r="N541" t="s">
        <v>904</v>
      </c>
      <c r="O541" t="s">
        <v>712</v>
      </c>
      <c r="P541" t="s">
        <v>3898</v>
      </c>
      <c r="Q541" s="3">
        <v>40510</v>
      </c>
      <c r="R541" t="s">
        <v>128</v>
      </c>
      <c r="T541" s="4">
        <v>18592252496</v>
      </c>
      <c r="V541" t="s">
        <v>4282</v>
      </c>
      <c r="W541" t="s">
        <v>4283</v>
      </c>
      <c r="Y541" t="s">
        <v>4281</v>
      </c>
      <c r="Z541" t="s">
        <v>904</v>
      </c>
      <c r="AA541" t="s">
        <v>712</v>
      </c>
      <c r="AB541" t="s">
        <v>2436</v>
      </c>
      <c r="AC541" s="3" t="str">
        <f>"40510"</f>
        <v>40510</v>
      </c>
      <c r="AD541" t="s">
        <v>128</v>
      </c>
      <c r="AF541" s="4">
        <v>18592252496</v>
      </c>
      <c r="AH541" t="str">
        <f>"56173"</f>
        <v>56173</v>
      </c>
      <c r="AI541" t="s">
        <v>287</v>
      </c>
      <c r="AJ541" t="s">
        <v>4284</v>
      </c>
      <c r="AK541" t="s">
        <v>2892</v>
      </c>
      <c r="AM541" t="s">
        <v>4285</v>
      </c>
      <c r="AO541" t="s">
        <v>4286</v>
      </c>
      <c r="AP541" t="s">
        <v>172</v>
      </c>
      <c r="AQ541" s="5">
        <v>93422</v>
      </c>
      <c r="AR541" t="s">
        <v>128</v>
      </c>
      <c r="AT541" s="4">
        <v>18593382754</v>
      </c>
      <c r="AV541" t="s">
        <v>4287</v>
      </c>
      <c r="AW541" t="s">
        <v>4288</v>
      </c>
      <c r="AX541" t="s">
        <v>131</v>
      </c>
      <c r="AY541" t="s">
        <v>131</v>
      </c>
      <c r="AZ541" t="s">
        <v>131</v>
      </c>
      <c r="BA541" t="s">
        <v>131</v>
      </c>
      <c r="BB541" t="s">
        <v>131</v>
      </c>
      <c r="BC541" t="s">
        <v>131</v>
      </c>
      <c r="BD541" t="s">
        <v>131</v>
      </c>
      <c r="BE541" t="s">
        <v>132</v>
      </c>
      <c r="BH541" t="s">
        <v>4289</v>
      </c>
      <c r="BI541" t="s">
        <v>131</v>
      </c>
      <c r="BL541" t="s">
        <v>167</v>
      </c>
      <c r="BO541" t="s">
        <v>131</v>
      </c>
      <c r="BP541" t="s">
        <v>134</v>
      </c>
      <c r="BQ541" t="s">
        <v>131</v>
      </c>
      <c r="BS541" t="str">
        <f t="shared" si="40"/>
        <v>N/A</v>
      </c>
      <c r="BT541" t="s">
        <v>131</v>
      </c>
      <c r="BV541" t="str">
        <f>""</f>
        <v/>
      </c>
      <c r="BW541" t="s">
        <v>135</v>
      </c>
      <c r="BX541" t="str">
        <f>""</f>
        <v/>
      </c>
      <c r="BY541" t="str">
        <f>""</f>
        <v/>
      </c>
      <c r="BZ541" t="str">
        <f>""</f>
        <v/>
      </c>
      <c r="CA541" t="str">
        <f>"MUST BE ABLE TO TOLERATE EXTREME TEMPERATURES, LOUD NOISES; LIFT HEAVY EQUIPMENT AND EXHIBIT STAMINA. OPERATE EQUIPMENT WHILE SOBER.MAY WORK SATURDAYS. POST-EMPLOYMENT EMPLOYER-PAID DRUG TEST MAY BE ADMINISTERED."</f>
        <v>MUST BE ABLE TO TOLERATE EXTREME TEMPERATURES, LOUD NOISES; LIFT HEAVY EQUIPMENT AND EXHIBIT STAMINA. OPERATE EQUIPMENT WHILE SOBER.MAY WORK SATURDAYS. POST-EMPLOYMENT EMPLOYER-PAID DRUG TEST MAY BE ADMINISTERED.</v>
      </c>
      <c r="CB541" t="s">
        <v>131</v>
      </c>
      <c r="CF541" t="s">
        <v>131</v>
      </c>
      <c r="CH541" t="str">
        <f>""</f>
        <v/>
      </c>
      <c r="CI541" t="s">
        <v>131</v>
      </c>
      <c r="CK541" t="s">
        <v>131</v>
      </c>
      <c r="CL541" t="str">
        <f>""</f>
        <v/>
      </c>
      <c r="CM541" t="str">
        <f>""</f>
        <v/>
      </c>
      <c r="CN541" t="str">
        <f>""</f>
        <v/>
      </c>
      <c r="CO541" t="str">
        <f>""</f>
        <v/>
      </c>
      <c r="CP541" t="str">
        <f>"37-3011.00"</f>
        <v>37-3011.00</v>
      </c>
      <c r="CQ541" t="s">
        <v>920</v>
      </c>
      <c r="CS541" t="s">
        <v>131</v>
      </c>
      <c r="CU541" t="s">
        <v>4290</v>
      </c>
      <c r="CV541" t="s">
        <v>904</v>
      </c>
      <c r="CW541" t="s">
        <v>712</v>
      </c>
      <c r="CX541" t="s">
        <v>2436</v>
      </c>
      <c r="CZ541" s="3" t="str">
        <f>"40510"</f>
        <v>40510</v>
      </c>
      <c r="DA541" t="s">
        <v>135</v>
      </c>
      <c r="DB541" t="str">
        <f>"37-3011"</f>
        <v>37-3011</v>
      </c>
      <c r="DC541" t="s">
        <v>920</v>
      </c>
      <c r="DD541" t="s">
        <v>134</v>
      </c>
      <c r="DE541" t="s">
        <v>134</v>
      </c>
      <c r="DF541" t="str">
        <f>""</f>
        <v/>
      </c>
      <c r="DH541" s="6">
        <v>15.44</v>
      </c>
      <c r="DI541" t="s">
        <v>344</v>
      </c>
      <c r="DK541" t="s">
        <v>345</v>
      </c>
      <c r="DS541" s="6">
        <v>15.44</v>
      </c>
      <c r="DT541" t="s">
        <v>424</v>
      </c>
      <c r="DU541" s="1">
        <v>44361</v>
      </c>
      <c r="DV541" s="1">
        <v>44450</v>
      </c>
    </row>
    <row r="542" spans="1:126" ht="15" customHeight="1" x14ac:dyDescent="0.35">
      <c r="A542" t="s">
        <v>18900</v>
      </c>
      <c r="B542" t="s">
        <v>318</v>
      </c>
      <c r="C542" s="1">
        <v>44333</v>
      </c>
      <c r="D542" s="1">
        <v>44364</v>
      </c>
      <c r="H542" t="s">
        <v>319</v>
      </c>
      <c r="I542" t="s">
        <v>3354</v>
      </c>
      <c r="J542" t="s">
        <v>8925</v>
      </c>
      <c r="L542" t="s">
        <v>8414</v>
      </c>
      <c r="M542" t="s">
        <v>8926</v>
      </c>
      <c r="O542" t="s">
        <v>1674</v>
      </c>
      <c r="P542" t="s">
        <v>1675</v>
      </c>
      <c r="Q542" s="3">
        <v>68512</v>
      </c>
      <c r="R542" t="s">
        <v>128</v>
      </c>
      <c r="T542" s="4">
        <v>14024236653</v>
      </c>
      <c r="V542" t="s">
        <v>8927</v>
      </c>
      <c r="W542" t="s">
        <v>8928</v>
      </c>
      <c r="Y542" t="s">
        <v>8926</v>
      </c>
      <c r="AA542" t="s">
        <v>1674</v>
      </c>
      <c r="AB542" t="s">
        <v>1176</v>
      </c>
      <c r="AC542" s="3" t="str">
        <f>"68512"</f>
        <v>68512</v>
      </c>
      <c r="AD542" t="s">
        <v>128</v>
      </c>
      <c r="AF542" s="4">
        <v>14024236653</v>
      </c>
      <c r="AH542" t="str">
        <f>"237990"</f>
        <v>237990</v>
      </c>
      <c r="AI542" t="s">
        <v>130</v>
      </c>
      <c r="AJ542" t="s">
        <v>4566</v>
      </c>
      <c r="AK542" t="s">
        <v>4567</v>
      </c>
      <c r="AL542" t="s">
        <v>4568</v>
      </c>
      <c r="AM542" t="s">
        <v>4569</v>
      </c>
      <c r="AN542" t="s">
        <v>4570</v>
      </c>
      <c r="AO542" t="s">
        <v>433</v>
      </c>
      <c r="AP542" t="s">
        <v>400</v>
      </c>
      <c r="AQ542" s="5">
        <v>75234</v>
      </c>
      <c r="AR542" t="s">
        <v>128</v>
      </c>
      <c r="AT542" s="4">
        <v>19722416445</v>
      </c>
      <c r="AV542" t="s">
        <v>4571</v>
      </c>
      <c r="AW542" t="s">
        <v>4572</v>
      </c>
      <c r="AX542" t="s">
        <v>131</v>
      </c>
      <c r="AY542" t="s">
        <v>131</v>
      </c>
      <c r="AZ542" t="s">
        <v>131</v>
      </c>
      <c r="BA542" t="s">
        <v>131</v>
      </c>
      <c r="BB542" t="s">
        <v>131</v>
      </c>
      <c r="BC542" t="s">
        <v>131</v>
      </c>
      <c r="BD542" t="s">
        <v>131</v>
      </c>
      <c r="BE542" t="s">
        <v>132</v>
      </c>
      <c r="BH542" t="s">
        <v>8929</v>
      </c>
      <c r="BI542" t="s">
        <v>131</v>
      </c>
      <c r="BL542" t="s">
        <v>167</v>
      </c>
      <c r="BO542" t="s">
        <v>131</v>
      </c>
      <c r="BP542" t="s">
        <v>134</v>
      </c>
      <c r="BQ542" t="s">
        <v>131</v>
      </c>
      <c r="BS542" t="str">
        <f t="shared" si="40"/>
        <v>N/A</v>
      </c>
      <c r="BT542" t="s">
        <v>135</v>
      </c>
      <c r="BU542">
        <v>6</v>
      </c>
      <c r="BV542" t="str">
        <f>"Landscape Laborer"</f>
        <v>Landscape Laborer</v>
      </c>
      <c r="BW542" t="s">
        <v>135</v>
      </c>
      <c r="BX542" t="str">
        <f>""</f>
        <v/>
      </c>
      <c r="BY542" t="str">
        <f>""</f>
        <v/>
      </c>
      <c r="BZ542" t="str">
        <f>""</f>
        <v/>
      </c>
      <c r="CA542" t="s">
        <v>9095</v>
      </c>
      <c r="CB542" t="s">
        <v>131</v>
      </c>
      <c r="CF542" t="s">
        <v>131</v>
      </c>
      <c r="CH542" t="str">
        <f>""</f>
        <v/>
      </c>
      <c r="CI542" t="s">
        <v>131</v>
      </c>
      <c r="CK542" t="s">
        <v>131</v>
      </c>
      <c r="CL542" t="str">
        <f>""</f>
        <v/>
      </c>
      <c r="CM542" t="str">
        <f>""</f>
        <v/>
      </c>
      <c r="CN542" t="str">
        <f>""</f>
        <v/>
      </c>
      <c r="CO542" t="str">
        <f>""</f>
        <v/>
      </c>
      <c r="CP542" t="str">
        <f>"37-3011.00"</f>
        <v>37-3011.00</v>
      </c>
      <c r="CQ542" t="s">
        <v>920</v>
      </c>
      <c r="CR542" t="s">
        <v>8930</v>
      </c>
      <c r="CS542" t="s">
        <v>131</v>
      </c>
      <c r="CU542" t="s">
        <v>18901</v>
      </c>
      <c r="CV542" t="s">
        <v>8932</v>
      </c>
      <c r="CW542" t="s">
        <v>1600</v>
      </c>
      <c r="CX542" t="s">
        <v>1218</v>
      </c>
      <c r="CZ542" s="3" t="str">
        <f>"35010"</f>
        <v>35010</v>
      </c>
      <c r="DA542" t="s">
        <v>131</v>
      </c>
      <c r="DB542" t="str">
        <f>"37-3011"</f>
        <v>37-3011</v>
      </c>
      <c r="DC542" t="s">
        <v>920</v>
      </c>
      <c r="DD542" t="s">
        <v>134</v>
      </c>
      <c r="DE542" t="s">
        <v>134</v>
      </c>
      <c r="DF542" t="str">
        <f>""</f>
        <v/>
      </c>
      <c r="DH542" s="6">
        <v>10.71</v>
      </c>
      <c r="DI542" t="s">
        <v>344</v>
      </c>
      <c r="DK542" t="s">
        <v>345</v>
      </c>
      <c r="DS542" s="6">
        <v>10.71</v>
      </c>
      <c r="DT542" t="s">
        <v>424</v>
      </c>
      <c r="DU542" s="1">
        <v>44364</v>
      </c>
      <c r="DV542" s="1">
        <v>44453</v>
      </c>
    </row>
    <row r="543" spans="1:126" ht="15" customHeight="1" x14ac:dyDescent="0.35">
      <c r="A543" t="s">
        <v>12479</v>
      </c>
      <c r="B543" t="s">
        <v>318</v>
      </c>
      <c r="C543" s="1">
        <v>44333</v>
      </c>
      <c r="D543" s="1">
        <v>44361</v>
      </c>
      <c r="H543" t="s">
        <v>319</v>
      </c>
      <c r="I543" t="s">
        <v>462</v>
      </c>
      <c r="J543" t="s">
        <v>463</v>
      </c>
      <c r="L543" t="s">
        <v>464</v>
      </c>
      <c r="M543" t="s">
        <v>465</v>
      </c>
      <c r="O543" t="s">
        <v>466</v>
      </c>
      <c r="P543" t="s">
        <v>467</v>
      </c>
      <c r="Q543" s="3">
        <v>80021</v>
      </c>
      <c r="R543" t="s">
        <v>128</v>
      </c>
      <c r="T543" s="4">
        <v>13034041800</v>
      </c>
      <c r="V543" t="s">
        <v>468</v>
      </c>
      <c r="W543" t="s">
        <v>12480</v>
      </c>
      <c r="X543" t="s">
        <v>1636</v>
      </c>
      <c r="Y543" t="s">
        <v>12481</v>
      </c>
      <c r="AA543" t="s">
        <v>1636</v>
      </c>
      <c r="AB543" t="s">
        <v>1008</v>
      </c>
      <c r="AC543" s="3" t="str">
        <f>"84098"</f>
        <v>84098</v>
      </c>
      <c r="AD543" t="s">
        <v>128</v>
      </c>
      <c r="AF543" s="4">
        <v>14356153381</v>
      </c>
      <c r="AH543" t="str">
        <f>"713920"</f>
        <v>713920</v>
      </c>
      <c r="AI543" t="s">
        <v>130</v>
      </c>
      <c r="AJ543" t="s">
        <v>472</v>
      </c>
      <c r="AK543" t="s">
        <v>473</v>
      </c>
      <c r="AL543" t="s">
        <v>474</v>
      </c>
      <c r="AM543" t="s">
        <v>475</v>
      </c>
      <c r="AN543" t="s">
        <v>439</v>
      </c>
      <c r="AO543" t="s">
        <v>476</v>
      </c>
      <c r="AP543" t="s">
        <v>172</v>
      </c>
      <c r="AQ543" s="5">
        <v>90071</v>
      </c>
      <c r="AR543" t="s">
        <v>128</v>
      </c>
      <c r="AT543" s="4">
        <v>13108203322</v>
      </c>
      <c r="AV543" t="s">
        <v>477</v>
      </c>
      <c r="AW543" t="s">
        <v>386</v>
      </c>
      <c r="AX543" t="s">
        <v>131</v>
      </c>
      <c r="AY543" t="s">
        <v>131</v>
      </c>
      <c r="AZ543" t="s">
        <v>131</v>
      </c>
      <c r="BA543" t="s">
        <v>131</v>
      </c>
      <c r="BB543" t="s">
        <v>131</v>
      </c>
      <c r="BC543" t="s">
        <v>131</v>
      </c>
      <c r="BD543" t="s">
        <v>131</v>
      </c>
      <c r="BE543" t="s">
        <v>132</v>
      </c>
      <c r="BH543" t="s">
        <v>478</v>
      </c>
      <c r="BI543" t="s">
        <v>131</v>
      </c>
      <c r="BL543" t="s">
        <v>167</v>
      </c>
      <c r="BO543" t="s">
        <v>131</v>
      </c>
      <c r="BP543" t="s">
        <v>134</v>
      </c>
      <c r="BQ543" t="s">
        <v>131</v>
      </c>
      <c r="BS543" t="str">
        <f t="shared" si="40"/>
        <v>N/A</v>
      </c>
      <c r="BT543" t="s">
        <v>135</v>
      </c>
      <c r="BU543">
        <v>12</v>
      </c>
      <c r="BV543" t="str">
        <f>"Maid, Housekeeping Cleaner or related"</f>
        <v>Maid, Housekeeping Cleaner or related</v>
      </c>
      <c r="BW543" t="s">
        <v>135</v>
      </c>
      <c r="BX543" t="str">
        <f>""</f>
        <v/>
      </c>
      <c r="BY543" t="str">
        <f>""</f>
        <v/>
      </c>
      <c r="BZ543" t="str">
        <f>""</f>
        <v/>
      </c>
      <c r="CA543" t="str">
        <f>"Must be able to lift 50 lbs. Must be able to stand for extended periods of time. Must have a minimum of 1 year of housekeeping experience."</f>
        <v>Must be able to lift 50 lbs. Must be able to stand for extended periods of time. Must have a minimum of 1 year of housekeeping experience.</v>
      </c>
      <c r="CB543" t="s">
        <v>131</v>
      </c>
      <c r="CF543" t="s">
        <v>131</v>
      </c>
      <c r="CH543" t="str">
        <f>""</f>
        <v/>
      </c>
      <c r="CI543" t="s">
        <v>131</v>
      </c>
      <c r="CK543" t="s">
        <v>131</v>
      </c>
      <c r="CL543" t="str">
        <f>""</f>
        <v/>
      </c>
      <c r="CM543" t="str">
        <f>""</f>
        <v/>
      </c>
      <c r="CN543" t="str">
        <f>""</f>
        <v/>
      </c>
      <c r="CO543" t="str">
        <f>""</f>
        <v/>
      </c>
      <c r="CP543" t="str">
        <f t="shared" ref="CP543:CP548" si="42">"37-2012.00"</f>
        <v>37-2012.00</v>
      </c>
      <c r="CQ543" t="s">
        <v>479</v>
      </c>
      <c r="CR543" t="s">
        <v>480</v>
      </c>
      <c r="CS543" t="s">
        <v>131</v>
      </c>
      <c r="CU543" t="s">
        <v>12481</v>
      </c>
      <c r="CW543" t="s">
        <v>1636</v>
      </c>
      <c r="CX543" t="s">
        <v>1008</v>
      </c>
      <c r="CZ543" s="3" t="str">
        <f>"84098"</f>
        <v>84098</v>
      </c>
      <c r="DA543" t="s">
        <v>135</v>
      </c>
      <c r="DB543" t="str">
        <f t="shared" ref="DB543:DB548" si="43">"37-2012"</f>
        <v>37-2012</v>
      </c>
      <c r="DC543" t="s">
        <v>479</v>
      </c>
      <c r="DD543" t="s">
        <v>134</v>
      </c>
      <c r="DE543" t="s">
        <v>134</v>
      </c>
      <c r="DF543" t="str">
        <f>""</f>
        <v/>
      </c>
      <c r="DH543" s="6">
        <v>15.28</v>
      </c>
      <c r="DI543" t="s">
        <v>344</v>
      </c>
      <c r="DK543" t="s">
        <v>345</v>
      </c>
      <c r="DS543" s="6">
        <v>15.28</v>
      </c>
      <c r="DT543" t="s">
        <v>424</v>
      </c>
      <c r="DU543" s="1">
        <v>44361</v>
      </c>
      <c r="DV543" s="1">
        <v>44450</v>
      </c>
    </row>
    <row r="544" spans="1:126" ht="15" customHeight="1" x14ac:dyDescent="0.35">
      <c r="A544" t="s">
        <v>11260</v>
      </c>
      <c r="B544" t="s">
        <v>318</v>
      </c>
      <c r="C544" s="1">
        <v>44333</v>
      </c>
      <c r="D544" s="1">
        <v>44361</v>
      </c>
      <c r="H544" t="s">
        <v>319</v>
      </c>
      <c r="I544" t="s">
        <v>462</v>
      </c>
      <c r="J544" t="s">
        <v>463</v>
      </c>
      <c r="L544" t="s">
        <v>464</v>
      </c>
      <c r="M544" t="s">
        <v>465</v>
      </c>
      <c r="O544" t="s">
        <v>466</v>
      </c>
      <c r="P544" t="s">
        <v>467</v>
      </c>
      <c r="Q544" s="3">
        <v>80021</v>
      </c>
      <c r="R544" t="s">
        <v>128</v>
      </c>
      <c r="T544" s="4">
        <v>13034041800</v>
      </c>
      <c r="V544" t="s">
        <v>468</v>
      </c>
      <c r="W544" t="s">
        <v>11261</v>
      </c>
      <c r="X544" t="s">
        <v>11262</v>
      </c>
      <c r="Y544" t="s">
        <v>11263</v>
      </c>
      <c r="AA544" t="s">
        <v>11264</v>
      </c>
      <c r="AB544" t="s">
        <v>2549</v>
      </c>
      <c r="AC544" s="3" t="str">
        <f>"05149"</f>
        <v>05149</v>
      </c>
      <c r="AD544" t="s">
        <v>128</v>
      </c>
      <c r="AF544" s="4">
        <v>18022281966</v>
      </c>
      <c r="AH544" t="str">
        <f>"7211"</f>
        <v>7211</v>
      </c>
      <c r="AI544" t="s">
        <v>130</v>
      </c>
      <c r="AJ544" t="s">
        <v>472</v>
      </c>
      <c r="AK544" t="s">
        <v>473</v>
      </c>
      <c r="AL544" t="s">
        <v>474</v>
      </c>
      <c r="AM544" t="s">
        <v>475</v>
      </c>
      <c r="AN544" t="s">
        <v>439</v>
      </c>
      <c r="AO544" t="s">
        <v>476</v>
      </c>
      <c r="AP544" t="s">
        <v>172</v>
      </c>
      <c r="AQ544" s="5">
        <v>90071</v>
      </c>
      <c r="AR544" t="s">
        <v>128</v>
      </c>
      <c r="AT544" s="4">
        <v>13108203322</v>
      </c>
      <c r="AV544" t="s">
        <v>477</v>
      </c>
      <c r="AW544" t="s">
        <v>386</v>
      </c>
      <c r="AX544" t="s">
        <v>131</v>
      </c>
      <c r="AY544" t="s">
        <v>131</v>
      </c>
      <c r="AZ544" t="s">
        <v>131</v>
      </c>
      <c r="BA544" t="s">
        <v>131</v>
      </c>
      <c r="BB544" t="s">
        <v>131</v>
      </c>
      <c r="BC544" t="s">
        <v>131</v>
      </c>
      <c r="BD544" t="s">
        <v>131</v>
      </c>
      <c r="BE544" t="s">
        <v>132</v>
      </c>
      <c r="BH544" t="s">
        <v>478</v>
      </c>
      <c r="BI544" t="s">
        <v>131</v>
      </c>
      <c r="BL544" t="s">
        <v>167</v>
      </c>
      <c r="BO544" t="s">
        <v>131</v>
      </c>
      <c r="BP544" t="s">
        <v>134</v>
      </c>
      <c r="BQ544" t="s">
        <v>131</v>
      </c>
      <c r="BS544" t="str">
        <f t="shared" si="40"/>
        <v>N/A</v>
      </c>
      <c r="BT544" t="s">
        <v>135</v>
      </c>
      <c r="BU544">
        <v>12</v>
      </c>
      <c r="BV544" t="str">
        <f>"Maid, Housekeeping cleaner or related"</f>
        <v>Maid, Housekeeping cleaner or related</v>
      </c>
      <c r="BW544" t="s">
        <v>135</v>
      </c>
      <c r="BX544" t="str">
        <f>""</f>
        <v/>
      </c>
      <c r="BY544" t="str">
        <f>""</f>
        <v/>
      </c>
      <c r="BZ544" t="str">
        <f>""</f>
        <v/>
      </c>
      <c r="CA544" t="str">
        <f>"Must be able to lift 50 lbs. Must be able to stand for extended periods of time. Must have a minimum of 1 year of housekeeping experience."</f>
        <v>Must be able to lift 50 lbs. Must be able to stand for extended periods of time. Must have a minimum of 1 year of housekeeping experience.</v>
      </c>
      <c r="CB544" t="s">
        <v>131</v>
      </c>
      <c r="CF544" t="s">
        <v>131</v>
      </c>
      <c r="CH544" t="str">
        <f>""</f>
        <v/>
      </c>
      <c r="CI544" t="s">
        <v>131</v>
      </c>
      <c r="CK544" t="s">
        <v>131</v>
      </c>
      <c r="CL544" t="str">
        <f>""</f>
        <v/>
      </c>
      <c r="CM544" t="str">
        <f>""</f>
        <v/>
      </c>
      <c r="CN544" t="str">
        <f>""</f>
        <v/>
      </c>
      <c r="CO544" t="str">
        <f>""</f>
        <v/>
      </c>
      <c r="CP544" t="str">
        <f t="shared" si="42"/>
        <v>37-2012.00</v>
      </c>
      <c r="CQ544" t="s">
        <v>479</v>
      </c>
      <c r="CR544" t="s">
        <v>480</v>
      </c>
      <c r="CS544" t="s">
        <v>131</v>
      </c>
      <c r="CU544" t="s">
        <v>11265</v>
      </c>
      <c r="CW544" t="s">
        <v>11264</v>
      </c>
      <c r="CX544" t="s">
        <v>2549</v>
      </c>
      <c r="CZ544" s="3" t="str">
        <f>"05149"</f>
        <v>05149</v>
      </c>
      <c r="DA544" t="s">
        <v>131</v>
      </c>
      <c r="DB544" t="str">
        <f t="shared" si="43"/>
        <v>37-2012</v>
      </c>
      <c r="DC544" t="s">
        <v>479</v>
      </c>
      <c r="DD544" t="s">
        <v>134</v>
      </c>
      <c r="DE544" t="s">
        <v>134</v>
      </c>
      <c r="DF544" t="str">
        <f>""</f>
        <v/>
      </c>
      <c r="DH544" s="6">
        <v>13.2</v>
      </c>
      <c r="DI544" t="s">
        <v>344</v>
      </c>
      <c r="DK544" t="s">
        <v>345</v>
      </c>
      <c r="DS544" s="6">
        <v>13.2</v>
      </c>
      <c r="DT544" t="s">
        <v>424</v>
      </c>
      <c r="DU544" s="1">
        <v>44361</v>
      </c>
      <c r="DV544" s="1">
        <v>44450</v>
      </c>
    </row>
    <row r="545" spans="1:126" ht="15" customHeight="1" x14ac:dyDescent="0.35">
      <c r="A545" t="s">
        <v>17625</v>
      </c>
      <c r="B545" t="s">
        <v>318</v>
      </c>
      <c r="C545" s="1">
        <v>44333</v>
      </c>
      <c r="D545" s="1">
        <v>44361</v>
      </c>
      <c r="H545" t="s">
        <v>319</v>
      </c>
      <c r="I545" t="s">
        <v>462</v>
      </c>
      <c r="J545" t="s">
        <v>463</v>
      </c>
      <c r="L545" t="s">
        <v>464</v>
      </c>
      <c r="M545" t="s">
        <v>465</v>
      </c>
      <c r="O545" t="s">
        <v>466</v>
      </c>
      <c r="P545" t="s">
        <v>467</v>
      </c>
      <c r="Q545" s="3">
        <v>80021</v>
      </c>
      <c r="R545" t="s">
        <v>128</v>
      </c>
      <c r="T545" s="4">
        <v>13034041800</v>
      </c>
      <c r="V545" t="s">
        <v>10846</v>
      </c>
      <c r="W545" t="s">
        <v>13879</v>
      </c>
      <c r="X545" t="s">
        <v>13880</v>
      </c>
      <c r="Y545" t="s">
        <v>13881</v>
      </c>
      <c r="AA545" t="s">
        <v>8478</v>
      </c>
      <c r="AB545" t="s">
        <v>172</v>
      </c>
      <c r="AC545" s="3" t="str">
        <f>"96161"</f>
        <v>96161</v>
      </c>
      <c r="AD545" t="s">
        <v>128</v>
      </c>
      <c r="AF545" s="4">
        <v>15305621010</v>
      </c>
      <c r="AH545" t="str">
        <f>"713920"</f>
        <v>713920</v>
      </c>
      <c r="AI545" t="s">
        <v>130</v>
      </c>
      <c r="AJ545" t="s">
        <v>472</v>
      </c>
      <c r="AK545" t="s">
        <v>473</v>
      </c>
      <c r="AL545" t="s">
        <v>474</v>
      </c>
      <c r="AM545" t="s">
        <v>475</v>
      </c>
      <c r="AN545" t="s">
        <v>439</v>
      </c>
      <c r="AO545" t="s">
        <v>476</v>
      </c>
      <c r="AP545" t="s">
        <v>172</v>
      </c>
      <c r="AQ545" s="5">
        <v>90071</v>
      </c>
      <c r="AR545" t="s">
        <v>128</v>
      </c>
      <c r="AT545" s="4">
        <v>13108203322</v>
      </c>
      <c r="AV545" t="s">
        <v>477</v>
      </c>
      <c r="AW545" t="s">
        <v>386</v>
      </c>
      <c r="AX545" t="s">
        <v>131</v>
      </c>
      <c r="AY545" t="s">
        <v>131</v>
      </c>
      <c r="AZ545" t="s">
        <v>131</v>
      </c>
      <c r="BA545" t="s">
        <v>131</v>
      </c>
      <c r="BB545" t="s">
        <v>131</v>
      </c>
      <c r="BC545" t="s">
        <v>131</v>
      </c>
      <c r="BD545" t="s">
        <v>131</v>
      </c>
      <c r="BE545" t="s">
        <v>132</v>
      </c>
      <c r="BH545" t="s">
        <v>478</v>
      </c>
      <c r="BI545" t="s">
        <v>131</v>
      </c>
      <c r="BL545" t="s">
        <v>167</v>
      </c>
      <c r="BO545" t="s">
        <v>131</v>
      </c>
      <c r="BP545" t="s">
        <v>134</v>
      </c>
      <c r="BQ545" t="s">
        <v>131</v>
      </c>
      <c r="BS545" t="str">
        <f t="shared" si="40"/>
        <v>N/A</v>
      </c>
      <c r="BT545" t="s">
        <v>135</v>
      </c>
      <c r="BU545">
        <v>12</v>
      </c>
      <c r="BV545" t="str">
        <f>"Maid, Housekeeping Cleaner or related"</f>
        <v>Maid, Housekeeping Cleaner or related</v>
      </c>
      <c r="BW545" t="s">
        <v>135</v>
      </c>
      <c r="BX545" t="str">
        <f>""</f>
        <v/>
      </c>
      <c r="BY545" t="str">
        <f>""</f>
        <v/>
      </c>
      <c r="BZ545" t="str">
        <f>""</f>
        <v/>
      </c>
      <c r="CA545" t="str">
        <f>"Must be able to lift 50 lbs. Must be able to stand for extended periods of time. Must have a minimum of 1 year of housekeeping experience."</f>
        <v>Must be able to lift 50 lbs. Must be able to stand for extended periods of time. Must have a minimum of 1 year of housekeeping experience.</v>
      </c>
      <c r="CB545" t="s">
        <v>131</v>
      </c>
      <c r="CF545" t="s">
        <v>131</v>
      </c>
      <c r="CH545" t="str">
        <f>""</f>
        <v/>
      </c>
      <c r="CI545" t="s">
        <v>131</v>
      </c>
      <c r="CK545" t="s">
        <v>131</v>
      </c>
      <c r="CL545" t="str">
        <f>""</f>
        <v/>
      </c>
      <c r="CM545" t="str">
        <f>""</f>
        <v/>
      </c>
      <c r="CN545" t="str">
        <f>""</f>
        <v/>
      </c>
      <c r="CO545" t="str">
        <f>""</f>
        <v/>
      </c>
      <c r="CP545" t="str">
        <f t="shared" si="42"/>
        <v>37-2012.00</v>
      </c>
      <c r="CQ545" t="s">
        <v>479</v>
      </c>
      <c r="CR545" t="s">
        <v>480</v>
      </c>
      <c r="CS545" t="s">
        <v>131</v>
      </c>
      <c r="CU545" t="s">
        <v>17626</v>
      </c>
      <c r="CW545" t="s">
        <v>8478</v>
      </c>
      <c r="CX545" t="s">
        <v>172</v>
      </c>
      <c r="CZ545" s="3" t="str">
        <f>"96161"</f>
        <v>96161</v>
      </c>
      <c r="DA545" t="s">
        <v>135</v>
      </c>
      <c r="DB545" t="str">
        <f t="shared" si="43"/>
        <v>37-2012</v>
      </c>
      <c r="DC545" t="s">
        <v>479</v>
      </c>
      <c r="DD545" t="s">
        <v>134</v>
      </c>
      <c r="DE545" t="s">
        <v>134</v>
      </c>
      <c r="DF545" t="str">
        <f>""</f>
        <v/>
      </c>
      <c r="DH545" s="6">
        <v>16.440000000000001</v>
      </c>
      <c r="DI545" t="s">
        <v>344</v>
      </c>
      <c r="DK545" t="s">
        <v>345</v>
      </c>
      <c r="DS545" s="6">
        <v>16.440000000000001</v>
      </c>
      <c r="DT545" t="s">
        <v>424</v>
      </c>
      <c r="DU545" s="1">
        <v>44361</v>
      </c>
      <c r="DV545" s="1">
        <v>44450</v>
      </c>
    </row>
    <row r="546" spans="1:126" ht="15" customHeight="1" x14ac:dyDescent="0.35">
      <c r="A546" t="s">
        <v>18895</v>
      </c>
      <c r="B546" t="s">
        <v>318</v>
      </c>
      <c r="C546" s="1">
        <v>44333</v>
      </c>
      <c r="D546" s="1">
        <v>44361</v>
      </c>
      <c r="H546" t="s">
        <v>319</v>
      </c>
      <c r="I546" t="s">
        <v>462</v>
      </c>
      <c r="J546" t="s">
        <v>463</v>
      </c>
      <c r="L546" t="s">
        <v>464</v>
      </c>
      <c r="M546" t="s">
        <v>465</v>
      </c>
      <c r="O546" t="s">
        <v>466</v>
      </c>
      <c r="P546" t="s">
        <v>467</v>
      </c>
      <c r="Q546" s="3">
        <v>80021</v>
      </c>
      <c r="R546" t="s">
        <v>128</v>
      </c>
      <c r="T546" s="4">
        <v>13034041800</v>
      </c>
      <c r="V546" t="s">
        <v>468</v>
      </c>
      <c r="W546" t="s">
        <v>17356</v>
      </c>
      <c r="X546" t="s">
        <v>18896</v>
      </c>
      <c r="Y546" t="s">
        <v>465</v>
      </c>
      <c r="AA546" t="s">
        <v>466</v>
      </c>
      <c r="AB546" t="s">
        <v>471</v>
      </c>
      <c r="AC546" s="3" t="str">
        <f>"80021"</f>
        <v>80021</v>
      </c>
      <c r="AD546" t="s">
        <v>128</v>
      </c>
      <c r="AF546" s="4">
        <v>13034041800</v>
      </c>
      <c r="AH546" t="str">
        <f>"713920"</f>
        <v>713920</v>
      </c>
      <c r="AI546" t="s">
        <v>130</v>
      </c>
      <c r="AJ546" t="s">
        <v>472</v>
      </c>
      <c r="AK546" t="s">
        <v>473</v>
      </c>
      <c r="AL546" t="s">
        <v>474</v>
      </c>
      <c r="AM546" t="s">
        <v>475</v>
      </c>
      <c r="AN546" t="s">
        <v>439</v>
      </c>
      <c r="AO546" t="s">
        <v>476</v>
      </c>
      <c r="AP546" t="s">
        <v>172</v>
      </c>
      <c r="AQ546" s="5">
        <v>90071</v>
      </c>
      <c r="AR546" t="s">
        <v>128</v>
      </c>
      <c r="AT546" s="4">
        <v>13108203322</v>
      </c>
      <c r="AV546" t="s">
        <v>477</v>
      </c>
      <c r="AW546" t="s">
        <v>386</v>
      </c>
      <c r="AX546" t="s">
        <v>131</v>
      </c>
      <c r="AY546" t="s">
        <v>131</v>
      </c>
      <c r="AZ546" t="s">
        <v>131</v>
      </c>
      <c r="BA546" t="s">
        <v>131</v>
      </c>
      <c r="BB546" t="s">
        <v>131</v>
      </c>
      <c r="BC546" t="s">
        <v>131</v>
      </c>
      <c r="BD546" t="s">
        <v>131</v>
      </c>
      <c r="BE546" t="s">
        <v>132</v>
      </c>
      <c r="BH546" t="s">
        <v>478</v>
      </c>
      <c r="BI546" t="s">
        <v>131</v>
      </c>
      <c r="BL546" t="s">
        <v>167</v>
      </c>
      <c r="BO546" t="s">
        <v>131</v>
      </c>
      <c r="BP546" t="s">
        <v>134</v>
      </c>
      <c r="BQ546" t="s">
        <v>131</v>
      </c>
      <c r="BS546" t="str">
        <f t="shared" si="40"/>
        <v>N/A</v>
      </c>
      <c r="BT546" t="s">
        <v>135</v>
      </c>
      <c r="BU546">
        <v>12</v>
      </c>
      <c r="BV546" t="str">
        <f>"Maid, Housekeeping Cleaner or related"</f>
        <v>Maid, Housekeeping Cleaner or related</v>
      </c>
      <c r="BW546" t="s">
        <v>135</v>
      </c>
      <c r="BX546" t="str">
        <f>""</f>
        <v/>
      </c>
      <c r="BY546" t="str">
        <f>""</f>
        <v/>
      </c>
      <c r="BZ546" t="str">
        <f>""</f>
        <v/>
      </c>
      <c r="CA546" t="str">
        <f>" Must be able to lift 50 lbs. Must be able to stand for extended periods of time. Must have a minimum of 1 year of housekeeping experience."</f>
        <v xml:space="preserve"> Must be able to lift 50 lbs. Must be able to stand for extended periods of time. Must have a minimum of 1 year of housekeeping experience.</v>
      </c>
      <c r="CB546" t="s">
        <v>131</v>
      </c>
      <c r="CF546" t="s">
        <v>131</v>
      </c>
      <c r="CH546" t="str">
        <f>""</f>
        <v/>
      </c>
      <c r="CI546" t="s">
        <v>131</v>
      </c>
      <c r="CK546" t="s">
        <v>131</v>
      </c>
      <c r="CL546" t="str">
        <f>""</f>
        <v/>
      </c>
      <c r="CM546" t="str">
        <f>""</f>
        <v/>
      </c>
      <c r="CN546" t="str">
        <f>""</f>
        <v/>
      </c>
      <c r="CO546" t="str">
        <f>""</f>
        <v/>
      </c>
      <c r="CP546" t="str">
        <f t="shared" si="42"/>
        <v>37-2012.00</v>
      </c>
      <c r="CQ546" t="s">
        <v>479</v>
      </c>
      <c r="CR546" t="s">
        <v>480</v>
      </c>
      <c r="CS546" t="s">
        <v>131</v>
      </c>
      <c r="CU546" t="s">
        <v>18897</v>
      </c>
      <c r="CW546" t="s">
        <v>13243</v>
      </c>
      <c r="CX546" t="s">
        <v>172</v>
      </c>
      <c r="CZ546" s="3" t="str">
        <f>"96150"</f>
        <v>96150</v>
      </c>
      <c r="DA546" t="s">
        <v>135</v>
      </c>
      <c r="DB546" t="str">
        <f t="shared" si="43"/>
        <v>37-2012</v>
      </c>
      <c r="DC546" t="s">
        <v>479</v>
      </c>
      <c r="DD546" t="s">
        <v>134</v>
      </c>
      <c r="DE546" t="s">
        <v>134</v>
      </c>
      <c r="DF546" t="str">
        <f>""</f>
        <v/>
      </c>
      <c r="DH546" s="6">
        <v>16.440000000000001</v>
      </c>
      <c r="DI546" t="s">
        <v>344</v>
      </c>
      <c r="DK546" t="s">
        <v>345</v>
      </c>
      <c r="DS546" s="6">
        <v>16.440000000000001</v>
      </c>
      <c r="DT546" t="s">
        <v>424</v>
      </c>
      <c r="DU546" s="1">
        <v>44361</v>
      </c>
      <c r="DV546" s="1">
        <v>44450</v>
      </c>
    </row>
    <row r="547" spans="1:126" ht="15" customHeight="1" x14ac:dyDescent="0.35">
      <c r="A547" t="s">
        <v>461</v>
      </c>
      <c r="B547" t="s">
        <v>318</v>
      </c>
      <c r="C547" s="1">
        <v>44333</v>
      </c>
      <c r="D547" s="1">
        <v>44361</v>
      </c>
      <c r="H547" t="s">
        <v>319</v>
      </c>
      <c r="I547" t="s">
        <v>462</v>
      </c>
      <c r="J547" t="s">
        <v>463</v>
      </c>
      <c r="L547" t="s">
        <v>464</v>
      </c>
      <c r="M547" t="s">
        <v>465</v>
      </c>
      <c r="O547" t="s">
        <v>466</v>
      </c>
      <c r="P547" t="s">
        <v>467</v>
      </c>
      <c r="Q547" s="3">
        <v>80021</v>
      </c>
      <c r="R547" t="s">
        <v>128</v>
      </c>
      <c r="T547" s="4">
        <v>13034041800</v>
      </c>
      <c r="V547" t="s">
        <v>468</v>
      </c>
      <c r="W547" t="s">
        <v>469</v>
      </c>
      <c r="X547" t="s">
        <v>470</v>
      </c>
      <c r="Y547" t="s">
        <v>465</v>
      </c>
      <c r="AA547" t="s">
        <v>466</v>
      </c>
      <c r="AB547" t="s">
        <v>471</v>
      </c>
      <c r="AC547" s="3" t="str">
        <f>"80021"</f>
        <v>80021</v>
      </c>
      <c r="AD547" t="s">
        <v>128</v>
      </c>
      <c r="AF547" s="4">
        <v>13034041800</v>
      </c>
      <c r="AH547" t="str">
        <f>"713920"</f>
        <v>713920</v>
      </c>
      <c r="AI547" t="s">
        <v>130</v>
      </c>
      <c r="AJ547" t="s">
        <v>472</v>
      </c>
      <c r="AK547" t="s">
        <v>473</v>
      </c>
      <c r="AL547" t="s">
        <v>474</v>
      </c>
      <c r="AM547" t="s">
        <v>475</v>
      </c>
      <c r="AN547" t="s">
        <v>439</v>
      </c>
      <c r="AO547" t="s">
        <v>476</v>
      </c>
      <c r="AP547" t="s">
        <v>172</v>
      </c>
      <c r="AQ547" s="5">
        <v>90071</v>
      </c>
      <c r="AR547" t="s">
        <v>128</v>
      </c>
      <c r="AT547" s="4">
        <v>13108203322</v>
      </c>
      <c r="AV547" t="s">
        <v>477</v>
      </c>
      <c r="AW547" t="s">
        <v>386</v>
      </c>
      <c r="AX547" t="s">
        <v>131</v>
      </c>
      <c r="AY547" t="s">
        <v>131</v>
      </c>
      <c r="AZ547" t="s">
        <v>131</v>
      </c>
      <c r="BA547" t="s">
        <v>131</v>
      </c>
      <c r="BB547" t="s">
        <v>131</v>
      </c>
      <c r="BC547" t="s">
        <v>131</v>
      </c>
      <c r="BD547" t="s">
        <v>131</v>
      </c>
      <c r="BE547" t="s">
        <v>132</v>
      </c>
      <c r="BH547" t="s">
        <v>478</v>
      </c>
      <c r="BI547" t="s">
        <v>131</v>
      </c>
      <c r="BL547" t="s">
        <v>167</v>
      </c>
      <c r="BO547" t="s">
        <v>131</v>
      </c>
      <c r="BP547" t="s">
        <v>134</v>
      </c>
      <c r="BQ547" t="s">
        <v>131</v>
      </c>
      <c r="BS547" t="str">
        <f t="shared" si="40"/>
        <v>N/A</v>
      </c>
      <c r="BT547" t="s">
        <v>135</v>
      </c>
      <c r="BU547">
        <v>12</v>
      </c>
      <c r="BV547" t="str">
        <f>"Maid, Housekeeping Cleaner or related"</f>
        <v>Maid, Housekeeping Cleaner or related</v>
      </c>
      <c r="BW547" t="s">
        <v>135</v>
      </c>
      <c r="BX547" t="str">
        <f>""</f>
        <v/>
      </c>
      <c r="BY547" t="str">
        <f>""</f>
        <v/>
      </c>
      <c r="BZ547" t="str">
        <f>""</f>
        <v/>
      </c>
      <c r="CA547" t="str">
        <f>" Must be able to lift 50 lbs. Must be able to stand for extended periods of time. Must have a minimum of 1 year of housekeeping experience.
"</f>
        <v xml:space="preserve"> Must be able to lift 50 lbs. Must be able to stand for extended periods of time. Must have a minimum of 1 year of housekeeping experience.
</v>
      </c>
      <c r="CB547" t="s">
        <v>131</v>
      </c>
      <c r="CF547" t="s">
        <v>131</v>
      </c>
      <c r="CH547" t="str">
        <f>""</f>
        <v/>
      </c>
      <c r="CI547" t="s">
        <v>131</v>
      </c>
      <c r="CK547" t="s">
        <v>131</v>
      </c>
      <c r="CL547" t="str">
        <f>""</f>
        <v/>
      </c>
      <c r="CM547" t="str">
        <f>""</f>
        <v/>
      </c>
      <c r="CN547" t="str">
        <f>""</f>
        <v/>
      </c>
      <c r="CO547" t="str">
        <f>""</f>
        <v/>
      </c>
      <c r="CP547" t="str">
        <f t="shared" si="42"/>
        <v>37-2012.00</v>
      </c>
      <c r="CQ547" t="s">
        <v>479</v>
      </c>
      <c r="CR547" t="s">
        <v>480</v>
      </c>
      <c r="CS547" t="s">
        <v>131</v>
      </c>
      <c r="CU547" t="s">
        <v>481</v>
      </c>
      <c r="CW547" t="s">
        <v>482</v>
      </c>
      <c r="CX547" t="s">
        <v>471</v>
      </c>
      <c r="CZ547" s="3" t="str">
        <f>"81225"</f>
        <v>81225</v>
      </c>
      <c r="DA547" t="s">
        <v>135</v>
      </c>
      <c r="DB547" t="str">
        <f t="shared" si="43"/>
        <v>37-2012</v>
      </c>
      <c r="DC547" t="s">
        <v>479</v>
      </c>
      <c r="DD547" t="s">
        <v>134</v>
      </c>
      <c r="DE547" t="s">
        <v>134</v>
      </c>
      <c r="DF547" t="str">
        <f>""</f>
        <v/>
      </c>
      <c r="DH547" s="6">
        <v>13.53</v>
      </c>
      <c r="DI547" t="s">
        <v>344</v>
      </c>
      <c r="DK547" t="s">
        <v>345</v>
      </c>
      <c r="DS547" s="6">
        <v>13.53</v>
      </c>
      <c r="DT547" t="s">
        <v>424</v>
      </c>
      <c r="DU547" s="1">
        <v>44361</v>
      </c>
      <c r="DV547" s="1">
        <v>44450</v>
      </c>
    </row>
    <row r="548" spans="1:126" ht="15" customHeight="1" x14ac:dyDescent="0.35">
      <c r="A548" t="s">
        <v>13703</v>
      </c>
      <c r="B548" t="s">
        <v>318</v>
      </c>
      <c r="C548" s="1">
        <v>44333</v>
      </c>
      <c r="D548" s="1">
        <v>44361</v>
      </c>
      <c r="H548" t="s">
        <v>319</v>
      </c>
      <c r="I548" t="s">
        <v>13704</v>
      </c>
      <c r="J548" t="s">
        <v>3121</v>
      </c>
      <c r="L548" t="s">
        <v>1205</v>
      </c>
      <c r="M548" t="s">
        <v>13705</v>
      </c>
      <c r="O548" t="s">
        <v>1735</v>
      </c>
      <c r="P548" t="s">
        <v>467</v>
      </c>
      <c r="Q548" s="3">
        <v>81657</v>
      </c>
      <c r="R548" t="s">
        <v>128</v>
      </c>
      <c r="T548" s="4">
        <v>19704778845</v>
      </c>
      <c r="V548" t="s">
        <v>13706</v>
      </c>
      <c r="W548" t="s">
        <v>13707</v>
      </c>
      <c r="X548" t="s">
        <v>13708</v>
      </c>
      <c r="Y548" t="s">
        <v>13705</v>
      </c>
      <c r="AA548" t="s">
        <v>1735</v>
      </c>
      <c r="AB548" t="s">
        <v>471</v>
      </c>
      <c r="AC548" s="3" t="str">
        <f>"81657"</f>
        <v>81657</v>
      </c>
      <c r="AD548" t="s">
        <v>128</v>
      </c>
      <c r="AF548" s="4">
        <v>19704778845</v>
      </c>
      <c r="AH548" t="str">
        <f>"721110"</f>
        <v>721110</v>
      </c>
      <c r="AI548" t="s">
        <v>130</v>
      </c>
      <c r="AJ548" t="s">
        <v>472</v>
      </c>
      <c r="AK548" t="s">
        <v>473</v>
      </c>
      <c r="AL548" t="s">
        <v>474</v>
      </c>
      <c r="AM548" t="s">
        <v>475</v>
      </c>
      <c r="AN548" t="s">
        <v>439</v>
      </c>
      <c r="AO548" t="s">
        <v>476</v>
      </c>
      <c r="AP548" t="s">
        <v>172</v>
      </c>
      <c r="AQ548" s="5">
        <v>90071</v>
      </c>
      <c r="AR548" t="s">
        <v>128</v>
      </c>
      <c r="AT548" s="4">
        <v>13108203322</v>
      </c>
      <c r="AV548" t="s">
        <v>477</v>
      </c>
      <c r="AW548" t="s">
        <v>517</v>
      </c>
      <c r="AX548" t="s">
        <v>131</v>
      </c>
      <c r="AY548" t="s">
        <v>131</v>
      </c>
      <c r="AZ548" t="s">
        <v>131</v>
      </c>
      <c r="BA548" t="s">
        <v>131</v>
      </c>
      <c r="BB548" t="s">
        <v>131</v>
      </c>
      <c r="BC548" t="s">
        <v>131</v>
      </c>
      <c r="BD548" t="s">
        <v>131</v>
      </c>
      <c r="BE548" t="s">
        <v>132</v>
      </c>
      <c r="BH548" t="s">
        <v>478</v>
      </c>
      <c r="BI548" t="s">
        <v>131</v>
      </c>
      <c r="BL548" t="s">
        <v>167</v>
      </c>
      <c r="BO548" t="s">
        <v>131</v>
      </c>
      <c r="BP548" t="s">
        <v>134</v>
      </c>
      <c r="BQ548" t="s">
        <v>131</v>
      </c>
      <c r="BS548" t="str">
        <f t="shared" si="40"/>
        <v>N/A</v>
      </c>
      <c r="BT548" t="s">
        <v>135</v>
      </c>
      <c r="BU548">
        <v>12</v>
      </c>
      <c r="BV548" t="str">
        <f>"Housekeeper or related"</f>
        <v>Housekeeper or related</v>
      </c>
      <c r="BW548" t="s">
        <v>135</v>
      </c>
      <c r="BX548" t="str">
        <f>""</f>
        <v/>
      </c>
      <c r="BY548" t="str">
        <f>""</f>
        <v/>
      </c>
      <c r="BZ548" t="str">
        <f>""</f>
        <v/>
      </c>
      <c r="CA548" t="str">
        <f>"Must have a minimum of one year of housekeeping experience. Must be able to lift 50 lbs."</f>
        <v>Must have a minimum of one year of housekeeping experience. Must be able to lift 50 lbs.</v>
      </c>
      <c r="CB548" t="s">
        <v>131</v>
      </c>
      <c r="CF548" t="s">
        <v>131</v>
      </c>
      <c r="CH548" t="str">
        <f>""</f>
        <v/>
      </c>
      <c r="CI548" t="s">
        <v>131</v>
      </c>
      <c r="CK548" t="s">
        <v>131</v>
      </c>
      <c r="CL548" t="str">
        <f>""</f>
        <v/>
      </c>
      <c r="CM548" t="str">
        <f>""</f>
        <v/>
      </c>
      <c r="CN548" t="str">
        <f>""</f>
        <v/>
      </c>
      <c r="CO548" t="str">
        <f>""</f>
        <v/>
      </c>
      <c r="CP548" t="str">
        <f t="shared" si="42"/>
        <v>37-2012.00</v>
      </c>
      <c r="CQ548" t="s">
        <v>479</v>
      </c>
      <c r="CR548" t="s">
        <v>8801</v>
      </c>
      <c r="CS548" t="s">
        <v>131</v>
      </c>
      <c r="CU548" t="s">
        <v>13705</v>
      </c>
      <c r="CW548" t="s">
        <v>1735</v>
      </c>
      <c r="CX548" t="s">
        <v>471</v>
      </c>
      <c r="CZ548" s="3" t="str">
        <f>"81657"</f>
        <v>81657</v>
      </c>
      <c r="DA548" t="s">
        <v>131</v>
      </c>
      <c r="DB548" t="str">
        <f t="shared" si="43"/>
        <v>37-2012</v>
      </c>
      <c r="DC548" t="s">
        <v>479</v>
      </c>
      <c r="DD548" t="s">
        <v>134</v>
      </c>
      <c r="DE548" t="s">
        <v>134</v>
      </c>
      <c r="DF548" t="str">
        <f>""</f>
        <v/>
      </c>
      <c r="DH548" s="6">
        <v>15.39</v>
      </c>
      <c r="DI548" t="s">
        <v>344</v>
      </c>
      <c r="DK548" t="s">
        <v>345</v>
      </c>
      <c r="DS548" s="6">
        <v>15.39</v>
      </c>
      <c r="DT548" t="s">
        <v>424</v>
      </c>
      <c r="DU548" s="1">
        <v>44361</v>
      </c>
      <c r="DV548" s="1">
        <v>44450</v>
      </c>
    </row>
    <row r="549" spans="1:126" ht="15" customHeight="1" x14ac:dyDescent="0.35">
      <c r="A549" t="s">
        <v>15257</v>
      </c>
      <c r="B549" t="s">
        <v>318</v>
      </c>
      <c r="C549" s="1">
        <v>44333</v>
      </c>
      <c r="D549" s="1">
        <v>44361</v>
      </c>
      <c r="H549" t="s">
        <v>319</v>
      </c>
      <c r="I549" t="s">
        <v>15258</v>
      </c>
      <c r="J549" t="s">
        <v>8637</v>
      </c>
      <c r="L549" t="s">
        <v>15259</v>
      </c>
      <c r="M549" t="s">
        <v>15260</v>
      </c>
      <c r="O549" t="s">
        <v>15261</v>
      </c>
      <c r="P549" t="s">
        <v>467</v>
      </c>
      <c r="Q549" s="3">
        <v>81435</v>
      </c>
      <c r="R549" t="s">
        <v>128</v>
      </c>
      <c r="T549" s="4">
        <v>19707287501</v>
      </c>
      <c r="V549" t="s">
        <v>15262</v>
      </c>
      <c r="W549" t="s">
        <v>15263</v>
      </c>
      <c r="X549" t="s">
        <v>15264</v>
      </c>
      <c r="Y549" t="s">
        <v>15265</v>
      </c>
      <c r="AA549" t="s">
        <v>15261</v>
      </c>
      <c r="AB549" t="s">
        <v>471</v>
      </c>
      <c r="AC549" s="3" t="str">
        <f>"81435"</f>
        <v>81435</v>
      </c>
      <c r="AD549" t="s">
        <v>128</v>
      </c>
      <c r="AF549" s="4">
        <v>19707287501</v>
      </c>
      <c r="AH549" t="str">
        <f>"61162"</f>
        <v>61162</v>
      </c>
      <c r="AI549" t="s">
        <v>130</v>
      </c>
      <c r="AJ549" t="s">
        <v>472</v>
      </c>
      <c r="AK549" t="s">
        <v>473</v>
      </c>
      <c r="AL549" t="s">
        <v>474</v>
      </c>
      <c r="AM549" t="s">
        <v>475</v>
      </c>
      <c r="AN549" t="s">
        <v>439</v>
      </c>
      <c r="AO549" t="s">
        <v>476</v>
      </c>
      <c r="AP549" t="s">
        <v>172</v>
      </c>
      <c r="AQ549" s="5">
        <v>90071</v>
      </c>
      <c r="AR549" t="s">
        <v>128</v>
      </c>
      <c r="AT549" s="4">
        <v>13108203322</v>
      </c>
      <c r="AV549" t="s">
        <v>477</v>
      </c>
      <c r="AW549" t="s">
        <v>517</v>
      </c>
      <c r="AX549" t="s">
        <v>131</v>
      </c>
      <c r="AY549" t="s">
        <v>131</v>
      </c>
      <c r="AZ549" t="s">
        <v>131</v>
      </c>
      <c r="BA549" t="s">
        <v>131</v>
      </c>
      <c r="BB549" t="s">
        <v>131</v>
      </c>
      <c r="BC549" t="s">
        <v>131</v>
      </c>
      <c r="BD549" t="s">
        <v>131</v>
      </c>
      <c r="BE549" t="s">
        <v>132</v>
      </c>
      <c r="BH549" t="s">
        <v>15266</v>
      </c>
      <c r="BI549" t="s">
        <v>131</v>
      </c>
      <c r="BL549" t="s">
        <v>167</v>
      </c>
      <c r="BO549" t="s">
        <v>131</v>
      </c>
      <c r="BP549" t="s">
        <v>134</v>
      </c>
      <c r="BQ549" t="s">
        <v>131</v>
      </c>
      <c r="BS549" t="str">
        <f t="shared" si="40"/>
        <v>N/A</v>
      </c>
      <c r="BT549" t="s">
        <v>131</v>
      </c>
      <c r="BV549" t="str">
        <f>""</f>
        <v/>
      </c>
      <c r="BW549" t="s">
        <v>135</v>
      </c>
      <c r="BX549" t="str">
        <f>"Level III certification with Professional Ski Instructors of America (PSIA)/American Association of Snowboard Instructors (AASI) or International Ski Instructors Association (ISIA) equivalent."</f>
        <v>Level III certification with Professional Ski Instructors of America (PSIA)/American Association of Snowboard Instructors (AASI) or International Ski Instructors Association (ISIA) equivalent.</v>
      </c>
      <c r="BY549" t="str">
        <f>""</f>
        <v/>
      </c>
      <c r="BZ549" t="str">
        <f>""</f>
        <v/>
      </c>
      <c r="CA549" t="str">
        <f>""</f>
        <v/>
      </c>
      <c r="CB549" t="s">
        <v>131</v>
      </c>
      <c r="CF549" t="s">
        <v>131</v>
      </c>
      <c r="CH549" t="str">
        <f>""</f>
        <v/>
      </c>
      <c r="CI549" t="s">
        <v>131</v>
      </c>
      <c r="CK549" t="s">
        <v>131</v>
      </c>
      <c r="CL549" t="str">
        <f>""</f>
        <v/>
      </c>
      <c r="CM549" t="str">
        <f>""</f>
        <v/>
      </c>
      <c r="CN549" t="str">
        <f>""</f>
        <v/>
      </c>
      <c r="CO549" t="str">
        <f>""</f>
        <v/>
      </c>
      <c r="CP549" t="str">
        <f>"25-3021.00"</f>
        <v>25-3021.00</v>
      </c>
      <c r="CQ549" t="s">
        <v>2805</v>
      </c>
      <c r="CR549" t="s">
        <v>15259</v>
      </c>
      <c r="CS549" t="s">
        <v>131</v>
      </c>
      <c r="CU549" t="s">
        <v>15267</v>
      </c>
      <c r="CV549" t="s">
        <v>15268</v>
      </c>
      <c r="CW549" t="s">
        <v>15261</v>
      </c>
      <c r="CX549" t="s">
        <v>471</v>
      </c>
      <c r="CZ549" s="3" t="str">
        <f>"81435"</f>
        <v>81435</v>
      </c>
      <c r="DA549" t="s">
        <v>131</v>
      </c>
      <c r="DB549" t="str">
        <f>"25-3021"</f>
        <v>25-3021</v>
      </c>
      <c r="DC549" t="s">
        <v>2805</v>
      </c>
      <c r="DD549" t="s">
        <v>134</v>
      </c>
      <c r="DE549" t="s">
        <v>134</v>
      </c>
      <c r="DF549" t="str">
        <f>""</f>
        <v/>
      </c>
      <c r="DH549" s="6">
        <v>19.420000000000002</v>
      </c>
      <c r="DI549" t="s">
        <v>344</v>
      </c>
      <c r="DK549" t="s">
        <v>345</v>
      </c>
      <c r="DS549" s="6">
        <v>19.420000000000002</v>
      </c>
      <c r="DT549" t="s">
        <v>424</v>
      </c>
      <c r="DU549" s="1">
        <v>44361</v>
      </c>
      <c r="DV549" s="1">
        <v>44450</v>
      </c>
    </row>
    <row r="550" spans="1:126" ht="15" customHeight="1" x14ac:dyDescent="0.35">
      <c r="A550" t="s">
        <v>18802</v>
      </c>
      <c r="B550" t="s">
        <v>318</v>
      </c>
      <c r="C550" s="1">
        <v>44333</v>
      </c>
      <c r="D550" s="1">
        <v>44361</v>
      </c>
      <c r="H550" t="s">
        <v>319</v>
      </c>
      <c r="I550" t="s">
        <v>8547</v>
      </c>
      <c r="J550" t="s">
        <v>18803</v>
      </c>
      <c r="L550" t="s">
        <v>395</v>
      </c>
      <c r="M550" t="s">
        <v>18804</v>
      </c>
      <c r="O550" t="s">
        <v>1040</v>
      </c>
      <c r="P550" t="s">
        <v>412</v>
      </c>
      <c r="Q550" s="3">
        <v>78737</v>
      </c>
      <c r="R550" t="s">
        <v>128</v>
      </c>
      <c r="T550" s="4">
        <v>15125671314</v>
      </c>
      <c r="V550" t="s">
        <v>18805</v>
      </c>
      <c r="W550" t="s">
        <v>18806</v>
      </c>
      <c r="Y550" t="s">
        <v>18807</v>
      </c>
      <c r="AA550" t="s">
        <v>1040</v>
      </c>
      <c r="AB550" t="s">
        <v>400</v>
      </c>
      <c r="AC550" s="3" t="str">
        <f>"78737"</f>
        <v>78737</v>
      </c>
      <c r="AD550" t="s">
        <v>128</v>
      </c>
      <c r="AF550" s="4">
        <v>15125671314</v>
      </c>
      <c r="AH550" t="str">
        <f>"551112"</f>
        <v>551112</v>
      </c>
      <c r="AI550" t="s">
        <v>130</v>
      </c>
      <c r="AJ550" t="s">
        <v>4018</v>
      </c>
      <c r="AK550" t="s">
        <v>2069</v>
      </c>
      <c r="AM550" t="s">
        <v>4019</v>
      </c>
      <c r="AO550" t="s">
        <v>1040</v>
      </c>
      <c r="AP550" t="s">
        <v>400</v>
      </c>
      <c r="AQ550" s="5">
        <v>78737</v>
      </c>
      <c r="AR550" t="s">
        <v>128</v>
      </c>
      <c r="AT550" s="4">
        <v>15128942128</v>
      </c>
      <c r="AV550" t="s">
        <v>4020</v>
      </c>
      <c r="AW550" t="s">
        <v>4021</v>
      </c>
      <c r="AX550" t="s">
        <v>131</v>
      </c>
      <c r="AY550" t="s">
        <v>131</v>
      </c>
      <c r="AZ550" t="s">
        <v>131</v>
      </c>
      <c r="BA550" t="s">
        <v>131</v>
      </c>
      <c r="BB550" t="s">
        <v>131</v>
      </c>
      <c r="BC550" t="s">
        <v>131</v>
      </c>
      <c r="BD550" t="s">
        <v>131</v>
      </c>
      <c r="BE550" t="s">
        <v>132</v>
      </c>
      <c r="BH550" t="s">
        <v>6232</v>
      </c>
      <c r="BI550" t="s">
        <v>131</v>
      </c>
      <c r="BL550" t="s">
        <v>167</v>
      </c>
      <c r="BO550" t="s">
        <v>131</v>
      </c>
      <c r="BP550" t="s">
        <v>134</v>
      </c>
      <c r="BQ550" t="s">
        <v>131</v>
      </c>
      <c r="BS550" t="str">
        <f t="shared" si="40"/>
        <v>N/A</v>
      </c>
      <c r="BT550" t="s">
        <v>131</v>
      </c>
      <c r="BV550" t="str">
        <f>""</f>
        <v/>
      </c>
      <c r="BW550" t="s">
        <v>135</v>
      </c>
      <c r="BX550" t="str">
        <f>""</f>
        <v/>
      </c>
      <c r="BY550" t="str">
        <f>""</f>
        <v/>
      </c>
      <c r="BZ550" t="str">
        <f>""</f>
        <v/>
      </c>
      <c r="CA550" t="s">
        <v>18808</v>
      </c>
      <c r="CB550" t="s">
        <v>131</v>
      </c>
      <c r="CF550" t="s">
        <v>131</v>
      </c>
      <c r="CH550" t="str">
        <f>""</f>
        <v/>
      </c>
      <c r="CI550" t="s">
        <v>131</v>
      </c>
      <c r="CK550" t="s">
        <v>131</v>
      </c>
      <c r="CL550" t="str">
        <f>""</f>
        <v/>
      </c>
      <c r="CM550" t="str">
        <f>""</f>
        <v/>
      </c>
      <c r="CN550" t="str">
        <f>""</f>
        <v/>
      </c>
      <c r="CO550" t="str">
        <f>""</f>
        <v/>
      </c>
      <c r="CP550" t="str">
        <f>"37-2012.00"</f>
        <v>37-2012.00</v>
      </c>
      <c r="CQ550" t="s">
        <v>479</v>
      </c>
      <c r="CR550" t="s">
        <v>16346</v>
      </c>
      <c r="CS550" t="s">
        <v>131</v>
      </c>
      <c r="CU550" t="s">
        <v>18809</v>
      </c>
      <c r="CW550" t="s">
        <v>7283</v>
      </c>
      <c r="CX550" t="s">
        <v>400</v>
      </c>
      <c r="CZ550" s="3" t="str">
        <f>"78624"</f>
        <v>78624</v>
      </c>
      <c r="DA550" t="s">
        <v>131</v>
      </c>
      <c r="DB550" t="str">
        <f>"35-9011"</f>
        <v>35-9011</v>
      </c>
      <c r="DC550" t="s">
        <v>1016</v>
      </c>
      <c r="DD550" t="s">
        <v>134</v>
      </c>
      <c r="DE550" t="s">
        <v>134</v>
      </c>
      <c r="DF550" t="str">
        <f>""</f>
        <v/>
      </c>
      <c r="DH550" s="6">
        <v>9.3000000000000007</v>
      </c>
      <c r="DI550" t="s">
        <v>344</v>
      </c>
      <c r="DK550" t="s">
        <v>345</v>
      </c>
      <c r="DS550" s="6">
        <v>9.3000000000000007</v>
      </c>
      <c r="DT550" t="s">
        <v>424</v>
      </c>
      <c r="DU550" s="1">
        <v>44361</v>
      </c>
      <c r="DV550" s="1">
        <v>44450</v>
      </c>
    </row>
    <row r="551" spans="1:126" ht="15" customHeight="1" x14ac:dyDescent="0.35">
      <c r="A551" t="s">
        <v>5795</v>
      </c>
      <c r="B551" t="s">
        <v>318</v>
      </c>
      <c r="C551" s="1">
        <v>44334</v>
      </c>
      <c r="D551" s="1">
        <v>44361</v>
      </c>
      <c r="H551" t="s">
        <v>319</v>
      </c>
      <c r="I551" t="s">
        <v>5796</v>
      </c>
      <c r="J551" t="s">
        <v>5797</v>
      </c>
      <c r="L551" t="s">
        <v>395</v>
      </c>
      <c r="M551" t="s">
        <v>5798</v>
      </c>
      <c r="O551" t="s">
        <v>5799</v>
      </c>
      <c r="P551" t="s">
        <v>441</v>
      </c>
      <c r="Q551" s="3">
        <v>44149</v>
      </c>
      <c r="R551" t="s">
        <v>128</v>
      </c>
      <c r="T551" s="4">
        <v>14402383808</v>
      </c>
      <c r="V551" t="s">
        <v>134</v>
      </c>
      <c r="W551" t="s">
        <v>5800</v>
      </c>
      <c r="X551" t="s">
        <v>5801</v>
      </c>
      <c r="Y551" t="s">
        <v>5798</v>
      </c>
      <c r="AA551" t="s">
        <v>5799</v>
      </c>
      <c r="AB551" t="s">
        <v>444</v>
      </c>
      <c r="AC551" s="3" t="str">
        <f>"44149"</f>
        <v>44149</v>
      </c>
      <c r="AD551" t="s">
        <v>128</v>
      </c>
      <c r="AF551" s="4">
        <v>14402383808</v>
      </c>
      <c r="AH551" t="str">
        <f>"56173"</f>
        <v>56173</v>
      </c>
      <c r="AI551" t="s">
        <v>287</v>
      </c>
      <c r="AJ551" t="s">
        <v>2917</v>
      </c>
      <c r="AK551" t="s">
        <v>2918</v>
      </c>
      <c r="AM551" t="s">
        <v>2919</v>
      </c>
      <c r="AN551" t="s">
        <v>2920</v>
      </c>
      <c r="AO551" t="s">
        <v>2921</v>
      </c>
      <c r="AP551" t="s">
        <v>306</v>
      </c>
      <c r="AQ551" s="5">
        <v>22949</v>
      </c>
      <c r="AR551" t="s">
        <v>128</v>
      </c>
      <c r="AT551" s="4">
        <v>14342634300</v>
      </c>
      <c r="AV551" t="s">
        <v>5233</v>
      </c>
      <c r="AW551" t="s">
        <v>2923</v>
      </c>
      <c r="AX551" t="s">
        <v>131</v>
      </c>
      <c r="AY551" t="s">
        <v>131</v>
      </c>
      <c r="AZ551" t="s">
        <v>131</v>
      </c>
      <c r="BA551" t="s">
        <v>131</v>
      </c>
      <c r="BB551" t="s">
        <v>131</v>
      </c>
      <c r="BC551" t="s">
        <v>131</v>
      </c>
      <c r="BD551" t="s">
        <v>131</v>
      </c>
      <c r="BE551" t="s">
        <v>132</v>
      </c>
      <c r="BH551" t="s">
        <v>2215</v>
      </c>
      <c r="BI551" t="s">
        <v>131</v>
      </c>
      <c r="BL551" t="s">
        <v>167</v>
      </c>
      <c r="BO551" t="s">
        <v>131</v>
      </c>
      <c r="BP551" t="s">
        <v>134</v>
      </c>
      <c r="BQ551" t="s">
        <v>131</v>
      </c>
      <c r="BS551" t="str">
        <f t="shared" si="40"/>
        <v>N/A</v>
      </c>
      <c r="BT551" t="s">
        <v>135</v>
      </c>
      <c r="BU551">
        <v>3</v>
      </c>
      <c r="BV551" t="str">
        <f>"Requires three months of previous landscape experience."</f>
        <v>Requires three months of previous landscape experience.</v>
      </c>
      <c r="BW551" t="s">
        <v>135</v>
      </c>
      <c r="BX551" t="str">
        <f>""</f>
        <v/>
      </c>
      <c r="BY551" t="str">
        <f>""</f>
        <v/>
      </c>
      <c r="BZ551" t="str">
        <f>""</f>
        <v/>
      </c>
      <c r="CA551" t="s">
        <v>5802</v>
      </c>
      <c r="CB551" t="s">
        <v>131</v>
      </c>
      <c r="CF551" t="s">
        <v>131</v>
      </c>
      <c r="CH551" t="str">
        <f>""</f>
        <v/>
      </c>
      <c r="CI551" t="s">
        <v>131</v>
      </c>
      <c r="CK551" t="s">
        <v>131</v>
      </c>
      <c r="CL551" t="str">
        <f>""</f>
        <v/>
      </c>
      <c r="CM551" t="str">
        <f>""</f>
        <v/>
      </c>
      <c r="CN551" t="str">
        <f>""</f>
        <v/>
      </c>
      <c r="CO551" t="str">
        <f>""</f>
        <v/>
      </c>
      <c r="CP551" t="str">
        <f>"37-3011.00"</f>
        <v>37-3011.00</v>
      </c>
      <c r="CQ551" t="s">
        <v>920</v>
      </c>
      <c r="CR551" t="s">
        <v>2924</v>
      </c>
      <c r="CS551" t="s">
        <v>135</v>
      </c>
      <c r="CT551" t="s">
        <v>2925</v>
      </c>
      <c r="CU551" t="s">
        <v>5803</v>
      </c>
      <c r="CW551" t="s">
        <v>5799</v>
      </c>
      <c r="CX551" t="s">
        <v>444</v>
      </c>
      <c r="CZ551" s="3" t="str">
        <f>"44149"</f>
        <v>44149</v>
      </c>
      <c r="DA551" t="s">
        <v>135</v>
      </c>
      <c r="DB551" t="str">
        <f>"37-3011"</f>
        <v>37-3011</v>
      </c>
      <c r="DC551" t="s">
        <v>920</v>
      </c>
      <c r="DD551" t="s">
        <v>134</v>
      </c>
      <c r="DE551" t="s">
        <v>134</v>
      </c>
      <c r="DF551" t="str">
        <f>""</f>
        <v/>
      </c>
      <c r="DH551" s="6">
        <v>16.350000000000001</v>
      </c>
      <c r="DI551" t="s">
        <v>344</v>
      </c>
      <c r="DK551" t="s">
        <v>345</v>
      </c>
      <c r="DS551" s="6">
        <v>16.350000000000001</v>
      </c>
      <c r="DT551" s="2" t="s">
        <v>347</v>
      </c>
      <c r="DU551" s="1">
        <v>44361</v>
      </c>
      <c r="DV551" s="1">
        <v>44450</v>
      </c>
    </row>
    <row r="552" spans="1:126" ht="15" customHeight="1" x14ac:dyDescent="0.35">
      <c r="A552" t="s">
        <v>16070</v>
      </c>
      <c r="B552" t="s">
        <v>318</v>
      </c>
      <c r="C552" s="1">
        <v>44334</v>
      </c>
      <c r="D552" s="1">
        <v>44361</v>
      </c>
      <c r="H552" t="s">
        <v>319</v>
      </c>
      <c r="I552" t="s">
        <v>7600</v>
      </c>
      <c r="J552" t="s">
        <v>636</v>
      </c>
      <c r="L552" t="s">
        <v>5077</v>
      </c>
      <c r="M552" t="s">
        <v>7986</v>
      </c>
      <c r="N552" t="s">
        <v>134</v>
      </c>
      <c r="O552" t="s">
        <v>4408</v>
      </c>
      <c r="P552" t="s">
        <v>194</v>
      </c>
      <c r="Q552" s="3">
        <v>34105</v>
      </c>
      <c r="R552" t="s">
        <v>128</v>
      </c>
      <c r="S552" t="s">
        <v>134</v>
      </c>
      <c r="T552" s="4">
        <v>12392625550</v>
      </c>
      <c r="V552" t="s">
        <v>7987</v>
      </c>
      <c r="W552" t="s">
        <v>7988</v>
      </c>
      <c r="X552" t="s">
        <v>134</v>
      </c>
      <c r="Y552" t="s">
        <v>7986</v>
      </c>
      <c r="Z552" t="s">
        <v>134</v>
      </c>
      <c r="AA552" t="s">
        <v>4408</v>
      </c>
      <c r="AB552" t="s">
        <v>195</v>
      </c>
      <c r="AC552" s="3" t="str">
        <f>"34105"</f>
        <v>34105</v>
      </c>
      <c r="AD552" t="s">
        <v>128</v>
      </c>
      <c r="AE552" t="s">
        <v>134</v>
      </c>
      <c r="AF552" s="4">
        <v>12392625550</v>
      </c>
      <c r="AH552" t="str">
        <f>"713910"</f>
        <v>713910</v>
      </c>
      <c r="AI552" t="s">
        <v>130</v>
      </c>
      <c r="AJ552" t="s">
        <v>1386</v>
      </c>
      <c r="AK552" t="s">
        <v>1387</v>
      </c>
      <c r="AL552" t="s">
        <v>1036</v>
      </c>
      <c r="AM552" t="s">
        <v>1388</v>
      </c>
      <c r="AN552" t="s">
        <v>997</v>
      </c>
      <c r="AO552" t="s">
        <v>719</v>
      </c>
      <c r="AP552" t="s">
        <v>377</v>
      </c>
      <c r="AQ552" s="5">
        <v>1701</v>
      </c>
      <c r="AR552" t="s">
        <v>128</v>
      </c>
      <c r="AS552" t="s">
        <v>134</v>
      </c>
      <c r="AT552" s="4">
        <v>16179399444</v>
      </c>
      <c r="AV552" t="s">
        <v>1389</v>
      </c>
      <c r="AW552" t="s">
        <v>1390</v>
      </c>
      <c r="AX552" t="s">
        <v>131</v>
      </c>
      <c r="AY552" t="s">
        <v>131</v>
      </c>
      <c r="AZ552" t="s">
        <v>131</v>
      </c>
      <c r="BA552" t="s">
        <v>131</v>
      </c>
      <c r="BB552" t="s">
        <v>131</v>
      </c>
      <c r="BC552" t="s">
        <v>131</v>
      </c>
      <c r="BD552" t="s">
        <v>131</v>
      </c>
      <c r="BE552" t="s">
        <v>132</v>
      </c>
      <c r="BH552" t="s">
        <v>1080</v>
      </c>
      <c r="BI552" t="s">
        <v>131</v>
      </c>
      <c r="BL552" t="s">
        <v>167</v>
      </c>
      <c r="BO552" t="s">
        <v>131</v>
      </c>
      <c r="BP552" t="s">
        <v>134</v>
      </c>
      <c r="BQ552" t="s">
        <v>131</v>
      </c>
      <c r="BS552" t="str">
        <f t="shared" si="40"/>
        <v>N/A</v>
      </c>
      <c r="BT552" t="s">
        <v>135</v>
      </c>
      <c r="BU552">
        <v>6</v>
      </c>
      <c r="BV552" t="str">
        <f>"Cook"</f>
        <v>Cook</v>
      </c>
      <c r="BW552" t="s">
        <v>135</v>
      </c>
      <c r="BX552" t="str">
        <f>""</f>
        <v/>
      </c>
      <c r="BY552" t="str">
        <f>""</f>
        <v/>
      </c>
      <c r="BZ552" t="str">
        <f>""</f>
        <v/>
      </c>
      <c r="CA552" s="2" t="s">
        <v>16071</v>
      </c>
      <c r="CB552" t="s">
        <v>131</v>
      </c>
      <c r="CF552" t="s">
        <v>131</v>
      </c>
      <c r="CH552" t="str">
        <f>""</f>
        <v/>
      </c>
      <c r="CI552" t="s">
        <v>131</v>
      </c>
      <c r="CK552" t="s">
        <v>131</v>
      </c>
      <c r="CL552" t="str">
        <f>""</f>
        <v/>
      </c>
      <c r="CM552" t="str">
        <f>""</f>
        <v/>
      </c>
      <c r="CN552" t="str">
        <f>""</f>
        <v/>
      </c>
      <c r="CO552" t="str">
        <f>""</f>
        <v/>
      </c>
      <c r="CP552" t="str">
        <f>"35-2014.00"</f>
        <v>35-2014.00</v>
      </c>
      <c r="CQ552" t="s">
        <v>581</v>
      </c>
      <c r="CR552" t="s">
        <v>1941</v>
      </c>
      <c r="CS552" t="s">
        <v>131</v>
      </c>
      <c r="CU552" t="s">
        <v>7986</v>
      </c>
      <c r="CV552" t="s">
        <v>134</v>
      </c>
      <c r="CW552" t="s">
        <v>4408</v>
      </c>
      <c r="CX552" t="s">
        <v>195</v>
      </c>
      <c r="CZ552" s="3" t="str">
        <f>"34105"</f>
        <v>34105</v>
      </c>
      <c r="DA552" t="s">
        <v>131</v>
      </c>
      <c r="DB552" t="str">
        <f>"35-2014"</f>
        <v>35-2014</v>
      </c>
      <c r="DC552" t="s">
        <v>581</v>
      </c>
      <c r="DD552" t="s">
        <v>134</v>
      </c>
      <c r="DE552" t="s">
        <v>134</v>
      </c>
      <c r="DF552" t="str">
        <f>""</f>
        <v/>
      </c>
      <c r="DH552" s="6">
        <v>15.46</v>
      </c>
      <c r="DI552" t="s">
        <v>344</v>
      </c>
      <c r="DK552" t="s">
        <v>345</v>
      </c>
      <c r="DS552" s="6">
        <v>15.46</v>
      </c>
      <c r="DT552" t="s">
        <v>424</v>
      </c>
      <c r="DU552" s="1">
        <v>44361</v>
      </c>
      <c r="DV552" s="1">
        <v>44450</v>
      </c>
    </row>
    <row r="553" spans="1:126" ht="15" customHeight="1" x14ac:dyDescent="0.35">
      <c r="A553" t="s">
        <v>12545</v>
      </c>
      <c r="B553" t="s">
        <v>318</v>
      </c>
      <c r="C553" s="1">
        <v>44334</v>
      </c>
      <c r="D553" s="1">
        <v>44361</v>
      </c>
      <c r="H553" t="s">
        <v>319</v>
      </c>
      <c r="I553" t="s">
        <v>7600</v>
      </c>
      <c r="J553" t="s">
        <v>636</v>
      </c>
      <c r="L553" t="s">
        <v>5077</v>
      </c>
      <c r="M553" t="s">
        <v>7986</v>
      </c>
      <c r="N553" t="s">
        <v>134</v>
      </c>
      <c r="O553" t="s">
        <v>4408</v>
      </c>
      <c r="P553" t="s">
        <v>194</v>
      </c>
      <c r="Q553" s="3">
        <v>34105</v>
      </c>
      <c r="R553" t="s">
        <v>128</v>
      </c>
      <c r="S553" t="s">
        <v>134</v>
      </c>
      <c r="T553" s="4">
        <v>12392625550</v>
      </c>
      <c r="V553" t="s">
        <v>7987</v>
      </c>
      <c r="W553" t="s">
        <v>7988</v>
      </c>
      <c r="X553" t="s">
        <v>134</v>
      </c>
      <c r="Y553" t="s">
        <v>7986</v>
      </c>
      <c r="Z553" t="s">
        <v>134</v>
      </c>
      <c r="AA553" t="s">
        <v>4408</v>
      </c>
      <c r="AB553" t="s">
        <v>195</v>
      </c>
      <c r="AC553" s="3" t="str">
        <f>"34105"</f>
        <v>34105</v>
      </c>
      <c r="AD553" t="s">
        <v>128</v>
      </c>
      <c r="AE553" t="s">
        <v>134</v>
      </c>
      <c r="AF553" s="4">
        <v>12392625550</v>
      </c>
      <c r="AH553" t="str">
        <f>"713910"</f>
        <v>713910</v>
      </c>
      <c r="AI553" t="s">
        <v>130</v>
      </c>
      <c r="AJ553" t="s">
        <v>1386</v>
      </c>
      <c r="AK553" t="s">
        <v>1387</v>
      </c>
      <c r="AL553" t="s">
        <v>1036</v>
      </c>
      <c r="AM553" t="s">
        <v>1388</v>
      </c>
      <c r="AN553" t="s">
        <v>997</v>
      </c>
      <c r="AO553" t="s">
        <v>719</v>
      </c>
      <c r="AP553" t="s">
        <v>377</v>
      </c>
      <c r="AQ553" s="5">
        <v>1701</v>
      </c>
      <c r="AR553" t="s">
        <v>128</v>
      </c>
      <c r="AS553" t="s">
        <v>134</v>
      </c>
      <c r="AT553" s="4">
        <v>16179399444</v>
      </c>
      <c r="AV553" t="s">
        <v>1389</v>
      </c>
      <c r="AW553" t="s">
        <v>1390</v>
      </c>
      <c r="AX553" t="s">
        <v>131</v>
      </c>
      <c r="AY553" t="s">
        <v>131</v>
      </c>
      <c r="AZ553" t="s">
        <v>131</v>
      </c>
      <c r="BA553" t="s">
        <v>131</v>
      </c>
      <c r="BB553" t="s">
        <v>131</v>
      </c>
      <c r="BC553" t="s">
        <v>131</v>
      </c>
      <c r="BD553" t="s">
        <v>131</v>
      </c>
      <c r="BE553" t="s">
        <v>132</v>
      </c>
      <c r="BH553" t="s">
        <v>1213</v>
      </c>
      <c r="BI553" t="s">
        <v>131</v>
      </c>
      <c r="BL553" t="s">
        <v>167</v>
      </c>
      <c r="BO553" t="s">
        <v>131</v>
      </c>
      <c r="BP553" t="s">
        <v>134</v>
      </c>
      <c r="BQ553" t="s">
        <v>131</v>
      </c>
      <c r="BS553" t="str">
        <f t="shared" si="40"/>
        <v>N/A</v>
      </c>
      <c r="BT553" t="s">
        <v>135</v>
      </c>
      <c r="BU553">
        <v>6</v>
      </c>
      <c r="BV553" t="str">
        <f>"Server"</f>
        <v>Server</v>
      </c>
      <c r="BW553" t="s">
        <v>135</v>
      </c>
      <c r="BX553" t="str">
        <f>""</f>
        <v/>
      </c>
      <c r="BY553" t="str">
        <f>""</f>
        <v/>
      </c>
      <c r="BZ553" t="str">
        <f>""</f>
        <v/>
      </c>
      <c r="CA553" s="2" t="s">
        <v>4141</v>
      </c>
      <c r="CB553" t="s">
        <v>131</v>
      </c>
      <c r="CF553" t="s">
        <v>131</v>
      </c>
      <c r="CH553" t="str">
        <f>""</f>
        <v/>
      </c>
      <c r="CI553" t="s">
        <v>131</v>
      </c>
      <c r="CK553" t="s">
        <v>131</v>
      </c>
      <c r="CL553" t="str">
        <f>""</f>
        <v/>
      </c>
      <c r="CM553" t="str">
        <f>""</f>
        <v/>
      </c>
      <c r="CN553" t="str">
        <f>""</f>
        <v/>
      </c>
      <c r="CO553" t="str">
        <f>""</f>
        <v/>
      </c>
      <c r="CP553" t="str">
        <f>"35-3031.00"</f>
        <v>35-3031.00</v>
      </c>
      <c r="CQ553" t="s">
        <v>1214</v>
      </c>
      <c r="CR553" t="s">
        <v>7989</v>
      </c>
      <c r="CS553" t="s">
        <v>131</v>
      </c>
      <c r="CU553" t="s">
        <v>7986</v>
      </c>
      <c r="CV553" t="s">
        <v>134</v>
      </c>
      <c r="CW553" t="s">
        <v>4408</v>
      </c>
      <c r="CX553" t="s">
        <v>195</v>
      </c>
      <c r="CZ553" s="3" t="str">
        <f>"34105"</f>
        <v>34105</v>
      </c>
      <c r="DA553" t="s">
        <v>131</v>
      </c>
      <c r="DB553" t="str">
        <f>"35-3031"</f>
        <v>35-3031</v>
      </c>
      <c r="DC553" t="s">
        <v>1214</v>
      </c>
      <c r="DD553" t="s">
        <v>134</v>
      </c>
      <c r="DE553" t="s">
        <v>134</v>
      </c>
      <c r="DF553" t="str">
        <f>""</f>
        <v/>
      </c>
      <c r="DH553" s="6">
        <v>15.48</v>
      </c>
      <c r="DI553" t="s">
        <v>344</v>
      </c>
      <c r="DK553" t="s">
        <v>345</v>
      </c>
      <c r="DS553" s="6">
        <v>15.48</v>
      </c>
      <c r="DT553" t="s">
        <v>424</v>
      </c>
      <c r="DU553" s="1">
        <v>44361</v>
      </c>
      <c r="DV553" s="1">
        <v>44450</v>
      </c>
    </row>
    <row r="554" spans="1:126" ht="15" customHeight="1" x14ac:dyDescent="0.35">
      <c r="A554" t="s">
        <v>7985</v>
      </c>
      <c r="B554" t="s">
        <v>318</v>
      </c>
      <c r="C554" s="1">
        <v>44334</v>
      </c>
      <c r="D554" s="1">
        <v>44361</v>
      </c>
      <c r="H554" t="s">
        <v>319</v>
      </c>
      <c r="I554" t="s">
        <v>7600</v>
      </c>
      <c r="J554" t="s">
        <v>636</v>
      </c>
      <c r="L554" t="s">
        <v>5077</v>
      </c>
      <c r="M554" t="s">
        <v>7986</v>
      </c>
      <c r="N554" t="s">
        <v>134</v>
      </c>
      <c r="O554" t="s">
        <v>4408</v>
      </c>
      <c r="P554" t="s">
        <v>194</v>
      </c>
      <c r="Q554" s="3">
        <v>34105</v>
      </c>
      <c r="R554" t="s">
        <v>128</v>
      </c>
      <c r="S554" t="s">
        <v>134</v>
      </c>
      <c r="T554" s="4">
        <v>12392625550</v>
      </c>
      <c r="V554" t="s">
        <v>7987</v>
      </c>
      <c r="W554" t="s">
        <v>7988</v>
      </c>
      <c r="X554" t="s">
        <v>134</v>
      </c>
      <c r="Y554" t="s">
        <v>7986</v>
      </c>
      <c r="Z554" t="s">
        <v>134</v>
      </c>
      <c r="AA554" t="s">
        <v>4408</v>
      </c>
      <c r="AB554" t="s">
        <v>195</v>
      </c>
      <c r="AC554" s="3" t="str">
        <f>"34105"</f>
        <v>34105</v>
      </c>
      <c r="AD554" t="s">
        <v>128</v>
      </c>
      <c r="AE554" t="s">
        <v>134</v>
      </c>
      <c r="AF554" s="4">
        <v>12392625550</v>
      </c>
      <c r="AH554" t="str">
        <f>"713910"</f>
        <v>713910</v>
      </c>
      <c r="AI554" t="s">
        <v>130</v>
      </c>
      <c r="AJ554" t="s">
        <v>1386</v>
      </c>
      <c r="AK554" t="s">
        <v>1387</v>
      </c>
      <c r="AL554" t="s">
        <v>1036</v>
      </c>
      <c r="AM554" t="s">
        <v>1388</v>
      </c>
      <c r="AN554" t="s">
        <v>997</v>
      </c>
      <c r="AO554" t="s">
        <v>719</v>
      </c>
      <c r="AP554" t="s">
        <v>377</v>
      </c>
      <c r="AQ554" s="5">
        <v>1701</v>
      </c>
      <c r="AR554" t="s">
        <v>128</v>
      </c>
      <c r="AS554" t="s">
        <v>134</v>
      </c>
      <c r="AT554" s="4">
        <v>16179399444</v>
      </c>
      <c r="AV554" t="s">
        <v>1389</v>
      </c>
      <c r="AW554" t="s">
        <v>1390</v>
      </c>
      <c r="AX554" t="s">
        <v>131</v>
      </c>
      <c r="AY554" t="s">
        <v>131</v>
      </c>
      <c r="AZ554" t="s">
        <v>131</v>
      </c>
      <c r="BA554" t="s">
        <v>131</v>
      </c>
      <c r="BB554" t="s">
        <v>131</v>
      </c>
      <c r="BC554" t="s">
        <v>131</v>
      </c>
      <c r="BD554" t="s">
        <v>131</v>
      </c>
      <c r="BE554" t="s">
        <v>132</v>
      </c>
      <c r="BH554" t="s">
        <v>1857</v>
      </c>
      <c r="BI554" t="s">
        <v>131</v>
      </c>
      <c r="BL554" t="s">
        <v>167</v>
      </c>
      <c r="BO554" t="s">
        <v>131</v>
      </c>
      <c r="BP554" t="s">
        <v>134</v>
      </c>
      <c r="BQ554" t="s">
        <v>131</v>
      </c>
      <c r="BS554" t="str">
        <f t="shared" si="40"/>
        <v>N/A</v>
      </c>
      <c r="BT554" t="s">
        <v>135</v>
      </c>
      <c r="BU554">
        <v>6</v>
      </c>
      <c r="BV554" t="str">
        <f>"Bartender"</f>
        <v>Bartender</v>
      </c>
      <c r="BW554" t="s">
        <v>135</v>
      </c>
      <c r="BX554" t="str">
        <f>""</f>
        <v/>
      </c>
      <c r="BY554" t="str">
        <f>""</f>
        <v/>
      </c>
      <c r="BZ554" t="str">
        <f>""</f>
        <v/>
      </c>
      <c r="CA554" s="2" t="s">
        <v>4141</v>
      </c>
      <c r="CB554" t="s">
        <v>131</v>
      </c>
      <c r="CF554" t="s">
        <v>131</v>
      </c>
      <c r="CH554" t="str">
        <f>""</f>
        <v/>
      </c>
      <c r="CI554" t="s">
        <v>131</v>
      </c>
      <c r="CK554" t="s">
        <v>131</v>
      </c>
      <c r="CL554" t="str">
        <f>""</f>
        <v/>
      </c>
      <c r="CM554" t="str">
        <f>""</f>
        <v/>
      </c>
      <c r="CN554" t="str">
        <f>""</f>
        <v/>
      </c>
      <c r="CO554" t="str">
        <f>""</f>
        <v/>
      </c>
      <c r="CP554" t="str">
        <f>"35-3011.00"</f>
        <v>35-3011.00</v>
      </c>
      <c r="CQ554" t="s">
        <v>1859</v>
      </c>
      <c r="CR554" t="s">
        <v>7989</v>
      </c>
      <c r="CS554" t="s">
        <v>131</v>
      </c>
      <c r="CU554" t="s">
        <v>7986</v>
      </c>
      <c r="CV554" t="s">
        <v>134</v>
      </c>
      <c r="CW554" t="s">
        <v>4408</v>
      </c>
      <c r="CX554" t="s">
        <v>195</v>
      </c>
      <c r="CZ554" s="3" t="str">
        <f>"34105"</f>
        <v>34105</v>
      </c>
      <c r="DA554" t="s">
        <v>131</v>
      </c>
      <c r="DB554" t="str">
        <f>"35-3011"</f>
        <v>35-3011</v>
      </c>
      <c r="DC554" t="s">
        <v>1859</v>
      </c>
      <c r="DD554" t="s">
        <v>134</v>
      </c>
      <c r="DE554" t="s">
        <v>134</v>
      </c>
      <c r="DF554" t="str">
        <f>""</f>
        <v/>
      </c>
      <c r="DH554" s="6">
        <v>14.66</v>
      </c>
      <c r="DI554" t="s">
        <v>344</v>
      </c>
      <c r="DK554" t="s">
        <v>345</v>
      </c>
      <c r="DS554" s="6">
        <v>14.66</v>
      </c>
      <c r="DT554" t="s">
        <v>424</v>
      </c>
      <c r="DU554" s="1">
        <v>44361</v>
      </c>
      <c r="DV554" s="1">
        <v>44450</v>
      </c>
    </row>
    <row r="555" spans="1:126" ht="15" customHeight="1" x14ac:dyDescent="0.35">
      <c r="A555" t="s">
        <v>17846</v>
      </c>
      <c r="B555" t="s">
        <v>318</v>
      </c>
      <c r="C555" s="1">
        <v>44334</v>
      </c>
      <c r="D555" s="1">
        <v>44369</v>
      </c>
      <c r="H555" t="s">
        <v>319</v>
      </c>
      <c r="I555" t="s">
        <v>17847</v>
      </c>
      <c r="J555" t="s">
        <v>1116</v>
      </c>
      <c r="K555" t="s">
        <v>288</v>
      </c>
      <c r="L555" t="s">
        <v>1105</v>
      </c>
      <c r="M555" t="s">
        <v>17848</v>
      </c>
      <c r="O555" t="s">
        <v>7139</v>
      </c>
      <c r="P555" t="s">
        <v>487</v>
      </c>
      <c r="Q555" s="3">
        <v>19709</v>
      </c>
      <c r="R555" t="s">
        <v>128</v>
      </c>
      <c r="T555" s="4">
        <v>13028977722</v>
      </c>
      <c r="V555" t="s">
        <v>17849</v>
      </c>
      <c r="W555" t="s">
        <v>17850</v>
      </c>
      <c r="Y555" t="s">
        <v>17848</v>
      </c>
      <c r="AA555" t="s">
        <v>7139</v>
      </c>
      <c r="AB555" t="s">
        <v>490</v>
      </c>
      <c r="AC555" s="3" t="str">
        <f>"19709"</f>
        <v>19709</v>
      </c>
      <c r="AD555" t="s">
        <v>128</v>
      </c>
      <c r="AF555" s="4">
        <v>13028977722</v>
      </c>
      <c r="AH555" t="str">
        <f>"236118"</f>
        <v>236118</v>
      </c>
      <c r="AI555" t="s">
        <v>167</v>
      </c>
      <c r="AX555" t="s">
        <v>131</v>
      </c>
      <c r="AY555" t="s">
        <v>131</v>
      </c>
      <c r="AZ555" t="s">
        <v>131</v>
      </c>
      <c r="BA555" t="s">
        <v>131</v>
      </c>
      <c r="BB555" t="s">
        <v>131</v>
      </c>
      <c r="BC555" t="s">
        <v>131</v>
      </c>
      <c r="BD555" t="s">
        <v>131</v>
      </c>
      <c r="BE555" t="s">
        <v>160</v>
      </c>
      <c r="BF555" t="s">
        <v>393</v>
      </c>
      <c r="BG555" s="1">
        <v>44334</v>
      </c>
      <c r="BH555" t="s">
        <v>17851</v>
      </c>
      <c r="BI555" t="s">
        <v>131</v>
      </c>
      <c r="BL555" t="s">
        <v>167</v>
      </c>
      <c r="BO555" t="s">
        <v>131</v>
      </c>
      <c r="BP555" t="s">
        <v>134</v>
      </c>
      <c r="BQ555" t="s">
        <v>135</v>
      </c>
      <c r="BR555">
        <v>1</v>
      </c>
      <c r="BS555" t="str">
        <f>"Construction"</f>
        <v>Construction</v>
      </c>
      <c r="BT555" t="s">
        <v>131</v>
      </c>
      <c r="BV555" t="str">
        <f>""</f>
        <v/>
      </c>
      <c r="BW555" t="s">
        <v>131</v>
      </c>
      <c r="BX555" t="str">
        <f>""</f>
        <v/>
      </c>
      <c r="BY555" t="str">
        <f>""</f>
        <v/>
      </c>
      <c r="BZ555" t="str">
        <f>""</f>
        <v/>
      </c>
      <c r="CA555" t="str">
        <f>""</f>
        <v/>
      </c>
      <c r="CB555" t="s">
        <v>131</v>
      </c>
      <c r="CF555" t="s">
        <v>131</v>
      </c>
      <c r="CH555" t="str">
        <f>""</f>
        <v/>
      </c>
      <c r="CI555" t="s">
        <v>131</v>
      </c>
      <c r="CK555" t="s">
        <v>131</v>
      </c>
      <c r="CL555" t="str">
        <f>""</f>
        <v/>
      </c>
      <c r="CM555" t="str">
        <f>""</f>
        <v/>
      </c>
      <c r="CN555" t="str">
        <f>""</f>
        <v/>
      </c>
      <c r="CO555" t="str">
        <f>""</f>
        <v/>
      </c>
      <c r="CP555" t="str">
        <f>"47-2061.00"</f>
        <v>47-2061.00</v>
      </c>
      <c r="CQ555" t="s">
        <v>393</v>
      </c>
      <c r="CS555" t="s">
        <v>135</v>
      </c>
      <c r="CT555" t="s">
        <v>17852</v>
      </c>
      <c r="CU555" t="s">
        <v>17853</v>
      </c>
      <c r="CW555" t="s">
        <v>17854</v>
      </c>
      <c r="CX555" t="s">
        <v>276</v>
      </c>
      <c r="CZ555" s="3" t="str">
        <f>"08069"</f>
        <v>08069</v>
      </c>
      <c r="DA555" t="s">
        <v>135</v>
      </c>
      <c r="DB555" t="str">
        <f>"49-9071"</f>
        <v>49-9071</v>
      </c>
      <c r="DC555" t="s">
        <v>4022</v>
      </c>
      <c r="DD555" t="s">
        <v>134</v>
      </c>
      <c r="DE555" t="s">
        <v>134</v>
      </c>
      <c r="DF555" t="str">
        <f>""</f>
        <v/>
      </c>
      <c r="DH555" s="6">
        <v>21.46</v>
      </c>
      <c r="DI555" t="s">
        <v>344</v>
      </c>
      <c r="DK555" t="s">
        <v>345</v>
      </c>
      <c r="DR555" t="s">
        <v>12670</v>
      </c>
      <c r="DS555" s="6">
        <v>21.46</v>
      </c>
      <c r="DT555" s="2" t="s">
        <v>17855</v>
      </c>
      <c r="DU555" s="1">
        <v>44369</v>
      </c>
      <c r="DV555" s="1">
        <v>44458</v>
      </c>
    </row>
    <row r="556" spans="1:126" ht="15" customHeight="1" x14ac:dyDescent="0.35">
      <c r="A556" t="s">
        <v>10444</v>
      </c>
      <c r="B556" t="s">
        <v>318</v>
      </c>
      <c r="C556" s="1">
        <v>44334</v>
      </c>
      <c r="D556" s="1">
        <v>44361</v>
      </c>
      <c r="H556" t="s">
        <v>319</v>
      </c>
      <c r="I556" t="s">
        <v>10445</v>
      </c>
      <c r="J556" t="s">
        <v>5804</v>
      </c>
      <c r="K556" t="s">
        <v>134</v>
      </c>
      <c r="L556" t="s">
        <v>460</v>
      </c>
      <c r="M556" t="s">
        <v>10446</v>
      </c>
      <c r="N556" t="s">
        <v>134</v>
      </c>
      <c r="O556" t="s">
        <v>10447</v>
      </c>
      <c r="P556" t="s">
        <v>273</v>
      </c>
      <c r="Q556" s="3">
        <v>7930</v>
      </c>
      <c r="R556" t="s">
        <v>128</v>
      </c>
      <c r="S556" t="s">
        <v>134</v>
      </c>
      <c r="T556" s="4">
        <v>19088792696</v>
      </c>
      <c r="V556" t="s">
        <v>10448</v>
      </c>
      <c r="W556" t="s">
        <v>10449</v>
      </c>
      <c r="Y556" t="s">
        <v>10446</v>
      </c>
      <c r="Z556" t="s">
        <v>134</v>
      </c>
      <c r="AA556" t="s">
        <v>10447</v>
      </c>
      <c r="AB556" t="s">
        <v>276</v>
      </c>
      <c r="AC556" s="3" t="str">
        <f>"07930"</f>
        <v>07930</v>
      </c>
      <c r="AD556" t="s">
        <v>128</v>
      </c>
      <c r="AE556" t="s">
        <v>134</v>
      </c>
      <c r="AF556" s="4">
        <v>19088792696</v>
      </c>
      <c r="AH556" t="str">
        <f>"44523"</f>
        <v>44523</v>
      </c>
      <c r="AI556" t="s">
        <v>287</v>
      </c>
      <c r="AJ556" t="s">
        <v>3150</v>
      </c>
      <c r="AK556" t="s">
        <v>934</v>
      </c>
      <c r="AL556" t="s">
        <v>474</v>
      </c>
      <c r="AM556" t="s">
        <v>3151</v>
      </c>
      <c r="AN556" t="s">
        <v>134</v>
      </c>
      <c r="AO556" t="s">
        <v>3152</v>
      </c>
      <c r="AP556" t="s">
        <v>400</v>
      </c>
      <c r="AQ556" s="5">
        <v>77414</v>
      </c>
      <c r="AR556" t="s">
        <v>128</v>
      </c>
      <c r="AT556" s="4">
        <v>19792457577</v>
      </c>
      <c r="AU556">
        <v>105</v>
      </c>
      <c r="AV556" t="s">
        <v>3153</v>
      </c>
      <c r="AW556" t="s">
        <v>3154</v>
      </c>
      <c r="AX556" t="s">
        <v>131</v>
      </c>
      <c r="AY556" t="s">
        <v>131</v>
      </c>
      <c r="AZ556" t="s">
        <v>131</v>
      </c>
      <c r="BA556" t="s">
        <v>131</v>
      </c>
      <c r="BB556" t="s">
        <v>131</v>
      </c>
      <c r="BC556" t="s">
        <v>131</v>
      </c>
      <c r="BD556" t="s">
        <v>131</v>
      </c>
      <c r="BE556" t="s">
        <v>132</v>
      </c>
      <c r="BH556" t="s">
        <v>10450</v>
      </c>
      <c r="BI556" t="s">
        <v>131</v>
      </c>
      <c r="BL556" t="s">
        <v>167</v>
      </c>
      <c r="BO556" t="s">
        <v>131</v>
      </c>
      <c r="BP556" t="s">
        <v>134</v>
      </c>
      <c r="BQ556" t="s">
        <v>131</v>
      </c>
      <c r="BS556" t="str">
        <f t="shared" ref="BS556:BS587" si="44">"N/A"</f>
        <v>N/A</v>
      </c>
      <c r="BT556" t="s">
        <v>131</v>
      </c>
      <c r="BV556" t="str">
        <f>""</f>
        <v/>
      </c>
      <c r="BW556" t="s">
        <v>135</v>
      </c>
      <c r="BX556" t="str">
        <f>""</f>
        <v/>
      </c>
      <c r="BY556" t="str">
        <f>""</f>
        <v/>
      </c>
      <c r="BZ556" t="str">
        <f>""</f>
        <v/>
      </c>
      <c r="CA556" t="s">
        <v>10451</v>
      </c>
      <c r="CB556" t="s">
        <v>131</v>
      </c>
      <c r="CF556" t="s">
        <v>131</v>
      </c>
      <c r="CH556" t="str">
        <f>""</f>
        <v/>
      </c>
      <c r="CI556" t="s">
        <v>131</v>
      </c>
      <c r="CK556" t="s">
        <v>131</v>
      </c>
      <c r="CL556" t="str">
        <f>""</f>
        <v/>
      </c>
      <c r="CM556" t="str">
        <f>""</f>
        <v/>
      </c>
      <c r="CN556" t="str">
        <f>""</f>
        <v/>
      </c>
      <c r="CO556" t="str">
        <f>""</f>
        <v/>
      </c>
      <c r="CP556" t="str">
        <f>"39-3091.00"</f>
        <v>39-3091.00</v>
      </c>
      <c r="CQ556" t="s">
        <v>1374</v>
      </c>
      <c r="CS556" t="s">
        <v>135</v>
      </c>
      <c r="CT556" t="s">
        <v>5308</v>
      </c>
      <c r="CU556" t="s">
        <v>10452</v>
      </c>
      <c r="CV556" t="s">
        <v>134</v>
      </c>
      <c r="CW556" t="s">
        <v>10447</v>
      </c>
      <c r="CX556" t="s">
        <v>276</v>
      </c>
      <c r="CZ556" s="3" t="str">
        <f>"07930"</f>
        <v>07930</v>
      </c>
      <c r="DA556" t="s">
        <v>135</v>
      </c>
      <c r="DB556" t="str">
        <f>"39-3091"</f>
        <v>39-3091</v>
      </c>
      <c r="DC556" t="s">
        <v>1374</v>
      </c>
      <c r="DD556" t="s">
        <v>134</v>
      </c>
      <c r="DE556" t="s">
        <v>134</v>
      </c>
      <c r="DF556" t="str">
        <f>""</f>
        <v/>
      </c>
      <c r="DH556" s="6">
        <v>13.08</v>
      </c>
      <c r="DI556" t="s">
        <v>344</v>
      </c>
      <c r="DK556" t="s">
        <v>345</v>
      </c>
      <c r="DR556" t="s">
        <v>346</v>
      </c>
      <c r="DS556" s="6">
        <v>13.08</v>
      </c>
      <c r="DT556" s="2" t="s">
        <v>347</v>
      </c>
      <c r="DU556" s="1">
        <v>44361</v>
      </c>
      <c r="DV556" s="1">
        <v>44450</v>
      </c>
    </row>
    <row r="557" spans="1:126" ht="15" customHeight="1" x14ac:dyDescent="0.35">
      <c r="A557" t="s">
        <v>18726</v>
      </c>
      <c r="B557" t="s">
        <v>318</v>
      </c>
      <c r="C557" s="1">
        <v>44334</v>
      </c>
      <c r="D557" s="1">
        <v>44361</v>
      </c>
      <c r="H557" t="s">
        <v>319</v>
      </c>
      <c r="I557" t="s">
        <v>12712</v>
      </c>
      <c r="J557" t="s">
        <v>12620</v>
      </c>
      <c r="L557" t="s">
        <v>349</v>
      </c>
      <c r="M557" t="s">
        <v>18727</v>
      </c>
      <c r="O557" t="s">
        <v>12713</v>
      </c>
      <c r="P557" t="s">
        <v>6837</v>
      </c>
      <c r="Q557" s="3">
        <v>82414</v>
      </c>
      <c r="R557" t="s">
        <v>128</v>
      </c>
      <c r="T557" s="4">
        <v>13075875515</v>
      </c>
      <c r="V557" t="s">
        <v>1253</v>
      </c>
      <c r="W557" t="s">
        <v>12714</v>
      </c>
      <c r="Y557" t="s">
        <v>18727</v>
      </c>
      <c r="AA557" t="s">
        <v>12713</v>
      </c>
      <c r="AB557" t="s">
        <v>6838</v>
      </c>
      <c r="AC557" s="3" t="str">
        <f>"82414"</f>
        <v>82414</v>
      </c>
      <c r="AD557" t="s">
        <v>128</v>
      </c>
      <c r="AF557" s="4">
        <v>13075875515</v>
      </c>
      <c r="AH557" t="str">
        <f>"326"</f>
        <v>326</v>
      </c>
      <c r="AI557" t="s">
        <v>287</v>
      </c>
      <c r="AJ557" t="s">
        <v>9765</v>
      </c>
      <c r="AK557" t="s">
        <v>9766</v>
      </c>
      <c r="AL557" t="s">
        <v>1254</v>
      </c>
      <c r="AM557" t="s">
        <v>9767</v>
      </c>
      <c r="AN557" t="s">
        <v>1337</v>
      </c>
      <c r="AO557" t="s">
        <v>8791</v>
      </c>
      <c r="AP557" t="s">
        <v>779</v>
      </c>
      <c r="AQ557" s="5">
        <v>37862</v>
      </c>
      <c r="AR557" t="s">
        <v>128</v>
      </c>
      <c r="AT557" s="4">
        <v>18653663731</v>
      </c>
      <c r="AV557" t="s">
        <v>9768</v>
      </c>
      <c r="AW557" t="s">
        <v>9769</v>
      </c>
      <c r="AX557" t="s">
        <v>131</v>
      </c>
      <c r="AY557" t="s">
        <v>131</v>
      </c>
      <c r="AZ557" t="s">
        <v>131</v>
      </c>
      <c r="BA557" t="s">
        <v>131</v>
      </c>
      <c r="BB557" t="s">
        <v>131</v>
      </c>
      <c r="BC557" t="s">
        <v>131</v>
      </c>
      <c r="BD557" t="s">
        <v>131</v>
      </c>
      <c r="BE557" t="s">
        <v>132</v>
      </c>
      <c r="BH557" t="s">
        <v>3630</v>
      </c>
      <c r="BI557" t="s">
        <v>131</v>
      </c>
      <c r="BL557" t="s">
        <v>167</v>
      </c>
      <c r="BO557" t="s">
        <v>131</v>
      </c>
      <c r="BP557" t="s">
        <v>134</v>
      </c>
      <c r="BQ557" t="s">
        <v>131</v>
      </c>
      <c r="BS557" t="str">
        <f t="shared" si="44"/>
        <v>N/A</v>
      </c>
      <c r="BT557" t="s">
        <v>131</v>
      </c>
      <c r="BV557" t="str">
        <f>""</f>
        <v/>
      </c>
      <c r="BW557" t="s">
        <v>131</v>
      </c>
      <c r="BX557" t="str">
        <f>""</f>
        <v/>
      </c>
      <c r="BY557" t="str">
        <f>""</f>
        <v/>
      </c>
      <c r="BZ557" t="str">
        <f>""</f>
        <v/>
      </c>
      <c r="CA557" t="str">
        <f>""</f>
        <v/>
      </c>
      <c r="CB557" t="s">
        <v>131</v>
      </c>
      <c r="CF557" t="s">
        <v>131</v>
      </c>
      <c r="CH557" t="str">
        <f>""</f>
        <v/>
      </c>
      <c r="CI557" t="s">
        <v>131</v>
      </c>
      <c r="CK557" t="s">
        <v>131</v>
      </c>
      <c r="CL557" t="str">
        <f>""</f>
        <v/>
      </c>
      <c r="CM557" t="str">
        <f>""</f>
        <v/>
      </c>
      <c r="CN557" t="str">
        <f>""</f>
        <v/>
      </c>
      <c r="CO557" t="str">
        <f>""</f>
        <v/>
      </c>
      <c r="CP557" t="str">
        <f>"51-9198.00"</f>
        <v>51-9198.00</v>
      </c>
      <c r="CQ557" t="s">
        <v>2685</v>
      </c>
      <c r="CS557" t="s">
        <v>131</v>
      </c>
      <c r="CU557" t="s">
        <v>18727</v>
      </c>
      <c r="CW557" t="s">
        <v>12713</v>
      </c>
      <c r="CX557" t="s">
        <v>6838</v>
      </c>
      <c r="CZ557" s="3" t="str">
        <f>"82414"</f>
        <v>82414</v>
      </c>
      <c r="DA557" t="s">
        <v>131</v>
      </c>
      <c r="DB557" t="str">
        <f>"51-9198"</f>
        <v>51-9198</v>
      </c>
      <c r="DC557" t="s">
        <v>2685</v>
      </c>
      <c r="DD557" t="s">
        <v>134</v>
      </c>
      <c r="DE557" t="s">
        <v>134</v>
      </c>
      <c r="DF557" t="str">
        <f>""</f>
        <v/>
      </c>
      <c r="DH557" s="6">
        <v>19.149999999999999</v>
      </c>
      <c r="DI557" t="s">
        <v>344</v>
      </c>
      <c r="DK557" t="s">
        <v>345</v>
      </c>
      <c r="DR557" t="s">
        <v>18728</v>
      </c>
      <c r="DS557" s="6">
        <v>19.149999999999999</v>
      </c>
      <c r="DT557" t="s">
        <v>424</v>
      </c>
      <c r="DU557" s="1">
        <v>44361</v>
      </c>
      <c r="DV557" s="1">
        <v>44450</v>
      </c>
    </row>
    <row r="558" spans="1:126" ht="15" customHeight="1" x14ac:dyDescent="0.35">
      <c r="A558" t="s">
        <v>15536</v>
      </c>
      <c r="B558" t="s">
        <v>318</v>
      </c>
      <c r="C558" s="1">
        <v>44334</v>
      </c>
      <c r="D558" s="1">
        <v>44361</v>
      </c>
      <c r="H558" t="s">
        <v>319</v>
      </c>
      <c r="I558" t="s">
        <v>8746</v>
      </c>
      <c r="J558" t="s">
        <v>5730</v>
      </c>
      <c r="L558" t="s">
        <v>395</v>
      </c>
      <c r="M558" t="s">
        <v>8747</v>
      </c>
      <c r="O558" t="s">
        <v>8748</v>
      </c>
      <c r="P558" t="s">
        <v>593</v>
      </c>
      <c r="Q558" s="3">
        <v>28079</v>
      </c>
      <c r="R558" t="s">
        <v>128</v>
      </c>
      <c r="T558" s="4">
        <v>17048828443</v>
      </c>
      <c r="V558" t="s">
        <v>8749</v>
      </c>
      <c r="W558" t="s">
        <v>8750</v>
      </c>
      <c r="Y558" t="s">
        <v>8747</v>
      </c>
      <c r="AA558" t="s">
        <v>8748</v>
      </c>
      <c r="AB558" t="s">
        <v>594</v>
      </c>
      <c r="AC558" s="3" t="str">
        <f>"28079"</f>
        <v>28079</v>
      </c>
      <c r="AD558" t="s">
        <v>128</v>
      </c>
      <c r="AF558" s="4">
        <v>17048827036</v>
      </c>
      <c r="AH558" t="str">
        <f>"23831"</f>
        <v>23831</v>
      </c>
      <c r="AI558" t="s">
        <v>130</v>
      </c>
      <c r="AJ558" t="s">
        <v>4018</v>
      </c>
      <c r="AK558" t="s">
        <v>2069</v>
      </c>
      <c r="AM558" t="s">
        <v>4019</v>
      </c>
      <c r="AO558" t="s">
        <v>1040</v>
      </c>
      <c r="AP558" t="s">
        <v>400</v>
      </c>
      <c r="AQ558" s="5">
        <v>78737</v>
      </c>
      <c r="AR558" t="s">
        <v>128</v>
      </c>
      <c r="AT558" s="4">
        <v>15128942128</v>
      </c>
      <c r="AV558" t="s">
        <v>4020</v>
      </c>
      <c r="AW558" t="s">
        <v>4021</v>
      </c>
      <c r="AX558" t="s">
        <v>131</v>
      </c>
      <c r="AY558" t="s">
        <v>131</v>
      </c>
      <c r="AZ558" t="s">
        <v>131</v>
      </c>
      <c r="BA558" t="s">
        <v>131</v>
      </c>
      <c r="BB558" t="s">
        <v>131</v>
      </c>
      <c r="BC558" t="s">
        <v>131</v>
      </c>
      <c r="BD558" t="s">
        <v>131</v>
      </c>
      <c r="BE558" t="s">
        <v>132</v>
      </c>
      <c r="BH558" t="s">
        <v>5736</v>
      </c>
      <c r="BI558" t="s">
        <v>131</v>
      </c>
      <c r="BL558" t="s">
        <v>167</v>
      </c>
      <c r="BO558" t="s">
        <v>131</v>
      </c>
      <c r="BP558" t="s">
        <v>134</v>
      </c>
      <c r="BQ558" t="s">
        <v>131</v>
      </c>
      <c r="BS558" t="str">
        <f t="shared" si="44"/>
        <v>N/A</v>
      </c>
      <c r="BT558" t="s">
        <v>135</v>
      </c>
      <c r="BU558">
        <v>1</v>
      </c>
      <c r="BV558" t="str">
        <f>"See F.b.5.a"</f>
        <v>See F.b.5.a</v>
      </c>
      <c r="BW558" t="s">
        <v>135</v>
      </c>
      <c r="BX558" t="str">
        <f>""</f>
        <v/>
      </c>
      <c r="BY558" t="str">
        <f>""</f>
        <v/>
      </c>
      <c r="BZ558" t="str">
        <f>""</f>
        <v/>
      </c>
      <c r="CA558" t="str">
        <f>"Position requires one (1) month related experience or training. Must be able to lift and carry 75 lbs for 75 yards. "</f>
        <v xml:space="preserve">Position requires one (1) month related experience or training. Must be able to lift and carry 75 lbs for 75 yards. </v>
      </c>
      <c r="CB558" t="s">
        <v>131</v>
      </c>
      <c r="CF558" t="s">
        <v>131</v>
      </c>
      <c r="CH558" t="str">
        <f>""</f>
        <v/>
      </c>
      <c r="CI558" t="s">
        <v>131</v>
      </c>
      <c r="CK558" t="s">
        <v>131</v>
      </c>
      <c r="CL558" t="str">
        <f>""</f>
        <v/>
      </c>
      <c r="CM558" t="str">
        <f>""</f>
        <v/>
      </c>
      <c r="CN558" t="str">
        <f>""</f>
        <v/>
      </c>
      <c r="CO558" t="str">
        <f>""</f>
        <v/>
      </c>
      <c r="CP558" t="str">
        <f>"47-2061.00"</f>
        <v>47-2061.00</v>
      </c>
      <c r="CQ558" t="s">
        <v>393</v>
      </c>
      <c r="CR558" t="s">
        <v>5117</v>
      </c>
      <c r="CS558" t="s">
        <v>135</v>
      </c>
      <c r="CT558" t="s">
        <v>8751</v>
      </c>
      <c r="CU558" t="s">
        <v>15537</v>
      </c>
      <c r="CW558" t="s">
        <v>15538</v>
      </c>
      <c r="CX558" t="s">
        <v>594</v>
      </c>
      <c r="CZ558" s="3" t="str">
        <f>"28732"</f>
        <v>28732</v>
      </c>
      <c r="DA558" t="s">
        <v>135</v>
      </c>
      <c r="DB558" t="str">
        <f>"47-2061"</f>
        <v>47-2061</v>
      </c>
      <c r="DC558" t="s">
        <v>393</v>
      </c>
      <c r="DD558" t="s">
        <v>134</v>
      </c>
      <c r="DE558" t="s">
        <v>134</v>
      </c>
      <c r="DF558" t="str">
        <f>""</f>
        <v/>
      </c>
      <c r="DH558" s="6">
        <v>14.68</v>
      </c>
      <c r="DI558" t="s">
        <v>344</v>
      </c>
      <c r="DK558" t="s">
        <v>345</v>
      </c>
      <c r="DS558" s="6">
        <v>14.68</v>
      </c>
      <c r="DT558" s="2" t="s">
        <v>347</v>
      </c>
      <c r="DU558" s="1">
        <v>44361</v>
      </c>
      <c r="DV558" s="1">
        <v>44450</v>
      </c>
    </row>
    <row r="559" spans="1:126" ht="15" customHeight="1" x14ac:dyDescent="0.35">
      <c r="A559" t="s">
        <v>17987</v>
      </c>
      <c r="B559" t="s">
        <v>318</v>
      </c>
      <c r="C559" s="1">
        <v>44334</v>
      </c>
      <c r="D559" s="1">
        <v>44369</v>
      </c>
      <c r="H559" t="s">
        <v>319</v>
      </c>
      <c r="I559" t="s">
        <v>2304</v>
      </c>
      <c r="J559" t="s">
        <v>254</v>
      </c>
      <c r="K559" t="s">
        <v>415</v>
      </c>
      <c r="L559" t="s">
        <v>4746</v>
      </c>
      <c r="M559" t="s">
        <v>17988</v>
      </c>
      <c r="N559" t="s">
        <v>17989</v>
      </c>
      <c r="O559" t="s">
        <v>17990</v>
      </c>
      <c r="P559" t="s">
        <v>593</v>
      </c>
      <c r="Q559" s="3">
        <v>27909</v>
      </c>
      <c r="R559" t="s">
        <v>128</v>
      </c>
      <c r="T559" s="4">
        <v>12523304787</v>
      </c>
      <c r="V559" t="s">
        <v>17991</v>
      </c>
      <c r="W559" t="s">
        <v>17992</v>
      </c>
      <c r="Y559" t="s">
        <v>17988</v>
      </c>
      <c r="Z559" t="s">
        <v>17989</v>
      </c>
      <c r="AA559" t="s">
        <v>17990</v>
      </c>
      <c r="AB559" t="s">
        <v>594</v>
      </c>
      <c r="AC559" s="3" t="str">
        <f>"27909"</f>
        <v>27909</v>
      </c>
      <c r="AD559" t="s">
        <v>128</v>
      </c>
      <c r="AF559" s="4">
        <v>12523304787</v>
      </c>
      <c r="AH559" t="str">
        <f>"31171"</f>
        <v>31171</v>
      </c>
      <c r="AI559" t="s">
        <v>287</v>
      </c>
      <c r="AJ559" t="s">
        <v>1106</v>
      </c>
      <c r="AK559" t="s">
        <v>1107</v>
      </c>
      <c r="AL559" t="s">
        <v>1108</v>
      </c>
      <c r="AM559" t="s">
        <v>1109</v>
      </c>
      <c r="AN559" t="s">
        <v>8123</v>
      </c>
      <c r="AO559" t="s">
        <v>1111</v>
      </c>
      <c r="AP559" t="s">
        <v>306</v>
      </c>
      <c r="AQ559" s="5">
        <v>24521</v>
      </c>
      <c r="AR559" t="s">
        <v>128</v>
      </c>
      <c r="AS559" t="s">
        <v>134</v>
      </c>
      <c r="AT559" s="4">
        <v>14349460035</v>
      </c>
      <c r="AU559">
        <v>11</v>
      </c>
      <c r="AV559" t="s">
        <v>1112</v>
      </c>
      <c r="AW559" t="s">
        <v>1113</v>
      </c>
      <c r="AX559" t="s">
        <v>131</v>
      </c>
      <c r="AY559" t="s">
        <v>131</v>
      </c>
      <c r="AZ559" t="s">
        <v>131</v>
      </c>
      <c r="BA559" t="s">
        <v>131</v>
      </c>
      <c r="BB559" t="s">
        <v>131</v>
      </c>
      <c r="BC559" t="s">
        <v>131</v>
      </c>
      <c r="BD559" t="s">
        <v>131</v>
      </c>
      <c r="BE559" t="s">
        <v>132</v>
      </c>
      <c r="BH559" t="s">
        <v>5556</v>
      </c>
      <c r="BI559" t="s">
        <v>131</v>
      </c>
      <c r="BL559" t="s">
        <v>167</v>
      </c>
      <c r="BO559" t="s">
        <v>131</v>
      </c>
      <c r="BP559" t="s">
        <v>134</v>
      </c>
      <c r="BQ559" t="s">
        <v>131</v>
      </c>
      <c r="BS559" t="str">
        <f t="shared" si="44"/>
        <v>N/A</v>
      </c>
      <c r="BT559" t="s">
        <v>131</v>
      </c>
      <c r="BV559" t="str">
        <f>""</f>
        <v/>
      </c>
      <c r="BW559" t="s">
        <v>135</v>
      </c>
      <c r="BX559" t="str">
        <f>""</f>
        <v/>
      </c>
      <c r="BY559" t="str">
        <f>""</f>
        <v/>
      </c>
      <c r="BZ559" t="str">
        <f>""</f>
        <v/>
      </c>
      <c r="CA559" t="str">
        <f>"Lift/carry up to 50 pounds."</f>
        <v>Lift/carry up to 50 pounds.</v>
      </c>
      <c r="CB559" t="s">
        <v>131</v>
      </c>
      <c r="CF559" t="s">
        <v>131</v>
      </c>
      <c r="CH559" t="str">
        <f>""</f>
        <v/>
      </c>
      <c r="CI559" t="s">
        <v>131</v>
      </c>
      <c r="CK559" t="s">
        <v>131</v>
      </c>
      <c r="CL559" t="str">
        <f>""</f>
        <v/>
      </c>
      <c r="CM559" t="str">
        <f>""</f>
        <v/>
      </c>
      <c r="CN559" t="str">
        <f>""</f>
        <v/>
      </c>
      <c r="CO559" t="str">
        <f>""</f>
        <v/>
      </c>
      <c r="CP559" t="str">
        <f>"51-3022.00"</f>
        <v>51-3022.00</v>
      </c>
      <c r="CQ559" t="s">
        <v>1114</v>
      </c>
      <c r="CR559" t="s">
        <v>2403</v>
      </c>
      <c r="CS559" t="s">
        <v>131</v>
      </c>
      <c r="CU559" t="s">
        <v>17993</v>
      </c>
      <c r="CW559" t="s">
        <v>17994</v>
      </c>
      <c r="CX559" t="s">
        <v>594</v>
      </c>
      <c r="CZ559" s="3" t="str">
        <f>"27917"</f>
        <v>27917</v>
      </c>
      <c r="DA559" t="s">
        <v>131</v>
      </c>
      <c r="DB559" t="str">
        <f>"51-3022"</f>
        <v>51-3022</v>
      </c>
      <c r="DC559" t="s">
        <v>1114</v>
      </c>
      <c r="DD559" t="s">
        <v>134</v>
      </c>
      <c r="DE559" t="s">
        <v>134</v>
      </c>
      <c r="DF559" t="str">
        <f>""</f>
        <v/>
      </c>
      <c r="DH559" s="6">
        <v>13.26</v>
      </c>
      <c r="DI559" t="s">
        <v>344</v>
      </c>
      <c r="DK559" t="s">
        <v>345</v>
      </c>
      <c r="DR559" t="s">
        <v>14124</v>
      </c>
      <c r="DS559" s="6">
        <v>13.26</v>
      </c>
      <c r="DT559" t="s">
        <v>424</v>
      </c>
      <c r="DU559" s="1">
        <v>44369</v>
      </c>
      <c r="DV559" s="1">
        <v>44458</v>
      </c>
    </row>
    <row r="560" spans="1:126" ht="15" customHeight="1" x14ac:dyDescent="0.35">
      <c r="A560" t="s">
        <v>9484</v>
      </c>
      <c r="B560" t="s">
        <v>318</v>
      </c>
      <c r="C560" s="1">
        <v>44334</v>
      </c>
      <c r="D560" s="1">
        <v>44361</v>
      </c>
      <c r="H560" t="s">
        <v>319</v>
      </c>
      <c r="I560" t="s">
        <v>8746</v>
      </c>
      <c r="J560" t="s">
        <v>5730</v>
      </c>
      <c r="L560" t="s">
        <v>395</v>
      </c>
      <c r="M560" t="s">
        <v>8747</v>
      </c>
      <c r="O560" t="s">
        <v>8748</v>
      </c>
      <c r="P560" t="s">
        <v>593</v>
      </c>
      <c r="Q560" s="3">
        <v>28079</v>
      </c>
      <c r="R560" t="s">
        <v>128</v>
      </c>
      <c r="T560" s="4">
        <v>17048828443</v>
      </c>
      <c r="V560" t="s">
        <v>8749</v>
      </c>
      <c r="W560" t="s">
        <v>8750</v>
      </c>
      <c r="Y560" t="s">
        <v>8747</v>
      </c>
      <c r="AA560" t="s">
        <v>8748</v>
      </c>
      <c r="AB560" t="s">
        <v>594</v>
      </c>
      <c r="AC560" s="3" t="str">
        <f>"28079"</f>
        <v>28079</v>
      </c>
      <c r="AD560" t="s">
        <v>128</v>
      </c>
      <c r="AF560" s="4">
        <v>17048828443</v>
      </c>
      <c r="AH560" t="str">
        <f>"23831"</f>
        <v>23831</v>
      </c>
      <c r="AI560" t="s">
        <v>130</v>
      </c>
      <c r="AJ560" t="s">
        <v>4018</v>
      </c>
      <c r="AK560" t="s">
        <v>2069</v>
      </c>
      <c r="AM560" t="s">
        <v>4019</v>
      </c>
      <c r="AO560" t="s">
        <v>1040</v>
      </c>
      <c r="AP560" t="s">
        <v>400</v>
      </c>
      <c r="AQ560" s="5">
        <v>78737</v>
      </c>
      <c r="AR560" t="s">
        <v>128</v>
      </c>
      <c r="AT560" s="4">
        <v>15128942128</v>
      </c>
      <c r="AV560" t="s">
        <v>4020</v>
      </c>
      <c r="AW560" t="s">
        <v>4021</v>
      </c>
      <c r="AX560" t="s">
        <v>131</v>
      </c>
      <c r="AY560" t="s">
        <v>131</v>
      </c>
      <c r="AZ560" t="s">
        <v>131</v>
      </c>
      <c r="BA560" t="s">
        <v>131</v>
      </c>
      <c r="BB560" t="s">
        <v>131</v>
      </c>
      <c r="BC560" t="s">
        <v>131</v>
      </c>
      <c r="BD560" t="s">
        <v>131</v>
      </c>
      <c r="BE560" t="s">
        <v>132</v>
      </c>
      <c r="BH560" t="s">
        <v>5736</v>
      </c>
      <c r="BI560" t="s">
        <v>131</v>
      </c>
      <c r="BL560" t="s">
        <v>167</v>
      </c>
      <c r="BO560" t="s">
        <v>131</v>
      </c>
      <c r="BP560" t="s">
        <v>134</v>
      </c>
      <c r="BQ560" t="s">
        <v>131</v>
      </c>
      <c r="BS560" t="str">
        <f t="shared" si="44"/>
        <v>N/A</v>
      </c>
      <c r="BT560" t="s">
        <v>135</v>
      </c>
      <c r="BU560">
        <v>1</v>
      </c>
      <c r="BV560" t="str">
        <f>"See F.b.5.a"</f>
        <v>See F.b.5.a</v>
      </c>
      <c r="BW560" t="s">
        <v>135</v>
      </c>
      <c r="BX560" t="str">
        <f>""</f>
        <v/>
      </c>
      <c r="BY560" t="str">
        <f>""</f>
        <v/>
      </c>
      <c r="BZ560" t="str">
        <f>""</f>
        <v/>
      </c>
      <c r="CA560" t="str">
        <f>"Position requires one (1) month related experience or training. Must be able to lift and carry 75 lbs for 75 yards. The employer will provide on the job training in the proper use of tools and equipment. "</f>
        <v xml:space="preserve">Position requires one (1) month related experience or training. Must be able to lift and carry 75 lbs for 75 yards. The employer will provide on the job training in the proper use of tools and equipment. </v>
      </c>
      <c r="CB560" t="s">
        <v>131</v>
      </c>
      <c r="CF560" t="s">
        <v>131</v>
      </c>
      <c r="CH560" t="str">
        <f>""</f>
        <v/>
      </c>
      <c r="CI560" t="s">
        <v>131</v>
      </c>
      <c r="CK560" t="s">
        <v>131</v>
      </c>
      <c r="CL560" t="str">
        <f>""</f>
        <v/>
      </c>
      <c r="CM560" t="str">
        <f>""</f>
        <v/>
      </c>
      <c r="CN560" t="str">
        <f>""</f>
        <v/>
      </c>
      <c r="CO560" t="str">
        <f>""</f>
        <v/>
      </c>
      <c r="CP560" t="str">
        <f>"47-2061.00"</f>
        <v>47-2061.00</v>
      </c>
      <c r="CQ560" t="s">
        <v>393</v>
      </c>
      <c r="CR560" t="s">
        <v>5117</v>
      </c>
      <c r="CS560" t="s">
        <v>135</v>
      </c>
      <c r="CT560" t="s">
        <v>8751</v>
      </c>
      <c r="CU560" t="s">
        <v>9485</v>
      </c>
      <c r="CW560" t="s">
        <v>5724</v>
      </c>
      <c r="CX560" t="s">
        <v>594</v>
      </c>
      <c r="CZ560" s="3" t="str">
        <f>"27529"</f>
        <v>27529</v>
      </c>
      <c r="DA560" t="s">
        <v>135</v>
      </c>
      <c r="DB560" t="str">
        <f>"47-2061"</f>
        <v>47-2061</v>
      </c>
      <c r="DC560" t="s">
        <v>393</v>
      </c>
      <c r="DD560" t="s">
        <v>134</v>
      </c>
      <c r="DE560" t="s">
        <v>134</v>
      </c>
      <c r="DF560" t="str">
        <f>""</f>
        <v/>
      </c>
      <c r="DH560" s="6">
        <v>16.399999999999999</v>
      </c>
      <c r="DI560" t="s">
        <v>344</v>
      </c>
      <c r="DK560" t="s">
        <v>345</v>
      </c>
      <c r="DS560" s="6">
        <v>16.399999999999999</v>
      </c>
      <c r="DT560" s="2" t="s">
        <v>347</v>
      </c>
      <c r="DU560" s="1">
        <v>44361</v>
      </c>
      <c r="DV560" s="1">
        <v>44450</v>
      </c>
    </row>
    <row r="561" spans="1:126" ht="15" customHeight="1" x14ac:dyDescent="0.35">
      <c r="A561" t="s">
        <v>18885</v>
      </c>
      <c r="B561" t="s">
        <v>318</v>
      </c>
      <c r="C561" s="1">
        <v>44334</v>
      </c>
      <c r="D561" s="1">
        <v>44361</v>
      </c>
      <c r="H561" t="s">
        <v>319</v>
      </c>
      <c r="I561" t="s">
        <v>8746</v>
      </c>
      <c r="J561" t="s">
        <v>5730</v>
      </c>
      <c r="L561" t="s">
        <v>395</v>
      </c>
      <c r="M561" t="s">
        <v>8747</v>
      </c>
      <c r="O561" t="s">
        <v>8748</v>
      </c>
      <c r="P561" t="s">
        <v>593</v>
      </c>
      <c r="Q561" s="3">
        <v>28079</v>
      </c>
      <c r="R561" t="s">
        <v>128</v>
      </c>
      <c r="T561" s="4">
        <v>17048828443</v>
      </c>
      <c r="V561" t="s">
        <v>8749</v>
      </c>
      <c r="W561" t="s">
        <v>8750</v>
      </c>
      <c r="Y561" t="s">
        <v>8747</v>
      </c>
      <c r="AA561" t="s">
        <v>8748</v>
      </c>
      <c r="AB561" t="s">
        <v>594</v>
      </c>
      <c r="AC561" s="3" t="str">
        <f>"28079"</f>
        <v>28079</v>
      </c>
      <c r="AD561" t="s">
        <v>128</v>
      </c>
      <c r="AF561" s="4">
        <v>17048828443</v>
      </c>
      <c r="AH561" t="str">
        <f>"23831"</f>
        <v>23831</v>
      </c>
      <c r="AI561" t="s">
        <v>130</v>
      </c>
      <c r="AJ561" t="s">
        <v>4018</v>
      </c>
      <c r="AK561" t="s">
        <v>2069</v>
      </c>
      <c r="AM561" t="s">
        <v>4019</v>
      </c>
      <c r="AO561" t="s">
        <v>1040</v>
      </c>
      <c r="AP561" t="s">
        <v>400</v>
      </c>
      <c r="AQ561" s="5">
        <v>78737</v>
      </c>
      <c r="AR561" t="s">
        <v>128</v>
      </c>
      <c r="AT561" s="4">
        <v>15128942128</v>
      </c>
      <c r="AV561" t="s">
        <v>4020</v>
      </c>
      <c r="AW561" t="s">
        <v>4021</v>
      </c>
      <c r="AX561" t="s">
        <v>131</v>
      </c>
      <c r="AY561" t="s">
        <v>131</v>
      </c>
      <c r="AZ561" t="s">
        <v>131</v>
      </c>
      <c r="BA561" t="s">
        <v>131</v>
      </c>
      <c r="BB561" t="s">
        <v>131</v>
      </c>
      <c r="BC561" t="s">
        <v>131</v>
      </c>
      <c r="BD561" t="s">
        <v>131</v>
      </c>
      <c r="BE561" t="s">
        <v>132</v>
      </c>
      <c r="BH561" t="s">
        <v>5736</v>
      </c>
      <c r="BI561" t="s">
        <v>131</v>
      </c>
      <c r="BL561" t="s">
        <v>167</v>
      </c>
      <c r="BO561" t="s">
        <v>131</v>
      </c>
      <c r="BP561" t="s">
        <v>134</v>
      </c>
      <c r="BQ561" t="s">
        <v>131</v>
      </c>
      <c r="BS561" t="str">
        <f t="shared" si="44"/>
        <v>N/A</v>
      </c>
      <c r="BT561" t="s">
        <v>135</v>
      </c>
      <c r="BU561">
        <v>1</v>
      </c>
      <c r="BV561" t="str">
        <f>"See F.b.5.a"</f>
        <v>See F.b.5.a</v>
      </c>
      <c r="BW561" t="s">
        <v>135</v>
      </c>
      <c r="BX561" t="str">
        <f>""</f>
        <v/>
      </c>
      <c r="BY561" t="str">
        <f>""</f>
        <v/>
      </c>
      <c r="BZ561" t="str">
        <f>""</f>
        <v/>
      </c>
      <c r="CA561" t="str">
        <f>"Position requires one (1) month related experience or training. Must be able to lift and carry 75 lbs for 75 yards. The employer will provide on the job training in the proper use of tools and equipment. "</f>
        <v xml:space="preserve">Position requires one (1) month related experience or training. Must be able to lift and carry 75 lbs for 75 yards. The employer will provide on the job training in the proper use of tools and equipment. </v>
      </c>
      <c r="CB561" t="s">
        <v>131</v>
      </c>
      <c r="CF561" t="s">
        <v>131</v>
      </c>
      <c r="CH561" t="str">
        <f>""</f>
        <v/>
      </c>
      <c r="CI561" t="s">
        <v>131</v>
      </c>
      <c r="CK561" t="s">
        <v>131</v>
      </c>
      <c r="CL561" t="str">
        <f>""</f>
        <v/>
      </c>
      <c r="CM561" t="str">
        <f>""</f>
        <v/>
      </c>
      <c r="CN561" t="str">
        <f>""</f>
        <v/>
      </c>
      <c r="CO561" t="str">
        <f>""</f>
        <v/>
      </c>
      <c r="CP561" t="str">
        <f>"47-2061.00"</f>
        <v>47-2061.00</v>
      </c>
      <c r="CQ561" t="s">
        <v>393</v>
      </c>
      <c r="CR561" t="s">
        <v>5117</v>
      </c>
      <c r="CS561" t="s">
        <v>135</v>
      </c>
      <c r="CT561" t="s">
        <v>8751</v>
      </c>
      <c r="CU561" t="s">
        <v>18886</v>
      </c>
      <c r="CW561" t="s">
        <v>3628</v>
      </c>
      <c r="CX561" t="s">
        <v>779</v>
      </c>
      <c r="CZ561" s="3" t="str">
        <f>"37129"</f>
        <v>37129</v>
      </c>
      <c r="DA561" t="s">
        <v>135</v>
      </c>
      <c r="DB561" t="str">
        <f>"47-2061"</f>
        <v>47-2061</v>
      </c>
      <c r="DC561" t="s">
        <v>393</v>
      </c>
      <c r="DD561" t="s">
        <v>134</v>
      </c>
      <c r="DE561" t="s">
        <v>134</v>
      </c>
      <c r="DF561" t="str">
        <f>""</f>
        <v/>
      </c>
      <c r="DH561" s="6">
        <v>16.559999999999999</v>
      </c>
      <c r="DI561" t="s">
        <v>344</v>
      </c>
      <c r="DK561" t="s">
        <v>345</v>
      </c>
      <c r="DS561" s="6">
        <v>16.559999999999999</v>
      </c>
      <c r="DT561" s="2" t="s">
        <v>347</v>
      </c>
      <c r="DU561" s="1">
        <v>44361</v>
      </c>
      <c r="DV561" s="1">
        <v>44450</v>
      </c>
    </row>
    <row r="562" spans="1:126" ht="15" customHeight="1" x14ac:dyDescent="0.35">
      <c r="A562" t="s">
        <v>8745</v>
      </c>
      <c r="B562" t="s">
        <v>318</v>
      </c>
      <c r="C562" s="1">
        <v>44334</v>
      </c>
      <c r="D562" s="1">
        <v>44361</v>
      </c>
      <c r="H562" t="s">
        <v>319</v>
      </c>
      <c r="I562" t="s">
        <v>8746</v>
      </c>
      <c r="J562" t="s">
        <v>5730</v>
      </c>
      <c r="L562" t="s">
        <v>395</v>
      </c>
      <c r="M562" t="s">
        <v>8747</v>
      </c>
      <c r="O562" t="s">
        <v>8748</v>
      </c>
      <c r="P562" t="s">
        <v>593</v>
      </c>
      <c r="Q562" s="3">
        <v>28079</v>
      </c>
      <c r="R562" t="s">
        <v>128</v>
      </c>
      <c r="T562" s="4">
        <v>17048828443</v>
      </c>
      <c r="V562" t="s">
        <v>8749</v>
      </c>
      <c r="W562" t="s">
        <v>8750</v>
      </c>
      <c r="Y562" t="s">
        <v>8747</v>
      </c>
      <c r="AA562" t="s">
        <v>8748</v>
      </c>
      <c r="AB562" t="s">
        <v>594</v>
      </c>
      <c r="AC562" s="3" t="str">
        <f>"28079"</f>
        <v>28079</v>
      </c>
      <c r="AD562" t="s">
        <v>128</v>
      </c>
      <c r="AF562" s="4">
        <v>17048828443</v>
      </c>
      <c r="AH562" t="str">
        <f>"23831"</f>
        <v>23831</v>
      </c>
      <c r="AI562" t="s">
        <v>130</v>
      </c>
      <c r="AJ562" t="s">
        <v>4018</v>
      </c>
      <c r="AK562" t="s">
        <v>2069</v>
      </c>
      <c r="AM562" t="s">
        <v>4019</v>
      </c>
      <c r="AO562" t="s">
        <v>1040</v>
      </c>
      <c r="AP562" t="s">
        <v>400</v>
      </c>
      <c r="AQ562" s="5">
        <v>78737</v>
      </c>
      <c r="AR562" t="s">
        <v>128</v>
      </c>
      <c r="AT562" s="4">
        <v>15128942128</v>
      </c>
      <c r="AV562" t="s">
        <v>4020</v>
      </c>
      <c r="AW562" t="s">
        <v>4021</v>
      </c>
      <c r="AX562" t="s">
        <v>131</v>
      </c>
      <c r="AY562" t="s">
        <v>131</v>
      </c>
      <c r="AZ562" t="s">
        <v>131</v>
      </c>
      <c r="BA562" t="s">
        <v>131</v>
      </c>
      <c r="BB562" t="s">
        <v>131</v>
      </c>
      <c r="BC562" t="s">
        <v>131</v>
      </c>
      <c r="BD562" t="s">
        <v>131</v>
      </c>
      <c r="BE562" t="s">
        <v>132</v>
      </c>
      <c r="BH562" t="s">
        <v>5736</v>
      </c>
      <c r="BI562" t="s">
        <v>131</v>
      </c>
      <c r="BL562" t="s">
        <v>167</v>
      </c>
      <c r="BO562" t="s">
        <v>131</v>
      </c>
      <c r="BP562" t="s">
        <v>134</v>
      </c>
      <c r="BQ562" t="s">
        <v>131</v>
      </c>
      <c r="BS562" t="str">
        <f t="shared" si="44"/>
        <v>N/A</v>
      </c>
      <c r="BT562" t="s">
        <v>135</v>
      </c>
      <c r="BU562">
        <v>1</v>
      </c>
      <c r="BV562" t="str">
        <f>"See F.b.5.a"</f>
        <v>See F.b.5.a</v>
      </c>
      <c r="BW562" t="s">
        <v>135</v>
      </c>
      <c r="BX562" t="str">
        <f>""</f>
        <v/>
      </c>
      <c r="BY562" t="str">
        <f>""</f>
        <v/>
      </c>
      <c r="BZ562" t="str">
        <f>""</f>
        <v/>
      </c>
      <c r="CA562" t="str">
        <f>"Position requires one (1) month related experience or training. Must be able to lift and carry 75 lbs for 75 yards. The employer will provide on the job training in the proper use of tools and equipment. "</f>
        <v xml:space="preserve">Position requires one (1) month related experience or training. Must be able to lift and carry 75 lbs for 75 yards. The employer will provide on the job training in the proper use of tools and equipment. </v>
      </c>
      <c r="CB562" t="s">
        <v>131</v>
      </c>
      <c r="CF562" t="s">
        <v>131</v>
      </c>
      <c r="CH562" t="str">
        <f>""</f>
        <v/>
      </c>
      <c r="CI562" t="s">
        <v>131</v>
      </c>
      <c r="CK562" t="s">
        <v>131</v>
      </c>
      <c r="CL562" t="str">
        <f>""</f>
        <v/>
      </c>
      <c r="CM562" t="str">
        <f>""</f>
        <v/>
      </c>
      <c r="CN562" t="str">
        <f>""</f>
        <v/>
      </c>
      <c r="CO562" t="str">
        <f>""</f>
        <v/>
      </c>
      <c r="CP562" t="str">
        <f>"47-2061.00"</f>
        <v>47-2061.00</v>
      </c>
      <c r="CQ562" t="s">
        <v>393</v>
      </c>
      <c r="CR562" t="s">
        <v>5117</v>
      </c>
      <c r="CS562" t="s">
        <v>135</v>
      </c>
      <c r="CT562" t="s">
        <v>8751</v>
      </c>
      <c r="CU562" t="s">
        <v>8752</v>
      </c>
      <c r="CW562" t="s">
        <v>2071</v>
      </c>
      <c r="CX562" t="s">
        <v>812</v>
      </c>
      <c r="CZ562" s="3" t="str">
        <f>"29609"</f>
        <v>29609</v>
      </c>
      <c r="DA562" t="s">
        <v>135</v>
      </c>
      <c r="DB562" t="str">
        <f>"47-2061"</f>
        <v>47-2061</v>
      </c>
      <c r="DC562" t="s">
        <v>393</v>
      </c>
      <c r="DD562" t="s">
        <v>134</v>
      </c>
      <c r="DE562" t="s">
        <v>134</v>
      </c>
      <c r="DF562" t="str">
        <f>""</f>
        <v/>
      </c>
      <c r="DH562" s="6">
        <v>16.39</v>
      </c>
      <c r="DI562" t="s">
        <v>344</v>
      </c>
      <c r="DK562" t="s">
        <v>345</v>
      </c>
      <c r="DS562" s="6">
        <v>16.39</v>
      </c>
      <c r="DT562" s="2" t="s">
        <v>347</v>
      </c>
      <c r="DU562" s="1">
        <v>44361</v>
      </c>
      <c r="DV562" s="1">
        <v>44450</v>
      </c>
    </row>
    <row r="563" spans="1:126" ht="15" customHeight="1" x14ac:dyDescent="0.35">
      <c r="A563" t="s">
        <v>15029</v>
      </c>
      <c r="B563" t="s">
        <v>318</v>
      </c>
      <c r="C563" s="1">
        <v>44334</v>
      </c>
      <c r="D563" s="1">
        <v>44361</v>
      </c>
      <c r="H563" t="s">
        <v>319</v>
      </c>
      <c r="I563" t="s">
        <v>14955</v>
      </c>
      <c r="J563" t="s">
        <v>3519</v>
      </c>
      <c r="K563" t="s">
        <v>1624</v>
      </c>
      <c r="L563" t="s">
        <v>15030</v>
      </c>
      <c r="M563" t="s">
        <v>15031</v>
      </c>
      <c r="O563" t="s">
        <v>4905</v>
      </c>
      <c r="P563" t="s">
        <v>194</v>
      </c>
      <c r="Q563" s="3">
        <v>32963</v>
      </c>
      <c r="R563" t="s">
        <v>128</v>
      </c>
      <c r="T563" s="4">
        <v>17724922020</v>
      </c>
      <c r="V563" t="s">
        <v>15032</v>
      </c>
      <c r="W563" t="s">
        <v>15033</v>
      </c>
      <c r="Y563" t="s">
        <v>15031</v>
      </c>
      <c r="AA563" t="s">
        <v>4905</v>
      </c>
      <c r="AB563" t="s">
        <v>195</v>
      </c>
      <c r="AC563" s="3" t="str">
        <f>"32963"</f>
        <v>32963</v>
      </c>
      <c r="AD563" t="s">
        <v>128</v>
      </c>
      <c r="AF563" s="4">
        <v>17724922020</v>
      </c>
      <c r="AH563" t="str">
        <f>"7139"</f>
        <v>7139</v>
      </c>
      <c r="AI563" t="s">
        <v>130</v>
      </c>
      <c r="AJ563" t="s">
        <v>9889</v>
      </c>
      <c r="AK563" t="s">
        <v>645</v>
      </c>
      <c r="AL563" t="s">
        <v>2210</v>
      </c>
      <c r="AM563" t="s">
        <v>15034</v>
      </c>
      <c r="AN563" t="s">
        <v>15035</v>
      </c>
      <c r="AO563" t="s">
        <v>4191</v>
      </c>
      <c r="AP563" t="s">
        <v>511</v>
      </c>
      <c r="AQ563" s="5">
        <v>48304</v>
      </c>
      <c r="AR563" t="s">
        <v>128</v>
      </c>
      <c r="AT563" s="4">
        <v>12482582506</v>
      </c>
      <c r="AV563" t="s">
        <v>15036</v>
      </c>
      <c r="AW563" t="s">
        <v>15034</v>
      </c>
      <c r="AX563" t="s">
        <v>131</v>
      </c>
      <c r="AY563" t="s">
        <v>131</v>
      </c>
      <c r="AZ563" t="s">
        <v>131</v>
      </c>
      <c r="BA563" t="s">
        <v>131</v>
      </c>
      <c r="BB563" t="s">
        <v>131</v>
      </c>
      <c r="BC563" t="s">
        <v>131</v>
      </c>
      <c r="BD563" t="s">
        <v>131</v>
      </c>
      <c r="BE563" t="s">
        <v>132</v>
      </c>
      <c r="BH563" t="s">
        <v>4601</v>
      </c>
      <c r="BI563" t="s">
        <v>131</v>
      </c>
      <c r="BL563" t="s">
        <v>167</v>
      </c>
      <c r="BO563" t="s">
        <v>131</v>
      </c>
      <c r="BP563" t="s">
        <v>134</v>
      </c>
      <c r="BQ563" t="s">
        <v>131</v>
      </c>
      <c r="BS563" t="str">
        <f t="shared" si="44"/>
        <v>N/A</v>
      </c>
      <c r="BT563" t="s">
        <v>135</v>
      </c>
      <c r="BU563">
        <v>3</v>
      </c>
      <c r="BV563" t="str">
        <f>"prep cook or cook "</f>
        <v xml:space="preserve">prep cook or cook </v>
      </c>
      <c r="BW563" t="s">
        <v>135</v>
      </c>
      <c r="BX563" t="str">
        <f>""</f>
        <v/>
      </c>
      <c r="BY563" t="str">
        <f>""</f>
        <v/>
      </c>
      <c r="BZ563" t="str">
        <f>""</f>
        <v/>
      </c>
      <c r="CA563" t="str">
        <f>"Must pass pre-employment drug test (test at employer expense). Must be able to lift 25 lbs."</f>
        <v>Must pass pre-employment drug test (test at employer expense). Must be able to lift 25 lbs.</v>
      </c>
      <c r="CB563" t="s">
        <v>131</v>
      </c>
      <c r="CF563" t="s">
        <v>131</v>
      </c>
      <c r="CH563" t="str">
        <f>""</f>
        <v/>
      </c>
      <c r="CI563" t="s">
        <v>131</v>
      </c>
      <c r="CK563" t="s">
        <v>131</v>
      </c>
      <c r="CL563" t="str">
        <f>""</f>
        <v/>
      </c>
      <c r="CM563" t="str">
        <f>""</f>
        <v/>
      </c>
      <c r="CN563" t="str">
        <f>""</f>
        <v/>
      </c>
      <c r="CO563" t="str">
        <f>""</f>
        <v/>
      </c>
      <c r="CP563" t="str">
        <f>"35-2021.00"</f>
        <v>35-2021.00</v>
      </c>
      <c r="CQ563" t="s">
        <v>1749</v>
      </c>
      <c r="CR563" t="s">
        <v>6880</v>
      </c>
      <c r="CS563" t="s">
        <v>131</v>
      </c>
      <c r="CU563" t="s">
        <v>15037</v>
      </c>
      <c r="CW563" t="s">
        <v>4905</v>
      </c>
      <c r="CX563" t="s">
        <v>195</v>
      </c>
      <c r="CZ563" s="3" t="str">
        <f>"32963"</f>
        <v>32963</v>
      </c>
      <c r="DA563" t="s">
        <v>131</v>
      </c>
      <c r="DB563" t="str">
        <f>"35-2021"</f>
        <v>35-2021</v>
      </c>
      <c r="DC563" t="s">
        <v>1749</v>
      </c>
      <c r="DD563" t="s">
        <v>134</v>
      </c>
      <c r="DE563" t="s">
        <v>134</v>
      </c>
      <c r="DF563" t="str">
        <f>""</f>
        <v/>
      </c>
      <c r="DH563" s="6">
        <v>11.86</v>
      </c>
      <c r="DI563" t="s">
        <v>344</v>
      </c>
      <c r="DK563" t="s">
        <v>345</v>
      </c>
      <c r="DS563" s="6">
        <v>11.86</v>
      </c>
      <c r="DT563" t="s">
        <v>424</v>
      </c>
      <c r="DU563" s="1">
        <v>44361</v>
      </c>
      <c r="DV563" s="1">
        <v>44450</v>
      </c>
    </row>
    <row r="564" spans="1:126" ht="15" customHeight="1" x14ac:dyDescent="0.35">
      <c r="A564" t="s">
        <v>15379</v>
      </c>
      <c r="B564" t="s">
        <v>318</v>
      </c>
      <c r="C564" s="1">
        <v>44334</v>
      </c>
      <c r="D564" s="1">
        <v>44361</v>
      </c>
      <c r="H564" t="s">
        <v>319</v>
      </c>
      <c r="I564" t="s">
        <v>14955</v>
      </c>
      <c r="J564" t="s">
        <v>3519</v>
      </c>
      <c r="K564" t="s">
        <v>1624</v>
      </c>
      <c r="L564" t="s">
        <v>15030</v>
      </c>
      <c r="M564" t="s">
        <v>15031</v>
      </c>
      <c r="O564" t="s">
        <v>4905</v>
      </c>
      <c r="P564" t="s">
        <v>194</v>
      </c>
      <c r="Q564" s="3">
        <v>32963</v>
      </c>
      <c r="R564" t="s">
        <v>128</v>
      </c>
      <c r="T564" s="4">
        <v>17724922020</v>
      </c>
      <c r="V564" t="s">
        <v>15032</v>
      </c>
      <c r="W564" t="s">
        <v>15033</v>
      </c>
      <c r="Y564" t="s">
        <v>15031</v>
      </c>
      <c r="AA564" t="s">
        <v>4905</v>
      </c>
      <c r="AB564" t="s">
        <v>195</v>
      </c>
      <c r="AC564" s="3" t="str">
        <f>"32963"</f>
        <v>32963</v>
      </c>
      <c r="AD564" t="s">
        <v>128</v>
      </c>
      <c r="AF564" s="4">
        <v>17724922020</v>
      </c>
      <c r="AH564" t="str">
        <f>"7139"</f>
        <v>7139</v>
      </c>
      <c r="AI564" t="s">
        <v>130</v>
      </c>
      <c r="AJ564" t="s">
        <v>9889</v>
      </c>
      <c r="AK564" t="s">
        <v>645</v>
      </c>
      <c r="AL564" t="s">
        <v>2210</v>
      </c>
      <c r="AM564" t="s">
        <v>15034</v>
      </c>
      <c r="AN564" t="s">
        <v>15035</v>
      </c>
      <c r="AO564" t="s">
        <v>4191</v>
      </c>
      <c r="AP564" t="s">
        <v>511</v>
      </c>
      <c r="AQ564" s="5">
        <v>48304</v>
      </c>
      <c r="AR564" t="s">
        <v>128</v>
      </c>
      <c r="AT564" s="4">
        <v>12482582506</v>
      </c>
      <c r="AV564" t="s">
        <v>15036</v>
      </c>
      <c r="AW564" t="s">
        <v>15034</v>
      </c>
      <c r="AX564" t="s">
        <v>131</v>
      </c>
      <c r="AY564" t="s">
        <v>131</v>
      </c>
      <c r="AZ564" t="s">
        <v>131</v>
      </c>
      <c r="BA564" t="s">
        <v>131</v>
      </c>
      <c r="BB564" t="s">
        <v>131</v>
      </c>
      <c r="BC564" t="s">
        <v>131</v>
      </c>
      <c r="BD564" t="s">
        <v>131</v>
      </c>
      <c r="BE564" t="s">
        <v>132</v>
      </c>
      <c r="BH564" t="s">
        <v>1213</v>
      </c>
      <c r="BI564" t="s">
        <v>131</v>
      </c>
      <c r="BL564" t="s">
        <v>167</v>
      </c>
      <c r="BO564" t="s">
        <v>131</v>
      </c>
      <c r="BP564" t="s">
        <v>134</v>
      </c>
      <c r="BQ564" t="s">
        <v>131</v>
      </c>
      <c r="BS564" t="str">
        <f t="shared" si="44"/>
        <v>N/A</v>
      </c>
      <c r="BT564" t="s">
        <v>135</v>
      </c>
      <c r="BU564">
        <v>3</v>
      </c>
      <c r="BV564" t="str">
        <f>"Server"</f>
        <v>Server</v>
      </c>
      <c r="BW564" t="s">
        <v>135</v>
      </c>
      <c r="BX564" t="str">
        <f>""</f>
        <v/>
      </c>
      <c r="BY564" t="str">
        <f>""</f>
        <v/>
      </c>
      <c r="BZ564" t="str">
        <f>""</f>
        <v/>
      </c>
      <c r="CA564" t="str">
        <f>"Fluency in English required sufficient to take orders and interact with customers.  Must pass pre employment drug test (test at employer expense). Must be able to lift 25 lbs."</f>
        <v>Fluency in English required sufficient to take orders and interact with customers.  Must pass pre employment drug test (test at employer expense). Must be able to lift 25 lbs.</v>
      </c>
      <c r="CB564" t="s">
        <v>131</v>
      </c>
      <c r="CF564" t="s">
        <v>131</v>
      </c>
      <c r="CH564" t="str">
        <f>""</f>
        <v/>
      </c>
      <c r="CI564" t="s">
        <v>131</v>
      </c>
      <c r="CK564" t="s">
        <v>131</v>
      </c>
      <c r="CL564" t="str">
        <f>""</f>
        <v/>
      </c>
      <c r="CM564" t="str">
        <f>""</f>
        <v/>
      </c>
      <c r="CN564" t="str">
        <f>""</f>
        <v/>
      </c>
      <c r="CO564" t="str">
        <f>""</f>
        <v/>
      </c>
      <c r="CP564" t="str">
        <f>"35-3031.00"</f>
        <v>35-3031.00</v>
      </c>
      <c r="CQ564" t="s">
        <v>1214</v>
      </c>
      <c r="CR564" t="s">
        <v>460</v>
      </c>
      <c r="CS564" t="s">
        <v>131</v>
      </c>
      <c r="CU564" t="s">
        <v>15037</v>
      </c>
      <c r="CW564" t="s">
        <v>4905</v>
      </c>
      <c r="CX564" t="s">
        <v>195</v>
      </c>
      <c r="CZ564" s="3" t="str">
        <f>"32963"</f>
        <v>32963</v>
      </c>
      <c r="DA564" t="s">
        <v>131</v>
      </c>
      <c r="DB564" t="str">
        <f>"35-3031"</f>
        <v>35-3031</v>
      </c>
      <c r="DC564" t="s">
        <v>1214</v>
      </c>
      <c r="DD564" t="s">
        <v>134</v>
      </c>
      <c r="DE564" t="s">
        <v>134</v>
      </c>
      <c r="DF564" t="str">
        <f>""</f>
        <v/>
      </c>
      <c r="DH564" s="6">
        <v>11.78</v>
      </c>
      <c r="DI564" t="s">
        <v>344</v>
      </c>
      <c r="DK564" t="s">
        <v>345</v>
      </c>
      <c r="DS564" s="6">
        <v>11.78</v>
      </c>
      <c r="DT564" t="s">
        <v>424</v>
      </c>
      <c r="DU564" s="1">
        <v>44361</v>
      </c>
      <c r="DV564" s="1">
        <v>44450</v>
      </c>
    </row>
    <row r="565" spans="1:126" ht="15" customHeight="1" x14ac:dyDescent="0.35">
      <c r="A565" t="s">
        <v>17057</v>
      </c>
      <c r="B565" t="s">
        <v>318</v>
      </c>
      <c r="C565" s="1">
        <v>44334</v>
      </c>
      <c r="D565" s="1">
        <v>44361</v>
      </c>
      <c r="H565" t="s">
        <v>319</v>
      </c>
      <c r="I565" t="s">
        <v>1514</v>
      </c>
      <c r="J565" t="s">
        <v>354</v>
      </c>
      <c r="L565" t="s">
        <v>3767</v>
      </c>
      <c r="M565" t="s">
        <v>17058</v>
      </c>
      <c r="N565" t="s">
        <v>134</v>
      </c>
      <c r="O565" t="s">
        <v>14988</v>
      </c>
      <c r="P565" t="s">
        <v>127</v>
      </c>
      <c r="Q565" s="3">
        <v>12887</v>
      </c>
      <c r="R565" t="s">
        <v>128</v>
      </c>
      <c r="S565" t="s">
        <v>134</v>
      </c>
      <c r="T565" s="4">
        <v>15184990099</v>
      </c>
      <c r="V565" t="s">
        <v>17059</v>
      </c>
      <c r="W565" t="s">
        <v>17060</v>
      </c>
      <c r="Y565" t="s">
        <v>17058</v>
      </c>
      <c r="Z565" t="s">
        <v>134</v>
      </c>
      <c r="AA565" t="s">
        <v>14988</v>
      </c>
      <c r="AB565" t="s">
        <v>129</v>
      </c>
      <c r="AC565" s="3" t="str">
        <f>"12887"</f>
        <v>12887</v>
      </c>
      <c r="AD565" t="s">
        <v>128</v>
      </c>
      <c r="AE565" t="s">
        <v>134</v>
      </c>
      <c r="AF565" s="4">
        <v>15184990099</v>
      </c>
      <c r="AG565" t="s">
        <v>134</v>
      </c>
      <c r="AH565" t="str">
        <f>"321211"</f>
        <v>321211</v>
      </c>
      <c r="AI565" t="s">
        <v>287</v>
      </c>
      <c r="AJ565" t="s">
        <v>14986</v>
      </c>
      <c r="AK565" t="s">
        <v>238</v>
      </c>
      <c r="AL565" t="s">
        <v>610</v>
      </c>
      <c r="AM565" t="s">
        <v>14987</v>
      </c>
      <c r="AN565" t="s">
        <v>134</v>
      </c>
      <c r="AO565" t="s">
        <v>14988</v>
      </c>
      <c r="AP565" t="s">
        <v>129</v>
      </c>
      <c r="AQ565" s="5">
        <v>12887</v>
      </c>
      <c r="AR565" t="s">
        <v>128</v>
      </c>
      <c r="AT565" s="4">
        <v>15183619567</v>
      </c>
      <c r="AV565" t="s">
        <v>14989</v>
      </c>
      <c r="AW565" t="s">
        <v>14990</v>
      </c>
      <c r="AX565" t="s">
        <v>131</v>
      </c>
      <c r="AY565" t="s">
        <v>131</v>
      </c>
      <c r="AZ565" t="s">
        <v>131</v>
      </c>
      <c r="BA565" t="s">
        <v>131</v>
      </c>
      <c r="BB565" t="s">
        <v>131</v>
      </c>
      <c r="BC565" t="s">
        <v>131</v>
      </c>
      <c r="BD565" t="s">
        <v>131</v>
      </c>
      <c r="BE565" t="s">
        <v>132</v>
      </c>
      <c r="BH565" t="s">
        <v>1030</v>
      </c>
      <c r="BI565" t="s">
        <v>131</v>
      </c>
      <c r="BL565" t="s">
        <v>167</v>
      </c>
      <c r="BO565" t="s">
        <v>131</v>
      </c>
      <c r="BP565" t="s">
        <v>134</v>
      </c>
      <c r="BQ565" t="s">
        <v>131</v>
      </c>
      <c r="BS565" t="str">
        <f t="shared" si="44"/>
        <v>N/A</v>
      </c>
      <c r="BT565" t="s">
        <v>131</v>
      </c>
      <c r="BV565" t="str">
        <f>""</f>
        <v/>
      </c>
      <c r="BW565" t="s">
        <v>131</v>
      </c>
      <c r="BX565" t="str">
        <f>""</f>
        <v/>
      </c>
      <c r="BY565" t="str">
        <f>""</f>
        <v/>
      </c>
      <c r="BZ565" t="str">
        <f>""</f>
        <v/>
      </c>
      <c r="CA565" t="str">
        <f>""</f>
        <v/>
      </c>
      <c r="CB565" t="s">
        <v>131</v>
      </c>
      <c r="CF565" t="s">
        <v>131</v>
      </c>
      <c r="CH565" t="str">
        <f>""</f>
        <v/>
      </c>
      <c r="CI565" t="s">
        <v>131</v>
      </c>
      <c r="CK565" t="s">
        <v>131</v>
      </c>
      <c r="CL565" t="str">
        <f>""</f>
        <v/>
      </c>
      <c r="CM565" t="str">
        <f>""</f>
        <v/>
      </c>
      <c r="CN565" t="str">
        <f>""</f>
        <v/>
      </c>
      <c r="CO565" t="str">
        <f>""</f>
        <v/>
      </c>
      <c r="CP565" t="str">
        <f>"53-7062.00"</f>
        <v>53-7062.00</v>
      </c>
      <c r="CQ565" t="s">
        <v>1030</v>
      </c>
      <c r="CR565" t="s">
        <v>918</v>
      </c>
      <c r="CS565" t="s">
        <v>131</v>
      </c>
      <c r="CU565" t="s">
        <v>17058</v>
      </c>
      <c r="CV565" t="s">
        <v>134</v>
      </c>
      <c r="CW565" t="s">
        <v>14988</v>
      </c>
      <c r="CX565" t="s">
        <v>129</v>
      </c>
      <c r="CZ565" s="3" t="str">
        <f>"12887"</f>
        <v>12887</v>
      </c>
      <c r="DA565" t="s">
        <v>131</v>
      </c>
      <c r="DB565" t="str">
        <f>"53-7062"</f>
        <v>53-7062</v>
      </c>
      <c r="DC565" t="s">
        <v>1030</v>
      </c>
      <c r="DD565" t="s">
        <v>134</v>
      </c>
      <c r="DE565" t="s">
        <v>134</v>
      </c>
      <c r="DF565" t="str">
        <f>""</f>
        <v/>
      </c>
      <c r="DH565" s="6">
        <v>15.44</v>
      </c>
      <c r="DI565" t="s">
        <v>344</v>
      </c>
      <c r="DK565" t="s">
        <v>345</v>
      </c>
      <c r="DS565" s="6">
        <v>15.44</v>
      </c>
      <c r="DT565" t="s">
        <v>424</v>
      </c>
      <c r="DU565" s="1">
        <v>44361</v>
      </c>
      <c r="DV565" s="1">
        <v>44450</v>
      </c>
    </row>
    <row r="566" spans="1:126" ht="15" customHeight="1" x14ac:dyDescent="0.35">
      <c r="A566" t="s">
        <v>16382</v>
      </c>
      <c r="B566" t="s">
        <v>318</v>
      </c>
      <c r="C566" s="1">
        <v>44334</v>
      </c>
      <c r="D566" s="1">
        <v>44361</v>
      </c>
      <c r="H566" t="s">
        <v>319</v>
      </c>
      <c r="I566" t="s">
        <v>10717</v>
      </c>
      <c r="J566" t="s">
        <v>6975</v>
      </c>
      <c r="L566" t="s">
        <v>5868</v>
      </c>
      <c r="M566" t="s">
        <v>10718</v>
      </c>
      <c r="N566" t="s">
        <v>10719</v>
      </c>
      <c r="O566" t="s">
        <v>10722</v>
      </c>
      <c r="P566" t="s">
        <v>194</v>
      </c>
      <c r="Q566" s="3">
        <v>33921</v>
      </c>
      <c r="R566" t="s">
        <v>128</v>
      </c>
      <c r="S566" t="s">
        <v>134</v>
      </c>
      <c r="T566" s="4">
        <v>19419640769</v>
      </c>
      <c r="V566" t="s">
        <v>13304</v>
      </c>
      <c r="W566" t="s">
        <v>10721</v>
      </c>
      <c r="X566" t="s">
        <v>134</v>
      </c>
      <c r="Y566" t="s">
        <v>10718</v>
      </c>
      <c r="Z566" t="s">
        <v>13305</v>
      </c>
      <c r="AA566" t="s">
        <v>10722</v>
      </c>
      <c r="AB566" t="s">
        <v>195</v>
      </c>
      <c r="AC566" s="3" t="str">
        <f>"33921"</f>
        <v>33921</v>
      </c>
      <c r="AD566" t="s">
        <v>128</v>
      </c>
      <c r="AF566" s="4">
        <v>19419640769</v>
      </c>
      <c r="AH566" t="str">
        <f>"713910"</f>
        <v>713910</v>
      </c>
      <c r="AI566" t="s">
        <v>130</v>
      </c>
      <c r="AJ566" t="s">
        <v>1386</v>
      </c>
      <c r="AK566" t="s">
        <v>1387</v>
      </c>
      <c r="AL566" t="s">
        <v>1036</v>
      </c>
      <c r="AM566" t="s">
        <v>1388</v>
      </c>
      <c r="AN566" t="s">
        <v>997</v>
      </c>
      <c r="AO566" t="s">
        <v>719</v>
      </c>
      <c r="AP566" t="s">
        <v>377</v>
      </c>
      <c r="AQ566" s="5">
        <v>1701</v>
      </c>
      <c r="AR566" t="s">
        <v>128</v>
      </c>
      <c r="AS566" t="s">
        <v>134</v>
      </c>
      <c r="AT566" s="4">
        <v>16179399444</v>
      </c>
      <c r="AV566" t="s">
        <v>1389</v>
      </c>
      <c r="AW566" t="s">
        <v>1390</v>
      </c>
      <c r="AX566" t="s">
        <v>131</v>
      </c>
      <c r="AY566" t="s">
        <v>131</v>
      </c>
      <c r="AZ566" t="s">
        <v>131</v>
      </c>
      <c r="BA566" t="s">
        <v>131</v>
      </c>
      <c r="BB566" t="s">
        <v>131</v>
      </c>
      <c r="BC566" t="s">
        <v>131</v>
      </c>
      <c r="BD566" t="s">
        <v>131</v>
      </c>
      <c r="BE566" t="s">
        <v>132</v>
      </c>
      <c r="BH566" t="s">
        <v>5537</v>
      </c>
      <c r="BI566" t="s">
        <v>131</v>
      </c>
      <c r="BL566" t="s">
        <v>167</v>
      </c>
      <c r="BO566" t="s">
        <v>131</v>
      </c>
      <c r="BP566" t="s">
        <v>134</v>
      </c>
      <c r="BQ566" t="s">
        <v>131</v>
      </c>
      <c r="BS566" t="str">
        <f t="shared" si="44"/>
        <v>N/A</v>
      </c>
      <c r="BT566" t="s">
        <v>135</v>
      </c>
      <c r="BU566">
        <v>12</v>
      </c>
      <c r="BV566" t="str">
        <f>"Cook"</f>
        <v>Cook</v>
      </c>
      <c r="BW566" t="s">
        <v>135</v>
      </c>
      <c r="BX566" t="str">
        <f>""</f>
        <v/>
      </c>
      <c r="BY566" t="str">
        <f>""</f>
        <v/>
      </c>
      <c r="BZ566" t="str">
        <f>""</f>
        <v/>
      </c>
      <c r="CA566" t="str">
        <f>"The Petitioner will consider for employment any person who
possesses at least One (1) year of culinary experience in a la carte dining, fine-dining, high-volume environment at a high-end restaurant, resort, or private club. 
"</f>
        <v xml:space="preserve">The Petitioner will consider for employment any person who
possesses at least One (1) year of culinary experience in a la carte dining, fine-dining, high-volume environment at a high-end restaurant, resort, or private club. 
</v>
      </c>
      <c r="CB566" t="s">
        <v>131</v>
      </c>
      <c r="CF566" t="s">
        <v>131</v>
      </c>
      <c r="CH566" t="str">
        <f>""</f>
        <v/>
      </c>
      <c r="CI566" t="s">
        <v>131</v>
      </c>
      <c r="CK566" t="s">
        <v>131</v>
      </c>
      <c r="CL566" t="str">
        <f>""</f>
        <v/>
      </c>
      <c r="CM566" t="str">
        <f>""</f>
        <v/>
      </c>
      <c r="CN566" t="str">
        <f>""</f>
        <v/>
      </c>
      <c r="CO566" t="str">
        <f>""</f>
        <v/>
      </c>
      <c r="CP566" t="str">
        <f>"35-2014.00"</f>
        <v>35-2014.00</v>
      </c>
      <c r="CQ566" t="s">
        <v>581</v>
      </c>
      <c r="CR566" t="s">
        <v>1941</v>
      </c>
      <c r="CS566" t="s">
        <v>131</v>
      </c>
      <c r="CU566" t="s">
        <v>10718</v>
      </c>
      <c r="CV566" t="s">
        <v>134</v>
      </c>
      <c r="CW566" t="s">
        <v>10722</v>
      </c>
      <c r="CX566" t="s">
        <v>195</v>
      </c>
      <c r="CZ566" s="3" t="str">
        <f>"33921"</f>
        <v>33921</v>
      </c>
      <c r="DA566" t="s">
        <v>131</v>
      </c>
      <c r="DB566" t="str">
        <f>"35-2014"</f>
        <v>35-2014</v>
      </c>
      <c r="DC566" t="s">
        <v>581</v>
      </c>
      <c r="DD566" t="s">
        <v>134</v>
      </c>
      <c r="DE566" t="s">
        <v>134</v>
      </c>
      <c r="DF566" t="str">
        <f>""</f>
        <v/>
      </c>
      <c r="DH566" s="6">
        <v>14.08</v>
      </c>
      <c r="DI566" t="s">
        <v>344</v>
      </c>
      <c r="DK566" t="s">
        <v>345</v>
      </c>
      <c r="DS566" s="6">
        <v>14.08</v>
      </c>
      <c r="DT566" t="s">
        <v>424</v>
      </c>
      <c r="DU566" s="1">
        <v>44361</v>
      </c>
      <c r="DV566" s="1">
        <v>44450</v>
      </c>
    </row>
    <row r="567" spans="1:126" ht="15" customHeight="1" x14ac:dyDescent="0.35">
      <c r="A567" t="s">
        <v>10716</v>
      </c>
      <c r="B567" t="s">
        <v>318</v>
      </c>
      <c r="C567" s="1">
        <v>44334</v>
      </c>
      <c r="D567" s="1">
        <v>44361</v>
      </c>
      <c r="H567" t="s">
        <v>319</v>
      </c>
      <c r="I567" t="s">
        <v>10717</v>
      </c>
      <c r="J567" t="s">
        <v>151</v>
      </c>
      <c r="L567" t="s">
        <v>5868</v>
      </c>
      <c r="M567" t="s">
        <v>10718</v>
      </c>
      <c r="N567" t="s">
        <v>10719</v>
      </c>
      <c r="O567" t="s">
        <v>8970</v>
      </c>
      <c r="P567" t="s">
        <v>194</v>
      </c>
      <c r="Q567" s="3">
        <v>33921</v>
      </c>
      <c r="R567" t="s">
        <v>128</v>
      </c>
      <c r="S567" t="s">
        <v>134</v>
      </c>
      <c r="T567" s="4">
        <v>19419640769</v>
      </c>
      <c r="V567" t="s">
        <v>10720</v>
      </c>
      <c r="W567" t="s">
        <v>10721</v>
      </c>
      <c r="X567" t="s">
        <v>134</v>
      </c>
      <c r="Y567" t="s">
        <v>10718</v>
      </c>
      <c r="Z567" t="s">
        <v>10719</v>
      </c>
      <c r="AA567" t="s">
        <v>10722</v>
      </c>
      <c r="AB567" t="s">
        <v>195</v>
      </c>
      <c r="AC567" s="3" t="str">
        <f>"33921"</f>
        <v>33921</v>
      </c>
      <c r="AD567" t="s">
        <v>128</v>
      </c>
      <c r="AE567" t="s">
        <v>134</v>
      </c>
      <c r="AF567" s="4">
        <v>19419640769</v>
      </c>
      <c r="AH567" t="str">
        <f>"713910"</f>
        <v>713910</v>
      </c>
      <c r="AI567" t="s">
        <v>130</v>
      </c>
      <c r="AJ567" t="s">
        <v>1386</v>
      </c>
      <c r="AK567" t="s">
        <v>1387</v>
      </c>
      <c r="AL567" t="s">
        <v>1036</v>
      </c>
      <c r="AM567" t="s">
        <v>1388</v>
      </c>
      <c r="AN567" t="s">
        <v>997</v>
      </c>
      <c r="AO567" t="s">
        <v>719</v>
      </c>
      <c r="AP567" t="s">
        <v>377</v>
      </c>
      <c r="AQ567" s="5">
        <v>1701</v>
      </c>
      <c r="AR567" t="s">
        <v>128</v>
      </c>
      <c r="AS567" t="s">
        <v>134</v>
      </c>
      <c r="AT567" s="4">
        <v>16179399444</v>
      </c>
      <c r="AV567" t="s">
        <v>1389</v>
      </c>
      <c r="AW567" t="s">
        <v>1390</v>
      </c>
      <c r="AX567" t="s">
        <v>131</v>
      </c>
      <c r="AY567" t="s">
        <v>131</v>
      </c>
      <c r="AZ567" t="s">
        <v>131</v>
      </c>
      <c r="BA567" t="s">
        <v>131</v>
      </c>
      <c r="BB567" t="s">
        <v>131</v>
      </c>
      <c r="BC567" t="s">
        <v>131</v>
      </c>
      <c r="BD567" t="s">
        <v>131</v>
      </c>
      <c r="BE567" t="s">
        <v>132</v>
      </c>
      <c r="BH567" t="s">
        <v>10723</v>
      </c>
      <c r="BI567" t="s">
        <v>131</v>
      </c>
      <c r="BL567" t="s">
        <v>167</v>
      </c>
      <c r="BO567" t="s">
        <v>131</v>
      </c>
      <c r="BP567" t="s">
        <v>134</v>
      </c>
      <c r="BQ567" t="s">
        <v>131</v>
      </c>
      <c r="BS567" t="str">
        <f t="shared" si="44"/>
        <v>N/A</v>
      </c>
      <c r="BT567" t="s">
        <v>135</v>
      </c>
      <c r="BU567">
        <v>6</v>
      </c>
      <c r="BV567" t="str">
        <f>"Server "</f>
        <v xml:space="preserve">Server </v>
      </c>
      <c r="BW567" t="s">
        <v>135</v>
      </c>
      <c r="BX567" t="str">
        <f>""</f>
        <v/>
      </c>
      <c r="BY567" t="str">
        <f>""</f>
        <v/>
      </c>
      <c r="BZ567" t="str">
        <f>""</f>
        <v/>
      </c>
      <c r="CA567" t="str">
        <f>"The Petitioner will consider for employment any person who
possesses at least Six (6) months of service experience in a la carte dining, fine-dining or high-volume environment at a high-end restaurant, resort, or private club.
"</f>
        <v xml:space="preserve">The Petitioner will consider for employment any person who
possesses at least Six (6) months of service experience in a la carte dining, fine-dining or high-volume environment at a high-end restaurant, resort, or private club.
</v>
      </c>
      <c r="CB567" t="s">
        <v>131</v>
      </c>
      <c r="CF567" t="s">
        <v>131</v>
      </c>
      <c r="CH567" t="str">
        <f>""</f>
        <v/>
      </c>
      <c r="CI567" t="s">
        <v>131</v>
      </c>
      <c r="CK567" t="s">
        <v>131</v>
      </c>
      <c r="CL567" t="str">
        <f>""</f>
        <v/>
      </c>
      <c r="CM567" t="str">
        <f>""</f>
        <v/>
      </c>
      <c r="CN567" t="str">
        <f>""</f>
        <v/>
      </c>
      <c r="CO567" t="str">
        <f>""</f>
        <v/>
      </c>
      <c r="CP567" t="str">
        <f>"35-3031.00"</f>
        <v>35-3031.00</v>
      </c>
      <c r="CQ567" t="s">
        <v>1214</v>
      </c>
      <c r="CR567" t="s">
        <v>10724</v>
      </c>
      <c r="CS567" t="s">
        <v>131</v>
      </c>
      <c r="CU567" t="s">
        <v>10725</v>
      </c>
      <c r="CV567" t="s">
        <v>134</v>
      </c>
      <c r="CW567" t="s">
        <v>8970</v>
      </c>
      <c r="CX567" t="s">
        <v>195</v>
      </c>
      <c r="CZ567" s="3" t="str">
        <f>"33921"</f>
        <v>33921</v>
      </c>
      <c r="DA567" t="s">
        <v>131</v>
      </c>
      <c r="DB567" t="str">
        <f>"35-3031"</f>
        <v>35-3031</v>
      </c>
      <c r="DC567" t="s">
        <v>1214</v>
      </c>
      <c r="DD567" t="s">
        <v>134</v>
      </c>
      <c r="DE567" t="s">
        <v>134</v>
      </c>
      <c r="DF567" t="str">
        <f>""</f>
        <v/>
      </c>
      <c r="DH567" s="6">
        <v>11.29</v>
      </c>
      <c r="DI567" t="s">
        <v>344</v>
      </c>
      <c r="DK567" t="s">
        <v>345</v>
      </c>
      <c r="DS567" s="6">
        <v>11.29</v>
      </c>
      <c r="DT567" t="s">
        <v>424</v>
      </c>
      <c r="DU567" s="1">
        <v>44361</v>
      </c>
      <c r="DV567" s="1">
        <v>44450</v>
      </c>
    </row>
    <row r="568" spans="1:126" ht="15" customHeight="1" x14ac:dyDescent="0.35">
      <c r="A568" t="s">
        <v>13303</v>
      </c>
      <c r="B568" t="s">
        <v>318</v>
      </c>
      <c r="C568" s="1">
        <v>44334</v>
      </c>
      <c r="D568" s="1">
        <v>44361</v>
      </c>
      <c r="H568" t="s">
        <v>319</v>
      </c>
      <c r="I568" t="s">
        <v>10717</v>
      </c>
      <c r="J568" t="s">
        <v>6975</v>
      </c>
      <c r="L568" t="s">
        <v>5868</v>
      </c>
      <c r="M568" t="s">
        <v>10718</v>
      </c>
      <c r="N568" t="s">
        <v>10719</v>
      </c>
      <c r="O568" t="s">
        <v>8970</v>
      </c>
      <c r="P568" t="s">
        <v>194</v>
      </c>
      <c r="Q568" s="3">
        <v>33921</v>
      </c>
      <c r="R568" t="s">
        <v>128</v>
      </c>
      <c r="S568" t="s">
        <v>134</v>
      </c>
      <c r="T568" s="4">
        <v>19419640769</v>
      </c>
      <c r="V568" t="s">
        <v>13304</v>
      </c>
      <c r="W568" t="s">
        <v>10721</v>
      </c>
      <c r="X568" t="s">
        <v>134</v>
      </c>
      <c r="Y568" t="s">
        <v>10718</v>
      </c>
      <c r="Z568" t="s">
        <v>13305</v>
      </c>
      <c r="AA568" t="s">
        <v>8970</v>
      </c>
      <c r="AB568" t="s">
        <v>195</v>
      </c>
      <c r="AC568" s="3" t="str">
        <f>"33921"</f>
        <v>33921</v>
      </c>
      <c r="AD568" t="s">
        <v>128</v>
      </c>
      <c r="AE568" t="s">
        <v>134</v>
      </c>
      <c r="AF568" s="4">
        <v>19419640769</v>
      </c>
      <c r="AH568" t="str">
        <f>"713910"</f>
        <v>713910</v>
      </c>
      <c r="AI568" t="s">
        <v>130</v>
      </c>
      <c r="AJ568" t="s">
        <v>1386</v>
      </c>
      <c r="AK568" t="s">
        <v>1387</v>
      </c>
      <c r="AL568" t="s">
        <v>1036</v>
      </c>
      <c r="AM568" t="s">
        <v>1388</v>
      </c>
      <c r="AN568" t="s">
        <v>997</v>
      </c>
      <c r="AO568" t="s">
        <v>719</v>
      </c>
      <c r="AP568" t="s">
        <v>377</v>
      </c>
      <c r="AQ568" s="5">
        <v>1701</v>
      </c>
      <c r="AR568" t="s">
        <v>128</v>
      </c>
      <c r="AS568" t="s">
        <v>134</v>
      </c>
      <c r="AT568" s="4">
        <v>16179399444</v>
      </c>
      <c r="AV568" t="s">
        <v>1389</v>
      </c>
      <c r="AW568" t="s">
        <v>1390</v>
      </c>
      <c r="AX568" t="s">
        <v>131</v>
      </c>
      <c r="AY568" t="s">
        <v>131</v>
      </c>
      <c r="AZ568" t="s">
        <v>131</v>
      </c>
      <c r="BA568" t="s">
        <v>131</v>
      </c>
      <c r="BB568" t="s">
        <v>131</v>
      </c>
      <c r="BC568" t="s">
        <v>131</v>
      </c>
      <c r="BD568" t="s">
        <v>131</v>
      </c>
      <c r="BE568" t="s">
        <v>132</v>
      </c>
      <c r="BH568" t="s">
        <v>8231</v>
      </c>
      <c r="BI568" t="s">
        <v>131</v>
      </c>
      <c r="BL568" t="s">
        <v>167</v>
      </c>
      <c r="BO568" t="s">
        <v>131</v>
      </c>
      <c r="BP568" t="s">
        <v>134</v>
      </c>
      <c r="BQ568" t="s">
        <v>131</v>
      </c>
      <c r="BS568" t="str">
        <f t="shared" si="44"/>
        <v>N/A</v>
      </c>
      <c r="BT568" t="s">
        <v>135</v>
      </c>
      <c r="BU568">
        <v>3</v>
      </c>
      <c r="BV568" t="str">
        <f>"Dishwasher "</f>
        <v xml:space="preserve">Dishwasher </v>
      </c>
      <c r="BW568" t="s">
        <v>135</v>
      </c>
      <c r="BX568" t="str">
        <f>""</f>
        <v/>
      </c>
      <c r="BY568" t="str">
        <f>""</f>
        <v/>
      </c>
      <c r="BZ568" t="str">
        <f>""</f>
        <v/>
      </c>
      <c r="CA568" t="str">
        <f>"The Petitioner will consider for employment any person who
possesses at least three (3) months of experience at a high-end restaurant, resort, or private club."</f>
        <v>The Petitioner will consider for employment any person who
possesses at least three (3) months of experience at a high-end restaurant, resort, or private club.</v>
      </c>
      <c r="CB568" t="s">
        <v>131</v>
      </c>
      <c r="CF568" t="s">
        <v>131</v>
      </c>
      <c r="CH568" t="str">
        <f>""</f>
        <v/>
      </c>
      <c r="CI568" t="s">
        <v>131</v>
      </c>
      <c r="CK568" t="s">
        <v>131</v>
      </c>
      <c r="CL568" t="str">
        <f>""</f>
        <v/>
      </c>
      <c r="CM568" t="str">
        <f>""</f>
        <v/>
      </c>
      <c r="CN568" t="str">
        <f>""</f>
        <v/>
      </c>
      <c r="CO568" t="str">
        <f>""</f>
        <v/>
      </c>
      <c r="CP568" t="str">
        <f>"35-9021.00"</f>
        <v>35-9021.00</v>
      </c>
      <c r="CQ568" t="s">
        <v>2552</v>
      </c>
      <c r="CR568" t="s">
        <v>7918</v>
      </c>
      <c r="CS568" t="s">
        <v>131</v>
      </c>
      <c r="CU568" t="s">
        <v>10718</v>
      </c>
      <c r="CW568" t="s">
        <v>13306</v>
      </c>
      <c r="CX568" t="s">
        <v>195</v>
      </c>
      <c r="CZ568" s="3" t="str">
        <f>"33921"</f>
        <v>33921</v>
      </c>
      <c r="DA568" t="s">
        <v>131</v>
      </c>
      <c r="DB568" t="str">
        <f>"35-9021"</f>
        <v>35-9021</v>
      </c>
      <c r="DC568" t="s">
        <v>2552</v>
      </c>
      <c r="DD568" t="s">
        <v>134</v>
      </c>
      <c r="DE568" t="s">
        <v>134</v>
      </c>
      <c r="DF568" t="str">
        <f>""</f>
        <v/>
      </c>
      <c r="DH568" s="6">
        <v>11.6</v>
      </c>
      <c r="DI568" t="s">
        <v>344</v>
      </c>
      <c r="DK568" t="s">
        <v>345</v>
      </c>
      <c r="DS568" s="6">
        <v>11.6</v>
      </c>
      <c r="DT568" t="s">
        <v>424</v>
      </c>
      <c r="DU568" s="1">
        <v>44361</v>
      </c>
      <c r="DV568" s="1">
        <v>44450</v>
      </c>
    </row>
    <row r="569" spans="1:126" ht="15" customHeight="1" x14ac:dyDescent="0.35">
      <c r="A569" t="s">
        <v>3861</v>
      </c>
      <c r="B569" t="s">
        <v>318</v>
      </c>
      <c r="C569" s="1">
        <v>44334</v>
      </c>
      <c r="D569" s="1">
        <v>44369</v>
      </c>
      <c r="H569" t="s">
        <v>319</v>
      </c>
      <c r="I569" t="s">
        <v>3862</v>
      </c>
      <c r="J569" t="s">
        <v>2066</v>
      </c>
      <c r="L569" t="s">
        <v>3863</v>
      </c>
      <c r="M569" t="s">
        <v>3864</v>
      </c>
      <c r="O569" t="s">
        <v>2651</v>
      </c>
      <c r="P569" t="s">
        <v>1334</v>
      </c>
      <c r="Q569" s="3">
        <v>74132</v>
      </c>
      <c r="R569" t="s">
        <v>128</v>
      </c>
      <c r="T569" s="4">
        <v>19188774656</v>
      </c>
      <c r="V569" t="s">
        <v>3865</v>
      </c>
      <c r="W569" t="s">
        <v>3866</v>
      </c>
      <c r="Y569" t="s">
        <v>3867</v>
      </c>
      <c r="AA569" t="s">
        <v>3868</v>
      </c>
      <c r="AB569" t="s">
        <v>2870</v>
      </c>
      <c r="AC569" s="3" t="str">
        <f>"58301"</f>
        <v>58301</v>
      </c>
      <c r="AD569" t="s">
        <v>128</v>
      </c>
      <c r="AF569" s="4">
        <v>17013510878</v>
      </c>
      <c r="AH569" t="str">
        <f>"72111"</f>
        <v>72111</v>
      </c>
      <c r="AI569" t="s">
        <v>287</v>
      </c>
      <c r="AJ569" t="s">
        <v>3862</v>
      </c>
      <c r="AK569" t="s">
        <v>2066</v>
      </c>
      <c r="AM569" t="s">
        <v>2650</v>
      </c>
      <c r="AO569" t="s">
        <v>2651</v>
      </c>
      <c r="AP569" t="s">
        <v>1336</v>
      </c>
      <c r="AQ569" s="5">
        <v>74132</v>
      </c>
      <c r="AR569" t="s">
        <v>128</v>
      </c>
      <c r="AS569" t="s">
        <v>1334</v>
      </c>
      <c r="AT569" s="4">
        <v>19189065212</v>
      </c>
      <c r="AV569" t="s">
        <v>3865</v>
      </c>
      <c r="AW569" t="s">
        <v>2653</v>
      </c>
      <c r="AX569" t="s">
        <v>131</v>
      </c>
      <c r="AY569" t="s">
        <v>131</v>
      </c>
      <c r="AZ569" t="s">
        <v>131</v>
      </c>
      <c r="BA569" t="s">
        <v>131</v>
      </c>
      <c r="BB569" t="s">
        <v>131</v>
      </c>
      <c r="BC569" t="s">
        <v>131</v>
      </c>
      <c r="BD569" t="s">
        <v>131</v>
      </c>
      <c r="BE569" t="s">
        <v>132</v>
      </c>
      <c r="BH569" t="s">
        <v>3869</v>
      </c>
      <c r="BI569" t="s">
        <v>131</v>
      </c>
      <c r="BL569" t="s">
        <v>167</v>
      </c>
      <c r="BO569" t="s">
        <v>131</v>
      </c>
      <c r="BP569" t="s">
        <v>134</v>
      </c>
      <c r="BQ569" t="s">
        <v>131</v>
      </c>
      <c r="BS569" t="str">
        <f t="shared" si="44"/>
        <v>N/A</v>
      </c>
      <c r="BT569" t="s">
        <v>131</v>
      </c>
      <c r="BV569" t="str">
        <f>""</f>
        <v/>
      </c>
      <c r="BW569" t="s">
        <v>135</v>
      </c>
      <c r="BX569" t="str">
        <f>""</f>
        <v/>
      </c>
      <c r="BY569" t="str">
        <f>""</f>
        <v/>
      </c>
      <c r="BZ569" t="str">
        <f>""</f>
        <v/>
      </c>
      <c r="CA569" t="str">
        <f>"lift 15 lbs."</f>
        <v>lift 15 lbs.</v>
      </c>
      <c r="CB569" t="s">
        <v>131</v>
      </c>
      <c r="CF569" t="s">
        <v>131</v>
      </c>
      <c r="CH569" t="str">
        <f>""</f>
        <v/>
      </c>
      <c r="CI569" t="s">
        <v>131</v>
      </c>
      <c r="CK569" t="s">
        <v>131</v>
      </c>
      <c r="CL569" t="str">
        <f>""</f>
        <v/>
      </c>
      <c r="CM569" t="str">
        <f>""</f>
        <v/>
      </c>
      <c r="CN569" t="str">
        <f>""</f>
        <v/>
      </c>
      <c r="CO569" t="str">
        <f>""</f>
        <v/>
      </c>
      <c r="CP569" t="str">
        <f>"37-2012.00"</f>
        <v>37-2012.00</v>
      </c>
      <c r="CQ569" t="s">
        <v>479</v>
      </c>
      <c r="CS569" t="s">
        <v>131</v>
      </c>
      <c r="CU569" t="s">
        <v>3867</v>
      </c>
      <c r="CW569" t="s">
        <v>3868</v>
      </c>
      <c r="CX569" t="s">
        <v>2870</v>
      </c>
      <c r="CZ569" s="3" t="str">
        <f>"58301"</f>
        <v>58301</v>
      </c>
      <c r="DA569" t="s">
        <v>131</v>
      </c>
      <c r="DB569" t="str">
        <f>"37-2012"</f>
        <v>37-2012</v>
      </c>
      <c r="DC569" t="s">
        <v>479</v>
      </c>
      <c r="DD569" t="s">
        <v>134</v>
      </c>
      <c r="DE569" t="s">
        <v>134</v>
      </c>
      <c r="DF569" t="str">
        <f>""</f>
        <v/>
      </c>
      <c r="DH569" s="6">
        <v>12.15</v>
      </c>
      <c r="DI569" t="s">
        <v>344</v>
      </c>
      <c r="DK569" t="s">
        <v>345</v>
      </c>
      <c r="DS569" s="6">
        <v>12.15</v>
      </c>
      <c r="DT569" t="s">
        <v>424</v>
      </c>
      <c r="DU569" s="1">
        <v>44369</v>
      </c>
      <c r="DV569" s="1">
        <v>44458</v>
      </c>
    </row>
    <row r="570" spans="1:126" ht="15" customHeight="1" x14ac:dyDescent="0.35">
      <c r="A570" t="s">
        <v>17837</v>
      </c>
      <c r="B570" t="s">
        <v>318</v>
      </c>
      <c r="C570" s="1">
        <v>44334</v>
      </c>
      <c r="D570" s="1">
        <v>44361</v>
      </c>
      <c r="H570" t="s">
        <v>319</v>
      </c>
      <c r="I570" t="s">
        <v>17838</v>
      </c>
      <c r="J570" t="s">
        <v>17839</v>
      </c>
      <c r="L570" t="s">
        <v>13356</v>
      </c>
      <c r="M570" t="s">
        <v>17840</v>
      </c>
      <c r="O570" t="s">
        <v>4408</v>
      </c>
      <c r="P570" t="s">
        <v>194</v>
      </c>
      <c r="Q570" s="3">
        <v>34120</v>
      </c>
      <c r="R570" t="s">
        <v>128</v>
      </c>
      <c r="T570" s="4">
        <v>12393482662</v>
      </c>
      <c r="V570" t="s">
        <v>17841</v>
      </c>
      <c r="W570" t="s">
        <v>17842</v>
      </c>
      <c r="X570" t="s">
        <v>17843</v>
      </c>
      <c r="Y570" t="s">
        <v>17840</v>
      </c>
      <c r="AA570" t="s">
        <v>4408</v>
      </c>
      <c r="AB570" t="s">
        <v>195</v>
      </c>
      <c r="AC570" s="3" t="str">
        <f>"34120"</f>
        <v>34120</v>
      </c>
      <c r="AD570" t="s">
        <v>128</v>
      </c>
      <c r="AF570" s="4">
        <v>12393482662</v>
      </c>
      <c r="AH570" t="str">
        <f>"713910"</f>
        <v>713910</v>
      </c>
      <c r="AI570" t="s">
        <v>130</v>
      </c>
      <c r="AJ570" t="s">
        <v>1386</v>
      </c>
      <c r="AK570" t="s">
        <v>1387</v>
      </c>
      <c r="AL570" t="s">
        <v>1036</v>
      </c>
      <c r="AM570" t="s">
        <v>1388</v>
      </c>
      <c r="AN570" t="s">
        <v>997</v>
      </c>
      <c r="AO570" t="s">
        <v>719</v>
      </c>
      <c r="AP570" t="s">
        <v>377</v>
      </c>
      <c r="AQ570" s="5">
        <v>1701</v>
      </c>
      <c r="AR570" t="s">
        <v>128</v>
      </c>
      <c r="AS570" t="s">
        <v>134</v>
      </c>
      <c r="AT570" s="4">
        <v>16179399444</v>
      </c>
      <c r="AV570" t="s">
        <v>1389</v>
      </c>
      <c r="AW570" t="s">
        <v>1390</v>
      </c>
      <c r="AX570" t="s">
        <v>131</v>
      </c>
      <c r="AY570" t="s">
        <v>131</v>
      </c>
      <c r="AZ570" t="s">
        <v>131</v>
      </c>
      <c r="BA570" t="s">
        <v>131</v>
      </c>
      <c r="BB570" t="s">
        <v>131</v>
      </c>
      <c r="BC570" t="s">
        <v>131</v>
      </c>
      <c r="BD570" t="s">
        <v>131</v>
      </c>
      <c r="BE570" t="s">
        <v>132</v>
      </c>
      <c r="BH570" t="s">
        <v>1080</v>
      </c>
      <c r="BI570" t="s">
        <v>131</v>
      </c>
      <c r="BL570" t="s">
        <v>167</v>
      </c>
      <c r="BO570" t="s">
        <v>131</v>
      </c>
      <c r="BP570" t="s">
        <v>134</v>
      </c>
      <c r="BQ570" t="s">
        <v>131</v>
      </c>
      <c r="BS570" t="str">
        <f t="shared" si="44"/>
        <v>N/A</v>
      </c>
      <c r="BT570" t="s">
        <v>135</v>
      </c>
      <c r="BU570">
        <v>24</v>
      </c>
      <c r="BV570" t="str">
        <f>"Cook"</f>
        <v>Cook</v>
      </c>
      <c r="BW570" t="s">
        <v>135</v>
      </c>
      <c r="BX570" t="str">
        <f>""</f>
        <v/>
      </c>
      <c r="BY570" t="str">
        <f>""</f>
        <v/>
      </c>
      <c r="BZ570" t="str">
        <f>""</f>
        <v/>
      </c>
      <c r="CA570" s="2" t="s">
        <v>17844</v>
      </c>
      <c r="CB570" t="s">
        <v>131</v>
      </c>
      <c r="CF570" t="s">
        <v>131</v>
      </c>
      <c r="CH570" t="str">
        <f>""</f>
        <v/>
      </c>
      <c r="CI570" t="s">
        <v>131</v>
      </c>
      <c r="CK570" t="s">
        <v>131</v>
      </c>
      <c r="CL570" t="str">
        <f>""</f>
        <v/>
      </c>
      <c r="CM570" t="str">
        <f>""</f>
        <v/>
      </c>
      <c r="CN570" t="str">
        <f>""</f>
        <v/>
      </c>
      <c r="CO570" t="str">
        <f>""</f>
        <v/>
      </c>
      <c r="CP570" t="str">
        <f>"35-2014.00"</f>
        <v>35-2014.00</v>
      </c>
      <c r="CQ570" t="s">
        <v>581</v>
      </c>
      <c r="CR570" t="s">
        <v>1941</v>
      </c>
      <c r="CS570" t="s">
        <v>131</v>
      </c>
      <c r="CU570" t="s">
        <v>17840</v>
      </c>
      <c r="CW570" t="s">
        <v>6251</v>
      </c>
      <c r="CX570" t="s">
        <v>195</v>
      </c>
      <c r="CZ570" s="3" t="str">
        <f>"34120"</f>
        <v>34120</v>
      </c>
      <c r="DA570" t="s">
        <v>131</v>
      </c>
      <c r="DB570" t="str">
        <f>"35-2014"</f>
        <v>35-2014</v>
      </c>
      <c r="DC570" t="s">
        <v>581</v>
      </c>
      <c r="DD570" t="s">
        <v>134</v>
      </c>
      <c r="DE570" t="s">
        <v>134</v>
      </c>
      <c r="DF570" t="str">
        <f>""</f>
        <v/>
      </c>
      <c r="DH570" s="6">
        <v>15.46</v>
      </c>
      <c r="DI570" t="s">
        <v>344</v>
      </c>
      <c r="DK570" t="s">
        <v>345</v>
      </c>
      <c r="DS570" s="6">
        <v>15.46</v>
      </c>
      <c r="DT570" t="s">
        <v>424</v>
      </c>
      <c r="DU570" s="1">
        <v>44361</v>
      </c>
      <c r="DV570" s="1">
        <v>44450</v>
      </c>
    </row>
    <row r="571" spans="1:126" ht="15" customHeight="1" x14ac:dyDescent="0.35">
      <c r="A571" t="s">
        <v>4128</v>
      </c>
      <c r="B571" t="s">
        <v>318</v>
      </c>
      <c r="C571" s="1">
        <v>44334</v>
      </c>
      <c r="D571" s="1">
        <v>44361</v>
      </c>
      <c r="H571" t="s">
        <v>319</v>
      </c>
      <c r="I571" t="s">
        <v>4129</v>
      </c>
      <c r="J571" t="s">
        <v>1010</v>
      </c>
      <c r="L571" t="s">
        <v>4130</v>
      </c>
      <c r="M571" t="s">
        <v>4131</v>
      </c>
      <c r="O571" t="s">
        <v>255</v>
      </c>
      <c r="P571" t="s">
        <v>256</v>
      </c>
      <c r="Q571" s="3">
        <v>63132</v>
      </c>
      <c r="R571" t="s">
        <v>128</v>
      </c>
      <c r="T571" s="4">
        <v>13144320880</v>
      </c>
      <c r="V571" t="s">
        <v>4132</v>
      </c>
      <c r="W571" t="s">
        <v>4133</v>
      </c>
      <c r="Y571" t="s">
        <v>4131</v>
      </c>
      <c r="AA571" t="s">
        <v>255</v>
      </c>
      <c r="AB571" t="s">
        <v>258</v>
      </c>
      <c r="AC571" s="3" t="str">
        <f>"63132"</f>
        <v>63132</v>
      </c>
      <c r="AD571" t="s">
        <v>128</v>
      </c>
      <c r="AF571" s="4">
        <v>13144320880</v>
      </c>
      <c r="AH571" t="str">
        <f>"56173"</f>
        <v>56173</v>
      </c>
      <c r="AI571" t="s">
        <v>287</v>
      </c>
      <c r="AJ571" t="s">
        <v>4134</v>
      </c>
      <c r="AK571" t="s">
        <v>3493</v>
      </c>
      <c r="AM571" t="s">
        <v>4135</v>
      </c>
      <c r="AO571" t="s">
        <v>4136</v>
      </c>
      <c r="AP571" t="s">
        <v>643</v>
      </c>
      <c r="AQ571" s="5">
        <v>31636</v>
      </c>
      <c r="AR571" t="s">
        <v>128</v>
      </c>
      <c r="AT571" s="4">
        <v>12295596879</v>
      </c>
      <c r="AV571" t="s">
        <v>4137</v>
      </c>
      <c r="AW571" t="s">
        <v>4138</v>
      </c>
      <c r="AX571" t="s">
        <v>131</v>
      </c>
      <c r="AY571" t="s">
        <v>131</v>
      </c>
      <c r="AZ571" t="s">
        <v>131</v>
      </c>
      <c r="BA571" t="s">
        <v>131</v>
      </c>
      <c r="BB571" t="s">
        <v>131</v>
      </c>
      <c r="BC571" t="s">
        <v>131</v>
      </c>
      <c r="BD571" t="s">
        <v>131</v>
      </c>
      <c r="BE571" t="s">
        <v>132</v>
      </c>
      <c r="BH571" t="s">
        <v>3780</v>
      </c>
      <c r="BI571" t="s">
        <v>131</v>
      </c>
      <c r="BL571" t="s">
        <v>167</v>
      </c>
      <c r="BO571" t="s">
        <v>131</v>
      </c>
      <c r="BP571" t="s">
        <v>134</v>
      </c>
      <c r="BQ571" t="s">
        <v>131</v>
      </c>
      <c r="BS571" t="str">
        <f t="shared" si="44"/>
        <v>N/A</v>
      </c>
      <c r="BT571" t="s">
        <v>131</v>
      </c>
      <c r="BV571" t="str">
        <f>""</f>
        <v/>
      </c>
      <c r="BW571" t="s">
        <v>135</v>
      </c>
      <c r="BX571" t="str">
        <f>""</f>
        <v/>
      </c>
      <c r="BY571" t="str">
        <f>""</f>
        <v/>
      </c>
      <c r="BZ571" t="str">
        <f>""</f>
        <v/>
      </c>
      <c r="CA571" t="str">
        <f>"Must lift and carry up to 50 lbs. Requires physical stamina. Work outdoors, in extreme temperatures, and in adverse weather. Must pass drug screenings."</f>
        <v>Must lift and carry up to 50 lbs. Requires physical stamina. Work outdoors, in extreme temperatures, and in adverse weather. Must pass drug screenings.</v>
      </c>
      <c r="CB571" t="s">
        <v>131</v>
      </c>
      <c r="CF571" t="s">
        <v>131</v>
      </c>
      <c r="CH571" t="str">
        <f>""</f>
        <v/>
      </c>
      <c r="CI571" t="s">
        <v>131</v>
      </c>
      <c r="CK571" t="s">
        <v>131</v>
      </c>
      <c r="CL571" t="str">
        <f>""</f>
        <v/>
      </c>
      <c r="CM571" t="str">
        <f>""</f>
        <v/>
      </c>
      <c r="CN571" t="str">
        <f>""</f>
        <v/>
      </c>
      <c r="CO571" t="str">
        <f>""</f>
        <v/>
      </c>
      <c r="CP571" t="str">
        <f>"37-3011.00"</f>
        <v>37-3011.00</v>
      </c>
      <c r="CQ571" t="s">
        <v>920</v>
      </c>
      <c r="CS571" t="s">
        <v>135</v>
      </c>
      <c r="CT571" t="s">
        <v>2925</v>
      </c>
      <c r="CU571" t="s">
        <v>4131</v>
      </c>
      <c r="CW571" t="s">
        <v>255</v>
      </c>
      <c r="CX571" t="s">
        <v>258</v>
      </c>
      <c r="CZ571" s="3" t="str">
        <f>"63132"</f>
        <v>63132</v>
      </c>
      <c r="DA571" t="s">
        <v>135</v>
      </c>
      <c r="DB571" t="str">
        <f>"37-3011"</f>
        <v>37-3011</v>
      </c>
      <c r="DC571" t="s">
        <v>920</v>
      </c>
      <c r="DD571" t="s">
        <v>134</v>
      </c>
      <c r="DE571" t="s">
        <v>134</v>
      </c>
      <c r="DF571" t="str">
        <f>""</f>
        <v/>
      </c>
      <c r="DH571" s="6">
        <v>15.37</v>
      </c>
      <c r="DI571" t="s">
        <v>344</v>
      </c>
      <c r="DK571" t="s">
        <v>345</v>
      </c>
      <c r="DR571" t="s">
        <v>4139</v>
      </c>
      <c r="DS571" s="6">
        <v>15.37</v>
      </c>
      <c r="DT571" s="2" t="s">
        <v>347</v>
      </c>
      <c r="DU571" s="1">
        <v>44361</v>
      </c>
      <c r="DV571" s="1">
        <v>44450</v>
      </c>
    </row>
    <row r="572" spans="1:126" ht="15" customHeight="1" x14ac:dyDescent="0.35">
      <c r="A572" t="s">
        <v>9911</v>
      </c>
      <c r="B572" t="s">
        <v>318</v>
      </c>
      <c r="C572" s="1">
        <v>44334</v>
      </c>
      <c r="D572" s="1">
        <v>44361</v>
      </c>
      <c r="H572" t="s">
        <v>319</v>
      </c>
      <c r="I572" t="s">
        <v>9912</v>
      </c>
      <c r="J572" t="s">
        <v>9913</v>
      </c>
      <c r="K572" t="s">
        <v>645</v>
      </c>
      <c r="L572" t="s">
        <v>4673</v>
      </c>
      <c r="M572" t="s">
        <v>9914</v>
      </c>
      <c r="O572" t="s">
        <v>2092</v>
      </c>
      <c r="P572" t="s">
        <v>1760</v>
      </c>
      <c r="Q572" s="3">
        <v>70605</v>
      </c>
      <c r="R572" t="s">
        <v>128</v>
      </c>
      <c r="T572" s="4">
        <v>13374779296</v>
      </c>
      <c r="V572" t="s">
        <v>9915</v>
      </c>
      <c r="W572" t="s">
        <v>9916</v>
      </c>
      <c r="X572" t="s">
        <v>9917</v>
      </c>
      <c r="Y572" t="s">
        <v>9914</v>
      </c>
      <c r="AA572" t="s">
        <v>2092</v>
      </c>
      <c r="AB572" t="s">
        <v>1763</v>
      </c>
      <c r="AC572" s="3" t="str">
        <f>"70605"</f>
        <v>70605</v>
      </c>
      <c r="AD572" t="s">
        <v>128</v>
      </c>
      <c r="AF572" s="4">
        <v>13374779296</v>
      </c>
      <c r="AH572" t="str">
        <f>"311615"</f>
        <v>311615</v>
      </c>
      <c r="AI572" t="s">
        <v>130</v>
      </c>
      <c r="AJ572" t="s">
        <v>2089</v>
      </c>
      <c r="AK572" t="s">
        <v>1861</v>
      </c>
      <c r="AL572" t="s">
        <v>2090</v>
      </c>
      <c r="AM572" t="s">
        <v>2091</v>
      </c>
      <c r="AO572" t="s">
        <v>2092</v>
      </c>
      <c r="AP572" t="s">
        <v>1763</v>
      </c>
      <c r="AQ572" s="5">
        <v>70601</v>
      </c>
      <c r="AR572" t="s">
        <v>128</v>
      </c>
      <c r="AT572" s="4">
        <v>13372140354</v>
      </c>
      <c r="AV572" t="s">
        <v>2093</v>
      </c>
      <c r="AW572" t="s">
        <v>2094</v>
      </c>
      <c r="AX572" t="s">
        <v>131</v>
      </c>
      <c r="AY572" t="s">
        <v>131</v>
      </c>
      <c r="AZ572" t="s">
        <v>131</v>
      </c>
      <c r="BA572" t="s">
        <v>131</v>
      </c>
      <c r="BB572" t="s">
        <v>131</v>
      </c>
      <c r="BC572" t="s">
        <v>131</v>
      </c>
      <c r="BD572" t="s">
        <v>131</v>
      </c>
      <c r="BE572" t="s">
        <v>132</v>
      </c>
      <c r="BH572" t="s">
        <v>9918</v>
      </c>
      <c r="BI572" t="s">
        <v>131</v>
      </c>
      <c r="BL572" t="s">
        <v>167</v>
      </c>
      <c r="BO572" t="s">
        <v>131</v>
      </c>
      <c r="BP572" t="s">
        <v>134</v>
      </c>
      <c r="BQ572" t="s">
        <v>131</v>
      </c>
      <c r="BS572" t="str">
        <f t="shared" si="44"/>
        <v>N/A</v>
      </c>
      <c r="BT572" t="s">
        <v>135</v>
      </c>
      <c r="BU572">
        <v>1</v>
      </c>
      <c r="BV572" t="str">
        <f>"Similar Occupation"</f>
        <v>Similar Occupation</v>
      </c>
      <c r="BW572" t="s">
        <v>135</v>
      </c>
      <c r="BX572" t="str">
        <f>""</f>
        <v/>
      </c>
      <c r="BY572" t="str">
        <f>""</f>
        <v/>
      </c>
      <c r="BZ572" t="str">
        <f>""</f>
        <v/>
      </c>
      <c r="CA572" t="str">
        <f>"Random drug screening upon hire (paid for by employer)."</f>
        <v>Random drug screening upon hire (paid for by employer).</v>
      </c>
      <c r="CB572" t="s">
        <v>131</v>
      </c>
      <c r="CF572" t="s">
        <v>131</v>
      </c>
      <c r="CH572" t="str">
        <f>""</f>
        <v/>
      </c>
      <c r="CI572" t="s">
        <v>131</v>
      </c>
      <c r="CK572" t="s">
        <v>131</v>
      </c>
      <c r="CL572" t="str">
        <f>""</f>
        <v/>
      </c>
      <c r="CM572" t="str">
        <f>""</f>
        <v/>
      </c>
      <c r="CN572" t="str">
        <f>""</f>
        <v/>
      </c>
      <c r="CO572" t="str">
        <f>""</f>
        <v/>
      </c>
      <c r="CP572" t="str">
        <f>"53-7064.00"</f>
        <v>53-7064.00</v>
      </c>
      <c r="CQ572" t="s">
        <v>2987</v>
      </c>
      <c r="CS572" t="s">
        <v>131</v>
      </c>
      <c r="CU572" t="s">
        <v>9914</v>
      </c>
      <c r="CW572" t="s">
        <v>2092</v>
      </c>
      <c r="CX572" t="s">
        <v>1763</v>
      </c>
      <c r="CZ572" s="3" t="str">
        <f>"70605"</f>
        <v>70605</v>
      </c>
      <c r="DA572" t="s">
        <v>131</v>
      </c>
      <c r="DB572" t="str">
        <f>"51-3092"</f>
        <v>51-3092</v>
      </c>
      <c r="DC572" t="s">
        <v>2402</v>
      </c>
      <c r="DD572" t="s">
        <v>134</v>
      </c>
      <c r="DE572" t="s">
        <v>134</v>
      </c>
      <c r="DF572" t="str">
        <f>"53-7064.00"</f>
        <v>53-7064.00</v>
      </c>
      <c r="DG572" t="s">
        <v>2987</v>
      </c>
      <c r="DH572" s="6">
        <v>16.95</v>
      </c>
      <c r="DI572" t="s">
        <v>344</v>
      </c>
      <c r="DK572" t="s">
        <v>345</v>
      </c>
      <c r="DS572" s="6">
        <v>16.95</v>
      </c>
      <c r="DT572" t="s">
        <v>424</v>
      </c>
      <c r="DU572" s="1">
        <v>44361</v>
      </c>
      <c r="DV572" s="1">
        <v>44450</v>
      </c>
    </row>
    <row r="573" spans="1:126" ht="15" customHeight="1" x14ac:dyDescent="0.35">
      <c r="A573" t="s">
        <v>13883</v>
      </c>
      <c r="B573" t="s">
        <v>318</v>
      </c>
      <c r="C573" s="1">
        <v>44334</v>
      </c>
      <c r="D573" s="1">
        <v>44361</v>
      </c>
      <c r="H573" t="s">
        <v>319</v>
      </c>
      <c r="I573" t="s">
        <v>13884</v>
      </c>
      <c r="J573" t="s">
        <v>13885</v>
      </c>
      <c r="L573" t="s">
        <v>13886</v>
      </c>
      <c r="M573" t="s">
        <v>13887</v>
      </c>
      <c r="O573" t="s">
        <v>3638</v>
      </c>
      <c r="P573" t="s">
        <v>194</v>
      </c>
      <c r="Q573" s="3">
        <v>33308</v>
      </c>
      <c r="R573" t="s">
        <v>128</v>
      </c>
      <c r="T573" s="4">
        <v>19544494400</v>
      </c>
      <c r="V573" t="s">
        <v>13888</v>
      </c>
      <c r="W573" t="s">
        <v>13889</v>
      </c>
      <c r="X573" t="s">
        <v>13890</v>
      </c>
      <c r="Y573" t="s">
        <v>13891</v>
      </c>
      <c r="AA573" t="s">
        <v>3638</v>
      </c>
      <c r="AB573" t="s">
        <v>195</v>
      </c>
      <c r="AC573" s="3" t="str">
        <f>"33308"</f>
        <v>33308</v>
      </c>
      <c r="AD573" t="s">
        <v>128</v>
      </c>
      <c r="AF573" s="4">
        <v>19544494400</v>
      </c>
      <c r="AH573" t="str">
        <f>"713910"</f>
        <v>713910</v>
      </c>
      <c r="AI573" t="s">
        <v>287</v>
      </c>
      <c r="AJ573" t="s">
        <v>2209</v>
      </c>
      <c r="AK573" t="s">
        <v>1459</v>
      </c>
      <c r="AL573" t="s">
        <v>2210</v>
      </c>
      <c r="AM573" t="s">
        <v>2211</v>
      </c>
      <c r="AN573" t="s">
        <v>788</v>
      </c>
      <c r="AO573" t="s">
        <v>2212</v>
      </c>
      <c r="AP573" t="s">
        <v>400</v>
      </c>
      <c r="AQ573" s="5">
        <v>75033</v>
      </c>
      <c r="AR573" t="s">
        <v>128</v>
      </c>
      <c r="AT573" s="4">
        <v>19727789690</v>
      </c>
      <c r="AV573" t="s">
        <v>7179</v>
      </c>
      <c r="AW573" t="s">
        <v>2214</v>
      </c>
      <c r="AX573" t="s">
        <v>131</v>
      </c>
      <c r="AY573" t="s">
        <v>131</v>
      </c>
      <c r="AZ573" t="s">
        <v>131</v>
      </c>
      <c r="BA573" t="s">
        <v>131</v>
      </c>
      <c r="BB573" t="s">
        <v>131</v>
      </c>
      <c r="BC573" t="s">
        <v>131</v>
      </c>
      <c r="BD573" t="s">
        <v>131</v>
      </c>
      <c r="BE573" t="s">
        <v>132</v>
      </c>
      <c r="BH573" t="s">
        <v>13892</v>
      </c>
      <c r="BI573" t="s">
        <v>131</v>
      </c>
      <c r="BL573" t="s">
        <v>167</v>
      </c>
      <c r="BO573" t="s">
        <v>131</v>
      </c>
      <c r="BP573" t="s">
        <v>134</v>
      </c>
      <c r="BQ573" t="s">
        <v>131</v>
      </c>
      <c r="BS573" t="str">
        <f t="shared" si="44"/>
        <v>N/A</v>
      </c>
      <c r="BT573" t="s">
        <v>135</v>
      </c>
      <c r="BU573">
        <v>2</v>
      </c>
      <c r="BV573" t="str">
        <f>"Landscaping"</f>
        <v>Landscaping</v>
      </c>
      <c r="BW573" t="s">
        <v>135</v>
      </c>
      <c r="BX573" t="str">
        <f>""</f>
        <v/>
      </c>
      <c r="BY573" t="str">
        <f>""</f>
        <v/>
      </c>
      <c r="BZ573" t="str">
        <f>""</f>
        <v/>
      </c>
      <c r="CA573" t="str">
        <f>"Pre-employment background check, post-employment/injury/incident drug test required; costs paid by employer.
Applicants must be able to work a 5 day work schedule, may include holidays and weekends. Applicant must complete an employment application.  
"</f>
        <v xml:space="preserve">Pre-employment background check, post-employment/injury/incident drug test required; costs paid by employer.
Applicants must be able to work a 5 day work schedule, may include holidays and weekends. Applicant must complete an employment application.  
</v>
      </c>
      <c r="CB573" t="s">
        <v>131</v>
      </c>
      <c r="CF573" t="s">
        <v>131</v>
      </c>
      <c r="CH573" t="str">
        <f>""</f>
        <v/>
      </c>
      <c r="CI573" t="s">
        <v>131</v>
      </c>
      <c r="CK573" t="s">
        <v>131</v>
      </c>
      <c r="CL573" t="str">
        <f>""</f>
        <v/>
      </c>
      <c r="CM573" t="str">
        <f>""</f>
        <v/>
      </c>
      <c r="CN573" t="str">
        <f>""</f>
        <v/>
      </c>
      <c r="CO573" t="str">
        <f>""</f>
        <v/>
      </c>
      <c r="CP573" t="str">
        <f>"37-3011.00"</f>
        <v>37-3011.00</v>
      </c>
      <c r="CQ573" t="s">
        <v>920</v>
      </c>
      <c r="CS573" t="s">
        <v>131</v>
      </c>
      <c r="CU573" t="s">
        <v>13891</v>
      </c>
      <c r="CW573" t="s">
        <v>3638</v>
      </c>
      <c r="CX573" t="s">
        <v>195</v>
      </c>
      <c r="CZ573" s="3" t="str">
        <f>"33308"</f>
        <v>33308</v>
      </c>
      <c r="DA573" t="s">
        <v>131</v>
      </c>
      <c r="DB573" t="str">
        <f>"37-3011"</f>
        <v>37-3011</v>
      </c>
      <c r="DC573" t="s">
        <v>920</v>
      </c>
      <c r="DD573" t="s">
        <v>134</v>
      </c>
      <c r="DE573" t="s">
        <v>134</v>
      </c>
      <c r="DF573" t="str">
        <f>""</f>
        <v/>
      </c>
      <c r="DH573" s="6">
        <v>14.2</v>
      </c>
      <c r="DI573" t="s">
        <v>344</v>
      </c>
      <c r="DK573" t="s">
        <v>345</v>
      </c>
      <c r="DS573" s="6">
        <v>14.2</v>
      </c>
      <c r="DT573" t="s">
        <v>424</v>
      </c>
      <c r="DU573" s="1">
        <v>44361</v>
      </c>
      <c r="DV573" s="1">
        <v>44450</v>
      </c>
    </row>
    <row r="574" spans="1:126" ht="15" customHeight="1" x14ac:dyDescent="0.35">
      <c r="A574" t="s">
        <v>19884</v>
      </c>
      <c r="B574" t="s">
        <v>318</v>
      </c>
      <c r="C574" s="1">
        <v>44334</v>
      </c>
      <c r="D574" s="1">
        <v>44361</v>
      </c>
      <c r="H574" t="s">
        <v>319</v>
      </c>
      <c r="I574" t="s">
        <v>19885</v>
      </c>
      <c r="J574" t="s">
        <v>2108</v>
      </c>
      <c r="L574" t="s">
        <v>1105</v>
      </c>
      <c r="M574" t="s">
        <v>19886</v>
      </c>
      <c r="O574" t="s">
        <v>1679</v>
      </c>
      <c r="P574" t="s">
        <v>412</v>
      </c>
      <c r="Q574" s="3">
        <v>78041</v>
      </c>
      <c r="R574" t="s">
        <v>128</v>
      </c>
      <c r="T574" s="4">
        <v>12399385309</v>
      </c>
      <c r="V574" t="s">
        <v>19887</v>
      </c>
      <c r="W574" t="s">
        <v>19888</v>
      </c>
      <c r="Y574" t="s">
        <v>19886</v>
      </c>
      <c r="AA574" t="s">
        <v>1679</v>
      </c>
      <c r="AB574" t="s">
        <v>400</v>
      </c>
      <c r="AC574" s="3" t="str">
        <f>"78041"</f>
        <v>78041</v>
      </c>
      <c r="AD574" t="s">
        <v>128</v>
      </c>
      <c r="AF574" s="4">
        <v>12399385309</v>
      </c>
      <c r="AH574" t="str">
        <f>"484121"</f>
        <v>484121</v>
      </c>
      <c r="AI574" t="s">
        <v>130</v>
      </c>
      <c r="AJ574" t="s">
        <v>9315</v>
      </c>
      <c r="AK574" t="s">
        <v>3923</v>
      </c>
      <c r="AM574" t="s">
        <v>19889</v>
      </c>
      <c r="AN574" t="s">
        <v>19890</v>
      </c>
      <c r="AO574" t="s">
        <v>620</v>
      </c>
      <c r="AP574" t="s">
        <v>195</v>
      </c>
      <c r="AQ574" s="5">
        <v>33134</v>
      </c>
      <c r="AR574" t="s">
        <v>128</v>
      </c>
      <c r="AT574" s="4">
        <v>13054468686</v>
      </c>
      <c r="AV574" t="s">
        <v>19891</v>
      </c>
      <c r="AW574" t="s">
        <v>19892</v>
      </c>
      <c r="AX574" t="s">
        <v>131</v>
      </c>
      <c r="AY574" t="s">
        <v>131</v>
      </c>
      <c r="AZ574" t="s">
        <v>131</v>
      </c>
      <c r="BA574" t="s">
        <v>131</v>
      </c>
      <c r="BB574" t="s">
        <v>131</v>
      </c>
      <c r="BC574" t="s">
        <v>131</v>
      </c>
      <c r="BD574" t="s">
        <v>131</v>
      </c>
      <c r="BE574" t="s">
        <v>132</v>
      </c>
      <c r="BH574" t="s">
        <v>1714</v>
      </c>
      <c r="BI574" t="s">
        <v>131</v>
      </c>
      <c r="BL574" t="s">
        <v>401</v>
      </c>
      <c r="BO574" t="s">
        <v>131</v>
      </c>
      <c r="BP574" t="s">
        <v>134</v>
      </c>
      <c r="BQ574" t="s">
        <v>131</v>
      </c>
      <c r="BS574" t="str">
        <f t="shared" si="44"/>
        <v>N/A</v>
      </c>
      <c r="BT574" t="s">
        <v>135</v>
      </c>
      <c r="BU574">
        <v>12</v>
      </c>
      <c r="BV574" t="str">
        <f>"Truck Driver"</f>
        <v>Truck Driver</v>
      </c>
      <c r="BW574" t="s">
        <v>131</v>
      </c>
      <c r="BX574" t="str">
        <f>""</f>
        <v/>
      </c>
      <c r="BY574" t="str">
        <f>""</f>
        <v/>
      </c>
      <c r="BZ574" t="str">
        <f>""</f>
        <v/>
      </c>
      <c r="CA574" t="str">
        <f>""</f>
        <v/>
      </c>
      <c r="CB574" t="s">
        <v>131</v>
      </c>
      <c r="CF574" t="s">
        <v>131</v>
      </c>
      <c r="CH574" t="str">
        <f>""</f>
        <v/>
      </c>
      <c r="CI574" t="s">
        <v>131</v>
      </c>
      <c r="CK574" t="s">
        <v>131</v>
      </c>
      <c r="CL574" t="str">
        <f>""</f>
        <v/>
      </c>
      <c r="CM574" t="str">
        <f>""</f>
        <v/>
      </c>
      <c r="CN574" t="str">
        <f>""</f>
        <v/>
      </c>
      <c r="CO574" t="str">
        <f>""</f>
        <v/>
      </c>
      <c r="CP574" t="str">
        <f>"53-3032.00"</f>
        <v>53-3032.00</v>
      </c>
      <c r="CQ574" t="s">
        <v>1238</v>
      </c>
      <c r="CR574" t="s">
        <v>1703</v>
      </c>
      <c r="CS574" t="s">
        <v>135</v>
      </c>
      <c r="CT574" t="s">
        <v>19893</v>
      </c>
      <c r="CU574" t="s">
        <v>19886</v>
      </c>
      <c r="CW574" t="s">
        <v>1679</v>
      </c>
      <c r="CX574" t="s">
        <v>400</v>
      </c>
      <c r="CZ574" s="3" t="str">
        <f>"78041"</f>
        <v>78041</v>
      </c>
      <c r="DA574" t="s">
        <v>131</v>
      </c>
      <c r="DB574" t="str">
        <f>"53-3032"</f>
        <v>53-3032</v>
      </c>
      <c r="DC574" t="s">
        <v>1238</v>
      </c>
      <c r="DD574" t="s">
        <v>134</v>
      </c>
      <c r="DE574" t="s">
        <v>134</v>
      </c>
      <c r="DF574" t="str">
        <f>""</f>
        <v/>
      </c>
      <c r="DH574" s="6">
        <v>20.81</v>
      </c>
      <c r="DI574" t="s">
        <v>344</v>
      </c>
      <c r="DK574" t="s">
        <v>345</v>
      </c>
      <c r="DS574" s="6">
        <v>20.81</v>
      </c>
      <c r="DT574" s="2" t="s">
        <v>347</v>
      </c>
      <c r="DU574" s="1">
        <v>44361</v>
      </c>
      <c r="DV574" s="1">
        <v>44450</v>
      </c>
    </row>
    <row r="575" spans="1:126" ht="15" customHeight="1" x14ac:dyDescent="0.35">
      <c r="A575" t="s">
        <v>14992</v>
      </c>
      <c r="B575" t="s">
        <v>318</v>
      </c>
      <c r="C575" s="1">
        <v>44334</v>
      </c>
      <c r="D575" s="1">
        <v>44364</v>
      </c>
      <c r="H575" t="s">
        <v>319</v>
      </c>
      <c r="I575" t="s">
        <v>7210</v>
      </c>
      <c r="J575" t="s">
        <v>1949</v>
      </c>
      <c r="L575" t="s">
        <v>7672</v>
      </c>
      <c r="M575" t="s">
        <v>14993</v>
      </c>
      <c r="O575" t="s">
        <v>3082</v>
      </c>
      <c r="P575" t="s">
        <v>3075</v>
      </c>
      <c r="Q575" s="3">
        <v>83670</v>
      </c>
      <c r="R575" t="s">
        <v>128</v>
      </c>
      <c r="T575" s="4">
        <v>12083526166</v>
      </c>
      <c r="V575" t="s">
        <v>7674</v>
      </c>
      <c r="W575" t="s">
        <v>7675</v>
      </c>
      <c r="Y575" t="s">
        <v>7676</v>
      </c>
      <c r="AA575" t="s">
        <v>3082</v>
      </c>
      <c r="AB575" t="s">
        <v>1243</v>
      </c>
      <c r="AC575" s="3" t="str">
        <f>"83670"</f>
        <v>83670</v>
      </c>
      <c r="AD575" t="s">
        <v>128</v>
      </c>
      <c r="AF575" s="4">
        <v>12083526166</v>
      </c>
      <c r="AH575" t="str">
        <f>"72251"</f>
        <v>72251</v>
      </c>
      <c r="AI575" t="s">
        <v>130</v>
      </c>
      <c r="AJ575" t="s">
        <v>3079</v>
      </c>
      <c r="AK575" t="s">
        <v>1616</v>
      </c>
      <c r="AL575" t="s">
        <v>1198</v>
      </c>
      <c r="AM575" t="s">
        <v>3080</v>
      </c>
      <c r="AN575" t="s">
        <v>3081</v>
      </c>
      <c r="AO575" t="s">
        <v>3082</v>
      </c>
      <c r="AP575" t="s">
        <v>1243</v>
      </c>
      <c r="AQ575" s="5">
        <v>83670</v>
      </c>
      <c r="AR575" t="s">
        <v>128</v>
      </c>
      <c r="AT575" s="4">
        <v>12083984969</v>
      </c>
      <c r="AV575" t="s">
        <v>3083</v>
      </c>
      <c r="AW575" t="s">
        <v>3084</v>
      </c>
      <c r="AX575" t="s">
        <v>131</v>
      </c>
      <c r="AY575" t="s">
        <v>131</v>
      </c>
      <c r="AZ575" t="s">
        <v>131</v>
      </c>
      <c r="BA575" t="s">
        <v>131</v>
      </c>
      <c r="BB575" t="s">
        <v>131</v>
      </c>
      <c r="BC575" t="s">
        <v>131</v>
      </c>
      <c r="BD575" t="s">
        <v>131</v>
      </c>
      <c r="BE575" t="s">
        <v>132</v>
      </c>
      <c r="BH575" t="s">
        <v>1213</v>
      </c>
      <c r="BI575" t="s">
        <v>131</v>
      </c>
      <c r="BL575" t="s">
        <v>167</v>
      </c>
      <c r="BO575" t="s">
        <v>131</v>
      </c>
      <c r="BP575" t="s">
        <v>134</v>
      </c>
      <c r="BQ575" t="s">
        <v>131</v>
      </c>
      <c r="BS575" t="str">
        <f t="shared" si="44"/>
        <v>N/A</v>
      </c>
      <c r="BT575" t="s">
        <v>135</v>
      </c>
      <c r="BU575">
        <v>3</v>
      </c>
      <c r="BV575" t="str">
        <f>"Some background and experience as waiter/waitress."</f>
        <v>Some background and experience as waiter/waitress.</v>
      </c>
      <c r="BW575" t="s">
        <v>135</v>
      </c>
      <c r="BX575" t="str">
        <f>""</f>
        <v/>
      </c>
      <c r="BY575" t="str">
        <f>"English."</f>
        <v>English.</v>
      </c>
      <c r="BZ575" t="str">
        <f>""</f>
        <v/>
      </c>
      <c r="CA575" t="str">
        <f>"Lift 25 pounds, stand for all or most of work shift. Be at least 19 years of age to serve alcohol."</f>
        <v>Lift 25 pounds, stand for all or most of work shift. Be at least 19 years of age to serve alcohol.</v>
      </c>
      <c r="CB575" t="s">
        <v>131</v>
      </c>
      <c r="CF575" t="s">
        <v>131</v>
      </c>
      <c r="CH575" t="str">
        <f>""</f>
        <v/>
      </c>
      <c r="CI575" t="s">
        <v>131</v>
      </c>
      <c r="CK575" t="s">
        <v>131</v>
      </c>
      <c r="CL575" t="str">
        <f>""</f>
        <v/>
      </c>
      <c r="CM575" t="str">
        <f>""</f>
        <v/>
      </c>
      <c r="CN575" t="str">
        <f>""</f>
        <v/>
      </c>
      <c r="CO575" t="str">
        <f>""</f>
        <v/>
      </c>
      <c r="CP575" t="str">
        <f>"35-3031.00"</f>
        <v>35-3031.00</v>
      </c>
      <c r="CQ575" t="s">
        <v>1214</v>
      </c>
      <c r="CR575" t="s">
        <v>460</v>
      </c>
      <c r="CS575" t="s">
        <v>131</v>
      </c>
      <c r="CU575" t="s">
        <v>14993</v>
      </c>
      <c r="CW575" t="s">
        <v>3082</v>
      </c>
      <c r="CX575" t="s">
        <v>1243</v>
      </c>
      <c r="CZ575" s="3" t="str">
        <f>"83670"</f>
        <v>83670</v>
      </c>
      <c r="DA575" t="s">
        <v>131</v>
      </c>
      <c r="DB575" t="str">
        <f>"35-3031"</f>
        <v>35-3031</v>
      </c>
      <c r="DC575" t="s">
        <v>1214</v>
      </c>
      <c r="DD575" t="s">
        <v>134</v>
      </c>
      <c r="DE575" t="s">
        <v>134</v>
      </c>
      <c r="DF575" t="str">
        <f>""</f>
        <v/>
      </c>
      <c r="DH575" s="6">
        <v>11.3</v>
      </c>
      <c r="DI575" t="s">
        <v>344</v>
      </c>
      <c r="DK575" t="s">
        <v>345</v>
      </c>
      <c r="DS575" s="6">
        <v>11.3</v>
      </c>
      <c r="DT575" t="s">
        <v>424</v>
      </c>
      <c r="DU575" s="1">
        <v>44364</v>
      </c>
      <c r="DV575" s="1">
        <v>44453</v>
      </c>
    </row>
    <row r="576" spans="1:126" ht="15" customHeight="1" x14ac:dyDescent="0.35">
      <c r="A576" t="s">
        <v>7671</v>
      </c>
      <c r="B576" t="s">
        <v>318</v>
      </c>
      <c r="C576" s="1">
        <v>44334</v>
      </c>
      <c r="D576" s="1">
        <v>44364</v>
      </c>
      <c r="H576" t="s">
        <v>319</v>
      </c>
      <c r="I576" t="s">
        <v>7210</v>
      </c>
      <c r="J576" t="s">
        <v>1949</v>
      </c>
      <c r="L576" t="s">
        <v>7672</v>
      </c>
      <c r="M576" t="s">
        <v>7673</v>
      </c>
      <c r="O576" t="s">
        <v>3082</v>
      </c>
      <c r="P576" t="s">
        <v>3075</v>
      </c>
      <c r="Q576" s="3">
        <v>83670</v>
      </c>
      <c r="R576" t="s">
        <v>128</v>
      </c>
      <c r="T576" s="4">
        <v>12084778961</v>
      </c>
      <c r="V576" t="s">
        <v>7674</v>
      </c>
      <c r="W576" t="s">
        <v>7675</v>
      </c>
      <c r="Y576" t="s">
        <v>7676</v>
      </c>
      <c r="AA576" t="s">
        <v>3082</v>
      </c>
      <c r="AB576" t="s">
        <v>1243</v>
      </c>
      <c r="AC576" s="3" t="str">
        <f>"83670"</f>
        <v>83670</v>
      </c>
      <c r="AD576" t="s">
        <v>128</v>
      </c>
      <c r="AF576" s="4">
        <v>12083526166</v>
      </c>
      <c r="AH576" t="str">
        <f>"72251"</f>
        <v>72251</v>
      </c>
      <c r="AI576" t="s">
        <v>130</v>
      </c>
      <c r="AJ576" t="s">
        <v>3079</v>
      </c>
      <c r="AK576" t="s">
        <v>1616</v>
      </c>
      <c r="AL576" t="s">
        <v>1198</v>
      </c>
      <c r="AM576" t="s">
        <v>3080</v>
      </c>
      <c r="AN576" t="s">
        <v>3081</v>
      </c>
      <c r="AO576" t="s">
        <v>3082</v>
      </c>
      <c r="AP576" t="s">
        <v>1243</v>
      </c>
      <c r="AQ576" s="5">
        <v>83670</v>
      </c>
      <c r="AR576" t="s">
        <v>128</v>
      </c>
      <c r="AT576" s="4">
        <v>12083984969</v>
      </c>
      <c r="AV576" t="s">
        <v>3083</v>
      </c>
      <c r="AW576" t="s">
        <v>3084</v>
      </c>
      <c r="AX576" t="s">
        <v>131</v>
      </c>
      <c r="AY576" t="s">
        <v>131</v>
      </c>
      <c r="AZ576" t="s">
        <v>131</v>
      </c>
      <c r="BA576" t="s">
        <v>131</v>
      </c>
      <c r="BB576" t="s">
        <v>131</v>
      </c>
      <c r="BC576" t="s">
        <v>131</v>
      </c>
      <c r="BD576" t="s">
        <v>131</v>
      </c>
      <c r="BE576" t="s">
        <v>132</v>
      </c>
      <c r="BH576" t="s">
        <v>7677</v>
      </c>
      <c r="BI576" t="s">
        <v>131</v>
      </c>
      <c r="BL576" t="s">
        <v>167</v>
      </c>
      <c r="BO576" t="s">
        <v>131</v>
      </c>
      <c r="BP576" t="s">
        <v>134</v>
      </c>
      <c r="BQ576" t="s">
        <v>131</v>
      </c>
      <c r="BS576" t="str">
        <f t="shared" si="44"/>
        <v>N/A</v>
      </c>
      <c r="BT576" t="s">
        <v>131</v>
      </c>
      <c r="BV576" t="str">
        <f>""</f>
        <v/>
      </c>
      <c r="BW576" t="s">
        <v>135</v>
      </c>
      <c r="BX576" t="str">
        <f>""</f>
        <v/>
      </c>
      <c r="BY576" t="str">
        <f>""</f>
        <v/>
      </c>
      <c r="BZ576" t="str">
        <f>""</f>
        <v/>
      </c>
      <c r="CA576" t="str">
        <f>"Lift 50 pounds. Stand for all or most of shift."</f>
        <v>Lift 50 pounds. Stand for all or most of shift.</v>
      </c>
      <c r="CB576" t="s">
        <v>131</v>
      </c>
      <c r="CF576" t="s">
        <v>131</v>
      </c>
      <c r="CH576" t="str">
        <f>""</f>
        <v/>
      </c>
      <c r="CI576" t="s">
        <v>131</v>
      </c>
      <c r="CK576" t="s">
        <v>131</v>
      </c>
      <c r="CL576" t="str">
        <f>""</f>
        <v/>
      </c>
      <c r="CM576" t="str">
        <f>""</f>
        <v/>
      </c>
      <c r="CN576" t="str">
        <f>""</f>
        <v/>
      </c>
      <c r="CO576" t="str">
        <f>""</f>
        <v/>
      </c>
      <c r="CP576" t="str">
        <f>"35-2021.00"</f>
        <v>35-2021.00</v>
      </c>
      <c r="CQ576" t="s">
        <v>1749</v>
      </c>
      <c r="CR576" t="s">
        <v>460</v>
      </c>
      <c r="CS576" t="s">
        <v>131</v>
      </c>
      <c r="CU576" t="s">
        <v>7673</v>
      </c>
      <c r="CW576" t="s">
        <v>3082</v>
      </c>
      <c r="CX576" t="s">
        <v>1243</v>
      </c>
      <c r="CZ576" s="3" t="str">
        <f>"83670"</f>
        <v>83670</v>
      </c>
      <c r="DA576" t="s">
        <v>131</v>
      </c>
      <c r="DB576" t="str">
        <f>"35-3021"</f>
        <v>35-3021</v>
      </c>
      <c r="DC576" t="s">
        <v>2581</v>
      </c>
      <c r="DD576" t="s">
        <v>134</v>
      </c>
      <c r="DE576" t="s">
        <v>134</v>
      </c>
      <c r="DF576" t="str">
        <f>""</f>
        <v/>
      </c>
      <c r="DH576" s="6">
        <v>9.73</v>
      </c>
      <c r="DI576" t="s">
        <v>344</v>
      </c>
      <c r="DK576" t="s">
        <v>345</v>
      </c>
      <c r="DS576" s="6">
        <v>9.73</v>
      </c>
      <c r="DT576" t="s">
        <v>424</v>
      </c>
      <c r="DU576" s="1">
        <v>44364</v>
      </c>
      <c r="DV576" s="1">
        <v>44453</v>
      </c>
    </row>
    <row r="577" spans="1:126" ht="15" customHeight="1" x14ac:dyDescent="0.35">
      <c r="A577" t="s">
        <v>19822</v>
      </c>
      <c r="B577" t="s">
        <v>318</v>
      </c>
      <c r="C577" s="1">
        <v>44334</v>
      </c>
      <c r="D577" s="1">
        <v>44364</v>
      </c>
      <c r="H577" t="s">
        <v>319</v>
      </c>
      <c r="I577" t="s">
        <v>7210</v>
      </c>
      <c r="J577" t="s">
        <v>1949</v>
      </c>
      <c r="L577" t="s">
        <v>7672</v>
      </c>
      <c r="M577" t="s">
        <v>7673</v>
      </c>
      <c r="O577" t="s">
        <v>3082</v>
      </c>
      <c r="P577" t="s">
        <v>3075</v>
      </c>
      <c r="Q577" s="3" t="s">
        <v>19823</v>
      </c>
      <c r="R577" t="s">
        <v>128</v>
      </c>
      <c r="T577" s="4">
        <v>12084778961</v>
      </c>
      <c r="V577" t="s">
        <v>7674</v>
      </c>
      <c r="W577" t="s">
        <v>7675</v>
      </c>
      <c r="Y577" t="s">
        <v>7676</v>
      </c>
      <c r="AA577" t="s">
        <v>3082</v>
      </c>
      <c r="AB577" t="s">
        <v>1243</v>
      </c>
      <c r="AC577" s="3" t="str">
        <f>"83670"</f>
        <v>83670</v>
      </c>
      <c r="AD577" t="s">
        <v>128</v>
      </c>
      <c r="AF577" s="4">
        <v>12083526166</v>
      </c>
      <c r="AH577" t="str">
        <f>"72251"</f>
        <v>72251</v>
      </c>
      <c r="AI577" t="s">
        <v>130</v>
      </c>
      <c r="AJ577" t="s">
        <v>3079</v>
      </c>
      <c r="AK577" t="s">
        <v>1616</v>
      </c>
      <c r="AL577" t="s">
        <v>1198</v>
      </c>
      <c r="AM577" t="s">
        <v>3080</v>
      </c>
      <c r="AN577" t="s">
        <v>3081</v>
      </c>
      <c r="AO577" t="s">
        <v>3082</v>
      </c>
      <c r="AP577" t="s">
        <v>1243</v>
      </c>
      <c r="AQ577" s="5">
        <v>83670</v>
      </c>
      <c r="AR577" t="s">
        <v>128</v>
      </c>
      <c r="AT577" s="4">
        <v>12083984969</v>
      </c>
      <c r="AV577" t="s">
        <v>3083</v>
      </c>
      <c r="AW577" t="s">
        <v>3084</v>
      </c>
      <c r="AX577" t="s">
        <v>131</v>
      </c>
      <c r="AY577" t="s">
        <v>131</v>
      </c>
      <c r="AZ577" t="s">
        <v>131</v>
      </c>
      <c r="BA577" t="s">
        <v>131</v>
      </c>
      <c r="BB577" t="s">
        <v>131</v>
      </c>
      <c r="BC577" t="s">
        <v>131</v>
      </c>
      <c r="BD577" t="s">
        <v>131</v>
      </c>
      <c r="BE577" t="s">
        <v>132</v>
      </c>
      <c r="BH577" t="s">
        <v>2550</v>
      </c>
      <c r="BI577" t="s">
        <v>131</v>
      </c>
      <c r="BL577" t="s">
        <v>167</v>
      </c>
      <c r="BO577" t="s">
        <v>131</v>
      </c>
      <c r="BP577" t="s">
        <v>134</v>
      </c>
      <c r="BQ577" t="s">
        <v>131</v>
      </c>
      <c r="BS577" t="str">
        <f t="shared" si="44"/>
        <v>N/A</v>
      </c>
      <c r="BT577" t="s">
        <v>131</v>
      </c>
      <c r="BV577" t="str">
        <f>""</f>
        <v/>
      </c>
      <c r="BW577" t="s">
        <v>135</v>
      </c>
      <c r="BX577" t="str">
        <f>""</f>
        <v/>
      </c>
      <c r="BY577" t="str">
        <f>""</f>
        <v/>
      </c>
      <c r="BZ577" t="str">
        <f>""</f>
        <v/>
      </c>
      <c r="CA577" t="str">
        <f>"Lift 50 pounds. Stand for all or most of the work shift."</f>
        <v>Lift 50 pounds. Stand for all or most of the work shift.</v>
      </c>
      <c r="CB577" t="s">
        <v>131</v>
      </c>
      <c r="CF577" t="s">
        <v>131</v>
      </c>
      <c r="CH577" t="str">
        <f>""</f>
        <v/>
      </c>
      <c r="CI577" t="s">
        <v>131</v>
      </c>
      <c r="CK577" t="s">
        <v>131</v>
      </c>
      <c r="CL577" t="str">
        <f>""</f>
        <v/>
      </c>
      <c r="CM577" t="str">
        <f>""</f>
        <v/>
      </c>
      <c r="CN577" t="str">
        <f>""</f>
        <v/>
      </c>
      <c r="CO577" t="str">
        <f>""</f>
        <v/>
      </c>
      <c r="CP577" t="str">
        <f>"35-9021.00"</f>
        <v>35-9021.00</v>
      </c>
      <c r="CQ577" t="s">
        <v>2552</v>
      </c>
      <c r="CR577" t="s">
        <v>460</v>
      </c>
      <c r="CS577" t="s">
        <v>131</v>
      </c>
      <c r="CU577" t="s">
        <v>19824</v>
      </c>
      <c r="CW577" t="s">
        <v>3082</v>
      </c>
      <c r="CX577" t="s">
        <v>1243</v>
      </c>
      <c r="CZ577" s="3" t="str">
        <f>"83670"</f>
        <v>83670</v>
      </c>
      <c r="DA577" t="s">
        <v>131</v>
      </c>
      <c r="DB577" t="str">
        <f>"35-9021"</f>
        <v>35-9021</v>
      </c>
      <c r="DC577" t="s">
        <v>2552</v>
      </c>
      <c r="DD577" t="s">
        <v>134</v>
      </c>
      <c r="DE577" t="s">
        <v>134</v>
      </c>
      <c r="DF577" t="str">
        <f>""</f>
        <v/>
      </c>
      <c r="DH577" s="6">
        <v>10.68</v>
      </c>
      <c r="DI577" t="s">
        <v>344</v>
      </c>
      <c r="DK577" t="s">
        <v>345</v>
      </c>
      <c r="DS577" s="6">
        <v>10.68</v>
      </c>
      <c r="DT577" t="s">
        <v>424</v>
      </c>
      <c r="DU577" s="1">
        <v>44364</v>
      </c>
      <c r="DV577" s="1">
        <v>44453</v>
      </c>
    </row>
    <row r="578" spans="1:126" ht="15" customHeight="1" x14ac:dyDescent="0.35">
      <c r="A578" t="s">
        <v>19266</v>
      </c>
      <c r="B578" t="s">
        <v>318</v>
      </c>
      <c r="C578" s="1">
        <v>44334</v>
      </c>
      <c r="D578" s="1">
        <v>44364</v>
      </c>
      <c r="H578" t="s">
        <v>319</v>
      </c>
      <c r="I578" t="s">
        <v>19267</v>
      </c>
      <c r="J578" t="s">
        <v>19268</v>
      </c>
      <c r="L578" t="s">
        <v>1205</v>
      </c>
      <c r="M578" t="s">
        <v>19269</v>
      </c>
      <c r="O578" t="s">
        <v>5990</v>
      </c>
      <c r="P578" t="s">
        <v>3898</v>
      </c>
      <c r="Q578" s="3">
        <v>42001</v>
      </c>
      <c r="R578" t="s">
        <v>128</v>
      </c>
      <c r="T578" s="4">
        <v>12704440011</v>
      </c>
      <c r="V578" t="s">
        <v>19270</v>
      </c>
      <c r="W578" t="s">
        <v>19271</v>
      </c>
      <c r="Y578" t="s">
        <v>19269</v>
      </c>
      <c r="AA578" t="s">
        <v>5990</v>
      </c>
      <c r="AB578" t="s">
        <v>2436</v>
      </c>
      <c r="AC578" s="3" t="str">
        <f>"42001"</f>
        <v>42001</v>
      </c>
      <c r="AD578" t="s">
        <v>128</v>
      </c>
      <c r="AF578" s="4">
        <v>12704440011</v>
      </c>
      <c r="AH578" t="str">
        <f>"811111"</f>
        <v>811111</v>
      </c>
      <c r="AI578" t="s">
        <v>167</v>
      </c>
      <c r="AX578" t="s">
        <v>131</v>
      </c>
      <c r="AY578" t="s">
        <v>131</v>
      </c>
      <c r="AZ578" t="s">
        <v>131</v>
      </c>
      <c r="BA578" t="s">
        <v>131</v>
      </c>
      <c r="BB578" t="s">
        <v>131</v>
      </c>
      <c r="BC578" t="s">
        <v>131</v>
      </c>
      <c r="BD578" t="s">
        <v>131</v>
      </c>
      <c r="BE578" t="s">
        <v>160</v>
      </c>
      <c r="BF578" t="s">
        <v>19272</v>
      </c>
      <c r="BG578" s="1">
        <v>44013</v>
      </c>
      <c r="BH578" t="s">
        <v>19273</v>
      </c>
      <c r="BI578" t="s">
        <v>131</v>
      </c>
      <c r="BL578" t="s">
        <v>167</v>
      </c>
      <c r="BO578" t="s">
        <v>131</v>
      </c>
      <c r="BP578" t="s">
        <v>134</v>
      </c>
      <c r="BQ578" t="s">
        <v>131</v>
      </c>
      <c r="BS578" t="str">
        <f t="shared" si="44"/>
        <v>N/A</v>
      </c>
      <c r="BT578" t="s">
        <v>135</v>
      </c>
      <c r="BU578">
        <v>60</v>
      </c>
      <c r="BV578" t="str">
        <f>"automotive diagnosis and repair"</f>
        <v>automotive diagnosis and repair</v>
      </c>
      <c r="BW578" t="s">
        <v>131</v>
      </c>
      <c r="BX578" t="str">
        <f>""</f>
        <v/>
      </c>
      <c r="BY578" t="str">
        <f>""</f>
        <v/>
      </c>
      <c r="BZ578" t="str">
        <f>""</f>
        <v/>
      </c>
      <c r="CA578" t="str">
        <f>""</f>
        <v/>
      </c>
      <c r="CB578" t="s">
        <v>131</v>
      </c>
      <c r="CF578" t="s">
        <v>131</v>
      </c>
      <c r="CH578" t="str">
        <f>""</f>
        <v/>
      </c>
      <c r="CI578" t="s">
        <v>131</v>
      </c>
      <c r="CK578" t="s">
        <v>131</v>
      </c>
      <c r="CL578" t="str">
        <f>""</f>
        <v/>
      </c>
      <c r="CM578" t="str">
        <f>""</f>
        <v/>
      </c>
      <c r="CN578" t="str">
        <f>""</f>
        <v/>
      </c>
      <c r="CO578" t="str">
        <f>""</f>
        <v/>
      </c>
      <c r="CP578" t="str">
        <f>"49-3023.00"</f>
        <v>49-3023.00</v>
      </c>
      <c r="CQ578" t="s">
        <v>11138</v>
      </c>
      <c r="CR578" t="s">
        <v>1205</v>
      </c>
      <c r="CS578" t="s">
        <v>131</v>
      </c>
      <c r="CU578" t="s">
        <v>19269</v>
      </c>
      <c r="CW578" t="s">
        <v>5990</v>
      </c>
      <c r="CX578" t="s">
        <v>2436</v>
      </c>
      <c r="CZ578" s="3" t="str">
        <f>"42001"</f>
        <v>42001</v>
      </c>
      <c r="DA578" t="s">
        <v>131</v>
      </c>
      <c r="DB578" t="str">
        <f>"49-3023"</f>
        <v>49-3023</v>
      </c>
      <c r="DC578" t="s">
        <v>11138</v>
      </c>
      <c r="DD578" t="s">
        <v>19274</v>
      </c>
      <c r="DE578" t="s">
        <v>12304</v>
      </c>
      <c r="DF578" t="str">
        <f>""</f>
        <v/>
      </c>
      <c r="DH578" s="6">
        <v>15.4</v>
      </c>
      <c r="DI578" t="s">
        <v>344</v>
      </c>
      <c r="DK578" t="s">
        <v>345</v>
      </c>
      <c r="DR578" t="s">
        <v>19275</v>
      </c>
      <c r="DS578" s="6">
        <v>15.4</v>
      </c>
      <c r="DT578" s="2" t="s">
        <v>15494</v>
      </c>
      <c r="DU578" s="1">
        <v>44364</v>
      </c>
      <c r="DV578" s="1">
        <v>44453</v>
      </c>
    </row>
    <row r="579" spans="1:126" ht="15" customHeight="1" x14ac:dyDescent="0.35">
      <c r="A579" t="s">
        <v>6829</v>
      </c>
      <c r="B579" t="s">
        <v>318</v>
      </c>
      <c r="C579" s="1">
        <v>44334</v>
      </c>
      <c r="D579" s="1">
        <v>44361</v>
      </c>
      <c r="H579" t="s">
        <v>319</v>
      </c>
      <c r="I579" t="s">
        <v>6830</v>
      </c>
      <c r="J579" t="s">
        <v>5364</v>
      </c>
      <c r="L579" t="s">
        <v>1105</v>
      </c>
      <c r="M579" t="s">
        <v>6831</v>
      </c>
      <c r="O579" t="s">
        <v>856</v>
      </c>
      <c r="P579" t="s">
        <v>857</v>
      </c>
      <c r="Q579" s="3">
        <v>85286</v>
      </c>
      <c r="R579" t="s">
        <v>128</v>
      </c>
      <c r="T579" s="4">
        <v>14802423645</v>
      </c>
      <c r="V579" t="s">
        <v>6832</v>
      </c>
      <c r="W579" t="s">
        <v>6833</v>
      </c>
      <c r="Y579" t="s">
        <v>6831</v>
      </c>
      <c r="AA579" t="s">
        <v>856</v>
      </c>
      <c r="AB579" t="s">
        <v>808</v>
      </c>
      <c r="AC579" s="3" t="str">
        <f>"85286"</f>
        <v>85286</v>
      </c>
      <c r="AD579" t="s">
        <v>128</v>
      </c>
      <c r="AF579" s="4">
        <v>14802423645</v>
      </c>
      <c r="AH579" t="str">
        <f>"722330"</f>
        <v>722330</v>
      </c>
      <c r="AI579" t="s">
        <v>287</v>
      </c>
      <c r="AJ579" t="s">
        <v>2209</v>
      </c>
      <c r="AK579" t="s">
        <v>1459</v>
      </c>
      <c r="AL579" t="s">
        <v>2210</v>
      </c>
      <c r="AM579" t="s">
        <v>2211</v>
      </c>
      <c r="AN579" t="s">
        <v>788</v>
      </c>
      <c r="AO579" t="s">
        <v>2212</v>
      </c>
      <c r="AP579" t="s">
        <v>400</v>
      </c>
      <c r="AQ579" s="5">
        <v>75033</v>
      </c>
      <c r="AR579" t="s">
        <v>128</v>
      </c>
      <c r="AT579" s="4">
        <v>19727789690</v>
      </c>
      <c r="AV579" t="s">
        <v>6834</v>
      </c>
      <c r="AW579" t="s">
        <v>2214</v>
      </c>
      <c r="AX579" t="s">
        <v>131</v>
      </c>
      <c r="AY579" t="s">
        <v>131</v>
      </c>
      <c r="AZ579" t="s">
        <v>131</v>
      </c>
      <c r="BA579" t="s">
        <v>131</v>
      </c>
      <c r="BB579" t="s">
        <v>131</v>
      </c>
      <c r="BC579" t="s">
        <v>131</v>
      </c>
      <c r="BD579" t="s">
        <v>131</v>
      </c>
      <c r="BE579" t="s">
        <v>132</v>
      </c>
      <c r="BH579" t="s">
        <v>6835</v>
      </c>
      <c r="BI579" t="s">
        <v>131</v>
      </c>
      <c r="BL579" t="s">
        <v>167</v>
      </c>
      <c r="BO579" t="s">
        <v>131</v>
      </c>
      <c r="BP579" t="s">
        <v>134</v>
      </c>
      <c r="BQ579" t="s">
        <v>131</v>
      </c>
      <c r="BS579" t="str">
        <f t="shared" si="44"/>
        <v>N/A</v>
      </c>
      <c r="BT579" t="s">
        <v>131</v>
      </c>
      <c r="BV579" t="str">
        <f>""</f>
        <v/>
      </c>
      <c r="BW579" t="s">
        <v>135</v>
      </c>
      <c r="BX579" t="str">
        <f>""</f>
        <v/>
      </c>
      <c r="BY579" t="str">
        <f>""</f>
        <v/>
      </c>
      <c r="BZ579" t="str">
        <f>""</f>
        <v/>
      </c>
      <c r="CA579" t="str">
        <f>" Must be willing to work up to 7days/wk. Applicants must cooperate with and complete job application and interview truthfully."</f>
        <v xml:space="preserve"> Must be willing to work up to 7days/wk. Applicants must cooperate with and complete job application and interview truthfully.</v>
      </c>
      <c r="CB579" t="s">
        <v>131</v>
      </c>
      <c r="CF579" t="s">
        <v>131</v>
      </c>
      <c r="CH579" t="str">
        <f>""</f>
        <v/>
      </c>
      <c r="CI579" t="s">
        <v>131</v>
      </c>
      <c r="CK579" t="s">
        <v>131</v>
      </c>
      <c r="CL579" t="str">
        <f>""</f>
        <v/>
      </c>
      <c r="CM579" t="str">
        <f>""</f>
        <v/>
      </c>
      <c r="CN579" t="str">
        <f>""</f>
        <v/>
      </c>
      <c r="CO579" t="str">
        <f>""</f>
        <v/>
      </c>
      <c r="CP579" t="str">
        <f>"39-3091.00"</f>
        <v>39-3091.00</v>
      </c>
      <c r="CQ579" t="s">
        <v>1374</v>
      </c>
      <c r="CS579" t="s">
        <v>135</v>
      </c>
      <c r="CT579" t="s">
        <v>6836</v>
      </c>
      <c r="CU579" t="s">
        <v>6831</v>
      </c>
      <c r="CW579" t="s">
        <v>856</v>
      </c>
      <c r="CX579" t="s">
        <v>808</v>
      </c>
      <c r="CZ579" s="3" t="str">
        <f>"85286"</f>
        <v>85286</v>
      </c>
      <c r="DA579" t="s">
        <v>135</v>
      </c>
      <c r="DB579" t="str">
        <f>"39-3091"</f>
        <v>39-3091</v>
      </c>
      <c r="DC579" t="s">
        <v>1374</v>
      </c>
      <c r="DD579" t="s">
        <v>134</v>
      </c>
      <c r="DE579" t="s">
        <v>134</v>
      </c>
      <c r="DF579" t="str">
        <f>"35-3022.00"</f>
        <v>35-3022.00</v>
      </c>
      <c r="DG579" t="s">
        <v>5154</v>
      </c>
      <c r="DH579" s="6">
        <v>12.54</v>
      </c>
      <c r="DI579" t="s">
        <v>344</v>
      </c>
      <c r="DK579" t="s">
        <v>345</v>
      </c>
      <c r="DS579" s="6">
        <v>15.01</v>
      </c>
      <c r="DT579" s="2" t="s">
        <v>347</v>
      </c>
      <c r="DU579" s="1">
        <v>44361</v>
      </c>
      <c r="DV579" s="1">
        <v>44450</v>
      </c>
    </row>
    <row r="580" spans="1:126" ht="15" customHeight="1" x14ac:dyDescent="0.35">
      <c r="A580" t="s">
        <v>12886</v>
      </c>
      <c r="B580" t="s">
        <v>318</v>
      </c>
      <c r="C580" s="1">
        <v>44334</v>
      </c>
      <c r="D580" s="1">
        <v>44369</v>
      </c>
      <c r="H580" t="s">
        <v>319</v>
      </c>
      <c r="I580" t="s">
        <v>1121</v>
      </c>
      <c r="J580" t="s">
        <v>11916</v>
      </c>
      <c r="K580" t="s">
        <v>1253</v>
      </c>
      <c r="L580" t="s">
        <v>1105</v>
      </c>
      <c r="M580" t="s">
        <v>12887</v>
      </c>
      <c r="O580" t="s">
        <v>4160</v>
      </c>
      <c r="P580" t="s">
        <v>1217</v>
      </c>
      <c r="Q580" s="3">
        <v>35045</v>
      </c>
      <c r="R580" t="s">
        <v>128</v>
      </c>
      <c r="T580" s="4">
        <v>12052452159</v>
      </c>
      <c r="V580" t="s">
        <v>12888</v>
      </c>
      <c r="W580" t="s">
        <v>12889</v>
      </c>
      <c r="Y580" t="s">
        <v>12887</v>
      </c>
      <c r="AA580" t="s">
        <v>4160</v>
      </c>
      <c r="AB580" t="s">
        <v>1218</v>
      </c>
      <c r="AC580" s="3" t="str">
        <f>"35045"</f>
        <v>35045</v>
      </c>
      <c r="AD580" t="s">
        <v>128</v>
      </c>
      <c r="AF580" s="4">
        <v>12052452159</v>
      </c>
      <c r="AH580" t="str">
        <f>"11531"</f>
        <v>11531</v>
      </c>
      <c r="AI580" t="s">
        <v>287</v>
      </c>
      <c r="AJ580" t="s">
        <v>2046</v>
      </c>
      <c r="AK580" t="s">
        <v>2047</v>
      </c>
      <c r="AL580" t="s">
        <v>134</v>
      </c>
      <c r="AM580" t="s">
        <v>2048</v>
      </c>
      <c r="AN580" t="s">
        <v>2049</v>
      </c>
      <c r="AO580" t="s">
        <v>2050</v>
      </c>
      <c r="AP580" t="s">
        <v>1243</v>
      </c>
      <c r="AQ580" s="5">
        <v>83814</v>
      </c>
      <c r="AR580" t="s">
        <v>128</v>
      </c>
      <c r="AT580" s="4">
        <v>12087772654</v>
      </c>
      <c r="AV580" t="s">
        <v>2051</v>
      </c>
      <c r="AW580" t="s">
        <v>2052</v>
      </c>
      <c r="AX580" t="s">
        <v>131</v>
      </c>
      <c r="AY580" t="s">
        <v>131</v>
      </c>
      <c r="AZ580" t="s">
        <v>131</v>
      </c>
      <c r="BA580" t="s">
        <v>131</v>
      </c>
      <c r="BB580" t="s">
        <v>131</v>
      </c>
      <c r="BC580" t="s">
        <v>131</v>
      </c>
      <c r="BD580" t="s">
        <v>131</v>
      </c>
      <c r="BE580" t="s">
        <v>132</v>
      </c>
      <c r="BH580" t="s">
        <v>12890</v>
      </c>
      <c r="BI580" t="s">
        <v>131</v>
      </c>
      <c r="BL580" t="s">
        <v>167</v>
      </c>
      <c r="BO580" t="s">
        <v>131</v>
      </c>
      <c r="BP580" t="s">
        <v>134</v>
      </c>
      <c r="BQ580" t="s">
        <v>131</v>
      </c>
      <c r="BS580" t="str">
        <f t="shared" si="44"/>
        <v>N/A</v>
      </c>
      <c r="BT580" t="s">
        <v>135</v>
      </c>
      <c r="BU580">
        <v>3</v>
      </c>
      <c r="BV580" t="str">
        <f>"Commercial Brushsaw/Chainsaw"</f>
        <v>Commercial Brushsaw/Chainsaw</v>
      </c>
      <c r="BW580" t="s">
        <v>135</v>
      </c>
      <c r="BX580" t="str">
        <f>""</f>
        <v/>
      </c>
      <c r="BY580" t="str">
        <f>""</f>
        <v/>
      </c>
      <c r="BZ580" t="str">
        <f>""</f>
        <v/>
      </c>
      <c r="CA580" t="s">
        <v>7623</v>
      </c>
      <c r="CB580" t="s">
        <v>131</v>
      </c>
      <c r="CF580" t="s">
        <v>131</v>
      </c>
      <c r="CH580" t="str">
        <f>""</f>
        <v/>
      </c>
      <c r="CI580" t="s">
        <v>131</v>
      </c>
      <c r="CK580" t="s">
        <v>131</v>
      </c>
      <c r="CL580" t="str">
        <f>""</f>
        <v/>
      </c>
      <c r="CM580" t="str">
        <f>""</f>
        <v/>
      </c>
      <c r="CN580" t="str">
        <f>""</f>
        <v/>
      </c>
      <c r="CO580" t="str">
        <f>""</f>
        <v/>
      </c>
      <c r="CP580" t="str">
        <f>"45-4011.00"</f>
        <v>45-4011.00</v>
      </c>
      <c r="CQ580" t="s">
        <v>4310</v>
      </c>
      <c r="CS580" t="s">
        <v>135</v>
      </c>
      <c r="CT580" t="s">
        <v>12891</v>
      </c>
      <c r="CU580" t="s">
        <v>12892</v>
      </c>
      <c r="CW580" t="s">
        <v>4160</v>
      </c>
      <c r="CX580" t="s">
        <v>1218</v>
      </c>
      <c r="CZ580" s="3" t="str">
        <f>"35045"</f>
        <v>35045</v>
      </c>
      <c r="DA580" t="s">
        <v>135</v>
      </c>
      <c r="DB580" t="str">
        <f>"45-4011"</f>
        <v>45-4011</v>
      </c>
      <c r="DC580" t="s">
        <v>4310</v>
      </c>
      <c r="DD580" t="s">
        <v>134</v>
      </c>
      <c r="DE580" t="s">
        <v>134</v>
      </c>
      <c r="DF580" t="str">
        <f>""</f>
        <v/>
      </c>
      <c r="DH580" s="6">
        <v>17.170000000000002</v>
      </c>
      <c r="DI580" t="s">
        <v>344</v>
      </c>
      <c r="DK580" t="s">
        <v>345</v>
      </c>
      <c r="DS580" s="6">
        <v>21.04</v>
      </c>
      <c r="DT580" s="2" t="s">
        <v>347</v>
      </c>
      <c r="DU580" s="1">
        <v>44369</v>
      </c>
      <c r="DV580" s="1">
        <v>44458</v>
      </c>
    </row>
    <row r="581" spans="1:126" ht="15" customHeight="1" x14ac:dyDescent="0.35">
      <c r="A581" t="s">
        <v>12850</v>
      </c>
      <c r="B581" t="s">
        <v>318</v>
      </c>
      <c r="C581" s="1">
        <v>44334</v>
      </c>
      <c r="D581" s="1">
        <v>44361</v>
      </c>
      <c r="H581" t="s">
        <v>319</v>
      </c>
      <c r="I581" t="s">
        <v>12851</v>
      </c>
      <c r="J581" t="s">
        <v>5991</v>
      </c>
      <c r="L581" t="s">
        <v>12529</v>
      </c>
      <c r="M581" t="s">
        <v>12852</v>
      </c>
      <c r="O581" t="s">
        <v>915</v>
      </c>
      <c r="P581" t="s">
        <v>467</v>
      </c>
      <c r="Q581" s="3">
        <v>81620</v>
      </c>
      <c r="R581" t="s">
        <v>128</v>
      </c>
      <c r="T581" s="4">
        <v>19708452400</v>
      </c>
      <c r="V581" t="s">
        <v>12853</v>
      </c>
      <c r="W581" t="s">
        <v>12854</v>
      </c>
      <c r="X581" t="s">
        <v>12855</v>
      </c>
      <c r="Y581" t="s">
        <v>12856</v>
      </c>
      <c r="AA581" t="s">
        <v>1735</v>
      </c>
      <c r="AB581" t="s">
        <v>471</v>
      </c>
      <c r="AC581" s="3" t="str">
        <f>"81620"</f>
        <v>81620</v>
      </c>
      <c r="AD581" t="s">
        <v>128</v>
      </c>
      <c r="AF581" s="4">
        <v>19708452400</v>
      </c>
      <c r="AH581" t="str">
        <f>"531110"</f>
        <v>531110</v>
      </c>
      <c r="AI581" t="s">
        <v>130</v>
      </c>
      <c r="AJ581" t="s">
        <v>472</v>
      </c>
      <c r="AK581" t="s">
        <v>473</v>
      </c>
      <c r="AL581" t="s">
        <v>474</v>
      </c>
      <c r="AM581" t="s">
        <v>475</v>
      </c>
      <c r="AN581" t="s">
        <v>439</v>
      </c>
      <c r="AO581" t="s">
        <v>476</v>
      </c>
      <c r="AP581" t="s">
        <v>172</v>
      </c>
      <c r="AQ581" s="5">
        <v>90071</v>
      </c>
      <c r="AR581" t="s">
        <v>128</v>
      </c>
      <c r="AT581" s="4">
        <v>13108203322</v>
      </c>
      <c r="AV581" t="s">
        <v>477</v>
      </c>
      <c r="AW581" t="s">
        <v>386</v>
      </c>
      <c r="AX581" t="s">
        <v>131</v>
      </c>
      <c r="AY581" t="s">
        <v>131</v>
      </c>
      <c r="AZ581" t="s">
        <v>131</v>
      </c>
      <c r="BA581" t="s">
        <v>131</v>
      </c>
      <c r="BB581" t="s">
        <v>131</v>
      </c>
      <c r="BC581" t="s">
        <v>131</v>
      </c>
      <c r="BD581" t="s">
        <v>131</v>
      </c>
      <c r="BE581" t="s">
        <v>132</v>
      </c>
      <c r="BH581" t="s">
        <v>10120</v>
      </c>
      <c r="BI581" t="s">
        <v>131</v>
      </c>
      <c r="BL581" t="s">
        <v>167</v>
      </c>
      <c r="BO581" t="s">
        <v>131</v>
      </c>
      <c r="BP581" t="s">
        <v>134</v>
      </c>
      <c r="BQ581" t="s">
        <v>131</v>
      </c>
      <c r="BS581" t="str">
        <f t="shared" si="44"/>
        <v>N/A</v>
      </c>
      <c r="BT581" t="s">
        <v>135</v>
      </c>
      <c r="BU581">
        <v>12</v>
      </c>
      <c r="BV581" t="str">
        <f>"Housekeeper or related"</f>
        <v>Housekeeper or related</v>
      </c>
      <c r="BW581" t="s">
        <v>135</v>
      </c>
      <c r="BX581" t="str">
        <f>""</f>
        <v/>
      </c>
      <c r="BY581" t="str">
        <f>""</f>
        <v/>
      </c>
      <c r="BZ581" t="str">
        <f>""</f>
        <v/>
      </c>
      <c r="CA581" t="s">
        <v>12857</v>
      </c>
      <c r="CB581" t="s">
        <v>131</v>
      </c>
      <c r="CF581" t="s">
        <v>131</v>
      </c>
      <c r="CH581" t="str">
        <f>""</f>
        <v/>
      </c>
      <c r="CI581" t="s">
        <v>131</v>
      </c>
      <c r="CK581" t="s">
        <v>131</v>
      </c>
      <c r="CL581" t="str">
        <f>""</f>
        <v/>
      </c>
      <c r="CM581" t="str">
        <f>""</f>
        <v/>
      </c>
      <c r="CN581" t="str">
        <f>""</f>
        <v/>
      </c>
      <c r="CO581" t="str">
        <f>""</f>
        <v/>
      </c>
      <c r="CP581" t="str">
        <f>"37-2012.00"</f>
        <v>37-2012.00</v>
      </c>
      <c r="CQ581" t="s">
        <v>479</v>
      </c>
      <c r="CR581" t="s">
        <v>12858</v>
      </c>
      <c r="CS581" t="s">
        <v>131</v>
      </c>
      <c r="CU581" t="s">
        <v>12859</v>
      </c>
      <c r="CW581" t="s">
        <v>915</v>
      </c>
      <c r="CX581" t="s">
        <v>471</v>
      </c>
      <c r="CZ581" s="3" t="str">
        <f>"81620"</f>
        <v>81620</v>
      </c>
      <c r="DA581" t="s">
        <v>131</v>
      </c>
      <c r="DB581" t="str">
        <f>"37-2012"</f>
        <v>37-2012</v>
      </c>
      <c r="DC581" t="s">
        <v>479</v>
      </c>
      <c r="DD581" t="s">
        <v>134</v>
      </c>
      <c r="DE581" t="s">
        <v>134</v>
      </c>
      <c r="DF581" t="str">
        <f>""</f>
        <v/>
      </c>
      <c r="DH581" s="6">
        <v>15.39</v>
      </c>
      <c r="DI581" t="s">
        <v>344</v>
      </c>
      <c r="DK581" t="s">
        <v>345</v>
      </c>
      <c r="DS581" s="6">
        <v>15.39</v>
      </c>
      <c r="DT581" t="s">
        <v>424</v>
      </c>
      <c r="DU581" s="1">
        <v>44361</v>
      </c>
      <c r="DV581" s="1">
        <v>44450</v>
      </c>
    </row>
    <row r="582" spans="1:126" ht="15" customHeight="1" x14ac:dyDescent="0.35">
      <c r="A582" t="s">
        <v>15442</v>
      </c>
      <c r="B582" t="s">
        <v>318</v>
      </c>
      <c r="C582" s="1">
        <v>44335</v>
      </c>
      <c r="D582" s="1">
        <v>44375</v>
      </c>
      <c r="H582" t="s">
        <v>319</v>
      </c>
      <c r="I582" t="s">
        <v>3682</v>
      </c>
      <c r="J582" t="s">
        <v>15443</v>
      </c>
      <c r="L582" t="s">
        <v>460</v>
      </c>
      <c r="M582" t="s">
        <v>15444</v>
      </c>
      <c r="O582" t="s">
        <v>15445</v>
      </c>
      <c r="P582" t="s">
        <v>1004</v>
      </c>
      <c r="Q582" s="3">
        <v>84124</v>
      </c>
      <c r="R582" t="s">
        <v>128</v>
      </c>
      <c r="T582" s="4">
        <v>18013498680</v>
      </c>
      <c r="V582" t="s">
        <v>15446</v>
      </c>
      <c r="W582" t="s">
        <v>15447</v>
      </c>
      <c r="Y582" t="s">
        <v>15448</v>
      </c>
      <c r="AA582" t="s">
        <v>15445</v>
      </c>
      <c r="AB582" t="s">
        <v>1008</v>
      </c>
      <c r="AC582" s="3" t="str">
        <f>"84124"</f>
        <v>84124</v>
      </c>
      <c r="AD582" t="s">
        <v>128</v>
      </c>
      <c r="AF582" s="4">
        <v>18013498680</v>
      </c>
      <c r="AH582" t="str">
        <f>"236118"</f>
        <v>236118</v>
      </c>
      <c r="AI582" t="s">
        <v>167</v>
      </c>
      <c r="AX582" t="s">
        <v>131</v>
      </c>
      <c r="AY582" t="s">
        <v>131</v>
      </c>
      <c r="AZ582" t="s">
        <v>131</v>
      </c>
      <c r="BA582" t="s">
        <v>131</v>
      </c>
      <c r="BB582" t="s">
        <v>131</v>
      </c>
      <c r="BC582" t="s">
        <v>131</v>
      </c>
      <c r="BD582" t="s">
        <v>131</v>
      </c>
      <c r="BE582" t="s">
        <v>132</v>
      </c>
      <c r="BH582" t="s">
        <v>4045</v>
      </c>
      <c r="BI582" t="s">
        <v>131</v>
      </c>
      <c r="BL582" t="s">
        <v>167</v>
      </c>
      <c r="BO582" t="s">
        <v>131</v>
      </c>
      <c r="BP582" t="s">
        <v>134</v>
      </c>
      <c r="BQ582" t="s">
        <v>131</v>
      </c>
      <c r="BS582" t="str">
        <f t="shared" si="44"/>
        <v>N/A</v>
      </c>
      <c r="BT582" t="s">
        <v>135</v>
      </c>
      <c r="BU582">
        <v>24</v>
      </c>
      <c r="BV582" t="str">
        <f>"Carpentry"</f>
        <v>Carpentry</v>
      </c>
      <c r="BW582" t="s">
        <v>131</v>
      </c>
      <c r="BX582" t="str">
        <f>""</f>
        <v/>
      </c>
      <c r="BY582" t="str">
        <f>""</f>
        <v/>
      </c>
      <c r="BZ582" t="str">
        <f>""</f>
        <v/>
      </c>
      <c r="CA582" t="str">
        <f>""</f>
        <v/>
      </c>
      <c r="CB582" t="s">
        <v>131</v>
      </c>
      <c r="CF582" t="s">
        <v>131</v>
      </c>
      <c r="CH582" t="str">
        <f>""</f>
        <v/>
      </c>
      <c r="CI582" t="s">
        <v>131</v>
      </c>
      <c r="CK582" t="s">
        <v>131</v>
      </c>
      <c r="CL582" t="str">
        <f>""</f>
        <v/>
      </c>
      <c r="CM582" t="str">
        <f>""</f>
        <v/>
      </c>
      <c r="CN582" t="str">
        <f>""</f>
        <v/>
      </c>
      <c r="CO582" t="str">
        <f>""</f>
        <v/>
      </c>
      <c r="CP582" t="str">
        <f>"47-2061.00"</f>
        <v>47-2061.00</v>
      </c>
      <c r="CQ582" t="s">
        <v>393</v>
      </c>
      <c r="CR582" t="s">
        <v>4045</v>
      </c>
      <c r="CS582" t="s">
        <v>131</v>
      </c>
      <c r="CU582" t="s">
        <v>15449</v>
      </c>
      <c r="CW582" t="s">
        <v>15450</v>
      </c>
      <c r="CX582" t="s">
        <v>1008</v>
      </c>
      <c r="CZ582" s="3" t="str">
        <f>"84403"</f>
        <v>84403</v>
      </c>
      <c r="DA582" t="s">
        <v>131</v>
      </c>
      <c r="DB582" t="str">
        <f>"47-2031"</f>
        <v>47-2031</v>
      </c>
      <c r="DC582" t="s">
        <v>2061</v>
      </c>
      <c r="DD582" t="s">
        <v>134</v>
      </c>
      <c r="DE582" t="s">
        <v>134</v>
      </c>
      <c r="DF582" t="str">
        <f>""</f>
        <v/>
      </c>
      <c r="DH582" s="6">
        <v>20.420000000000002</v>
      </c>
      <c r="DI582" t="s">
        <v>344</v>
      </c>
      <c r="DK582" t="s">
        <v>345</v>
      </c>
      <c r="DR582" t="s">
        <v>15451</v>
      </c>
      <c r="DS582" s="6">
        <v>20.420000000000002</v>
      </c>
      <c r="DT582" t="s">
        <v>424</v>
      </c>
      <c r="DU582" s="1">
        <v>44375</v>
      </c>
      <c r="DV582" s="1">
        <v>44464</v>
      </c>
    </row>
    <row r="583" spans="1:126" ht="15" customHeight="1" x14ac:dyDescent="0.35">
      <c r="A583" t="s">
        <v>19812</v>
      </c>
      <c r="B583" t="s">
        <v>318</v>
      </c>
      <c r="C583" s="1">
        <v>44335</v>
      </c>
      <c r="D583" s="1">
        <v>44369</v>
      </c>
      <c r="H583" t="s">
        <v>319</v>
      </c>
      <c r="I583" t="s">
        <v>5026</v>
      </c>
      <c r="J583" t="s">
        <v>1811</v>
      </c>
      <c r="K583" t="s">
        <v>2661</v>
      </c>
      <c r="L583" t="s">
        <v>395</v>
      </c>
      <c r="M583" t="s">
        <v>14396</v>
      </c>
      <c r="N583" t="s">
        <v>14397</v>
      </c>
      <c r="O583" t="s">
        <v>14398</v>
      </c>
      <c r="P583" t="s">
        <v>588</v>
      </c>
      <c r="Q583" s="3">
        <v>23066</v>
      </c>
      <c r="R583" t="s">
        <v>128</v>
      </c>
      <c r="T583" s="4">
        <v>18047254962</v>
      </c>
      <c r="V583" t="s">
        <v>5712</v>
      </c>
      <c r="W583" t="s">
        <v>14399</v>
      </c>
      <c r="Y583" t="s">
        <v>14396</v>
      </c>
      <c r="Z583" t="s">
        <v>14397</v>
      </c>
      <c r="AA583" t="s">
        <v>14398</v>
      </c>
      <c r="AB583" t="s">
        <v>306</v>
      </c>
      <c r="AC583" s="3" t="str">
        <f>"23066"</f>
        <v>23066</v>
      </c>
      <c r="AD583" t="s">
        <v>128</v>
      </c>
      <c r="AF583" s="4">
        <v>18047254962</v>
      </c>
      <c r="AH583" t="str">
        <f>"3117"</f>
        <v>3117</v>
      </c>
      <c r="AI583" t="s">
        <v>287</v>
      </c>
      <c r="AJ583" t="s">
        <v>1106</v>
      </c>
      <c r="AK583" t="s">
        <v>1107</v>
      </c>
      <c r="AL583" t="s">
        <v>1108</v>
      </c>
      <c r="AM583" t="s">
        <v>1109</v>
      </c>
      <c r="AN583" t="s">
        <v>1110</v>
      </c>
      <c r="AO583" t="s">
        <v>1111</v>
      </c>
      <c r="AP583" t="s">
        <v>306</v>
      </c>
      <c r="AQ583" s="5">
        <v>24521</v>
      </c>
      <c r="AR583" t="s">
        <v>128</v>
      </c>
      <c r="AS583" t="s">
        <v>134</v>
      </c>
      <c r="AT583" s="4">
        <v>14349460035</v>
      </c>
      <c r="AU583">
        <v>11</v>
      </c>
      <c r="AV583" t="s">
        <v>1112</v>
      </c>
      <c r="AW583" t="s">
        <v>1113</v>
      </c>
      <c r="AX583" t="s">
        <v>131</v>
      </c>
      <c r="AY583" t="s">
        <v>131</v>
      </c>
      <c r="AZ583" t="s">
        <v>131</v>
      </c>
      <c r="BA583" t="s">
        <v>131</v>
      </c>
      <c r="BB583" t="s">
        <v>131</v>
      </c>
      <c r="BC583" t="s">
        <v>131</v>
      </c>
      <c r="BD583" t="s">
        <v>131</v>
      </c>
      <c r="BE583" t="s">
        <v>132</v>
      </c>
      <c r="BH583" t="s">
        <v>5556</v>
      </c>
      <c r="BI583" t="s">
        <v>131</v>
      </c>
      <c r="BL583" t="s">
        <v>167</v>
      </c>
      <c r="BO583" t="s">
        <v>131</v>
      </c>
      <c r="BP583" t="s">
        <v>134</v>
      </c>
      <c r="BQ583" t="s">
        <v>131</v>
      </c>
      <c r="BS583" t="str">
        <f t="shared" si="44"/>
        <v>N/A</v>
      </c>
      <c r="BT583" t="s">
        <v>131</v>
      </c>
      <c r="BV583" t="str">
        <f>""</f>
        <v/>
      </c>
      <c r="BW583" t="s">
        <v>135</v>
      </c>
      <c r="BX583" t="str">
        <f>""</f>
        <v/>
      </c>
      <c r="BY583" t="str">
        <f>""</f>
        <v/>
      </c>
      <c r="BZ583" t="str">
        <f>""</f>
        <v/>
      </c>
      <c r="CA583" t="str">
        <f>"Lift/carry up to 75 pounds."</f>
        <v>Lift/carry up to 75 pounds.</v>
      </c>
      <c r="CB583" t="s">
        <v>131</v>
      </c>
      <c r="CF583" t="s">
        <v>131</v>
      </c>
      <c r="CH583" t="str">
        <f>""</f>
        <v/>
      </c>
      <c r="CI583" t="s">
        <v>131</v>
      </c>
      <c r="CK583" t="s">
        <v>131</v>
      </c>
      <c r="CL583" t="str">
        <f>""</f>
        <v/>
      </c>
      <c r="CM583" t="str">
        <f>""</f>
        <v/>
      </c>
      <c r="CN583" t="str">
        <f>""</f>
        <v/>
      </c>
      <c r="CO583" t="str">
        <f>""</f>
        <v/>
      </c>
      <c r="CP583" t="str">
        <f>"51-3022.00"</f>
        <v>51-3022.00</v>
      </c>
      <c r="CQ583" t="s">
        <v>1114</v>
      </c>
      <c r="CR583" t="s">
        <v>2403</v>
      </c>
      <c r="CS583" t="s">
        <v>135</v>
      </c>
      <c r="CT583" t="s">
        <v>19813</v>
      </c>
      <c r="CU583" t="s">
        <v>14396</v>
      </c>
      <c r="CW583" t="s">
        <v>14398</v>
      </c>
      <c r="CX583" t="s">
        <v>306</v>
      </c>
      <c r="CZ583" s="3" t="str">
        <f>"23066"</f>
        <v>23066</v>
      </c>
      <c r="DA583" t="s">
        <v>135</v>
      </c>
      <c r="DB583" t="str">
        <f>"51-3093"</f>
        <v>51-3093</v>
      </c>
      <c r="DC583" t="s">
        <v>15189</v>
      </c>
      <c r="DD583" t="s">
        <v>134</v>
      </c>
      <c r="DE583" t="s">
        <v>134</v>
      </c>
      <c r="DF583" t="str">
        <f>"51-3093.00; 51-3022.00"</f>
        <v>51-3093.00; 51-3022.00</v>
      </c>
      <c r="DG583" t="s">
        <v>19814</v>
      </c>
      <c r="DH583" s="6">
        <v>14.91</v>
      </c>
      <c r="DI583" t="s">
        <v>344</v>
      </c>
      <c r="DK583" t="s">
        <v>345</v>
      </c>
      <c r="DS583" s="6">
        <v>14.91</v>
      </c>
      <c r="DT583" s="2" t="s">
        <v>347</v>
      </c>
      <c r="DU583" s="1">
        <v>44369</v>
      </c>
      <c r="DV583" s="1">
        <v>44458</v>
      </c>
    </row>
    <row r="584" spans="1:126" ht="15" customHeight="1" x14ac:dyDescent="0.35">
      <c r="A584" t="s">
        <v>19436</v>
      </c>
      <c r="B584" t="s">
        <v>318</v>
      </c>
      <c r="C584" s="1">
        <v>44335</v>
      </c>
      <c r="D584" s="1">
        <v>44362</v>
      </c>
      <c r="H584" t="s">
        <v>319</v>
      </c>
      <c r="I584" t="s">
        <v>19437</v>
      </c>
      <c r="J584" t="s">
        <v>1591</v>
      </c>
      <c r="L584" t="s">
        <v>4342</v>
      </c>
      <c r="M584" t="s">
        <v>19438</v>
      </c>
      <c r="O584" t="s">
        <v>19439</v>
      </c>
      <c r="P584" t="s">
        <v>4505</v>
      </c>
      <c r="Q584" s="3">
        <v>59068</v>
      </c>
      <c r="R584" t="s">
        <v>128</v>
      </c>
      <c r="T584" s="4">
        <v>14064463333</v>
      </c>
      <c r="V584" t="s">
        <v>19440</v>
      </c>
      <c r="W584" t="s">
        <v>19441</v>
      </c>
      <c r="Y584" t="s">
        <v>19438</v>
      </c>
      <c r="AA584" t="s">
        <v>19439</v>
      </c>
      <c r="AB584" t="s">
        <v>1234</v>
      </c>
      <c r="AC584" s="3" t="str">
        <f>"59068"</f>
        <v>59068</v>
      </c>
      <c r="AD584" t="s">
        <v>128</v>
      </c>
      <c r="AF584" s="4">
        <v>14064463333</v>
      </c>
      <c r="AH584" t="str">
        <f>"722511"</f>
        <v>722511</v>
      </c>
      <c r="AI584" t="s">
        <v>287</v>
      </c>
      <c r="AJ584" t="s">
        <v>7947</v>
      </c>
      <c r="AK584" t="s">
        <v>1861</v>
      </c>
      <c r="AM584" t="s">
        <v>7948</v>
      </c>
      <c r="AO584" t="s">
        <v>7949</v>
      </c>
      <c r="AP584" t="s">
        <v>2549</v>
      </c>
      <c r="AQ584" s="5">
        <v>5760</v>
      </c>
      <c r="AR584" t="s">
        <v>128</v>
      </c>
      <c r="AT584" s="4">
        <v>18029482788</v>
      </c>
      <c r="AV584" t="s">
        <v>7950</v>
      </c>
      <c r="AW584" t="s">
        <v>10047</v>
      </c>
      <c r="AX584" t="s">
        <v>131</v>
      </c>
      <c r="AY584" t="s">
        <v>131</v>
      </c>
      <c r="AZ584" t="s">
        <v>131</v>
      </c>
      <c r="BA584" t="s">
        <v>131</v>
      </c>
      <c r="BB584" t="s">
        <v>131</v>
      </c>
      <c r="BC584" t="s">
        <v>131</v>
      </c>
      <c r="BD584" t="s">
        <v>131</v>
      </c>
      <c r="BE584" t="s">
        <v>132</v>
      </c>
      <c r="BH584" t="s">
        <v>12419</v>
      </c>
      <c r="BI584" t="s">
        <v>131</v>
      </c>
      <c r="BL584" t="s">
        <v>401</v>
      </c>
      <c r="BO584" t="s">
        <v>131</v>
      </c>
      <c r="BP584" t="s">
        <v>134</v>
      </c>
      <c r="BQ584" t="s">
        <v>131</v>
      </c>
      <c r="BS584" t="str">
        <f t="shared" si="44"/>
        <v>N/A</v>
      </c>
      <c r="BT584" t="s">
        <v>135</v>
      </c>
      <c r="BU584">
        <v>3</v>
      </c>
      <c r="BV584" t="str">
        <f>"Commercial Kitchen Experience
Baking Experience
Customer Service"</f>
        <v>Commercial Kitchen Experience
Baking Experience
Customer Service</v>
      </c>
      <c r="BW584" t="s">
        <v>131</v>
      </c>
      <c r="BX584" t="str">
        <f>""</f>
        <v/>
      </c>
      <c r="BY584" t="str">
        <f>""</f>
        <v/>
      </c>
      <c r="BZ584" t="str">
        <f>""</f>
        <v/>
      </c>
      <c r="CA584" t="str">
        <f>""</f>
        <v/>
      </c>
      <c r="CB584" t="s">
        <v>131</v>
      </c>
      <c r="CF584" t="s">
        <v>131</v>
      </c>
      <c r="CH584" t="str">
        <f>""</f>
        <v/>
      </c>
      <c r="CI584" t="s">
        <v>131</v>
      </c>
      <c r="CK584" t="s">
        <v>131</v>
      </c>
      <c r="CL584" t="str">
        <f>""</f>
        <v/>
      </c>
      <c r="CM584" t="str">
        <f>""</f>
        <v/>
      </c>
      <c r="CN584" t="str">
        <f>""</f>
        <v/>
      </c>
      <c r="CO584" t="str">
        <f>""</f>
        <v/>
      </c>
      <c r="CP584" t="str">
        <f>"35-2014.00"</f>
        <v>35-2014.00</v>
      </c>
      <c r="CQ584" t="s">
        <v>581</v>
      </c>
      <c r="CR584">
        <v>722511</v>
      </c>
      <c r="CS584" t="s">
        <v>131</v>
      </c>
      <c r="CU584" t="s">
        <v>19442</v>
      </c>
      <c r="CW584" t="s">
        <v>19439</v>
      </c>
      <c r="CX584" t="s">
        <v>1234</v>
      </c>
      <c r="CZ584" s="3" t="str">
        <f>"59068"</f>
        <v>59068</v>
      </c>
      <c r="DA584" t="s">
        <v>131</v>
      </c>
      <c r="DB584" t="str">
        <f>"35-2014"</f>
        <v>35-2014</v>
      </c>
      <c r="DC584" t="s">
        <v>581</v>
      </c>
      <c r="DD584" t="s">
        <v>134</v>
      </c>
      <c r="DE584" t="s">
        <v>134</v>
      </c>
      <c r="DF584" t="str">
        <f>""</f>
        <v/>
      </c>
      <c r="DH584" s="6">
        <v>13.68</v>
      </c>
      <c r="DI584" t="s">
        <v>344</v>
      </c>
      <c r="DK584" t="s">
        <v>345</v>
      </c>
      <c r="DS584" s="6">
        <v>13.68</v>
      </c>
      <c r="DT584" t="s">
        <v>424</v>
      </c>
      <c r="DU584" s="1">
        <v>44362</v>
      </c>
      <c r="DV584" s="1">
        <v>44451</v>
      </c>
    </row>
    <row r="585" spans="1:126" ht="15" customHeight="1" x14ac:dyDescent="0.35">
      <c r="A585" t="s">
        <v>14752</v>
      </c>
      <c r="B585" t="s">
        <v>318</v>
      </c>
      <c r="C585" s="1">
        <v>44335</v>
      </c>
      <c r="D585" s="1">
        <v>44377</v>
      </c>
      <c r="H585" t="s">
        <v>319</v>
      </c>
      <c r="I585" t="s">
        <v>1843</v>
      </c>
      <c r="J585" t="s">
        <v>1116</v>
      </c>
      <c r="K585" t="s">
        <v>2661</v>
      </c>
      <c r="L585" t="s">
        <v>395</v>
      </c>
      <c r="M585" t="s">
        <v>14344</v>
      </c>
      <c r="O585" t="s">
        <v>9041</v>
      </c>
      <c r="P585" t="s">
        <v>1174</v>
      </c>
      <c r="Q585" s="3">
        <v>97502</v>
      </c>
      <c r="R585" t="s">
        <v>128</v>
      </c>
      <c r="T585" s="4">
        <v>15418791212</v>
      </c>
      <c r="V585" t="s">
        <v>14345</v>
      </c>
      <c r="W585" t="s">
        <v>14346</v>
      </c>
      <c r="Y585" t="s">
        <v>14344</v>
      </c>
      <c r="AA585" t="s">
        <v>9041</v>
      </c>
      <c r="AB585" t="s">
        <v>1512</v>
      </c>
      <c r="AC585" s="3" t="str">
        <f>"97502"</f>
        <v>97502</v>
      </c>
      <c r="AD585" t="s">
        <v>128</v>
      </c>
      <c r="AF585" s="4">
        <v>15418791212</v>
      </c>
      <c r="AH585" t="str">
        <f>"11531"</f>
        <v>11531</v>
      </c>
      <c r="AI585" t="s">
        <v>287</v>
      </c>
      <c r="AJ585" t="s">
        <v>2046</v>
      </c>
      <c r="AK585" t="s">
        <v>2047</v>
      </c>
      <c r="AL585" t="s">
        <v>134</v>
      </c>
      <c r="AM585" t="s">
        <v>2048</v>
      </c>
      <c r="AN585" t="s">
        <v>2049</v>
      </c>
      <c r="AO585" t="s">
        <v>2050</v>
      </c>
      <c r="AP585" t="s">
        <v>1243</v>
      </c>
      <c r="AQ585" s="5">
        <v>83814</v>
      </c>
      <c r="AR585" t="s">
        <v>128</v>
      </c>
      <c r="AT585" s="4">
        <v>12087772654</v>
      </c>
      <c r="AV585" t="s">
        <v>2051</v>
      </c>
      <c r="AW585" t="s">
        <v>2052</v>
      </c>
      <c r="AX585" t="s">
        <v>131</v>
      </c>
      <c r="AY585" t="s">
        <v>131</v>
      </c>
      <c r="AZ585" t="s">
        <v>131</v>
      </c>
      <c r="BA585" t="s">
        <v>131</v>
      </c>
      <c r="BB585" t="s">
        <v>131</v>
      </c>
      <c r="BC585" t="s">
        <v>131</v>
      </c>
      <c r="BD585" t="s">
        <v>131</v>
      </c>
      <c r="BE585" t="s">
        <v>132</v>
      </c>
      <c r="BH585" t="s">
        <v>6431</v>
      </c>
      <c r="BI585" t="s">
        <v>131</v>
      </c>
      <c r="BL585" t="s">
        <v>167</v>
      </c>
      <c r="BO585" t="s">
        <v>131</v>
      </c>
      <c r="BP585" t="s">
        <v>134</v>
      </c>
      <c r="BQ585" t="s">
        <v>131</v>
      </c>
      <c r="BS585" t="str">
        <f t="shared" si="44"/>
        <v>N/A</v>
      </c>
      <c r="BT585" t="s">
        <v>135</v>
      </c>
      <c r="BU585">
        <v>3</v>
      </c>
      <c r="BV585" t="str">
        <f>"Commercial Brushsaw/Chainsaw"</f>
        <v>Commercial Brushsaw/Chainsaw</v>
      </c>
      <c r="BW585" t="s">
        <v>135</v>
      </c>
      <c r="BX585" t="str">
        <f>""</f>
        <v/>
      </c>
      <c r="BY585" t="str">
        <f>""</f>
        <v/>
      </c>
      <c r="BZ585" t="str">
        <f>""</f>
        <v/>
      </c>
      <c r="CA585" t="s">
        <v>14753</v>
      </c>
      <c r="CB585" t="s">
        <v>131</v>
      </c>
      <c r="CF585" t="s">
        <v>131</v>
      </c>
      <c r="CH585" t="str">
        <f>""</f>
        <v/>
      </c>
      <c r="CI585" t="s">
        <v>131</v>
      </c>
      <c r="CK585" t="s">
        <v>131</v>
      </c>
      <c r="CL585" t="str">
        <f>""</f>
        <v/>
      </c>
      <c r="CM585" t="str">
        <f>""</f>
        <v/>
      </c>
      <c r="CN585" t="str">
        <f>""</f>
        <v/>
      </c>
      <c r="CO585" t="str">
        <f>""</f>
        <v/>
      </c>
      <c r="CP585" t="str">
        <f>"45-4011.00"</f>
        <v>45-4011.00</v>
      </c>
      <c r="CQ585" t="s">
        <v>4310</v>
      </c>
      <c r="CS585" t="s">
        <v>135</v>
      </c>
      <c r="CT585" t="s">
        <v>14754</v>
      </c>
      <c r="CU585" t="s">
        <v>14755</v>
      </c>
      <c r="CW585" t="s">
        <v>9041</v>
      </c>
      <c r="CX585" t="s">
        <v>1512</v>
      </c>
      <c r="CZ585" s="3" t="str">
        <f>"97502"</f>
        <v>97502</v>
      </c>
      <c r="DA585" t="s">
        <v>135</v>
      </c>
      <c r="DB585" t="str">
        <f>"45-1011"</f>
        <v>45-1011</v>
      </c>
      <c r="DC585" t="s">
        <v>5128</v>
      </c>
      <c r="DD585" t="s">
        <v>134</v>
      </c>
      <c r="DE585" t="s">
        <v>134</v>
      </c>
      <c r="DF585" t="str">
        <f>""</f>
        <v/>
      </c>
      <c r="DH585" s="6">
        <v>23.21</v>
      </c>
      <c r="DI585" t="s">
        <v>344</v>
      </c>
      <c r="DK585" t="s">
        <v>345</v>
      </c>
      <c r="DR585" t="s">
        <v>9046</v>
      </c>
      <c r="DS585" s="6">
        <v>38.65</v>
      </c>
      <c r="DT585" s="2" t="s">
        <v>347</v>
      </c>
      <c r="DU585" s="1">
        <v>44377</v>
      </c>
      <c r="DV585" s="1">
        <v>44466</v>
      </c>
    </row>
    <row r="586" spans="1:126" ht="15" customHeight="1" x14ac:dyDescent="0.35">
      <c r="A586" t="s">
        <v>14158</v>
      </c>
      <c r="B586" t="s">
        <v>318</v>
      </c>
      <c r="C586" s="1">
        <v>44335</v>
      </c>
      <c r="D586" s="1">
        <v>44362</v>
      </c>
      <c r="H586" t="s">
        <v>319</v>
      </c>
      <c r="I586" t="s">
        <v>14159</v>
      </c>
      <c r="J586" t="s">
        <v>3451</v>
      </c>
      <c r="L586" t="s">
        <v>1281</v>
      </c>
      <c r="M586" t="s">
        <v>14160</v>
      </c>
      <c r="O586" t="s">
        <v>616</v>
      </c>
      <c r="P586" t="s">
        <v>194</v>
      </c>
      <c r="Q586" s="3">
        <v>33132</v>
      </c>
      <c r="R586" t="s">
        <v>128</v>
      </c>
      <c r="T586" s="4">
        <v>16027639955</v>
      </c>
      <c r="V586" t="s">
        <v>14161</v>
      </c>
      <c r="W586" t="s">
        <v>14162</v>
      </c>
      <c r="X586" t="s">
        <v>14163</v>
      </c>
      <c r="Y586" t="s">
        <v>14164</v>
      </c>
      <c r="Z586" t="s">
        <v>14165</v>
      </c>
      <c r="AA586" t="s">
        <v>616</v>
      </c>
      <c r="AB586" t="s">
        <v>195</v>
      </c>
      <c r="AC586" s="3" t="str">
        <f>"33132"</f>
        <v>33132</v>
      </c>
      <c r="AD586" t="s">
        <v>128</v>
      </c>
      <c r="AF586" s="4">
        <v>16027639955</v>
      </c>
      <c r="AH586" t="str">
        <f>"71399"</f>
        <v>71399</v>
      </c>
      <c r="AI586" t="s">
        <v>287</v>
      </c>
      <c r="AJ586" t="s">
        <v>2209</v>
      </c>
      <c r="AK586" t="s">
        <v>1459</v>
      </c>
      <c r="AL586" t="s">
        <v>2210</v>
      </c>
      <c r="AM586" t="s">
        <v>2211</v>
      </c>
      <c r="AN586" t="s">
        <v>788</v>
      </c>
      <c r="AO586" t="s">
        <v>2212</v>
      </c>
      <c r="AP586" t="s">
        <v>400</v>
      </c>
      <c r="AQ586" s="5">
        <v>75033</v>
      </c>
      <c r="AR586" t="s">
        <v>128</v>
      </c>
      <c r="AT586" s="4">
        <v>19727789690</v>
      </c>
      <c r="AV586" t="s">
        <v>6834</v>
      </c>
      <c r="AW586" t="s">
        <v>2214</v>
      </c>
      <c r="AX586" t="s">
        <v>131</v>
      </c>
      <c r="AY586" t="s">
        <v>131</v>
      </c>
      <c r="AZ586" t="s">
        <v>131</v>
      </c>
      <c r="BA586" t="s">
        <v>131</v>
      </c>
      <c r="BB586" t="s">
        <v>131</v>
      </c>
      <c r="BC586" t="s">
        <v>131</v>
      </c>
      <c r="BD586" t="s">
        <v>131</v>
      </c>
      <c r="BE586" t="s">
        <v>132</v>
      </c>
      <c r="BH586" t="s">
        <v>6835</v>
      </c>
      <c r="BI586" t="s">
        <v>131</v>
      </c>
      <c r="BL586" t="s">
        <v>167</v>
      </c>
      <c r="BO586" t="s">
        <v>131</v>
      </c>
      <c r="BP586" t="s">
        <v>134</v>
      </c>
      <c r="BQ586" t="s">
        <v>131</v>
      </c>
      <c r="BS586" t="str">
        <f t="shared" si="44"/>
        <v>N/A</v>
      </c>
      <c r="BT586" t="s">
        <v>131</v>
      </c>
      <c r="BV586" t="str">
        <f>""</f>
        <v/>
      </c>
      <c r="BW586" t="s">
        <v>135</v>
      </c>
      <c r="BX586" t="str">
        <f>""</f>
        <v/>
      </c>
      <c r="BY586" t="str">
        <f>""</f>
        <v/>
      </c>
      <c r="BZ586" t="str">
        <f>""</f>
        <v/>
      </c>
      <c r="CA586" t="s">
        <v>14166</v>
      </c>
      <c r="CB586" t="s">
        <v>131</v>
      </c>
      <c r="CF586" t="s">
        <v>131</v>
      </c>
      <c r="CH586" t="str">
        <f>""</f>
        <v/>
      </c>
      <c r="CI586" t="s">
        <v>131</v>
      </c>
      <c r="CK586" t="s">
        <v>131</v>
      </c>
      <c r="CL586" t="str">
        <f>""</f>
        <v/>
      </c>
      <c r="CM586" t="str">
        <f>""</f>
        <v/>
      </c>
      <c r="CN586" t="str">
        <f>""</f>
        <v/>
      </c>
      <c r="CO586" t="str">
        <f>""</f>
        <v/>
      </c>
      <c r="CP586" t="str">
        <f>"39-3091.00"</f>
        <v>39-3091.00</v>
      </c>
      <c r="CQ586" t="s">
        <v>1374</v>
      </c>
      <c r="CS586" t="s">
        <v>135</v>
      </c>
      <c r="CT586" t="s">
        <v>14167</v>
      </c>
      <c r="CU586" t="s">
        <v>14160</v>
      </c>
      <c r="CW586" t="s">
        <v>616</v>
      </c>
      <c r="CX586" t="s">
        <v>195</v>
      </c>
      <c r="CZ586" s="3" t="str">
        <f>"33132"</f>
        <v>33132</v>
      </c>
      <c r="DA586" t="s">
        <v>135</v>
      </c>
      <c r="DB586" t="str">
        <f>"39-3091"</f>
        <v>39-3091</v>
      </c>
      <c r="DC586" t="s">
        <v>1374</v>
      </c>
      <c r="DD586" t="s">
        <v>134</v>
      </c>
      <c r="DE586" t="s">
        <v>134</v>
      </c>
      <c r="DF586" t="str">
        <f>""</f>
        <v/>
      </c>
      <c r="DH586" s="6">
        <v>11.37</v>
      </c>
      <c r="DI586" t="s">
        <v>344</v>
      </c>
      <c r="DK586" t="s">
        <v>345</v>
      </c>
      <c r="DS586" s="6">
        <v>13.08</v>
      </c>
      <c r="DT586" s="2" t="s">
        <v>347</v>
      </c>
      <c r="DU586" s="1">
        <v>44362</v>
      </c>
      <c r="DV586" s="1">
        <v>44451</v>
      </c>
    </row>
    <row r="587" spans="1:126" ht="15" customHeight="1" x14ac:dyDescent="0.35">
      <c r="A587" t="s">
        <v>12019</v>
      </c>
      <c r="B587" t="s">
        <v>318</v>
      </c>
      <c r="C587" s="1">
        <v>44335</v>
      </c>
      <c r="D587" s="1">
        <v>44369</v>
      </c>
      <c r="H587" t="s">
        <v>319</v>
      </c>
      <c r="I587" t="s">
        <v>12020</v>
      </c>
      <c r="J587" t="s">
        <v>12021</v>
      </c>
      <c r="K587" t="s">
        <v>268</v>
      </c>
      <c r="L587" t="s">
        <v>1031</v>
      </c>
      <c r="M587" t="s">
        <v>12022</v>
      </c>
      <c r="O587" t="s">
        <v>12023</v>
      </c>
      <c r="P587" t="s">
        <v>778</v>
      </c>
      <c r="Q587" s="3">
        <v>38472</v>
      </c>
      <c r="R587" t="s">
        <v>128</v>
      </c>
      <c r="T587" s="4">
        <v>17314137609</v>
      </c>
      <c r="V587" t="s">
        <v>12024</v>
      </c>
      <c r="W587" t="s">
        <v>12025</v>
      </c>
      <c r="Y587" t="s">
        <v>12022</v>
      </c>
      <c r="AA587" t="s">
        <v>12023</v>
      </c>
      <c r="AB587" t="s">
        <v>779</v>
      </c>
      <c r="AC587" s="3" t="str">
        <f>"38472"</f>
        <v>38472</v>
      </c>
      <c r="AD587" t="s">
        <v>128</v>
      </c>
      <c r="AF587" s="4">
        <v>17314137609</v>
      </c>
      <c r="AH587" t="str">
        <f>"31161"</f>
        <v>31161</v>
      </c>
      <c r="AI587" t="s">
        <v>130</v>
      </c>
      <c r="AJ587" t="s">
        <v>3252</v>
      </c>
      <c r="AK587" t="s">
        <v>3253</v>
      </c>
      <c r="AL587" t="s">
        <v>589</v>
      </c>
      <c r="AM587" t="s">
        <v>3254</v>
      </c>
      <c r="AO587" t="s">
        <v>3255</v>
      </c>
      <c r="AP587" t="s">
        <v>779</v>
      </c>
      <c r="AQ587" s="5">
        <v>37110</v>
      </c>
      <c r="AR587" t="s">
        <v>128</v>
      </c>
      <c r="AT587" s="4">
        <v>19312747811</v>
      </c>
      <c r="AV587" t="s">
        <v>3256</v>
      </c>
      <c r="AW587" t="s">
        <v>3257</v>
      </c>
      <c r="AX587" t="s">
        <v>131</v>
      </c>
      <c r="AY587" t="s">
        <v>131</v>
      </c>
      <c r="AZ587" t="s">
        <v>131</v>
      </c>
      <c r="BA587" t="s">
        <v>131</v>
      </c>
      <c r="BB587" t="s">
        <v>131</v>
      </c>
      <c r="BC587" t="s">
        <v>131</v>
      </c>
      <c r="BD587" t="s">
        <v>131</v>
      </c>
      <c r="BE587" t="s">
        <v>132</v>
      </c>
      <c r="BH587" t="s">
        <v>5705</v>
      </c>
      <c r="BI587" t="s">
        <v>131</v>
      </c>
      <c r="BL587" t="s">
        <v>167</v>
      </c>
      <c r="BO587" t="s">
        <v>131</v>
      </c>
      <c r="BP587" t="s">
        <v>134</v>
      </c>
      <c r="BQ587" t="s">
        <v>131</v>
      </c>
      <c r="BS587" t="str">
        <f t="shared" si="44"/>
        <v>N/A</v>
      </c>
      <c r="BT587" t="s">
        <v>131</v>
      </c>
      <c r="BV587" t="str">
        <f>""</f>
        <v/>
      </c>
      <c r="BW587" t="s">
        <v>135</v>
      </c>
      <c r="BX587" t="str">
        <f>""</f>
        <v/>
      </c>
      <c r="BY587" t="str">
        <f>""</f>
        <v/>
      </c>
      <c r="BZ587" t="str">
        <f>""</f>
        <v/>
      </c>
      <c r="CA587" t="str">
        <f>"MUST BE ABLE TO LIFT 50 LBS"</f>
        <v>MUST BE ABLE TO LIFT 50 LBS</v>
      </c>
      <c r="CB587" t="s">
        <v>131</v>
      </c>
      <c r="CF587" t="s">
        <v>131</v>
      </c>
      <c r="CH587" t="str">
        <f>""</f>
        <v/>
      </c>
      <c r="CI587" t="s">
        <v>131</v>
      </c>
      <c r="CK587" t="s">
        <v>131</v>
      </c>
      <c r="CL587" t="str">
        <f>""</f>
        <v/>
      </c>
      <c r="CM587" t="str">
        <f>""</f>
        <v/>
      </c>
      <c r="CN587" t="str">
        <f>""</f>
        <v/>
      </c>
      <c r="CO587" t="str">
        <f>""</f>
        <v/>
      </c>
      <c r="CP587" t="str">
        <f>"51-3023.00"</f>
        <v>51-3023.00</v>
      </c>
      <c r="CQ587" t="s">
        <v>5705</v>
      </c>
      <c r="CS587" t="s">
        <v>131</v>
      </c>
      <c r="CU587" t="s">
        <v>12022</v>
      </c>
      <c r="CW587" t="s">
        <v>12023</v>
      </c>
      <c r="CX587" t="s">
        <v>779</v>
      </c>
      <c r="CZ587" s="3" t="str">
        <f>"38472"</f>
        <v>38472</v>
      </c>
      <c r="DA587" t="s">
        <v>131</v>
      </c>
      <c r="DB587" t="str">
        <f>"51-3023"</f>
        <v>51-3023</v>
      </c>
      <c r="DC587" t="s">
        <v>5705</v>
      </c>
      <c r="DD587" t="s">
        <v>134</v>
      </c>
      <c r="DE587" t="s">
        <v>134</v>
      </c>
      <c r="DF587" t="str">
        <f>""</f>
        <v/>
      </c>
      <c r="DH587" s="6">
        <v>13.13</v>
      </c>
      <c r="DI587" t="s">
        <v>344</v>
      </c>
      <c r="DK587" t="s">
        <v>345</v>
      </c>
      <c r="DR587" t="s">
        <v>3260</v>
      </c>
      <c r="DS587" s="6">
        <v>13.13</v>
      </c>
      <c r="DT587" t="s">
        <v>424</v>
      </c>
      <c r="DU587" s="1">
        <v>44369</v>
      </c>
      <c r="DV587" s="1">
        <v>44458</v>
      </c>
    </row>
    <row r="588" spans="1:126" ht="15" customHeight="1" x14ac:dyDescent="0.35">
      <c r="A588" t="s">
        <v>11473</v>
      </c>
      <c r="B588" t="s">
        <v>318</v>
      </c>
      <c r="C588" s="1">
        <v>44335</v>
      </c>
      <c r="D588" s="1">
        <v>44362</v>
      </c>
      <c r="H588" t="s">
        <v>319</v>
      </c>
      <c r="I588" t="s">
        <v>436</v>
      </c>
      <c r="J588" t="s">
        <v>313</v>
      </c>
      <c r="K588" t="s">
        <v>2872</v>
      </c>
      <c r="L588" t="s">
        <v>5182</v>
      </c>
      <c r="M588" t="s">
        <v>11474</v>
      </c>
      <c r="O588" t="s">
        <v>11475</v>
      </c>
      <c r="P588" t="s">
        <v>311</v>
      </c>
      <c r="Q588" s="3">
        <v>19090</v>
      </c>
      <c r="R588" t="s">
        <v>128</v>
      </c>
      <c r="T588" s="4">
        <v>12157840488</v>
      </c>
      <c r="V588" t="s">
        <v>134</v>
      </c>
      <c r="W588" t="s">
        <v>11476</v>
      </c>
      <c r="Y588" t="s">
        <v>11474</v>
      </c>
      <c r="AA588" t="s">
        <v>11475</v>
      </c>
      <c r="AB588" t="s">
        <v>312</v>
      </c>
      <c r="AC588" s="3" t="str">
        <f>"19090"</f>
        <v>19090</v>
      </c>
      <c r="AD588" t="s">
        <v>128</v>
      </c>
      <c r="AF588" s="4">
        <v>12157840488</v>
      </c>
      <c r="AH588" t="str">
        <f>"56173"</f>
        <v>56173</v>
      </c>
      <c r="AI588" t="s">
        <v>287</v>
      </c>
      <c r="AJ588" t="s">
        <v>2917</v>
      </c>
      <c r="AK588" t="s">
        <v>2918</v>
      </c>
      <c r="AM588" t="s">
        <v>2919</v>
      </c>
      <c r="AN588" t="s">
        <v>2920</v>
      </c>
      <c r="AO588" t="s">
        <v>2921</v>
      </c>
      <c r="AP588" t="s">
        <v>306</v>
      </c>
      <c r="AQ588" s="5">
        <v>22949</v>
      </c>
      <c r="AR588" t="s">
        <v>128</v>
      </c>
      <c r="AT588" s="4">
        <v>14342634300</v>
      </c>
      <c r="AV588" t="s">
        <v>5183</v>
      </c>
      <c r="AW588" t="s">
        <v>2923</v>
      </c>
      <c r="AX588" t="s">
        <v>131</v>
      </c>
      <c r="AY588" t="s">
        <v>131</v>
      </c>
      <c r="AZ588" t="s">
        <v>131</v>
      </c>
      <c r="BA588" t="s">
        <v>131</v>
      </c>
      <c r="BB588" t="s">
        <v>131</v>
      </c>
      <c r="BC588" t="s">
        <v>131</v>
      </c>
      <c r="BD588" t="s">
        <v>131</v>
      </c>
      <c r="BE588" t="s">
        <v>132</v>
      </c>
      <c r="BH588" t="s">
        <v>2215</v>
      </c>
      <c r="BI588" t="s">
        <v>131</v>
      </c>
      <c r="BL588" t="s">
        <v>167</v>
      </c>
      <c r="BO588" t="s">
        <v>131</v>
      </c>
      <c r="BP588" t="s">
        <v>134</v>
      </c>
      <c r="BQ588" t="s">
        <v>131</v>
      </c>
      <c r="BS588" t="str">
        <f t="shared" ref="BS588:BS619" si="45">"N/A"</f>
        <v>N/A</v>
      </c>
      <c r="BT588" t="s">
        <v>131</v>
      </c>
      <c r="BV588" t="str">
        <f>""</f>
        <v/>
      </c>
      <c r="BW588" t="s">
        <v>135</v>
      </c>
      <c r="BX588" t="str">
        <f>""</f>
        <v/>
      </c>
      <c r="BY588" t="str">
        <f>""</f>
        <v/>
      </c>
      <c r="BZ588" t="str">
        <f>""</f>
        <v/>
      </c>
      <c r="CA588" t="str">
        <f>"Must lift/carry 50 lbs., when necessary.  Saturday work required, when necessary.  Post-hire upon suspicion of use and post-accident drug testing required of foreign and domestic workers."</f>
        <v>Must lift/carry 50 lbs., when necessary.  Saturday work required, when necessary.  Post-hire upon suspicion of use and post-accident drug testing required of foreign and domestic workers.</v>
      </c>
      <c r="CB588" t="s">
        <v>131</v>
      </c>
      <c r="CF588" t="s">
        <v>131</v>
      </c>
      <c r="CH588" t="str">
        <f>""</f>
        <v/>
      </c>
      <c r="CI588" t="s">
        <v>131</v>
      </c>
      <c r="CK588" t="s">
        <v>131</v>
      </c>
      <c r="CL588" t="str">
        <f>""</f>
        <v/>
      </c>
      <c r="CM588" t="str">
        <f>""</f>
        <v/>
      </c>
      <c r="CN588" t="str">
        <f>""</f>
        <v/>
      </c>
      <c r="CO588" t="str">
        <f>""</f>
        <v/>
      </c>
      <c r="CP588" t="str">
        <f>"37-3011.00"</f>
        <v>37-3011.00</v>
      </c>
      <c r="CQ588" t="s">
        <v>920</v>
      </c>
      <c r="CR588" t="s">
        <v>2924</v>
      </c>
      <c r="CS588" t="s">
        <v>135</v>
      </c>
      <c r="CT588" t="s">
        <v>2925</v>
      </c>
      <c r="CU588" t="s">
        <v>11474</v>
      </c>
      <c r="CW588" t="s">
        <v>11475</v>
      </c>
      <c r="CX588" t="s">
        <v>312</v>
      </c>
      <c r="CZ588" s="3" t="str">
        <f>"19090"</f>
        <v>19090</v>
      </c>
      <c r="DA588" t="s">
        <v>135</v>
      </c>
      <c r="DB588" t="str">
        <f>"37-3011"</f>
        <v>37-3011</v>
      </c>
      <c r="DC588" t="s">
        <v>920</v>
      </c>
      <c r="DD588" t="s">
        <v>134</v>
      </c>
      <c r="DE588" t="s">
        <v>134</v>
      </c>
      <c r="DF588" t="str">
        <f>""</f>
        <v/>
      </c>
      <c r="DH588" s="6">
        <v>16.600000000000001</v>
      </c>
      <c r="DI588" t="s">
        <v>344</v>
      </c>
      <c r="DK588" t="s">
        <v>345</v>
      </c>
      <c r="DS588" s="6">
        <v>16.600000000000001</v>
      </c>
      <c r="DT588" s="2" t="s">
        <v>2219</v>
      </c>
      <c r="DU588" s="1">
        <v>44362</v>
      </c>
      <c r="DV588" s="1">
        <v>44451</v>
      </c>
    </row>
    <row r="589" spans="1:126" ht="15" customHeight="1" x14ac:dyDescent="0.35">
      <c r="A589" t="s">
        <v>18265</v>
      </c>
      <c r="B589" t="s">
        <v>318</v>
      </c>
      <c r="C589" s="1">
        <v>44335</v>
      </c>
      <c r="D589" s="1">
        <v>44369</v>
      </c>
      <c r="H589" t="s">
        <v>319</v>
      </c>
      <c r="I589" t="s">
        <v>18266</v>
      </c>
      <c r="J589" t="s">
        <v>18267</v>
      </c>
      <c r="K589" t="s">
        <v>1253</v>
      </c>
      <c r="L589" t="s">
        <v>1105</v>
      </c>
      <c r="M589" t="s">
        <v>18268</v>
      </c>
      <c r="N589" t="s">
        <v>7177</v>
      </c>
      <c r="O589" t="s">
        <v>18269</v>
      </c>
      <c r="P589" t="s">
        <v>467</v>
      </c>
      <c r="Q589" s="3">
        <v>81224</v>
      </c>
      <c r="R589" t="s">
        <v>128</v>
      </c>
      <c r="T589" s="4">
        <v>19702091014</v>
      </c>
      <c r="V589" t="s">
        <v>18270</v>
      </c>
      <c r="W589" t="s">
        <v>18271</v>
      </c>
      <c r="Y589" t="s">
        <v>18268</v>
      </c>
      <c r="Z589" t="s">
        <v>7177</v>
      </c>
      <c r="AA589" t="s">
        <v>18269</v>
      </c>
      <c r="AB589" t="s">
        <v>471</v>
      </c>
      <c r="AC589" s="3" t="str">
        <f>"81224"</f>
        <v>81224</v>
      </c>
      <c r="AD589" t="s">
        <v>128</v>
      </c>
      <c r="AF589" s="4">
        <v>19702091014</v>
      </c>
      <c r="AH589" t="str">
        <f>"561720"</f>
        <v>561720</v>
      </c>
      <c r="AI589" t="s">
        <v>287</v>
      </c>
      <c r="AJ589" t="s">
        <v>2046</v>
      </c>
      <c r="AK589" t="s">
        <v>2047</v>
      </c>
      <c r="AL589" t="s">
        <v>134</v>
      </c>
      <c r="AM589" t="s">
        <v>2048</v>
      </c>
      <c r="AN589" t="s">
        <v>2049</v>
      </c>
      <c r="AO589" t="s">
        <v>2050</v>
      </c>
      <c r="AP589" t="s">
        <v>1243</v>
      </c>
      <c r="AQ589" s="5">
        <v>83814</v>
      </c>
      <c r="AR589" t="s">
        <v>128</v>
      </c>
      <c r="AT589" s="4">
        <v>12087772654</v>
      </c>
      <c r="AV589" t="s">
        <v>2051</v>
      </c>
      <c r="AW589" t="s">
        <v>2052</v>
      </c>
      <c r="AX589" t="s">
        <v>131</v>
      </c>
      <c r="AY589" t="s">
        <v>131</v>
      </c>
      <c r="AZ589" t="s">
        <v>131</v>
      </c>
      <c r="BA589" t="s">
        <v>131</v>
      </c>
      <c r="BB589" t="s">
        <v>131</v>
      </c>
      <c r="BC589" t="s">
        <v>131</v>
      </c>
      <c r="BD589" t="s">
        <v>131</v>
      </c>
      <c r="BE589" t="s">
        <v>132</v>
      </c>
      <c r="BH589" t="s">
        <v>18272</v>
      </c>
      <c r="BI589" t="s">
        <v>131</v>
      </c>
      <c r="BL589" t="s">
        <v>167</v>
      </c>
      <c r="BO589" t="s">
        <v>131</v>
      </c>
      <c r="BP589" t="s">
        <v>134</v>
      </c>
      <c r="BQ589" t="s">
        <v>131</v>
      </c>
      <c r="BS589" t="str">
        <f t="shared" si="45"/>
        <v>N/A</v>
      </c>
      <c r="BT589" t="s">
        <v>131</v>
      </c>
      <c r="BV589" t="str">
        <f>""</f>
        <v/>
      </c>
      <c r="BW589" t="s">
        <v>135</v>
      </c>
      <c r="BX589" t="str">
        <f>""</f>
        <v/>
      </c>
      <c r="BY589" t="str">
        <f>""</f>
        <v/>
      </c>
      <c r="BZ589" t="str">
        <f>""</f>
        <v/>
      </c>
      <c r="CA589" t="s">
        <v>2054</v>
      </c>
      <c r="CB589" t="s">
        <v>131</v>
      </c>
      <c r="CF589" t="s">
        <v>131</v>
      </c>
      <c r="CH589" t="str">
        <f>""</f>
        <v/>
      </c>
      <c r="CI589" t="s">
        <v>131</v>
      </c>
      <c r="CK589" t="s">
        <v>131</v>
      </c>
      <c r="CL589" t="str">
        <f>""</f>
        <v/>
      </c>
      <c r="CM589" t="str">
        <f>""</f>
        <v/>
      </c>
      <c r="CN589" t="str">
        <f>""</f>
        <v/>
      </c>
      <c r="CO589" t="str">
        <f>""</f>
        <v/>
      </c>
      <c r="CP589" t="str">
        <f>"37-2012.00"</f>
        <v>37-2012.00</v>
      </c>
      <c r="CQ589" t="s">
        <v>479</v>
      </c>
      <c r="CS589" t="s">
        <v>135</v>
      </c>
      <c r="CT589" t="s">
        <v>18273</v>
      </c>
      <c r="CU589" t="s">
        <v>18274</v>
      </c>
      <c r="CV589" t="s">
        <v>7177</v>
      </c>
      <c r="CW589" t="s">
        <v>18269</v>
      </c>
      <c r="CX589" t="s">
        <v>471</v>
      </c>
      <c r="CZ589" s="3" t="str">
        <f>"81224"</f>
        <v>81224</v>
      </c>
      <c r="DA589" t="s">
        <v>135</v>
      </c>
      <c r="DB589" t="str">
        <f>"37-2012"</f>
        <v>37-2012</v>
      </c>
      <c r="DC589" t="s">
        <v>479</v>
      </c>
      <c r="DD589" t="s">
        <v>134</v>
      </c>
      <c r="DE589" t="s">
        <v>134</v>
      </c>
      <c r="DF589" t="str">
        <f>""</f>
        <v/>
      </c>
      <c r="DH589" s="6">
        <v>13.53</v>
      </c>
      <c r="DI589" t="s">
        <v>344</v>
      </c>
      <c r="DK589" t="s">
        <v>345</v>
      </c>
      <c r="DR589" t="s">
        <v>18275</v>
      </c>
      <c r="DS589" s="6">
        <v>13.53</v>
      </c>
      <c r="DT589" s="2" t="s">
        <v>2219</v>
      </c>
      <c r="DU589" s="1">
        <v>44369</v>
      </c>
      <c r="DV589" s="1">
        <v>44458</v>
      </c>
    </row>
    <row r="590" spans="1:126" ht="15" customHeight="1" x14ac:dyDescent="0.35">
      <c r="A590" t="s">
        <v>12520</v>
      </c>
      <c r="B590" t="s">
        <v>318</v>
      </c>
      <c r="C590" s="1">
        <v>44335</v>
      </c>
      <c r="D590" s="1">
        <v>44362</v>
      </c>
      <c r="H590" t="s">
        <v>319</v>
      </c>
      <c r="I590" t="s">
        <v>7217</v>
      </c>
      <c r="J590" t="s">
        <v>7218</v>
      </c>
      <c r="L590" t="s">
        <v>628</v>
      </c>
      <c r="M590" t="s">
        <v>7219</v>
      </c>
      <c r="O590" t="s">
        <v>4582</v>
      </c>
      <c r="P590" t="s">
        <v>194</v>
      </c>
      <c r="Q590" s="3">
        <v>33449</v>
      </c>
      <c r="R590" t="s">
        <v>128</v>
      </c>
      <c r="T590" s="4">
        <v>15619643840</v>
      </c>
      <c r="U590">
        <v>0</v>
      </c>
      <c r="V590" t="s">
        <v>7220</v>
      </c>
      <c r="W590" t="s">
        <v>7221</v>
      </c>
      <c r="X590" t="s">
        <v>134</v>
      </c>
      <c r="Y590" t="s">
        <v>7222</v>
      </c>
      <c r="AA590" t="s">
        <v>7223</v>
      </c>
      <c r="AB590" t="s">
        <v>195</v>
      </c>
      <c r="AC590" s="3" t="str">
        <f>"33449"</f>
        <v>33449</v>
      </c>
      <c r="AD590" t="s">
        <v>128</v>
      </c>
      <c r="AF590" s="4">
        <v>15619643840</v>
      </c>
      <c r="AG590">
        <v>0</v>
      </c>
      <c r="AH590" t="str">
        <f>"71391"</f>
        <v>71391</v>
      </c>
      <c r="AI590" t="s">
        <v>130</v>
      </c>
      <c r="AJ590" t="s">
        <v>1080</v>
      </c>
      <c r="AK590" t="s">
        <v>1278</v>
      </c>
      <c r="AL590" t="s">
        <v>2210</v>
      </c>
      <c r="AM590" t="s">
        <v>4475</v>
      </c>
      <c r="AN590" t="s">
        <v>1507</v>
      </c>
      <c r="AO590" t="s">
        <v>642</v>
      </c>
      <c r="AP590" t="s">
        <v>643</v>
      </c>
      <c r="AQ590" s="5">
        <v>30309</v>
      </c>
      <c r="AR590" t="s">
        <v>128</v>
      </c>
      <c r="AT590" s="4">
        <v>14042404151</v>
      </c>
      <c r="AV590" t="s">
        <v>4476</v>
      </c>
      <c r="AW590" t="s">
        <v>559</v>
      </c>
      <c r="AX590" t="s">
        <v>131</v>
      </c>
      <c r="AY590" t="s">
        <v>131</v>
      </c>
      <c r="AZ590" t="s">
        <v>131</v>
      </c>
      <c r="BA590" t="s">
        <v>131</v>
      </c>
      <c r="BB590" t="s">
        <v>131</v>
      </c>
      <c r="BC590" t="s">
        <v>131</v>
      </c>
      <c r="BD590" t="s">
        <v>131</v>
      </c>
      <c r="BE590" t="s">
        <v>132</v>
      </c>
      <c r="BH590" t="s">
        <v>5764</v>
      </c>
      <c r="BI590" t="s">
        <v>131</v>
      </c>
      <c r="BL590" t="s">
        <v>167</v>
      </c>
      <c r="BO590" t="s">
        <v>131</v>
      </c>
      <c r="BP590" t="s">
        <v>134</v>
      </c>
      <c r="BQ590" t="s">
        <v>131</v>
      </c>
      <c r="BS590" t="str">
        <f t="shared" si="45"/>
        <v>N/A</v>
      </c>
      <c r="BT590" t="s">
        <v>131</v>
      </c>
      <c r="BV590" t="str">
        <f>""</f>
        <v/>
      </c>
      <c r="BW590" t="s">
        <v>135</v>
      </c>
      <c r="BX590" t="str">
        <f>""</f>
        <v/>
      </c>
      <c r="BY590" t="str">
        <f>""</f>
        <v/>
      </c>
      <c r="BZ590" t="str">
        <f>""</f>
        <v/>
      </c>
      <c r="CA590" t="str">
        <f>"Training not required but is offered if necessary"</f>
        <v>Training not required but is offered if necessary</v>
      </c>
      <c r="CB590" t="s">
        <v>131</v>
      </c>
      <c r="CF590" t="s">
        <v>131</v>
      </c>
      <c r="CH590" t="str">
        <f>""</f>
        <v/>
      </c>
      <c r="CI590" t="s">
        <v>131</v>
      </c>
      <c r="CK590" t="s">
        <v>131</v>
      </c>
      <c r="CL590" t="str">
        <f>""</f>
        <v/>
      </c>
      <c r="CM590" t="str">
        <f>""</f>
        <v/>
      </c>
      <c r="CN590" t="str">
        <f>""</f>
        <v/>
      </c>
      <c r="CO590" t="str">
        <f>""</f>
        <v/>
      </c>
      <c r="CP590" t="str">
        <f>"35-2014.00"</f>
        <v>35-2014.00</v>
      </c>
      <c r="CQ590" t="s">
        <v>581</v>
      </c>
      <c r="CS590" t="s">
        <v>131</v>
      </c>
      <c r="CU590" t="s">
        <v>12521</v>
      </c>
      <c r="CW590" t="s">
        <v>4582</v>
      </c>
      <c r="CX590" t="s">
        <v>195</v>
      </c>
      <c r="CZ590" s="3" t="str">
        <f>"33449"</f>
        <v>33449</v>
      </c>
      <c r="DA590" t="s">
        <v>131</v>
      </c>
      <c r="DB590" t="str">
        <f>"35-2014"</f>
        <v>35-2014</v>
      </c>
      <c r="DC590" t="s">
        <v>581</v>
      </c>
      <c r="DD590" t="s">
        <v>134</v>
      </c>
      <c r="DE590" t="s">
        <v>134</v>
      </c>
      <c r="DF590" t="str">
        <f>""</f>
        <v/>
      </c>
      <c r="DH590" s="6">
        <v>14.63</v>
      </c>
      <c r="DI590" t="s">
        <v>344</v>
      </c>
      <c r="DK590" t="s">
        <v>345</v>
      </c>
      <c r="DR590" t="s">
        <v>2160</v>
      </c>
      <c r="DS590" s="6">
        <v>14.63</v>
      </c>
      <c r="DT590" t="s">
        <v>424</v>
      </c>
      <c r="DU590" s="1">
        <v>44362</v>
      </c>
      <c r="DV590" s="1">
        <v>44451</v>
      </c>
    </row>
    <row r="591" spans="1:126" ht="15" customHeight="1" x14ac:dyDescent="0.35">
      <c r="A591" t="s">
        <v>12442</v>
      </c>
      <c r="B591" t="s">
        <v>318</v>
      </c>
      <c r="C591" s="1">
        <v>44335</v>
      </c>
      <c r="D591" s="1">
        <v>44362</v>
      </c>
      <c r="H591" t="s">
        <v>319</v>
      </c>
      <c r="I591" t="s">
        <v>12443</v>
      </c>
      <c r="J591" t="s">
        <v>2240</v>
      </c>
      <c r="L591" t="s">
        <v>1105</v>
      </c>
      <c r="M591" t="s">
        <v>12444</v>
      </c>
      <c r="O591" t="s">
        <v>12445</v>
      </c>
      <c r="P591" t="s">
        <v>676</v>
      </c>
      <c r="Q591" s="3">
        <v>50548</v>
      </c>
      <c r="R591" t="s">
        <v>128</v>
      </c>
      <c r="T591" s="4">
        <v>15155749526</v>
      </c>
      <c r="V591" t="s">
        <v>12446</v>
      </c>
      <c r="W591" t="s">
        <v>12447</v>
      </c>
      <c r="Y591" t="s">
        <v>12448</v>
      </c>
      <c r="AA591" t="s">
        <v>12445</v>
      </c>
      <c r="AB591" t="s">
        <v>605</v>
      </c>
      <c r="AC591" s="3" t="str">
        <f>"50548"</f>
        <v>50548</v>
      </c>
      <c r="AD591" t="s">
        <v>128</v>
      </c>
      <c r="AF591" s="4">
        <v>15155749526</v>
      </c>
      <c r="AH591" t="str">
        <f>"4842"</f>
        <v>4842</v>
      </c>
      <c r="AI591" t="s">
        <v>130</v>
      </c>
      <c r="AJ591" t="s">
        <v>4018</v>
      </c>
      <c r="AK591" t="s">
        <v>2069</v>
      </c>
      <c r="AM591" t="s">
        <v>4019</v>
      </c>
      <c r="AO591" t="s">
        <v>1040</v>
      </c>
      <c r="AP591" t="s">
        <v>400</v>
      </c>
      <c r="AQ591" s="5">
        <v>78737</v>
      </c>
      <c r="AR591" t="s">
        <v>128</v>
      </c>
      <c r="AT591" s="4">
        <v>15128942128</v>
      </c>
      <c r="AV591" t="s">
        <v>4020</v>
      </c>
      <c r="AW591" t="s">
        <v>4021</v>
      </c>
      <c r="AX591" t="s">
        <v>131</v>
      </c>
      <c r="AY591" t="s">
        <v>131</v>
      </c>
      <c r="AZ591" t="s">
        <v>131</v>
      </c>
      <c r="BA591" t="s">
        <v>131</v>
      </c>
      <c r="BB591" t="s">
        <v>131</v>
      </c>
      <c r="BC591" t="s">
        <v>131</v>
      </c>
      <c r="BD591" t="s">
        <v>131</v>
      </c>
      <c r="BE591" t="s">
        <v>132</v>
      </c>
      <c r="BH591" t="s">
        <v>1714</v>
      </c>
      <c r="BI591" t="s">
        <v>131</v>
      </c>
      <c r="BL591" t="s">
        <v>167</v>
      </c>
      <c r="BO591" t="s">
        <v>131</v>
      </c>
      <c r="BP591" t="s">
        <v>134</v>
      </c>
      <c r="BQ591" t="s">
        <v>131</v>
      </c>
      <c r="BS591" t="str">
        <f t="shared" si="45"/>
        <v>N/A</v>
      </c>
      <c r="BT591" t="s">
        <v>135</v>
      </c>
      <c r="BU591">
        <v>12</v>
      </c>
      <c r="BV591" t="str">
        <f>"See F.b.5.a"</f>
        <v>See F.b.5.a</v>
      </c>
      <c r="BW591" t="s">
        <v>135</v>
      </c>
      <c r="BX591" t="str">
        <f>"Position requires Class A or International Commercial Driver's License. "</f>
        <v xml:space="preserve">Position requires Class A or International Commercial Driver's License. </v>
      </c>
      <c r="BY591" t="str">
        <f>""</f>
        <v/>
      </c>
      <c r="BZ591" t="str">
        <f>""</f>
        <v/>
      </c>
      <c r="CA591" t="str">
        <f>"Position requires twelve (12) months of semi-tractor-trailer truck driving experience. Must be able to lift and carry 75 pounds for 75 yards. "</f>
        <v xml:space="preserve">Position requires twelve (12) months of semi-tractor-trailer truck driving experience. Must be able to lift and carry 75 pounds for 75 yards. </v>
      </c>
      <c r="CB591" t="s">
        <v>131</v>
      </c>
      <c r="CF591" t="s">
        <v>131</v>
      </c>
      <c r="CH591" t="str">
        <f>""</f>
        <v/>
      </c>
      <c r="CI591" t="s">
        <v>131</v>
      </c>
      <c r="CK591" t="s">
        <v>131</v>
      </c>
      <c r="CL591" t="str">
        <f>""</f>
        <v/>
      </c>
      <c r="CM591" t="str">
        <f>""</f>
        <v/>
      </c>
      <c r="CN591" t="str">
        <f>""</f>
        <v/>
      </c>
      <c r="CO591" t="str">
        <f>""</f>
        <v/>
      </c>
      <c r="CP591" t="str">
        <f>"53-3032.00"</f>
        <v>53-3032.00</v>
      </c>
      <c r="CQ591" t="s">
        <v>1238</v>
      </c>
      <c r="CR591" t="s">
        <v>1105</v>
      </c>
      <c r="CS591" t="s">
        <v>135</v>
      </c>
      <c r="CT591" t="s">
        <v>12449</v>
      </c>
      <c r="CU591" t="s">
        <v>12444</v>
      </c>
      <c r="CW591" t="s">
        <v>12445</v>
      </c>
      <c r="CX591" t="s">
        <v>605</v>
      </c>
      <c r="CZ591" s="3" t="str">
        <f>"50548"</f>
        <v>50548</v>
      </c>
      <c r="DA591" t="s">
        <v>135</v>
      </c>
      <c r="DB591" t="str">
        <f>"53-3032"</f>
        <v>53-3032</v>
      </c>
      <c r="DC591" t="s">
        <v>1238</v>
      </c>
      <c r="DD591" t="s">
        <v>134</v>
      </c>
      <c r="DE591" t="s">
        <v>134</v>
      </c>
      <c r="DF591" t="str">
        <f>""</f>
        <v/>
      </c>
      <c r="DH591" s="6">
        <v>19.510000000000002</v>
      </c>
      <c r="DI591" t="s">
        <v>344</v>
      </c>
      <c r="DK591" t="s">
        <v>345</v>
      </c>
      <c r="DS591" s="6">
        <v>19.510000000000002</v>
      </c>
      <c r="DT591" s="2" t="s">
        <v>347</v>
      </c>
      <c r="DU591" s="1">
        <v>44362</v>
      </c>
      <c r="DV591" s="1">
        <v>44451</v>
      </c>
    </row>
    <row r="592" spans="1:126" ht="15" customHeight="1" x14ac:dyDescent="0.35">
      <c r="A592" t="s">
        <v>11891</v>
      </c>
      <c r="B592" t="s">
        <v>318</v>
      </c>
      <c r="C592" s="1">
        <v>44335</v>
      </c>
      <c r="D592" s="1">
        <v>44362</v>
      </c>
      <c r="H592" t="s">
        <v>319</v>
      </c>
      <c r="I592" t="s">
        <v>11892</v>
      </c>
      <c r="J592" t="s">
        <v>560</v>
      </c>
      <c r="L592" t="s">
        <v>1205</v>
      </c>
      <c r="M592" t="s">
        <v>11893</v>
      </c>
      <c r="O592" t="s">
        <v>11894</v>
      </c>
      <c r="P592" t="s">
        <v>127</v>
      </c>
      <c r="Q592" s="3">
        <v>12075</v>
      </c>
      <c r="R592" t="s">
        <v>128</v>
      </c>
      <c r="T592" s="4">
        <v>15188519460</v>
      </c>
      <c r="V592" t="s">
        <v>11895</v>
      </c>
      <c r="W592" t="s">
        <v>11896</v>
      </c>
      <c r="Y592" t="s">
        <v>11893</v>
      </c>
      <c r="AA592" t="s">
        <v>11894</v>
      </c>
      <c r="AB592" t="s">
        <v>129</v>
      </c>
      <c r="AC592" s="3" t="str">
        <f>"12075"</f>
        <v>12075</v>
      </c>
      <c r="AD592" t="s">
        <v>128</v>
      </c>
      <c r="AF592" s="4">
        <v>15188519460</v>
      </c>
      <c r="AH592" t="str">
        <f>"532289"</f>
        <v>532289</v>
      </c>
      <c r="AI592" t="s">
        <v>130</v>
      </c>
      <c r="AJ592" t="s">
        <v>4018</v>
      </c>
      <c r="AK592" t="s">
        <v>2069</v>
      </c>
      <c r="AM592" t="s">
        <v>4019</v>
      </c>
      <c r="AO592" t="s">
        <v>1040</v>
      </c>
      <c r="AP592" t="s">
        <v>400</v>
      </c>
      <c r="AQ592" s="5">
        <v>78737</v>
      </c>
      <c r="AR592" t="s">
        <v>128</v>
      </c>
      <c r="AT592" s="4">
        <v>15128942128</v>
      </c>
      <c r="AV592" t="s">
        <v>4020</v>
      </c>
      <c r="AW592" t="s">
        <v>4021</v>
      </c>
      <c r="AX592" t="s">
        <v>131</v>
      </c>
      <c r="AY592" t="s">
        <v>131</v>
      </c>
      <c r="AZ592" t="s">
        <v>131</v>
      </c>
      <c r="BA592" t="s">
        <v>131</v>
      </c>
      <c r="BB592" t="s">
        <v>131</v>
      </c>
      <c r="BC592" t="s">
        <v>131</v>
      </c>
      <c r="BD592" t="s">
        <v>131</v>
      </c>
      <c r="BE592" t="s">
        <v>132</v>
      </c>
      <c r="BH592" t="s">
        <v>11897</v>
      </c>
      <c r="BI592" t="s">
        <v>131</v>
      </c>
      <c r="BL592" t="s">
        <v>167</v>
      </c>
      <c r="BO592" t="s">
        <v>131</v>
      </c>
      <c r="BP592" t="s">
        <v>134</v>
      </c>
      <c r="BQ592" t="s">
        <v>131</v>
      </c>
      <c r="BS592" t="str">
        <f t="shared" si="45"/>
        <v>N/A</v>
      </c>
      <c r="BT592" t="s">
        <v>131</v>
      </c>
      <c r="BV592" t="str">
        <f>""</f>
        <v/>
      </c>
      <c r="BW592" t="s">
        <v>135</v>
      </c>
      <c r="BX592" t="str">
        <f>""</f>
        <v/>
      </c>
      <c r="BY592" t="str">
        <f>""</f>
        <v/>
      </c>
      <c r="BZ592" t="str">
        <f>""</f>
        <v/>
      </c>
      <c r="CA592" t="str">
        <f>"Work is very physically demanding. Must be able to lift 75-100 pounds. "</f>
        <v xml:space="preserve">Work is very physically demanding. Must be able to lift 75-100 pounds. </v>
      </c>
      <c r="CB592" t="s">
        <v>131</v>
      </c>
      <c r="CF592" t="s">
        <v>131</v>
      </c>
      <c r="CH592" t="str">
        <f>""</f>
        <v/>
      </c>
      <c r="CI592" t="s">
        <v>131</v>
      </c>
      <c r="CK592" t="s">
        <v>131</v>
      </c>
      <c r="CL592" t="str">
        <f>""</f>
        <v/>
      </c>
      <c r="CM592" t="str">
        <f>""</f>
        <v/>
      </c>
      <c r="CN592" t="str">
        <f>""</f>
        <v/>
      </c>
      <c r="CO592" t="str">
        <f>""</f>
        <v/>
      </c>
      <c r="CP592" t="str">
        <f>"53-7062.00"</f>
        <v>53-7062.00</v>
      </c>
      <c r="CQ592" t="s">
        <v>1030</v>
      </c>
      <c r="CR592" t="s">
        <v>460</v>
      </c>
      <c r="CS592" t="s">
        <v>135</v>
      </c>
      <c r="CT592" t="s">
        <v>11898</v>
      </c>
      <c r="CU592" t="s">
        <v>11893</v>
      </c>
      <c r="CW592" t="s">
        <v>11894</v>
      </c>
      <c r="CX592" t="s">
        <v>129</v>
      </c>
      <c r="CZ592" s="3" t="str">
        <f>"12075"</f>
        <v>12075</v>
      </c>
      <c r="DA592" t="s">
        <v>135</v>
      </c>
      <c r="DB592" t="str">
        <f>"53-7062"</f>
        <v>53-7062</v>
      </c>
      <c r="DC592" t="s">
        <v>1030</v>
      </c>
      <c r="DD592" t="s">
        <v>134</v>
      </c>
      <c r="DE592" t="s">
        <v>134</v>
      </c>
      <c r="DF592" t="str">
        <f>""</f>
        <v/>
      </c>
      <c r="DH592" s="6">
        <v>15.13</v>
      </c>
      <c r="DI592" t="s">
        <v>344</v>
      </c>
      <c r="DK592" t="s">
        <v>345</v>
      </c>
      <c r="DS592" s="6">
        <v>15.13</v>
      </c>
      <c r="DT592" s="2" t="s">
        <v>347</v>
      </c>
      <c r="DU592" s="1">
        <v>44362</v>
      </c>
      <c r="DV592" s="1">
        <v>44451</v>
      </c>
    </row>
    <row r="593" spans="1:126" ht="15" customHeight="1" x14ac:dyDescent="0.35">
      <c r="A593" t="s">
        <v>14429</v>
      </c>
      <c r="B593" t="s">
        <v>318</v>
      </c>
      <c r="C593" s="1">
        <v>44335</v>
      </c>
      <c r="D593" s="1">
        <v>44362</v>
      </c>
      <c r="H593" t="s">
        <v>319</v>
      </c>
      <c r="I593" t="s">
        <v>13941</v>
      </c>
      <c r="J593" t="s">
        <v>1116</v>
      </c>
      <c r="L593" t="s">
        <v>395</v>
      </c>
      <c r="M593" t="s">
        <v>14430</v>
      </c>
      <c r="N593" t="s">
        <v>14431</v>
      </c>
      <c r="O593" t="s">
        <v>1040</v>
      </c>
      <c r="P593" t="s">
        <v>412</v>
      </c>
      <c r="Q593" s="3">
        <v>78737</v>
      </c>
      <c r="R593" t="s">
        <v>128</v>
      </c>
      <c r="T593" s="4">
        <v>15129892259</v>
      </c>
      <c r="V593" t="s">
        <v>14432</v>
      </c>
      <c r="W593" t="s">
        <v>7558</v>
      </c>
      <c r="Y593" t="s">
        <v>14433</v>
      </c>
      <c r="Z593" t="s">
        <v>14431</v>
      </c>
      <c r="AA593" t="s">
        <v>1040</v>
      </c>
      <c r="AB593" t="s">
        <v>400</v>
      </c>
      <c r="AC593" s="3" t="str">
        <f>"78737"</f>
        <v>78737</v>
      </c>
      <c r="AD593" t="s">
        <v>128</v>
      </c>
      <c r="AF593" s="4">
        <v>15129892259</v>
      </c>
      <c r="AH593" t="str">
        <f>"56173"</f>
        <v>56173</v>
      </c>
      <c r="AI593" t="s">
        <v>130</v>
      </c>
      <c r="AJ593" t="s">
        <v>4018</v>
      </c>
      <c r="AK593" t="s">
        <v>2069</v>
      </c>
      <c r="AM593" t="s">
        <v>4019</v>
      </c>
      <c r="AO593" t="s">
        <v>1040</v>
      </c>
      <c r="AP593" t="s">
        <v>400</v>
      </c>
      <c r="AQ593" s="5">
        <v>78737</v>
      </c>
      <c r="AR593" t="s">
        <v>128</v>
      </c>
      <c r="AT593" s="4">
        <v>15128942128</v>
      </c>
      <c r="AV593" t="s">
        <v>4020</v>
      </c>
      <c r="AW593" t="s">
        <v>4021</v>
      </c>
      <c r="AX593" t="s">
        <v>131</v>
      </c>
      <c r="AY593" t="s">
        <v>131</v>
      </c>
      <c r="AZ593" t="s">
        <v>131</v>
      </c>
      <c r="BA593" t="s">
        <v>131</v>
      </c>
      <c r="BB593" t="s">
        <v>131</v>
      </c>
      <c r="BC593" t="s">
        <v>131</v>
      </c>
      <c r="BD593" t="s">
        <v>131</v>
      </c>
      <c r="BE593" t="s">
        <v>132</v>
      </c>
      <c r="BH593" t="s">
        <v>7560</v>
      </c>
      <c r="BI593" t="s">
        <v>131</v>
      </c>
      <c r="BL593" t="s">
        <v>167</v>
      </c>
      <c r="BO593" t="s">
        <v>131</v>
      </c>
      <c r="BP593" t="s">
        <v>134</v>
      </c>
      <c r="BQ593" t="s">
        <v>131</v>
      </c>
      <c r="BS593" t="str">
        <f t="shared" si="45"/>
        <v>N/A</v>
      </c>
      <c r="BT593" t="s">
        <v>135</v>
      </c>
      <c r="BU593">
        <v>1</v>
      </c>
      <c r="BV593" t="str">
        <f>"Similar Work Experience."</f>
        <v>Similar Work Experience.</v>
      </c>
      <c r="BW593" t="s">
        <v>135</v>
      </c>
      <c r="BX593" t="str">
        <f>""</f>
        <v/>
      </c>
      <c r="BY593" t="str">
        <f>""</f>
        <v/>
      </c>
      <c r="BZ593" t="str">
        <f>""</f>
        <v/>
      </c>
      <c r="CA593" t="str">
        <f>"Extensive bending and stooping, must be able to lift 60 lbs."</f>
        <v>Extensive bending and stooping, must be able to lift 60 lbs.</v>
      </c>
      <c r="CB593" t="s">
        <v>131</v>
      </c>
      <c r="CF593" t="s">
        <v>131</v>
      </c>
      <c r="CH593" t="str">
        <f>""</f>
        <v/>
      </c>
      <c r="CI593" t="s">
        <v>131</v>
      </c>
      <c r="CK593" t="s">
        <v>131</v>
      </c>
      <c r="CL593" t="str">
        <f>""</f>
        <v/>
      </c>
      <c r="CM593" t="str">
        <f>""</f>
        <v/>
      </c>
      <c r="CN593" t="str">
        <f>""</f>
        <v/>
      </c>
      <c r="CO593" t="str">
        <f>""</f>
        <v/>
      </c>
      <c r="CP593" t="str">
        <f>"37-3011.00"</f>
        <v>37-3011.00</v>
      </c>
      <c r="CQ593" t="s">
        <v>920</v>
      </c>
      <c r="CS593" t="s">
        <v>135</v>
      </c>
      <c r="CT593" t="s">
        <v>14434</v>
      </c>
      <c r="CU593" t="s">
        <v>14430</v>
      </c>
      <c r="CV593" t="s">
        <v>14431</v>
      </c>
      <c r="CW593" t="s">
        <v>1040</v>
      </c>
      <c r="CX593" t="s">
        <v>400</v>
      </c>
      <c r="CZ593" s="3" t="str">
        <f>"78737"</f>
        <v>78737</v>
      </c>
      <c r="DA593" t="s">
        <v>135</v>
      </c>
      <c r="DB593" t="str">
        <f>"37-3011"</f>
        <v>37-3011</v>
      </c>
      <c r="DC593" t="s">
        <v>920</v>
      </c>
      <c r="DD593" t="s">
        <v>134</v>
      </c>
      <c r="DE593" t="s">
        <v>134</v>
      </c>
      <c r="DF593" t="str">
        <f>""</f>
        <v/>
      </c>
      <c r="DH593" s="6">
        <v>14.63</v>
      </c>
      <c r="DI593" t="s">
        <v>344</v>
      </c>
      <c r="DK593" t="s">
        <v>345</v>
      </c>
      <c r="DS593" s="6">
        <v>14.63</v>
      </c>
      <c r="DT593" s="2" t="s">
        <v>2219</v>
      </c>
      <c r="DU593" s="1">
        <v>44362</v>
      </c>
      <c r="DV593" s="1">
        <v>44451</v>
      </c>
    </row>
    <row r="594" spans="1:126" ht="15" customHeight="1" x14ac:dyDescent="0.35">
      <c r="A594" t="s">
        <v>18823</v>
      </c>
      <c r="B594" t="s">
        <v>318</v>
      </c>
      <c r="C594" s="1">
        <v>44335</v>
      </c>
      <c r="D594" s="1">
        <v>44362</v>
      </c>
      <c r="H594" t="s">
        <v>319</v>
      </c>
      <c r="I594" t="s">
        <v>8275</v>
      </c>
      <c r="J594" t="s">
        <v>1341</v>
      </c>
      <c r="K594" t="s">
        <v>134</v>
      </c>
      <c r="L594" t="s">
        <v>1105</v>
      </c>
      <c r="M594" t="s">
        <v>18824</v>
      </c>
      <c r="O594" t="s">
        <v>18825</v>
      </c>
      <c r="P594" t="s">
        <v>194</v>
      </c>
      <c r="Q594" s="3">
        <v>33956</v>
      </c>
      <c r="R594" t="s">
        <v>128</v>
      </c>
      <c r="T594" s="4">
        <v>12392832988</v>
      </c>
      <c r="V594" t="s">
        <v>8276</v>
      </c>
      <c r="W594" t="s">
        <v>8277</v>
      </c>
      <c r="Y594" t="s">
        <v>8277</v>
      </c>
      <c r="AA594" t="s">
        <v>8277</v>
      </c>
      <c r="AB594" t="s">
        <v>195</v>
      </c>
      <c r="AC594" s="3" t="str">
        <f>"33956"</f>
        <v>33956</v>
      </c>
      <c r="AD594" t="s">
        <v>128</v>
      </c>
      <c r="AF594" s="4">
        <v>12392832988</v>
      </c>
      <c r="AH594" t="str">
        <f>"11531"</f>
        <v>11531</v>
      </c>
      <c r="AI594" t="s">
        <v>287</v>
      </c>
      <c r="AJ594" t="s">
        <v>7931</v>
      </c>
      <c r="AK594" t="s">
        <v>8278</v>
      </c>
      <c r="AL594" t="s">
        <v>134</v>
      </c>
      <c r="AM594" t="s">
        <v>4714</v>
      </c>
      <c r="AN594" t="s">
        <v>2377</v>
      </c>
      <c r="AO594" t="s">
        <v>4815</v>
      </c>
      <c r="AP594" t="s">
        <v>1243</v>
      </c>
      <c r="AQ594" s="5">
        <v>83814</v>
      </c>
      <c r="AR594" t="s">
        <v>128</v>
      </c>
      <c r="AT594" s="4">
        <v>12087772654</v>
      </c>
      <c r="AV594" t="s">
        <v>8279</v>
      </c>
      <c r="AW594" t="s">
        <v>4715</v>
      </c>
      <c r="AX594" t="s">
        <v>131</v>
      </c>
      <c r="AY594" t="s">
        <v>131</v>
      </c>
      <c r="AZ594" t="s">
        <v>131</v>
      </c>
      <c r="BA594" t="s">
        <v>131</v>
      </c>
      <c r="BB594" t="s">
        <v>131</v>
      </c>
      <c r="BC594" t="s">
        <v>131</v>
      </c>
      <c r="BD594" t="s">
        <v>131</v>
      </c>
      <c r="BE594" t="s">
        <v>132</v>
      </c>
      <c r="BH594" t="s">
        <v>6431</v>
      </c>
      <c r="BI594" t="s">
        <v>131</v>
      </c>
      <c r="BL594" t="s">
        <v>167</v>
      </c>
      <c r="BO594" t="s">
        <v>131</v>
      </c>
      <c r="BP594" t="s">
        <v>134</v>
      </c>
      <c r="BQ594" t="s">
        <v>131</v>
      </c>
      <c r="BS594" t="str">
        <f t="shared" si="45"/>
        <v>N/A</v>
      </c>
      <c r="BT594" t="s">
        <v>131</v>
      </c>
      <c r="BV594" t="str">
        <f>""</f>
        <v/>
      </c>
      <c r="BW594" t="s">
        <v>135</v>
      </c>
      <c r="BX594" t="str">
        <f>""</f>
        <v/>
      </c>
      <c r="BY594" t="str">
        <f>""</f>
        <v/>
      </c>
      <c r="BZ594" t="str">
        <f>""</f>
        <v/>
      </c>
      <c r="CA594" t="s">
        <v>18826</v>
      </c>
      <c r="CB594" t="s">
        <v>131</v>
      </c>
      <c r="CF594" t="s">
        <v>131</v>
      </c>
      <c r="CH594" t="str">
        <f>""</f>
        <v/>
      </c>
      <c r="CI594" t="s">
        <v>131</v>
      </c>
      <c r="CK594" t="s">
        <v>131</v>
      </c>
      <c r="CL594" t="str">
        <f>""</f>
        <v/>
      </c>
      <c r="CM594" t="str">
        <f>""</f>
        <v/>
      </c>
      <c r="CN594" t="str">
        <f>""</f>
        <v/>
      </c>
      <c r="CO594" t="str">
        <f>""</f>
        <v/>
      </c>
      <c r="CP594" t="str">
        <f>"45-4011.00"</f>
        <v>45-4011.00</v>
      </c>
      <c r="CQ594" t="s">
        <v>4310</v>
      </c>
      <c r="CS594" t="s">
        <v>135</v>
      </c>
      <c r="CT594" t="s">
        <v>18827</v>
      </c>
      <c r="CU594" t="s">
        <v>18828</v>
      </c>
      <c r="CW594" t="s">
        <v>18828</v>
      </c>
      <c r="CX594" t="s">
        <v>195</v>
      </c>
      <c r="CZ594" s="3" t="str">
        <f>"33956"</f>
        <v>33956</v>
      </c>
      <c r="DA594" t="s">
        <v>135</v>
      </c>
      <c r="DB594" t="str">
        <f>"45-4011"</f>
        <v>45-4011</v>
      </c>
      <c r="DC594" t="s">
        <v>4310</v>
      </c>
      <c r="DD594" t="s">
        <v>134</v>
      </c>
      <c r="DE594" t="s">
        <v>134</v>
      </c>
      <c r="DF594" t="str">
        <f>""</f>
        <v/>
      </c>
      <c r="DH594" s="6">
        <v>17.059999999999999</v>
      </c>
      <c r="DI594" t="s">
        <v>344</v>
      </c>
      <c r="DK594" t="s">
        <v>345</v>
      </c>
      <c r="DS594" s="6">
        <v>20.100000000000001</v>
      </c>
      <c r="DT594" s="2" t="s">
        <v>347</v>
      </c>
      <c r="DU594" s="1">
        <v>44362</v>
      </c>
      <c r="DV594" s="1">
        <v>44451</v>
      </c>
    </row>
    <row r="595" spans="1:126" ht="15" customHeight="1" x14ac:dyDescent="0.35">
      <c r="A595" t="s">
        <v>16818</v>
      </c>
      <c r="B595" t="s">
        <v>318</v>
      </c>
      <c r="C595" s="1">
        <v>44335</v>
      </c>
      <c r="D595" s="1">
        <v>44362</v>
      </c>
      <c r="H595" t="s">
        <v>319</v>
      </c>
      <c r="I595" t="s">
        <v>6143</v>
      </c>
      <c r="J595" t="s">
        <v>6935</v>
      </c>
      <c r="L595" t="s">
        <v>395</v>
      </c>
      <c r="M595" t="s">
        <v>16819</v>
      </c>
      <c r="O595" t="s">
        <v>16782</v>
      </c>
      <c r="P595" t="s">
        <v>441</v>
      </c>
      <c r="Q595" s="3">
        <v>44028</v>
      </c>
      <c r="R595" t="s">
        <v>128</v>
      </c>
      <c r="T595" s="4">
        <v>14406552009</v>
      </c>
      <c r="V595" t="s">
        <v>134</v>
      </c>
      <c r="W595" t="s">
        <v>16820</v>
      </c>
      <c r="Y595" t="s">
        <v>16819</v>
      </c>
      <c r="AA595" t="s">
        <v>16782</v>
      </c>
      <c r="AB595" t="s">
        <v>444</v>
      </c>
      <c r="AC595" s="3" t="str">
        <f>"44028"</f>
        <v>44028</v>
      </c>
      <c r="AD595" t="s">
        <v>128</v>
      </c>
      <c r="AF595" s="4">
        <v>14406552009</v>
      </c>
      <c r="AH595" t="str">
        <f>"56173"</f>
        <v>56173</v>
      </c>
      <c r="AI595" t="s">
        <v>287</v>
      </c>
      <c r="AJ595" t="s">
        <v>2917</v>
      </c>
      <c r="AK595" t="s">
        <v>2918</v>
      </c>
      <c r="AM595" t="s">
        <v>3772</v>
      </c>
      <c r="AO595" t="s">
        <v>3773</v>
      </c>
      <c r="AP595" t="s">
        <v>306</v>
      </c>
      <c r="AQ595" s="5">
        <v>22903</v>
      </c>
      <c r="AR595" t="s">
        <v>128</v>
      </c>
      <c r="AT595" s="4">
        <v>14342634300</v>
      </c>
      <c r="AV595" t="s">
        <v>3774</v>
      </c>
      <c r="AW595" t="s">
        <v>2923</v>
      </c>
      <c r="AX595" t="s">
        <v>131</v>
      </c>
      <c r="AY595" t="s">
        <v>131</v>
      </c>
      <c r="AZ595" t="s">
        <v>131</v>
      </c>
      <c r="BA595" t="s">
        <v>131</v>
      </c>
      <c r="BB595" t="s">
        <v>131</v>
      </c>
      <c r="BC595" t="s">
        <v>131</v>
      </c>
      <c r="BD595" t="s">
        <v>131</v>
      </c>
      <c r="BE595" t="s">
        <v>132</v>
      </c>
      <c r="BH595" t="s">
        <v>16821</v>
      </c>
      <c r="BI595" t="s">
        <v>131</v>
      </c>
      <c r="BL595" t="s">
        <v>167</v>
      </c>
      <c r="BO595" t="s">
        <v>131</v>
      </c>
      <c r="BP595" t="s">
        <v>134</v>
      </c>
      <c r="BQ595" t="s">
        <v>131</v>
      </c>
      <c r="BS595" t="str">
        <f t="shared" si="45"/>
        <v>N/A</v>
      </c>
      <c r="BT595" t="s">
        <v>131</v>
      </c>
      <c r="BV595" t="str">
        <f>""</f>
        <v/>
      </c>
      <c r="BW595" t="s">
        <v>135</v>
      </c>
      <c r="BX595" t="str">
        <f>""</f>
        <v/>
      </c>
      <c r="BY595" t="str">
        <f>""</f>
        <v/>
      </c>
      <c r="BZ595" t="str">
        <f>""</f>
        <v/>
      </c>
      <c r="CA595" t="str">
        <f>"Must lift/carry 50 lbs., when necessary.  Saturday and Sunday work required, when necessary.  Post-hire post-accident drug testing required of foreign and domestic workers. Post-hire background check required of foreign and domestic workers."</f>
        <v>Must lift/carry 50 lbs., when necessary.  Saturday and Sunday work required, when necessary.  Post-hire post-accident drug testing required of foreign and domestic workers. Post-hire background check required of foreign and domestic workers.</v>
      </c>
      <c r="CB595" t="s">
        <v>131</v>
      </c>
      <c r="CF595" t="s">
        <v>131</v>
      </c>
      <c r="CH595" t="str">
        <f>""</f>
        <v/>
      </c>
      <c r="CI595" t="s">
        <v>131</v>
      </c>
      <c r="CK595" t="s">
        <v>131</v>
      </c>
      <c r="CL595" t="str">
        <f>""</f>
        <v/>
      </c>
      <c r="CM595" t="str">
        <f>""</f>
        <v/>
      </c>
      <c r="CN595" t="str">
        <f>""</f>
        <v/>
      </c>
      <c r="CO595" t="str">
        <f>""</f>
        <v/>
      </c>
      <c r="CP595" t="str">
        <f>"37-3011.00"</f>
        <v>37-3011.00</v>
      </c>
      <c r="CQ595" t="s">
        <v>920</v>
      </c>
      <c r="CR595" t="s">
        <v>2924</v>
      </c>
      <c r="CS595" t="s">
        <v>135</v>
      </c>
      <c r="CT595" t="s">
        <v>2925</v>
      </c>
      <c r="CU595" t="s">
        <v>16822</v>
      </c>
      <c r="CW595" t="s">
        <v>16782</v>
      </c>
      <c r="CX595" t="s">
        <v>444</v>
      </c>
      <c r="CZ595" s="3" t="str">
        <f>"44028"</f>
        <v>44028</v>
      </c>
      <c r="DA595" t="s">
        <v>135</v>
      </c>
      <c r="DB595" t="str">
        <f>"37-3011"</f>
        <v>37-3011</v>
      </c>
      <c r="DC595" t="s">
        <v>920</v>
      </c>
      <c r="DD595" t="s">
        <v>134</v>
      </c>
      <c r="DE595" t="s">
        <v>134</v>
      </c>
      <c r="DF595" t="str">
        <f>""</f>
        <v/>
      </c>
      <c r="DH595" s="6">
        <v>16.350000000000001</v>
      </c>
      <c r="DI595" t="s">
        <v>344</v>
      </c>
      <c r="DK595" t="s">
        <v>345</v>
      </c>
      <c r="DS595" s="6">
        <v>16.350000000000001</v>
      </c>
      <c r="DT595" s="2" t="s">
        <v>2219</v>
      </c>
      <c r="DU595" s="1">
        <v>44362</v>
      </c>
      <c r="DV595" s="1">
        <v>44451</v>
      </c>
    </row>
    <row r="596" spans="1:126" ht="15" customHeight="1" x14ac:dyDescent="0.35">
      <c r="A596" t="s">
        <v>19608</v>
      </c>
      <c r="B596" t="s">
        <v>318</v>
      </c>
      <c r="C596" s="1">
        <v>44335</v>
      </c>
      <c r="D596" s="1">
        <v>44362</v>
      </c>
      <c r="H596" t="s">
        <v>319</v>
      </c>
      <c r="I596" t="s">
        <v>14033</v>
      </c>
      <c r="J596" t="s">
        <v>705</v>
      </c>
      <c r="L596" t="s">
        <v>7887</v>
      </c>
      <c r="M596" t="s">
        <v>14034</v>
      </c>
      <c r="N596" t="s">
        <v>19609</v>
      </c>
      <c r="O596" t="s">
        <v>11475</v>
      </c>
      <c r="P596" t="s">
        <v>311</v>
      </c>
      <c r="Q596" s="3">
        <v>19090</v>
      </c>
      <c r="R596" t="s">
        <v>128</v>
      </c>
      <c r="T596" s="4">
        <v>12056854000</v>
      </c>
      <c r="V596" t="s">
        <v>134</v>
      </c>
      <c r="W596" t="s">
        <v>19610</v>
      </c>
      <c r="Y596" t="s">
        <v>14034</v>
      </c>
      <c r="Z596" t="s">
        <v>19609</v>
      </c>
      <c r="AA596" t="s">
        <v>11475</v>
      </c>
      <c r="AB596" t="s">
        <v>312</v>
      </c>
      <c r="AC596" s="3" t="str">
        <f>"19090"</f>
        <v>19090</v>
      </c>
      <c r="AD596" t="s">
        <v>128</v>
      </c>
      <c r="AF596" s="4">
        <v>12056854000</v>
      </c>
      <c r="AH596" t="str">
        <f>"56173"</f>
        <v>56173</v>
      </c>
      <c r="AI596" t="s">
        <v>287</v>
      </c>
      <c r="AJ596" t="s">
        <v>2917</v>
      </c>
      <c r="AK596" t="s">
        <v>2918</v>
      </c>
      <c r="AM596" t="s">
        <v>2919</v>
      </c>
      <c r="AN596" t="s">
        <v>2920</v>
      </c>
      <c r="AO596" t="s">
        <v>2921</v>
      </c>
      <c r="AP596" t="s">
        <v>306</v>
      </c>
      <c r="AQ596" s="5">
        <v>22949</v>
      </c>
      <c r="AR596" t="s">
        <v>128</v>
      </c>
      <c r="AT596" s="4">
        <v>14342634300</v>
      </c>
      <c r="AV596" t="s">
        <v>5233</v>
      </c>
      <c r="AW596" t="s">
        <v>2923</v>
      </c>
      <c r="AX596" t="s">
        <v>131</v>
      </c>
      <c r="AY596" t="s">
        <v>131</v>
      </c>
      <c r="AZ596" t="s">
        <v>131</v>
      </c>
      <c r="BA596" t="s">
        <v>131</v>
      </c>
      <c r="BB596" t="s">
        <v>131</v>
      </c>
      <c r="BC596" t="s">
        <v>131</v>
      </c>
      <c r="BD596" t="s">
        <v>131</v>
      </c>
      <c r="BE596" t="s">
        <v>132</v>
      </c>
      <c r="BH596" t="s">
        <v>14037</v>
      </c>
      <c r="BI596" t="s">
        <v>131</v>
      </c>
      <c r="BL596" t="s">
        <v>167</v>
      </c>
      <c r="BO596" t="s">
        <v>131</v>
      </c>
      <c r="BP596" t="s">
        <v>134</v>
      </c>
      <c r="BQ596" t="s">
        <v>131</v>
      </c>
      <c r="BS596" t="str">
        <f t="shared" si="45"/>
        <v>N/A</v>
      </c>
      <c r="BT596" t="s">
        <v>135</v>
      </c>
      <c r="BU596">
        <v>6</v>
      </c>
      <c r="BV596" t="str">
        <f>"Requires six  months  of tree trimming/climbing experience."</f>
        <v>Requires six  months  of tree trimming/climbing experience.</v>
      </c>
      <c r="BW596" t="s">
        <v>135</v>
      </c>
      <c r="BX596" t="str">
        <f>""</f>
        <v/>
      </c>
      <c r="BY596" t="str">
        <f>""</f>
        <v/>
      </c>
      <c r="BZ596" t="str">
        <f>""</f>
        <v/>
      </c>
      <c r="CA596" t="s">
        <v>9887</v>
      </c>
      <c r="CB596" t="s">
        <v>131</v>
      </c>
      <c r="CF596" t="s">
        <v>131</v>
      </c>
      <c r="CH596" t="str">
        <f>""</f>
        <v/>
      </c>
      <c r="CI596" t="s">
        <v>131</v>
      </c>
      <c r="CK596" t="s">
        <v>131</v>
      </c>
      <c r="CL596" t="str">
        <f>""</f>
        <v/>
      </c>
      <c r="CM596" t="str">
        <f>""</f>
        <v/>
      </c>
      <c r="CN596" t="str">
        <f>""</f>
        <v/>
      </c>
      <c r="CO596" t="str">
        <f>""</f>
        <v/>
      </c>
      <c r="CP596" t="str">
        <f>"37-3013.00"</f>
        <v>37-3013.00</v>
      </c>
      <c r="CQ596" t="s">
        <v>4299</v>
      </c>
      <c r="CR596" t="s">
        <v>2924</v>
      </c>
      <c r="CS596" t="s">
        <v>135</v>
      </c>
      <c r="CT596" t="s">
        <v>2925</v>
      </c>
      <c r="CU596" t="s">
        <v>19611</v>
      </c>
      <c r="CW596" t="s">
        <v>15785</v>
      </c>
      <c r="CX596" t="s">
        <v>812</v>
      </c>
      <c r="CZ596" s="3" t="str">
        <f>"29170"</f>
        <v>29170</v>
      </c>
      <c r="DA596" t="s">
        <v>135</v>
      </c>
      <c r="DB596" t="str">
        <f>"37-3013"</f>
        <v>37-3013</v>
      </c>
      <c r="DC596" t="s">
        <v>4299</v>
      </c>
      <c r="DD596" t="s">
        <v>134</v>
      </c>
      <c r="DE596" t="s">
        <v>134</v>
      </c>
      <c r="DF596" t="str">
        <f>""</f>
        <v/>
      </c>
      <c r="DH596" s="6">
        <v>14.77</v>
      </c>
      <c r="DI596" t="s">
        <v>344</v>
      </c>
      <c r="DK596" t="s">
        <v>345</v>
      </c>
      <c r="DS596" s="6">
        <v>14.77</v>
      </c>
      <c r="DT596" s="2" t="s">
        <v>347</v>
      </c>
      <c r="DU596" s="1">
        <v>44362</v>
      </c>
      <c r="DV596" s="1">
        <v>44451</v>
      </c>
    </row>
    <row r="597" spans="1:126" ht="15" customHeight="1" x14ac:dyDescent="0.35">
      <c r="A597" t="s">
        <v>9927</v>
      </c>
      <c r="B597" t="s">
        <v>318</v>
      </c>
      <c r="C597" s="1">
        <v>44335</v>
      </c>
      <c r="D597" s="1">
        <v>44362</v>
      </c>
      <c r="H597" t="s">
        <v>319</v>
      </c>
      <c r="I597" t="s">
        <v>1121</v>
      </c>
      <c r="J597" t="s">
        <v>9928</v>
      </c>
      <c r="L597" t="s">
        <v>460</v>
      </c>
      <c r="M597" t="s">
        <v>9929</v>
      </c>
      <c r="O597" t="s">
        <v>9930</v>
      </c>
      <c r="P597" t="s">
        <v>811</v>
      </c>
      <c r="Q597" s="3">
        <v>29058</v>
      </c>
      <c r="R597" t="s">
        <v>128</v>
      </c>
      <c r="T597" s="4">
        <v>18033203059</v>
      </c>
      <c r="V597" t="s">
        <v>9931</v>
      </c>
      <c r="W597" t="s">
        <v>9932</v>
      </c>
      <c r="Y597" t="s">
        <v>9929</v>
      </c>
      <c r="AA597" t="s">
        <v>9930</v>
      </c>
      <c r="AB597" t="s">
        <v>812</v>
      </c>
      <c r="AC597" s="3" t="str">
        <f>"29058"</f>
        <v>29058</v>
      </c>
      <c r="AD597" t="s">
        <v>128</v>
      </c>
      <c r="AF597" s="4">
        <v>18033203059</v>
      </c>
      <c r="AH597" t="str">
        <f>"115310"</f>
        <v>115310</v>
      </c>
      <c r="AI597" t="s">
        <v>130</v>
      </c>
      <c r="AJ597" t="s">
        <v>1319</v>
      </c>
      <c r="AK597" t="s">
        <v>1036</v>
      </c>
      <c r="AL597" t="s">
        <v>192</v>
      </c>
      <c r="AM597" t="s">
        <v>8561</v>
      </c>
      <c r="AN597" t="s">
        <v>8562</v>
      </c>
      <c r="AO597" t="s">
        <v>8091</v>
      </c>
      <c r="AP597" t="s">
        <v>594</v>
      </c>
      <c r="AQ597" s="5">
        <v>28328</v>
      </c>
      <c r="AR597" t="s">
        <v>128</v>
      </c>
      <c r="AT597" s="4">
        <v>19105924121</v>
      </c>
      <c r="AV597" t="s">
        <v>8563</v>
      </c>
      <c r="AW597" t="s">
        <v>8564</v>
      </c>
      <c r="AX597" t="s">
        <v>131</v>
      </c>
      <c r="AY597" t="s">
        <v>131</v>
      </c>
      <c r="AZ597" t="s">
        <v>131</v>
      </c>
      <c r="BA597" t="s">
        <v>131</v>
      </c>
      <c r="BB597" t="s">
        <v>131</v>
      </c>
      <c r="BC597" t="s">
        <v>131</v>
      </c>
      <c r="BD597" t="s">
        <v>131</v>
      </c>
      <c r="BE597" t="s">
        <v>132</v>
      </c>
      <c r="BH597" t="s">
        <v>9933</v>
      </c>
      <c r="BI597" t="s">
        <v>131</v>
      </c>
      <c r="BL597" t="s">
        <v>167</v>
      </c>
      <c r="BO597" t="s">
        <v>131</v>
      </c>
      <c r="BP597" t="s">
        <v>134</v>
      </c>
      <c r="BQ597" t="s">
        <v>131</v>
      </c>
      <c r="BS597" t="str">
        <f t="shared" si="45"/>
        <v>N/A</v>
      </c>
      <c r="BT597" t="s">
        <v>131</v>
      </c>
      <c r="BV597" t="str">
        <f>""</f>
        <v/>
      </c>
      <c r="BW597" t="s">
        <v>135</v>
      </c>
      <c r="BX597" t="str">
        <f>""</f>
        <v/>
      </c>
      <c r="BY597" t="str">
        <f>""</f>
        <v/>
      </c>
      <c r="BZ597" t="str">
        <f>""</f>
        <v/>
      </c>
      <c r="CA597" s="2" t="s">
        <v>9934</v>
      </c>
      <c r="CB597" t="s">
        <v>131</v>
      </c>
      <c r="CF597" t="s">
        <v>131</v>
      </c>
      <c r="CH597" t="str">
        <f>""</f>
        <v/>
      </c>
      <c r="CI597" t="s">
        <v>131</v>
      </c>
      <c r="CK597" t="s">
        <v>131</v>
      </c>
      <c r="CL597" t="str">
        <f>""</f>
        <v/>
      </c>
      <c r="CM597" t="str">
        <f>""</f>
        <v/>
      </c>
      <c r="CN597" t="str">
        <f>""</f>
        <v/>
      </c>
      <c r="CO597" t="str">
        <f>""</f>
        <v/>
      </c>
      <c r="CP597" t="str">
        <f>"45-2099.00"</f>
        <v>45-2099.00</v>
      </c>
      <c r="CQ597" t="s">
        <v>6082</v>
      </c>
      <c r="CR597" t="s">
        <v>9933</v>
      </c>
      <c r="CS597" t="s">
        <v>131</v>
      </c>
      <c r="CU597" t="s">
        <v>9935</v>
      </c>
      <c r="CW597" t="s">
        <v>9936</v>
      </c>
      <c r="CX597" t="s">
        <v>812</v>
      </c>
      <c r="CZ597" s="3" t="str">
        <f>"29003"</f>
        <v>29003</v>
      </c>
      <c r="DA597" t="s">
        <v>135</v>
      </c>
      <c r="DB597" t="str">
        <f>"45-4011"</f>
        <v>45-4011</v>
      </c>
      <c r="DC597" t="s">
        <v>4310</v>
      </c>
      <c r="DD597" t="s">
        <v>134</v>
      </c>
      <c r="DE597" t="s">
        <v>134</v>
      </c>
      <c r="DF597" t="str">
        <f>""</f>
        <v/>
      </c>
      <c r="DH597" s="6">
        <v>13.02</v>
      </c>
      <c r="DI597" t="s">
        <v>344</v>
      </c>
      <c r="DK597" t="s">
        <v>345</v>
      </c>
      <c r="DR597" t="s">
        <v>9937</v>
      </c>
      <c r="DS597" s="6">
        <v>13.53</v>
      </c>
      <c r="DT597" t="s">
        <v>424</v>
      </c>
      <c r="DU597" s="1">
        <v>44362</v>
      </c>
      <c r="DV597" s="1">
        <v>44451</v>
      </c>
    </row>
    <row r="598" spans="1:126" ht="15" customHeight="1" x14ac:dyDescent="0.35">
      <c r="A598" t="s">
        <v>17210</v>
      </c>
      <c r="B598" t="s">
        <v>318</v>
      </c>
      <c r="C598" s="1">
        <v>44335</v>
      </c>
      <c r="D598" s="1">
        <v>44362</v>
      </c>
      <c r="H598" t="s">
        <v>319</v>
      </c>
      <c r="I598" t="s">
        <v>17211</v>
      </c>
      <c r="J598" t="s">
        <v>1071</v>
      </c>
      <c r="L598" t="s">
        <v>17212</v>
      </c>
      <c r="M598" t="s">
        <v>17213</v>
      </c>
      <c r="O598" t="s">
        <v>7997</v>
      </c>
      <c r="P598" t="s">
        <v>629</v>
      </c>
      <c r="Q598" s="3">
        <v>38655</v>
      </c>
      <c r="R598" t="s">
        <v>128</v>
      </c>
      <c r="T598" s="4">
        <v>16622344348</v>
      </c>
      <c r="V598" t="s">
        <v>134</v>
      </c>
      <c r="W598" t="s">
        <v>17214</v>
      </c>
      <c r="Y598" t="s">
        <v>17215</v>
      </c>
      <c r="AA598" t="s">
        <v>7997</v>
      </c>
      <c r="AB598" t="s">
        <v>630</v>
      </c>
      <c r="AC598" s="3" t="str">
        <f>"38655"</f>
        <v>38655</v>
      </c>
      <c r="AD598" t="s">
        <v>128</v>
      </c>
      <c r="AF598" s="4">
        <v>16622344348</v>
      </c>
      <c r="AH598" t="str">
        <f>"11531"</f>
        <v>11531</v>
      </c>
      <c r="AI598" t="s">
        <v>287</v>
      </c>
      <c r="AJ598" t="s">
        <v>2588</v>
      </c>
      <c r="AK598" t="s">
        <v>2086</v>
      </c>
      <c r="AM598" t="s">
        <v>2589</v>
      </c>
      <c r="AO598" t="s">
        <v>2590</v>
      </c>
      <c r="AP598" t="s">
        <v>643</v>
      </c>
      <c r="AQ598" s="5">
        <v>31606</v>
      </c>
      <c r="AR598" t="s">
        <v>128</v>
      </c>
      <c r="AT598" s="4">
        <v>12295590241</v>
      </c>
      <c r="AV598" t="s">
        <v>2591</v>
      </c>
      <c r="AW598" t="s">
        <v>2592</v>
      </c>
      <c r="AX598" t="s">
        <v>131</v>
      </c>
      <c r="AY598" t="s">
        <v>131</v>
      </c>
      <c r="AZ598" t="s">
        <v>131</v>
      </c>
      <c r="BA598" t="s">
        <v>131</v>
      </c>
      <c r="BB598" t="s">
        <v>131</v>
      </c>
      <c r="BC598" t="s">
        <v>131</v>
      </c>
      <c r="BD598" t="s">
        <v>131</v>
      </c>
      <c r="BE598" t="s">
        <v>132</v>
      </c>
      <c r="BH598" t="s">
        <v>10165</v>
      </c>
      <c r="BI598" t="s">
        <v>131</v>
      </c>
      <c r="BL598" t="s">
        <v>167</v>
      </c>
      <c r="BO598" t="s">
        <v>131</v>
      </c>
      <c r="BP598" t="s">
        <v>134</v>
      </c>
      <c r="BQ598" t="s">
        <v>131</v>
      </c>
      <c r="BS598" t="str">
        <f t="shared" si="45"/>
        <v>N/A</v>
      </c>
      <c r="BT598" t="s">
        <v>131</v>
      </c>
      <c r="BV598" t="str">
        <f>""</f>
        <v/>
      </c>
      <c r="BW598" t="s">
        <v>135</v>
      </c>
      <c r="BX598" t="str">
        <f>""</f>
        <v/>
      </c>
      <c r="BY598" t="str">
        <f>""</f>
        <v/>
      </c>
      <c r="BZ598" t="str">
        <f>""</f>
        <v/>
      </c>
      <c r="CA598" t="str">
        <f>"After week must be able to plant 2000 seedlings per 8 hrs. Frequently lift and carry 50 lbs. 1 hr lunch unpaid. "</f>
        <v xml:space="preserve">After week must be able to plant 2000 seedlings per 8 hrs. Frequently lift and carry 50 lbs. 1 hr lunch unpaid. </v>
      </c>
      <c r="CB598" t="s">
        <v>131</v>
      </c>
      <c r="CF598" t="s">
        <v>131</v>
      </c>
      <c r="CH598" t="str">
        <f>""</f>
        <v/>
      </c>
      <c r="CI598" t="s">
        <v>131</v>
      </c>
      <c r="CK598" t="s">
        <v>131</v>
      </c>
      <c r="CL598" t="str">
        <f>""</f>
        <v/>
      </c>
      <c r="CM598" t="str">
        <f>""</f>
        <v/>
      </c>
      <c r="CN598" t="str">
        <f>""</f>
        <v/>
      </c>
      <c r="CO598" t="str">
        <f>""</f>
        <v/>
      </c>
      <c r="CP598" t="str">
        <f>"45-4011.00"</f>
        <v>45-4011.00</v>
      </c>
      <c r="CQ598" t="s">
        <v>4310</v>
      </c>
      <c r="CR598" t="s">
        <v>4310</v>
      </c>
      <c r="CS598" t="s">
        <v>131</v>
      </c>
      <c r="CU598" t="s">
        <v>17216</v>
      </c>
      <c r="CW598" t="s">
        <v>7997</v>
      </c>
      <c r="CX598" t="s">
        <v>630</v>
      </c>
      <c r="CZ598" s="3" t="str">
        <f>"38655"</f>
        <v>38655</v>
      </c>
      <c r="DA598" t="s">
        <v>135</v>
      </c>
      <c r="DB598" t="str">
        <f>"45-4011"</f>
        <v>45-4011</v>
      </c>
      <c r="DC598" t="s">
        <v>4310</v>
      </c>
      <c r="DD598" t="s">
        <v>134</v>
      </c>
      <c r="DE598" t="s">
        <v>134</v>
      </c>
      <c r="DF598" t="str">
        <f>""</f>
        <v/>
      </c>
      <c r="DH598" s="6">
        <v>15.76</v>
      </c>
      <c r="DI598" t="s">
        <v>344</v>
      </c>
      <c r="DK598" t="s">
        <v>345</v>
      </c>
      <c r="DS598" s="6">
        <v>15.76</v>
      </c>
      <c r="DT598" t="s">
        <v>424</v>
      </c>
      <c r="DU598" s="1">
        <v>44362</v>
      </c>
      <c r="DV598" s="1">
        <v>44451</v>
      </c>
    </row>
    <row r="599" spans="1:126" ht="15" customHeight="1" x14ac:dyDescent="0.35">
      <c r="A599" t="s">
        <v>13648</v>
      </c>
      <c r="B599" t="s">
        <v>318</v>
      </c>
      <c r="C599" s="1">
        <v>44335</v>
      </c>
      <c r="D599" s="1">
        <v>44362</v>
      </c>
      <c r="H599" t="s">
        <v>319</v>
      </c>
      <c r="I599" t="s">
        <v>13649</v>
      </c>
      <c r="J599" t="s">
        <v>7431</v>
      </c>
      <c r="L599" t="s">
        <v>918</v>
      </c>
      <c r="M599" t="s">
        <v>13650</v>
      </c>
      <c r="O599" t="s">
        <v>13651</v>
      </c>
      <c r="P599" t="s">
        <v>194</v>
      </c>
      <c r="Q599" s="3">
        <v>33050</v>
      </c>
      <c r="R599" t="s">
        <v>128</v>
      </c>
      <c r="T599" s="4">
        <v>13057432281</v>
      </c>
      <c r="V599" t="s">
        <v>134</v>
      </c>
      <c r="W599" t="s">
        <v>13652</v>
      </c>
      <c r="Y599" t="s">
        <v>13653</v>
      </c>
      <c r="AA599" t="s">
        <v>13651</v>
      </c>
      <c r="AB599" t="s">
        <v>195</v>
      </c>
      <c r="AC599" s="3" t="str">
        <f>"33050"</f>
        <v>33050</v>
      </c>
      <c r="AD599" t="s">
        <v>128</v>
      </c>
      <c r="AF599" s="4">
        <v>13057432281</v>
      </c>
      <c r="AH599" t="str">
        <f>"44522"</f>
        <v>44522</v>
      </c>
      <c r="AI599" t="s">
        <v>287</v>
      </c>
      <c r="AJ599" t="s">
        <v>2588</v>
      </c>
      <c r="AK599" t="s">
        <v>2086</v>
      </c>
      <c r="AM599" t="s">
        <v>2589</v>
      </c>
      <c r="AO599" t="s">
        <v>2590</v>
      </c>
      <c r="AP599" t="s">
        <v>643</v>
      </c>
      <c r="AQ599" s="5">
        <v>31606</v>
      </c>
      <c r="AR599" t="s">
        <v>128</v>
      </c>
      <c r="AT599" s="4">
        <v>12295590241</v>
      </c>
      <c r="AV599" t="s">
        <v>2591</v>
      </c>
      <c r="AW599" t="s">
        <v>2592</v>
      </c>
      <c r="AX599" t="s">
        <v>131</v>
      </c>
      <c r="AY599" t="s">
        <v>131</v>
      </c>
      <c r="AZ599" t="s">
        <v>131</v>
      </c>
      <c r="BA599" t="s">
        <v>131</v>
      </c>
      <c r="BB599" t="s">
        <v>131</v>
      </c>
      <c r="BC599" t="s">
        <v>131</v>
      </c>
      <c r="BD599" t="s">
        <v>131</v>
      </c>
      <c r="BE599" t="s">
        <v>132</v>
      </c>
      <c r="BH599" t="s">
        <v>3994</v>
      </c>
      <c r="BI599" t="s">
        <v>131</v>
      </c>
      <c r="BL599" t="s">
        <v>167</v>
      </c>
      <c r="BO599" t="s">
        <v>131</v>
      </c>
      <c r="BP599" t="s">
        <v>134</v>
      </c>
      <c r="BQ599" t="s">
        <v>131</v>
      </c>
      <c r="BS599" t="str">
        <f t="shared" si="45"/>
        <v>N/A</v>
      </c>
      <c r="BT599" t="s">
        <v>131</v>
      </c>
      <c r="BV599" t="str">
        <f>""</f>
        <v/>
      </c>
      <c r="BW599" t="s">
        <v>135</v>
      </c>
      <c r="BX599" t="str">
        <f>""</f>
        <v/>
      </c>
      <c r="BY599" t="str">
        <f>""</f>
        <v/>
      </c>
      <c r="BZ599" t="str">
        <f>""</f>
        <v/>
      </c>
      <c r="CA599" t="str">
        <f>"No ed, exp, or training req'd. 35hr/wk, no overtime promised."</f>
        <v>No ed, exp, or training req'd. 35hr/wk, no overtime promised.</v>
      </c>
      <c r="CB599" t="s">
        <v>131</v>
      </c>
      <c r="CF599" t="s">
        <v>131</v>
      </c>
      <c r="CH599" t="str">
        <f>""</f>
        <v/>
      </c>
      <c r="CI599" t="s">
        <v>131</v>
      </c>
      <c r="CK599" t="s">
        <v>131</v>
      </c>
      <c r="CL599" t="str">
        <f>""</f>
        <v/>
      </c>
      <c r="CM599" t="str">
        <f>""</f>
        <v/>
      </c>
      <c r="CN599" t="str">
        <f>""</f>
        <v/>
      </c>
      <c r="CO599" t="str">
        <f>""</f>
        <v/>
      </c>
      <c r="CP599" t="str">
        <f>"51-2099.00"</f>
        <v>51-2099.00</v>
      </c>
      <c r="CQ599" t="s">
        <v>8921</v>
      </c>
      <c r="CR599" t="s">
        <v>8921</v>
      </c>
      <c r="CS599" t="s">
        <v>131</v>
      </c>
      <c r="CU599" t="s">
        <v>13650</v>
      </c>
      <c r="CW599" t="s">
        <v>13651</v>
      </c>
      <c r="CX599" t="s">
        <v>195</v>
      </c>
      <c r="CZ599" s="3" t="str">
        <f>"33050"</f>
        <v>33050</v>
      </c>
      <c r="DA599" t="s">
        <v>131</v>
      </c>
      <c r="DB599" t="str">
        <f>"45-3011"</f>
        <v>45-3011</v>
      </c>
      <c r="DC599" t="s">
        <v>1770</v>
      </c>
      <c r="DD599" t="s">
        <v>134</v>
      </c>
      <c r="DE599" t="s">
        <v>134</v>
      </c>
      <c r="DF599" t="str">
        <f>""</f>
        <v/>
      </c>
      <c r="DH599" s="6">
        <v>12.97</v>
      </c>
      <c r="DI599" t="s">
        <v>344</v>
      </c>
      <c r="DK599" t="s">
        <v>345</v>
      </c>
      <c r="DS599" s="6">
        <v>12.97</v>
      </c>
      <c r="DT599" t="s">
        <v>424</v>
      </c>
      <c r="DU599" s="1">
        <v>44362</v>
      </c>
      <c r="DV599" s="1">
        <v>44451</v>
      </c>
    </row>
    <row r="600" spans="1:126" ht="15" customHeight="1" x14ac:dyDescent="0.35">
      <c r="A600" t="s">
        <v>14823</v>
      </c>
      <c r="B600" t="s">
        <v>318</v>
      </c>
      <c r="C600" s="1">
        <v>44335</v>
      </c>
      <c r="D600" s="1">
        <v>44377</v>
      </c>
      <c r="H600" t="s">
        <v>319</v>
      </c>
      <c r="I600" t="s">
        <v>9540</v>
      </c>
      <c r="J600" t="s">
        <v>4224</v>
      </c>
      <c r="L600" t="s">
        <v>918</v>
      </c>
      <c r="M600" t="s">
        <v>9541</v>
      </c>
      <c r="O600" t="s">
        <v>8963</v>
      </c>
      <c r="P600" t="s">
        <v>412</v>
      </c>
      <c r="Q600" s="3">
        <v>78358</v>
      </c>
      <c r="R600" t="s">
        <v>128</v>
      </c>
      <c r="T600" s="4">
        <v>13617290711</v>
      </c>
      <c r="V600" t="s">
        <v>134</v>
      </c>
      <c r="W600" t="s">
        <v>9542</v>
      </c>
      <c r="Y600" t="s">
        <v>9543</v>
      </c>
      <c r="AA600" t="s">
        <v>9544</v>
      </c>
      <c r="AB600" t="s">
        <v>400</v>
      </c>
      <c r="AC600" s="3" t="str">
        <f>"78358"</f>
        <v>78358</v>
      </c>
      <c r="AD600" t="s">
        <v>128</v>
      </c>
      <c r="AE600" t="s">
        <v>134</v>
      </c>
      <c r="AF600" s="4">
        <v>13617290711</v>
      </c>
      <c r="AH600" t="str">
        <f>"4244"</f>
        <v>4244</v>
      </c>
      <c r="AI600" t="s">
        <v>287</v>
      </c>
      <c r="AJ600" t="s">
        <v>2588</v>
      </c>
      <c r="AK600" t="s">
        <v>2086</v>
      </c>
      <c r="AM600" t="s">
        <v>2589</v>
      </c>
      <c r="AO600" t="s">
        <v>2590</v>
      </c>
      <c r="AP600" t="s">
        <v>643</v>
      </c>
      <c r="AQ600" s="5">
        <v>31606</v>
      </c>
      <c r="AR600" t="s">
        <v>128</v>
      </c>
      <c r="AT600" s="4">
        <v>12295590241</v>
      </c>
      <c r="AV600" t="s">
        <v>2591</v>
      </c>
      <c r="AW600" t="s">
        <v>2592</v>
      </c>
      <c r="AX600" t="s">
        <v>131</v>
      </c>
      <c r="AY600" t="s">
        <v>131</v>
      </c>
      <c r="AZ600" t="s">
        <v>131</v>
      </c>
      <c r="BA600" t="s">
        <v>131</v>
      </c>
      <c r="BB600" t="s">
        <v>131</v>
      </c>
      <c r="BC600" t="s">
        <v>131</v>
      </c>
      <c r="BD600" t="s">
        <v>131</v>
      </c>
      <c r="BE600" t="s">
        <v>132</v>
      </c>
      <c r="BH600" t="s">
        <v>8523</v>
      </c>
      <c r="BI600" t="s">
        <v>131</v>
      </c>
      <c r="BL600" t="s">
        <v>167</v>
      </c>
      <c r="BO600" t="s">
        <v>131</v>
      </c>
      <c r="BP600" t="s">
        <v>134</v>
      </c>
      <c r="BQ600" t="s">
        <v>131</v>
      </c>
      <c r="BS600" t="str">
        <f t="shared" si="45"/>
        <v>N/A</v>
      </c>
      <c r="BT600" t="s">
        <v>131</v>
      </c>
      <c r="BV600" t="str">
        <f>""</f>
        <v/>
      </c>
      <c r="BW600" t="s">
        <v>135</v>
      </c>
      <c r="BX600" t="str">
        <f>""</f>
        <v/>
      </c>
      <c r="BY600" t="str">
        <f>""</f>
        <v/>
      </c>
      <c r="BZ600" t="str">
        <f>""</f>
        <v/>
      </c>
      <c r="CA600" t="str">
        <f>"No overtime promised . Hours vary due to weather &amp; unexpected weather &amp; mechanical repairs."</f>
        <v>No overtime promised . Hours vary due to weather &amp; unexpected weather &amp; mechanical repairs.</v>
      </c>
      <c r="CB600" t="s">
        <v>131</v>
      </c>
      <c r="CF600" t="s">
        <v>131</v>
      </c>
      <c r="CH600" t="str">
        <f>""</f>
        <v/>
      </c>
      <c r="CI600" t="s">
        <v>131</v>
      </c>
      <c r="CK600" t="s">
        <v>131</v>
      </c>
      <c r="CL600" t="str">
        <f>""</f>
        <v/>
      </c>
      <c r="CM600" t="str">
        <f>""</f>
        <v/>
      </c>
      <c r="CN600" t="str">
        <f>""</f>
        <v/>
      </c>
      <c r="CO600" t="str">
        <f>""</f>
        <v/>
      </c>
      <c r="CP600" t="str">
        <f>"45-3011.00"</f>
        <v>45-3011.00</v>
      </c>
      <c r="CQ600" t="s">
        <v>1770</v>
      </c>
      <c r="CR600" t="s">
        <v>1770</v>
      </c>
      <c r="CS600" t="s">
        <v>131</v>
      </c>
      <c r="CU600" t="s">
        <v>9543</v>
      </c>
      <c r="CW600" t="s">
        <v>8963</v>
      </c>
      <c r="CX600" t="s">
        <v>400</v>
      </c>
      <c r="CZ600" s="3" t="str">
        <f>"78358"</f>
        <v>78358</v>
      </c>
      <c r="DA600" t="s">
        <v>135</v>
      </c>
      <c r="DB600" t="str">
        <f>"45-3011"</f>
        <v>45-3011</v>
      </c>
      <c r="DC600" t="s">
        <v>1770</v>
      </c>
      <c r="DD600" t="s">
        <v>134</v>
      </c>
      <c r="DE600" t="s">
        <v>134</v>
      </c>
      <c r="DF600" t="str">
        <f>"51-3022.00"</f>
        <v>51-3022.00</v>
      </c>
      <c r="DG600" t="s">
        <v>1114</v>
      </c>
      <c r="DH600" s="6">
        <v>15.09</v>
      </c>
      <c r="DI600" t="s">
        <v>344</v>
      </c>
      <c r="DK600" t="s">
        <v>345</v>
      </c>
      <c r="DR600" t="s">
        <v>6291</v>
      </c>
      <c r="DS600" s="6">
        <v>15.09</v>
      </c>
      <c r="DT600" t="s">
        <v>424</v>
      </c>
      <c r="DU600" s="1">
        <v>44377</v>
      </c>
      <c r="DV600" s="1">
        <v>44466</v>
      </c>
    </row>
    <row r="601" spans="1:126" ht="15" customHeight="1" x14ac:dyDescent="0.35">
      <c r="A601" t="s">
        <v>10342</v>
      </c>
      <c r="B601" t="s">
        <v>318</v>
      </c>
      <c r="C601" s="1">
        <v>44335</v>
      </c>
      <c r="D601" s="1">
        <v>44362</v>
      </c>
      <c r="H601" t="s">
        <v>319</v>
      </c>
      <c r="I601" t="s">
        <v>5222</v>
      </c>
      <c r="J601" t="s">
        <v>3936</v>
      </c>
      <c r="L601" t="s">
        <v>918</v>
      </c>
      <c r="M601" t="s">
        <v>10343</v>
      </c>
      <c r="O601" t="s">
        <v>10344</v>
      </c>
      <c r="P601" t="s">
        <v>412</v>
      </c>
      <c r="Q601" s="3">
        <v>77612</v>
      </c>
      <c r="R601" t="s">
        <v>128</v>
      </c>
      <c r="T601" s="4">
        <v>14099945857</v>
      </c>
      <c r="V601" t="s">
        <v>134</v>
      </c>
      <c r="W601" t="s">
        <v>10345</v>
      </c>
      <c r="Y601" t="s">
        <v>10343</v>
      </c>
      <c r="AA601" t="s">
        <v>10344</v>
      </c>
      <c r="AB601" t="s">
        <v>400</v>
      </c>
      <c r="AC601" s="3" t="str">
        <f>"77612"</f>
        <v>77612</v>
      </c>
      <c r="AD601" t="s">
        <v>128</v>
      </c>
      <c r="AF601" s="4">
        <v>14099945857</v>
      </c>
      <c r="AH601" t="str">
        <f>"21311"</f>
        <v>21311</v>
      </c>
      <c r="AI601" t="s">
        <v>287</v>
      </c>
      <c r="AJ601" t="s">
        <v>2588</v>
      </c>
      <c r="AK601" t="s">
        <v>2086</v>
      </c>
      <c r="AM601" t="s">
        <v>2589</v>
      </c>
      <c r="AO601" t="s">
        <v>2590</v>
      </c>
      <c r="AP601" t="s">
        <v>643</v>
      </c>
      <c r="AQ601" s="5">
        <v>31606</v>
      </c>
      <c r="AR601" t="s">
        <v>128</v>
      </c>
      <c r="AT601" s="4">
        <v>12295590241</v>
      </c>
      <c r="AV601" t="s">
        <v>2591</v>
      </c>
      <c r="AW601" t="s">
        <v>2592</v>
      </c>
      <c r="AX601" t="s">
        <v>131</v>
      </c>
      <c r="AY601" t="s">
        <v>131</v>
      </c>
      <c r="AZ601" t="s">
        <v>131</v>
      </c>
      <c r="BA601" t="s">
        <v>131</v>
      </c>
      <c r="BB601" t="s">
        <v>131</v>
      </c>
      <c r="BC601" t="s">
        <v>131</v>
      </c>
      <c r="BD601" t="s">
        <v>131</v>
      </c>
      <c r="BE601" t="s">
        <v>132</v>
      </c>
      <c r="BH601" t="s">
        <v>3994</v>
      </c>
      <c r="BI601" t="s">
        <v>131</v>
      </c>
      <c r="BL601" t="s">
        <v>167</v>
      </c>
      <c r="BO601" t="s">
        <v>131</v>
      </c>
      <c r="BP601" t="s">
        <v>134</v>
      </c>
      <c r="BQ601" t="s">
        <v>131</v>
      </c>
      <c r="BS601" t="str">
        <f t="shared" si="45"/>
        <v>N/A</v>
      </c>
      <c r="BT601" t="s">
        <v>131</v>
      </c>
      <c r="BV601" t="str">
        <f>""</f>
        <v/>
      </c>
      <c r="BW601" t="s">
        <v>135</v>
      </c>
      <c r="BX601" t="str">
        <f>""</f>
        <v/>
      </c>
      <c r="BY601" t="str">
        <f>""</f>
        <v/>
      </c>
      <c r="BZ601" t="str">
        <f>""</f>
        <v/>
      </c>
      <c r="CA601" t="str">
        <f>"FREQUENT BENDING &amp; STOOPING. MUST PROVIDE OWN STEEL TOE BOOTS. NO ED, EXP, OR TRAINING REQ'D. 35HRS/WK NO OVERTIME PROMISED. DRUG TEST ADMINISTERED AT NO COST POST HIRE. TRANSPORTATION PROVIDED FROM CENTRALIZED LOCATION."</f>
        <v>FREQUENT BENDING &amp; STOOPING. MUST PROVIDE OWN STEEL TOE BOOTS. NO ED, EXP, OR TRAINING REQ'D. 35HRS/WK NO OVERTIME PROMISED. DRUG TEST ADMINISTERED AT NO COST POST HIRE. TRANSPORTATION PROVIDED FROM CENTRALIZED LOCATION.</v>
      </c>
      <c r="CB601" t="s">
        <v>131</v>
      </c>
      <c r="CF601" t="s">
        <v>131</v>
      </c>
      <c r="CH601" t="str">
        <f>""</f>
        <v/>
      </c>
      <c r="CI601" t="s">
        <v>131</v>
      </c>
      <c r="CK601" t="s">
        <v>131</v>
      </c>
      <c r="CL601" t="str">
        <f>""</f>
        <v/>
      </c>
      <c r="CM601" t="str">
        <f>""</f>
        <v/>
      </c>
      <c r="CN601" t="str">
        <f>""</f>
        <v/>
      </c>
      <c r="CO601" t="str">
        <f>""</f>
        <v/>
      </c>
      <c r="CP601" t="str">
        <f>"47-2061.00"</f>
        <v>47-2061.00</v>
      </c>
      <c r="CQ601" t="s">
        <v>393</v>
      </c>
      <c r="CR601" t="s">
        <v>393</v>
      </c>
      <c r="CS601" t="s">
        <v>131</v>
      </c>
      <c r="CU601" t="s">
        <v>10343</v>
      </c>
      <c r="CW601" t="s">
        <v>10344</v>
      </c>
      <c r="CX601" t="s">
        <v>400</v>
      </c>
      <c r="CZ601" s="3" t="str">
        <f>"77612"</f>
        <v>77612</v>
      </c>
      <c r="DA601" t="s">
        <v>135</v>
      </c>
      <c r="DB601" t="str">
        <f>"47-2061"</f>
        <v>47-2061</v>
      </c>
      <c r="DC601" t="s">
        <v>393</v>
      </c>
      <c r="DD601" t="s">
        <v>134</v>
      </c>
      <c r="DE601" t="s">
        <v>134</v>
      </c>
      <c r="DF601" t="str">
        <f>""</f>
        <v/>
      </c>
      <c r="DH601" s="6">
        <v>14.75</v>
      </c>
      <c r="DI601" t="s">
        <v>344</v>
      </c>
      <c r="DK601" t="s">
        <v>345</v>
      </c>
      <c r="DS601" s="6">
        <v>14.75</v>
      </c>
      <c r="DT601" t="s">
        <v>424</v>
      </c>
      <c r="DU601" s="1">
        <v>44362</v>
      </c>
      <c r="DV601" s="1">
        <v>44451</v>
      </c>
    </row>
    <row r="602" spans="1:126" ht="15" customHeight="1" x14ac:dyDescent="0.35">
      <c r="A602" t="s">
        <v>2582</v>
      </c>
      <c r="B602" t="s">
        <v>318</v>
      </c>
      <c r="C602" s="1">
        <v>44335</v>
      </c>
      <c r="D602" s="1">
        <v>44377</v>
      </c>
      <c r="H602" t="s">
        <v>319</v>
      </c>
      <c r="I602" t="s">
        <v>2583</v>
      </c>
      <c r="J602" t="s">
        <v>2410</v>
      </c>
      <c r="L602" t="s">
        <v>460</v>
      </c>
      <c r="M602" t="s">
        <v>2584</v>
      </c>
      <c r="O602" t="s">
        <v>2585</v>
      </c>
      <c r="P602" t="s">
        <v>412</v>
      </c>
      <c r="Q602" s="3">
        <v>77979</v>
      </c>
      <c r="R602" t="s">
        <v>128</v>
      </c>
      <c r="T602" s="4">
        <v>13615526423</v>
      </c>
      <c r="V602" t="s">
        <v>134</v>
      </c>
      <c r="W602" t="s">
        <v>2586</v>
      </c>
      <c r="Y602" t="s">
        <v>2587</v>
      </c>
      <c r="AA602" t="s">
        <v>2585</v>
      </c>
      <c r="AB602" t="s">
        <v>400</v>
      </c>
      <c r="AC602" s="3" t="str">
        <f>"77979"</f>
        <v>77979</v>
      </c>
      <c r="AD602" t="s">
        <v>128</v>
      </c>
      <c r="AF602" s="4">
        <v>13615526423</v>
      </c>
      <c r="AH602" t="str">
        <f>"4244"</f>
        <v>4244</v>
      </c>
      <c r="AI602" t="s">
        <v>287</v>
      </c>
      <c r="AJ602" t="s">
        <v>2588</v>
      </c>
      <c r="AK602" t="s">
        <v>2086</v>
      </c>
      <c r="AM602" t="s">
        <v>2589</v>
      </c>
      <c r="AO602" t="s">
        <v>2590</v>
      </c>
      <c r="AP602" t="s">
        <v>643</v>
      </c>
      <c r="AQ602" s="5">
        <v>31606</v>
      </c>
      <c r="AR602" t="s">
        <v>128</v>
      </c>
      <c r="AT602" s="4">
        <v>12295590241</v>
      </c>
      <c r="AV602" t="s">
        <v>2591</v>
      </c>
      <c r="AW602" t="s">
        <v>2592</v>
      </c>
      <c r="AX602" t="s">
        <v>131</v>
      </c>
      <c r="AY602" t="s">
        <v>131</v>
      </c>
      <c r="AZ602" t="s">
        <v>131</v>
      </c>
      <c r="BA602" t="s">
        <v>131</v>
      </c>
      <c r="BB602" t="s">
        <v>131</v>
      </c>
      <c r="BC602" t="s">
        <v>131</v>
      </c>
      <c r="BD602" t="s">
        <v>131</v>
      </c>
      <c r="BE602" t="s">
        <v>132</v>
      </c>
      <c r="BH602" t="s">
        <v>2593</v>
      </c>
      <c r="BI602" t="s">
        <v>131</v>
      </c>
      <c r="BL602" t="s">
        <v>167</v>
      </c>
      <c r="BO602" t="s">
        <v>131</v>
      </c>
      <c r="BP602" t="s">
        <v>134</v>
      </c>
      <c r="BQ602" t="s">
        <v>131</v>
      </c>
      <c r="BS602" t="str">
        <f t="shared" si="45"/>
        <v>N/A</v>
      </c>
      <c r="BT602" t="s">
        <v>131</v>
      </c>
      <c r="BV602" t="str">
        <f>""</f>
        <v/>
      </c>
      <c r="BW602" t="s">
        <v>135</v>
      </c>
      <c r="BX602" t="str">
        <f>""</f>
        <v/>
      </c>
      <c r="BY602" t="str">
        <f>""</f>
        <v/>
      </c>
      <c r="BZ602" t="str">
        <f>""</f>
        <v/>
      </c>
      <c r="CA602" t="str">
        <f>"No ed, exp, or training required. Hours vary due to weather and other Acts of God.
Performance bonus may be paid."</f>
        <v>No ed, exp, or training required. Hours vary due to weather and other Acts of God.
Performance bonus may be paid.</v>
      </c>
      <c r="CB602" t="s">
        <v>131</v>
      </c>
      <c r="CF602" t="s">
        <v>131</v>
      </c>
      <c r="CH602" t="str">
        <f>""</f>
        <v/>
      </c>
      <c r="CI602" t="s">
        <v>131</v>
      </c>
      <c r="CK602" t="s">
        <v>131</v>
      </c>
      <c r="CL602" t="str">
        <f>""</f>
        <v/>
      </c>
      <c r="CM602" t="str">
        <f>""</f>
        <v/>
      </c>
      <c r="CN602" t="str">
        <f>""</f>
        <v/>
      </c>
      <c r="CO602" t="str">
        <f>""</f>
        <v/>
      </c>
      <c r="CP602" t="str">
        <f>"45-3011.00"</f>
        <v>45-3011.00</v>
      </c>
      <c r="CQ602" t="s">
        <v>1770</v>
      </c>
      <c r="CR602" t="s">
        <v>1770</v>
      </c>
      <c r="CS602" t="s">
        <v>131</v>
      </c>
      <c r="CU602" t="s">
        <v>2587</v>
      </c>
      <c r="CW602" t="s">
        <v>2594</v>
      </c>
      <c r="CX602" t="s">
        <v>400</v>
      </c>
      <c r="CZ602" s="3" t="str">
        <f>"77979"</f>
        <v>77979</v>
      </c>
      <c r="DA602" t="s">
        <v>135</v>
      </c>
      <c r="DB602" t="str">
        <f>"45-3011; 45-3011"</f>
        <v>45-3011; 45-3011</v>
      </c>
      <c r="DC602" t="s">
        <v>2595</v>
      </c>
      <c r="DD602" t="s">
        <v>134</v>
      </c>
      <c r="DE602" t="s">
        <v>134</v>
      </c>
      <c r="DF602" t="str">
        <f>"51-3022.00"</f>
        <v>51-3022.00</v>
      </c>
      <c r="DG602" t="s">
        <v>1114</v>
      </c>
      <c r="DH602" s="6">
        <v>14.29</v>
      </c>
      <c r="DI602" t="s">
        <v>344</v>
      </c>
      <c r="DK602" t="s">
        <v>345</v>
      </c>
      <c r="DS602" s="6">
        <v>14.29</v>
      </c>
      <c r="DT602" t="s">
        <v>424</v>
      </c>
      <c r="DU602" s="1">
        <v>44377</v>
      </c>
      <c r="DV602" s="1">
        <v>44466</v>
      </c>
    </row>
    <row r="603" spans="1:126" ht="15" customHeight="1" x14ac:dyDescent="0.35">
      <c r="A603" t="s">
        <v>17966</v>
      </c>
      <c r="B603" t="s">
        <v>318</v>
      </c>
      <c r="C603" s="1">
        <v>44335</v>
      </c>
      <c r="D603" s="1">
        <v>44362</v>
      </c>
      <c r="H603" t="s">
        <v>319</v>
      </c>
      <c r="I603" t="s">
        <v>10610</v>
      </c>
      <c r="J603" t="s">
        <v>2492</v>
      </c>
      <c r="L603" t="s">
        <v>701</v>
      </c>
      <c r="M603" t="s">
        <v>17967</v>
      </c>
      <c r="O603" t="s">
        <v>699</v>
      </c>
      <c r="P603" t="s">
        <v>412</v>
      </c>
      <c r="Q603" s="3">
        <v>78202</v>
      </c>
      <c r="R603" t="s">
        <v>128</v>
      </c>
      <c r="T603" s="4">
        <v>12107325466</v>
      </c>
      <c r="V603" t="s">
        <v>17968</v>
      </c>
      <c r="W603" t="s">
        <v>17969</v>
      </c>
      <c r="Y603" t="s">
        <v>17967</v>
      </c>
      <c r="AA603" t="s">
        <v>699</v>
      </c>
      <c r="AB603" t="s">
        <v>400</v>
      </c>
      <c r="AC603" s="3" t="str">
        <f>"78202"</f>
        <v>78202</v>
      </c>
      <c r="AD603" t="s">
        <v>128</v>
      </c>
      <c r="AF603" s="4">
        <v>12107325466</v>
      </c>
      <c r="AH603" t="str">
        <f>"336211"</f>
        <v>336211</v>
      </c>
      <c r="AI603" t="s">
        <v>130</v>
      </c>
      <c r="AJ603" t="s">
        <v>1311</v>
      </c>
      <c r="AK603" t="s">
        <v>4663</v>
      </c>
      <c r="AM603" t="s">
        <v>8481</v>
      </c>
      <c r="AO603" t="s">
        <v>1040</v>
      </c>
      <c r="AP603" t="s">
        <v>400</v>
      </c>
      <c r="AQ603" s="5">
        <v>78746</v>
      </c>
      <c r="AR603" t="s">
        <v>128</v>
      </c>
      <c r="AT603" s="4">
        <v>15127320555</v>
      </c>
      <c r="AU603">
        <v>112</v>
      </c>
      <c r="AV603" t="s">
        <v>14335</v>
      </c>
      <c r="AW603" t="s">
        <v>4125</v>
      </c>
      <c r="AX603" t="s">
        <v>131</v>
      </c>
      <c r="AY603" t="s">
        <v>131</v>
      </c>
      <c r="AZ603" t="s">
        <v>131</v>
      </c>
      <c r="BA603" t="s">
        <v>131</v>
      </c>
      <c r="BB603" t="s">
        <v>131</v>
      </c>
      <c r="BC603" t="s">
        <v>131</v>
      </c>
      <c r="BD603" t="s">
        <v>131</v>
      </c>
      <c r="BE603" t="s">
        <v>132</v>
      </c>
      <c r="BH603" t="s">
        <v>17970</v>
      </c>
      <c r="BI603" t="s">
        <v>131</v>
      </c>
      <c r="BL603" t="s">
        <v>167</v>
      </c>
      <c r="BO603" t="s">
        <v>131</v>
      </c>
      <c r="BP603" t="s">
        <v>134</v>
      </c>
      <c r="BQ603" t="s">
        <v>131</v>
      </c>
      <c r="BS603" t="str">
        <f t="shared" si="45"/>
        <v>N/A</v>
      </c>
      <c r="BT603" t="s">
        <v>135</v>
      </c>
      <c r="BU603">
        <v>12</v>
      </c>
      <c r="BV603" t="str">
        <f>"Electrician in automotive industry"</f>
        <v>Electrician in automotive industry</v>
      </c>
      <c r="BW603" t="s">
        <v>131</v>
      </c>
      <c r="BX603" t="str">
        <f>""</f>
        <v/>
      </c>
      <c r="BY603" t="str">
        <f>""</f>
        <v/>
      </c>
      <c r="BZ603" t="str">
        <f>""</f>
        <v/>
      </c>
      <c r="CA603" t="str">
        <f>""</f>
        <v/>
      </c>
      <c r="CB603" t="s">
        <v>131</v>
      </c>
      <c r="CF603" t="s">
        <v>131</v>
      </c>
      <c r="CH603" t="str">
        <f>""</f>
        <v/>
      </c>
      <c r="CI603" t="s">
        <v>131</v>
      </c>
      <c r="CK603" t="s">
        <v>131</v>
      </c>
      <c r="CL603" t="str">
        <f>""</f>
        <v/>
      </c>
      <c r="CM603" t="str">
        <f>""</f>
        <v/>
      </c>
      <c r="CN603" t="str">
        <f>""</f>
        <v/>
      </c>
      <c r="CO603" t="str">
        <f>""</f>
        <v/>
      </c>
      <c r="CP603" t="str">
        <f>"49-2096.00"</f>
        <v>49-2096.00</v>
      </c>
      <c r="CQ603" t="s">
        <v>17971</v>
      </c>
      <c r="CS603" t="s">
        <v>131</v>
      </c>
      <c r="CU603" t="s">
        <v>17967</v>
      </c>
      <c r="CW603" t="s">
        <v>699</v>
      </c>
      <c r="CX603" t="s">
        <v>400</v>
      </c>
      <c r="CZ603" s="3" t="str">
        <f>"78202"</f>
        <v>78202</v>
      </c>
      <c r="DA603" t="s">
        <v>131</v>
      </c>
      <c r="DB603" t="str">
        <f>"49-2096"</f>
        <v>49-2096</v>
      </c>
      <c r="DC603" t="s">
        <v>17971</v>
      </c>
      <c r="DD603" t="s">
        <v>134</v>
      </c>
      <c r="DE603" t="s">
        <v>134</v>
      </c>
      <c r="DF603" t="str">
        <f>""</f>
        <v/>
      </c>
      <c r="DH603" s="6">
        <v>19.64</v>
      </c>
      <c r="DI603" t="s">
        <v>344</v>
      </c>
      <c r="DK603" t="s">
        <v>345</v>
      </c>
      <c r="DS603" s="6">
        <v>19.64</v>
      </c>
      <c r="DT603" t="s">
        <v>424</v>
      </c>
      <c r="DU603" s="1">
        <v>44362</v>
      </c>
      <c r="DV603" s="1">
        <v>44451</v>
      </c>
    </row>
    <row r="604" spans="1:126" ht="15" customHeight="1" x14ac:dyDescent="0.35">
      <c r="A604" t="s">
        <v>17065</v>
      </c>
      <c r="B604" t="s">
        <v>318</v>
      </c>
      <c r="C604" s="1">
        <v>44335</v>
      </c>
      <c r="D604" s="1">
        <v>44364</v>
      </c>
      <c r="H604" t="s">
        <v>319</v>
      </c>
      <c r="I604" t="s">
        <v>1680</v>
      </c>
      <c r="J604" t="s">
        <v>618</v>
      </c>
      <c r="K604" t="s">
        <v>1660</v>
      </c>
      <c r="L604" t="s">
        <v>395</v>
      </c>
      <c r="M604" t="s">
        <v>17066</v>
      </c>
      <c r="O604" t="s">
        <v>6671</v>
      </c>
      <c r="P604" t="s">
        <v>396</v>
      </c>
      <c r="Q604" s="3">
        <v>72002</v>
      </c>
      <c r="R604" t="s">
        <v>128</v>
      </c>
      <c r="T604" s="4">
        <v>15019045555</v>
      </c>
      <c r="V604" t="s">
        <v>17067</v>
      </c>
      <c r="W604" t="s">
        <v>17068</v>
      </c>
      <c r="Y604" t="s">
        <v>17066</v>
      </c>
      <c r="AA604" t="s">
        <v>6671</v>
      </c>
      <c r="AB604" t="s">
        <v>397</v>
      </c>
      <c r="AC604" s="3" t="str">
        <f>"72002"</f>
        <v>72002</v>
      </c>
      <c r="AD604" t="s">
        <v>128</v>
      </c>
      <c r="AF604" s="4">
        <v>15019045555</v>
      </c>
      <c r="AH604" t="str">
        <f>"236220"</f>
        <v>236220</v>
      </c>
      <c r="AI604" t="s">
        <v>287</v>
      </c>
      <c r="AJ604" t="s">
        <v>1106</v>
      </c>
      <c r="AK604" t="s">
        <v>1107</v>
      </c>
      <c r="AL604" t="s">
        <v>1108</v>
      </c>
      <c r="AM604" t="s">
        <v>1109</v>
      </c>
      <c r="AN604" t="s">
        <v>1110</v>
      </c>
      <c r="AO604" t="s">
        <v>1111</v>
      </c>
      <c r="AP604" t="s">
        <v>306</v>
      </c>
      <c r="AQ604" s="5">
        <v>24521</v>
      </c>
      <c r="AR604" t="s">
        <v>128</v>
      </c>
      <c r="AS604" t="s">
        <v>134</v>
      </c>
      <c r="AT604" s="4">
        <v>14349460035</v>
      </c>
      <c r="AU604">
        <v>11</v>
      </c>
      <c r="AV604" t="s">
        <v>1112</v>
      </c>
      <c r="AW604" t="s">
        <v>1113</v>
      </c>
      <c r="AX604" t="s">
        <v>131</v>
      </c>
      <c r="AY604" t="s">
        <v>131</v>
      </c>
      <c r="AZ604" t="s">
        <v>131</v>
      </c>
      <c r="BA604" t="s">
        <v>131</v>
      </c>
      <c r="BB604" t="s">
        <v>131</v>
      </c>
      <c r="BC604" t="s">
        <v>131</v>
      </c>
      <c r="BD604" t="s">
        <v>131</v>
      </c>
      <c r="BE604" t="s">
        <v>132</v>
      </c>
      <c r="BH604" t="s">
        <v>3258</v>
      </c>
      <c r="BI604" t="s">
        <v>131</v>
      </c>
      <c r="BL604" t="s">
        <v>167</v>
      </c>
      <c r="BO604" t="s">
        <v>131</v>
      </c>
      <c r="BP604" t="s">
        <v>134</v>
      </c>
      <c r="BQ604" t="s">
        <v>131</v>
      </c>
      <c r="BS604" t="str">
        <f t="shared" si="45"/>
        <v>N/A</v>
      </c>
      <c r="BT604" t="s">
        <v>135</v>
      </c>
      <c r="BU604">
        <v>1</v>
      </c>
      <c r="BV604" t="str">
        <f>"metal wall panel installation"</f>
        <v>metal wall panel installation</v>
      </c>
      <c r="BW604" t="s">
        <v>135</v>
      </c>
      <c r="BX604" t="str">
        <f>""</f>
        <v/>
      </c>
      <c r="BY604" t="str">
        <f>""</f>
        <v/>
      </c>
      <c r="BZ604" t="str">
        <f>""</f>
        <v/>
      </c>
      <c r="CA604" t="str">
        <f>"LIFT/CARRY UP TO 50 POUNDS."</f>
        <v>LIFT/CARRY UP TO 50 POUNDS.</v>
      </c>
      <c r="CB604" t="s">
        <v>131</v>
      </c>
      <c r="CF604" t="s">
        <v>131</v>
      </c>
      <c r="CH604" t="str">
        <f>""</f>
        <v/>
      </c>
      <c r="CI604" t="s">
        <v>131</v>
      </c>
      <c r="CK604" t="s">
        <v>131</v>
      </c>
      <c r="CL604" t="str">
        <f>""</f>
        <v/>
      </c>
      <c r="CM604" t="str">
        <f>""</f>
        <v/>
      </c>
      <c r="CN604" t="str">
        <f>""</f>
        <v/>
      </c>
      <c r="CO604" t="str">
        <f>""</f>
        <v/>
      </c>
      <c r="CP604" t="str">
        <f>"47-2061.00"</f>
        <v>47-2061.00</v>
      </c>
      <c r="CQ604" t="s">
        <v>393</v>
      </c>
      <c r="CS604" t="s">
        <v>135</v>
      </c>
      <c r="CT604" t="s">
        <v>17069</v>
      </c>
      <c r="CU604" t="s">
        <v>17070</v>
      </c>
      <c r="CW604" t="s">
        <v>17071</v>
      </c>
      <c r="CX604" t="s">
        <v>397</v>
      </c>
      <c r="CZ604" s="3" t="str">
        <f>"71601"</f>
        <v>71601</v>
      </c>
      <c r="DA604" t="s">
        <v>135</v>
      </c>
      <c r="DB604" t="str">
        <f>"47-2061"</f>
        <v>47-2061</v>
      </c>
      <c r="DC604" t="s">
        <v>393</v>
      </c>
      <c r="DD604" t="s">
        <v>134</v>
      </c>
      <c r="DE604" t="s">
        <v>134</v>
      </c>
      <c r="DF604" t="str">
        <f>""</f>
        <v/>
      </c>
      <c r="DH604" s="6">
        <v>14.77</v>
      </c>
      <c r="DI604" t="s">
        <v>344</v>
      </c>
      <c r="DK604" t="s">
        <v>345</v>
      </c>
      <c r="DR604" t="s">
        <v>17072</v>
      </c>
      <c r="DS604" s="6">
        <v>16.12</v>
      </c>
      <c r="DT604" s="2" t="s">
        <v>347</v>
      </c>
      <c r="DU604" s="1">
        <v>44364</v>
      </c>
      <c r="DV604" s="1">
        <v>44453</v>
      </c>
    </row>
    <row r="605" spans="1:126" ht="15" customHeight="1" x14ac:dyDescent="0.35">
      <c r="A605" t="s">
        <v>9341</v>
      </c>
      <c r="B605" t="s">
        <v>318</v>
      </c>
      <c r="C605" s="1">
        <v>44335</v>
      </c>
      <c r="D605" s="1">
        <v>44362</v>
      </c>
      <c r="H605" t="s">
        <v>319</v>
      </c>
      <c r="I605" t="s">
        <v>4952</v>
      </c>
      <c r="J605" t="s">
        <v>4340</v>
      </c>
      <c r="L605" t="s">
        <v>8519</v>
      </c>
      <c r="M605" t="s">
        <v>8520</v>
      </c>
      <c r="O605" t="s">
        <v>8521</v>
      </c>
      <c r="P605" t="s">
        <v>412</v>
      </c>
      <c r="Q605" s="3">
        <v>77539</v>
      </c>
      <c r="R605" t="s">
        <v>128</v>
      </c>
      <c r="T605" s="4">
        <v>12813391435</v>
      </c>
      <c r="V605" t="s">
        <v>134</v>
      </c>
      <c r="W605" t="s">
        <v>8522</v>
      </c>
      <c r="X605" t="s">
        <v>134</v>
      </c>
      <c r="Y605" t="s">
        <v>8520</v>
      </c>
      <c r="Z605" t="s">
        <v>134</v>
      </c>
      <c r="AA605" t="s">
        <v>8521</v>
      </c>
      <c r="AB605" t="s">
        <v>400</v>
      </c>
      <c r="AC605" s="3" t="str">
        <f>"77539"</f>
        <v>77539</v>
      </c>
      <c r="AD605" t="s">
        <v>128</v>
      </c>
      <c r="AE605" t="s">
        <v>134</v>
      </c>
      <c r="AF605" s="4">
        <v>18325124351</v>
      </c>
      <c r="AH605" t="str">
        <f>"4244"</f>
        <v>4244</v>
      </c>
      <c r="AI605" t="s">
        <v>287</v>
      </c>
      <c r="AJ605" t="s">
        <v>2588</v>
      </c>
      <c r="AK605" t="s">
        <v>2086</v>
      </c>
      <c r="AM605" t="s">
        <v>2589</v>
      </c>
      <c r="AO605" t="s">
        <v>2590</v>
      </c>
      <c r="AP605" t="s">
        <v>643</v>
      </c>
      <c r="AQ605" s="5">
        <v>31606</v>
      </c>
      <c r="AR605" t="s">
        <v>128</v>
      </c>
      <c r="AT605" s="4">
        <v>12295590241</v>
      </c>
      <c r="AV605" t="s">
        <v>2591</v>
      </c>
      <c r="AW605" t="s">
        <v>2592</v>
      </c>
      <c r="AX605" t="s">
        <v>131</v>
      </c>
      <c r="AY605" t="s">
        <v>131</v>
      </c>
      <c r="AZ605" t="s">
        <v>131</v>
      </c>
      <c r="BA605" t="s">
        <v>131</v>
      </c>
      <c r="BB605" t="s">
        <v>131</v>
      </c>
      <c r="BC605" t="s">
        <v>131</v>
      </c>
      <c r="BD605" t="s">
        <v>131</v>
      </c>
      <c r="BE605" t="s">
        <v>132</v>
      </c>
      <c r="BH605" t="s">
        <v>8523</v>
      </c>
      <c r="BI605" t="s">
        <v>131</v>
      </c>
      <c r="BL605" t="s">
        <v>167</v>
      </c>
      <c r="BO605" t="s">
        <v>131</v>
      </c>
      <c r="BP605" t="s">
        <v>134</v>
      </c>
      <c r="BQ605" t="s">
        <v>131</v>
      </c>
      <c r="BS605" t="str">
        <f t="shared" si="45"/>
        <v>N/A</v>
      </c>
      <c r="BT605" t="s">
        <v>131</v>
      </c>
      <c r="BV605" t="str">
        <f>""</f>
        <v/>
      </c>
      <c r="BW605" t="s">
        <v>135</v>
      </c>
      <c r="BX605" t="str">
        <f>""</f>
        <v/>
      </c>
      <c r="BY605" t="str">
        <f>""</f>
        <v/>
      </c>
      <c r="BZ605" t="str">
        <f>""</f>
        <v/>
      </c>
      <c r="CA605" t="str">
        <f>"NO OVERTIME PROMISED. HOURS MAY VARY DUE TO WEATHER AND OTHER ACTS OF GOD."</f>
        <v>NO OVERTIME PROMISED. HOURS MAY VARY DUE TO WEATHER AND OTHER ACTS OF GOD.</v>
      </c>
      <c r="CB605" t="s">
        <v>131</v>
      </c>
      <c r="CF605" t="s">
        <v>131</v>
      </c>
      <c r="CH605" t="str">
        <f>""</f>
        <v/>
      </c>
      <c r="CI605" t="s">
        <v>131</v>
      </c>
      <c r="CK605" t="s">
        <v>131</v>
      </c>
      <c r="CL605" t="str">
        <f>""</f>
        <v/>
      </c>
      <c r="CM605" t="str">
        <f>""</f>
        <v/>
      </c>
      <c r="CN605" t="str">
        <f>""</f>
        <v/>
      </c>
      <c r="CO605" t="str">
        <f>""</f>
        <v/>
      </c>
      <c r="CP605" t="str">
        <f>"45-3011.00"</f>
        <v>45-3011.00</v>
      </c>
      <c r="CQ605" t="s">
        <v>1770</v>
      </c>
      <c r="CS605" t="s">
        <v>131</v>
      </c>
      <c r="CU605" t="s">
        <v>8524</v>
      </c>
      <c r="CW605" t="s">
        <v>8521</v>
      </c>
      <c r="CX605" t="s">
        <v>400</v>
      </c>
      <c r="CZ605" s="3" t="str">
        <f>"77539"</f>
        <v>77539</v>
      </c>
      <c r="DA605" t="s">
        <v>135</v>
      </c>
      <c r="DB605" t="str">
        <f>"45-3011"</f>
        <v>45-3011</v>
      </c>
      <c r="DC605" t="s">
        <v>1770</v>
      </c>
      <c r="DD605" t="s">
        <v>134</v>
      </c>
      <c r="DE605" t="s">
        <v>134</v>
      </c>
      <c r="DF605" t="str">
        <f>""</f>
        <v/>
      </c>
      <c r="DH605" s="6">
        <v>16.649999999999999</v>
      </c>
      <c r="DI605" t="s">
        <v>344</v>
      </c>
      <c r="DK605" t="s">
        <v>345</v>
      </c>
      <c r="DR605" t="s">
        <v>8525</v>
      </c>
      <c r="DS605" s="6">
        <v>16.649999999999999</v>
      </c>
      <c r="DT605" t="s">
        <v>424</v>
      </c>
      <c r="DU605" s="1">
        <v>44362</v>
      </c>
      <c r="DV605" s="1">
        <v>44451</v>
      </c>
    </row>
    <row r="606" spans="1:126" ht="15" customHeight="1" x14ac:dyDescent="0.35">
      <c r="A606" t="s">
        <v>8518</v>
      </c>
      <c r="B606" t="s">
        <v>318</v>
      </c>
      <c r="C606" s="1">
        <v>44335</v>
      </c>
      <c r="D606" s="1">
        <v>44362</v>
      </c>
      <c r="H606" t="s">
        <v>319</v>
      </c>
      <c r="I606" t="s">
        <v>4952</v>
      </c>
      <c r="J606" t="s">
        <v>4340</v>
      </c>
      <c r="L606" t="s">
        <v>8519</v>
      </c>
      <c r="M606" t="s">
        <v>8520</v>
      </c>
      <c r="O606" t="s">
        <v>8521</v>
      </c>
      <c r="P606" t="s">
        <v>412</v>
      </c>
      <c r="Q606" s="3">
        <v>77539</v>
      </c>
      <c r="R606" t="s">
        <v>128</v>
      </c>
      <c r="T606" s="4">
        <v>12813391435</v>
      </c>
      <c r="V606" t="s">
        <v>134</v>
      </c>
      <c r="W606" t="s">
        <v>8522</v>
      </c>
      <c r="X606" t="s">
        <v>134</v>
      </c>
      <c r="Y606" t="s">
        <v>8520</v>
      </c>
      <c r="Z606" t="s">
        <v>134</v>
      </c>
      <c r="AA606" t="s">
        <v>8521</v>
      </c>
      <c r="AB606" t="s">
        <v>400</v>
      </c>
      <c r="AC606" s="3" t="str">
        <f>"77539"</f>
        <v>77539</v>
      </c>
      <c r="AD606" t="s">
        <v>128</v>
      </c>
      <c r="AE606" t="s">
        <v>134</v>
      </c>
      <c r="AF606" s="4">
        <v>18325124351</v>
      </c>
      <c r="AH606" t="str">
        <f>"4244"</f>
        <v>4244</v>
      </c>
      <c r="AI606" t="s">
        <v>287</v>
      </c>
      <c r="AJ606" t="s">
        <v>2588</v>
      </c>
      <c r="AK606" t="s">
        <v>2086</v>
      </c>
      <c r="AM606" t="s">
        <v>2589</v>
      </c>
      <c r="AO606" t="s">
        <v>2590</v>
      </c>
      <c r="AP606" t="s">
        <v>643</v>
      </c>
      <c r="AQ606" s="5">
        <v>31606</v>
      </c>
      <c r="AR606" t="s">
        <v>128</v>
      </c>
      <c r="AT606" s="4">
        <v>12295590241</v>
      </c>
      <c r="AV606" t="s">
        <v>2591</v>
      </c>
      <c r="AW606" t="s">
        <v>2592</v>
      </c>
      <c r="AX606" t="s">
        <v>131</v>
      </c>
      <c r="AY606" t="s">
        <v>131</v>
      </c>
      <c r="AZ606" t="s">
        <v>131</v>
      </c>
      <c r="BA606" t="s">
        <v>131</v>
      </c>
      <c r="BB606" t="s">
        <v>131</v>
      </c>
      <c r="BC606" t="s">
        <v>131</v>
      </c>
      <c r="BD606" t="s">
        <v>131</v>
      </c>
      <c r="BE606" t="s">
        <v>132</v>
      </c>
      <c r="BH606" t="s">
        <v>8523</v>
      </c>
      <c r="BI606" t="s">
        <v>131</v>
      </c>
      <c r="BL606" t="s">
        <v>167</v>
      </c>
      <c r="BO606" t="s">
        <v>131</v>
      </c>
      <c r="BP606" t="s">
        <v>134</v>
      </c>
      <c r="BQ606" t="s">
        <v>131</v>
      </c>
      <c r="BS606" t="str">
        <f t="shared" si="45"/>
        <v>N/A</v>
      </c>
      <c r="BT606" t="s">
        <v>131</v>
      </c>
      <c r="BV606" t="str">
        <f>""</f>
        <v/>
      </c>
      <c r="BW606" t="s">
        <v>135</v>
      </c>
      <c r="BX606" t="str">
        <f>""</f>
        <v/>
      </c>
      <c r="BY606" t="str">
        <f>""</f>
        <v/>
      </c>
      <c r="BZ606" t="str">
        <f>""</f>
        <v/>
      </c>
      <c r="CA606" t="str">
        <f>"NO OVERTIME PROMISED. HOURS MAY VARY DUE TO WEATHER AND OTHER ACTS OF GOD."</f>
        <v>NO OVERTIME PROMISED. HOURS MAY VARY DUE TO WEATHER AND OTHER ACTS OF GOD.</v>
      </c>
      <c r="CB606" t="s">
        <v>131</v>
      </c>
      <c r="CF606" t="s">
        <v>131</v>
      </c>
      <c r="CH606" t="str">
        <f>""</f>
        <v/>
      </c>
      <c r="CI606" t="s">
        <v>131</v>
      </c>
      <c r="CK606" t="s">
        <v>131</v>
      </c>
      <c r="CL606" t="str">
        <f>""</f>
        <v/>
      </c>
      <c r="CM606" t="str">
        <f>""</f>
        <v/>
      </c>
      <c r="CN606" t="str">
        <f>""</f>
        <v/>
      </c>
      <c r="CO606" t="str">
        <f>""</f>
        <v/>
      </c>
      <c r="CP606" t="str">
        <f>"45-3011.00"</f>
        <v>45-3011.00</v>
      </c>
      <c r="CQ606" t="s">
        <v>1770</v>
      </c>
      <c r="CR606" t="s">
        <v>1770</v>
      </c>
      <c r="CS606" t="s">
        <v>131</v>
      </c>
      <c r="CU606" t="s">
        <v>8524</v>
      </c>
      <c r="CW606" t="s">
        <v>8521</v>
      </c>
      <c r="CX606" t="s">
        <v>400</v>
      </c>
      <c r="CZ606" s="3" t="str">
        <f>"77539"</f>
        <v>77539</v>
      </c>
      <c r="DA606" t="s">
        <v>135</v>
      </c>
      <c r="DB606" t="str">
        <f>"45-3011"</f>
        <v>45-3011</v>
      </c>
      <c r="DC606" t="s">
        <v>1770</v>
      </c>
      <c r="DD606" t="s">
        <v>134</v>
      </c>
      <c r="DE606" t="s">
        <v>134</v>
      </c>
      <c r="DF606" t="str">
        <f>""</f>
        <v/>
      </c>
      <c r="DH606" s="6">
        <v>16.649999999999999</v>
      </c>
      <c r="DI606" t="s">
        <v>344</v>
      </c>
      <c r="DK606" t="s">
        <v>345</v>
      </c>
      <c r="DR606" t="s">
        <v>8525</v>
      </c>
      <c r="DS606" s="6">
        <v>16.649999999999999</v>
      </c>
      <c r="DT606" t="s">
        <v>424</v>
      </c>
      <c r="DU606" s="1">
        <v>44362</v>
      </c>
      <c r="DV606" s="1">
        <v>44451</v>
      </c>
    </row>
    <row r="607" spans="1:126" ht="15" customHeight="1" x14ac:dyDescent="0.35">
      <c r="A607" t="s">
        <v>19043</v>
      </c>
      <c r="B607" t="s">
        <v>318</v>
      </c>
      <c r="C607" s="1">
        <v>44335</v>
      </c>
      <c r="D607" s="1">
        <v>44377</v>
      </c>
      <c r="H607" t="s">
        <v>319</v>
      </c>
      <c r="I607" t="s">
        <v>4952</v>
      </c>
      <c r="J607" t="s">
        <v>4340</v>
      </c>
      <c r="L607" t="s">
        <v>8519</v>
      </c>
      <c r="M607" t="s">
        <v>8520</v>
      </c>
      <c r="O607" t="s">
        <v>8521</v>
      </c>
      <c r="P607" t="s">
        <v>412</v>
      </c>
      <c r="Q607" s="3">
        <v>77539</v>
      </c>
      <c r="R607" t="s">
        <v>128</v>
      </c>
      <c r="T607" s="4">
        <v>12813391435</v>
      </c>
      <c r="V607" t="s">
        <v>134</v>
      </c>
      <c r="W607" t="s">
        <v>8522</v>
      </c>
      <c r="X607" t="s">
        <v>134</v>
      </c>
      <c r="Y607" t="s">
        <v>8520</v>
      </c>
      <c r="Z607" t="s">
        <v>134</v>
      </c>
      <c r="AA607" t="s">
        <v>8521</v>
      </c>
      <c r="AB607" t="s">
        <v>400</v>
      </c>
      <c r="AC607" s="3" t="str">
        <f>"77539"</f>
        <v>77539</v>
      </c>
      <c r="AD607" t="s">
        <v>128</v>
      </c>
      <c r="AE607" t="s">
        <v>134</v>
      </c>
      <c r="AF607" s="4">
        <v>18325124351</v>
      </c>
      <c r="AH607" t="str">
        <f>"4244"</f>
        <v>4244</v>
      </c>
      <c r="AI607" t="s">
        <v>287</v>
      </c>
      <c r="AJ607" t="s">
        <v>2588</v>
      </c>
      <c r="AK607" t="s">
        <v>2086</v>
      </c>
      <c r="AM607" t="s">
        <v>2589</v>
      </c>
      <c r="AO607" t="s">
        <v>2590</v>
      </c>
      <c r="AP607" t="s">
        <v>643</v>
      </c>
      <c r="AQ607" s="5">
        <v>31606</v>
      </c>
      <c r="AR607" t="s">
        <v>128</v>
      </c>
      <c r="AT607" s="4">
        <v>12295590241</v>
      </c>
      <c r="AV607" t="s">
        <v>2591</v>
      </c>
      <c r="AW607" t="s">
        <v>2592</v>
      </c>
      <c r="AX607" t="s">
        <v>131</v>
      </c>
      <c r="AY607" t="s">
        <v>131</v>
      </c>
      <c r="AZ607" t="s">
        <v>131</v>
      </c>
      <c r="BA607" t="s">
        <v>131</v>
      </c>
      <c r="BB607" t="s">
        <v>131</v>
      </c>
      <c r="BC607" t="s">
        <v>131</v>
      </c>
      <c r="BD607" t="s">
        <v>131</v>
      </c>
      <c r="BE607" t="s">
        <v>132</v>
      </c>
      <c r="BH607" t="s">
        <v>14134</v>
      </c>
      <c r="BI607" t="s">
        <v>131</v>
      </c>
      <c r="BL607" t="s">
        <v>167</v>
      </c>
      <c r="BO607" t="s">
        <v>131</v>
      </c>
      <c r="BP607" t="s">
        <v>134</v>
      </c>
      <c r="BQ607" t="s">
        <v>131</v>
      </c>
      <c r="BS607" t="str">
        <f t="shared" si="45"/>
        <v>N/A</v>
      </c>
      <c r="BT607" t="s">
        <v>131</v>
      </c>
      <c r="BV607" t="str">
        <f>""</f>
        <v/>
      </c>
      <c r="BW607" t="s">
        <v>135</v>
      </c>
      <c r="BX607" t="str">
        <f>""</f>
        <v/>
      </c>
      <c r="BY607" t="str">
        <f>""</f>
        <v/>
      </c>
      <c r="BZ607" t="str">
        <f>""</f>
        <v/>
      </c>
      <c r="CA607" t="str">
        <f>"No ed, exp, or training req'd. No overtime promised. Work hours may be less due to weather, or acts of God."</f>
        <v>No ed, exp, or training req'd. No overtime promised. Work hours may be less due to weather, or acts of God.</v>
      </c>
      <c r="CB607" t="s">
        <v>131</v>
      </c>
      <c r="CF607" t="s">
        <v>131</v>
      </c>
      <c r="CH607" t="str">
        <f>""</f>
        <v/>
      </c>
      <c r="CI607" t="s">
        <v>131</v>
      </c>
      <c r="CK607" t="s">
        <v>131</v>
      </c>
      <c r="CL607" t="str">
        <f>""</f>
        <v/>
      </c>
      <c r="CM607" t="str">
        <f>""</f>
        <v/>
      </c>
      <c r="CN607" t="str">
        <f>""</f>
        <v/>
      </c>
      <c r="CO607" t="str">
        <f>""</f>
        <v/>
      </c>
      <c r="CP607" t="str">
        <f>"51-3022.00"</f>
        <v>51-3022.00</v>
      </c>
      <c r="CQ607" t="s">
        <v>1114</v>
      </c>
      <c r="CR607" t="s">
        <v>1114</v>
      </c>
      <c r="CS607" t="s">
        <v>131</v>
      </c>
      <c r="CU607" t="s">
        <v>14135</v>
      </c>
      <c r="CW607" t="s">
        <v>8521</v>
      </c>
      <c r="CX607" t="s">
        <v>400</v>
      </c>
      <c r="CZ607" s="3" t="str">
        <f>"77539"</f>
        <v>77539</v>
      </c>
      <c r="DA607" t="s">
        <v>131</v>
      </c>
      <c r="DB607" t="str">
        <f>"51-3022"</f>
        <v>51-3022</v>
      </c>
      <c r="DC607" t="s">
        <v>1114</v>
      </c>
      <c r="DD607" t="s">
        <v>134</v>
      </c>
      <c r="DE607" t="s">
        <v>134</v>
      </c>
      <c r="DF607" t="str">
        <f>""</f>
        <v/>
      </c>
      <c r="DH607" s="6">
        <v>13.73</v>
      </c>
      <c r="DI607" t="s">
        <v>344</v>
      </c>
      <c r="DK607" t="s">
        <v>345</v>
      </c>
      <c r="DR607" t="s">
        <v>8525</v>
      </c>
      <c r="DS607" s="6">
        <v>13.73</v>
      </c>
      <c r="DT607" t="s">
        <v>424</v>
      </c>
      <c r="DU607" s="1">
        <v>44377</v>
      </c>
      <c r="DV607" s="1">
        <v>44466</v>
      </c>
    </row>
    <row r="608" spans="1:126" ht="15" customHeight="1" x14ac:dyDescent="0.35">
      <c r="A608" t="s">
        <v>11929</v>
      </c>
      <c r="B608" t="s">
        <v>318</v>
      </c>
      <c r="C608" s="1">
        <v>44335</v>
      </c>
      <c r="D608" s="1">
        <v>44362</v>
      </c>
      <c r="H608" t="s">
        <v>319</v>
      </c>
      <c r="I608" t="s">
        <v>11930</v>
      </c>
      <c r="J608" t="s">
        <v>1025</v>
      </c>
      <c r="L608" t="s">
        <v>569</v>
      </c>
      <c r="M608" t="s">
        <v>11931</v>
      </c>
      <c r="O608" t="s">
        <v>11932</v>
      </c>
      <c r="P608" t="s">
        <v>194</v>
      </c>
      <c r="Q608" s="3">
        <v>33436</v>
      </c>
      <c r="R608" t="s">
        <v>128</v>
      </c>
      <c r="T608" s="4">
        <v>15617329771</v>
      </c>
      <c r="V608" t="s">
        <v>1021</v>
      </c>
      <c r="W608" t="s">
        <v>11933</v>
      </c>
      <c r="Y608" t="s">
        <v>11934</v>
      </c>
      <c r="AA608" t="s">
        <v>11935</v>
      </c>
      <c r="AB608" t="s">
        <v>195</v>
      </c>
      <c r="AC608" s="3" t="str">
        <f>"33436"</f>
        <v>33436</v>
      </c>
      <c r="AD608" t="s">
        <v>128</v>
      </c>
      <c r="AF608" s="4">
        <v>15617329771</v>
      </c>
      <c r="AH608" t="str">
        <f>"713910"</f>
        <v>713910</v>
      </c>
      <c r="AI608" t="s">
        <v>287</v>
      </c>
      <c r="AJ608" t="s">
        <v>1024</v>
      </c>
      <c r="AK608" t="s">
        <v>1025</v>
      </c>
      <c r="AM608" t="s">
        <v>1026</v>
      </c>
      <c r="AO608" t="s">
        <v>1027</v>
      </c>
      <c r="AP608" t="s">
        <v>129</v>
      </c>
      <c r="AQ608" s="5">
        <v>11590</v>
      </c>
      <c r="AR608" t="s">
        <v>128</v>
      </c>
      <c r="AT608" s="4">
        <v>15163307168</v>
      </c>
      <c r="AV608" t="s">
        <v>1021</v>
      </c>
      <c r="AW608" t="s">
        <v>1028</v>
      </c>
      <c r="AX608" t="s">
        <v>131</v>
      </c>
      <c r="AY608" t="s">
        <v>131</v>
      </c>
      <c r="AZ608" t="s">
        <v>131</v>
      </c>
      <c r="BA608" t="s">
        <v>131</v>
      </c>
      <c r="BB608" t="s">
        <v>131</v>
      </c>
      <c r="BC608" t="s">
        <v>131</v>
      </c>
      <c r="BD608" t="s">
        <v>131</v>
      </c>
      <c r="BE608" t="s">
        <v>132</v>
      </c>
      <c r="BH608" t="s">
        <v>11936</v>
      </c>
      <c r="BI608" t="s">
        <v>131</v>
      </c>
      <c r="BL608" t="s">
        <v>167</v>
      </c>
      <c r="BO608" t="s">
        <v>131</v>
      </c>
      <c r="BP608" t="s">
        <v>134</v>
      </c>
      <c r="BQ608" t="s">
        <v>131</v>
      </c>
      <c r="BS608" t="str">
        <f t="shared" si="45"/>
        <v>N/A</v>
      </c>
      <c r="BT608" t="s">
        <v>135</v>
      </c>
      <c r="BU608">
        <v>3</v>
      </c>
      <c r="BV608" t="str">
        <f>"SERVERS"</f>
        <v>SERVERS</v>
      </c>
      <c r="BW608" t="s">
        <v>131</v>
      </c>
      <c r="BX608" t="str">
        <f>""</f>
        <v/>
      </c>
      <c r="BY608" t="str">
        <f>""</f>
        <v/>
      </c>
      <c r="BZ608" t="str">
        <f>""</f>
        <v/>
      </c>
      <c r="CA608" t="str">
        <f>""</f>
        <v/>
      </c>
      <c r="CB608" t="s">
        <v>131</v>
      </c>
      <c r="CF608" t="s">
        <v>131</v>
      </c>
      <c r="CH608" t="str">
        <f>""</f>
        <v/>
      </c>
      <c r="CI608" t="s">
        <v>131</v>
      </c>
      <c r="CK608" t="s">
        <v>131</v>
      </c>
      <c r="CL608" t="str">
        <f>""</f>
        <v/>
      </c>
      <c r="CM608" t="str">
        <f>""</f>
        <v/>
      </c>
      <c r="CN608" t="str">
        <f>""</f>
        <v/>
      </c>
      <c r="CO608" t="str">
        <f>""</f>
        <v/>
      </c>
      <c r="CP608" t="str">
        <f>"35-3031.00"</f>
        <v>35-3031.00</v>
      </c>
      <c r="CQ608" t="s">
        <v>1214</v>
      </c>
      <c r="CR608" t="s">
        <v>392</v>
      </c>
      <c r="CS608" t="s">
        <v>131</v>
      </c>
      <c r="CU608" t="s">
        <v>11934</v>
      </c>
      <c r="CW608" t="s">
        <v>7014</v>
      </c>
      <c r="CX608" t="s">
        <v>195</v>
      </c>
      <c r="CZ608" s="3" t="str">
        <f>"33436"</f>
        <v>33436</v>
      </c>
      <c r="DA608" t="s">
        <v>131</v>
      </c>
      <c r="DB608" t="str">
        <f>"35-3031"</f>
        <v>35-3031</v>
      </c>
      <c r="DC608" t="s">
        <v>1214</v>
      </c>
      <c r="DD608" t="s">
        <v>134</v>
      </c>
      <c r="DE608" t="s">
        <v>134</v>
      </c>
      <c r="DF608" t="str">
        <f>""</f>
        <v/>
      </c>
      <c r="DH608" s="6">
        <v>12.55</v>
      </c>
      <c r="DI608" t="s">
        <v>344</v>
      </c>
      <c r="DK608" t="s">
        <v>345</v>
      </c>
      <c r="DR608" t="s">
        <v>2160</v>
      </c>
      <c r="DS608" s="6">
        <v>12.55</v>
      </c>
      <c r="DT608" t="s">
        <v>424</v>
      </c>
      <c r="DU608" s="1">
        <v>44362</v>
      </c>
      <c r="DV608" s="1">
        <v>44451</v>
      </c>
    </row>
    <row r="609" spans="1:126" ht="15" customHeight="1" x14ac:dyDescent="0.35">
      <c r="A609" t="s">
        <v>13613</v>
      </c>
      <c r="B609" t="s">
        <v>318</v>
      </c>
      <c r="C609" s="1">
        <v>44335</v>
      </c>
      <c r="D609" s="1">
        <v>44362</v>
      </c>
      <c r="H609" t="s">
        <v>319</v>
      </c>
      <c r="I609" t="s">
        <v>11930</v>
      </c>
      <c r="J609" t="s">
        <v>1025</v>
      </c>
      <c r="L609" t="s">
        <v>569</v>
      </c>
      <c r="M609" t="s">
        <v>11934</v>
      </c>
      <c r="O609" t="s">
        <v>11932</v>
      </c>
      <c r="P609" t="s">
        <v>194</v>
      </c>
      <c r="Q609" s="3">
        <v>33436</v>
      </c>
      <c r="R609" t="s">
        <v>128</v>
      </c>
      <c r="T609" s="4">
        <v>15617329771</v>
      </c>
      <c r="V609" t="s">
        <v>1021</v>
      </c>
      <c r="W609" t="s">
        <v>11933</v>
      </c>
      <c r="Y609" t="s">
        <v>11931</v>
      </c>
      <c r="AA609" t="s">
        <v>11935</v>
      </c>
      <c r="AB609" t="s">
        <v>195</v>
      </c>
      <c r="AC609" s="3" t="str">
        <f>"33436"</f>
        <v>33436</v>
      </c>
      <c r="AD609" t="s">
        <v>128</v>
      </c>
      <c r="AF609" s="4">
        <v>15617329771</v>
      </c>
      <c r="AH609" t="str">
        <f>"713910"</f>
        <v>713910</v>
      </c>
      <c r="AI609" t="s">
        <v>287</v>
      </c>
      <c r="AJ609" t="s">
        <v>1024</v>
      </c>
      <c r="AK609" t="s">
        <v>1025</v>
      </c>
      <c r="AM609" t="s">
        <v>1026</v>
      </c>
      <c r="AO609" t="s">
        <v>1027</v>
      </c>
      <c r="AP609" t="s">
        <v>129</v>
      </c>
      <c r="AQ609" s="5">
        <v>11590</v>
      </c>
      <c r="AR609" t="s">
        <v>128</v>
      </c>
      <c r="AT609" s="4">
        <v>15163307168</v>
      </c>
      <c r="AV609" t="s">
        <v>1021</v>
      </c>
      <c r="AW609" t="s">
        <v>1028</v>
      </c>
      <c r="AX609" t="s">
        <v>131</v>
      </c>
      <c r="AY609" t="s">
        <v>131</v>
      </c>
      <c r="AZ609" t="s">
        <v>131</v>
      </c>
      <c r="BA609" t="s">
        <v>131</v>
      </c>
      <c r="BB609" t="s">
        <v>131</v>
      </c>
      <c r="BC609" t="s">
        <v>131</v>
      </c>
      <c r="BD609" t="s">
        <v>131</v>
      </c>
      <c r="BE609" t="s">
        <v>132</v>
      </c>
      <c r="BH609" t="s">
        <v>6218</v>
      </c>
      <c r="BI609" t="s">
        <v>131</v>
      </c>
      <c r="BL609" t="s">
        <v>167</v>
      </c>
      <c r="BO609" t="s">
        <v>131</v>
      </c>
      <c r="BP609" t="s">
        <v>134</v>
      </c>
      <c r="BQ609" t="s">
        <v>131</v>
      </c>
      <c r="BS609" t="str">
        <f t="shared" si="45"/>
        <v>N/A</v>
      </c>
      <c r="BT609" t="s">
        <v>135</v>
      </c>
      <c r="BU609">
        <v>6</v>
      </c>
      <c r="BV609" t="str">
        <f>"COOK"</f>
        <v>COOK</v>
      </c>
      <c r="BW609" t="s">
        <v>131</v>
      </c>
      <c r="BX609" t="str">
        <f>""</f>
        <v/>
      </c>
      <c r="BY609" t="str">
        <f>""</f>
        <v/>
      </c>
      <c r="BZ609" t="str">
        <f>""</f>
        <v/>
      </c>
      <c r="CA609" t="str">
        <f>""</f>
        <v/>
      </c>
      <c r="CB609" t="s">
        <v>131</v>
      </c>
      <c r="CF609" t="s">
        <v>131</v>
      </c>
      <c r="CH609" t="str">
        <f>""</f>
        <v/>
      </c>
      <c r="CI609" t="s">
        <v>131</v>
      </c>
      <c r="CK609" t="s">
        <v>131</v>
      </c>
      <c r="CL609" t="str">
        <f>""</f>
        <v/>
      </c>
      <c r="CM609" t="str">
        <f>""</f>
        <v/>
      </c>
      <c r="CN609" t="str">
        <f>""</f>
        <v/>
      </c>
      <c r="CO609" t="str">
        <f>""</f>
        <v/>
      </c>
      <c r="CP609" t="str">
        <f>"35-2014.00"</f>
        <v>35-2014.00</v>
      </c>
      <c r="CQ609" t="s">
        <v>581</v>
      </c>
      <c r="CR609" t="s">
        <v>6219</v>
      </c>
      <c r="CS609" t="s">
        <v>131</v>
      </c>
      <c r="CU609" t="s">
        <v>11934</v>
      </c>
      <c r="CW609" t="s">
        <v>7014</v>
      </c>
      <c r="CX609" t="s">
        <v>195</v>
      </c>
      <c r="CZ609" s="3" t="str">
        <f>"33436"</f>
        <v>33436</v>
      </c>
      <c r="DA609" t="s">
        <v>131</v>
      </c>
      <c r="DB609" t="str">
        <f>"35-2014"</f>
        <v>35-2014</v>
      </c>
      <c r="DC609" t="s">
        <v>581</v>
      </c>
      <c r="DD609" t="s">
        <v>134</v>
      </c>
      <c r="DE609" t="s">
        <v>134</v>
      </c>
      <c r="DF609" t="str">
        <f>""</f>
        <v/>
      </c>
      <c r="DH609" s="6">
        <v>14.63</v>
      </c>
      <c r="DI609" t="s">
        <v>344</v>
      </c>
      <c r="DK609" t="s">
        <v>345</v>
      </c>
      <c r="DR609" t="s">
        <v>2160</v>
      </c>
      <c r="DS609" s="6">
        <v>14.63</v>
      </c>
      <c r="DT609" t="s">
        <v>424</v>
      </c>
      <c r="DU609" s="1">
        <v>44362</v>
      </c>
      <c r="DV609" s="1">
        <v>44451</v>
      </c>
    </row>
    <row r="610" spans="1:126" ht="15" customHeight="1" x14ac:dyDescent="0.35">
      <c r="A610" t="s">
        <v>7522</v>
      </c>
      <c r="B610" t="s">
        <v>318</v>
      </c>
      <c r="C610" s="1">
        <v>44335</v>
      </c>
      <c r="D610" s="1">
        <v>44362</v>
      </c>
      <c r="H610" t="s">
        <v>319</v>
      </c>
      <c r="I610" t="s">
        <v>7523</v>
      </c>
      <c r="J610" t="s">
        <v>3388</v>
      </c>
      <c r="L610" t="s">
        <v>569</v>
      </c>
      <c r="M610" t="s">
        <v>7524</v>
      </c>
      <c r="O610" t="s">
        <v>4205</v>
      </c>
      <c r="P610" t="s">
        <v>194</v>
      </c>
      <c r="Q610" s="3">
        <v>35990</v>
      </c>
      <c r="R610" t="s">
        <v>128</v>
      </c>
      <c r="T610" s="4">
        <v>17722837000</v>
      </c>
      <c r="V610" t="s">
        <v>1021</v>
      </c>
      <c r="W610" t="s">
        <v>7525</v>
      </c>
      <c r="X610" t="s">
        <v>7526</v>
      </c>
      <c r="Y610" t="s">
        <v>7527</v>
      </c>
      <c r="AA610" t="s">
        <v>4205</v>
      </c>
      <c r="AB610" t="s">
        <v>195</v>
      </c>
      <c r="AC610" s="3" t="str">
        <f>"34990"</f>
        <v>34990</v>
      </c>
      <c r="AD610" t="s">
        <v>128</v>
      </c>
      <c r="AF610" s="4">
        <v>17722837000</v>
      </c>
      <c r="AH610" t="str">
        <f>"713910"</f>
        <v>713910</v>
      </c>
      <c r="AI610" t="s">
        <v>287</v>
      </c>
      <c r="AJ610" t="s">
        <v>1024</v>
      </c>
      <c r="AK610" t="s">
        <v>1025</v>
      </c>
      <c r="AM610" t="s">
        <v>1026</v>
      </c>
      <c r="AO610" t="s">
        <v>1027</v>
      </c>
      <c r="AP610" t="s">
        <v>129</v>
      </c>
      <c r="AQ610" s="5">
        <v>11590</v>
      </c>
      <c r="AR610" t="s">
        <v>128</v>
      </c>
      <c r="AT610" s="4">
        <v>15163307168</v>
      </c>
      <c r="AV610" t="s">
        <v>1021</v>
      </c>
      <c r="AW610" t="s">
        <v>1028</v>
      </c>
      <c r="AX610" t="s">
        <v>131</v>
      </c>
      <c r="AY610" t="s">
        <v>131</v>
      </c>
      <c r="AZ610" t="s">
        <v>131</v>
      </c>
      <c r="BA610" t="s">
        <v>131</v>
      </c>
      <c r="BB610" t="s">
        <v>131</v>
      </c>
      <c r="BC610" t="s">
        <v>131</v>
      </c>
      <c r="BD610" t="s">
        <v>131</v>
      </c>
      <c r="BE610" t="s">
        <v>132</v>
      </c>
      <c r="BH610" t="s">
        <v>7528</v>
      </c>
      <c r="BI610" t="s">
        <v>131</v>
      </c>
      <c r="BL610" t="s">
        <v>167</v>
      </c>
      <c r="BO610" t="s">
        <v>131</v>
      </c>
      <c r="BP610" t="s">
        <v>134</v>
      </c>
      <c r="BQ610" t="s">
        <v>131</v>
      </c>
      <c r="BS610" t="str">
        <f t="shared" si="45"/>
        <v>N/A</v>
      </c>
      <c r="BT610" t="s">
        <v>131</v>
      </c>
      <c r="BV610" t="str">
        <f>""</f>
        <v/>
      </c>
      <c r="BW610" t="s">
        <v>131</v>
      </c>
      <c r="BX610" t="str">
        <f>""</f>
        <v/>
      </c>
      <c r="BY610" t="str">
        <f>""</f>
        <v/>
      </c>
      <c r="BZ610" t="str">
        <f>""</f>
        <v/>
      </c>
      <c r="CA610" t="str">
        <f>""</f>
        <v/>
      </c>
      <c r="CB610" t="s">
        <v>131</v>
      </c>
      <c r="CF610" t="s">
        <v>131</v>
      </c>
      <c r="CH610" t="str">
        <f>""</f>
        <v/>
      </c>
      <c r="CI610" t="s">
        <v>131</v>
      </c>
      <c r="CK610" t="s">
        <v>131</v>
      </c>
      <c r="CL610" t="str">
        <f>""</f>
        <v/>
      </c>
      <c r="CM610" t="str">
        <f>""</f>
        <v/>
      </c>
      <c r="CN610" t="str">
        <f>""</f>
        <v/>
      </c>
      <c r="CO610" t="str">
        <f>""</f>
        <v/>
      </c>
      <c r="CP610" t="str">
        <f>"35-3031.00"</f>
        <v>35-3031.00</v>
      </c>
      <c r="CQ610" t="s">
        <v>1214</v>
      </c>
      <c r="CR610" t="s">
        <v>392</v>
      </c>
      <c r="CS610" t="s">
        <v>131</v>
      </c>
      <c r="CU610" t="s">
        <v>7524</v>
      </c>
      <c r="CW610" t="s">
        <v>4205</v>
      </c>
      <c r="CX610" t="s">
        <v>195</v>
      </c>
      <c r="CZ610" s="3" t="str">
        <f>"34990"</f>
        <v>34990</v>
      </c>
      <c r="DA610" t="s">
        <v>131</v>
      </c>
      <c r="DB610" t="str">
        <f>"35-3031"</f>
        <v>35-3031</v>
      </c>
      <c r="DC610" t="s">
        <v>1214</v>
      </c>
      <c r="DD610" t="s">
        <v>134</v>
      </c>
      <c r="DE610" t="s">
        <v>134</v>
      </c>
      <c r="DF610" t="str">
        <f>""</f>
        <v/>
      </c>
      <c r="DH610" s="6">
        <v>11.85</v>
      </c>
      <c r="DI610" t="s">
        <v>344</v>
      </c>
      <c r="DK610" t="s">
        <v>345</v>
      </c>
      <c r="DR610" t="s">
        <v>4740</v>
      </c>
      <c r="DS610" s="6">
        <v>11.85</v>
      </c>
      <c r="DT610" t="s">
        <v>424</v>
      </c>
      <c r="DU610" s="1">
        <v>44362</v>
      </c>
      <c r="DV610" s="1">
        <v>44451</v>
      </c>
    </row>
    <row r="611" spans="1:126" ht="15" customHeight="1" x14ac:dyDescent="0.35">
      <c r="A611" t="s">
        <v>6911</v>
      </c>
      <c r="B611" t="s">
        <v>318</v>
      </c>
      <c r="C611" s="1">
        <v>44335</v>
      </c>
      <c r="D611" s="1">
        <v>44362</v>
      </c>
      <c r="H611" t="s">
        <v>319</v>
      </c>
      <c r="I611" t="s">
        <v>6912</v>
      </c>
      <c r="J611" t="s">
        <v>3385</v>
      </c>
      <c r="L611" t="s">
        <v>583</v>
      </c>
      <c r="M611" t="s">
        <v>6913</v>
      </c>
      <c r="N611" t="s">
        <v>6914</v>
      </c>
      <c r="O611" t="s">
        <v>6915</v>
      </c>
      <c r="P611" t="s">
        <v>396</v>
      </c>
      <c r="Q611" s="3">
        <v>71657</v>
      </c>
      <c r="R611" t="s">
        <v>128</v>
      </c>
      <c r="T611" s="4">
        <v>18707237839</v>
      </c>
      <c r="V611" t="s">
        <v>6916</v>
      </c>
      <c r="W611" t="s">
        <v>6917</v>
      </c>
      <c r="Y611" t="s">
        <v>6913</v>
      </c>
      <c r="AA611" t="s">
        <v>6915</v>
      </c>
      <c r="AB611" t="s">
        <v>397</v>
      </c>
      <c r="AC611" s="3" t="str">
        <f>"71657"</f>
        <v>71657</v>
      </c>
      <c r="AD611" t="s">
        <v>128</v>
      </c>
      <c r="AF611" s="4">
        <v>18707237839</v>
      </c>
      <c r="AH611" t="str">
        <f>"56173"</f>
        <v>56173</v>
      </c>
      <c r="AI611" t="s">
        <v>287</v>
      </c>
      <c r="AJ611" t="s">
        <v>5932</v>
      </c>
      <c r="AK611" t="s">
        <v>1756</v>
      </c>
      <c r="AM611" t="s">
        <v>5933</v>
      </c>
      <c r="AO611" t="s">
        <v>5934</v>
      </c>
      <c r="AP611" t="s">
        <v>1243</v>
      </c>
      <c r="AQ611" s="5">
        <v>83815</v>
      </c>
      <c r="AR611" t="s">
        <v>128</v>
      </c>
      <c r="AT611" s="4">
        <v>12089303246</v>
      </c>
      <c r="AV611" t="s">
        <v>5935</v>
      </c>
      <c r="AW611" t="s">
        <v>5936</v>
      </c>
      <c r="AX611" t="s">
        <v>131</v>
      </c>
      <c r="AY611" t="s">
        <v>131</v>
      </c>
      <c r="AZ611" t="s">
        <v>131</v>
      </c>
      <c r="BA611" t="s">
        <v>131</v>
      </c>
      <c r="BB611" t="s">
        <v>131</v>
      </c>
      <c r="BC611" t="s">
        <v>131</v>
      </c>
      <c r="BD611" t="s">
        <v>131</v>
      </c>
      <c r="BE611" t="s">
        <v>132</v>
      </c>
      <c r="BH611" t="s">
        <v>6918</v>
      </c>
      <c r="BI611" t="s">
        <v>131</v>
      </c>
      <c r="BL611" t="s">
        <v>167</v>
      </c>
      <c r="BO611" t="s">
        <v>131</v>
      </c>
      <c r="BP611" t="s">
        <v>134</v>
      </c>
      <c r="BQ611" t="s">
        <v>131</v>
      </c>
      <c r="BS611" t="str">
        <f t="shared" si="45"/>
        <v>N/A</v>
      </c>
      <c r="BT611" t="s">
        <v>131</v>
      </c>
      <c r="BV611" t="str">
        <f>""</f>
        <v/>
      </c>
      <c r="BW611" t="s">
        <v>131</v>
      </c>
      <c r="BX611" t="str">
        <f>""</f>
        <v/>
      </c>
      <c r="BY611" t="str">
        <f>""</f>
        <v/>
      </c>
      <c r="BZ611" t="str">
        <f>""</f>
        <v/>
      </c>
      <c r="CA611" t="str">
        <f>""</f>
        <v/>
      </c>
      <c r="CB611" t="s">
        <v>131</v>
      </c>
      <c r="CF611" t="s">
        <v>131</v>
      </c>
      <c r="CH611" t="str">
        <f>""</f>
        <v/>
      </c>
      <c r="CI611" t="s">
        <v>131</v>
      </c>
      <c r="CK611" t="s">
        <v>131</v>
      </c>
      <c r="CL611" t="str">
        <f>""</f>
        <v/>
      </c>
      <c r="CM611" t="str">
        <f>""</f>
        <v/>
      </c>
      <c r="CN611" t="str">
        <f>""</f>
        <v/>
      </c>
      <c r="CO611" t="str">
        <f>""</f>
        <v/>
      </c>
      <c r="CP611" t="str">
        <f>"37-3011.00"</f>
        <v>37-3011.00</v>
      </c>
      <c r="CQ611" t="s">
        <v>920</v>
      </c>
      <c r="CR611" t="s">
        <v>5068</v>
      </c>
      <c r="CS611" t="s">
        <v>135</v>
      </c>
      <c r="CT611" t="s">
        <v>6919</v>
      </c>
      <c r="CU611" t="s">
        <v>6920</v>
      </c>
      <c r="CW611" t="s">
        <v>6915</v>
      </c>
      <c r="CX611" t="s">
        <v>397</v>
      </c>
      <c r="CZ611" s="3" t="str">
        <f>"71655"</f>
        <v>71655</v>
      </c>
      <c r="DA611" t="s">
        <v>135</v>
      </c>
      <c r="DB611" t="str">
        <f>"37-3011"</f>
        <v>37-3011</v>
      </c>
      <c r="DC611" t="s">
        <v>920</v>
      </c>
      <c r="DD611" t="s">
        <v>134</v>
      </c>
      <c r="DE611" t="s">
        <v>134</v>
      </c>
      <c r="DF611" t="str">
        <f>""</f>
        <v/>
      </c>
      <c r="DH611" s="6">
        <v>11.08</v>
      </c>
      <c r="DI611" t="s">
        <v>344</v>
      </c>
      <c r="DK611" t="s">
        <v>345</v>
      </c>
      <c r="DS611" s="6">
        <v>15.51</v>
      </c>
      <c r="DT611" s="2" t="s">
        <v>2219</v>
      </c>
      <c r="DU611" s="1">
        <v>44362</v>
      </c>
      <c r="DV611" s="1">
        <v>44451</v>
      </c>
    </row>
    <row r="612" spans="1:126" ht="15" customHeight="1" x14ac:dyDescent="0.35">
      <c r="A612" t="s">
        <v>14939</v>
      </c>
      <c r="B612" t="s">
        <v>318</v>
      </c>
      <c r="C612" s="1">
        <v>44335</v>
      </c>
      <c r="D612" s="1">
        <v>44362</v>
      </c>
      <c r="H612" t="s">
        <v>319</v>
      </c>
      <c r="I612" t="s">
        <v>7523</v>
      </c>
      <c r="J612" t="s">
        <v>3388</v>
      </c>
      <c r="L612" t="s">
        <v>569</v>
      </c>
      <c r="M612" t="s">
        <v>7524</v>
      </c>
      <c r="O612" t="s">
        <v>4205</v>
      </c>
      <c r="P612" t="s">
        <v>194</v>
      </c>
      <c r="Q612" s="3">
        <v>34990</v>
      </c>
      <c r="R612" t="s">
        <v>128</v>
      </c>
      <c r="T612" s="4">
        <v>17722837000</v>
      </c>
      <c r="V612" t="s">
        <v>1021</v>
      </c>
      <c r="W612" t="s">
        <v>7525</v>
      </c>
      <c r="X612" t="s">
        <v>7526</v>
      </c>
      <c r="Y612" t="s">
        <v>7524</v>
      </c>
      <c r="AA612" t="s">
        <v>4205</v>
      </c>
      <c r="AB612" t="s">
        <v>195</v>
      </c>
      <c r="AC612" s="3" t="str">
        <f>"34990"</f>
        <v>34990</v>
      </c>
      <c r="AD612" t="s">
        <v>128</v>
      </c>
      <c r="AF612" s="4">
        <v>17722837000</v>
      </c>
      <c r="AH612" t="str">
        <f>"713910"</f>
        <v>713910</v>
      </c>
      <c r="AI612" t="s">
        <v>287</v>
      </c>
      <c r="AJ612" t="s">
        <v>1024</v>
      </c>
      <c r="AK612" t="s">
        <v>1025</v>
      </c>
      <c r="AM612" t="s">
        <v>1026</v>
      </c>
      <c r="AO612" t="s">
        <v>1027</v>
      </c>
      <c r="AP612" t="s">
        <v>129</v>
      </c>
      <c r="AQ612" s="5">
        <v>11590</v>
      </c>
      <c r="AR612" t="s">
        <v>128</v>
      </c>
      <c r="AT612" s="4">
        <v>15163307168</v>
      </c>
      <c r="AV612" t="s">
        <v>1021</v>
      </c>
      <c r="AW612" t="s">
        <v>1028</v>
      </c>
      <c r="AX612" t="s">
        <v>131</v>
      </c>
      <c r="AY612" t="s">
        <v>131</v>
      </c>
      <c r="AZ612" t="s">
        <v>131</v>
      </c>
      <c r="BA612" t="s">
        <v>131</v>
      </c>
      <c r="BB612" t="s">
        <v>131</v>
      </c>
      <c r="BC612" t="s">
        <v>131</v>
      </c>
      <c r="BD612" t="s">
        <v>131</v>
      </c>
      <c r="BE612" t="s">
        <v>132</v>
      </c>
      <c r="BH612" t="s">
        <v>11988</v>
      </c>
      <c r="BI612" t="s">
        <v>131</v>
      </c>
      <c r="BL612" t="s">
        <v>167</v>
      </c>
      <c r="BO612" t="s">
        <v>131</v>
      </c>
      <c r="BP612" t="s">
        <v>134</v>
      </c>
      <c r="BQ612" t="s">
        <v>131</v>
      </c>
      <c r="BS612" t="str">
        <f t="shared" si="45"/>
        <v>N/A</v>
      </c>
      <c r="BT612" t="s">
        <v>131</v>
      </c>
      <c r="BV612" t="str">
        <f>""</f>
        <v/>
      </c>
      <c r="BW612" t="s">
        <v>131</v>
      </c>
      <c r="BX612" t="str">
        <f>""</f>
        <v/>
      </c>
      <c r="BY612" t="str">
        <f>""</f>
        <v/>
      </c>
      <c r="BZ612" t="str">
        <f>""</f>
        <v/>
      </c>
      <c r="CA612" t="str">
        <f>""</f>
        <v/>
      </c>
      <c r="CB612" t="s">
        <v>131</v>
      </c>
      <c r="CF612" t="s">
        <v>131</v>
      </c>
      <c r="CH612" t="str">
        <f>""</f>
        <v/>
      </c>
      <c r="CI612" t="s">
        <v>131</v>
      </c>
      <c r="CK612" t="s">
        <v>131</v>
      </c>
      <c r="CL612" t="str">
        <f>""</f>
        <v/>
      </c>
      <c r="CM612" t="str">
        <f>""</f>
        <v/>
      </c>
      <c r="CN612" t="str">
        <f>""</f>
        <v/>
      </c>
      <c r="CO612" t="str">
        <f>""</f>
        <v/>
      </c>
      <c r="CP612" t="str">
        <f>"35-9011.00"</f>
        <v>35-9011.00</v>
      </c>
      <c r="CQ612" t="s">
        <v>1016</v>
      </c>
      <c r="CR612" t="s">
        <v>392</v>
      </c>
      <c r="CS612" t="s">
        <v>131</v>
      </c>
      <c r="CU612" t="s">
        <v>14940</v>
      </c>
      <c r="CW612" t="s">
        <v>14941</v>
      </c>
      <c r="CX612" t="s">
        <v>195</v>
      </c>
      <c r="CZ612" s="3" t="str">
        <f>"34990"</f>
        <v>34990</v>
      </c>
      <c r="DA612" t="s">
        <v>131</v>
      </c>
      <c r="DB612" t="str">
        <f>"35-9011"</f>
        <v>35-9011</v>
      </c>
      <c r="DC612" t="s">
        <v>1016</v>
      </c>
      <c r="DD612" t="s">
        <v>134</v>
      </c>
      <c r="DE612" t="s">
        <v>134</v>
      </c>
      <c r="DF612" t="str">
        <f>""</f>
        <v/>
      </c>
      <c r="DH612" s="6">
        <v>9.85</v>
      </c>
      <c r="DI612" t="s">
        <v>344</v>
      </c>
      <c r="DK612" t="s">
        <v>345</v>
      </c>
      <c r="DR612" t="s">
        <v>4740</v>
      </c>
      <c r="DS612" s="6">
        <v>9.85</v>
      </c>
      <c r="DT612" t="s">
        <v>424</v>
      </c>
      <c r="DU612" s="1">
        <v>44362</v>
      </c>
      <c r="DV612" s="1">
        <v>44451</v>
      </c>
    </row>
    <row r="613" spans="1:126" ht="15" customHeight="1" x14ac:dyDescent="0.35">
      <c r="A613" t="s">
        <v>13921</v>
      </c>
      <c r="B613" t="s">
        <v>318</v>
      </c>
      <c r="C613" s="1">
        <v>44335</v>
      </c>
      <c r="D613" s="1">
        <v>44363</v>
      </c>
      <c r="H613" t="s">
        <v>319</v>
      </c>
      <c r="I613" t="s">
        <v>13922</v>
      </c>
      <c r="J613" t="s">
        <v>2753</v>
      </c>
      <c r="L613" t="s">
        <v>303</v>
      </c>
      <c r="M613" t="s">
        <v>13923</v>
      </c>
      <c r="O613" t="s">
        <v>2698</v>
      </c>
      <c r="P613" t="s">
        <v>1004</v>
      </c>
      <c r="Q613" s="3">
        <v>84737</v>
      </c>
      <c r="R613" t="s">
        <v>128</v>
      </c>
      <c r="T613" s="4">
        <v>14356354068</v>
      </c>
      <c r="V613" t="s">
        <v>13924</v>
      </c>
      <c r="W613" t="s">
        <v>13925</v>
      </c>
      <c r="Y613" t="s">
        <v>13923</v>
      </c>
      <c r="AA613" t="s">
        <v>2698</v>
      </c>
      <c r="AB613" t="s">
        <v>1008</v>
      </c>
      <c r="AC613" s="3" t="str">
        <f>"84737"</f>
        <v>84737</v>
      </c>
      <c r="AD613" t="s">
        <v>128</v>
      </c>
      <c r="AF613" s="4">
        <v>14356354068</v>
      </c>
      <c r="AH613" t="str">
        <f>"2381"</f>
        <v>2381</v>
      </c>
      <c r="AI613" t="s">
        <v>130</v>
      </c>
      <c r="AJ613" t="s">
        <v>736</v>
      </c>
      <c r="AK613" t="s">
        <v>1623</v>
      </c>
      <c r="AL613" t="s">
        <v>618</v>
      </c>
      <c r="AM613" t="s">
        <v>13926</v>
      </c>
      <c r="AO613" t="s">
        <v>4722</v>
      </c>
      <c r="AP613" t="s">
        <v>172</v>
      </c>
      <c r="AQ613" s="5">
        <v>90803</v>
      </c>
      <c r="AR613" t="s">
        <v>128</v>
      </c>
      <c r="AT613" s="4">
        <v>15624950554</v>
      </c>
      <c r="AV613" t="s">
        <v>13927</v>
      </c>
      <c r="AW613" t="s">
        <v>13928</v>
      </c>
      <c r="AX613" t="s">
        <v>131</v>
      </c>
      <c r="AY613" t="s">
        <v>131</v>
      </c>
      <c r="AZ613" t="s">
        <v>131</v>
      </c>
      <c r="BA613" t="s">
        <v>131</v>
      </c>
      <c r="BB613" t="s">
        <v>131</v>
      </c>
      <c r="BC613" t="s">
        <v>131</v>
      </c>
      <c r="BD613" t="s">
        <v>131</v>
      </c>
      <c r="BE613" t="s">
        <v>132</v>
      </c>
      <c r="BH613" t="s">
        <v>3994</v>
      </c>
      <c r="BI613" t="s">
        <v>131</v>
      </c>
      <c r="BL613" t="s">
        <v>167</v>
      </c>
      <c r="BO613" t="s">
        <v>131</v>
      </c>
      <c r="BP613" t="s">
        <v>134</v>
      </c>
      <c r="BQ613" t="s">
        <v>131</v>
      </c>
      <c r="BS613" t="str">
        <f t="shared" si="45"/>
        <v>N/A</v>
      </c>
      <c r="BT613" t="s">
        <v>131</v>
      </c>
      <c r="BV613" t="str">
        <f>""</f>
        <v/>
      </c>
      <c r="BW613" t="s">
        <v>131</v>
      </c>
      <c r="BX613" t="str">
        <f>""</f>
        <v/>
      </c>
      <c r="BY613" t="str">
        <f>""</f>
        <v/>
      </c>
      <c r="BZ613" t="str">
        <f>""</f>
        <v/>
      </c>
      <c r="CA613" t="str">
        <f>""</f>
        <v/>
      </c>
      <c r="CB613" t="s">
        <v>131</v>
      </c>
      <c r="CF613" t="s">
        <v>131</v>
      </c>
      <c r="CH613" t="str">
        <f>""</f>
        <v/>
      </c>
      <c r="CI613" t="s">
        <v>131</v>
      </c>
      <c r="CK613" t="s">
        <v>131</v>
      </c>
      <c r="CL613" t="str">
        <f>""</f>
        <v/>
      </c>
      <c r="CM613" t="str">
        <f>""</f>
        <v/>
      </c>
      <c r="CN613" t="str">
        <f>""</f>
        <v/>
      </c>
      <c r="CO613" t="str">
        <f>""</f>
        <v/>
      </c>
      <c r="CP613" t="str">
        <f>"47-2061.00"</f>
        <v>47-2061.00</v>
      </c>
      <c r="CQ613" t="s">
        <v>393</v>
      </c>
      <c r="CR613" t="s">
        <v>3086</v>
      </c>
      <c r="CS613" t="s">
        <v>135</v>
      </c>
      <c r="CT613" t="s">
        <v>13929</v>
      </c>
      <c r="CU613" t="s">
        <v>13923</v>
      </c>
      <c r="CW613" t="s">
        <v>2698</v>
      </c>
      <c r="CX613" t="s">
        <v>1008</v>
      </c>
      <c r="CZ613" s="3" t="str">
        <f>"84737"</f>
        <v>84737</v>
      </c>
      <c r="DA613" t="s">
        <v>131</v>
      </c>
      <c r="DB613" t="str">
        <f>"47-3012"</f>
        <v>47-3012</v>
      </c>
      <c r="DC613" t="s">
        <v>3194</v>
      </c>
      <c r="DD613" t="s">
        <v>134</v>
      </c>
      <c r="DE613" t="s">
        <v>134</v>
      </c>
      <c r="DF613" t="str">
        <f>""</f>
        <v/>
      </c>
      <c r="DH613" s="6">
        <v>16.87</v>
      </c>
      <c r="DI613" t="s">
        <v>344</v>
      </c>
      <c r="DK613" t="s">
        <v>345</v>
      </c>
      <c r="DS613" s="6">
        <v>16.87</v>
      </c>
      <c r="DT613" t="s">
        <v>424</v>
      </c>
      <c r="DU613" s="1">
        <v>44363</v>
      </c>
      <c r="DV613" s="1">
        <v>44452</v>
      </c>
    </row>
    <row r="614" spans="1:126" ht="15" customHeight="1" x14ac:dyDescent="0.35">
      <c r="A614" t="s">
        <v>15180</v>
      </c>
      <c r="B614" t="s">
        <v>318</v>
      </c>
      <c r="C614" s="1">
        <v>44335</v>
      </c>
      <c r="D614" s="1">
        <v>44364</v>
      </c>
      <c r="H614" t="s">
        <v>319</v>
      </c>
      <c r="I614" t="s">
        <v>15181</v>
      </c>
      <c r="J614" t="s">
        <v>5416</v>
      </c>
      <c r="L614" t="s">
        <v>1031</v>
      </c>
      <c r="M614" t="s">
        <v>15182</v>
      </c>
      <c r="O614" t="s">
        <v>15183</v>
      </c>
      <c r="P614" t="s">
        <v>811</v>
      </c>
      <c r="Q614" s="3">
        <v>29536</v>
      </c>
      <c r="R614" t="s">
        <v>128</v>
      </c>
      <c r="T614" s="4">
        <v>19106850024</v>
      </c>
      <c r="V614" t="s">
        <v>15184</v>
      </c>
      <c r="W614" t="s">
        <v>15185</v>
      </c>
      <c r="X614" t="s">
        <v>15186</v>
      </c>
      <c r="Y614" t="s">
        <v>15182</v>
      </c>
      <c r="AA614" t="s">
        <v>15183</v>
      </c>
      <c r="AB614" t="s">
        <v>812</v>
      </c>
      <c r="AC614" s="3" t="str">
        <f>"29536"</f>
        <v>29536</v>
      </c>
      <c r="AD614" t="s">
        <v>128</v>
      </c>
      <c r="AF614" s="4">
        <v>19106850024</v>
      </c>
      <c r="AH614" t="str">
        <f>"811310"</f>
        <v>811310</v>
      </c>
      <c r="AI614" t="s">
        <v>167</v>
      </c>
      <c r="AX614" t="s">
        <v>131</v>
      </c>
      <c r="AY614" t="s">
        <v>131</v>
      </c>
      <c r="AZ614" t="s">
        <v>131</v>
      </c>
      <c r="BA614" t="s">
        <v>131</v>
      </c>
      <c r="BB614" t="s">
        <v>131</v>
      </c>
      <c r="BC614" t="s">
        <v>131</v>
      </c>
      <c r="BD614" t="s">
        <v>131</v>
      </c>
      <c r="BE614" t="s">
        <v>132</v>
      </c>
      <c r="BH614" t="s">
        <v>15187</v>
      </c>
      <c r="BI614" t="s">
        <v>135</v>
      </c>
      <c r="BJ614" t="s">
        <v>15188</v>
      </c>
      <c r="BK614" t="s">
        <v>15189</v>
      </c>
      <c r="BL614" t="s">
        <v>167</v>
      </c>
      <c r="BO614" t="s">
        <v>131</v>
      </c>
      <c r="BP614" t="s">
        <v>134</v>
      </c>
      <c r="BQ614" t="s">
        <v>131</v>
      </c>
      <c r="BS614" t="str">
        <f t="shared" si="45"/>
        <v>N/A</v>
      </c>
      <c r="BT614" t="s">
        <v>135</v>
      </c>
      <c r="BU614">
        <v>10</v>
      </c>
      <c r="BV614" t="str">
        <f>"TECHNICIAN"</f>
        <v>TECHNICIAN</v>
      </c>
      <c r="BW614" t="s">
        <v>135</v>
      </c>
      <c r="BX614" t="str">
        <f>""</f>
        <v/>
      </c>
      <c r="BY614" t="str">
        <f>""</f>
        <v/>
      </c>
      <c r="BZ614" t="str">
        <f>""</f>
        <v/>
      </c>
      <c r="CA614" t="s">
        <v>15190</v>
      </c>
      <c r="CB614" t="s">
        <v>131</v>
      </c>
      <c r="CF614" t="s">
        <v>131</v>
      </c>
      <c r="CH614" t="str">
        <f>""</f>
        <v/>
      </c>
      <c r="CI614" t="s">
        <v>131</v>
      </c>
      <c r="CK614" t="s">
        <v>131</v>
      </c>
      <c r="CL614" t="str">
        <f>""</f>
        <v/>
      </c>
      <c r="CM614" t="str">
        <f>""</f>
        <v/>
      </c>
      <c r="CN614" t="str">
        <f>""</f>
        <v/>
      </c>
      <c r="CO614" t="str">
        <f>""</f>
        <v/>
      </c>
      <c r="CP614" t="str">
        <f>"51-3093.00"</f>
        <v>51-3093.00</v>
      </c>
      <c r="CQ614" t="s">
        <v>15189</v>
      </c>
      <c r="CR614" t="s">
        <v>1031</v>
      </c>
      <c r="CS614" t="s">
        <v>131</v>
      </c>
      <c r="CU614" t="s">
        <v>15182</v>
      </c>
      <c r="CW614" t="s">
        <v>15183</v>
      </c>
      <c r="CX614" t="s">
        <v>812</v>
      </c>
      <c r="CZ614" s="3" t="str">
        <f>"29536"</f>
        <v>29536</v>
      </c>
      <c r="DA614" t="s">
        <v>131</v>
      </c>
      <c r="DB614" t="str">
        <f>"51-3093"</f>
        <v>51-3093</v>
      </c>
      <c r="DC614" t="s">
        <v>15189</v>
      </c>
      <c r="DD614" t="s">
        <v>134</v>
      </c>
      <c r="DE614" t="s">
        <v>134</v>
      </c>
      <c r="DF614" t="str">
        <f>""</f>
        <v/>
      </c>
      <c r="DH614" s="6">
        <v>15.54</v>
      </c>
      <c r="DI614" t="s">
        <v>344</v>
      </c>
      <c r="DK614" t="s">
        <v>345</v>
      </c>
      <c r="DS614" s="6">
        <v>15.54</v>
      </c>
      <c r="DT614" t="s">
        <v>424</v>
      </c>
      <c r="DU614" s="1">
        <v>44364</v>
      </c>
      <c r="DV614" s="1">
        <v>44453</v>
      </c>
    </row>
    <row r="615" spans="1:126" ht="15" customHeight="1" x14ac:dyDescent="0.35">
      <c r="A615" t="s">
        <v>17726</v>
      </c>
      <c r="B615" t="s">
        <v>318</v>
      </c>
      <c r="C615" s="1">
        <v>44336</v>
      </c>
      <c r="D615" s="1">
        <v>44363</v>
      </c>
      <c r="H615" t="s">
        <v>319</v>
      </c>
      <c r="I615" t="s">
        <v>17727</v>
      </c>
      <c r="J615" t="s">
        <v>2472</v>
      </c>
      <c r="L615" t="s">
        <v>460</v>
      </c>
      <c r="M615" t="s">
        <v>17728</v>
      </c>
      <c r="O615" t="s">
        <v>521</v>
      </c>
      <c r="P615" t="s">
        <v>178</v>
      </c>
      <c r="Q615" s="3">
        <v>94301</v>
      </c>
      <c r="R615" t="s">
        <v>128</v>
      </c>
      <c r="T615" s="4">
        <v>16508047100</v>
      </c>
      <c r="V615" t="s">
        <v>17729</v>
      </c>
      <c r="W615" t="s">
        <v>17730</v>
      </c>
      <c r="Y615" t="s">
        <v>17728</v>
      </c>
      <c r="AA615" t="s">
        <v>521</v>
      </c>
      <c r="AB615" t="s">
        <v>172</v>
      </c>
      <c r="AC615" s="3" t="str">
        <f>"94301"</f>
        <v>94301</v>
      </c>
      <c r="AD615" t="s">
        <v>128</v>
      </c>
      <c r="AF615" s="4">
        <v>16508047100</v>
      </c>
      <c r="AH615" t="str">
        <f>"541214"</f>
        <v>541214</v>
      </c>
      <c r="AI615" t="s">
        <v>130</v>
      </c>
      <c r="AJ615" t="s">
        <v>17731</v>
      </c>
      <c r="AK615" t="s">
        <v>17732</v>
      </c>
      <c r="AL615" t="s">
        <v>17733</v>
      </c>
      <c r="AM615" t="s">
        <v>17734</v>
      </c>
      <c r="AN615" t="s">
        <v>554</v>
      </c>
      <c r="AO615" t="s">
        <v>1729</v>
      </c>
      <c r="AP615" t="s">
        <v>172</v>
      </c>
      <c r="AQ615" s="5">
        <v>94010</v>
      </c>
      <c r="AR615" t="s">
        <v>128</v>
      </c>
      <c r="AT615" s="4">
        <v>16507777645</v>
      </c>
      <c r="AU615">
        <v>2</v>
      </c>
      <c r="AV615" t="s">
        <v>17735</v>
      </c>
      <c r="AW615" t="s">
        <v>17736</v>
      </c>
      <c r="AX615" t="s">
        <v>131</v>
      </c>
      <c r="AY615" t="s">
        <v>131</v>
      </c>
      <c r="AZ615" t="s">
        <v>131</v>
      </c>
      <c r="BA615" t="s">
        <v>131</v>
      </c>
      <c r="BB615" t="s">
        <v>131</v>
      </c>
      <c r="BC615" t="s">
        <v>131</v>
      </c>
      <c r="BD615" t="s">
        <v>131</v>
      </c>
      <c r="BE615" t="s">
        <v>132</v>
      </c>
      <c r="BH615" t="s">
        <v>2109</v>
      </c>
      <c r="BI615" t="s">
        <v>131</v>
      </c>
      <c r="BL615" t="s">
        <v>401</v>
      </c>
      <c r="BO615" t="s">
        <v>131</v>
      </c>
      <c r="BP615" t="s">
        <v>134</v>
      </c>
      <c r="BQ615" t="s">
        <v>131</v>
      </c>
      <c r="BS615" t="str">
        <f t="shared" si="45"/>
        <v>N/A</v>
      </c>
      <c r="BT615" t="s">
        <v>135</v>
      </c>
      <c r="BU615">
        <v>24</v>
      </c>
      <c r="BV615" t="str">
        <f>"Nanny, Childcare Worker or Related"</f>
        <v>Nanny, Childcare Worker or Related</v>
      </c>
      <c r="BW615" t="s">
        <v>135</v>
      </c>
      <c r="BX615" t="str">
        <f>""</f>
        <v/>
      </c>
      <c r="BY615" t="str">
        <f>" Knowledge of Portuguese preferred BUT NOT REQUIRED."</f>
        <v xml:space="preserve"> Knowledge of Portuguese preferred BUT NOT REQUIRED.</v>
      </c>
      <c r="BZ615" t="str">
        <f>""</f>
        <v/>
      </c>
      <c r="CA615" t="s">
        <v>17737</v>
      </c>
      <c r="CB615" t="s">
        <v>131</v>
      </c>
      <c r="CF615" t="s">
        <v>131</v>
      </c>
      <c r="CH615" t="str">
        <f>""</f>
        <v/>
      </c>
      <c r="CI615" t="s">
        <v>131</v>
      </c>
      <c r="CK615" t="s">
        <v>131</v>
      </c>
      <c r="CL615" t="str">
        <f>""</f>
        <v/>
      </c>
      <c r="CM615" t="str">
        <f>""</f>
        <v/>
      </c>
      <c r="CN615" t="str">
        <f>""</f>
        <v/>
      </c>
      <c r="CO615" t="str">
        <f>""</f>
        <v/>
      </c>
      <c r="CP615" t="str">
        <f>"39-9011.01"</f>
        <v>39-9011.01</v>
      </c>
      <c r="CQ615" t="s">
        <v>339</v>
      </c>
      <c r="CS615" t="s">
        <v>135</v>
      </c>
      <c r="CT615" t="s">
        <v>17738</v>
      </c>
      <c r="CU615" t="s">
        <v>17739</v>
      </c>
      <c r="CW615" t="s">
        <v>220</v>
      </c>
      <c r="CX615" t="s">
        <v>172</v>
      </c>
      <c r="CZ615" s="3" t="str">
        <f>"94115"</f>
        <v>94115</v>
      </c>
      <c r="DA615" t="s">
        <v>131</v>
      </c>
      <c r="DB615" t="str">
        <f>"39-9011"</f>
        <v>39-9011</v>
      </c>
      <c r="DC615" t="s">
        <v>342</v>
      </c>
      <c r="DD615" t="s">
        <v>343</v>
      </c>
      <c r="DE615" t="s">
        <v>339</v>
      </c>
      <c r="DF615" t="str">
        <f>""</f>
        <v/>
      </c>
      <c r="DH615" s="6">
        <v>17.11</v>
      </c>
      <c r="DI615" t="s">
        <v>344</v>
      </c>
      <c r="DK615" t="s">
        <v>345</v>
      </c>
      <c r="DS615" s="6">
        <v>17.11</v>
      </c>
      <c r="DT615" t="s">
        <v>424</v>
      </c>
      <c r="DU615" s="1">
        <v>44363</v>
      </c>
      <c r="DV615" s="1">
        <v>44452</v>
      </c>
    </row>
    <row r="616" spans="1:126" ht="15" customHeight="1" x14ac:dyDescent="0.35">
      <c r="A616" t="s">
        <v>8784</v>
      </c>
      <c r="B616" t="s">
        <v>318</v>
      </c>
      <c r="C616" s="1">
        <v>44336</v>
      </c>
      <c r="D616" s="1">
        <v>44363</v>
      </c>
      <c r="H616" t="s">
        <v>319</v>
      </c>
      <c r="I616" t="s">
        <v>8785</v>
      </c>
      <c r="J616" t="s">
        <v>5594</v>
      </c>
      <c r="K616" t="s">
        <v>7178</v>
      </c>
      <c r="L616" t="s">
        <v>1031</v>
      </c>
      <c r="M616" t="s">
        <v>8786</v>
      </c>
      <c r="O616" t="s">
        <v>8787</v>
      </c>
      <c r="P616" t="s">
        <v>256</v>
      </c>
      <c r="Q616" s="3">
        <v>63005</v>
      </c>
      <c r="R616" t="s">
        <v>128</v>
      </c>
      <c r="T616" s="4">
        <v>16362209991</v>
      </c>
      <c r="V616" t="s">
        <v>8788</v>
      </c>
      <c r="W616" t="s">
        <v>8789</v>
      </c>
      <c r="Y616" t="s">
        <v>8786</v>
      </c>
      <c r="AA616" t="s">
        <v>8787</v>
      </c>
      <c r="AB616" t="s">
        <v>258</v>
      </c>
      <c r="AC616" s="3" t="str">
        <f>"63005"</f>
        <v>63005</v>
      </c>
      <c r="AD616" t="s">
        <v>128</v>
      </c>
      <c r="AF616" s="4">
        <v>16368517070</v>
      </c>
      <c r="AH616" t="str">
        <f>"56173"</f>
        <v>56173</v>
      </c>
      <c r="AI616" t="s">
        <v>130</v>
      </c>
      <c r="AJ616" t="s">
        <v>7264</v>
      </c>
      <c r="AK616" t="s">
        <v>1571</v>
      </c>
      <c r="AL616" t="s">
        <v>1225</v>
      </c>
      <c r="AM616" t="s">
        <v>7265</v>
      </c>
      <c r="AN616" t="s">
        <v>7266</v>
      </c>
      <c r="AO616" t="s">
        <v>608</v>
      </c>
      <c r="AP616" t="s">
        <v>400</v>
      </c>
      <c r="AQ616" s="5">
        <v>78746</v>
      </c>
      <c r="AR616" t="s">
        <v>128</v>
      </c>
      <c r="AT616" s="4">
        <v>15123470007</v>
      </c>
      <c r="AV616" t="s">
        <v>7267</v>
      </c>
      <c r="AW616" t="s">
        <v>7268</v>
      </c>
      <c r="AX616" t="s">
        <v>131</v>
      </c>
      <c r="AY616" t="s">
        <v>131</v>
      </c>
      <c r="AZ616" t="s">
        <v>131</v>
      </c>
      <c r="BA616" t="s">
        <v>131</v>
      </c>
      <c r="BB616" t="s">
        <v>131</v>
      </c>
      <c r="BC616" t="s">
        <v>131</v>
      </c>
      <c r="BD616" t="s">
        <v>131</v>
      </c>
      <c r="BE616" t="s">
        <v>132</v>
      </c>
      <c r="BH616" t="s">
        <v>5067</v>
      </c>
      <c r="BI616" t="s">
        <v>131</v>
      </c>
      <c r="BL616" t="s">
        <v>167</v>
      </c>
      <c r="BO616" t="s">
        <v>131</v>
      </c>
      <c r="BP616" t="s">
        <v>134</v>
      </c>
      <c r="BQ616" t="s">
        <v>131</v>
      </c>
      <c r="BS616" t="str">
        <f t="shared" si="45"/>
        <v>N/A</v>
      </c>
      <c r="BT616" t="s">
        <v>131</v>
      </c>
      <c r="BV616" t="str">
        <f>""</f>
        <v/>
      </c>
      <c r="BW616" t="s">
        <v>131</v>
      </c>
      <c r="BX616" t="str">
        <f>""</f>
        <v/>
      </c>
      <c r="BY616" t="str">
        <f>""</f>
        <v/>
      </c>
      <c r="BZ616" t="str">
        <f>""</f>
        <v/>
      </c>
      <c r="CA616" t="str">
        <f>""</f>
        <v/>
      </c>
      <c r="CB616" t="s">
        <v>131</v>
      </c>
      <c r="CF616" t="s">
        <v>131</v>
      </c>
      <c r="CH616" t="str">
        <f>""</f>
        <v/>
      </c>
      <c r="CI616" t="s">
        <v>131</v>
      </c>
      <c r="CK616" t="s">
        <v>131</v>
      </c>
      <c r="CL616" t="str">
        <f>""</f>
        <v/>
      </c>
      <c r="CM616" t="str">
        <f>""</f>
        <v/>
      </c>
      <c r="CN616" t="str">
        <f>""</f>
        <v/>
      </c>
      <c r="CO616" t="str">
        <f>""</f>
        <v/>
      </c>
      <c r="CP616" t="str">
        <f>"37-3011.00"</f>
        <v>37-3011.00</v>
      </c>
      <c r="CQ616" t="s">
        <v>920</v>
      </c>
      <c r="CS616" t="s">
        <v>135</v>
      </c>
      <c r="CT616" t="s">
        <v>8790</v>
      </c>
      <c r="CU616" t="s">
        <v>8786</v>
      </c>
      <c r="CW616" t="s">
        <v>8787</v>
      </c>
      <c r="CX616" t="s">
        <v>258</v>
      </c>
      <c r="CZ616" s="3" t="str">
        <f>"63005"</f>
        <v>63005</v>
      </c>
      <c r="DA616" t="s">
        <v>131</v>
      </c>
      <c r="DB616" t="str">
        <f>"37-3011"</f>
        <v>37-3011</v>
      </c>
      <c r="DC616" t="s">
        <v>920</v>
      </c>
      <c r="DD616" t="s">
        <v>134</v>
      </c>
      <c r="DE616" t="s">
        <v>134</v>
      </c>
      <c r="DF616" t="str">
        <f>""</f>
        <v/>
      </c>
      <c r="DH616" s="6">
        <v>15.37</v>
      </c>
      <c r="DI616" t="s">
        <v>344</v>
      </c>
      <c r="DK616" t="s">
        <v>345</v>
      </c>
      <c r="DS616" s="6">
        <v>15.37</v>
      </c>
      <c r="DT616" s="2" t="s">
        <v>2219</v>
      </c>
      <c r="DU616" s="1">
        <v>44363</v>
      </c>
      <c r="DV616" s="1">
        <v>44452</v>
      </c>
    </row>
    <row r="617" spans="1:126" ht="15" customHeight="1" x14ac:dyDescent="0.35">
      <c r="A617" t="s">
        <v>13245</v>
      </c>
      <c r="B617" t="s">
        <v>318</v>
      </c>
      <c r="C617" s="1">
        <v>44336</v>
      </c>
      <c r="D617" s="1">
        <v>44363</v>
      </c>
      <c r="H617" t="s">
        <v>319</v>
      </c>
      <c r="I617" t="s">
        <v>13246</v>
      </c>
      <c r="J617" t="s">
        <v>1571</v>
      </c>
      <c r="L617" t="s">
        <v>223</v>
      </c>
      <c r="M617" t="s">
        <v>13247</v>
      </c>
      <c r="N617" t="s">
        <v>7266</v>
      </c>
      <c r="O617" t="s">
        <v>1513</v>
      </c>
      <c r="P617" t="s">
        <v>412</v>
      </c>
      <c r="Q617" s="3">
        <v>75240</v>
      </c>
      <c r="R617" t="s">
        <v>128</v>
      </c>
      <c r="T617" s="4">
        <v>19726808098</v>
      </c>
      <c r="V617" t="s">
        <v>13248</v>
      </c>
      <c r="W617" t="s">
        <v>13249</v>
      </c>
      <c r="Y617" t="s">
        <v>13247</v>
      </c>
      <c r="AA617" t="s">
        <v>1513</v>
      </c>
      <c r="AB617" t="s">
        <v>400</v>
      </c>
      <c r="AC617" s="3" t="str">
        <f>"75240"</f>
        <v>75240</v>
      </c>
      <c r="AD617" t="s">
        <v>128</v>
      </c>
      <c r="AF617" s="4">
        <v>19726808098</v>
      </c>
      <c r="AH617" t="str">
        <f>"81141"</f>
        <v>81141</v>
      </c>
      <c r="AI617" t="s">
        <v>130</v>
      </c>
      <c r="AJ617" t="s">
        <v>7264</v>
      </c>
      <c r="AK617" t="s">
        <v>1571</v>
      </c>
      <c r="AL617" t="s">
        <v>1225</v>
      </c>
      <c r="AM617" t="s">
        <v>7265</v>
      </c>
      <c r="AN617" t="s">
        <v>7266</v>
      </c>
      <c r="AO617" t="s">
        <v>608</v>
      </c>
      <c r="AP617" t="s">
        <v>400</v>
      </c>
      <c r="AQ617" s="5">
        <v>78746</v>
      </c>
      <c r="AR617" t="s">
        <v>128</v>
      </c>
      <c r="AT617" s="4">
        <v>15123470007</v>
      </c>
      <c r="AV617" t="s">
        <v>7267</v>
      </c>
      <c r="AW617" t="s">
        <v>7268</v>
      </c>
      <c r="AX617" t="s">
        <v>131</v>
      </c>
      <c r="AY617" t="s">
        <v>131</v>
      </c>
      <c r="AZ617" t="s">
        <v>131</v>
      </c>
      <c r="BA617" t="s">
        <v>131</v>
      </c>
      <c r="BB617" t="s">
        <v>131</v>
      </c>
      <c r="BC617" t="s">
        <v>131</v>
      </c>
      <c r="BD617" t="s">
        <v>131</v>
      </c>
      <c r="BE617" t="s">
        <v>132</v>
      </c>
      <c r="BH617" t="s">
        <v>7269</v>
      </c>
      <c r="BI617" t="s">
        <v>131</v>
      </c>
      <c r="BL617" t="s">
        <v>167</v>
      </c>
      <c r="BO617" t="s">
        <v>131</v>
      </c>
      <c r="BP617" t="s">
        <v>134</v>
      </c>
      <c r="BQ617" t="s">
        <v>131</v>
      </c>
      <c r="BS617" t="str">
        <f t="shared" si="45"/>
        <v>N/A</v>
      </c>
      <c r="BT617" t="s">
        <v>131</v>
      </c>
      <c r="BV617" t="str">
        <f>""</f>
        <v/>
      </c>
      <c r="BW617" t="s">
        <v>131</v>
      </c>
      <c r="BX617" t="str">
        <f>""</f>
        <v/>
      </c>
      <c r="BY617" t="str">
        <f>""</f>
        <v/>
      </c>
      <c r="BZ617" t="str">
        <f>""</f>
        <v/>
      </c>
      <c r="CA617" t="str">
        <f>""</f>
        <v/>
      </c>
      <c r="CB617" t="s">
        <v>131</v>
      </c>
      <c r="CF617" t="s">
        <v>131</v>
      </c>
      <c r="CH617" t="str">
        <f>""</f>
        <v/>
      </c>
      <c r="CI617" t="s">
        <v>131</v>
      </c>
      <c r="CK617" t="s">
        <v>131</v>
      </c>
      <c r="CL617" t="str">
        <f>""</f>
        <v/>
      </c>
      <c r="CM617" t="str">
        <f>""</f>
        <v/>
      </c>
      <c r="CN617" t="str">
        <f>""</f>
        <v/>
      </c>
      <c r="CO617" t="str">
        <f>""</f>
        <v/>
      </c>
      <c r="CP617" t="str">
        <f>"37-3011.00"</f>
        <v>37-3011.00</v>
      </c>
      <c r="CQ617" t="s">
        <v>920</v>
      </c>
      <c r="CS617" t="s">
        <v>135</v>
      </c>
      <c r="CT617" t="s">
        <v>13250</v>
      </c>
      <c r="CU617" t="s">
        <v>13247</v>
      </c>
      <c r="CW617" t="s">
        <v>1513</v>
      </c>
      <c r="CX617" t="s">
        <v>400</v>
      </c>
      <c r="CZ617" s="3" t="str">
        <f>"75240"</f>
        <v>75240</v>
      </c>
      <c r="DA617" t="s">
        <v>131</v>
      </c>
      <c r="DB617" t="str">
        <f>"37-3011"</f>
        <v>37-3011</v>
      </c>
      <c r="DC617" t="s">
        <v>920</v>
      </c>
      <c r="DD617" t="s">
        <v>134</v>
      </c>
      <c r="DE617" t="s">
        <v>134</v>
      </c>
      <c r="DF617" t="str">
        <f>""</f>
        <v/>
      </c>
      <c r="DH617" s="6">
        <v>15.23</v>
      </c>
      <c r="DI617" t="s">
        <v>344</v>
      </c>
      <c r="DK617" t="s">
        <v>345</v>
      </c>
      <c r="DS617" s="6">
        <v>15.23</v>
      </c>
      <c r="DT617" s="2" t="s">
        <v>347</v>
      </c>
      <c r="DU617" s="1">
        <v>44363</v>
      </c>
      <c r="DV617" s="1">
        <v>44452</v>
      </c>
    </row>
    <row r="618" spans="1:126" ht="15" customHeight="1" x14ac:dyDescent="0.35">
      <c r="A618" t="s">
        <v>15191</v>
      </c>
      <c r="B618" t="s">
        <v>318</v>
      </c>
      <c r="C618" s="1">
        <v>44336</v>
      </c>
      <c r="D618" s="1">
        <v>44363</v>
      </c>
      <c r="H618" t="s">
        <v>319</v>
      </c>
      <c r="I618" t="s">
        <v>15192</v>
      </c>
      <c r="J618" t="s">
        <v>11788</v>
      </c>
      <c r="L618" t="s">
        <v>569</v>
      </c>
      <c r="M618" t="s">
        <v>15193</v>
      </c>
      <c r="O618" t="s">
        <v>15194</v>
      </c>
      <c r="P618" t="s">
        <v>194</v>
      </c>
      <c r="Q618" s="3">
        <v>33966</v>
      </c>
      <c r="R618" t="s">
        <v>128</v>
      </c>
      <c r="T618" s="4">
        <v>12392789090</v>
      </c>
      <c r="V618" t="s">
        <v>14030</v>
      </c>
      <c r="W618" t="s">
        <v>15195</v>
      </c>
      <c r="Y618" t="s">
        <v>15193</v>
      </c>
      <c r="AA618" t="s">
        <v>15194</v>
      </c>
      <c r="AB618" t="s">
        <v>195</v>
      </c>
      <c r="AC618" s="3" t="str">
        <f>"33966"</f>
        <v>33966</v>
      </c>
      <c r="AD618" t="s">
        <v>128</v>
      </c>
      <c r="AF618" s="4">
        <v>12392789090</v>
      </c>
      <c r="AH618" t="str">
        <f>"713910"</f>
        <v>713910</v>
      </c>
      <c r="AI618" t="s">
        <v>287</v>
      </c>
      <c r="AJ618" t="s">
        <v>1024</v>
      </c>
      <c r="AK618" t="s">
        <v>1025</v>
      </c>
      <c r="AM618" t="s">
        <v>1026</v>
      </c>
      <c r="AO618" t="s">
        <v>1027</v>
      </c>
      <c r="AP618" t="s">
        <v>129</v>
      </c>
      <c r="AQ618" s="5">
        <v>11590</v>
      </c>
      <c r="AR618" t="s">
        <v>128</v>
      </c>
      <c r="AT618" s="4">
        <v>15163307168</v>
      </c>
      <c r="AV618" t="s">
        <v>1021</v>
      </c>
      <c r="AW618" t="s">
        <v>1028</v>
      </c>
      <c r="AX618" t="s">
        <v>131</v>
      </c>
      <c r="AY618" t="s">
        <v>131</v>
      </c>
      <c r="AZ618" t="s">
        <v>131</v>
      </c>
      <c r="BA618" t="s">
        <v>131</v>
      </c>
      <c r="BB618" t="s">
        <v>131</v>
      </c>
      <c r="BC618" t="s">
        <v>131</v>
      </c>
      <c r="BD618" t="s">
        <v>131</v>
      </c>
      <c r="BE618" t="s">
        <v>132</v>
      </c>
      <c r="BH618" t="s">
        <v>11936</v>
      </c>
      <c r="BI618" t="s">
        <v>131</v>
      </c>
      <c r="BL618" t="s">
        <v>167</v>
      </c>
      <c r="BO618" t="s">
        <v>131</v>
      </c>
      <c r="BP618" t="s">
        <v>134</v>
      </c>
      <c r="BQ618" t="s">
        <v>131</v>
      </c>
      <c r="BS618" t="str">
        <f t="shared" si="45"/>
        <v>N/A</v>
      </c>
      <c r="BT618" t="s">
        <v>135</v>
      </c>
      <c r="BU618">
        <v>3</v>
      </c>
      <c r="BV618" t="str">
        <f>"SERVERS"</f>
        <v>SERVERS</v>
      </c>
      <c r="BW618" t="s">
        <v>131</v>
      </c>
      <c r="BX618" t="str">
        <f>""</f>
        <v/>
      </c>
      <c r="BY618" t="str">
        <f>""</f>
        <v/>
      </c>
      <c r="BZ618" t="str">
        <f>""</f>
        <v/>
      </c>
      <c r="CA618" t="str">
        <f>""</f>
        <v/>
      </c>
      <c r="CB618" t="s">
        <v>131</v>
      </c>
      <c r="CF618" t="s">
        <v>131</v>
      </c>
      <c r="CH618" t="str">
        <f>""</f>
        <v/>
      </c>
      <c r="CI618" t="s">
        <v>131</v>
      </c>
      <c r="CK618" t="s">
        <v>131</v>
      </c>
      <c r="CL618" t="str">
        <f>""</f>
        <v/>
      </c>
      <c r="CM618" t="str">
        <f>""</f>
        <v/>
      </c>
      <c r="CN618" t="str">
        <f>""</f>
        <v/>
      </c>
      <c r="CO618" t="str">
        <f>""</f>
        <v/>
      </c>
      <c r="CP618" t="str">
        <f>"35-3031.00"</f>
        <v>35-3031.00</v>
      </c>
      <c r="CQ618" t="s">
        <v>1214</v>
      </c>
      <c r="CR618" t="s">
        <v>392</v>
      </c>
      <c r="CS618" t="s">
        <v>131</v>
      </c>
      <c r="CU618" t="s">
        <v>15193</v>
      </c>
      <c r="CW618" t="s">
        <v>15194</v>
      </c>
      <c r="CX618" t="s">
        <v>195</v>
      </c>
      <c r="CZ618" s="3" t="str">
        <f>"33966"</f>
        <v>33966</v>
      </c>
      <c r="DA618" t="s">
        <v>131</v>
      </c>
      <c r="DB618" t="str">
        <f>"35-3031"</f>
        <v>35-3031</v>
      </c>
      <c r="DC618" t="s">
        <v>1214</v>
      </c>
      <c r="DD618" t="s">
        <v>134</v>
      </c>
      <c r="DE618" t="s">
        <v>134</v>
      </c>
      <c r="DF618" t="str">
        <f>""</f>
        <v/>
      </c>
      <c r="DH618" s="6">
        <v>11.29</v>
      </c>
      <c r="DI618" t="s">
        <v>344</v>
      </c>
      <c r="DK618" t="s">
        <v>345</v>
      </c>
      <c r="DR618" t="s">
        <v>4038</v>
      </c>
      <c r="DS618" s="6">
        <v>11.29</v>
      </c>
      <c r="DT618" t="s">
        <v>424</v>
      </c>
      <c r="DU618" s="1">
        <v>44363</v>
      </c>
      <c r="DV618" s="1">
        <v>44452</v>
      </c>
    </row>
    <row r="619" spans="1:126" ht="15" customHeight="1" x14ac:dyDescent="0.35">
      <c r="A619" t="s">
        <v>13756</v>
      </c>
      <c r="B619" t="s">
        <v>318</v>
      </c>
      <c r="C619" s="1">
        <v>44336</v>
      </c>
      <c r="D619" s="1">
        <v>44363</v>
      </c>
      <c r="H619" t="s">
        <v>319</v>
      </c>
      <c r="I619" t="s">
        <v>13757</v>
      </c>
      <c r="J619" t="s">
        <v>13758</v>
      </c>
      <c r="K619" t="s">
        <v>7073</v>
      </c>
      <c r="L619" t="s">
        <v>2107</v>
      </c>
      <c r="M619" t="s">
        <v>13759</v>
      </c>
      <c r="O619" t="s">
        <v>2737</v>
      </c>
      <c r="P619" t="s">
        <v>194</v>
      </c>
      <c r="Q619" s="3">
        <v>33418</v>
      </c>
      <c r="R619" t="s">
        <v>128</v>
      </c>
      <c r="T619" s="4">
        <v>15613082862</v>
      </c>
      <c r="V619" t="s">
        <v>13760</v>
      </c>
      <c r="W619" t="s">
        <v>13761</v>
      </c>
      <c r="Y619" t="s">
        <v>13759</v>
      </c>
      <c r="AA619" t="s">
        <v>2737</v>
      </c>
      <c r="AB619" t="s">
        <v>195</v>
      </c>
      <c r="AC619" s="3" t="str">
        <f>"33418"</f>
        <v>33418</v>
      </c>
      <c r="AD619" t="s">
        <v>128</v>
      </c>
      <c r="AF619" s="4">
        <v>15613082862</v>
      </c>
      <c r="AH619" t="str">
        <f>"814110"</f>
        <v>814110</v>
      </c>
      <c r="AI619" t="s">
        <v>130</v>
      </c>
      <c r="AJ619" t="s">
        <v>2970</v>
      </c>
      <c r="AK619" t="s">
        <v>654</v>
      </c>
      <c r="AL619" t="s">
        <v>1198</v>
      </c>
      <c r="AM619" t="s">
        <v>2971</v>
      </c>
      <c r="AN619" t="s">
        <v>2972</v>
      </c>
      <c r="AO619" t="s">
        <v>2737</v>
      </c>
      <c r="AP619" t="s">
        <v>195</v>
      </c>
      <c r="AQ619" s="5">
        <v>33410</v>
      </c>
      <c r="AR619" t="s">
        <v>128</v>
      </c>
      <c r="AT619" s="4">
        <v>15614785353</v>
      </c>
      <c r="AU619">
        <v>0</v>
      </c>
      <c r="AV619" t="s">
        <v>13762</v>
      </c>
      <c r="AW619" t="s">
        <v>2974</v>
      </c>
      <c r="AX619" t="s">
        <v>131</v>
      </c>
      <c r="AY619" t="s">
        <v>131</v>
      </c>
      <c r="AZ619" t="s">
        <v>131</v>
      </c>
      <c r="BA619" t="s">
        <v>131</v>
      </c>
      <c r="BB619" t="s">
        <v>131</v>
      </c>
      <c r="BC619" t="s">
        <v>131</v>
      </c>
      <c r="BD619" t="s">
        <v>131</v>
      </c>
      <c r="BE619" t="s">
        <v>132</v>
      </c>
      <c r="BH619" t="s">
        <v>2109</v>
      </c>
      <c r="BI619" t="s">
        <v>131</v>
      </c>
      <c r="BL619" t="s">
        <v>167</v>
      </c>
      <c r="BO619" t="s">
        <v>131</v>
      </c>
      <c r="BP619" t="s">
        <v>134</v>
      </c>
      <c r="BQ619" t="s">
        <v>131</v>
      </c>
      <c r="BS619" t="str">
        <f t="shared" si="45"/>
        <v>N/A</v>
      </c>
      <c r="BT619" t="s">
        <v>135</v>
      </c>
      <c r="BU619">
        <v>12</v>
      </c>
      <c r="BV619" t="str">
        <f>"Preschool teacher"</f>
        <v>Preschool teacher</v>
      </c>
      <c r="BW619" t="s">
        <v>131</v>
      </c>
      <c r="BX619" t="str">
        <f>""</f>
        <v/>
      </c>
      <c r="BY619" t="str">
        <f>""</f>
        <v/>
      </c>
      <c r="BZ619" t="str">
        <f>""</f>
        <v/>
      </c>
      <c r="CA619" t="str">
        <f>""</f>
        <v/>
      </c>
      <c r="CB619" t="s">
        <v>131</v>
      </c>
      <c r="CF619" t="s">
        <v>131</v>
      </c>
      <c r="CH619" t="str">
        <f>""</f>
        <v/>
      </c>
      <c r="CI619" t="s">
        <v>131</v>
      </c>
      <c r="CK619" t="s">
        <v>131</v>
      </c>
      <c r="CL619" t="str">
        <f>""</f>
        <v/>
      </c>
      <c r="CM619" t="str">
        <f>""</f>
        <v/>
      </c>
      <c r="CN619" t="str">
        <f>""</f>
        <v/>
      </c>
      <c r="CO619" t="str">
        <f>""</f>
        <v/>
      </c>
      <c r="CP619" t="str">
        <f>"39-9011.01"</f>
        <v>39-9011.01</v>
      </c>
      <c r="CQ619" t="s">
        <v>339</v>
      </c>
      <c r="CR619" t="s">
        <v>2107</v>
      </c>
      <c r="CS619" t="s">
        <v>131</v>
      </c>
      <c r="CU619" t="s">
        <v>13759</v>
      </c>
      <c r="CW619" t="s">
        <v>2737</v>
      </c>
      <c r="CX619" t="s">
        <v>195</v>
      </c>
      <c r="CZ619" s="3" t="str">
        <f>"33418"</f>
        <v>33418</v>
      </c>
      <c r="DA619" t="s">
        <v>131</v>
      </c>
      <c r="DB619" t="str">
        <f>"39-9011"</f>
        <v>39-9011</v>
      </c>
      <c r="DC619" t="s">
        <v>342</v>
      </c>
      <c r="DD619" t="s">
        <v>343</v>
      </c>
      <c r="DE619" t="s">
        <v>339</v>
      </c>
      <c r="DF619" t="str">
        <f>""</f>
        <v/>
      </c>
      <c r="DH619" s="6">
        <v>12.12</v>
      </c>
      <c r="DI619" t="s">
        <v>344</v>
      </c>
      <c r="DK619" t="s">
        <v>345</v>
      </c>
      <c r="DR619" t="s">
        <v>2160</v>
      </c>
      <c r="DS619" s="6">
        <v>12.12</v>
      </c>
      <c r="DT619" t="s">
        <v>424</v>
      </c>
      <c r="DU619" s="1">
        <v>44363</v>
      </c>
      <c r="DV619" s="1">
        <v>44452</v>
      </c>
    </row>
    <row r="620" spans="1:126" ht="15" customHeight="1" x14ac:dyDescent="0.35">
      <c r="A620" t="s">
        <v>13802</v>
      </c>
      <c r="B620" t="s">
        <v>318</v>
      </c>
      <c r="C620" s="1">
        <v>44336</v>
      </c>
      <c r="D620" s="1">
        <v>44368</v>
      </c>
      <c r="H620" t="s">
        <v>319</v>
      </c>
      <c r="I620" t="s">
        <v>6744</v>
      </c>
      <c r="J620" t="s">
        <v>6745</v>
      </c>
      <c r="L620" t="s">
        <v>3359</v>
      </c>
      <c r="M620" t="s">
        <v>13803</v>
      </c>
      <c r="O620" t="s">
        <v>742</v>
      </c>
      <c r="P620" t="s">
        <v>588</v>
      </c>
      <c r="Q620" s="3">
        <v>23220</v>
      </c>
      <c r="R620" t="s">
        <v>128</v>
      </c>
      <c r="T620" s="4">
        <v>18049122586</v>
      </c>
      <c r="V620" t="s">
        <v>6747</v>
      </c>
      <c r="W620" t="s">
        <v>13804</v>
      </c>
      <c r="Y620" t="s">
        <v>13805</v>
      </c>
      <c r="AA620" t="s">
        <v>742</v>
      </c>
      <c r="AB620" t="s">
        <v>306</v>
      </c>
      <c r="AC620" s="3" t="str">
        <f>"23220"</f>
        <v>23220</v>
      </c>
      <c r="AD620" t="s">
        <v>128</v>
      </c>
      <c r="AF620" s="4">
        <v>18049122586</v>
      </c>
      <c r="AH620" t="str">
        <f>"722513"</f>
        <v>722513</v>
      </c>
      <c r="AI620" t="s">
        <v>287</v>
      </c>
      <c r="AJ620" t="s">
        <v>1106</v>
      </c>
      <c r="AK620" t="s">
        <v>1107</v>
      </c>
      <c r="AL620" t="s">
        <v>1108</v>
      </c>
      <c r="AM620" t="s">
        <v>1109</v>
      </c>
      <c r="AN620" t="s">
        <v>1110</v>
      </c>
      <c r="AO620" t="s">
        <v>1111</v>
      </c>
      <c r="AP620" t="s">
        <v>306</v>
      </c>
      <c r="AQ620" s="5">
        <v>24521</v>
      </c>
      <c r="AR620" t="s">
        <v>128</v>
      </c>
      <c r="AS620" t="s">
        <v>134</v>
      </c>
      <c r="AT620" s="4">
        <v>14349460035</v>
      </c>
      <c r="AU620">
        <v>11</v>
      </c>
      <c r="AV620" t="s">
        <v>1112</v>
      </c>
      <c r="AW620" t="s">
        <v>1113</v>
      </c>
      <c r="AX620" t="s">
        <v>131</v>
      </c>
      <c r="AY620" t="s">
        <v>131</v>
      </c>
      <c r="AZ620" t="s">
        <v>131</v>
      </c>
      <c r="BA620" t="s">
        <v>131</v>
      </c>
      <c r="BB620" t="s">
        <v>131</v>
      </c>
      <c r="BC620" t="s">
        <v>131</v>
      </c>
      <c r="BD620" t="s">
        <v>131</v>
      </c>
      <c r="BE620" t="s">
        <v>132</v>
      </c>
      <c r="BH620" t="s">
        <v>13806</v>
      </c>
      <c r="BI620" t="s">
        <v>131</v>
      </c>
      <c r="BL620" t="s">
        <v>167</v>
      </c>
      <c r="BO620" t="s">
        <v>131</v>
      </c>
      <c r="BP620" t="s">
        <v>134</v>
      </c>
      <c r="BQ620" t="s">
        <v>131</v>
      </c>
      <c r="BS620" t="str">
        <f t="shared" ref="BS620:BS651" si="46">"N/A"</f>
        <v>N/A</v>
      </c>
      <c r="BT620" t="s">
        <v>131</v>
      </c>
      <c r="BV620" t="str">
        <f>""</f>
        <v/>
      </c>
      <c r="BW620" t="s">
        <v>135</v>
      </c>
      <c r="BX620" t="str">
        <f>""</f>
        <v/>
      </c>
      <c r="BY620" t="str">
        <f>""</f>
        <v/>
      </c>
      <c r="BZ620" t="str">
        <f>""</f>
        <v/>
      </c>
      <c r="CA620" s="2" t="s">
        <v>13807</v>
      </c>
      <c r="CB620" t="s">
        <v>131</v>
      </c>
      <c r="CF620" t="s">
        <v>131</v>
      </c>
      <c r="CH620" t="str">
        <f>""</f>
        <v/>
      </c>
      <c r="CI620" t="s">
        <v>131</v>
      </c>
      <c r="CK620" t="s">
        <v>131</v>
      </c>
      <c r="CL620" t="str">
        <f>""</f>
        <v/>
      </c>
      <c r="CM620" t="str">
        <f>""</f>
        <v/>
      </c>
      <c r="CN620" t="str">
        <f>""</f>
        <v/>
      </c>
      <c r="CO620" t="str">
        <f>""</f>
        <v/>
      </c>
      <c r="CP620" t="str">
        <f>"35-3021.00"</f>
        <v>35-3021.00</v>
      </c>
      <c r="CQ620" t="s">
        <v>2581</v>
      </c>
      <c r="CR620" t="s">
        <v>6752</v>
      </c>
      <c r="CS620" t="s">
        <v>135</v>
      </c>
      <c r="CT620" t="s">
        <v>13808</v>
      </c>
      <c r="CU620" t="s">
        <v>13805</v>
      </c>
      <c r="CW620" t="s">
        <v>742</v>
      </c>
      <c r="CX620" t="s">
        <v>306</v>
      </c>
      <c r="CZ620" s="3" t="str">
        <f>"23220"</f>
        <v>23220</v>
      </c>
      <c r="DA620" t="s">
        <v>135</v>
      </c>
      <c r="DB620" t="str">
        <f>"35-2014"</f>
        <v>35-2014</v>
      </c>
      <c r="DC620" t="s">
        <v>581</v>
      </c>
      <c r="DD620" t="s">
        <v>134</v>
      </c>
      <c r="DE620" t="s">
        <v>134</v>
      </c>
      <c r="DF620" t="str">
        <f>""</f>
        <v/>
      </c>
      <c r="DH620" s="6">
        <v>11.78</v>
      </c>
      <c r="DI620" t="s">
        <v>344</v>
      </c>
      <c r="DK620" t="s">
        <v>345</v>
      </c>
      <c r="DS620" s="6">
        <v>12.09</v>
      </c>
      <c r="DT620" s="2" t="s">
        <v>347</v>
      </c>
      <c r="DU620" s="1">
        <v>44368</v>
      </c>
      <c r="DV620" s="1">
        <v>44457</v>
      </c>
    </row>
    <row r="621" spans="1:126" ht="15" customHeight="1" x14ac:dyDescent="0.35">
      <c r="A621" t="s">
        <v>15404</v>
      </c>
      <c r="B621" t="s">
        <v>318</v>
      </c>
      <c r="C621" s="1">
        <v>44336</v>
      </c>
      <c r="D621" s="1">
        <v>44363</v>
      </c>
      <c r="H621" t="s">
        <v>319</v>
      </c>
      <c r="I621" t="s">
        <v>4717</v>
      </c>
      <c r="J621" t="s">
        <v>13132</v>
      </c>
      <c r="L621" t="s">
        <v>5000</v>
      </c>
      <c r="M621" t="s">
        <v>11774</v>
      </c>
      <c r="O621" t="s">
        <v>11775</v>
      </c>
      <c r="P621" t="s">
        <v>412</v>
      </c>
      <c r="Q621" s="3">
        <v>78006</v>
      </c>
      <c r="R621" t="s">
        <v>128</v>
      </c>
      <c r="T621" s="4">
        <v>18302498063</v>
      </c>
      <c r="V621" t="s">
        <v>2647</v>
      </c>
      <c r="W621" t="s">
        <v>15405</v>
      </c>
      <c r="X621" t="s">
        <v>15406</v>
      </c>
      <c r="Y621" t="s">
        <v>11774</v>
      </c>
      <c r="AA621" t="s">
        <v>11775</v>
      </c>
      <c r="AB621" t="s">
        <v>400</v>
      </c>
      <c r="AC621" s="3" t="str">
        <f>"78006"</f>
        <v>78006</v>
      </c>
      <c r="AD621" t="s">
        <v>128</v>
      </c>
      <c r="AF621" s="4">
        <v>18302498063</v>
      </c>
      <c r="AH621" t="str">
        <f>"311612"</f>
        <v>311612</v>
      </c>
      <c r="AI621" t="s">
        <v>287</v>
      </c>
      <c r="AJ621" t="s">
        <v>2649</v>
      </c>
      <c r="AK621" t="s">
        <v>2371</v>
      </c>
      <c r="AM621" t="s">
        <v>2650</v>
      </c>
      <c r="AO621" t="s">
        <v>2651</v>
      </c>
      <c r="AP621" t="s">
        <v>1336</v>
      </c>
      <c r="AQ621" s="5">
        <v>74132</v>
      </c>
      <c r="AR621" t="s">
        <v>128</v>
      </c>
      <c r="AS621" t="s">
        <v>2652</v>
      </c>
      <c r="AT621" s="4">
        <v>19189065212</v>
      </c>
      <c r="AV621" t="s">
        <v>2647</v>
      </c>
      <c r="AW621" t="s">
        <v>2653</v>
      </c>
      <c r="AX621" t="s">
        <v>131</v>
      </c>
      <c r="AY621" t="s">
        <v>131</v>
      </c>
      <c r="AZ621" t="s">
        <v>131</v>
      </c>
      <c r="BA621" t="s">
        <v>131</v>
      </c>
      <c r="BB621" t="s">
        <v>131</v>
      </c>
      <c r="BC621" t="s">
        <v>131</v>
      </c>
      <c r="BD621" t="s">
        <v>131</v>
      </c>
      <c r="BE621" t="s">
        <v>132</v>
      </c>
      <c r="BH621" t="s">
        <v>5705</v>
      </c>
      <c r="BI621" t="s">
        <v>131</v>
      </c>
      <c r="BL621" t="s">
        <v>167</v>
      </c>
      <c r="BO621" t="s">
        <v>131</v>
      </c>
      <c r="BP621" t="s">
        <v>134</v>
      </c>
      <c r="BQ621" t="s">
        <v>131</v>
      </c>
      <c r="BS621" t="str">
        <f t="shared" si="46"/>
        <v>N/A</v>
      </c>
      <c r="BT621" t="s">
        <v>131</v>
      </c>
      <c r="BV621" t="str">
        <f>""</f>
        <v/>
      </c>
      <c r="BW621" t="s">
        <v>135</v>
      </c>
      <c r="BX621" t="str">
        <f>""</f>
        <v/>
      </c>
      <c r="BY621" t="str">
        <f>""</f>
        <v/>
      </c>
      <c r="BZ621" t="str">
        <f>""</f>
        <v/>
      </c>
      <c r="CA621" t="str">
        <f>"Ability to lift 50 lbs"</f>
        <v>Ability to lift 50 lbs</v>
      </c>
      <c r="CB621" t="s">
        <v>131</v>
      </c>
      <c r="CF621" t="s">
        <v>131</v>
      </c>
      <c r="CH621" t="str">
        <f>""</f>
        <v/>
      </c>
      <c r="CI621" t="s">
        <v>131</v>
      </c>
      <c r="CK621" t="s">
        <v>131</v>
      </c>
      <c r="CL621" t="str">
        <f>""</f>
        <v/>
      </c>
      <c r="CM621" t="str">
        <f>""</f>
        <v/>
      </c>
      <c r="CN621" t="str">
        <f>""</f>
        <v/>
      </c>
      <c r="CO621" t="str">
        <f>""</f>
        <v/>
      </c>
      <c r="CP621" t="str">
        <f>"51-3023.00"</f>
        <v>51-3023.00</v>
      </c>
      <c r="CQ621" t="s">
        <v>5705</v>
      </c>
      <c r="CR621" t="s">
        <v>918</v>
      </c>
      <c r="CS621" t="s">
        <v>131</v>
      </c>
      <c r="CU621" t="s">
        <v>11774</v>
      </c>
      <c r="CW621" t="s">
        <v>11775</v>
      </c>
      <c r="CX621" t="s">
        <v>400</v>
      </c>
      <c r="CZ621" s="3" t="str">
        <f>"78006"</f>
        <v>78006</v>
      </c>
      <c r="DA621" t="s">
        <v>131</v>
      </c>
      <c r="DB621" t="str">
        <f>"51-3023"</f>
        <v>51-3023</v>
      </c>
      <c r="DC621" t="s">
        <v>5705</v>
      </c>
      <c r="DD621" t="s">
        <v>134</v>
      </c>
      <c r="DE621" t="s">
        <v>134</v>
      </c>
      <c r="DF621" t="str">
        <f>""</f>
        <v/>
      </c>
      <c r="DH621" s="6">
        <v>14.8</v>
      </c>
      <c r="DI621" t="s">
        <v>344</v>
      </c>
      <c r="DK621" t="s">
        <v>345</v>
      </c>
      <c r="DR621" t="s">
        <v>3920</v>
      </c>
      <c r="DS621" s="6">
        <v>14.8</v>
      </c>
      <c r="DT621" t="s">
        <v>424</v>
      </c>
      <c r="DU621" s="1">
        <v>44363</v>
      </c>
      <c r="DV621" s="1">
        <v>44452</v>
      </c>
    </row>
    <row r="622" spans="1:126" ht="15" customHeight="1" x14ac:dyDescent="0.35">
      <c r="A622" t="s">
        <v>17061</v>
      </c>
      <c r="B622" t="s">
        <v>318</v>
      </c>
      <c r="C622" s="1">
        <v>44336</v>
      </c>
      <c r="D622" s="1">
        <v>44363</v>
      </c>
      <c r="H622" t="s">
        <v>319</v>
      </c>
      <c r="I622" t="s">
        <v>2312</v>
      </c>
      <c r="J622" t="s">
        <v>2313</v>
      </c>
      <c r="K622" t="s">
        <v>2314</v>
      </c>
      <c r="L622" t="s">
        <v>2315</v>
      </c>
      <c r="M622" t="s">
        <v>2316</v>
      </c>
      <c r="O622" t="s">
        <v>817</v>
      </c>
      <c r="P622" t="s">
        <v>818</v>
      </c>
      <c r="Q622" s="3">
        <v>30071</v>
      </c>
      <c r="R622" t="s">
        <v>128</v>
      </c>
      <c r="T622" s="4">
        <v>17704460044</v>
      </c>
      <c r="V622" t="s">
        <v>2317</v>
      </c>
      <c r="W622" t="s">
        <v>2318</v>
      </c>
      <c r="X622" t="s">
        <v>2319</v>
      </c>
      <c r="Y622" t="s">
        <v>2316</v>
      </c>
      <c r="AA622" t="s">
        <v>817</v>
      </c>
      <c r="AB622" t="s">
        <v>643</v>
      </c>
      <c r="AC622" s="3" t="str">
        <f>"30071"</f>
        <v>30071</v>
      </c>
      <c r="AD622" t="s">
        <v>128</v>
      </c>
      <c r="AF622" s="4">
        <v>17704460044</v>
      </c>
      <c r="AH622" t="str">
        <f>"5617"</f>
        <v>5617</v>
      </c>
      <c r="AI622" t="s">
        <v>287</v>
      </c>
      <c r="AJ622" t="s">
        <v>2209</v>
      </c>
      <c r="AK622" t="s">
        <v>1459</v>
      </c>
      <c r="AL622" t="s">
        <v>2210</v>
      </c>
      <c r="AM622" t="s">
        <v>2211</v>
      </c>
      <c r="AN622" t="s">
        <v>788</v>
      </c>
      <c r="AO622" t="s">
        <v>2212</v>
      </c>
      <c r="AP622" t="s">
        <v>400</v>
      </c>
      <c r="AQ622" s="5">
        <v>75033</v>
      </c>
      <c r="AR622" t="s">
        <v>128</v>
      </c>
      <c r="AT622" s="4">
        <v>19727789690</v>
      </c>
      <c r="AV622" t="s">
        <v>2320</v>
      </c>
      <c r="AW622" t="s">
        <v>2214</v>
      </c>
      <c r="AX622" t="s">
        <v>131</v>
      </c>
      <c r="AY622" t="s">
        <v>131</v>
      </c>
      <c r="AZ622" t="s">
        <v>131</v>
      </c>
      <c r="BA622" t="s">
        <v>131</v>
      </c>
      <c r="BB622" t="s">
        <v>131</v>
      </c>
      <c r="BC622" t="s">
        <v>131</v>
      </c>
      <c r="BD622" t="s">
        <v>131</v>
      </c>
      <c r="BE622" t="s">
        <v>132</v>
      </c>
      <c r="BH622" t="s">
        <v>2215</v>
      </c>
      <c r="BI622" t="s">
        <v>131</v>
      </c>
      <c r="BL622" t="s">
        <v>167</v>
      </c>
      <c r="BO622" t="s">
        <v>131</v>
      </c>
      <c r="BP622" t="s">
        <v>134</v>
      </c>
      <c r="BQ622" t="s">
        <v>131</v>
      </c>
      <c r="BS622" t="str">
        <f t="shared" si="46"/>
        <v>N/A</v>
      </c>
      <c r="BT622" t="s">
        <v>131</v>
      </c>
      <c r="BV622" t="str">
        <f>""</f>
        <v/>
      </c>
      <c r="BW622" t="s">
        <v>135</v>
      </c>
      <c r="BX622" t="str">
        <f>""</f>
        <v/>
      </c>
      <c r="BY622" t="str">
        <f>""</f>
        <v/>
      </c>
      <c r="BZ622" t="str">
        <f>""</f>
        <v/>
      </c>
      <c r="CA622" t="str">
        <f>"Must be able to lift 50 lbs. Must pass a pre-employment drug test. Workers are subject to post-injury/incident drug testing. Applicants must complete an employment application.
"</f>
        <v xml:space="preserve">Must be able to lift 50 lbs. Must pass a pre-employment drug test. Workers are subject to post-injury/incident drug testing. Applicants must complete an employment application.
</v>
      </c>
      <c r="CB622" t="s">
        <v>131</v>
      </c>
      <c r="CF622" t="s">
        <v>131</v>
      </c>
      <c r="CH622" t="str">
        <f>""</f>
        <v/>
      </c>
      <c r="CI622" t="s">
        <v>131</v>
      </c>
      <c r="CK622" t="s">
        <v>131</v>
      </c>
      <c r="CL622" t="str">
        <f>""</f>
        <v/>
      </c>
      <c r="CM622" t="str">
        <f>""</f>
        <v/>
      </c>
      <c r="CN622" t="str">
        <f>""</f>
        <v/>
      </c>
      <c r="CO622" t="str">
        <f>""</f>
        <v/>
      </c>
      <c r="CP622" t="str">
        <f>"37-3011.00"</f>
        <v>37-3011.00</v>
      </c>
      <c r="CQ622" t="s">
        <v>920</v>
      </c>
      <c r="CS622" t="s">
        <v>135</v>
      </c>
      <c r="CT622" t="s">
        <v>2321</v>
      </c>
      <c r="CU622" t="s">
        <v>17062</v>
      </c>
      <c r="CW622" t="s">
        <v>1525</v>
      </c>
      <c r="CX622" t="s">
        <v>594</v>
      </c>
      <c r="CZ622" s="3" t="str">
        <f>"28027"</f>
        <v>28027</v>
      </c>
      <c r="DA622" t="s">
        <v>131</v>
      </c>
      <c r="DB622" t="str">
        <f>"37-3011"</f>
        <v>37-3011</v>
      </c>
      <c r="DC622" t="s">
        <v>920</v>
      </c>
      <c r="DD622" t="s">
        <v>134</v>
      </c>
      <c r="DE622" t="s">
        <v>134</v>
      </c>
      <c r="DF622" t="str">
        <f>""</f>
        <v/>
      </c>
      <c r="DH622" s="6">
        <v>14.31</v>
      </c>
      <c r="DI622" t="s">
        <v>344</v>
      </c>
      <c r="DK622" t="s">
        <v>345</v>
      </c>
      <c r="DR622" t="s">
        <v>15578</v>
      </c>
      <c r="DS622" s="6">
        <v>14.31</v>
      </c>
      <c r="DT622" s="2" t="s">
        <v>347</v>
      </c>
      <c r="DU622" s="1">
        <v>44363</v>
      </c>
      <c r="DV622" s="1">
        <v>44452</v>
      </c>
    </row>
    <row r="623" spans="1:126" ht="15" customHeight="1" x14ac:dyDescent="0.35">
      <c r="A623" t="s">
        <v>16421</v>
      </c>
      <c r="B623" t="s">
        <v>318</v>
      </c>
      <c r="C623" s="1">
        <v>44336</v>
      </c>
      <c r="D623" s="1">
        <v>44363</v>
      </c>
      <c r="H623" t="s">
        <v>319</v>
      </c>
      <c r="I623" t="s">
        <v>14744</v>
      </c>
      <c r="J623" t="s">
        <v>6509</v>
      </c>
      <c r="L623" t="s">
        <v>349</v>
      </c>
      <c r="M623" t="s">
        <v>14745</v>
      </c>
      <c r="O623" t="s">
        <v>14746</v>
      </c>
      <c r="P623" t="s">
        <v>248</v>
      </c>
      <c r="Q623" s="3">
        <v>55120</v>
      </c>
      <c r="R623" t="s">
        <v>128</v>
      </c>
      <c r="T623" s="4">
        <v>16512033025</v>
      </c>
      <c r="V623" t="s">
        <v>14747</v>
      </c>
      <c r="W623" t="s">
        <v>14748</v>
      </c>
      <c r="Y623" t="s">
        <v>14745</v>
      </c>
      <c r="AA623" t="s">
        <v>14746</v>
      </c>
      <c r="AB623" t="s">
        <v>249</v>
      </c>
      <c r="AC623" s="3" t="str">
        <f>"55120"</f>
        <v>55120</v>
      </c>
      <c r="AD623" t="s">
        <v>128</v>
      </c>
      <c r="AF623" s="4">
        <v>16512033025</v>
      </c>
      <c r="AH623" t="str">
        <f>"5617"</f>
        <v>5617</v>
      </c>
      <c r="AI623" t="s">
        <v>130</v>
      </c>
      <c r="AJ623" t="s">
        <v>2442</v>
      </c>
      <c r="AK623" t="s">
        <v>2443</v>
      </c>
      <c r="AL623" t="s">
        <v>2444</v>
      </c>
      <c r="AM623" t="s">
        <v>2445</v>
      </c>
      <c r="AN623" t="s">
        <v>1169</v>
      </c>
      <c r="AO623" t="s">
        <v>707</v>
      </c>
      <c r="AP623" t="s">
        <v>249</v>
      </c>
      <c r="AQ623" s="5">
        <v>55402</v>
      </c>
      <c r="AR623" t="s">
        <v>128</v>
      </c>
      <c r="AT623" s="4">
        <v>16124927165</v>
      </c>
      <c r="AV623" t="s">
        <v>2446</v>
      </c>
      <c r="AW623" t="s">
        <v>2447</v>
      </c>
      <c r="AX623" t="s">
        <v>131</v>
      </c>
      <c r="AY623" t="s">
        <v>131</v>
      </c>
      <c r="AZ623" t="s">
        <v>131</v>
      </c>
      <c r="BA623" t="s">
        <v>131</v>
      </c>
      <c r="BB623" t="s">
        <v>131</v>
      </c>
      <c r="BC623" t="s">
        <v>131</v>
      </c>
      <c r="BD623" t="s">
        <v>131</v>
      </c>
      <c r="BE623" t="s">
        <v>132</v>
      </c>
      <c r="BH623" t="s">
        <v>2215</v>
      </c>
      <c r="BI623" t="s">
        <v>131</v>
      </c>
      <c r="BL623" t="s">
        <v>167</v>
      </c>
      <c r="BO623" t="s">
        <v>131</v>
      </c>
      <c r="BP623" t="s">
        <v>134</v>
      </c>
      <c r="BQ623" t="s">
        <v>131</v>
      </c>
      <c r="BS623" t="str">
        <f t="shared" si="46"/>
        <v>N/A</v>
      </c>
      <c r="BT623" t="s">
        <v>131</v>
      </c>
      <c r="BV623" t="str">
        <f>""</f>
        <v/>
      </c>
      <c r="BW623" t="s">
        <v>135</v>
      </c>
      <c r="BX623" t="str">
        <f>""</f>
        <v/>
      </c>
      <c r="BY623" t="str">
        <f>""</f>
        <v/>
      </c>
      <c r="BZ623" t="str">
        <f>""</f>
        <v/>
      </c>
      <c r="CA623" t="str">
        <f>"No formal education, training or experience required.  On-the-job training will be provided.  Able to lift 50 pounds."</f>
        <v>No formal education, training or experience required.  On-the-job training will be provided.  Able to lift 50 pounds.</v>
      </c>
      <c r="CB623" t="s">
        <v>131</v>
      </c>
      <c r="CF623" t="s">
        <v>131</v>
      </c>
      <c r="CH623" t="str">
        <f>""</f>
        <v/>
      </c>
      <c r="CI623" t="s">
        <v>131</v>
      </c>
      <c r="CK623" t="s">
        <v>131</v>
      </c>
      <c r="CL623" t="str">
        <f>""</f>
        <v/>
      </c>
      <c r="CM623" t="str">
        <f>""</f>
        <v/>
      </c>
      <c r="CN623" t="str">
        <f>""</f>
        <v/>
      </c>
      <c r="CO623" t="str">
        <f>""</f>
        <v/>
      </c>
      <c r="CP623" t="str">
        <f>"37-3011.00"</f>
        <v>37-3011.00</v>
      </c>
      <c r="CQ623" t="s">
        <v>920</v>
      </c>
      <c r="CR623" t="s">
        <v>16422</v>
      </c>
      <c r="CS623" t="s">
        <v>135</v>
      </c>
      <c r="CT623" s="2" t="s">
        <v>16423</v>
      </c>
      <c r="CU623" t="s">
        <v>14745</v>
      </c>
      <c r="CW623" t="s">
        <v>14746</v>
      </c>
      <c r="CX623" t="s">
        <v>249</v>
      </c>
      <c r="CZ623" s="3" t="str">
        <f>"55120"</f>
        <v>55120</v>
      </c>
      <c r="DA623" t="s">
        <v>135</v>
      </c>
      <c r="DB623" t="str">
        <f>"37-3011"</f>
        <v>37-3011</v>
      </c>
      <c r="DC623" t="s">
        <v>920</v>
      </c>
      <c r="DD623" t="s">
        <v>134</v>
      </c>
      <c r="DE623" t="s">
        <v>134</v>
      </c>
      <c r="DF623" t="str">
        <f>""</f>
        <v/>
      </c>
      <c r="DH623" s="6">
        <v>17.78</v>
      </c>
      <c r="DI623" t="s">
        <v>344</v>
      </c>
      <c r="DK623" t="s">
        <v>345</v>
      </c>
      <c r="DS623" s="6">
        <v>17.78</v>
      </c>
      <c r="DT623" s="2" t="s">
        <v>2219</v>
      </c>
      <c r="DU623" s="1">
        <v>44363</v>
      </c>
      <c r="DV623" s="1">
        <v>44452</v>
      </c>
    </row>
    <row r="624" spans="1:126" ht="15" customHeight="1" x14ac:dyDescent="0.35">
      <c r="A624" t="s">
        <v>2311</v>
      </c>
      <c r="B624" t="s">
        <v>318</v>
      </c>
      <c r="C624" s="1">
        <v>44336</v>
      </c>
      <c r="D624" s="1">
        <v>44363</v>
      </c>
      <c r="H624" t="s">
        <v>319</v>
      </c>
      <c r="I624" t="s">
        <v>2312</v>
      </c>
      <c r="J624" t="s">
        <v>2313</v>
      </c>
      <c r="K624" t="s">
        <v>2314</v>
      </c>
      <c r="L624" t="s">
        <v>2315</v>
      </c>
      <c r="M624" t="s">
        <v>2316</v>
      </c>
      <c r="O624" t="s">
        <v>817</v>
      </c>
      <c r="P624" t="s">
        <v>818</v>
      </c>
      <c r="Q624" s="3">
        <v>30071</v>
      </c>
      <c r="R624" t="s">
        <v>128</v>
      </c>
      <c r="T624" s="4">
        <v>17704460044</v>
      </c>
      <c r="V624" t="s">
        <v>2317</v>
      </c>
      <c r="W624" t="s">
        <v>2318</v>
      </c>
      <c r="X624" t="s">
        <v>2319</v>
      </c>
      <c r="Y624" t="s">
        <v>2316</v>
      </c>
      <c r="AA624" t="s">
        <v>817</v>
      </c>
      <c r="AB624" t="s">
        <v>643</v>
      </c>
      <c r="AC624" s="3" t="str">
        <f>"30071"</f>
        <v>30071</v>
      </c>
      <c r="AD624" t="s">
        <v>128</v>
      </c>
      <c r="AF624" s="4">
        <v>17704460044</v>
      </c>
      <c r="AH624" t="str">
        <f>"5617"</f>
        <v>5617</v>
      </c>
      <c r="AI624" t="s">
        <v>287</v>
      </c>
      <c r="AJ624" t="s">
        <v>2209</v>
      </c>
      <c r="AK624" t="s">
        <v>1459</v>
      </c>
      <c r="AL624" t="s">
        <v>2210</v>
      </c>
      <c r="AM624" t="s">
        <v>2211</v>
      </c>
      <c r="AN624" t="s">
        <v>788</v>
      </c>
      <c r="AO624" t="s">
        <v>2212</v>
      </c>
      <c r="AP624" t="s">
        <v>400</v>
      </c>
      <c r="AQ624" s="5">
        <v>75033</v>
      </c>
      <c r="AR624" t="s">
        <v>128</v>
      </c>
      <c r="AT624" s="4">
        <v>19727789690</v>
      </c>
      <c r="AV624" t="s">
        <v>2320</v>
      </c>
      <c r="AW624" t="s">
        <v>2214</v>
      </c>
      <c r="AX624" t="s">
        <v>131</v>
      </c>
      <c r="AY624" t="s">
        <v>131</v>
      </c>
      <c r="AZ624" t="s">
        <v>131</v>
      </c>
      <c r="BA624" t="s">
        <v>131</v>
      </c>
      <c r="BB624" t="s">
        <v>131</v>
      </c>
      <c r="BC624" t="s">
        <v>131</v>
      </c>
      <c r="BD624" t="s">
        <v>131</v>
      </c>
      <c r="BE624" t="s">
        <v>132</v>
      </c>
      <c r="BH624" t="s">
        <v>2215</v>
      </c>
      <c r="BI624" t="s">
        <v>131</v>
      </c>
      <c r="BL624" t="s">
        <v>167</v>
      </c>
      <c r="BO624" t="s">
        <v>131</v>
      </c>
      <c r="BP624" t="s">
        <v>134</v>
      </c>
      <c r="BQ624" t="s">
        <v>131</v>
      </c>
      <c r="BS624" t="str">
        <f t="shared" si="46"/>
        <v>N/A</v>
      </c>
      <c r="BT624" t="s">
        <v>131</v>
      </c>
      <c r="BV624" t="str">
        <f>""</f>
        <v/>
      </c>
      <c r="BW624" t="s">
        <v>135</v>
      </c>
      <c r="BX624" t="str">
        <f>""</f>
        <v/>
      </c>
      <c r="BY624" t="str">
        <f>""</f>
        <v/>
      </c>
      <c r="BZ624" t="str">
        <f>""</f>
        <v/>
      </c>
      <c r="CA624" t="str">
        <f>"Must be able to lift 50 lbs. Must pass a pre-employment drug test. Workers are subject to post-injury/incident drug testing. Applicants must complete an employment application."</f>
        <v>Must be able to lift 50 lbs. Must pass a pre-employment drug test. Workers are subject to post-injury/incident drug testing. Applicants must complete an employment application.</v>
      </c>
      <c r="CB624" t="s">
        <v>131</v>
      </c>
      <c r="CF624" t="s">
        <v>131</v>
      </c>
      <c r="CH624" t="str">
        <f>""</f>
        <v/>
      </c>
      <c r="CI624" t="s">
        <v>131</v>
      </c>
      <c r="CK624" t="s">
        <v>131</v>
      </c>
      <c r="CL624" t="str">
        <f>""</f>
        <v/>
      </c>
      <c r="CM624" t="str">
        <f>""</f>
        <v/>
      </c>
      <c r="CN624" t="str">
        <f>""</f>
        <v/>
      </c>
      <c r="CO624" t="str">
        <f>""</f>
        <v/>
      </c>
      <c r="CP624" t="str">
        <f>"37-3011.00"</f>
        <v>37-3011.00</v>
      </c>
      <c r="CQ624" t="s">
        <v>920</v>
      </c>
      <c r="CS624" t="s">
        <v>135</v>
      </c>
      <c r="CT624" t="s">
        <v>2321</v>
      </c>
      <c r="CU624" t="s">
        <v>2322</v>
      </c>
      <c r="CW624" t="s">
        <v>2323</v>
      </c>
      <c r="CX624" t="s">
        <v>594</v>
      </c>
      <c r="CZ624" s="3" t="str">
        <f>"27705"</f>
        <v>27705</v>
      </c>
      <c r="DA624" t="s">
        <v>135</v>
      </c>
      <c r="DB624" t="str">
        <f>"37-3011"</f>
        <v>37-3011</v>
      </c>
      <c r="DC624" t="s">
        <v>920</v>
      </c>
      <c r="DD624" t="s">
        <v>134</v>
      </c>
      <c r="DE624" t="s">
        <v>134</v>
      </c>
      <c r="DF624" t="str">
        <f>""</f>
        <v/>
      </c>
      <c r="DH624" s="6">
        <v>14.73</v>
      </c>
      <c r="DI624" t="s">
        <v>344</v>
      </c>
      <c r="DK624" t="s">
        <v>345</v>
      </c>
      <c r="DR624" t="s">
        <v>2324</v>
      </c>
      <c r="DS624" s="6">
        <v>15.18</v>
      </c>
      <c r="DT624" s="2" t="s">
        <v>347</v>
      </c>
      <c r="DU624" s="1">
        <v>44363</v>
      </c>
      <c r="DV624" s="1">
        <v>44452</v>
      </c>
    </row>
    <row r="625" spans="1:126" ht="15" customHeight="1" x14ac:dyDescent="0.35">
      <c r="A625" t="s">
        <v>10412</v>
      </c>
      <c r="B625" t="s">
        <v>318</v>
      </c>
      <c r="C625" s="1">
        <v>44336</v>
      </c>
      <c r="D625" s="1">
        <v>44363</v>
      </c>
      <c r="H625" t="s">
        <v>319</v>
      </c>
      <c r="I625" t="s">
        <v>2312</v>
      </c>
      <c r="J625" t="s">
        <v>2313</v>
      </c>
      <c r="K625" t="s">
        <v>2314</v>
      </c>
      <c r="L625" t="s">
        <v>2315</v>
      </c>
      <c r="M625" t="s">
        <v>2316</v>
      </c>
      <c r="O625" t="s">
        <v>817</v>
      </c>
      <c r="P625" t="s">
        <v>818</v>
      </c>
      <c r="Q625" s="3">
        <v>30071</v>
      </c>
      <c r="R625" t="s">
        <v>128</v>
      </c>
      <c r="T625" s="4">
        <v>17704460044</v>
      </c>
      <c r="V625" t="s">
        <v>2317</v>
      </c>
      <c r="W625" t="s">
        <v>2318</v>
      </c>
      <c r="X625" t="s">
        <v>2319</v>
      </c>
      <c r="Y625" t="s">
        <v>2316</v>
      </c>
      <c r="AA625" t="s">
        <v>817</v>
      </c>
      <c r="AB625" t="s">
        <v>643</v>
      </c>
      <c r="AC625" s="3" t="str">
        <f>"30071"</f>
        <v>30071</v>
      </c>
      <c r="AD625" t="s">
        <v>128</v>
      </c>
      <c r="AF625" s="4">
        <v>17704460044</v>
      </c>
      <c r="AH625" t="str">
        <f>"56173"</f>
        <v>56173</v>
      </c>
      <c r="AI625" t="s">
        <v>287</v>
      </c>
      <c r="AJ625" t="s">
        <v>2209</v>
      </c>
      <c r="AK625" t="s">
        <v>1459</v>
      </c>
      <c r="AL625" t="s">
        <v>2210</v>
      </c>
      <c r="AM625" t="s">
        <v>2211</v>
      </c>
      <c r="AN625" t="s">
        <v>788</v>
      </c>
      <c r="AO625" t="s">
        <v>2212</v>
      </c>
      <c r="AP625" t="s">
        <v>400</v>
      </c>
      <c r="AQ625" s="5">
        <v>75033</v>
      </c>
      <c r="AR625" t="s">
        <v>128</v>
      </c>
      <c r="AT625" s="4">
        <v>19727789690</v>
      </c>
      <c r="AV625" t="s">
        <v>2320</v>
      </c>
      <c r="AW625" t="s">
        <v>2214</v>
      </c>
      <c r="AX625" t="s">
        <v>131</v>
      </c>
      <c r="AY625" t="s">
        <v>131</v>
      </c>
      <c r="AZ625" t="s">
        <v>131</v>
      </c>
      <c r="BA625" t="s">
        <v>131</v>
      </c>
      <c r="BB625" t="s">
        <v>131</v>
      </c>
      <c r="BC625" t="s">
        <v>131</v>
      </c>
      <c r="BD625" t="s">
        <v>131</v>
      </c>
      <c r="BE625" t="s">
        <v>132</v>
      </c>
      <c r="BH625" t="s">
        <v>2215</v>
      </c>
      <c r="BI625" t="s">
        <v>131</v>
      </c>
      <c r="BL625" t="s">
        <v>167</v>
      </c>
      <c r="BO625" t="s">
        <v>131</v>
      </c>
      <c r="BP625" t="s">
        <v>134</v>
      </c>
      <c r="BQ625" t="s">
        <v>131</v>
      </c>
      <c r="BS625" t="str">
        <f t="shared" si="46"/>
        <v>N/A</v>
      </c>
      <c r="BT625" t="s">
        <v>131</v>
      </c>
      <c r="BV625" t="str">
        <f>""</f>
        <v/>
      </c>
      <c r="BW625" t="s">
        <v>135</v>
      </c>
      <c r="BX625" t="str">
        <f>""</f>
        <v/>
      </c>
      <c r="BY625" t="str">
        <f>""</f>
        <v/>
      </c>
      <c r="BZ625" t="str">
        <f>""</f>
        <v/>
      </c>
      <c r="CA625" t="str">
        <f>"Must be able to lift 50 lbs. Must pass a pre-employment drug test. Workers are subject to post-injury/incident drug testing. Applicants must complete an employment application."</f>
        <v>Must be able to lift 50 lbs. Must pass a pre-employment drug test. Workers are subject to post-injury/incident drug testing. Applicants must complete an employment application.</v>
      </c>
      <c r="CB625" t="s">
        <v>131</v>
      </c>
      <c r="CF625" t="s">
        <v>131</v>
      </c>
      <c r="CH625" t="str">
        <f>""</f>
        <v/>
      </c>
      <c r="CI625" t="s">
        <v>131</v>
      </c>
      <c r="CK625" t="s">
        <v>131</v>
      </c>
      <c r="CL625" t="str">
        <f>""</f>
        <v/>
      </c>
      <c r="CM625" t="str">
        <f>""</f>
        <v/>
      </c>
      <c r="CN625" t="str">
        <f>""</f>
        <v/>
      </c>
      <c r="CO625" t="str">
        <f>""</f>
        <v/>
      </c>
      <c r="CP625" t="str">
        <f>"37-3011.00"</f>
        <v>37-3011.00</v>
      </c>
      <c r="CQ625" t="s">
        <v>920</v>
      </c>
      <c r="CS625" t="s">
        <v>135</v>
      </c>
      <c r="CT625" t="s">
        <v>2321</v>
      </c>
      <c r="CU625" t="s">
        <v>10413</v>
      </c>
      <c r="CW625" t="s">
        <v>5414</v>
      </c>
      <c r="CX625" t="s">
        <v>643</v>
      </c>
      <c r="CZ625" s="3" t="str">
        <f>"31206"</f>
        <v>31206</v>
      </c>
      <c r="DA625" t="s">
        <v>131</v>
      </c>
      <c r="DB625" t="str">
        <f>"37-3011"</f>
        <v>37-3011</v>
      </c>
      <c r="DC625" t="s">
        <v>920</v>
      </c>
      <c r="DD625" t="s">
        <v>134</v>
      </c>
      <c r="DE625" t="s">
        <v>134</v>
      </c>
      <c r="DF625" t="str">
        <f>""</f>
        <v/>
      </c>
      <c r="DH625" s="6">
        <v>13.3</v>
      </c>
      <c r="DI625" t="s">
        <v>344</v>
      </c>
      <c r="DK625" t="s">
        <v>345</v>
      </c>
      <c r="DR625" t="s">
        <v>10414</v>
      </c>
      <c r="DS625" s="6">
        <v>13.3</v>
      </c>
      <c r="DT625" s="2" t="s">
        <v>2219</v>
      </c>
      <c r="DU625" s="1">
        <v>44363</v>
      </c>
      <c r="DV625" s="1">
        <v>44452</v>
      </c>
    </row>
    <row r="626" spans="1:126" ht="15" customHeight="1" x14ac:dyDescent="0.35">
      <c r="A626" t="s">
        <v>5670</v>
      </c>
      <c r="B626" t="s">
        <v>318</v>
      </c>
      <c r="C626" s="1">
        <v>44336</v>
      </c>
      <c r="D626" s="1">
        <v>44363</v>
      </c>
      <c r="H626" t="s">
        <v>319</v>
      </c>
      <c r="I626" t="s">
        <v>5671</v>
      </c>
      <c r="J626" t="s">
        <v>5672</v>
      </c>
      <c r="L626" t="s">
        <v>569</v>
      </c>
      <c r="M626" t="s">
        <v>5673</v>
      </c>
      <c r="O626" t="s">
        <v>5674</v>
      </c>
      <c r="P626" t="s">
        <v>194</v>
      </c>
      <c r="Q626" s="3">
        <v>34109</v>
      </c>
      <c r="R626" t="s">
        <v>128</v>
      </c>
      <c r="T626" s="4">
        <v>12392131998</v>
      </c>
      <c r="V626" t="s">
        <v>1021</v>
      </c>
      <c r="W626" t="s">
        <v>5675</v>
      </c>
      <c r="Y626" t="s">
        <v>5676</v>
      </c>
      <c r="AA626" t="s">
        <v>5674</v>
      </c>
      <c r="AB626" t="s">
        <v>195</v>
      </c>
      <c r="AC626" s="3" t="str">
        <f>"34109"</f>
        <v>34109</v>
      </c>
      <c r="AD626" t="s">
        <v>128</v>
      </c>
      <c r="AF626" s="4">
        <v>12392131998</v>
      </c>
      <c r="AH626" t="str">
        <f>"713910"</f>
        <v>713910</v>
      </c>
      <c r="AI626" t="s">
        <v>287</v>
      </c>
      <c r="AJ626" t="s">
        <v>1024</v>
      </c>
      <c r="AK626" t="s">
        <v>1025</v>
      </c>
      <c r="AM626" t="s">
        <v>1026</v>
      </c>
      <c r="AO626" t="s">
        <v>1027</v>
      </c>
      <c r="AP626" t="s">
        <v>129</v>
      </c>
      <c r="AQ626" s="5">
        <v>11590</v>
      </c>
      <c r="AR626" t="s">
        <v>128</v>
      </c>
      <c r="AT626" s="4">
        <v>15163307168</v>
      </c>
      <c r="AV626" t="s">
        <v>1021</v>
      </c>
      <c r="AW626" t="s">
        <v>1028</v>
      </c>
      <c r="AX626" t="s">
        <v>131</v>
      </c>
      <c r="AY626" t="s">
        <v>131</v>
      </c>
      <c r="AZ626" t="s">
        <v>131</v>
      </c>
      <c r="BA626" t="s">
        <v>131</v>
      </c>
      <c r="BB626" t="s">
        <v>131</v>
      </c>
      <c r="BC626" t="s">
        <v>131</v>
      </c>
      <c r="BD626" t="s">
        <v>131</v>
      </c>
      <c r="BE626" t="s">
        <v>132</v>
      </c>
      <c r="BH626" t="s">
        <v>5677</v>
      </c>
      <c r="BI626" t="s">
        <v>131</v>
      </c>
      <c r="BL626" t="s">
        <v>167</v>
      </c>
      <c r="BO626" t="s">
        <v>131</v>
      </c>
      <c r="BP626" t="s">
        <v>134</v>
      </c>
      <c r="BQ626" t="s">
        <v>131</v>
      </c>
      <c r="BS626" t="str">
        <f t="shared" si="46"/>
        <v>N/A</v>
      </c>
      <c r="BT626" t="s">
        <v>135</v>
      </c>
      <c r="BU626">
        <v>3</v>
      </c>
      <c r="BV626" t="str">
        <f>"SERVER"</f>
        <v>SERVER</v>
      </c>
      <c r="BW626" t="s">
        <v>131</v>
      </c>
      <c r="BX626" t="str">
        <f>""</f>
        <v/>
      </c>
      <c r="BY626" t="str">
        <f>""</f>
        <v/>
      </c>
      <c r="BZ626" t="str">
        <f>""</f>
        <v/>
      </c>
      <c r="CA626" t="str">
        <f>""</f>
        <v/>
      </c>
      <c r="CB626" t="s">
        <v>131</v>
      </c>
      <c r="CF626" t="s">
        <v>131</v>
      </c>
      <c r="CH626" t="str">
        <f>""</f>
        <v/>
      </c>
      <c r="CI626" t="s">
        <v>131</v>
      </c>
      <c r="CK626" t="s">
        <v>131</v>
      </c>
      <c r="CL626" t="str">
        <f>""</f>
        <v/>
      </c>
      <c r="CM626" t="str">
        <f>""</f>
        <v/>
      </c>
      <c r="CN626" t="str">
        <f>""</f>
        <v/>
      </c>
      <c r="CO626" t="str">
        <f>""</f>
        <v/>
      </c>
      <c r="CP626" t="str">
        <f>"35-3031.00"</f>
        <v>35-3031.00</v>
      </c>
      <c r="CQ626" t="s">
        <v>1214</v>
      </c>
      <c r="CR626" t="s">
        <v>392</v>
      </c>
      <c r="CS626" t="s">
        <v>131</v>
      </c>
      <c r="CU626" t="s">
        <v>5673</v>
      </c>
      <c r="CW626" t="s">
        <v>5674</v>
      </c>
      <c r="CX626" t="s">
        <v>195</v>
      </c>
      <c r="CZ626" s="3" t="str">
        <f>"34109"</f>
        <v>34109</v>
      </c>
      <c r="DA626" t="s">
        <v>131</v>
      </c>
      <c r="DB626" t="str">
        <f>"35-3031"</f>
        <v>35-3031</v>
      </c>
      <c r="DC626" t="s">
        <v>1214</v>
      </c>
      <c r="DD626" t="s">
        <v>134</v>
      </c>
      <c r="DE626" t="s">
        <v>134</v>
      </c>
      <c r="DF626" t="str">
        <f>""</f>
        <v/>
      </c>
      <c r="DH626" s="6">
        <v>12.55</v>
      </c>
      <c r="DI626" t="s">
        <v>344</v>
      </c>
      <c r="DK626" t="s">
        <v>345</v>
      </c>
      <c r="DR626" t="s">
        <v>2160</v>
      </c>
      <c r="DS626" s="6">
        <v>12.55</v>
      </c>
      <c r="DT626" t="s">
        <v>424</v>
      </c>
      <c r="DU626" s="1">
        <v>44363</v>
      </c>
      <c r="DV626" s="1">
        <v>44452</v>
      </c>
    </row>
    <row r="627" spans="1:126" ht="15" customHeight="1" x14ac:dyDescent="0.35">
      <c r="A627" t="s">
        <v>16348</v>
      </c>
      <c r="B627" t="s">
        <v>318</v>
      </c>
      <c r="C627" s="1">
        <v>44336</v>
      </c>
      <c r="D627" s="1">
        <v>44363</v>
      </c>
      <c r="H627" t="s">
        <v>319</v>
      </c>
      <c r="I627" t="s">
        <v>2153</v>
      </c>
      <c r="J627" t="s">
        <v>2154</v>
      </c>
      <c r="L627" t="s">
        <v>930</v>
      </c>
      <c r="M627" t="s">
        <v>2155</v>
      </c>
      <c r="O627" t="s">
        <v>2156</v>
      </c>
      <c r="P627" t="s">
        <v>194</v>
      </c>
      <c r="Q627" s="3">
        <v>33480</v>
      </c>
      <c r="R627" t="s">
        <v>128</v>
      </c>
      <c r="T627" s="4">
        <v>15616556611</v>
      </c>
      <c r="V627" t="s">
        <v>1423</v>
      </c>
      <c r="W627" t="s">
        <v>2157</v>
      </c>
      <c r="Y627" t="s">
        <v>2155</v>
      </c>
      <c r="AA627" t="s">
        <v>2156</v>
      </c>
      <c r="AB627" t="s">
        <v>195</v>
      </c>
      <c r="AC627" s="3" t="str">
        <f>"33480"</f>
        <v>33480</v>
      </c>
      <c r="AD627" t="s">
        <v>128</v>
      </c>
      <c r="AF627" s="4">
        <v>15616556611</v>
      </c>
      <c r="AH627" t="str">
        <f>"72111"</f>
        <v>72111</v>
      </c>
      <c r="AI627" t="s">
        <v>130</v>
      </c>
      <c r="AJ627" t="s">
        <v>617</v>
      </c>
      <c r="AK627" t="s">
        <v>246</v>
      </c>
      <c r="AL627" t="s">
        <v>1420</v>
      </c>
      <c r="AM627" t="s">
        <v>1421</v>
      </c>
      <c r="AN627" t="s">
        <v>1422</v>
      </c>
      <c r="AO627" t="s">
        <v>616</v>
      </c>
      <c r="AP627" t="s">
        <v>195</v>
      </c>
      <c r="AQ627" s="5">
        <v>33126</v>
      </c>
      <c r="AR627" t="s">
        <v>128</v>
      </c>
      <c r="AT627" s="4">
        <v>13057745800</v>
      </c>
      <c r="AV627" t="s">
        <v>1423</v>
      </c>
      <c r="AW627" t="s">
        <v>264</v>
      </c>
      <c r="AX627" t="s">
        <v>131</v>
      </c>
      <c r="AY627" t="s">
        <v>131</v>
      </c>
      <c r="AZ627" t="s">
        <v>131</v>
      </c>
      <c r="BA627" t="s">
        <v>131</v>
      </c>
      <c r="BB627" t="s">
        <v>131</v>
      </c>
      <c r="BC627" t="s">
        <v>131</v>
      </c>
      <c r="BD627" t="s">
        <v>131</v>
      </c>
      <c r="BE627" t="s">
        <v>132</v>
      </c>
      <c r="BH627" t="s">
        <v>13280</v>
      </c>
      <c r="BI627" t="s">
        <v>131</v>
      </c>
      <c r="BL627" t="s">
        <v>167</v>
      </c>
      <c r="BO627" t="s">
        <v>131</v>
      </c>
      <c r="BP627" t="s">
        <v>134</v>
      </c>
      <c r="BQ627" t="s">
        <v>131</v>
      </c>
      <c r="BS627" t="str">
        <f t="shared" si="46"/>
        <v>N/A</v>
      </c>
      <c r="BT627" t="s">
        <v>135</v>
      </c>
      <c r="BU627">
        <v>1</v>
      </c>
      <c r="BV627" t="str">
        <f>"Cook Helper"</f>
        <v>Cook Helper</v>
      </c>
      <c r="BW627" t="s">
        <v>135</v>
      </c>
      <c r="BX627" t="str">
        <f>""</f>
        <v/>
      </c>
      <c r="BY627" t="str">
        <f>""</f>
        <v/>
      </c>
      <c r="BZ627" t="str">
        <f>""</f>
        <v/>
      </c>
      <c r="CA627" t="str">
        <f>"Must have knowledge of frying, sautéing, basic egg cookery    and/or pastry  "</f>
        <v xml:space="preserve">Must have knowledge of frying, sautéing, basic egg cookery    and/or pastry  </v>
      </c>
      <c r="CB627" t="s">
        <v>131</v>
      </c>
      <c r="CF627" t="s">
        <v>131</v>
      </c>
      <c r="CH627" t="str">
        <f>""</f>
        <v/>
      </c>
      <c r="CI627" t="s">
        <v>131</v>
      </c>
      <c r="CK627" t="s">
        <v>131</v>
      </c>
      <c r="CL627" t="str">
        <f>""</f>
        <v/>
      </c>
      <c r="CM627" t="str">
        <f>""</f>
        <v/>
      </c>
      <c r="CN627" t="str">
        <f>""</f>
        <v/>
      </c>
      <c r="CO627" t="str">
        <f>""</f>
        <v/>
      </c>
      <c r="CP627" t="str">
        <f>"35-2021.00"</f>
        <v>35-2021.00</v>
      </c>
      <c r="CQ627" t="s">
        <v>1749</v>
      </c>
      <c r="CR627" t="s">
        <v>5542</v>
      </c>
      <c r="CS627" t="s">
        <v>131</v>
      </c>
      <c r="CU627" t="s">
        <v>11763</v>
      </c>
      <c r="CW627" t="s">
        <v>2156</v>
      </c>
      <c r="CX627" t="s">
        <v>195</v>
      </c>
      <c r="CZ627" s="3" t="str">
        <f>"33480"</f>
        <v>33480</v>
      </c>
      <c r="DA627" t="s">
        <v>135</v>
      </c>
      <c r="DB627" t="str">
        <f>"35-2021"</f>
        <v>35-2021</v>
      </c>
      <c r="DC627" t="s">
        <v>1749</v>
      </c>
      <c r="DD627" t="s">
        <v>134</v>
      </c>
      <c r="DE627" t="s">
        <v>134</v>
      </c>
      <c r="DF627" t="str">
        <f>""</f>
        <v/>
      </c>
      <c r="DH627" s="6">
        <v>12.26</v>
      </c>
      <c r="DI627" t="s">
        <v>344</v>
      </c>
      <c r="DK627" t="s">
        <v>345</v>
      </c>
      <c r="DR627" t="s">
        <v>2160</v>
      </c>
      <c r="DS627" s="6">
        <v>12.26</v>
      </c>
      <c r="DT627" t="s">
        <v>424</v>
      </c>
      <c r="DU627" s="1">
        <v>44363</v>
      </c>
      <c r="DV627" s="1">
        <v>44452</v>
      </c>
    </row>
    <row r="628" spans="1:126" ht="15" customHeight="1" x14ac:dyDescent="0.35">
      <c r="A628" t="s">
        <v>11759</v>
      </c>
      <c r="B628" t="s">
        <v>318</v>
      </c>
      <c r="C628" s="1">
        <v>44336</v>
      </c>
      <c r="D628" s="1">
        <v>44363</v>
      </c>
      <c r="H628" t="s">
        <v>319</v>
      </c>
      <c r="I628" t="s">
        <v>2153</v>
      </c>
      <c r="J628" t="s">
        <v>2154</v>
      </c>
      <c r="L628" t="s">
        <v>930</v>
      </c>
      <c r="M628" t="s">
        <v>2155</v>
      </c>
      <c r="O628" t="s">
        <v>2156</v>
      </c>
      <c r="P628" t="s">
        <v>194</v>
      </c>
      <c r="Q628" s="3">
        <v>33480</v>
      </c>
      <c r="R628" t="s">
        <v>128</v>
      </c>
      <c r="T628" s="4">
        <v>15616556611</v>
      </c>
      <c r="V628" t="s">
        <v>11760</v>
      </c>
      <c r="W628" t="s">
        <v>2157</v>
      </c>
      <c r="Y628" t="s">
        <v>2155</v>
      </c>
      <c r="AA628" t="s">
        <v>2156</v>
      </c>
      <c r="AB628" t="s">
        <v>195</v>
      </c>
      <c r="AC628" s="3" t="str">
        <f>"33480"</f>
        <v>33480</v>
      </c>
      <c r="AD628" t="s">
        <v>128</v>
      </c>
      <c r="AF628" s="4">
        <v>15616556611</v>
      </c>
      <c r="AH628" t="str">
        <f>"72111"</f>
        <v>72111</v>
      </c>
      <c r="AI628" t="s">
        <v>130</v>
      </c>
      <c r="AJ628" t="s">
        <v>617</v>
      </c>
      <c r="AK628" t="s">
        <v>246</v>
      </c>
      <c r="AL628" t="s">
        <v>1420</v>
      </c>
      <c r="AM628" t="s">
        <v>1421</v>
      </c>
      <c r="AN628" t="s">
        <v>1422</v>
      </c>
      <c r="AO628" t="s">
        <v>616</v>
      </c>
      <c r="AP628" t="s">
        <v>195</v>
      </c>
      <c r="AQ628" s="5">
        <v>33126</v>
      </c>
      <c r="AR628" t="s">
        <v>128</v>
      </c>
      <c r="AT628" s="4">
        <v>13057745800</v>
      </c>
      <c r="AV628" t="s">
        <v>1423</v>
      </c>
      <c r="AW628" t="s">
        <v>264</v>
      </c>
      <c r="AX628" t="s">
        <v>131</v>
      </c>
      <c r="AY628" t="s">
        <v>131</v>
      </c>
      <c r="AZ628" t="s">
        <v>131</v>
      </c>
      <c r="BA628" t="s">
        <v>131</v>
      </c>
      <c r="BB628" t="s">
        <v>131</v>
      </c>
      <c r="BC628" t="s">
        <v>131</v>
      </c>
      <c r="BD628" t="s">
        <v>131</v>
      </c>
      <c r="BE628" t="s">
        <v>132</v>
      </c>
      <c r="BH628" t="s">
        <v>11761</v>
      </c>
      <c r="BI628" t="s">
        <v>131</v>
      </c>
      <c r="BL628" t="s">
        <v>167</v>
      </c>
      <c r="BO628" t="s">
        <v>131</v>
      </c>
      <c r="BP628" t="s">
        <v>134</v>
      </c>
      <c r="BQ628" t="s">
        <v>131</v>
      </c>
      <c r="BS628" t="str">
        <f t="shared" si="46"/>
        <v>N/A</v>
      </c>
      <c r="BT628" t="s">
        <v>135</v>
      </c>
      <c r="BU628">
        <v>1</v>
      </c>
      <c r="BV628" t="str">
        <f>"F&amp;B Assistant I"</f>
        <v>F&amp;B Assistant I</v>
      </c>
      <c r="BW628" t="s">
        <v>131</v>
      </c>
      <c r="BX628" t="str">
        <f>""</f>
        <v/>
      </c>
      <c r="BY628" t="str">
        <f>""</f>
        <v/>
      </c>
      <c r="BZ628" t="str">
        <f>""</f>
        <v/>
      </c>
      <c r="CA628" t="str">
        <f>""</f>
        <v/>
      </c>
      <c r="CB628" t="s">
        <v>131</v>
      </c>
      <c r="CF628" t="s">
        <v>131</v>
      </c>
      <c r="CH628" t="str">
        <f>""</f>
        <v/>
      </c>
      <c r="CI628" t="s">
        <v>131</v>
      </c>
      <c r="CK628" t="s">
        <v>131</v>
      </c>
      <c r="CL628" t="str">
        <f>""</f>
        <v/>
      </c>
      <c r="CM628" t="str">
        <f>""</f>
        <v/>
      </c>
      <c r="CN628" t="str">
        <f>""</f>
        <v/>
      </c>
      <c r="CO628" t="str">
        <f>""</f>
        <v/>
      </c>
      <c r="CP628" t="str">
        <f>"35-9021.00"</f>
        <v>35-9021.00</v>
      </c>
      <c r="CQ628" t="s">
        <v>2552</v>
      </c>
      <c r="CR628" t="s">
        <v>11762</v>
      </c>
      <c r="CS628" t="s">
        <v>131</v>
      </c>
      <c r="CU628" t="s">
        <v>11763</v>
      </c>
      <c r="CW628" t="s">
        <v>2156</v>
      </c>
      <c r="CX628" t="s">
        <v>195</v>
      </c>
      <c r="CZ628" s="3" t="str">
        <f>"33480"</f>
        <v>33480</v>
      </c>
      <c r="DA628" t="s">
        <v>135</v>
      </c>
      <c r="DB628" t="str">
        <f>"35-9021"</f>
        <v>35-9021</v>
      </c>
      <c r="DC628" t="s">
        <v>2552</v>
      </c>
      <c r="DD628" t="s">
        <v>134</v>
      </c>
      <c r="DE628" t="s">
        <v>134</v>
      </c>
      <c r="DF628" t="str">
        <f>""</f>
        <v/>
      </c>
      <c r="DH628" s="6">
        <v>11.01</v>
      </c>
      <c r="DI628" t="s">
        <v>344</v>
      </c>
      <c r="DK628" t="s">
        <v>345</v>
      </c>
      <c r="DR628" t="s">
        <v>2160</v>
      </c>
      <c r="DS628" s="6">
        <v>11.01</v>
      </c>
      <c r="DT628" t="s">
        <v>424</v>
      </c>
      <c r="DU628" s="1">
        <v>44363</v>
      </c>
      <c r="DV628" s="1">
        <v>44452</v>
      </c>
    </row>
    <row r="629" spans="1:126" ht="15" customHeight="1" x14ac:dyDescent="0.35">
      <c r="A629" t="s">
        <v>15336</v>
      </c>
      <c r="B629" t="s">
        <v>318</v>
      </c>
      <c r="C629" s="1">
        <v>44336</v>
      </c>
      <c r="D629" s="1">
        <v>44364</v>
      </c>
      <c r="H629" t="s">
        <v>319</v>
      </c>
      <c r="I629" t="s">
        <v>15337</v>
      </c>
      <c r="J629" t="s">
        <v>3385</v>
      </c>
      <c r="K629" t="s">
        <v>6875</v>
      </c>
      <c r="L629" t="s">
        <v>1031</v>
      </c>
      <c r="M629" t="s">
        <v>15338</v>
      </c>
      <c r="N629" t="s">
        <v>134</v>
      </c>
      <c r="O629" t="s">
        <v>15339</v>
      </c>
      <c r="P629" t="s">
        <v>412</v>
      </c>
      <c r="Q629" s="3">
        <v>78163</v>
      </c>
      <c r="R629" t="s">
        <v>128</v>
      </c>
      <c r="T629" s="4">
        <v>18309804037</v>
      </c>
      <c r="U629">
        <v>0</v>
      </c>
      <c r="V629" t="s">
        <v>15340</v>
      </c>
      <c r="W629" t="s">
        <v>15341</v>
      </c>
      <c r="Y629" t="s">
        <v>15342</v>
      </c>
      <c r="AA629" t="s">
        <v>15343</v>
      </c>
      <c r="AB629" t="s">
        <v>400</v>
      </c>
      <c r="AC629" s="3" t="str">
        <f>"76273"</f>
        <v>76273</v>
      </c>
      <c r="AD629" t="s">
        <v>128</v>
      </c>
      <c r="AF629" s="4">
        <v>18309804037</v>
      </c>
      <c r="AG629">
        <v>0</v>
      </c>
      <c r="AH629" t="str">
        <f>"23814"</f>
        <v>23814</v>
      </c>
      <c r="AI629" t="s">
        <v>130</v>
      </c>
      <c r="AJ629" t="s">
        <v>3252</v>
      </c>
      <c r="AK629" t="s">
        <v>3253</v>
      </c>
      <c r="AL629" t="s">
        <v>589</v>
      </c>
      <c r="AM629" t="s">
        <v>3254</v>
      </c>
      <c r="AO629" t="s">
        <v>3255</v>
      </c>
      <c r="AP629" t="s">
        <v>779</v>
      </c>
      <c r="AQ629" s="5">
        <v>37110</v>
      </c>
      <c r="AR629" t="s">
        <v>128</v>
      </c>
      <c r="AT629" s="4">
        <v>19312747811</v>
      </c>
      <c r="AV629" t="s">
        <v>3256</v>
      </c>
      <c r="AW629" t="s">
        <v>3257</v>
      </c>
      <c r="AX629" t="s">
        <v>131</v>
      </c>
      <c r="AY629" t="s">
        <v>131</v>
      </c>
      <c r="AZ629" t="s">
        <v>131</v>
      </c>
      <c r="BA629" t="s">
        <v>131</v>
      </c>
      <c r="BB629" t="s">
        <v>131</v>
      </c>
      <c r="BC629" t="s">
        <v>131</v>
      </c>
      <c r="BD629" t="s">
        <v>131</v>
      </c>
      <c r="BE629" t="s">
        <v>132</v>
      </c>
      <c r="BH629" t="s">
        <v>6893</v>
      </c>
      <c r="BI629" t="s">
        <v>131</v>
      </c>
      <c r="BL629" t="s">
        <v>167</v>
      </c>
      <c r="BO629" t="s">
        <v>131</v>
      </c>
      <c r="BP629" t="s">
        <v>134</v>
      </c>
      <c r="BQ629" t="s">
        <v>131</v>
      </c>
      <c r="BS629" t="str">
        <f t="shared" si="46"/>
        <v>N/A</v>
      </c>
      <c r="BT629" t="s">
        <v>135</v>
      </c>
      <c r="BU629">
        <v>3</v>
      </c>
      <c r="BV629" t="str">
        <f>"Hardscape"</f>
        <v>Hardscape</v>
      </c>
      <c r="BW629" t="s">
        <v>135</v>
      </c>
      <c r="BX629" t="str">
        <f>""</f>
        <v/>
      </c>
      <c r="BY629" t="str">
        <f>""</f>
        <v/>
      </c>
      <c r="BZ629" t="str">
        <f>""</f>
        <v/>
      </c>
      <c r="CA629" t="str">
        <f>"MUST BE ABLE TO LIFT 60 POUNDS. MUST HAVE 3 MONTHS EXPERIENCE IN HARDSCAPE."</f>
        <v>MUST BE ABLE TO LIFT 60 POUNDS. MUST HAVE 3 MONTHS EXPERIENCE IN HARDSCAPE.</v>
      </c>
      <c r="CB629" t="s">
        <v>131</v>
      </c>
      <c r="CF629" t="s">
        <v>131</v>
      </c>
      <c r="CH629" t="str">
        <f>""</f>
        <v/>
      </c>
      <c r="CI629" t="s">
        <v>131</v>
      </c>
      <c r="CK629" t="s">
        <v>131</v>
      </c>
      <c r="CL629" t="str">
        <f>""</f>
        <v/>
      </c>
      <c r="CM629" t="str">
        <f>""</f>
        <v/>
      </c>
      <c r="CN629" t="str">
        <f>""</f>
        <v/>
      </c>
      <c r="CO629" t="str">
        <f>""</f>
        <v/>
      </c>
      <c r="CP629" t="str">
        <f>"37-3011.00"</f>
        <v>37-3011.00</v>
      </c>
      <c r="CQ629" t="s">
        <v>920</v>
      </c>
      <c r="CS629" t="s">
        <v>131</v>
      </c>
      <c r="CU629" t="s">
        <v>15342</v>
      </c>
      <c r="CW629" t="s">
        <v>15343</v>
      </c>
      <c r="CX629" t="s">
        <v>400</v>
      </c>
      <c r="CZ629" s="3" t="str">
        <f>"76273"</f>
        <v>76273</v>
      </c>
      <c r="DA629" t="s">
        <v>135</v>
      </c>
      <c r="DB629" t="str">
        <f>"37-3011"</f>
        <v>37-3011</v>
      </c>
      <c r="DC629" t="s">
        <v>920</v>
      </c>
      <c r="DD629" t="s">
        <v>134</v>
      </c>
      <c r="DE629" t="s">
        <v>134</v>
      </c>
      <c r="DF629" t="str">
        <f>""</f>
        <v/>
      </c>
      <c r="DH629" s="6">
        <v>13.19</v>
      </c>
      <c r="DI629" t="s">
        <v>344</v>
      </c>
      <c r="DK629" t="s">
        <v>345</v>
      </c>
      <c r="DR629" t="s">
        <v>15344</v>
      </c>
      <c r="DS629" s="6">
        <v>15.23</v>
      </c>
      <c r="DT629" t="s">
        <v>424</v>
      </c>
      <c r="DU629" s="1">
        <v>44364</v>
      </c>
      <c r="DV629" s="1">
        <v>44453</v>
      </c>
    </row>
    <row r="630" spans="1:126" ht="15" customHeight="1" x14ac:dyDescent="0.35">
      <c r="A630" t="s">
        <v>2152</v>
      </c>
      <c r="B630" t="s">
        <v>318</v>
      </c>
      <c r="C630" s="1">
        <v>44336</v>
      </c>
      <c r="D630" s="1">
        <v>44363</v>
      </c>
      <c r="H630" t="s">
        <v>319</v>
      </c>
      <c r="I630" t="s">
        <v>2153</v>
      </c>
      <c r="J630" t="s">
        <v>2154</v>
      </c>
      <c r="L630" t="s">
        <v>930</v>
      </c>
      <c r="M630" t="s">
        <v>2155</v>
      </c>
      <c r="O630" t="s">
        <v>2156</v>
      </c>
      <c r="P630" t="s">
        <v>194</v>
      </c>
      <c r="Q630" s="3">
        <v>33480</v>
      </c>
      <c r="R630" t="s">
        <v>128</v>
      </c>
      <c r="T630" s="4">
        <v>15616556611</v>
      </c>
      <c r="V630" t="s">
        <v>1423</v>
      </c>
      <c r="W630" t="s">
        <v>2157</v>
      </c>
      <c r="Y630" t="s">
        <v>2155</v>
      </c>
      <c r="AA630" t="s">
        <v>2156</v>
      </c>
      <c r="AB630" t="s">
        <v>195</v>
      </c>
      <c r="AC630" s="3" t="str">
        <f>"33480"</f>
        <v>33480</v>
      </c>
      <c r="AD630" t="s">
        <v>128</v>
      </c>
      <c r="AF630" s="4">
        <v>15616556611</v>
      </c>
      <c r="AH630" t="str">
        <f>"72111"</f>
        <v>72111</v>
      </c>
      <c r="AI630" t="s">
        <v>130</v>
      </c>
      <c r="AJ630" t="s">
        <v>617</v>
      </c>
      <c r="AK630" t="s">
        <v>246</v>
      </c>
      <c r="AL630" t="s">
        <v>1420</v>
      </c>
      <c r="AM630" t="s">
        <v>1421</v>
      </c>
      <c r="AN630" t="s">
        <v>1422</v>
      </c>
      <c r="AO630" t="s">
        <v>616</v>
      </c>
      <c r="AP630" t="s">
        <v>195</v>
      </c>
      <c r="AQ630" s="5">
        <v>33126</v>
      </c>
      <c r="AR630" t="s">
        <v>128</v>
      </c>
      <c r="AT630" s="4">
        <v>13057745800</v>
      </c>
      <c r="AV630" t="s">
        <v>1423</v>
      </c>
      <c r="AW630" t="s">
        <v>264</v>
      </c>
      <c r="AX630" t="s">
        <v>131</v>
      </c>
      <c r="AY630" t="s">
        <v>131</v>
      </c>
      <c r="AZ630" t="s">
        <v>131</v>
      </c>
      <c r="BA630" t="s">
        <v>131</v>
      </c>
      <c r="BB630" t="s">
        <v>131</v>
      </c>
      <c r="BC630" t="s">
        <v>131</v>
      </c>
      <c r="BD630" t="s">
        <v>131</v>
      </c>
      <c r="BE630" t="s">
        <v>132</v>
      </c>
      <c r="BH630" t="s">
        <v>2158</v>
      </c>
      <c r="BI630" t="s">
        <v>131</v>
      </c>
      <c r="BL630" t="s">
        <v>167</v>
      </c>
      <c r="BO630" t="s">
        <v>131</v>
      </c>
      <c r="BP630" t="s">
        <v>134</v>
      </c>
      <c r="BQ630" t="s">
        <v>131</v>
      </c>
      <c r="BS630" t="str">
        <f t="shared" si="46"/>
        <v>N/A</v>
      </c>
      <c r="BT630" t="s">
        <v>135</v>
      </c>
      <c r="BU630">
        <v>1</v>
      </c>
      <c r="BV630" t="str">
        <f>"F&amp;B Assistant II"</f>
        <v>F&amp;B Assistant II</v>
      </c>
      <c r="BW630" t="s">
        <v>135</v>
      </c>
      <c r="BX630" t="str">
        <f>""</f>
        <v/>
      </c>
      <c r="BY630" t="str">
        <f>""</f>
        <v/>
      </c>
      <c r="BZ630" t="str">
        <f>""</f>
        <v/>
      </c>
      <c r="CA630" t="str">
        <f>"Must be able to read and write English correctly."</f>
        <v>Must be able to read and write English correctly.</v>
      </c>
      <c r="CB630" t="s">
        <v>131</v>
      </c>
      <c r="CF630" t="s">
        <v>131</v>
      </c>
      <c r="CH630" t="str">
        <f>""</f>
        <v/>
      </c>
      <c r="CI630" t="s">
        <v>131</v>
      </c>
      <c r="CK630" t="s">
        <v>131</v>
      </c>
      <c r="CL630" t="str">
        <f>""</f>
        <v/>
      </c>
      <c r="CM630" t="str">
        <f>""</f>
        <v/>
      </c>
      <c r="CN630" t="str">
        <f>""</f>
        <v/>
      </c>
      <c r="CO630" t="str">
        <f>""</f>
        <v/>
      </c>
      <c r="CP630" t="str">
        <f>"35-9011.00"</f>
        <v>35-9011.00</v>
      </c>
      <c r="CQ630" t="s">
        <v>1016</v>
      </c>
      <c r="CR630" t="s">
        <v>2159</v>
      </c>
      <c r="CS630" t="s">
        <v>131</v>
      </c>
      <c r="CU630" t="s">
        <v>2155</v>
      </c>
      <c r="CW630" t="s">
        <v>2156</v>
      </c>
      <c r="CX630" t="s">
        <v>195</v>
      </c>
      <c r="CZ630" s="3" t="str">
        <f>"33480"</f>
        <v>33480</v>
      </c>
      <c r="DA630" t="s">
        <v>135</v>
      </c>
      <c r="DB630" t="str">
        <f>"35-9011"</f>
        <v>35-9011</v>
      </c>
      <c r="DC630" t="s">
        <v>1016</v>
      </c>
      <c r="DD630" t="s">
        <v>134</v>
      </c>
      <c r="DE630" t="s">
        <v>134</v>
      </c>
      <c r="DF630" t="str">
        <f>""</f>
        <v/>
      </c>
      <c r="DH630" s="6">
        <v>10.5</v>
      </c>
      <c r="DI630" t="s">
        <v>344</v>
      </c>
      <c r="DK630" t="s">
        <v>345</v>
      </c>
      <c r="DR630" t="s">
        <v>2160</v>
      </c>
      <c r="DS630" s="6">
        <v>10.5</v>
      </c>
      <c r="DT630" t="s">
        <v>424</v>
      </c>
      <c r="DU630" s="1">
        <v>44363</v>
      </c>
      <c r="DV630" s="1">
        <v>44452</v>
      </c>
    </row>
    <row r="631" spans="1:126" ht="15" customHeight="1" x14ac:dyDescent="0.35">
      <c r="A631" t="s">
        <v>8341</v>
      </c>
      <c r="B631" t="s">
        <v>318</v>
      </c>
      <c r="C631" s="1">
        <v>44336</v>
      </c>
      <c r="D631" s="1">
        <v>44363</v>
      </c>
      <c r="H631" t="s">
        <v>319</v>
      </c>
      <c r="I631" t="s">
        <v>2153</v>
      </c>
      <c r="J631" t="s">
        <v>2154</v>
      </c>
      <c r="L631" t="s">
        <v>930</v>
      </c>
      <c r="M631" t="s">
        <v>2155</v>
      </c>
      <c r="O631" t="s">
        <v>2156</v>
      </c>
      <c r="P631" t="s">
        <v>194</v>
      </c>
      <c r="Q631" s="3">
        <v>33480</v>
      </c>
      <c r="R631" t="s">
        <v>128</v>
      </c>
      <c r="T631" s="4">
        <v>15616556611</v>
      </c>
      <c r="V631" t="s">
        <v>1423</v>
      </c>
      <c r="W631" t="s">
        <v>2157</v>
      </c>
      <c r="Y631" t="s">
        <v>2155</v>
      </c>
      <c r="AA631" t="s">
        <v>2156</v>
      </c>
      <c r="AB631" t="s">
        <v>195</v>
      </c>
      <c r="AC631" s="3" t="str">
        <f>"33480"</f>
        <v>33480</v>
      </c>
      <c r="AD631" t="s">
        <v>128</v>
      </c>
      <c r="AF631" s="4">
        <v>15616556611</v>
      </c>
      <c r="AH631" t="str">
        <f>"72111"</f>
        <v>72111</v>
      </c>
      <c r="AI631" t="s">
        <v>130</v>
      </c>
      <c r="AJ631" t="s">
        <v>617</v>
      </c>
      <c r="AK631" t="s">
        <v>246</v>
      </c>
      <c r="AL631" t="s">
        <v>1420</v>
      </c>
      <c r="AM631" t="s">
        <v>1421</v>
      </c>
      <c r="AN631" t="s">
        <v>1422</v>
      </c>
      <c r="AO631" t="s">
        <v>616</v>
      </c>
      <c r="AP631" t="s">
        <v>195</v>
      </c>
      <c r="AQ631" s="5">
        <v>33126</v>
      </c>
      <c r="AR631" t="s">
        <v>128</v>
      </c>
      <c r="AT631" s="4">
        <v>13057745800</v>
      </c>
      <c r="AV631" t="s">
        <v>1423</v>
      </c>
      <c r="AW631" t="s">
        <v>264</v>
      </c>
      <c r="AX631" t="s">
        <v>131</v>
      </c>
      <c r="AY631" t="s">
        <v>131</v>
      </c>
      <c r="AZ631" t="s">
        <v>131</v>
      </c>
      <c r="BA631" t="s">
        <v>131</v>
      </c>
      <c r="BB631" t="s">
        <v>131</v>
      </c>
      <c r="BC631" t="s">
        <v>131</v>
      </c>
      <c r="BD631" t="s">
        <v>131</v>
      </c>
      <c r="BE631" t="s">
        <v>132</v>
      </c>
      <c r="BH631" t="s">
        <v>7224</v>
      </c>
      <c r="BI631" t="s">
        <v>131</v>
      </c>
      <c r="BL631" t="s">
        <v>167</v>
      </c>
      <c r="BO631" t="s">
        <v>131</v>
      </c>
      <c r="BP631" t="s">
        <v>134</v>
      </c>
      <c r="BQ631" t="s">
        <v>131</v>
      </c>
      <c r="BS631" t="str">
        <f t="shared" si="46"/>
        <v>N/A</v>
      </c>
      <c r="BT631" t="s">
        <v>135</v>
      </c>
      <c r="BU631">
        <v>1</v>
      </c>
      <c r="BV631" t="str">
        <f>"Waiter/Waitress"</f>
        <v>Waiter/Waitress</v>
      </c>
      <c r="BW631" t="s">
        <v>135</v>
      </c>
      <c r="BX631" t="str">
        <f>""</f>
        <v/>
      </c>
      <c r="BY631" t="str">
        <f>""</f>
        <v/>
      </c>
      <c r="BZ631" t="str">
        <f>""</f>
        <v/>
      </c>
      <c r="CA631" t="str">
        <f>"Must be able to read and write English correctly."</f>
        <v>Must be able to read and write English correctly.</v>
      </c>
      <c r="CB631" t="s">
        <v>131</v>
      </c>
      <c r="CF631" t="s">
        <v>131</v>
      </c>
      <c r="CH631" t="str">
        <f>""</f>
        <v/>
      </c>
      <c r="CI631" t="s">
        <v>131</v>
      </c>
      <c r="CK631" t="s">
        <v>131</v>
      </c>
      <c r="CL631" t="str">
        <f>""</f>
        <v/>
      </c>
      <c r="CM631" t="str">
        <f>""</f>
        <v/>
      </c>
      <c r="CN631" t="str">
        <f>""</f>
        <v/>
      </c>
      <c r="CO631" t="str">
        <f>""</f>
        <v/>
      </c>
      <c r="CP631" t="str">
        <f>"35-3031.00"</f>
        <v>35-3031.00</v>
      </c>
      <c r="CQ631" t="s">
        <v>1214</v>
      </c>
      <c r="CR631" t="s">
        <v>2159</v>
      </c>
      <c r="CS631" t="s">
        <v>131</v>
      </c>
      <c r="CU631" t="s">
        <v>2155</v>
      </c>
      <c r="CW631" t="s">
        <v>2156</v>
      </c>
      <c r="CX631" t="s">
        <v>195</v>
      </c>
      <c r="CZ631" s="3" t="str">
        <f>"33480"</f>
        <v>33480</v>
      </c>
      <c r="DA631" t="s">
        <v>135</v>
      </c>
      <c r="DB631" t="str">
        <f>"35-3031"</f>
        <v>35-3031</v>
      </c>
      <c r="DC631" t="s">
        <v>1214</v>
      </c>
      <c r="DD631" t="s">
        <v>134</v>
      </c>
      <c r="DE631" t="s">
        <v>134</v>
      </c>
      <c r="DF631" t="str">
        <f>""</f>
        <v/>
      </c>
      <c r="DH631" s="6">
        <v>12.55</v>
      </c>
      <c r="DI631" t="s">
        <v>344</v>
      </c>
      <c r="DK631" t="s">
        <v>345</v>
      </c>
      <c r="DR631" t="s">
        <v>2160</v>
      </c>
      <c r="DS631" s="6">
        <v>12.55</v>
      </c>
      <c r="DT631" s="2" t="s">
        <v>2219</v>
      </c>
      <c r="DU631" s="1">
        <v>44363</v>
      </c>
      <c r="DV631" s="1">
        <v>44452</v>
      </c>
    </row>
    <row r="632" spans="1:126" ht="15" customHeight="1" x14ac:dyDescent="0.35">
      <c r="A632" t="s">
        <v>8297</v>
      </c>
      <c r="B632" t="s">
        <v>318</v>
      </c>
      <c r="C632" s="1">
        <v>44336</v>
      </c>
      <c r="D632" s="1">
        <v>44363</v>
      </c>
      <c r="H632" t="s">
        <v>319</v>
      </c>
      <c r="I632" t="s">
        <v>2153</v>
      </c>
      <c r="J632" t="s">
        <v>2154</v>
      </c>
      <c r="L632" t="s">
        <v>930</v>
      </c>
      <c r="M632" t="s">
        <v>2155</v>
      </c>
      <c r="O632" t="s">
        <v>2156</v>
      </c>
      <c r="P632" t="s">
        <v>194</v>
      </c>
      <c r="Q632" s="3">
        <v>33480</v>
      </c>
      <c r="R632" t="s">
        <v>128</v>
      </c>
      <c r="T632" s="4">
        <v>15616556611</v>
      </c>
      <c r="V632" t="s">
        <v>8298</v>
      </c>
      <c r="W632" t="s">
        <v>2157</v>
      </c>
      <c r="Y632" t="s">
        <v>2155</v>
      </c>
      <c r="AA632" t="s">
        <v>2156</v>
      </c>
      <c r="AB632" t="s">
        <v>195</v>
      </c>
      <c r="AC632" s="3" t="str">
        <f>"33480"</f>
        <v>33480</v>
      </c>
      <c r="AD632" t="s">
        <v>128</v>
      </c>
      <c r="AF632" s="4">
        <v>15616556611</v>
      </c>
      <c r="AH632" t="str">
        <f>"72111"</f>
        <v>72111</v>
      </c>
      <c r="AI632" t="s">
        <v>130</v>
      </c>
      <c r="AJ632" t="s">
        <v>617</v>
      </c>
      <c r="AK632" t="s">
        <v>246</v>
      </c>
      <c r="AL632" t="s">
        <v>1420</v>
      </c>
      <c r="AM632" t="s">
        <v>1421</v>
      </c>
      <c r="AN632" t="s">
        <v>1422</v>
      </c>
      <c r="AO632" t="s">
        <v>616</v>
      </c>
      <c r="AP632" t="s">
        <v>195</v>
      </c>
      <c r="AQ632" s="5">
        <v>33126</v>
      </c>
      <c r="AR632" t="s">
        <v>128</v>
      </c>
      <c r="AT632" s="4">
        <v>13057745800</v>
      </c>
      <c r="AV632" t="s">
        <v>1423</v>
      </c>
      <c r="AW632" t="s">
        <v>264</v>
      </c>
      <c r="AX632" t="s">
        <v>131</v>
      </c>
      <c r="AY632" t="s">
        <v>131</v>
      </c>
      <c r="AZ632" t="s">
        <v>131</v>
      </c>
      <c r="BA632" t="s">
        <v>131</v>
      </c>
      <c r="BB632" t="s">
        <v>131</v>
      </c>
      <c r="BC632" t="s">
        <v>131</v>
      </c>
      <c r="BD632" t="s">
        <v>131</v>
      </c>
      <c r="BE632" t="s">
        <v>132</v>
      </c>
      <c r="BH632" t="s">
        <v>8299</v>
      </c>
      <c r="BI632" t="s">
        <v>131</v>
      </c>
      <c r="BL632" t="s">
        <v>167</v>
      </c>
      <c r="BO632" t="s">
        <v>131</v>
      </c>
      <c r="BP632" t="s">
        <v>134</v>
      </c>
      <c r="BQ632" t="s">
        <v>131</v>
      </c>
      <c r="BS632" t="str">
        <f t="shared" si="46"/>
        <v>N/A</v>
      </c>
      <c r="BT632" t="s">
        <v>135</v>
      </c>
      <c r="BU632">
        <v>1</v>
      </c>
      <c r="BV632" t="str">
        <f>"Ladies Spa Attendant"</f>
        <v>Ladies Spa Attendant</v>
      </c>
      <c r="BW632" t="s">
        <v>131</v>
      </c>
      <c r="BX632" t="str">
        <f>""</f>
        <v/>
      </c>
      <c r="BY632" t="str">
        <f>""</f>
        <v/>
      </c>
      <c r="BZ632" t="str">
        <f>""</f>
        <v/>
      </c>
      <c r="CA632" t="str">
        <f>""</f>
        <v/>
      </c>
      <c r="CB632" t="s">
        <v>131</v>
      </c>
      <c r="CF632" t="s">
        <v>131</v>
      </c>
      <c r="CH632" t="str">
        <f>""</f>
        <v/>
      </c>
      <c r="CI632" t="s">
        <v>131</v>
      </c>
      <c r="CK632" t="s">
        <v>131</v>
      </c>
      <c r="CL632" t="str">
        <f>""</f>
        <v/>
      </c>
      <c r="CM632" t="str">
        <f>""</f>
        <v/>
      </c>
      <c r="CN632" t="str">
        <f>""</f>
        <v/>
      </c>
      <c r="CO632" t="str">
        <f>""</f>
        <v/>
      </c>
      <c r="CP632" t="str">
        <f>"39-3093.00"</f>
        <v>39-3093.00</v>
      </c>
      <c r="CQ632" t="s">
        <v>7815</v>
      </c>
      <c r="CR632" t="s">
        <v>8300</v>
      </c>
      <c r="CS632" t="s">
        <v>131</v>
      </c>
      <c r="CU632" t="s">
        <v>2155</v>
      </c>
      <c r="CW632" t="s">
        <v>2156</v>
      </c>
      <c r="CX632" t="s">
        <v>195</v>
      </c>
      <c r="CZ632" s="3" t="str">
        <f>"33480"</f>
        <v>33480</v>
      </c>
      <c r="DA632" t="s">
        <v>135</v>
      </c>
      <c r="DB632" t="str">
        <f>"39-3093"</f>
        <v>39-3093</v>
      </c>
      <c r="DC632" t="s">
        <v>7815</v>
      </c>
      <c r="DD632" t="s">
        <v>134</v>
      </c>
      <c r="DE632" t="s">
        <v>134</v>
      </c>
      <c r="DF632" t="str">
        <f>""</f>
        <v/>
      </c>
      <c r="DH632" s="6">
        <v>13.05</v>
      </c>
      <c r="DI632" t="s">
        <v>344</v>
      </c>
      <c r="DK632" t="s">
        <v>345</v>
      </c>
      <c r="DR632" t="s">
        <v>2160</v>
      </c>
      <c r="DS632" s="6">
        <v>13.05</v>
      </c>
      <c r="DT632" t="s">
        <v>424</v>
      </c>
      <c r="DU632" s="1">
        <v>44363</v>
      </c>
      <c r="DV632" s="1">
        <v>44452</v>
      </c>
    </row>
    <row r="633" spans="1:126" ht="15" customHeight="1" x14ac:dyDescent="0.35">
      <c r="A633" t="s">
        <v>19792</v>
      </c>
      <c r="B633" t="s">
        <v>318</v>
      </c>
      <c r="C633" s="1">
        <v>44336</v>
      </c>
      <c r="D633" s="1">
        <v>44363</v>
      </c>
      <c r="H633" t="s">
        <v>319</v>
      </c>
      <c r="I633" t="s">
        <v>19793</v>
      </c>
      <c r="J633" t="s">
        <v>4256</v>
      </c>
      <c r="L633" t="s">
        <v>701</v>
      </c>
      <c r="M633" t="s">
        <v>19794</v>
      </c>
      <c r="O633" t="s">
        <v>17942</v>
      </c>
      <c r="P633" t="s">
        <v>778</v>
      </c>
      <c r="Q633" s="3">
        <v>37863</v>
      </c>
      <c r="R633" t="s">
        <v>128</v>
      </c>
      <c r="T633" s="4">
        <v>18654534734</v>
      </c>
      <c r="V633" t="s">
        <v>19795</v>
      </c>
      <c r="W633" t="s">
        <v>19796</v>
      </c>
      <c r="X633" t="s">
        <v>19797</v>
      </c>
      <c r="Y633" t="s">
        <v>19794</v>
      </c>
      <c r="AA633" t="s">
        <v>17942</v>
      </c>
      <c r="AB633" t="s">
        <v>779</v>
      </c>
      <c r="AC633" s="3" t="str">
        <f>"37863"</f>
        <v>37863</v>
      </c>
      <c r="AD633" t="s">
        <v>128</v>
      </c>
      <c r="AE633" t="s">
        <v>779</v>
      </c>
      <c r="AF633" s="4">
        <v>18654534734</v>
      </c>
      <c r="AH633" t="str">
        <f>"4532"</f>
        <v>4532</v>
      </c>
      <c r="AI633" t="s">
        <v>287</v>
      </c>
      <c r="AJ633" t="s">
        <v>2209</v>
      </c>
      <c r="AK633" t="s">
        <v>1459</v>
      </c>
      <c r="AL633" t="s">
        <v>2210</v>
      </c>
      <c r="AM633" t="s">
        <v>2211</v>
      </c>
      <c r="AN633" t="s">
        <v>788</v>
      </c>
      <c r="AO633" t="s">
        <v>2212</v>
      </c>
      <c r="AP633" t="s">
        <v>400</v>
      </c>
      <c r="AQ633" s="5">
        <v>75033</v>
      </c>
      <c r="AR633" t="s">
        <v>128</v>
      </c>
      <c r="AT633" s="4">
        <v>19727789690</v>
      </c>
      <c r="AV633" t="s">
        <v>2320</v>
      </c>
      <c r="AW633" t="s">
        <v>2214</v>
      </c>
      <c r="AX633" t="s">
        <v>131</v>
      </c>
      <c r="AY633" t="s">
        <v>131</v>
      </c>
      <c r="AZ633" t="s">
        <v>131</v>
      </c>
      <c r="BA633" t="s">
        <v>131</v>
      </c>
      <c r="BB633" t="s">
        <v>131</v>
      </c>
      <c r="BC633" t="s">
        <v>131</v>
      </c>
      <c r="BD633" t="s">
        <v>131</v>
      </c>
      <c r="BE633" t="s">
        <v>132</v>
      </c>
      <c r="BH633" t="s">
        <v>11037</v>
      </c>
      <c r="BI633" t="s">
        <v>131</v>
      </c>
      <c r="BL633" t="s">
        <v>167</v>
      </c>
      <c r="BO633" t="s">
        <v>131</v>
      </c>
      <c r="BP633" t="s">
        <v>134</v>
      </c>
      <c r="BQ633" t="s">
        <v>131</v>
      </c>
      <c r="BS633" t="str">
        <f t="shared" si="46"/>
        <v>N/A</v>
      </c>
      <c r="BT633" t="s">
        <v>131</v>
      </c>
      <c r="BV633" t="str">
        <f>""</f>
        <v/>
      </c>
      <c r="BW633" t="s">
        <v>135</v>
      </c>
      <c r="BX633" t="str">
        <f>""</f>
        <v/>
      </c>
      <c r="BY633" t="str">
        <f>""</f>
        <v/>
      </c>
      <c r="BZ633" t="str">
        <f>""</f>
        <v/>
      </c>
      <c r="CA633" t="str">
        <f>"Must be able to work weekends and holidays. Applicants must complete an employment application. "</f>
        <v xml:space="preserve">Must be able to work weekends and holidays. Applicants must complete an employment application. </v>
      </c>
      <c r="CB633" t="s">
        <v>131</v>
      </c>
      <c r="CF633" t="s">
        <v>131</v>
      </c>
      <c r="CH633" t="str">
        <f>""</f>
        <v/>
      </c>
      <c r="CI633" t="s">
        <v>131</v>
      </c>
      <c r="CK633" t="s">
        <v>131</v>
      </c>
      <c r="CL633" t="str">
        <f>""</f>
        <v/>
      </c>
      <c r="CM633" t="str">
        <f>""</f>
        <v/>
      </c>
      <c r="CN633" t="str">
        <f>""</f>
        <v/>
      </c>
      <c r="CO633" t="str">
        <f>""</f>
        <v/>
      </c>
      <c r="CP633" t="str">
        <f>"41-2011.00"</f>
        <v>41-2011.00</v>
      </c>
      <c r="CQ633" t="s">
        <v>5621</v>
      </c>
      <c r="CS633" t="s">
        <v>131</v>
      </c>
      <c r="CU633" t="s">
        <v>19794</v>
      </c>
      <c r="CW633" t="s">
        <v>17942</v>
      </c>
      <c r="CX633" t="s">
        <v>779</v>
      </c>
      <c r="CZ633" s="3" t="str">
        <f>"37863"</f>
        <v>37863</v>
      </c>
      <c r="DA633" t="s">
        <v>131</v>
      </c>
      <c r="DB633" t="str">
        <f>"41-2011"</f>
        <v>41-2011</v>
      </c>
      <c r="DC633" t="s">
        <v>5621</v>
      </c>
      <c r="DD633" t="s">
        <v>134</v>
      </c>
      <c r="DE633" t="s">
        <v>134</v>
      </c>
      <c r="DF633" t="str">
        <f>""</f>
        <v/>
      </c>
      <c r="DH633" s="6">
        <v>10.87</v>
      </c>
      <c r="DI633" t="s">
        <v>344</v>
      </c>
      <c r="DK633" t="s">
        <v>345</v>
      </c>
      <c r="DR633" t="s">
        <v>8289</v>
      </c>
      <c r="DS633" s="6">
        <v>10.87</v>
      </c>
      <c r="DT633" t="s">
        <v>424</v>
      </c>
      <c r="DU633" s="1">
        <v>44363</v>
      </c>
      <c r="DV633" s="1">
        <v>44452</v>
      </c>
    </row>
    <row r="634" spans="1:126" ht="15" customHeight="1" x14ac:dyDescent="0.35">
      <c r="A634" t="s">
        <v>18391</v>
      </c>
      <c r="B634" t="s">
        <v>318</v>
      </c>
      <c r="C634" s="1">
        <v>44336</v>
      </c>
      <c r="D634" s="1">
        <v>44363</v>
      </c>
      <c r="H634" t="s">
        <v>319</v>
      </c>
      <c r="I634" t="s">
        <v>2153</v>
      </c>
      <c r="J634" t="s">
        <v>2154</v>
      </c>
      <c r="L634" t="s">
        <v>930</v>
      </c>
      <c r="M634" t="s">
        <v>2155</v>
      </c>
      <c r="O634" t="s">
        <v>2156</v>
      </c>
      <c r="P634" t="s">
        <v>194</v>
      </c>
      <c r="Q634" s="3">
        <v>33480</v>
      </c>
      <c r="R634" t="s">
        <v>128</v>
      </c>
      <c r="T634" s="4">
        <v>15616556611</v>
      </c>
      <c r="V634" t="s">
        <v>1423</v>
      </c>
      <c r="W634" t="s">
        <v>2157</v>
      </c>
      <c r="Y634" t="s">
        <v>2155</v>
      </c>
      <c r="AA634" t="s">
        <v>2156</v>
      </c>
      <c r="AB634" t="s">
        <v>195</v>
      </c>
      <c r="AC634" s="3" t="str">
        <f>"33480"</f>
        <v>33480</v>
      </c>
      <c r="AD634" t="s">
        <v>128</v>
      </c>
      <c r="AF634" s="4">
        <v>15616556611</v>
      </c>
      <c r="AH634" t="str">
        <f>"72111"</f>
        <v>72111</v>
      </c>
      <c r="AI634" t="s">
        <v>130</v>
      </c>
      <c r="AJ634" t="s">
        <v>617</v>
      </c>
      <c r="AK634" t="s">
        <v>246</v>
      </c>
      <c r="AL634" t="s">
        <v>1420</v>
      </c>
      <c r="AM634" t="s">
        <v>1421</v>
      </c>
      <c r="AN634" t="s">
        <v>1422</v>
      </c>
      <c r="AO634" t="s">
        <v>616</v>
      </c>
      <c r="AP634" t="s">
        <v>195</v>
      </c>
      <c r="AQ634" s="5">
        <v>33126</v>
      </c>
      <c r="AR634" t="s">
        <v>128</v>
      </c>
      <c r="AT634" s="4">
        <v>13057745800</v>
      </c>
      <c r="AV634" t="s">
        <v>1423</v>
      </c>
      <c r="AW634" t="s">
        <v>264</v>
      </c>
      <c r="AX634" t="s">
        <v>131</v>
      </c>
      <c r="AY634" t="s">
        <v>131</v>
      </c>
      <c r="AZ634" t="s">
        <v>131</v>
      </c>
      <c r="BA634" t="s">
        <v>131</v>
      </c>
      <c r="BB634" t="s">
        <v>131</v>
      </c>
      <c r="BC634" t="s">
        <v>131</v>
      </c>
      <c r="BD634" t="s">
        <v>131</v>
      </c>
      <c r="BE634" t="s">
        <v>132</v>
      </c>
      <c r="BH634" t="s">
        <v>10120</v>
      </c>
      <c r="BI634" t="s">
        <v>131</v>
      </c>
      <c r="BL634" t="s">
        <v>167</v>
      </c>
      <c r="BO634" t="s">
        <v>131</v>
      </c>
      <c r="BP634" t="s">
        <v>134</v>
      </c>
      <c r="BQ634" t="s">
        <v>131</v>
      </c>
      <c r="BS634" t="str">
        <f t="shared" si="46"/>
        <v>N/A</v>
      </c>
      <c r="BT634" t="s">
        <v>135</v>
      </c>
      <c r="BU634">
        <v>1</v>
      </c>
      <c r="BV634" t="str">
        <f>"Room Attendant"</f>
        <v>Room Attendant</v>
      </c>
      <c r="BW634" t="s">
        <v>131</v>
      </c>
      <c r="BX634" t="str">
        <f>""</f>
        <v/>
      </c>
      <c r="BY634" t="str">
        <f>""</f>
        <v/>
      </c>
      <c r="BZ634" t="str">
        <f>""</f>
        <v/>
      </c>
      <c r="CA634" t="str">
        <f>""</f>
        <v/>
      </c>
      <c r="CB634" t="s">
        <v>131</v>
      </c>
      <c r="CF634" t="s">
        <v>131</v>
      </c>
      <c r="CH634" t="str">
        <f>""</f>
        <v/>
      </c>
      <c r="CI634" t="s">
        <v>131</v>
      </c>
      <c r="CK634" t="s">
        <v>131</v>
      </c>
      <c r="CL634" t="str">
        <f>""</f>
        <v/>
      </c>
      <c r="CM634" t="str">
        <f>""</f>
        <v/>
      </c>
      <c r="CN634" t="str">
        <f>""</f>
        <v/>
      </c>
      <c r="CO634" t="str">
        <f>""</f>
        <v/>
      </c>
      <c r="CP634" t="str">
        <f>"37-2012.00"</f>
        <v>37-2012.00</v>
      </c>
      <c r="CQ634" t="s">
        <v>479</v>
      </c>
      <c r="CR634" t="s">
        <v>18392</v>
      </c>
      <c r="CS634" t="s">
        <v>131</v>
      </c>
      <c r="CU634" t="s">
        <v>2155</v>
      </c>
      <c r="CW634" t="s">
        <v>2156</v>
      </c>
      <c r="CX634" t="s">
        <v>195</v>
      </c>
      <c r="CZ634" s="3" t="str">
        <f>"33480"</f>
        <v>33480</v>
      </c>
      <c r="DA634" t="s">
        <v>135</v>
      </c>
      <c r="DB634" t="str">
        <f>"37-2012"</f>
        <v>37-2012</v>
      </c>
      <c r="DC634" t="s">
        <v>479</v>
      </c>
      <c r="DD634" t="s">
        <v>134</v>
      </c>
      <c r="DE634" t="s">
        <v>134</v>
      </c>
      <c r="DF634" t="str">
        <f>""</f>
        <v/>
      </c>
      <c r="DH634" s="6">
        <v>11.7</v>
      </c>
      <c r="DI634" t="s">
        <v>344</v>
      </c>
      <c r="DK634" t="s">
        <v>345</v>
      </c>
      <c r="DR634" t="s">
        <v>2160</v>
      </c>
      <c r="DS634" s="6">
        <v>11.7</v>
      </c>
      <c r="DT634" t="s">
        <v>424</v>
      </c>
      <c r="DU634" s="1">
        <v>44363</v>
      </c>
      <c r="DV634" s="1">
        <v>44452</v>
      </c>
    </row>
    <row r="635" spans="1:126" ht="15" customHeight="1" x14ac:dyDescent="0.35">
      <c r="A635" t="s">
        <v>19969</v>
      </c>
      <c r="B635" t="s">
        <v>318</v>
      </c>
      <c r="C635" s="1">
        <v>44336</v>
      </c>
      <c r="D635" s="1">
        <v>44363</v>
      </c>
      <c r="H635" t="s">
        <v>319</v>
      </c>
      <c r="I635" t="s">
        <v>5222</v>
      </c>
      <c r="J635" t="s">
        <v>260</v>
      </c>
      <c r="K635" t="s">
        <v>2872</v>
      </c>
      <c r="L635" t="s">
        <v>395</v>
      </c>
      <c r="M635" t="s">
        <v>19970</v>
      </c>
      <c r="O635" t="s">
        <v>1780</v>
      </c>
      <c r="P635" t="s">
        <v>441</v>
      </c>
      <c r="Q635" s="3">
        <v>45014</v>
      </c>
      <c r="R635" t="s">
        <v>128</v>
      </c>
      <c r="T635" s="4">
        <v>15138603300</v>
      </c>
      <c r="V635" t="s">
        <v>19971</v>
      </c>
      <c r="W635" t="s">
        <v>19972</v>
      </c>
      <c r="Y635" t="s">
        <v>19970</v>
      </c>
      <c r="AA635" t="s">
        <v>1780</v>
      </c>
      <c r="AB635" t="s">
        <v>444</v>
      </c>
      <c r="AC635" s="3" t="str">
        <f>"45014"</f>
        <v>45014</v>
      </c>
      <c r="AD635" t="s">
        <v>128</v>
      </c>
      <c r="AF635" s="4">
        <v>15138603300</v>
      </c>
      <c r="AH635" t="str">
        <f>"5617"</f>
        <v>5617</v>
      </c>
      <c r="AI635" t="s">
        <v>287</v>
      </c>
      <c r="AJ635" t="s">
        <v>2209</v>
      </c>
      <c r="AK635" t="s">
        <v>1459</v>
      </c>
      <c r="AL635" t="s">
        <v>2210</v>
      </c>
      <c r="AM635" t="s">
        <v>2211</v>
      </c>
      <c r="AN635" t="s">
        <v>788</v>
      </c>
      <c r="AO635" t="s">
        <v>2212</v>
      </c>
      <c r="AP635" t="s">
        <v>400</v>
      </c>
      <c r="AQ635" s="5">
        <v>75033</v>
      </c>
      <c r="AR635" t="s">
        <v>128</v>
      </c>
      <c r="AT635" s="4">
        <v>19727789690</v>
      </c>
      <c r="AV635" t="s">
        <v>2320</v>
      </c>
      <c r="AW635" t="s">
        <v>2214</v>
      </c>
      <c r="AX635" t="s">
        <v>131</v>
      </c>
      <c r="AY635" t="s">
        <v>131</v>
      </c>
      <c r="AZ635" t="s">
        <v>131</v>
      </c>
      <c r="BA635" t="s">
        <v>131</v>
      </c>
      <c r="BB635" t="s">
        <v>131</v>
      </c>
      <c r="BC635" t="s">
        <v>131</v>
      </c>
      <c r="BD635" t="s">
        <v>131</v>
      </c>
      <c r="BE635" t="s">
        <v>132</v>
      </c>
      <c r="BH635" t="s">
        <v>2215</v>
      </c>
      <c r="BI635" t="s">
        <v>131</v>
      </c>
      <c r="BL635" t="s">
        <v>167</v>
      </c>
      <c r="BO635" t="s">
        <v>131</v>
      </c>
      <c r="BP635" t="s">
        <v>134</v>
      </c>
      <c r="BQ635" t="s">
        <v>131</v>
      </c>
      <c r="BS635" t="str">
        <f t="shared" si="46"/>
        <v>N/A</v>
      </c>
      <c r="BT635" t="s">
        <v>131</v>
      </c>
      <c r="BV635" t="str">
        <f>""</f>
        <v/>
      </c>
      <c r="BW635" t="s">
        <v>135</v>
      </c>
      <c r="BX635" t="str">
        <f>""</f>
        <v/>
      </c>
      <c r="BY635" t="str">
        <f>""</f>
        <v/>
      </c>
      <c r="BZ635" t="str">
        <f>""</f>
        <v/>
      </c>
      <c r="CA635" t="str">
        <f>"Must be able to lift 50 lbs. Must pass a pre-employment drug test. Workers are subject to post-injury/incident drug testing. Applicants must complete an employment application."</f>
        <v>Must be able to lift 50 lbs. Must pass a pre-employment drug test. Workers are subject to post-injury/incident drug testing. Applicants must complete an employment application.</v>
      </c>
      <c r="CB635" t="s">
        <v>131</v>
      </c>
      <c r="CF635" t="s">
        <v>131</v>
      </c>
      <c r="CH635" t="str">
        <f>""</f>
        <v/>
      </c>
      <c r="CI635" t="s">
        <v>131</v>
      </c>
      <c r="CK635" t="s">
        <v>131</v>
      </c>
      <c r="CL635" t="str">
        <f>""</f>
        <v/>
      </c>
      <c r="CM635" t="str">
        <f>""</f>
        <v/>
      </c>
      <c r="CN635" t="str">
        <f>""</f>
        <v/>
      </c>
      <c r="CO635" t="str">
        <f>""</f>
        <v/>
      </c>
      <c r="CP635" t="str">
        <f>"37-3011.00"</f>
        <v>37-3011.00</v>
      </c>
      <c r="CQ635" t="s">
        <v>920</v>
      </c>
      <c r="CS635" t="s">
        <v>135</v>
      </c>
      <c r="CT635" t="s">
        <v>2321</v>
      </c>
      <c r="CU635" t="s">
        <v>19970</v>
      </c>
      <c r="CW635" t="s">
        <v>1780</v>
      </c>
      <c r="CX635" t="s">
        <v>444</v>
      </c>
      <c r="CZ635" s="3" t="str">
        <f>"45014"</f>
        <v>45014</v>
      </c>
      <c r="DA635" t="s">
        <v>135</v>
      </c>
      <c r="DB635" t="str">
        <f>"37-3011"</f>
        <v>37-3011</v>
      </c>
      <c r="DC635" t="s">
        <v>920</v>
      </c>
      <c r="DD635" t="s">
        <v>134</v>
      </c>
      <c r="DE635" t="s">
        <v>134</v>
      </c>
      <c r="DF635" t="str">
        <f>""</f>
        <v/>
      </c>
      <c r="DH635" s="6">
        <v>14.88</v>
      </c>
      <c r="DI635" t="s">
        <v>344</v>
      </c>
      <c r="DK635" t="s">
        <v>345</v>
      </c>
      <c r="DR635" t="s">
        <v>7928</v>
      </c>
      <c r="DS635" s="6">
        <v>14.88</v>
      </c>
      <c r="DT635" s="2" t="s">
        <v>5051</v>
      </c>
      <c r="DU635" s="1">
        <v>44363</v>
      </c>
      <c r="DV635" s="1">
        <v>44452</v>
      </c>
    </row>
    <row r="636" spans="1:126" ht="15" customHeight="1" x14ac:dyDescent="0.35">
      <c r="A636" t="s">
        <v>14029</v>
      </c>
      <c r="B636" t="s">
        <v>318</v>
      </c>
      <c r="C636" s="1">
        <v>44336</v>
      </c>
      <c r="D636" s="1">
        <v>44363</v>
      </c>
      <c r="H636" t="s">
        <v>319</v>
      </c>
      <c r="I636" t="s">
        <v>5671</v>
      </c>
      <c r="J636" t="s">
        <v>5672</v>
      </c>
      <c r="L636" t="s">
        <v>569</v>
      </c>
      <c r="M636" t="s">
        <v>5676</v>
      </c>
      <c r="O636" t="s">
        <v>5674</v>
      </c>
      <c r="P636" t="s">
        <v>194</v>
      </c>
      <c r="Q636" s="3">
        <v>34109</v>
      </c>
      <c r="R636" t="s">
        <v>128</v>
      </c>
      <c r="T636" s="4">
        <v>12392131998</v>
      </c>
      <c r="V636" t="s">
        <v>14030</v>
      </c>
      <c r="W636" t="s">
        <v>5675</v>
      </c>
      <c r="Y636" t="s">
        <v>5676</v>
      </c>
      <c r="AA636" t="s">
        <v>5674</v>
      </c>
      <c r="AB636" t="s">
        <v>195</v>
      </c>
      <c r="AC636" s="3" t="str">
        <f>"34109"</f>
        <v>34109</v>
      </c>
      <c r="AD636" t="s">
        <v>128</v>
      </c>
      <c r="AF636" s="4">
        <v>12392131998</v>
      </c>
      <c r="AH636" t="str">
        <f>"713910"</f>
        <v>713910</v>
      </c>
      <c r="AI636" t="s">
        <v>287</v>
      </c>
      <c r="AJ636" t="s">
        <v>1024</v>
      </c>
      <c r="AK636" t="s">
        <v>1025</v>
      </c>
      <c r="AM636" t="s">
        <v>1026</v>
      </c>
      <c r="AO636" t="s">
        <v>1027</v>
      </c>
      <c r="AP636" t="s">
        <v>129</v>
      </c>
      <c r="AQ636" s="5">
        <v>11590</v>
      </c>
      <c r="AR636" t="s">
        <v>128</v>
      </c>
      <c r="AT636" s="4">
        <v>15163307168</v>
      </c>
      <c r="AV636" t="s">
        <v>1021</v>
      </c>
      <c r="AW636" t="s">
        <v>1028</v>
      </c>
      <c r="AX636" t="s">
        <v>131</v>
      </c>
      <c r="AY636" t="s">
        <v>131</v>
      </c>
      <c r="AZ636" t="s">
        <v>131</v>
      </c>
      <c r="BA636" t="s">
        <v>131</v>
      </c>
      <c r="BB636" t="s">
        <v>131</v>
      </c>
      <c r="BC636" t="s">
        <v>131</v>
      </c>
      <c r="BD636" t="s">
        <v>131</v>
      </c>
      <c r="BE636" t="s">
        <v>132</v>
      </c>
      <c r="BH636" t="s">
        <v>6218</v>
      </c>
      <c r="BI636" t="s">
        <v>131</v>
      </c>
      <c r="BL636" t="s">
        <v>167</v>
      </c>
      <c r="BO636" t="s">
        <v>131</v>
      </c>
      <c r="BP636" t="s">
        <v>134</v>
      </c>
      <c r="BQ636" t="s">
        <v>131</v>
      </c>
      <c r="BS636" t="str">
        <f t="shared" si="46"/>
        <v>N/A</v>
      </c>
      <c r="BT636" t="s">
        <v>135</v>
      </c>
      <c r="BU636">
        <v>3</v>
      </c>
      <c r="BV636" t="str">
        <f>"COOKS"</f>
        <v>COOKS</v>
      </c>
      <c r="BW636" t="s">
        <v>131</v>
      </c>
      <c r="BX636" t="str">
        <f>""</f>
        <v/>
      </c>
      <c r="BY636" t="str">
        <f>""</f>
        <v/>
      </c>
      <c r="BZ636" t="str">
        <f>""</f>
        <v/>
      </c>
      <c r="CA636" t="str">
        <f>""</f>
        <v/>
      </c>
      <c r="CB636" t="s">
        <v>131</v>
      </c>
      <c r="CF636" t="s">
        <v>131</v>
      </c>
      <c r="CH636" t="str">
        <f>""</f>
        <v/>
      </c>
      <c r="CI636" t="s">
        <v>131</v>
      </c>
      <c r="CK636" t="s">
        <v>131</v>
      </c>
      <c r="CL636" t="str">
        <f>""</f>
        <v/>
      </c>
      <c r="CM636" t="str">
        <f>""</f>
        <v/>
      </c>
      <c r="CN636" t="str">
        <f>""</f>
        <v/>
      </c>
      <c r="CO636" t="str">
        <f>""</f>
        <v/>
      </c>
      <c r="CP636" t="str">
        <f>"35-2014.00"</f>
        <v>35-2014.00</v>
      </c>
      <c r="CQ636" t="s">
        <v>581</v>
      </c>
      <c r="CR636" t="s">
        <v>6219</v>
      </c>
      <c r="CS636" t="s">
        <v>131</v>
      </c>
      <c r="CU636" t="s">
        <v>5676</v>
      </c>
      <c r="CW636" t="s">
        <v>5674</v>
      </c>
      <c r="CX636" t="s">
        <v>195</v>
      </c>
      <c r="CZ636" s="3" t="str">
        <f>"34109"</f>
        <v>34109</v>
      </c>
      <c r="DA636" t="s">
        <v>131</v>
      </c>
      <c r="DB636" t="str">
        <f>"35-2014"</f>
        <v>35-2014</v>
      </c>
      <c r="DC636" t="s">
        <v>581</v>
      </c>
      <c r="DD636" t="s">
        <v>134</v>
      </c>
      <c r="DE636" t="s">
        <v>134</v>
      </c>
      <c r="DF636" t="str">
        <f>""</f>
        <v/>
      </c>
      <c r="DH636" s="6">
        <v>14.63</v>
      </c>
      <c r="DI636" t="s">
        <v>344</v>
      </c>
      <c r="DK636" t="s">
        <v>345</v>
      </c>
      <c r="DR636" t="s">
        <v>2160</v>
      </c>
      <c r="DS636" s="6">
        <v>14.63</v>
      </c>
      <c r="DT636" t="s">
        <v>424</v>
      </c>
      <c r="DU636" s="1">
        <v>44363</v>
      </c>
      <c r="DV636" s="1">
        <v>44452</v>
      </c>
    </row>
    <row r="637" spans="1:126" ht="15" customHeight="1" x14ac:dyDescent="0.35">
      <c r="A637" t="s">
        <v>16909</v>
      </c>
      <c r="B637" t="s">
        <v>318</v>
      </c>
      <c r="C637" s="1">
        <v>44336</v>
      </c>
      <c r="D637" s="1">
        <v>44363</v>
      </c>
      <c r="H637" t="s">
        <v>319</v>
      </c>
      <c r="I637" t="s">
        <v>617</v>
      </c>
      <c r="J637" t="s">
        <v>246</v>
      </c>
      <c r="L637" t="s">
        <v>668</v>
      </c>
      <c r="M637" t="s">
        <v>16910</v>
      </c>
      <c r="O637" t="s">
        <v>616</v>
      </c>
      <c r="P637" t="s">
        <v>194</v>
      </c>
      <c r="Q637" s="3">
        <v>33126</v>
      </c>
      <c r="R637" t="s">
        <v>128</v>
      </c>
      <c r="T637" s="4">
        <v>13057745800</v>
      </c>
      <c r="V637" t="s">
        <v>1423</v>
      </c>
      <c r="W637" t="s">
        <v>5539</v>
      </c>
      <c r="X637" t="s">
        <v>5540</v>
      </c>
      <c r="Y637" t="s">
        <v>5541</v>
      </c>
      <c r="AA637" t="s">
        <v>4408</v>
      </c>
      <c r="AB637" t="s">
        <v>195</v>
      </c>
      <c r="AC637" s="3" t="str">
        <f>"34108"</f>
        <v>34108</v>
      </c>
      <c r="AD637" t="s">
        <v>128</v>
      </c>
      <c r="AF637" s="4">
        <v>13057745800</v>
      </c>
      <c r="AH637" t="str">
        <f>"7211"</f>
        <v>7211</v>
      </c>
      <c r="AI637" t="s">
        <v>130</v>
      </c>
      <c r="AJ637" t="s">
        <v>617</v>
      </c>
      <c r="AK637" t="s">
        <v>246</v>
      </c>
      <c r="AL637" t="s">
        <v>1420</v>
      </c>
      <c r="AM637" t="s">
        <v>1421</v>
      </c>
      <c r="AN637" t="s">
        <v>1422</v>
      </c>
      <c r="AO637" t="s">
        <v>616</v>
      </c>
      <c r="AP637" t="s">
        <v>195</v>
      </c>
      <c r="AQ637" s="5">
        <v>33126</v>
      </c>
      <c r="AR637" t="s">
        <v>128</v>
      </c>
      <c r="AT637" s="4">
        <v>13057745800</v>
      </c>
      <c r="AV637" t="s">
        <v>1423</v>
      </c>
      <c r="AW637" t="s">
        <v>264</v>
      </c>
      <c r="AX637" t="s">
        <v>131</v>
      </c>
      <c r="AY637" t="s">
        <v>131</v>
      </c>
      <c r="AZ637" t="s">
        <v>131</v>
      </c>
      <c r="BA637" t="s">
        <v>131</v>
      </c>
      <c r="BB637" t="s">
        <v>131</v>
      </c>
      <c r="BC637" t="s">
        <v>131</v>
      </c>
      <c r="BD637" t="s">
        <v>131</v>
      </c>
      <c r="BE637" t="s">
        <v>132</v>
      </c>
      <c r="BH637" t="s">
        <v>16911</v>
      </c>
      <c r="BI637" t="s">
        <v>131</v>
      </c>
      <c r="BL637" t="s">
        <v>167</v>
      </c>
      <c r="BO637" t="s">
        <v>131</v>
      </c>
      <c r="BP637" t="s">
        <v>134</v>
      </c>
      <c r="BQ637" t="s">
        <v>131</v>
      </c>
      <c r="BS637" t="str">
        <f t="shared" si="46"/>
        <v>N/A</v>
      </c>
      <c r="BT637" t="s">
        <v>135</v>
      </c>
      <c r="BU637">
        <v>1</v>
      </c>
      <c r="BV637" t="str">
        <f>"F&amp;B Attendant"</f>
        <v>F&amp;B Attendant</v>
      </c>
      <c r="BW637" t="s">
        <v>135</v>
      </c>
      <c r="BX637" t="str">
        <f>""</f>
        <v/>
      </c>
      <c r="BY637" t="str">
        <f>""</f>
        <v/>
      </c>
      <c r="BZ637" t="str">
        <f>""</f>
        <v/>
      </c>
      <c r="CA637" t="str">
        <f>"Job requires minimum 1 month related F&amp;B exp. in 4/5 Diamond establishment."</f>
        <v>Job requires minimum 1 month related F&amp;B exp. in 4/5 Diamond establishment.</v>
      </c>
      <c r="CB637" t="s">
        <v>131</v>
      </c>
      <c r="CF637" t="s">
        <v>131</v>
      </c>
      <c r="CH637" t="str">
        <f>""</f>
        <v/>
      </c>
      <c r="CI637" t="s">
        <v>131</v>
      </c>
      <c r="CK637" t="s">
        <v>131</v>
      </c>
      <c r="CL637" t="str">
        <f>""</f>
        <v/>
      </c>
      <c r="CM637" t="str">
        <f>""</f>
        <v/>
      </c>
      <c r="CN637" t="str">
        <f>""</f>
        <v/>
      </c>
      <c r="CO637" t="str">
        <f>""</f>
        <v/>
      </c>
      <c r="CP637" t="str">
        <f>"35-9011.00"</f>
        <v>35-9011.00</v>
      </c>
      <c r="CQ637" t="s">
        <v>1016</v>
      </c>
      <c r="CR637" t="s">
        <v>16912</v>
      </c>
      <c r="CS637" t="s">
        <v>131</v>
      </c>
      <c r="CU637" t="s">
        <v>16913</v>
      </c>
      <c r="CW637" t="s">
        <v>4408</v>
      </c>
      <c r="CX637" t="s">
        <v>195</v>
      </c>
      <c r="CZ637" s="3" t="str">
        <f>"34108"</f>
        <v>34108</v>
      </c>
      <c r="DA637" t="s">
        <v>131</v>
      </c>
      <c r="DB637" t="str">
        <f>"35-9011"</f>
        <v>35-9011</v>
      </c>
      <c r="DC637" t="s">
        <v>1016</v>
      </c>
      <c r="DD637" t="s">
        <v>134</v>
      </c>
      <c r="DE637" t="s">
        <v>134</v>
      </c>
      <c r="DF637" t="str">
        <f>""</f>
        <v/>
      </c>
      <c r="DH637" s="6">
        <v>11.41</v>
      </c>
      <c r="DI637" t="s">
        <v>344</v>
      </c>
      <c r="DK637" t="s">
        <v>345</v>
      </c>
      <c r="DR637" t="s">
        <v>5543</v>
      </c>
      <c r="DS637" s="6">
        <v>11.41</v>
      </c>
      <c r="DT637" t="s">
        <v>424</v>
      </c>
      <c r="DU637" s="1">
        <v>44363</v>
      </c>
      <c r="DV637" s="1">
        <v>44452</v>
      </c>
    </row>
    <row r="638" spans="1:126" ht="15" customHeight="1" x14ac:dyDescent="0.35">
      <c r="A638" t="s">
        <v>16079</v>
      </c>
      <c r="B638" t="s">
        <v>318</v>
      </c>
      <c r="C638" s="1">
        <v>44336</v>
      </c>
      <c r="D638" s="1">
        <v>44363</v>
      </c>
      <c r="H638" t="s">
        <v>319</v>
      </c>
      <c r="I638" t="s">
        <v>5671</v>
      </c>
      <c r="J638" t="s">
        <v>5672</v>
      </c>
      <c r="L638" t="s">
        <v>569</v>
      </c>
      <c r="M638" t="s">
        <v>5676</v>
      </c>
      <c r="O638" t="s">
        <v>5674</v>
      </c>
      <c r="P638" t="s">
        <v>194</v>
      </c>
      <c r="Q638" s="3">
        <v>34109</v>
      </c>
      <c r="R638" t="s">
        <v>128</v>
      </c>
      <c r="T638" s="4">
        <v>12392131998</v>
      </c>
      <c r="V638" t="s">
        <v>1021</v>
      </c>
      <c r="W638" t="s">
        <v>5675</v>
      </c>
      <c r="Y638" t="s">
        <v>5676</v>
      </c>
      <c r="AA638" t="s">
        <v>5674</v>
      </c>
      <c r="AB638" t="s">
        <v>195</v>
      </c>
      <c r="AC638" s="3" t="str">
        <f>"34109"</f>
        <v>34109</v>
      </c>
      <c r="AD638" t="s">
        <v>128</v>
      </c>
      <c r="AF638" s="4">
        <v>12392131998</v>
      </c>
      <c r="AH638" t="str">
        <f>"713910"</f>
        <v>713910</v>
      </c>
      <c r="AI638" t="s">
        <v>287</v>
      </c>
      <c r="AJ638" t="s">
        <v>1024</v>
      </c>
      <c r="AK638" t="s">
        <v>1025</v>
      </c>
      <c r="AM638" t="s">
        <v>1026</v>
      </c>
      <c r="AO638" t="s">
        <v>1027</v>
      </c>
      <c r="AP638" t="s">
        <v>129</v>
      </c>
      <c r="AQ638" s="5">
        <v>11590</v>
      </c>
      <c r="AR638" t="s">
        <v>128</v>
      </c>
      <c r="AT638" s="4">
        <v>15163307168</v>
      </c>
      <c r="AV638" t="s">
        <v>1021</v>
      </c>
      <c r="AW638" t="s">
        <v>1028</v>
      </c>
      <c r="AX638" t="s">
        <v>131</v>
      </c>
      <c r="AY638" t="s">
        <v>131</v>
      </c>
      <c r="AZ638" t="s">
        <v>131</v>
      </c>
      <c r="BA638" t="s">
        <v>131</v>
      </c>
      <c r="BB638" t="s">
        <v>131</v>
      </c>
      <c r="BC638" t="s">
        <v>131</v>
      </c>
      <c r="BD638" t="s">
        <v>131</v>
      </c>
      <c r="BE638" t="s">
        <v>132</v>
      </c>
      <c r="BH638" t="s">
        <v>14957</v>
      </c>
      <c r="BI638" t="s">
        <v>131</v>
      </c>
      <c r="BL638" t="s">
        <v>167</v>
      </c>
      <c r="BO638" t="s">
        <v>131</v>
      </c>
      <c r="BP638" t="s">
        <v>134</v>
      </c>
      <c r="BQ638" t="s">
        <v>131</v>
      </c>
      <c r="BS638" t="str">
        <f t="shared" si="46"/>
        <v>N/A</v>
      </c>
      <c r="BT638" t="s">
        <v>131</v>
      </c>
      <c r="BV638" t="str">
        <f>""</f>
        <v/>
      </c>
      <c r="BW638" t="s">
        <v>131</v>
      </c>
      <c r="BX638" t="str">
        <f>""</f>
        <v/>
      </c>
      <c r="BY638" t="str">
        <f>""</f>
        <v/>
      </c>
      <c r="BZ638" t="str">
        <f>""</f>
        <v/>
      </c>
      <c r="CA638" t="str">
        <f>""</f>
        <v/>
      </c>
      <c r="CB638" t="s">
        <v>131</v>
      </c>
      <c r="CF638" t="s">
        <v>131</v>
      </c>
      <c r="CH638" t="str">
        <f>""</f>
        <v/>
      </c>
      <c r="CI638" t="s">
        <v>131</v>
      </c>
      <c r="CK638" t="s">
        <v>131</v>
      </c>
      <c r="CL638" t="str">
        <f>""</f>
        <v/>
      </c>
      <c r="CM638" t="str">
        <f>""</f>
        <v/>
      </c>
      <c r="CN638" t="str">
        <f>""</f>
        <v/>
      </c>
      <c r="CO638" t="str">
        <f>""</f>
        <v/>
      </c>
      <c r="CP638" t="str">
        <f>"35-9021.00"</f>
        <v>35-9021.00</v>
      </c>
      <c r="CQ638" t="s">
        <v>2552</v>
      </c>
      <c r="CR638" t="s">
        <v>392</v>
      </c>
      <c r="CS638" t="s">
        <v>131</v>
      </c>
      <c r="CU638" t="s">
        <v>5676</v>
      </c>
      <c r="CW638" t="s">
        <v>5674</v>
      </c>
      <c r="CX638" t="s">
        <v>195</v>
      </c>
      <c r="CZ638" s="3" t="str">
        <f>"34109"</f>
        <v>34109</v>
      </c>
      <c r="DA638" t="s">
        <v>131</v>
      </c>
      <c r="DB638" t="str">
        <f>"35-9021"</f>
        <v>35-9021</v>
      </c>
      <c r="DC638" t="s">
        <v>2552</v>
      </c>
      <c r="DD638" t="s">
        <v>134</v>
      </c>
      <c r="DE638" t="s">
        <v>134</v>
      </c>
      <c r="DF638" t="str">
        <f>""</f>
        <v/>
      </c>
      <c r="DH638" s="6">
        <v>11.01</v>
      </c>
      <c r="DI638" t="s">
        <v>344</v>
      </c>
      <c r="DK638" t="s">
        <v>345</v>
      </c>
      <c r="DR638" t="s">
        <v>2160</v>
      </c>
      <c r="DS638" s="6">
        <v>11.01</v>
      </c>
      <c r="DT638" t="s">
        <v>424</v>
      </c>
      <c r="DU638" s="1">
        <v>44363</v>
      </c>
      <c r="DV638" s="1">
        <v>44452</v>
      </c>
    </row>
    <row r="639" spans="1:126" ht="15" customHeight="1" x14ac:dyDescent="0.35">
      <c r="A639" t="s">
        <v>5538</v>
      </c>
      <c r="B639" t="s">
        <v>318</v>
      </c>
      <c r="C639" s="1">
        <v>44336</v>
      </c>
      <c r="D639" s="1">
        <v>44363</v>
      </c>
      <c r="H639" t="s">
        <v>319</v>
      </c>
      <c r="I639" t="s">
        <v>617</v>
      </c>
      <c r="J639" t="s">
        <v>246</v>
      </c>
      <c r="L639" t="s">
        <v>668</v>
      </c>
      <c r="M639" t="s">
        <v>4737</v>
      </c>
      <c r="N639" t="s">
        <v>1422</v>
      </c>
      <c r="O639" t="s">
        <v>616</v>
      </c>
      <c r="P639" t="s">
        <v>194</v>
      </c>
      <c r="Q639" s="3">
        <v>33126</v>
      </c>
      <c r="R639" t="s">
        <v>128</v>
      </c>
      <c r="T639" s="4">
        <v>13057745800</v>
      </c>
      <c r="V639" t="s">
        <v>1423</v>
      </c>
      <c r="W639" t="s">
        <v>5539</v>
      </c>
      <c r="X639" t="s">
        <v>5540</v>
      </c>
      <c r="Y639" t="s">
        <v>5541</v>
      </c>
      <c r="AA639" t="s">
        <v>4408</v>
      </c>
      <c r="AB639" t="s">
        <v>195</v>
      </c>
      <c r="AC639" s="3" t="str">
        <f>"34108"</f>
        <v>34108</v>
      </c>
      <c r="AD639" t="s">
        <v>128</v>
      </c>
      <c r="AF639" s="4">
        <v>13057745800</v>
      </c>
      <c r="AH639" t="str">
        <f>"7211"</f>
        <v>7211</v>
      </c>
      <c r="AI639" t="s">
        <v>130</v>
      </c>
      <c r="AJ639" t="s">
        <v>617</v>
      </c>
      <c r="AK639" t="s">
        <v>246</v>
      </c>
      <c r="AL639" t="s">
        <v>1420</v>
      </c>
      <c r="AM639" t="s">
        <v>1421</v>
      </c>
      <c r="AN639" t="s">
        <v>1422</v>
      </c>
      <c r="AO639" t="s">
        <v>616</v>
      </c>
      <c r="AP639" t="s">
        <v>195</v>
      </c>
      <c r="AQ639" s="5">
        <v>33126</v>
      </c>
      <c r="AR639" t="s">
        <v>128</v>
      </c>
      <c r="AT639" s="4">
        <v>13057745800</v>
      </c>
      <c r="AV639" t="s">
        <v>1423</v>
      </c>
      <c r="AW639" t="s">
        <v>264</v>
      </c>
      <c r="AX639" t="s">
        <v>131</v>
      </c>
      <c r="AY639" t="s">
        <v>131</v>
      </c>
      <c r="AZ639" t="s">
        <v>131</v>
      </c>
      <c r="BA639" t="s">
        <v>131</v>
      </c>
      <c r="BB639" t="s">
        <v>131</v>
      </c>
      <c r="BC639" t="s">
        <v>131</v>
      </c>
      <c r="BD639" t="s">
        <v>131</v>
      </c>
      <c r="BE639" t="s">
        <v>132</v>
      </c>
      <c r="BH639" t="s">
        <v>1080</v>
      </c>
      <c r="BI639" t="s">
        <v>131</v>
      </c>
      <c r="BL639" t="s">
        <v>167</v>
      </c>
      <c r="BO639" t="s">
        <v>131</v>
      </c>
      <c r="BP639" t="s">
        <v>134</v>
      </c>
      <c r="BQ639" t="s">
        <v>131</v>
      </c>
      <c r="BS639" t="str">
        <f t="shared" si="46"/>
        <v>N/A</v>
      </c>
      <c r="BT639" t="s">
        <v>135</v>
      </c>
      <c r="BU639">
        <v>1</v>
      </c>
      <c r="BV639" t="str">
        <f>"Job requires 1 month related Cook experience in 4/5 Diamond establishment"</f>
        <v>Job requires 1 month related Cook experience in 4/5 Diamond establishment</v>
      </c>
      <c r="BW639" t="s">
        <v>131</v>
      </c>
      <c r="BX639" t="str">
        <f>""</f>
        <v/>
      </c>
      <c r="BY639" t="str">
        <f>""</f>
        <v/>
      </c>
      <c r="BZ639" t="str">
        <f>""</f>
        <v/>
      </c>
      <c r="CA639" t="str">
        <f>""</f>
        <v/>
      </c>
      <c r="CB639" t="s">
        <v>131</v>
      </c>
      <c r="CF639" t="s">
        <v>131</v>
      </c>
      <c r="CH639" t="str">
        <f>""</f>
        <v/>
      </c>
      <c r="CI639" t="s">
        <v>131</v>
      </c>
      <c r="CK639" t="s">
        <v>131</v>
      </c>
      <c r="CL639" t="str">
        <f>""</f>
        <v/>
      </c>
      <c r="CM639" t="str">
        <f>""</f>
        <v/>
      </c>
      <c r="CN639" t="str">
        <f>""</f>
        <v/>
      </c>
      <c r="CO639" t="str">
        <f>""</f>
        <v/>
      </c>
      <c r="CP639" t="str">
        <f>"35-2014.00"</f>
        <v>35-2014.00</v>
      </c>
      <c r="CQ639" t="s">
        <v>581</v>
      </c>
      <c r="CR639" t="s">
        <v>5542</v>
      </c>
      <c r="CS639" t="s">
        <v>131</v>
      </c>
      <c r="CU639" t="s">
        <v>5541</v>
      </c>
      <c r="CW639" t="s">
        <v>4408</v>
      </c>
      <c r="CX639" t="s">
        <v>195</v>
      </c>
      <c r="CZ639" s="3" t="str">
        <f>"34108"</f>
        <v>34108</v>
      </c>
      <c r="DA639" t="s">
        <v>131</v>
      </c>
      <c r="DB639" t="str">
        <f>"35-2014"</f>
        <v>35-2014</v>
      </c>
      <c r="DC639" t="s">
        <v>581</v>
      </c>
      <c r="DD639" t="s">
        <v>134</v>
      </c>
      <c r="DE639" t="s">
        <v>134</v>
      </c>
      <c r="DF639" t="str">
        <f>""</f>
        <v/>
      </c>
      <c r="DH639" s="6">
        <v>15.46</v>
      </c>
      <c r="DI639" t="s">
        <v>344</v>
      </c>
      <c r="DK639" t="s">
        <v>345</v>
      </c>
      <c r="DR639" t="s">
        <v>5543</v>
      </c>
      <c r="DS639" s="6">
        <v>15.46</v>
      </c>
      <c r="DT639" t="s">
        <v>424</v>
      </c>
      <c r="DU639" s="1">
        <v>44363</v>
      </c>
      <c r="DV639" s="1">
        <v>44452</v>
      </c>
    </row>
    <row r="640" spans="1:126" ht="15" customHeight="1" x14ac:dyDescent="0.35">
      <c r="A640" t="s">
        <v>12595</v>
      </c>
      <c r="B640" t="s">
        <v>318</v>
      </c>
      <c r="C640" s="1">
        <v>44336</v>
      </c>
      <c r="D640" s="1">
        <v>44363</v>
      </c>
      <c r="H640" t="s">
        <v>319</v>
      </c>
      <c r="I640" t="s">
        <v>617</v>
      </c>
      <c r="J640" t="s">
        <v>246</v>
      </c>
      <c r="L640" t="s">
        <v>668</v>
      </c>
      <c r="M640" t="s">
        <v>4737</v>
      </c>
      <c r="N640" t="s">
        <v>1422</v>
      </c>
      <c r="O640" t="s">
        <v>616</v>
      </c>
      <c r="P640" t="s">
        <v>194</v>
      </c>
      <c r="Q640" s="3">
        <v>33185</v>
      </c>
      <c r="R640" t="s">
        <v>128</v>
      </c>
      <c r="T640" s="4">
        <v>13057745800</v>
      </c>
      <c r="V640" t="s">
        <v>1423</v>
      </c>
      <c r="W640" t="s">
        <v>12596</v>
      </c>
      <c r="Y640" t="s">
        <v>12597</v>
      </c>
      <c r="AA640" t="s">
        <v>4408</v>
      </c>
      <c r="AB640" t="s">
        <v>195</v>
      </c>
      <c r="AC640" s="3" t="str">
        <f>"34110"</f>
        <v>34110</v>
      </c>
      <c r="AD640" t="s">
        <v>128</v>
      </c>
      <c r="AF640" s="4">
        <v>12395979898</v>
      </c>
      <c r="AH640" t="str">
        <f>"713910"</f>
        <v>713910</v>
      </c>
      <c r="AI640" t="s">
        <v>130</v>
      </c>
      <c r="AJ640" t="s">
        <v>617</v>
      </c>
      <c r="AK640" t="s">
        <v>246</v>
      </c>
      <c r="AL640" t="s">
        <v>1420</v>
      </c>
      <c r="AM640" t="s">
        <v>1421</v>
      </c>
      <c r="AN640" t="s">
        <v>1422</v>
      </c>
      <c r="AO640" t="s">
        <v>616</v>
      </c>
      <c r="AP640" t="s">
        <v>195</v>
      </c>
      <c r="AQ640" s="5">
        <v>33126</v>
      </c>
      <c r="AR640" t="s">
        <v>128</v>
      </c>
      <c r="AT640" s="4">
        <v>13057745800</v>
      </c>
      <c r="AV640" t="s">
        <v>1423</v>
      </c>
      <c r="AW640" t="s">
        <v>264</v>
      </c>
      <c r="AX640" t="s">
        <v>131</v>
      </c>
      <c r="AY640" t="s">
        <v>131</v>
      </c>
      <c r="AZ640" t="s">
        <v>131</v>
      </c>
      <c r="BA640" t="s">
        <v>131</v>
      </c>
      <c r="BB640" t="s">
        <v>131</v>
      </c>
      <c r="BC640" t="s">
        <v>131</v>
      </c>
      <c r="BD640" t="s">
        <v>131</v>
      </c>
      <c r="BE640" t="s">
        <v>132</v>
      </c>
      <c r="BH640" t="s">
        <v>12598</v>
      </c>
      <c r="BI640" t="s">
        <v>131</v>
      </c>
      <c r="BL640" t="s">
        <v>167</v>
      </c>
      <c r="BO640" t="s">
        <v>131</v>
      </c>
      <c r="BP640" t="s">
        <v>134</v>
      </c>
      <c r="BQ640" t="s">
        <v>131</v>
      </c>
      <c r="BS640" t="str">
        <f t="shared" si="46"/>
        <v>N/A</v>
      </c>
      <c r="BT640" t="s">
        <v>135</v>
      </c>
      <c r="BU640">
        <v>3</v>
      </c>
      <c r="BV640" t="str">
        <f>"Golf Caddy"</f>
        <v>Golf Caddy</v>
      </c>
      <c r="BW640" t="s">
        <v>135</v>
      </c>
      <c r="BX640" t="str">
        <f>""</f>
        <v/>
      </c>
      <c r="BY640" t="str">
        <f>""</f>
        <v/>
      </c>
      <c r="BZ640" t="str">
        <f>""</f>
        <v/>
      </c>
      <c r="CA640" t="str">
        <f>"Job requires minimum 3 months of traditional caddy exp within the prior 5 years. Must provide written verification of prior experience from current or prior employer(s). Must be available to work a minimum of 6 days of the week, depending on schedule. "</f>
        <v xml:space="preserve">Job requires minimum 3 months of traditional caddy exp within the prior 5 years. Must provide written verification of prior experience from current or prior employer(s). Must be available to work a minimum of 6 days of the week, depending on schedule. </v>
      </c>
      <c r="CB640" t="s">
        <v>131</v>
      </c>
      <c r="CF640" t="s">
        <v>131</v>
      </c>
      <c r="CH640" t="str">
        <f>""</f>
        <v/>
      </c>
      <c r="CI640" t="s">
        <v>131</v>
      </c>
      <c r="CK640" t="s">
        <v>131</v>
      </c>
      <c r="CL640" t="str">
        <f>""</f>
        <v/>
      </c>
      <c r="CM640" t="str">
        <f>""</f>
        <v/>
      </c>
      <c r="CN640" t="str">
        <f>""</f>
        <v/>
      </c>
      <c r="CO640" t="str">
        <f>""</f>
        <v/>
      </c>
      <c r="CP640" t="str">
        <f>"39-3091.00"</f>
        <v>39-3091.00</v>
      </c>
      <c r="CQ640" t="s">
        <v>1374</v>
      </c>
      <c r="CR640" t="s">
        <v>12599</v>
      </c>
      <c r="CS640" t="s">
        <v>131</v>
      </c>
      <c r="CU640" t="s">
        <v>12597</v>
      </c>
      <c r="CW640" t="s">
        <v>4408</v>
      </c>
      <c r="CX640" t="s">
        <v>195</v>
      </c>
      <c r="CZ640" s="3" t="str">
        <f>"34110"</f>
        <v>34110</v>
      </c>
      <c r="DA640" t="s">
        <v>131</v>
      </c>
      <c r="DB640" t="str">
        <f>"39-3091"</f>
        <v>39-3091</v>
      </c>
      <c r="DC640" t="s">
        <v>1374</v>
      </c>
      <c r="DD640" t="s">
        <v>134</v>
      </c>
      <c r="DE640" t="s">
        <v>134</v>
      </c>
      <c r="DF640" t="str">
        <f>""</f>
        <v/>
      </c>
      <c r="DH640" s="6">
        <v>11.91</v>
      </c>
      <c r="DI640" t="s">
        <v>344</v>
      </c>
      <c r="DK640" t="s">
        <v>345</v>
      </c>
      <c r="DR640" t="s">
        <v>5543</v>
      </c>
      <c r="DS640" s="6">
        <v>11.91</v>
      </c>
      <c r="DT640" t="s">
        <v>424</v>
      </c>
      <c r="DU640" s="1">
        <v>44363</v>
      </c>
      <c r="DV640" s="1">
        <v>44452</v>
      </c>
    </row>
    <row r="641" spans="1:126" ht="15" customHeight="1" x14ac:dyDescent="0.35">
      <c r="A641" t="s">
        <v>5045</v>
      </c>
      <c r="B641" t="s">
        <v>318</v>
      </c>
      <c r="C641" s="1">
        <v>44336</v>
      </c>
      <c r="D641" s="1">
        <v>44363</v>
      </c>
      <c r="H641" t="s">
        <v>319</v>
      </c>
      <c r="I641" t="s">
        <v>4950</v>
      </c>
      <c r="J641" t="s">
        <v>1623</v>
      </c>
      <c r="K641" t="s">
        <v>1493</v>
      </c>
      <c r="L641" t="s">
        <v>1105</v>
      </c>
      <c r="M641" t="s">
        <v>5046</v>
      </c>
      <c r="O641" t="s">
        <v>5047</v>
      </c>
      <c r="P641" t="s">
        <v>311</v>
      </c>
      <c r="Q641" s="3">
        <v>15001</v>
      </c>
      <c r="R641" t="s">
        <v>128</v>
      </c>
      <c r="T641" s="4">
        <v>17248570453</v>
      </c>
      <c r="V641" t="s">
        <v>134</v>
      </c>
      <c r="W641" t="s">
        <v>5048</v>
      </c>
      <c r="Y641" t="s">
        <v>5046</v>
      </c>
      <c r="AA641" t="s">
        <v>5047</v>
      </c>
      <c r="AB641" t="s">
        <v>312</v>
      </c>
      <c r="AC641" s="3" t="str">
        <f>"15001"</f>
        <v>15001</v>
      </c>
      <c r="AD641" t="s">
        <v>128</v>
      </c>
      <c r="AF641" s="4">
        <v>17248570453</v>
      </c>
      <c r="AH641" t="str">
        <f>"56173"</f>
        <v>56173</v>
      </c>
      <c r="AI641" t="s">
        <v>287</v>
      </c>
      <c r="AJ641" t="s">
        <v>2917</v>
      </c>
      <c r="AK641" t="s">
        <v>2918</v>
      </c>
      <c r="AM641" t="s">
        <v>2919</v>
      </c>
      <c r="AN641" t="s">
        <v>2920</v>
      </c>
      <c r="AO641" t="s">
        <v>2921</v>
      </c>
      <c r="AP641" t="s">
        <v>306</v>
      </c>
      <c r="AQ641" s="5">
        <v>22949</v>
      </c>
      <c r="AR641" t="s">
        <v>128</v>
      </c>
      <c r="AT641" s="4">
        <v>14342634300</v>
      </c>
      <c r="AV641" t="s">
        <v>2922</v>
      </c>
      <c r="AW641" t="s">
        <v>2923</v>
      </c>
      <c r="AX641" t="s">
        <v>131</v>
      </c>
      <c r="AY641" t="s">
        <v>131</v>
      </c>
      <c r="AZ641" t="s">
        <v>131</v>
      </c>
      <c r="BA641" t="s">
        <v>131</v>
      </c>
      <c r="BB641" t="s">
        <v>131</v>
      </c>
      <c r="BC641" t="s">
        <v>131</v>
      </c>
      <c r="BD641" t="s">
        <v>131</v>
      </c>
      <c r="BE641" t="s">
        <v>132</v>
      </c>
      <c r="BH641" t="s">
        <v>5049</v>
      </c>
      <c r="BI641" t="s">
        <v>131</v>
      </c>
      <c r="BL641" t="s">
        <v>167</v>
      </c>
      <c r="BO641" t="s">
        <v>131</v>
      </c>
      <c r="BP641" t="s">
        <v>134</v>
      </c>
      <c r="BQ641" t="s">
        <v>131</v>
      </c>
      <c r="BS641" t="str">
        <f t="shared" si="46"/>
        <v>N/A</v>
      </c>
      <c r="BT641" t="s">
        <v>135</v>
      </c>
      <c r="BU641">
        <v>3</v>
      </c>
      <c r="BV641" t="str">
        <f>"Landscape"</f>
        <v>Landscape</v>
      </c>
      <c r="BW641" t="s">
        <v>135</v>
      </c>
      <c r="BX641" t="str">
        <f>""</f>
        <v/>
      </c>
      <c r="BY641" t="str">
        <f>""</f>
        <v/>
      </c>
      <c r="BZ641" t="str">
        <f>""</f>
        <v/>
      </c>
      <c r="CA641" t="str">
        <f>"Must lift/carry 50 lbs., when necessary.  Saturday and Sunday work required, when necessary.  Post-hire post-accident drug testing required of foreign and domestic workers."</f>
        <v>Must lift/carry 50 lbs., when necessary.  Saturday and Sunday work required, when necessary.  Post-hire post-accident drug testing required of foreign and domestic workers.</v>
      </c>
      <c r="CB641" t="s">
        <v>131</v>
      </c>
      <c r="CF641" t="s">
        <v>131</v>
      </c>
      <c r="CH641" t="str">
        <f>""</f>
        <v/>
      </c>
      <c r="CI641" t="s">
        <v>131</v>
      </c>
      <c r="CK641" t="s">
        <v>131</v>
      </c>
      <c r="CL641" t="str">
        <f>""</f>
        <v/>
      </c>
      <c r="CM641" t="str">
        <f>""</f>
        <v/>
      </c>
      <c r="CN641" t="str">
        <f>""</f>
        <v/>
      </c>
      <c r="CO641" t="str">
        <f>""</f>
        <v/>
      </c>
      <c r="CP641" t="str">
        <f>"37-3011.00"</f>
        <v>37-3011.00</v>
      </c>
      <c r="CQ641" t="s">
        <v>920</v>
      </c>
      <c r="CR641" t="s">
        <v>2924</v>
      </c>
      <c r="CS641" t="s">
        <v>135</v>
      </c>
      <c r="CT641" t="s">
        <v>2925</v>
      </c>
      <c r="CU641" t="s">
        <v>5050</v>
      </c>
      <c r="CW641" t="s">
        <v>5047</v>
      </c>
      <c r="CX641" t="s">
        <v>312</v>
      </c>
      <c r="CZ641" s="3" t="str">
        <f>"15001"</f>
        <v>15001</v>
      </c>
      <c r="DA641" t="s">
        <v>135</v>
      </c>
      <c r="DB641" t="str">
        <f>"37-3011"</f>
        <v>37-3011</v>
      </c>
      <c r="DC641" t="s">
        <v>920</v>
      </c>
      <c r="DD641" t="s">
        <v>134</v>
      </c>
      <c r="DE641" t="s">
        <v>134</v>
      </c>
      <c r="DF641" t="str">
        <f>""</f>
        <v/>
      </c>
      <c r="DH641" s="6">
        <v>14.66</v>
      </c>
      <c r="DI641" t="s">
        <v>344</v>
      </c>
      <c r="DK641" t="s">
        <v>345</v>
      </c>
      <c r="DS641" s="6">
        <v>14.66</v>
      </c>
      <c r="DT641" s="2" t="s">
        <v>5051</v>
      </c>
      <c r="DU641" s="1">
        <v>44363</v>
      </c>
      <c r="DV641" s="1">
        <v>44452</v>
      </c>
    </row>
    <row r="642" spans="1:126" ht="15" customHeight="1" x14ac:dyDescent="0.35">
      <c r="A642" t="s">
        <v>14444</v>
      </c>
      <c r="B642" t="s">
        <v>318</v>
      </c>
      <c r="C642" s="1">
        <v>44336</v>
      </c>
      <c r="D642" s="1">
        <v>44363</v>
      </c>
      <c r="H642" t="s">
        <v>319</v>
      </c>
      <c r="I642" t="s">
        <v>6047</v>
      </c>
      <c r="J642" t="s">
        <v>254</v>
      </c>
      <c r="L642" t="s">
        <v>3474</v>
      </c>
      <c r="M642" t="s">
        <v>6048</v>
      </c>
      <c r="O642" t="s">
        <v>1340</v>
      </c>
      <c r="P642" t="s">
        <v>778</v>
      </c>
      <c r="Q642" s="3">
        <v>38116</v>
      </c>
      <c r="R642" t="s">
        <v>128</v>
      </c>
      <c r="T642" s="4">
        <v>19013323322</v>
      </c>
      <c r="V642" t="s">
        <v>6049</v>
      </c>
      <c r="W642" t="s">
        <v>6050</v>
      </c>
      <c r="Y642" t="s">
        <v>6048</v>
      </c>
      <c r="AA642" t="s">
        <v>1340</v>
      </c>
      <c r="AB642" t="s">
        <v>779</v>
      </c>
      <c r="AC642" s="3" t="str">
        <f>"38116"</f>
        <v>38116</v>
      </c>
      <c r="AD642" t="s">
        <v>128</v>
      </c>
      <c r="AF642" s="4">
        <v>19013323322</v>
      </c>
      <c r="AH642" t="str">
        <f>"72111"</f>
        <v>72111</v>
      </c>
      <c r="AI642" t="s">
        <v>287</v>
      </c>
      <c r="AJ642" t="s">
        <v>2209</v>
      </c>
      <c r="AK642" t="s">
        <v>1459</v>
      </c>
      <c r="AL642" t="s">
        <v>2210</v>
      </c>
      <c r="AM642" t="s">
        <v>2211</v>
      </c>
      <c r="AN642" t="s">
        <v>788</v>
      </c>
      <c r="AO642" t="s">
        <v>2212</v>
      </c>
      <c r="AP642" t="s">
        <v>400</v>
      </c>
      <c r="AQ642" s="5">
        <v>75033</v>
      </c>
      <c r="AR642" t="s">
        <v>128</v>
      </c>
      <c r="AT642" s="4">
        <v>19727789690</v>
      </c>
      <c r="AV642" t="s">
        <v>2213</v>
      </c>
      <c r="AW642" t="s">
        <v>2214</v>
      </c>
      <c r="AX642" t="s">
        <v>131</v>
      </c>
      <c r="AY642" t="s">
        <v>131</v>
      </c>
      <c r="AZ642" t="s">
        <v>131</v>
      </c>
      <c r="BA642" t="s">
        <v>131</v>
      </c>
      <c r="BB642" t="s">
        <v>131</v>
      </c>
      <c r="BC642" t="s">
        <v>131</v>
      </c>
      <c r="BD642" t="s">
        <v>131</v>
      </c>
      <c r="BE642" t="s">
        <v>132</v>
      </c>
      <c r="BH642" t="s">
        <v>1639</v>
      </c>
      <c r="BI642" t="s">
        <v>131</v>
      </c>
      <c r="BL642" t="s">
        <v>167</v>
      </c>
      <c r="BO642" t="s">
        <v>131</v>
      </c>
      <c r="BP642" t="s">
        <v>134</v>
      </c>
      <c r="BQ642" t="s">
        <v>131</v>
      </c>
      <c r="BS642" t="str">
        <f t="shared" si="46"/>
        <v>N/A</v>
      </c>
      <c r="BT642" t="s">
        <v>131</v>
      </c>
      <c r="BV642" t="str">
        <f>""</f>
        <v/>
      </c>
      <c r="BW642" t="s">
        <v>135</v>
      </c>
      <c r="BX642" t="str">
        <f>""</f>
        <v/>
      </c>
      <c r="BY642" t="str">
        <f>""</f>
        <v/>
      </c>
      <c r="BZ642" t="str">
        <f>""</f>
        <v/>
      </c>
      <c r="CA642" t="str">
        <f>"Must complete employment application. Must be able to work weekends and holidays as required. Must be able to lift 25 lbs. "</f>
        <v xml:space="preserve">Must complete employment application. Must be able to work weekends and holidays as required. Must be able to lift 25 lbs. </v>
      </c>
      <c r="CB642" t="s">
        <v>131</v>
      </c>
      <c r="CF642" t="s">
        <v>131</v>
      </c>
      <c r="CH642" t="str">
        <f>""</f>
        <v/>
      </c>
      <c r="CI642" t="s">
        <v>131</v>
      </c>
      <c r="CK642" t="s">
        <v>131</v>
      </c>
      <c r="CL642" t="str">
        <f>""</f>
        <v/>
      </c>
      <c r="CM642" t="str">
        <f>""</f>
        <v/>
      </c>
      <c r="CN642" t="str">
        <f>""</f>
        <v/>
      </c>
      <c r="CO642" t="str">
        <f>""</f>
        <v/>
      </c>
      <c r="CP642" t="str">
        <f>"37-2012.00"</f>
        <v>37-2012.00</v>
      </c>
      <c r="CQ642" t="s">
        <v>479</v>
      </c>
      <c r="CS642" t="s">
        <v>131</v>
      </c>
      <c r="CU642" t="s">
        <v>6048</v>
      </c>
      <c r="CW642" t="s">
        <v>1340</v>
      </c>
      <c r="CX642" t="s">
        <v>779</v>
      </c>
      <c r="CZ642" s="3" t="str">
        <f>"38116"</f>
        <v>38116</v>
      </c>
      <c r="DA642" t="s">
        <v>131</v>
      </c>
      <c r="DB642" t="str">
        <f>"37-3011"</f>
        <v>37-3011</v>
      </c>
      <c r="DC642" t="s">
        <v>920</v>
      </c>
      <c r="DD642" t="s">
        <v>134</v>
      </c>
      <c r="DE642" t="s">
        <v>134</v>
      </c>
      <c r="DF642" t="str">
        <f>""</f>
        <v/>
      </c>
      <c r="DH642" s="6">
        <v>12.71</v>
      </c>
      <c r="DI642" t="s">
        <v>344</v>
      </c>
      <c r="DK642" t="s">
        <v>345</v>
      </c>
      <c r="DR642" t="s">
        <v>6051</v>
      </c>
      <c r="DS642" s="6">
        <v>12.71</v>
      </c>
      <c r="DT642" t="s">
        <v>424</v>
      </c>
      <c r="DU642" s="1">
        <v>44363</v>
      </c>
      <c r="DV642" s="1">
        <v>44452</v>
      </c>
    </row>
    <row r="643" spans="1:126" ht="15" customHeight="1" x14ac:dyDescent="0.35">
      <c r="A643" t="s">
        <v>6046</v>
      </c>
      <c r="B643" t="s">
        <v>318</v>
      </c>
      <c r="C643" s="1">
        <v>44336</v>
      </c>
      <c r="D643" s="1">
        <v>44363</v>
      </c>
      <c r="H643" t="s">
        <v>319</v>
      </c>
      <c r="I643" t="s">
        <v>6047</v>
      </c>
      <c r="J643" t="s">
        <v>254</v>
      </c>
      <c r="L643" t="s">
        <v>3474</v>
      </c>
      <c r="M643" t="s">
        <v>6048</v>
      </c>
      <c r="O643" t="s">
        <v>1340</v>
      </c>
      <c r="P643" t="s">
        <v>778</v>
      </c>
      <c r="Q643" s="3">
        <v>38116</v>
      </c>
      <c r="R643" t="s">
        <v>128</v>
      </c>
      <c r="T643" s="4">
        <v>19013323322</v>
      </c>
      <c r="V643" t="s">
        <v>6049</v>
      </c>
      <c r="W643" t="s">
        <v>6050</v>
      </c>
      <c r="Y643" t="s">
        <v>6048</v>
      </c>
      <c r="AA643" t="s">
        <v>1340</v>
      </c>
      <c r="AB643" t="s">
        <v>779</v>
      </c>
      <c r="AC643" s="3" t="str">
        <f>"38116"</f>
        <v>38116</v>
      </c>
      <c r="AD643" t="s">
        <v>128</v>
      </c>
      <c r="AF643" s="4">
        <v>19013323322</v>
      </c>
      <c r="AH643" t="str">
        <f>"72111"</f>
        <v>72111</v>
      </c>
      <c r="AI643" t="s">
        <v>287</v>
      </c>
      <c r="AJ643" t="s">
        <v>2209</v>
      </c>
      <c r="AK643" t="s">
        <v>1459</v>
      </c>
      <c r="AL643" t="s">
        <v>2210</v>
      </c>
      <c r="AM643" t="s">
        <v>2211</v>
      </c>
      <c r="AN643" t="s">
        <v>788</v>
      </c>
      <c r="AO643" t="s">
        <v>2212</v>
      </c>
      <c r="AP643" t="s">
        <v>400</v>
      </c>
      <c r="AQ643" s="5">
        <v>75033</v>
      </c>
      <c r="AR643" t="s">
        <v>128</v>
      </c>
      <c r="AT643" s="4">
        <v>19727789690</v>
      </c>
      <c r="AV643" t="s">
        <v>2213</v>
      </c>
      <c r="AW643" t="s">
        <v>2214</v>
      </c>
      <c r="AX643" t="s">
        <v>131</v>
      </c>
      <c r="AY643" t="s">
        <v>131</v>
      </c>
      <c r="AZ643" t="s">
        <v>131</v>
      </c>
      <c r="BA643" t="s">
        <v>131</v>
      </c>
      <c r="BB643" t="s">
        <v>131</v>
      </c>
      <c r="BC643" t="s">
        <v>131</v>
      </c>
      <c r="BD643" t="s">
        <v>131</v>
      </c>
      <c r="BE643" t="s">
        <v>132</v>
      </c>
      <c r="BH643" t="s">
        <v>1945</v>
      </c>
      <c r="BI643" t="s">
        <v>131</v>
      </c>
      <c r="BL643" t="s">
        <v>167</v>
      </c>
      <c r="BO643" t="s">
        <v>131</v>
      </c>
      <c r="BP643" t="s">
        <v>134</v>
      </c>
      <c r="BQ643" t="s">
        <v>131</v>
      </c>
      <c r="BS643" t="str">
        <f t="shared" si="46"/>
        <v>N/A</v>
      </c>
      <c r="BT643" t="s">
        <v>131</v>
      </c>
      <c r="BV643" t="str">
        <f>""</f>
        <v/>
      </c>
      <c r="BW643" t="s">
        <v>135</v>
      </c>
      <c r="BX643" t="str">
        <f>""</f>
        <v/>
      </c>
      <c r="BY643" t="str">
        <f>""</f>
        <v/>
      </c>
      <c r="BZ643" t="str">
        <f>""</f>
        <v/>
      </c>
      <c r="CA643" t="str">
        <f>"Must complete employment application. Must be able to work weekends and holidays as required. Must be able to lift 50 lbs. "</f>
        <v xml:space="preserve">Must complete employment application. Must be able to work weekends and holidays as required. Must be able to lift 50 lbs. </v>
      </c>
      <c r="CB643" t="s">
        <v>131</v>
      </c>
      <c r="CF643" t="s">
        <v>131</v>
      </c>
      <c r="CH643" t="str">
        <f>""</f>
        <v/>
      </c>
      <c r="CI643" t="s">
        <v>131</v>
      </c>
      <c r="CK643" t="s">
        <v>131</v>
      </c>
      <c r="CL643" t="str">
        <f>""</f>
        <v/>
      </c>
      <c r="CM643" t="str">
        <f>""</f>
        <v/>
      </c>
      <c r="CN643" t="str">
        <f>""</f>
        <v/>
      </c>
      <c r="CO643" t="str">
        <f>""</f>
        <v/>
      </c>
      <c r="CP643" t="str">
        <f>"35-2021.00"</f>
        <v>35-2021.00</v>
      </c>
      <c r="CQ643" t="s">
        <v>1749</v>
      </c>
      <c r="CS643" t="s">
        <v>131</v>
      </c>
      <c r="CU643" t="s">
        <v>6048</v>
      </c>
      <c r="CW643" t="s">
        <v>1340</v>
      </c>
      <c r="CX643" t="s">
        <v>779</v>
      </c>
      <c r="CZ643" s="3" t="str">
        <f>"38116"</f>
        <v>38116</v>
      </c>
      <c r="DA643" t="s">
        <v>131</v>
      </c>
      <c r="DB643" t="str">
        <f>"35-2021"</f>
        <v>35-2021</v>
      </c>
      <c r="DC643" t="s">
        <v>1749</v>
      </c>
      <c r="DD643" t="s">
        <v>134</v>
      </c>
      <c r="DE643" t="s">
        <v>134</v>
      </c>
      <c r="DF643" t="str">
        <f>""</f>
        <v/>
      </c>
      <c r="DH643" s="6">
        <v>9.69</v>
      </c>
      <c r="DI643" t="s">
        <v>344</v>
      </c>
      <c r="DK643" t="s">
        <v>345</v>
      </c>
      <c r="DR643" t="s">
        <v>6051</v>
      </c>
      <c r="DS643" s="6">
        <v>9.69</v>
      </c>
      <c r="DT643" t="s">
        <v>424</v>
      </c>
      <c r="DU643" s="1">
        <v>44363</v>
      </c>
      <c r="DV643" s="1">
        <v>44452</v>
      </c>
    </row>
    <row r="644" spans="1:126" ht="15" customHeight="1" x14ac:dyDescent="0.35">
      <c r="A644" t="s">
        <v>17902</v>
      </c>
      <c r="B644" t="s">
        <v>318</v>
      </c>
      <c r="C644" s="1">
        <v>44336</v>
      </c>
      <c r="D644" s="1">
        <v>44364</v>
      </c>
      <c r="H644" t="s">
        <v>319</v>
      </c>
      <c r="I644" t="s">
        <v>17903</v>
      </c>
      <c r="J644" t="s">
        <v>2428</v>
      </c>
      <c r="L644" t="s">
        <v>17904</v>
      </c>
      <c r="M644" t="s">
        <v>17905</v>
      </c>
      <c r="O644" t="s">
        <v>17906</v>
      </c>
      <c r="P644" t="s">
        <v>311</v>
      </c>
      <c r="Q644" s="3">
        <v>17801</v>
      </c>
      <c r="R644" t="s">
        <v>128</v>
      </c>
      <c r="T644" s="4">
        <v>16705702700</v>
      </c>
      <c r="V644" t="s">
        <v>17907</v>
      </c>
      <c r="W644" t="s">
        <v>17908</v>
      </c>
      <c r="Y644" t="s">
        <v>17905</v>
      </c>
      <c r="AA644" t="s">
        <v>17909</v>
      </c>
      <c r="AB644" t="s">
        <v>312</v>
      </c>
      <c r="AC644" s="3" t="str">
        <f>"17857"</f>
        <v>17857</v>
      </c>
      <c r="AD644" t="s">
        <v>128</v>
      </c>
      <c r="AF644" s="4">
        <v>15702752700</v>
      </c>
      <c r="AG644">
        <v>198</v>
      </c>
      <c r="AH644" t="str">
        <f>"339999"</f>
        <v>339999</v>
      </c>
      <c r="AI644" t="s">
        <v>130</v>
      </c>
      <c r="AJ644" t="s">
        <v>17910</v>
      </c>
      <c r="AK644" t="s">
        <v>15634</v>
      </c>
      <c r="AL644" t="s">
        <v>2374</v>
      </c>
      <c r="AM644" t="s">
        <v>17911</v>
      </c>
      <c r="AO644" t="s">
        <v>5748</v>
      </c>
      <c r="AP644" t="s">
        <v>312</v>
      </c>
      <c r="AQ644" s="5">
        <v>17108</v>
      </c>
      <c r="AR644" t="s">
        <v>128</v>
      </c>
      <c r="AT644" s="4">
        <v>17172375402</v>
      </c>
      <c r="AV644" t="s">
        <v>17907</v>
      </c>
      <c r="AW644" t="s">
        <v>17912</v>
      </c>
      <c r="AX644" t="s">
        <v>131</v>
      </c>
      <c r="AY644" t="s">
        <v>131</v>
      </c>
      <c r="AZ644" t="s">
        <v>131</v>
      </c>
      <c r="BA644" t="s">
        <v>131</v>
      </c>
      <c r="BB644" t="s">
        <v>131</v>
      </c>
      <c r="BC644" t="s">
        <v>131</v>
      </c>
      <c r="BD644" t="s">
        <v>131</v>
      </c>
      <c r="BE644" t="s">
        <v>132</v>
      </c>
      <c r="BH644" t="s">
        <v>17546</v>
      </c>
      <c r="BI644" t="s">
        <v>131</v>
      </c>
      <c r="BL644" t="s">
        <v>167</v>
      </c>
      <c r="BO644" t="s">
        <v>131</v>
      </c>
      <c r="BP644" t="s">
        <v>134</v>
      </c>
      <c r="BQ644" t="s">
        <v>131</v>
      </c>
      <c r="BS644" t="str">
        <f t="shared" si="46"/>
        <v>N/A</v>
      </c>
      <c r="BT644" t="s">
        <v>131</v>
      </c>
      <c r="BV644" t="str">
        <f>""</f>
        <v/>
      </c>
      <c r="BW644" t="s">
        <v>131</v>
      </c>
      <c r="BX644" t="str">
        <f>""</f>
        <v/>
      </c>
      <c r="BY644" t="str">
        <f>""</f>
        <v/>
      </c>
      <c r="BZ644" t="str">
        <f>""</f>
        <v/>
      </c>
      <c r="CA644" t="str">
        <f>""</f>
        <v/>
      </c>
      <c r="CB644" t="s">
        <v>131</v>
      </c>
      <c r="CF644" t="s">
        <v>131</v>
      </c>
      <c r="CH644" t="str">
        <f>""</f>
        <v/>
      </c>
      <c r="CI644" t="s">
        <v>131</v>
      </c>
      <c r="CK644" t="s">
        <v>131</v>
      </c>
      <c r="CL644" t="str">
        <f>""</f>
        <v/>
      </c>
      <c r="CM644" t="str">
        <f>""</f>
        <v/>
      </c>
      <c r="CN644" t="str">
        <f>""</f>
        <v/>
      </c>
      <c r="CO644" t="str">
        <f>""</f>
        <v/>
      </c>
      <c r="CP644" t="str">
        <f>"51-9199.00"</f>
        <v>51-9199.00</v>
      </c>
      <c r="CQ644" t="s">
        <v>1893</v>
      </c>
      <c r="CS644" t="s">
        <v>131</v>
      </c>
      <c r="CU644" t="s">
        <v>17905</v>
      </c>
      <c r="CW644" t="s">
        <v>17909</v>
      </c>
      <c r="CX644" t="s">
        <v>312</v>
      </c>
      <c r="CZ644" s="3" t="str">
        <f>"17857"</f>
        <v>17857</v>
      </c>
      <c r="DA644" t="s">
        <v>135</v>
      </c>
      <c r="DB644" t="str">
        <f>"49-9098"</f>
        <v>49-9098</v>
      </c>
      <c r="DC644" t="s">
        <v>1503</v>
      </c>
      <c r="DD644" t="s">
        <v>134</v>
      </c>
      <c r="DE644" t="s">
        <v>134</v>
      </c>
      <c r="DF644" t="str">
        <f>""</f>
        <v/>
      </c>
      <c r="DH644" s="6">
        <v>13.8</v>
      </c>
      <c r="DI644" t="s">
        <v>344</v>
      </c>
      <c r="DK644" t="s">
        <v>345</v>
      </c>
      <c r="DR644" t="s">
        <v>17913</v>
      </c>
      <c r="DS644" s="6">
        <v>13.8</v>
      </c>
      <c r="DT644" t="s">
        <v>424</v>
      </c>
      <c r="DU644" s="1">
        <v>44364</v>
      </c>
      <c r="DV644" s="1">
        <v>44453</v>
      </c>
    </row>
    <row r="645" spans="1:126" ht="15" customHeight="1" x14ac:dyDescent="0.35">
      <c r="A645" t="s">
        <v>19097</v>
      </c>
      <c r="B645" t="s">
        <v>318</v>
      </c>
      <c r="C645" s="1">
        <v>44336</v>
      </c>
      <c r="D645" s="1">
        <v>44364</v>
      </c>
      <c r="H645" t="s">
        <v>319</v>
      </c>
      <c r="I645" t="s">
        <v>2451</v>
      </c>
      <c r="J645" t="s">
        <v>1157</v>
      </c>
      <c r="L645" t="s">
        <v>395</v>
      </c>
      <c r="M645" t="s">
        <v>2452</v>
      </c>
      <c r="N645" t="s">
        <v>134</v>
      </c>
      <c r="O645" t="s">
        <v>2453</v>
      </c>
      <c r="P645" t="s">
        <v>194</v>
      </c>
      <c r="Q645" s="3">
        <v>34285</v>
      </c>
      <c r="R645" t="s">
        <v>128</v>
      </c>
      <c r="S645" t="s">
        <v>134</v>
      </c>
      <c r="T645" s="4">
        <v>19414085300</v>
      </c>
      <c r="V645" t="s">
        <v>2454</v>
      </c>
      <c r="W645" t="s">
        <v>2455</v>
      </c>
      <c r="X645" t="s">
        <v>2456</v>
      </c>
      <c r="Y645" t="s">
        <v>2452</v>
      </c>
      <c r="Z645" t="s">
        <v>134</v>
      </c>
      <c r="AA645" t="s">
        <v>2453</v>
      </c>
      <c r="AB645" t="s">
        <v>195</v>
      </c>
      <c r="AC645" s="3" t="str">
        <f>"34285"</f>
        <v>34285</v>
      </c>
      <c r="AD645" t="s">
        <v>128</v>
      </c>
      <c r="AE645" t="s">
        <v>134</v>
      </c>
      <c r="AF645" s="4">
        <v>19414847362</v>
      </c>
      <c r="AH645" t="str">
        <f>"722511"</f>
        <v>722511</v>
      </c>
      <c r="AI645" t="s">
        <v>130</v>
      </c>
      <c r="AJ645" t="s">
        <v>1386</v>
      </c>
      <c r="AK645" t="s">
        <v>1387</v>
      </c>
      <c r="AL645" t="s">
        <v>1036</v>
      </c>
      <c r="AM645" t="s">
        <v>1388</v>
      </c>
      <c r="AN645" t="s">
        <v>997</v>
      </c>
      <c r="AO645" t="s">
        <v>719</v>
      </c>
      <c r="AP645" t="s">
        <v>377</v>
      </c>
      <c r="AQ645" s="5">
        <v>1701</v>
      </c>
      <c r="AR645" t="s">
        <v>128</v>
      </c>
      <c r="AS645" t="s">
        <v>134</v>
      </c>
      <c r="AT645" s="4">
        <v>16179399444</v>
      </c>
      <c r="AV645" t="s">
        <v>1389</v>
      </c>
      <c r="AW645" t="s">
        <v>1390</v>
      </c>
      <c r="AX645" t="s">
        <v>131</v>
      </c>
      <c r="AY645" t="s">
        <v>131</v>
      </c>
      <c r="AZ645" t="s">
        <v>131</v>
      </c>
      <c r="BA645" t="s">
        <v>131</v>
      </c>
      <c r="BB645" t="s">
        <v>131</v>
      </c>
      <c r="BC645" t="s">
        <v>131</v>
      </c>
      <c r="BD645" t="s">
        <v>131</v>
      </c>
      <c r="BE645" t="s">
        <v>132</v>
      </c>
      <c r="BH645" t="s">
        <v>1080</v>
      </c>
      <c r="BI645" t="s">
        <v>131</v>
      </c>
      <c r="BL645" t="s">
        <v>167</v>
      </c>
      <c r="BO645" t="s">
        <v>131</v>
      </c>
      <c r="BP645" t="s">
        <v>134</v>
      </c>
      <c r="BQ645" t="s">
        <v>131</v>
      </c>
      <c r="BS645" t="str">
        <f t="shared" si="46"/>
        <v>N/A</v>
      </c>
      <c r="BT645" t="s">
        <v>135</v>
      </c>
      <c r="BU645">
        <v>6</v>
      </c>
      <c r="BV645" t="str">
        <f>"Cook"</f>
        <v>Cook</v>
      </c>
      <c r="BW645" t="s">
        <v>135</v>
      </c>
      <c r="BX645" t="str">
        <f>""</f>
        <v/>
      </c>
      <c r="BY645" t="str">
        <f>""</f>
        <v/>
      </c>
      <c r="BZ645" t="str">
        <f>""</f>
        <v/>
      </c>
      <c r="CA645" t="s">
        <v>19098</v>
      </c>
      <c r="CB645" t="s">
        <v>131</v>
      </c>
      <c r="CF645" t="s">
        <v>131</v>
      </c>
      <c r="CH645" t="str">
        <f>""</f>
        <v/>
      </c>
      <c r="CI645" t="s">
        <v>131</v>
      </c>
      <c r="CK645" t="s">
        <v>131</v>
      </c>
      <c r="CL645" t="str">
        <f>""</f>
        <v/>
      </c>
      <c r="CM645" t="str">
        <f>""</f>
        <v/>
      </c>
      <c r="CN645" t="str">
        <f>""</f>
        <v/>
      </c>
      <c r="CO645" t="str">
        <f>""</f>
        <v/>
      </c>
      <c r="CP645" t="str">
        <f>"35-2014.00"</f>
        <v>35-2014.00</v>
      </c>
      <c r="CQ645" t="s">
        <v>581</v>
      </c>
      <c r="CR645" t="s">
        <v>19099</v>
      </c>
      <c r="CS645" t="s">
        <v>131</v>
      </c>
      <c r="CU645" t="s">
        <v>2459</v>
      </c>
      <c r="CV645" t="s">
        <v>134</v>
      </c>
      <c r="CW645" t="s">
        <v>2453</v>
      </c>
      <c r="CX645" t="s">
        <v>195</v>
      </c>
      <c r="CZ645" s="3" t="str">
        <f>"34285"</f>
        <v>34285</v>
      </c>
      <c r="DA645" t="s">
        <v>131</v>
      </c>
      <c r="DB645" t="str">
        <f>"35-2014"</f>
        <v>35-2014</v>
      </c>
      <c r="DC645" t="s">
        <v>581</v>
      </c>
      <c r="DD645" t="s">
        <v>134</v>
      </c>
      <c r="DE645" t="s">
        <v>134</v>
      </c>
      <c r="DF645" t="str">
        <f>"35-9021.00"</f>
        <v>35-9021.00</v>
      </c>
      <c r="DG645" t="s">
        <v>2552</v>
      </c>
      <c r="DH645" s="6">
        <v>14.35</v>
      </c>
      <c r="DI645" t="s">
        <v>344</v>
      </c>
      <c r="DK645" t="s">
        <v>345</v>
      </c>
      <c r="DS645" s="6">
        <v>14.35</v>
      </c>
      <c r="DT645" t="s">
        <v>424</v>
      </c>
      <c r="DU645" s="1">
        <v>44364</v>
      </c>
      <c r="DV645" s="1">
        <v>44453</v>
      </c>
    </row>
    <row r="646" spans="1:126" ht="15" customHeight="1" x14ac:dyDescent="0.35">
      <c r="A646" t="s">
        <v>6886</v>
      </c>
      <c r="B646" t="s">
        <v>318</v>
      </c>
      <c r="C646" s="1">
        <v>44336</v>
      </c>
      <c r="D646" s="1">
        <v>44364</v>
      </c>
      <c r="H646" t="s">
        <v>319</v>
      </c>
      <c r="I646" t="s">
        <v>6887</v>
      </c>
      <c r="J646" t="s">
        <v>6510</v>
      </c>
      <c r="L646" t="s">
        <v>1031</v>
      </c>
      <c r="M646" t="s">
        <v>6888</v>
      </c>
      <c r="O646" t="s">
        <v>6889</v>
      </c>
      <c r="P646" t="s">
        <v>2848</v>
      </c>
      <c r="Q646" s="3">
        <v>3034</v>
      </c>
      <c r="R646" t="s">
        <v>128</v>
      </c>
      <c r="T646" s="4">
        <v>16033700709</v>
      </c>
      <c r="V646" t="s">
        <v>6890</v>
      </c>
      <c r="W646" t="s">
        <v>6891</v>
      </c>
      <c r="Y646" t="s">
        <v>6888</v>
      </c>
      <c r="AA646" t="s">
        <v>6892</v>
      </c>
      <c r="AB646" t="s">
        <v>2849</v>
      </c>
      <c r="AC646" s="3" t="str">
        <f>"03034"</f>
        <v>03034</v>
      </c>
      <c r="AD646" t="s">
        <v>128</v>
      </c>
      <c r="AF646" s="4">
        <v>16039313609</v>
      </c>
      <c r="AH646" t="str">
        <f>"5617"</f>
        <v>5617</v>
      </c>
      <c r="AI646" t="s">
        <v>130</v>
      </c>
      <c r="AJ646" t="s">
        <v>3252</v>
      </c>
      <c r="AK646" t="s">
        <v>3253</v>
      </c>
      <c r="AL646" t="s">
        <v>589</v>
      </c>
      <c r="AM646" t="s">
        <v>3254</v>
      </c>
      <c r="AO646" t="s">
        <v>3255</v>
      </c>
      <c r="AP646" t="s">
        <v>779</v>
      </c>
      <c r="AQ646" s="5">
        <v>37110</v>
      </c>
      <c r="AR646" t="s">
        <v>128</v>
      </c>
      <c r="AT646" s="4">
        <v>19312747811</v>
      </c>
      <c r="AV646" t="s">
        <v>3256</v>
      </c>
      <c r="AW646" t="s">
        <v>3257</v>
      </c>
      <c r="AX646" t="s">
        <v>131</v>
      </c>
      <c r="AY646" t="s">
        <v>131</v>
      </c>
      <c r="AZ646" t="s">
        <v>131</v>
      </c>
      <c r="BA646" t="s">
        <v>131</v>
      </c>
      <c r="BB646" t="s">
        <v>131</v>
      </c>
      <c r="BC646" t="s">
        <v>131</v>
      </c>
      <c r="BD646" t="s">
        <v>131</v>
      </c>
      <c r="BE646" t="s">
        <v>132</v>
      </c>
      <c r="BH646" t="s">
        <v>6893</v>
      </c>
      <c r="BI646" t="s">
        <v>131</v>
      </c>
      <c r="BL646" t="s">
        <v>167</v>
      </c>
      <c r="BO646" t="s">
        <v>131</v>
      </c>
      <c r="BP646" t="s">
        <v>134</v>
      </c>
      <c r="BQ646" t="s">
        <v>131</v>
      </c>
      <c r="BS646" t="str">
        <f t="shared" si="46"/>
        <v>N/A</v>
      </c>
      <c r="BT646" t="s">
        <v>135</v>
      </c>
      <c r="BU646">
        <v>3</v>
      </c>
      <c r="BV646" t="str">
        <f>"Hardscape"</f>
        <v>Hardscape</v>
      </c>
      <c r="BW646" t="s">
        <v>135</v>
      </c>
      <c r="BX646" t="str">
        <f>""</f>
        <v/>
      </c>
      <c r="BY646" t="str">
        <f>""</f>
        <v/>
      </c>
      <c r="BZ646" t="str">
        <f>""</f>
        <v/>
      </c>
      <c r="CA646" t="str">
        <f>"MUST BE ABLE TO LIFT 50LBS."</f>
        <v>MUST BE ABLE TO LIFT 50LBS.</v>
      </c>
      <c r="CB646" t="s">
        <v>131</v>
      </c>
      <c r="CF646" t="s">
        <v>131</v>
      </c>
      <c r="CH646" t="str">
        <f>""</f>
        <v/>
      </c>
      <c r="CI646" t="s">
        <v>131</v>
      </c>
      <c r="CK646" t="s">
        <v>131</v>
      </c>
      <c r="CL646" t="str">
        <f>""</f>
        <v/>
      </c>
      <c r="CM646" t="str">
        <f>""</f>
        <v/>
      </c>
      <c r="CN646" t="str">
        <f>""</f>
        <v/>
      </c>
      <c r="CO646" t="str">
        <f>""</f>
        <v/>
      </c>
      <c r="CP646" t="str">
        <f>"37-3011.00"</f>
        <v>37-3011.00</v>
      </c>
      <c r="CQ646" t="s">
        <v>920</v>
      </c>
      <c r="CS646" t="s">
        <v>131</v>
      </c>
      <c r="CU646" t="s">
        <v>6894</v>
      </c>
      <c r="CW646" t="s">
        <v>6895</v>
      </c>
      <c r="CX646" t="s">
        <v>2849</v>
      </c>
      <c r="CZ646" s="3" t="str">
        <f>"03833"</f>
        <v>03833</v>
      </c>
      <c r="DA646" t="s">
        <v>135</v>
      </c>
      <c r="DB646" t="str">
        <f>"37-3011"</f>
        <v>37-3011</v>
      </c>
      <c r="DC646" t="s">
        <v>920</v>
      </c>
      <c r="DD646" t="s">
        <v>134</v>
      </c>
      <c r="DE646" t="s">
        <v>134</v>
      </c>
      <c r="DF646" t="str">
        <f>""</f>
        <v/>
      </c>
      <c r="DH646" s="6">
        <v>16.97</v>
      </c>
      <c r="DI646" t="s">
        <v>344</v>
      </c>
      <c r="DK646" t="s">
        <v>345</v>
      </c>
      <c r="DR646" t="s">
        <v>1033</v>
      </c>
      <c r="DS646" s="6">
        <v>19.079999999999998</v>
      </c>
      <c r="DT646" t="s">
        <v>424</v>
      </c>
      <c r="DU646" s="1">
        <v>44364</v>
      </c>
      <c r="DV646" s="1">
        <v>44453</v>
      </c>
    </row>
    <row r="647" spans="1:126" ht="15" customHeight="1" x14ac:dyDescent="0.35">
      <c r="A647" t="s">
        <v>13045</v>
      </c>
      <c r="B647" t="s">
        <v>318</v>
      </c>
      <c r="C647" s="1">
        <v>44336</v>
      </c>
      <c r="D647" s="1">
        <v>44363</v>
      </c>
      <c r="H647" t="s">
        <v>319</v>
      </c>
      <c r="I647" t="s">
        <v>13046</v>
      </c>
      <c r="J647" t="s">
        <v>13047</v>
      </c>
      <c r="L647" t="s">
        <v>287</v>
      </c>
      <c r="M647" t="s">
        <v>13048</v>
      </c>
      <c r="O647" t="s">
        <v>799</v>
      </c>
      <c r="P647" t="s">
        <v>3393</v>
      </c>
      <c r="Q647" s="3">
        <v>20036</v>
      </c>
      <c r="R647" t="s">
        <v>128</v>
      </c>
      <c r="T647" s="4">
        <v>12028981880</v>
      </c>
      <c r="V647" t="s">
        <v>13049</v>
      </c>
      <c r="W647" t="s">
        <v>13050</v>
      </c>
      <c r="Y647" t="s">
        <v>13048</v>
      </c>
      <c r="AA647" t="s">
        <v>799</v>
      </c>
      <c r="AB647" t="s">
        <v>595</v>
      </c>
      <c r="AC647" s="3" t="str">
        <f>"20036"</f>
        <v>20036</v>
      </c>
      <c r="AD647" t="s">
        <v>128</v>
      </c>
      <c r="AF647" s="4">
        <v>12028981880</v>
      </c>
      <c r="AH647" t="str">
        <f>"531110"</f>
        <v>531110</v>
      </c>
      <c r="AI647" t="s">
        <v>130</v>
      </c>
      <c r="AJ647" t="s">
        <v>2970</v>
      </c>
      <c r="AK647" t="s">
        <v>654</v>
      </c>
      <c r="AL647" t="s">
        <v>1198</v>
      </c>
      <c r="AM647" t="s">
        <v>2971</v>
      </c>
      <c r="AN647" t="s">
        <v>2972</v>
      </c>
      <c r="AO647" t="s">
        <v>2737</v>
      </c>
      <c r="AP647" t="s">
        <v>195</v>
      </c>
      <c r="AQ647" s="5">
        <v>33410</v>
      </c>
      <c r="AR647" t="s">
        <v>128</v>
      </c>
      <c r="AT647" s="4">
        <v>15614785353</v>
      </c>
      <c r="AU647">
        <v>0</v>
      </c>
      <c r="AV647" t="s">
        <v>2973</v>
      </c>
      <c r="AW647" t="s">
        <v>2974</v>
      </c>
      <c r="AX647" t="s">
        <v>131</v>
      </c>
      <c r="AY647" t="s">
        <v>131</v>
      </c>
      <c r="AZ647" t="s">
        <v>131</v>
      </c>
      <c r="BA647" t="s">
        <v>131</v>
      </c>
      <c r="BB647" t="s">
        <v>131</v>
      </c>
      <c r="BC647" t="s">
        <v>131</v>
      </c>
      <c r="BD647" t="s">
        <v>131</v>
      </c>
      <c r="BE647" t="s">
        <v>132</v>
      </c>
      <c r="BH647" t="s">
        <v>3359</v>
      </c>
      <c r="BI647" t="s">
        <v>131</v>
      </c>
      <c r="BL647" t="s">
        <v>133</v>
      </c>
      <c r="BN647" t="s">
        <v>13051</v>
      </c>
      <c r="BO647" t="s">
        <v>131</v>
      </c>
      <c r="BP647" t="s">
        <v>134</v>
      </c>
      <c r="BQ647" t="s">
        <v>131</v>
      </c>
      <c r="BS647" t="str">
        <f t="shared" si="46"/>
        <v>N/A</v>
      </c>
      <c r="BT647" t="s">
        <v>131</v>
      </c>
      <c r="BV647" t="str">
        <f>""</f>
        <v/>
      </c>
      <c r="BW647" t="s">
        <v>131</v>
      </c>
      <c r="BX647" t="str">
        <f>""</f>
        <v/>
      </c>
      <c r="BY647" t="str">
        <f>""</f>
        <v/>
      </c>
      <c r="BZ647" t="str">
        <f>""</f>
        <v/>
      </c>
      <c r="CA647" t="str">
        <f>""</f>
        <v/>
      </c>
      <c r="CB647" t="s">
        <v>131</v>
      </c>
      <c r="CF647" t="s">
        <v>131</v>
      </c>
      <c r="CH647" t="str">
        <f>""</f>
        <v/>
      </c>
      <c r="CI647" t="s">
        <v>131</v>
      </c>
      <c r="CK647" t="s">
        <v>131</v>
      </c>
      <c r="CL647" t="str">
        <f>""</f>
        <v/>
      </c>
      <c r="CM647" t="str">
        <f>""</f>
        <v/>
      </c>
      <c r="CN647" t="str">
        <f>""</f>
        <v/>
      </c>
      <c r="CO647" t="str">
        <f>""</f>
        <v/>
      </c>
      <c r="CP647" t="str">
        <f>"43-6014.00"</f>
        <v>43-6014.00</v>
      </c>
      <c r="CQ647" t="s">
        <v>406</v>
      </c>
      <c r="CS647" t="s">
        <v>131</v>
      </c>
      <c r="CU647" t="s">
        <v>13052</v>
      </c>
      <c r="CV647" t="s">
        <v>788</v>
      </c>
      <c r="CW647" t="s">
        <v>799</v>
      </c>
      <c r="CX647" t="s">
        <v>595</v>
      </c>
      <c r="CZ647" s="3" t="str">
        <f>"20005"</f>
        <v>20005</v>
      </c>
      <c r="DA647" t="s">
        <v>131</v>
      </c>
      <c r="DB647" t="str">
        <f>"43-6014"</f>
        <v>43-6014</v>
      </c>
      <c r="DC647" t="s">
        <v>406</v>
      </c>
      <c r="DD647" t="s">
        <v>134</v>
      </c>
      <c r="DE647" t="s">
        <v>134</v>
      </c>
      <c r="DF647" t="str">
        <f>""</f>
        <v/>
      </c>
      <c r="DH647" s="6">
        <v>23.04</v>
      </c>
      <c r="DI647" t="s">
        <v>344</v>
      </c>
      <c r="DK647" t="s">
        <v>345</v>
      </c>
      <c r="DR647" t="s">
        <v>9742</v>
      </c>
      <c r="DS647" s="6">
        <v>23.04</v>
      </c>
      <c r="DT647" t="s">
        <v>424</v>
      </c>
      <c r="DU647" s="1">
        <v>44363</v>
      </c>
      <c r="DV647" s="1">
        <v>44452</v>
      </c>
    </row>
    <row r="648" spans="1:126" ht="15" customHeight="1" x14ac:dyDescent="0.35">
      <c r="A648" t="s">
        <v>9245</v>
      </c>
      <c r="B648" t="s">
        <v>318</v>
      </c>
      <c r="C648" s="1">
        <v>44336</v>
      </c>
      <c r="D648" s="1">
        <v>44369</v>
      </c>
      <c r="H648" t="s">
        <v>319</v>
      </c>
      <c r="I648" t="s">
        <v>9246</v>
      </c>
      <c r="J648" t="s">
        <v>9247</v>
      </c>
      <c r="K648" t="s">
        <v>9248</v>
      </c>
      <c r="L648" t="s">
        <v>7336</v>
      </c>
      <c r="M648" t="s">
        <v>9249</v>
      </c>
      <c r="O648" t="s">
        <v>9250</v>
      </c>
      <c r="P648" t="s">
        <v>778</v>
      </c>
      <c r="Q648" s="3">
        <v>37079</v>
      </c>
      <c r="R648" t="s">
        <v>128</v>
      </c>
      <c r="T648" s="4">
        <v>19312495681</v>
      </c>
      <c r="V648" t="s">
        <v>9251</v>
      </c>
      <c r="W648" t="s">
        <v>9252</v>
      </c>
      <c r="Y648" t="s">
        <v>9253</v>
      </c>
      <c r="AA648" t="s">
        <v>9250</v>
      </c>
      <c r="AB648" t="s">
        <v>779</v>
      </c>
      <c r="AC648" s="3" t="str">
        <f>"37079"</f>
        <v>37079</v>
      </c>
      <c r="AD648" t="s">
        <v>128</v>
      </c>
      <c r="AF648" s="4">
        <v>19312495681</v>
      </c>
      <c r="AH648" t="str">
        <f>"237110"</f>
        <v>237110</v>
      </c>
      <c r="AI648" t="s">
        <v>167</v>
      </c>
      <c r="AX648" t="s">
        <v>131</v>
      </c>
      <c r="AY648" t="s">
        <v>131</v>
      </c>
      <c r="AZ648" t="s">
        <v>131</v>
      </c>
      <c r="BA648" t="s">
        <v>131</v>
      </c>
      <c r="BB648" t="s">
        <v>131</v>
      </c>
      <c r="BC648" t="s">
        <v>131</v>
      </c>
      <c r="BD648" t="s">
        <v>131</v>
      </c>
      <c r="BE648" t="s">
        <v>132</v>
      </c>
      <c r="BH648" t="s">
        <v>9254</v>
      </c>
      <c r="BI648" t="s">
        <v>131</v>
      </c>
      <c r="BL648" t="s">
        <v>167</v>
      </c>
      <c r="BO648" t="s">
        <v>131</v>
      </c>
      <c r="BP648" t="s">
        <v>134</v>
      </c>
      <c r="BQ648" t="s">
        <v>131</v>
      </c>
      <c r="BS648" t="str">
        <f t="shared" si="46"/>
        <v>N/A</v>
      </c>
      <c r="BT648" t="s">
        <v>135</v>
      </c>
      <c r="BU648">
        <v>12</v>
      </c>
      <c r="BV648" t="str">
        <f>"Construction Laborer/Operator. "</f>
        <v xml:space="preserve">Construction Laborer/Operator. </v>
      </c>
      <c r="BW648" t="s">
        <v>131</v>
      </c>
      <c r="BX648" t="str">
        <f>""</f>
        <v/>
      </c>
      <c r="BY648" t="str">
        <f>""</f>
        <v/>
      </c>
      <c r="BZ648" t="str">
        <f>""</f>
        <v/>
      </c>
      <c r="CA648" t="str">
        <f>""</f>
        <v/>
      </c>
      <c r="CB648" t="s">
        <v>131</v>
      </c>
      <c r="CF648" t="s">
        <v>131</v>
      </c>
      <c r="CH648" t="str">
        <f>""</f>
        <v/>
      </c>
      <c r="CI648" t="s">
        <v>131</v>
      </c>
      <c r="CK648" t="s">
        <v>131</v>
      </c>
      <c r="CL648" t="str">
        <f>""</f>
        <v/>
      </c>
      <c r="CM648" t="str">
        <f>""</f>
        <v/>
      </c>
      <c r="CN648" t="str">
        <f>""</f>
        <v/>
      </c>
      <c r="CO648" t="str">
        <f>""</f>
        <v/>
      </c>
      <c r="CP648" t="str">
        <f>"47-2061.00"</f>
        <v>47-2061.00</v>
      </c>
      <c r="CQ648" t="s">
        <v>393</v>
      </c>
      <c r="CR648" t="s">
        <v>1078</v>
      </c>
      <c r="CS648" t="s">
        <v>135</v>
      </c>
      <c r="CT648" t="s">
        <v>9255</v>
      </c>
      <c r="CU648" t="s">
        <v>9256</v>
      </c>
      <c r="CW648" t="s">
        <v>9257</v>
      </c>
      <c r="CX648" t="s">
        <v>2436</v>
      </c>
      <c r="CZ648" s="3" t="str">
        <f>"42223"</f>
        <v>42223</v>
      </c>
      <c r="DA648" t="s">
        <v>131</v>
      </c>
      <c r="DB648" t="str">
        <f>"47-2151"</f>
        <v>47-2151</v>
      </c>
      <c r="DC648" t="s">
        <v>4095</v>
      </c>
      <c r="DD648" t="s">
        <v>134</v>
      </c>
      <c r="DE648" t="s">
        <v>134</v>
      </c>
      <c r="DF648" t="str">
        <f>""</f>
        <v/>
      </c>
      <c r="DH648" s="6">
        <v>20.73</v>
      </c>
      <c r="DI648" t="s">
        <v>344</v>
      </c>
      <c r="DK648" t="s">
        <v>345</v>
      </c>
      <c r="DS648" s="6">
        <v>20.73</v>
      </c>
      <c r="DT648" s="2" t="s">
        <v>9258</v>
      </c>
      <c r="DU648" s="1">
        <v>44369</v>
      </c>
      <c r="DV648" s="1">
        <v>44458</v>
      </c>
    </row>
    <row r="649" spans="1:126" ht="15" customHeight="1" x14ac:dyDescent="0.35">
      <c r="A649" t="s">
        <v>11291</v>
      </c>
      <c r="B649" t="s">
        <v>318</v>
      </c>
      <c r="C649" s="1">
        <v>44336</v>
      </c>
      <c r="D649" s="1">
        <v>44363</v>
      </c>
      <c r="H649" t="s">
        <v>319</v>
      </c>
      <c r="I649" t="s">
        <v>221</v>
      </c>
      <c r="J649" t="s">
        <v>11292</v>
      </c>
      <c r="K649" t="s">
        <v>6671</v>
      </c>
      <c r="L649" t="s">
        <v>392</v>
      </c>
      <c r="M649" t="s">
        <v>11293</v>
      </c>
      <c r="O649" t="s">
        <v>584</v>
      </c>
      <c r="P649" t="s">
        <v>194</v>
      </c>
      <c r="Q649" s="3">
        <v>33142</v>
      </c>
      <c r="R649" t="s">
        <v>128</v>
      </c>
      <c r="T649" s="4">
        <v>17868779586</v>
      </c>
      <c r="V649" t="s">
        <v>11294</v>
      </c>
      <c r="W649" t="s">
        <v>11295</v>
      </c>
      <c r="Y649" t="s">
        <v>11293</v>
      </c>
      <c r="AA649" t="s">
        <v>584</v>
      </c>
      <c r="AB649" t="s">
        <v>195</v>
      </c>
      <c r="AC649" s="3" t="str">
        <f>"33142"</f>
        <v>33142</v>
      </c>
      <c r="AD649" t="s">
        <v>128</v>
      </c>
      <c r="AF649" s="4">
        <v>17868779586</v>
      </c>
      <c r="AH649" t="str">
        <f>"56111"</f>
        <v>56111</v>
      </c>
      <c r="AI649" t="s">
        <v>130</v>
      </c>
      <c r="AJ649" t="s">
        <v>2282</v>
      </c>
      <c r="AK649" t="s">
        <v>2283</v>
      </c>
      <c r="AL649" t="s">
        <v>2284</v>
      </c>
      <c r="AM649" t="s">
        <v>2285</v>
      </c>
      <c r="AN649" t="s">
        <v>1821</v>
      </c>
      <c r="AO649" t="s">
        <v>584</v>
      </c>
      <c r="AP649" t="s">
        <v>195</v>
      </c>
      <c r="AQ649" s="5">
        <v>33186</v>
      </c>
      <c r="AR649" t="s">
        <v>128</v>
      </c>
      <c r="AT649" s="4">
        <v>13056706767</v>
      </c>
      <c r="AV649" t="s">
        <v>2286</v>
      </c>
      <c r="AW649" t="s">
        <v>2287</v>
      </c>
      <c r="AX649" t="s">
        <v>131</v>
      </c>
      <c r="AY649" t="s">
        <v>131</v>
      </c>
      <c r="AZ649" t="s">
        <v>131</v>
      </c>
      <c r="BA649" t="s">
        <v>131</v>
      </c>
      <c r="BB649" t="s">
        <v>131</v>
      </c>
      <c r="BC649" t="s">
        <v>131</v>
      </c>
      <c r="BD649" t="s">
        <v>131</v>
      </c>
      <c r="BE649" t="s">
        <v>132</v>
      </c>
      <c r="BH649" t="s">
        <v>5677</v>
      </c>
      <c r="BI649" t="s">
        <v>131</v>
      </c>
      <c r="BL649" t="s">
        <v>167</v>
      </c>
      <c r="BO649" t="s">
        <v>131</v>
      </c>
      <c r="BP649" t="s">
        <v>134</v>
      </c>
      <c r="BQ649" t="s">
        <v>131</v>
      </c>
      <c r="BS649" t="str">
        <f t="shared" si="46"/>
        <v>N/A</v>
      </c>
      <c r="BT649" t="s">
        <v>135</v>
      </c>
      <c r="BU649">
        <v>6</v>
      </c>
      <c r="BV649" t="str">
        <f>"Six months of experience as a restaurant server."</f>
        <v>Six months of experience as a restaurant server.</v>
      </c>
      <c r="BW649" t="s">
        <v>131</v>
      </c>
      <c r="BX649" t="str">
        <f>""</f>
        <v/>
      </c>
      <c r="BY649" t="str">
        <f>""</f>
        <v/>
      </c>
      <c r="BZ649" t="str">
        <f>""</f>
        <v/>
      </c>
      <c r="CA649" t="str">
        <f>""</f>
        <v/>
      </c>
      <c r="CB649" t="s">
        <v>131</v>
      </c>
      <c r="CF649" t="s">
        <v>131</v>
      </c>
      <c r="CH649" t="str">
        <f>""</f>
        <v/>
      </c>
      <c r="CI649" t="s">
        <v>131</v>
      </c>
      <c r="CK649" t="s">
        <v>131</v>
      </c>
      <c r="CL649" t="str">
        <f>""</f>
        <v/>
      </c>
      <c r="CM649" t="str">
        <f>""</f>
        <v/>
      </c>
      <c r="CN649" t="str">
        <f>""</f>
        <v/>
      </c>
      <c r="CO649" t="str">
        <f>""</f>
        <v/>
      </c>
      <c r="CP649" t="str">
        <f>"35-3031.00"</f>
        <v>35-3031.00</v>
      </c>
      <c r="CQ649" t="s">
        <v>1214</v>
      </c>
      <c r="CS649" t="s">
        <v>131</v>
      </c>
      <c r="CU649" t="s">
        <v>11296</v>
      </c>
      <c r="CW649" t="s">
        <v>2141</v>
      </c>
      <c r="CX649" t="s">
        <v>195</v>
      </c>
      <c r="CZ649" s="3" t="str">
        <f>"33134"</f>
        <v>33134</v>
      </c>
      <c r="DA649" t="s">
        <v>135</v>
      </c>
      <c r="DB649" t="str">
        <f>"35-3031"</f>
        <v>35-3031</v>
      </c>
      <c r="DC649" t="s">
        <v>1214</v>
      </c>
      <c r="DD649" t="s">
        <v>134</v>
      </c>
      <c r="DE649" t="s">
        <v>134</v>
      </c>
      <c r="DF649" t="str">
        <f>""</f>
        <v/>
      </c>
      <c r="DH649" s="6">
        <v>12.55</v>
      </c>
      <c r="DI649" t="s">
        <v>344</v>
      </c>
      <c r="DK649" t="s">
        <v>345</v>
      </c>
      <c r="DR649" t="s">
        <v>2160</v>
      </c>
      <c r="DS649" s="6">
        <v>12.55</v>
      </c>
      <c r="DT649" t="s">
        <v>424</v>
      </c>
      <c r="DU649" s="1">
        <v>44363</v>
      </c>
      <c r="DV649" s="1">
        <v>44452</v>
      </c>
    </row>
    <row r="650" spans="1:126" ht="15" customHeight="1" x14ac:dyDescent="0.35">
      <c r="A650" t="s">
        <v>15739</v>
      </c>
      <c r="B650" t="s">
        <v>318</v>
      </c>
      <c r="C650" s="1">
        <v>44336</v>
      </c>
      <c r="D650" s="1">
        <v>44363</v>
      </c>
      <c r="H650" t="s">
        <v>319</v>
      </c>
      <c r="I650" t="s">
        <v>221</v>
      </c>
      <c r="J650" t="s">
        <v>11292</v>
      </c>
      <c r="K650" t="s">
        <v>6671</v>
      </c>
      <c r="L650" t="s">
        <v>392</v>
      </c>
      <c r="M650" t="s">
        <v>11293</v>
      </c>
      <c r="O650" t="s">
        <v>584</v>
      </c>
      <c r="P650" t="s">
        <v>194</v>
      </c>
      <c r="Q650" s="3">
        <v>33142</v>
      </c>
      <c r="R650" t="s">
        <v>128</v>
      </c>
      <c r="T650" s="4">
        <v>17868779586</v>
      </c>
      <c r="V650" t="s">
        <v>11294</v>
      </c>
      <c r="W650" t="s">
        <v>11295</v>
      </c>
      <c r="Y650" t="s">
        <v>11293</v>
      </c>
      <c r="AA650" t="s">
        <v>584</v>
      </c>
      <c r="AB650" t="s">
        <v>195</v>
      </c>
      <c r="AC650" s="3" t="str">
        <f>"33142"</f>
        <v>33142</v>
      </c>
      <c r="AD650" t="s">
        <v>128</v>
      </c>
      <c r="AF650" s="4">
        <v>17868779586</v>
      </c>
      <c r="AH650" t="str">
        <f>"56111"</f>
        <v>56111</v>
      </c>
      <c r="AI650" t="s">
        <v>130</v>
      </c>
      <c r="AJ650" t="s">
        <v>2282</v>
      </c>
      <c r="AK650" t="s">
        <v>2283</v>
      </c>
      <c r="AL650" t="s">
        <v>2284</v>
      </c>
      <c r="AM650" t="s">
        <v>2285</v>
      </c>
      <c r="AN650" t="s">
        <v>1821</v>
      </c>
      <c r="AO650" t="s">
        <v>584</v>
      </c>
      <c r="AP650" t="s">
        <v>195</v>
      </c>
      <c r="AQ650" s="5">
        <v>33186</v>
      </c>
      <c r="AR650" t="s">
        <v>128</v>
      </c>
      <c r="AT650" s="4">
        <v>13056706767</v>
      </c>
      <c r="AV650" t="s">
        <v>2286</v>
      </c>
      <c r="AW650" t="s">
        <v>2287</v>
      </c>
      <c r="AX650" t="s">
        <v>131</v>
      </c>
      <c r="AY650" t="s">
        <v>131</v>
      </c>
      <c r="AZ650" t="s">
        <v>131</v>
      </c>
      <c r="BA650" t="s">
        <v>131</v>
      </c>
      <c r="BB650" t="s">
        <v>131</v>
      </c>
      <c r="BC650" t="s">
        <v>131</v>
      </c>
      <c r="BD650" t="s">
        <v>131</v>
      </c>
      <c r="BE650" t="s">
        <v>132</v>
      </c>
      <c r="BH650" t="s">
        <v>3930</v>
      </c>
      <c r="BI650" t="s">
        <v>131</v>
      </c>
      <c r="BL650" t="s">
        <v>167</v>
      </c>
      <c r="BO650" t="s">
        <v>131</v>
      </c>
      <c r="BP650" t="s">
        <v>134</v>
      </c>
      <c r="BQ650" t="s">
        <v>131</v>
      </c>
      <c r="BS650" t="str">
        <f t="shared" si="46"/>
        <v>N/A</v>
      </c>
      <c r="BT650" t="s">
        <v>135</v>
      </c>
      <c r="BU650">
        <v>12</v>
      </c>
      <c r="BV650" t="str">
        <f>"One year of experience as a cook."</f>
        <v>One year of experience as a cook.</v>
      </c>
      <c r="BW650" t="s">
        <v>131</v>
      </c>
      <c r="BX650" t="str">
        <f>""</f>
        <v/>
      </c>
      <c r="BY650" t="str">
        <f>""</f>
        <v/>
      </c>
      <c r="BZ650" t="str">
        <f>""</f>
        <v/>
      </c>
      <c r="CA650" t="str">
        <f>""</f>
        <v/>
      </c>
      <c r="CB650" t="s">
        <v>131</v>
      </c>
      <c r="CF650" t="s">
        <v>131</v>
      </c>
      <c r="CH650" t="str">
        <f>""</f>
        <v/>
      </c>
      <c r="CI650" t="s">
        <v>131</v>
      </c>
      <c r="CK650" t="s">
        <v>131</v>
      </c>
      <c r="CL650" t="str">
        <f>""</f>
        <v/>
      </c>
      <c r="CM650" t="str">
        <f>""</f>
        <v/>
      </c>
      <c r="CN650" t="str">
        <f>""</f>
        <v/>
      </c>
      <c r="CO650" t="str">
        <f>""</f>
        <v/>
      </c>
      <c r="CP650" t="str">
        <f>"35-2014.00"</f>
        <v>35-2014.00</v>
      </c>
      <c r="CQ650" t="s">
        <v>581</v>
      </c>
      <c r="CS650" t="s">
        <v>131</v>
      </c>
      <c r="CU650" t="s">
        <v>11296</v>
      </c>
      <c r="CW650" t="s">
        <v>2141</v>
      </c>
      <c r="CX650" t="s">
        <v>195</v>
      </c>
      <c r="CZ650" s="3" t="str">
        <f>"33134"</f>
        <v>33134</v>
      </c>
      <c r="DA650" t="s">
        <v>135</v>
      </c>
      <c r="DB650" t="str">
        <f>"35-2014"</f>
        <v>35-2014</v>
      </c>
      <c r="DC650" t="s">
        <v>581</v>
      </c>
      <c r="DD650" t="s">
        <v>134</v>
      </c>
      <c r="DE650" t="s">
        <v>134</v>
      </c>
      <c r="DF650" t="str">
        <f>""</f>
        <v/>
      </c>
      <c r="DH650" s="6">
        <v>14.63</v>
      </c>
      <c r="DI650" t="s">
        <v>344</v>
      </c>
      <c r="DK650" t="s">
        <v>345</v>
      </c>
      <c r="DR650" t="s">
        <v>2160</v>
      </c>
      <c r="DS650" s="6">
        <v>14.63</v>
      </c>
      <c r="DT650" t="s">
        <v>424</v>
      </c>
      <c r="DU650" s="1">
        <v>44363</v>
      </c>
      <c r="DV650" s="1">
        <v>44452</v>
      </c>
    </row>
    <row r="651" spans="1:126" ht="15" customHeight="1" x14ac:dyDescent="0.35">
      <c r="A651" t="s">
        <v>5119</v>
      </c>
      <c r="B651" t="s">
        <v>318</v>
      </c>
      <c r="C651" s="1">
        <v>44336</v>
      </c>
      <c r="D651" s="1">
        <v>44363</v>
      </c>
      <c r="H651" t="s">
        <v>319</v>
      </c>
      <c r="I651" t="s">
        <v>5120</v>
      </c>
      <c r="J651" t="s">
        <v>5121</v>
      </c>
      <c r="L651" t="s">
        <v>5122</v>
      </c>
      <c r="M651" t="s">
        <v>5123</v>
      </c>
      <c r="O651" t="s">
        <v>584</v>
      </c>
      <c r="P651" t="s">
        <v>194</v>
      </c>
      <c r="Q651" s="3">
        <v>33147</v>
      </c>
      <c r="R651" t="s">
        <v>128</v>
      </c>
      <c r="T651" s="4">
        <v>13057606515</v>
      </c>
      <c r="V651" t="s">
        <v>5124</v>
      </c>
      <c r="W651" t="s">
        <v>5125</v>
      </c>
      <c r="Y651" t="s">
        <v>5123</v>
      </c>
      <c r="AA651" t="s">
        <v>584</v>
      </c>
      <c r="AB651" t="s">
        <v>195</v>
      </c>
      <c r="AC651" s="3" t="str">
        <f>"33147"</f>
        <v>33147</v>
      </c>
      <c r="AD651" t="s">
        <v>128</v>
      </c>
      <c r="AF651" s="4">
        <v>13057606515</v>
      </c>
      <c r="AH651" t="str">
        <f>"81232"</f>
        <v>81232</v>
      </c>
      <c r="AI651" t="s">
        <v>130</v>
      </c>
      <c r="AJ651" t="s">
        <v>2282</v>
      </c>
      <c r="AK651" t="s">
        <v>2283</v>
      </c>
      <c r="AL651" t="s">
        <v>2284</v>
      </c>
      <c r="AM651" t="s">
        <v>2285</v>
      </c>
      <c r="AN651" t="s">
        <v>1821</v>
      </c>
      <c r="AO651" t="s">
        <v>584</v>
      </c>
      <c r="AP651" t="s">
        <v>195</v>
      </c>
      <c r="AQ651" s="5">
        <v>33186</v>
      </c>
      <c r="AR651" t="s">
        <v>128</v>
      </c>
      <c r="AT651" s="4">
        <v>13056706767</v>
      </c>
      <c r="AV651" t="s">
        <v>2286</v>
      </c>
      <c r="AW651" t="s">
        <v>2287</v>
      </c>
      <c r="AX651" t="s">
        <v>131</v>
      </c>
      <c r="AY651" t="s">
        <v>131</v>
      </c>
      <c r="AZ651" t="s">
        <v>131</v>
      </c>
      <c r="BA651" t="s">
        <v>131</v>
      </c>
      <c r="BB651" t="s">
        <v>131</v>
      </c>
      <c r="BC651" t="s">
        <v>131</v>
      </c>
      <c r="BD651" t="s">
        <v>131</v>
      </c>
      <c r="BE651" t="s">
        <v>132</v>
      </c>
      <c r="BH651" t="s">
        <v>5126</v>
      </c>
      <c r="BI651" t="s">
        <v>131</v>
      </c>
      <c r="BL651" t="s">
        <v>167</v>
      </c>
      <c r="BO651" t="s">
        <v>131</v>
      </c>
      <c r="BP651" t="s">
        <v>134</v>
      </c>
      <c r="BQ651" t="s">
        <v>131</v>
      </c>
      <c r="BS651" t="str">
        <f t="shared" si="46"/>
        <v>N/A</v>
      </c>
      <c r="BT651" t="s">
        <v>131</v>
      </c>
      <c r="BV651" t="str">
        <f>""</f>
        <v/>
      </c>
      <c r="BW651" t="s">
        <v>131</v>
      </c>
      <c r="BX651" t="str">
        <f>""</f>
        <v/>
      </c>
      <c r="BY651" t="str">
        <f>""</f>
        <v/>
      </c>
      <c r="BZ651" t="str">
        <f>""</f>
        <v/>
      </c>
      <c r="CA651" t="str">
        <f>""</f>
        <v/>
      </c>
      <c r="CB651" t="s">
        <v>131</v>
      </c>
      <c r="CF651" t="s">
        <v>131</v>
      </c>
      <c r="CH651" t="str">
        <f>""</f>
        <v/>
      </c>
      <c r="CI651" t="s">
        <v>131</v>
      </c>
      <c r="CK651" t="s">
        <v>131</v>
      </c>
      <c r="CL651" t="str">
        <f>""</f>
        <v/>
      </c>
      <c r="CM651" t="str">
        <f>""</f>
        <v/>
      </c>
      <c r="CN651" t="str">
        <f>""</f>
        <v/>
      </c>
      <c r="CO651" t="str">
        <f>""</f>
        <v/>
      </c>
      <c r="CP651" t="str">
        <f>"51-6011.00"</f>
        <v>51-6011.00</v>
      </c>
      <c r="CQ651" t="s">
        <v>4850</v>
      </c>
      <c r="CS651" t="s">
        <v>131</v>
      </c>
      <c r="CU651" t="s">
        <v>5123</v>
      </c>
      <c r="CW651" t="s">
        <v>584</v>
      </c>
      <c r="CX651" t="s">
        <v>195</v>
      </c>
      <c r="CZ651" s="3" t="str">
        <f>"33147"</f>
        <v>33147</v>
      </c>
      <c r="DA651" t="s">
        <v>135</v>
      </c>
      <c r="DB651" t="str">
        <f>"51-6011"</f>
        <v>51-6011</v>
      </c>
      <c r="DC651" t="s">
        <v>4850</v>
      </c>
      <c r="DD651" t="s">
        <v>134</v>
      </c>
      <c r="DE651" t="s">
        <v>134</v>
      </c>
      <c r="DF651" t="str">
        <f>""</f>
        <v/>
      </c>
      <c r="DH651" s="6">
        <v>10.87</v>
      </c>
      <c r="DI651" t="s">
        <v>344</v>
      </c>
      <c r="DK651" t="s">
        <v>345</v>
      </c>
      <c r="DR651" t="s">
        <v>2160</v>
      </c>
      <c r="DS651" s="6">
        <v>11.84</v>
      </c>
      <c r="DT651" t="s">
        <v>424</v>
      </c>
      <c r="DU651" s="1">
        <v>44363</v>
      </c>
      <c r="DV651" s="1">
        <v>44452</v>
      </c>
    </row>
    <row r="652" spans="1:126" ht="15" customHeight="1" x14ac:dyDescent="0.35">
      <c r="A652" t="s">
        <v>19975</v>
      </c>
      <c r="B652" t="s">
        <v>318</v>
      </c>
      <c r="C652" s="1">
        <v>44336</v>
      </c>
      <c r="D652" s="1">
        <v>44363</v>
      </c>
      <c r="H652" t="s">
        <v>319</v>
      </c>
      <c r="I652" t="s">
        <v>5120</v>
      </c>
      <c r="J652" t="s">
        <v>5121</v>
      </c>
      <c r="L652" t="s">
        <v>5122</v>
      </c>
      <c r="M652" t="s">
        <v>5123</v>
      </c>
      <c r="O652" t="s">
        <v>584</v>
      </c>
      <c r="P652" t="s">
        <v>194</v>
      </c>
      <c r="Q652" s="3">
        <v>33147</v>
      </c>
      <c r="R652" t="s">
        <v>128</v>
      </c>
      <c r="T652" s="4">
        <v>13057606515</v>
      </c>
      <c r="V652" t="s">
        <v>5124</v>
      </c>
      <c r="W652" t="s">
        <v>5125</v>
      </c>
      <c r="Y652" t="s">
        <v>5123</v>
      </c>
      <c r="AA652" t="s">
        <v>584</v>
      </c>
      <c r="AB652" t="s">
        <v>195</v>
      </c>
      <c r="AC652" s="3" t="str">
        <f>"33147"</f>
        <v>33147</v>
      </c>
      <c r="AD652" t="s">
        <v>128</v>
      </c>
      <c r="AF652" s="4">
        <v>13057606515</v>
      </c>
      <c r="AH652" t="str">
        <f>"81232"</f>
        <v>81232</v>
      </c>
      <c r="AI652" t="s">
        <v>130</v>
      </c>
      <c r="AJ652" t="s">
        <v>2282</v>
      </c>
      <c r="AK652" t="s">
        <v>2283</v>
      </c>
      <c r="AL652" t="s">
        <v>2284</v>
      </c>
      <c r="AM652" t="s">
        <v>2285</v>
      </c>
      <c r="AN652" t="s">
        <v>1821</v>
      </c>
      <c r="AO652" t="s">
        <v>584</v>
      </c>
      <c r="AP652" t="s">
        <v>195</v>
      </c>
      <c r="AQ652" s="5">
        <v>33186</v>
      </c>
      <c r="AR652" t="s">
        <v>128</v>
      </c>
      <c r="AT652" s="4">
        <v>13056706767</v>
      </c>
      <c r="AV652" t="s">
        <v>2286</v>
      </c>
      <c r="AW652" t="s">
        <v>2287</v>
      </c>
      <c r="AX652" t="s">
        <v>131</v>
      </c>
      <c r="AY652" t="s">
        <v>131</v>
      </c>
      <c r="AZ652" t="s">
        <v>131</v>
      </c>
      <c r="BA652" t="s">
        <v>131</v>
      </c>
      <c r="BB652" t="s">
        <v>131</v>
      </c>
      <c r="BC652" t="s">
        <v>131</v>
      </c>
      <c r="BD652" t="s">
        <v>131</v>
      </c>
      <c r="BE652" t="s">
        <v>132</v>
      </c>
      <c r="BH652" t="s">
        <v>19976</v>
      </c>
      <c r="BI652" t="s">
        <v>131</v>
      </c>
      <c r="BL652" t="s">
        <v>167</v>
      </c>
      <c r="BO652" t="s">
        <v>131</v>
      </c>
      <c r="BP652" t="s">
        <v>134</v>
      </c>
      <c r="BQ652" t="s">
        <v>131</v>
      </c>
      <c r="BS652" t="str">
        <f t="shared" ref="BS652:BS662" si="47">"N/A"</f>
        <v>N/A</v>
      </c>
      <c r="BT652" t="s">
        <v>131</v>
      </c>
      <c r="BV652" t="str">
        <f>""</f>
        <v/>
      </c>
      <c r="BW652" t="s">
        <v>131</v>
      </c>
      <c r="BX652" t="str">
        <f>""</f>
        <v/>
      </c>
      <c r="BY652" t="str">
        <f>""</f>
        <v/>
      </c>
      <c r="BZ652" t="str">
        <f>""</f>
        <v/>
      </c>
      <c r="CA652" t="str">
        <f>""</f>
        <v/>
      </c>
      <c r="CB652" t="s">
        <v>131</v>
      </c>
      <c r="CF652" t="s">
        <v>131</v>
      </c>
      <c r="CH652" t="str">
        <f>""</f>
        <v/>
      </c>
      <c r="CI652" t="s">
        <v>131</v>
      </c>
      <c r="CK652" t="s">
        <v>131</v>
      </c>
      <c r="CL652" t="str">
        <f>""</f>
        <v/>
      </c>
      <c r="CM652" t="str">
        <f>""</f>
        <v/>
      </c>
      <c r="CN652" t="str">
        <f>""</f>
        <v/>
      </c>
      <c r="CO652" t="str">
        <f>""</f>
        <v/>
      </c>
      <c r="CP652" t="str">
        <f>"51-6011.00"</f>
        <v>51-6011.00</v>
      </c>
      <c r="CQ652" t="s">
        <v>4850</v>
      </c>
      <c r="CS652" t="s">
        <v>131</v>
      </c>
      <c r="CU652" t="s">
        <v>19977</v>
      </c>
      <c r="CW652" t="s">
        <v>14461</v>
      </c>
      <c r="CX652" t="s">
        <v>643</v>
      </c>
      <c r="CZ652" s="3" t="str">
        <f>"30213"</f>
        <v>30213</v>
      </c>
      <c r="DA652" t="s">
        <v>131</v>
      </c>
      <c r="DB652" t="str">
        <f>"51-6011"</f>
        <v>51-6011</v>
      </c>
      <c r="DC652" t="s">
        <v>4850</v>
      </c>
      <c r="DD652" t="s">
        <v>134</v>
      </c>
      <c r="DE652" t="s">
        <v>134</v>
      </c>
      <c r="DF652" t="str">
        <f>""</f>
        <v/>
      </c>
      <c r="DH652" s="6">
        <v>11.46</v>
      </c>
      <c r="DI652" t="s">
        <v>344</v>
      </c>
      <c r="DK652" t="s">
        <v>345</v>
      </c>
      <c r="DR652" t="s">
        <v>2218</v>
      </c>
      <c r="DS652" s="6">
        <v>11.46</v>
      </c>
      <c r="DT652" t="s">
        <v>424</v>
      </c>
      <c r="DU652" s="1">
        <v>44363</v>
      </c>
      <c r="DV652" s="1">
        <v>44452</v>
      </c>
    </row>
    <row r="653" spans="1:126" ht="15" customHeight="1" x14ac:dyDescent="0.35">
      <c r="A653" t="s">
        <v>9652</v>
      </c>
      <c r="B653" t="s">
        <v>318</v>
      </c>
      <c r="C653" s="1">
        <v>44336</v>
      </c>
      <c r="D653" s="1">
        <v>44377</v>
      </c>
      <c r="H653" t="s">
        <v>319</v>
      </c>
      <c r="I653" t="s">
        <v>860</v>
      </c>
      <c r="J653" t="s">
        <v>948</v>
      </c>
      <c r="L653" t="s">
        <v>395</v>
      </c>
      <c r="M653" t="s">
        <v>9653</v>
      </c>
      <c r="O653" t="s">
        <v>7282</v>
      </c>
      <c r="P653" t="s">
        <v>818</v>
      </c>
      <c r="Q653" s="3">
        <v>30701</v>
      </c>
      <c r="R653" t="s">
        <v>128</v>
      </c>
      <c r="T653" s="4">
        <v>17066290353</v>
      </c>
      <c r="V653" t="s">
        <v>9654</v>
      </c>
      <c r="W653" t="s">
        <v>9655</v>
      </c>
      <c r="Y653" t="s">
        <v>9653</v>
      </c>
      <c r="AA653" t="s">
        <v>7282</v>
      </c>
      <c r="AB653" t="s">
        <v>643</v>
      </c>
      <c r="AC653" s="3" t="str">
        <f>"30701"</f>
        <v>30701</v>
      </c>
      <c r="AD653" t="s">
        <v>128</v>
      </c>
      <c r="AF653" s="4">
        <v>17066290353</v>
      </c>
      <c r="AH653" t="str">
        <f>"11531"</f>
        <v>11531</v>
      </c>
      <c r="AI653" t="s">
        <v>287</v>
      </c>
      <c r="AJ653" t="s">
        <v>8995</v>
      </c>
      <c r="AK653" t="s">
        <v>9656</v>
      </c>
      <c r="AL653" t="s">
        <v>651</v>
      </c>
      <c r="AM653" t="s">
        <v>4714</v>
      </c>
      <c r="AN653" t="s">
        <v>2377</v>
      </c>
      <c r="AO653" t="s">
        <v>4815</v>
      </c>
      <c r="AP653" t="s">
        <v>1243</v>
      </c>
      <c r="AQ653" s="5">
        <v>83814</v>
      </c>
      <c r="AR653" t="s">
        <v>128</v>
      </c>
      <c r="AT653" s="4">
        <v>12087772654</v>
      </c>
      <c r="AV653" t="s">
        <v>9657</v>
      </c>
      <c r="AW653" t="s">
        <v>4715</v>
      </c>
      <c r="AX653" t="s">
        <v>131</v>
      </c>
      <c r="AY653" t="s">
        <v>131</v>
      </c>
      <c r="AZ653" t="s">
        <v>131</v>
      </c>
      <c r="BA653" t="s">
        <v>131</v>
      </c>
      <c r="BB653" t="s">
        <v>131</v>
      </c>
      <c r="BC653" t="s">
        <v>131</v>
      </c>
      <c r="BD653" t="s">
        <v>131</v>
      </c>
      <c r="BE653" t="s">
        <v>132</v>
      </c>
      <c r="BH653" t="s">
        <v>6431</v>
      </c>
      <c r="BI653" t="s">
        <v>131</v>
      </c>
      <c r="BL653" t="s">
        <v>167</v>
      </c>
      <c r="BO653" t="s">
        <v>131</v>
      </c>
      <c r="BP653" t="s">
        <v>134</v>
      </c>
      <c r="BQ653" t="s">
        <v>131</v>
      </c>
      <c r="BS653" t="str">
        <f t="shared" si="47"/>
        <v>N/A</v>
      </c>
      <c r="BT653" t="s">
        <v>135</v>
      </c>
      <c r="BU653">
        <v>4</v>
      </c>
      <c r="BV653" t="str">
        <f>"Tree Planter"</f>
        <v>Tree Planter</v>
      </c>
      <c r="BW653" t="s">
        <v>135</v>
      </c>
      <c r="BX653" t="str">
        <f>""</f>
        <v/>
      </c>
      <c r="BY653" t="str">
        <f>""</f>
        <v/>
      </c>
      <c r="BZ653" t="str">
        <f>""</f>
        <v/>
      </c>
      <c r="CA653" t="s">
        <v>7623</v>
      </c>
      <c r="CB653" t="s">
        <v>131</v>
      </c>
      <c r="CF653" t="s">
        <v>131</v>
      </c>
      <c r="CH653" t="str">
        <f>""</f>
        <v/>
      </c>
      <c r="CI653" t="s">
        <v>131</v>
      </c>
      <c r="CK653" t="s">
        <v>131</v>
      </c>
      <c r="CL653" t="str">
        <f>""</f>
        <v/>
      </c>
      <c r="CM653" t="str">
        <f>""</f>
        <v/>
      </c>
      <c r="CN653" t="str">
        <f>""</f>
        <v/>
      </c>
      <c r="CO653" t="str">
        <f>""</f>
        <v/>
      </c>
      <c r="CP653" t="str">
        <f>"45-4011.00"</f>
        <v>45-4011.00</v>
      </c>
      <c r="CQ653" t="s">
        <v>4310</v>
      </c>
      <c r="CR653" t="s">
        <v>6431</v>
      </c>
      <c r="CS653" t="s">
        <v>135</v>
      </c>
      <c r="CT653" t="s">
        <v>9658</v>
      </c>
      <c r="CU653" t="s">
        <v>9659</v>
      </c>
      <c r="CW653" t="s">
        <v>9660</v>
      </c>
      <c r="CX653" t="s">
        <v>312</v>
      </c>
      <c r="CZ653" s="3" t="str">
        <f>"17846"</f>
        <v>17846</v>
      </c>
      <c r="DA653" t="s">
        <v>135</v>
      </c>
      <c r="DB653" t="str">
        <f>"45-4011"</f>
        <v>45-4011</v>
      </c>
      <c r="DC653" t="s">
        <v>4310</v>
      </c>
      <c r="DD653" t="s">
        <v>134</v>
      </c>
      <c r="DE653" t="s">
        <v>134</v>
      </c>
      <c r="DF653" t="str">
        <f>""</f>
        <v/>
      </c>
      <c r="DH653" s="6">
        <v>23.54</v>
      </c>
      <c r="DI653" t="s">
        <v>344</v>
      </c>
      <c r="DK653" t="s">
        <v>345</v>
      </c>
      <c r="DS653" s="6">
        <v>25.3</v>
      </c>
      <c r="DT653" s="2" t="s">
        <v>9661</v>
      </c>
      <c r="DU653" s="1">
        <v>44377</v>
      </c>
      <c r="DV653" s="1">
        <v>44466</v>
      </c>
    </row>
    <row r="654" spans="1:126" ht="15" customHeight="1" x14ac:dyDescent="0.35">
      <c r="A654" t="s">
        <v>15749</v>
      </c>
      <c r="B654" t="s">
        <v>318</v>
      </c>
      <c r="C654" s="1">
        <v>44336</v>
      </c>
      <c r="D654" s="1">
        <v>44363</v>
      </c>
      <c r="H654" t="s">
        <v>319</v>
      </c>
      <c r="I654" t="s">
        <v>15690</v>
      </c>
      <c r="J654" t="s">
        <v>15691</v>
      </c>
      <c r="L654" t="s">
        <v>569</v>
      </c>
      <c r="M654" t="s">
        <v>15692</v>
      </c>
      <c r="O654" t="s">
        <v>6215</v>
      </c>
      <c r="P654" t="s">
        <v>194</v>
      </c>
      <c r="Q654" s="3">
        <v>34145</v>
      </c>
      <c r="R654" t="s">
        <v>128</v>
      </c>
      <c r="T654" s="4">
        <v>12393946661</v>
      </c>
      <c r="V654" t="s">
        <v>1021</v>
      </c>
      <c r="W654" t="s">
        <v>15750</v>
      </c>
      <c r="Y654" t="s">
        <v>15692</v>
      </c>
      <c r="AA654" t="s">
        <v>6215</v>
      </c>
      <c r="AB654" t="s">
        <v>195</v>
      </c>
      <c r="AC654" s="3" t="str">
        <f>"34145"</f>
        <v>34145</v>
      </c>
      <c r="AD654" t="s">
        <v>128</v>
      </c>
      <c r="AF654" s="4">
        <v>12393946661</v>
      </c>
      <c r="AH654" t="str">
        <f>"713910"</f>
        <v>713910</v>
      </c>
      <c r="AI654" t="s">
        <v>287</v>
      </c>
      <c r="AJ654" t="s">
        <v>1024</v>
      </c>
      <c r="AK654" t="s">
        <v>1025</v>
      </c>
      <c r="AM654" t="s">
        <v>1026</v>
      </c>
      <c r="AO654" t="s">
        <v>1027</v>
      </c>
      <c r="AP654" t="s">
        <v>129</v>
      </c>
      <c r="AQ654" s="5">
        <v>11590</v>
      </c>
      <c r="AR654" t="s">
        <v>128</v>
      </c>
      <c r="AT654" s="4">
        <v>15163307168</v>
      </c>
      <c r="AV654" t="s">
        <v>1021</v>
      </c>
      <c r="AW654" t="s">
        <v>1028</v>
      </c>
      <c r="AX654" t="s">
        <v>131</v>
      </c>
      <c r="AY654" t="s">
        <v>131</v>
      </c>
      <c r="AZ654" t="s">
        <v>131</v>
      </c>
      <c r="BA654" t="s">
        <v>131</v>
      </c>
      <c r="BB654" t="s">
        <v>131</v>
      </c>
      <c r="BC654" t="s">
        <v>131</v>
      </c>
      <c r="BD654" t="s">
        <v>131</v>
      </c>
      <c r="BE654" t="s">
        <v>132</v>
      </c>
      <c r="BH654" t="s">
        <v>11936</v>
      </c>
      <c r="BI654" t="s">
        <v>131</v>
      </c>
      <c r="BL654" t="s">
        <v>167</v>
      </c>
      <c r="BO654" t="s">
        <v>131</v>
      </c>
      <c r="BP654" t="s">
        <v>134</v>
      </c>
      <c r="BQ654" t="s">
        <v>131</v>
      </c>
      <c r="BS654" t="str">
        <f t="shared" si="47"/>
        <v>N/A</v>
      </c>
      <c r="BT654" t="s">
        <v>135</v>
      </c>
      <c r="BU654">
        <v>3</v>
      </c>
      <c r="BV654" t="str">
        <f>"SERVERS"</f>
        <v>SERVERS</v>
      </c>
      <c r="BW654" t="s">
        <v>131</v>
      </c>
      <c r="BX654" t="str">
        <f>""</f>
        <v/>
      </c>
      <c r="BY654" t="str">
        <f>""</f>
        <v/>
      </c>
      <c r="BZ654" t="str">
        <f>""</f>
        <v/>
      </c>
      <c r="CA654" t="str">
        <f>""</f>
        <v/>
      </c>
      <c r="CB654" t="s">
        <v>131</v>
      </c>
      <c r="CF654" t="s">
        <v>131</v>
      </c>
      <c r="CH654" t="str">
        <f>""</f>
        <v/>
      </c>
      <c r="CI654" t="s">
        <v>131</v>
      </c>
      <c r="CK654" t="s">
        <v>131</v>
      </c>
      <c r="CL654" t="str">
        <f>""</f>
        <v/>
      </c>
      <c r="CM654" t="str">
        <f>""</f>
        <v/>
      </c>
      <c r="CN654" t="str">
        <f>""</f>
        <v/>
      </c>
      <c r="CO654" t="str">
        <f>""</f>
        <v/>
      </c>
      <c r="CP654" t="str">
        <f>"35-3031.00"</f>
        <v>35-3031.00</v>
      </c>
      <c r="CQ654" t="s">
        <v>1214</v>
      </c>
      <c r="CR654" t="s">
        <v>392</v>
      </c>
      <c r="CS654" t="s">
        <v>131</v>
      </c>
      <c r="CU654" t="s">
        <v>15692</v>
      </c>
      <c r="CW654" t="s">
        <v>6215</v>
      </c>
      <c r="CX654" t="s">
        <v>195</v>
      </c>
      <c r="CZ654" s="3" t="str">
        <f>"34145"</f>
        <v>34145</v>
      </c>
      <c r="DA654" t="s">
        <v>131</v>
      </c>
      <c r="DB654" t="str">
        <f>"35-3031"</f>
        <v>35-3031</v>
      </c>
      <c r="DC654" t="s">
        <v>1214</v>
      </c>
      <c r="DD654" t="s">
        <v>134</v>
      </c>
      <c r="DE654" t="s">
        <v>134</v>
      </c>
      <c r="DF654" t="str">
        <f>""</f>
        <v/>
      </c>
      <c r="DH654" s="6">
        <v>15.48</v>
      </c>
      <c r="DI654" t="s">
        <v>344</v>
      </c>
      <c r="DK654" t="s">
        <v>345</v>
      </c>
      <c r="DR654" t="s">
        <v>5543</v>
      </c>
      <c r="DS654" s="6">
        <v>15.48</v>
      </c>
      <c r="DT654" t="s">
        <v>424</v>
      </c>
      <c r="DU654" s="1">
        <v>44363</v>
      </c>
      <c r="DV654" s="1">
        <v>44452</v>
      </c>
    </row>
    <row r="655" spans="1:126" ht="15" customHeight="1" x14ac:dyDescent="0.35">
      <c r="A655" t="s">
        <v>17759</v>
      </c>
      <c r="B655" t="s">
        <v>318</v>
      </c>
      <c r="C655" s="1">
        <v>44336</v>
      </c>
      <c r="D655" s="1">
        <v>44363</v>
      </c>
      <c r="H655" t="s">
        <v>319</v>
      </c>
      <c r="I655" t="s">
        <v>14564</v>
      </c>
      <c r="J655" t="s">
        <v>17760</v>
      </c>
      <c r="L655" t="s">
        <v>1105</v>
      </c>
      <c r="M655" t="s">
        <v>17761</v>
      </c>
      <c r="O655" t="s">
        <v>3874</v>
      </c>
      <c r="P655" t="s">
        <v>1760</v>
      </c>
      <c r="Q655" s="3">
        <v>70816</v>
      </c>
      <c r="R655" t="s">
        <v>128</v>
      </c>
      <c r="T655" s="4">
        <v>12254453895</v>
      </c>
      <c r="V655" t="s">
        <v>134</v>
      </c>
      <c r="W655" t="s">
        <v>17762</v>
      </c>
      <c r="Y655" t="s">
        <v>17761</v>
      </c>
      <c r="AA655" t="s">
        <v>3874</v>
      </c>
      <c r="AB655" t="s">
        <v>1763</v>
      </c>
      <c r="AC655" s="3" t="str">
        <f>"70816"</f>
        <v>70816</v>
      </c>
      <c r="AD655" t="s">
        <v>128</v>
      </c>
      <c r="AF655" s="4">
        <v>12254453895</v>
      </c>
      <c r="AH655" t="str">
        <f>"5617"</f>
        <v>5617</v>
      </c>
      <c r="AI655" t="s">
        <v>287</v>
      </c>
      <c r="AJ655" t="s">
        <v>3916</v>
      </c>
      <c r="AK655" t="s">
        <v>1225</v>
      </c>
      <c r="AL655" t="s">
        <v>589</v>
      </c>
      <c r="AM655" t="s">
        <v>3917</v>
      </c>
      <c r="AO655" t="s">
        <v>1513</v>
      </c>
      <c r="AP655" t="s">
        <v>400</v>
      </c>
      <c r="AQ655" s="5">
        <v>75231</v>
      </c>
      <c r="AR655" t="s">
        <v>128</v>
      </c>
      <c r="AT655" s="4">
        <v>12145265665</v>
      </c>
      <c r="AV655" t="s">
        <v>3918</v>
      </c>
      <c r="AW655" t="s">
        <v>3919</v>
      </c>
      <c r="AX655" t="s">
        <v>131</v>
      </c>
      <c r="AY655" t="s">
        <v>131</v>
      </c>
      <c r="AZ655" t="s">
        <v>131</v>
      </c>
      <c r="BA655" t="s">
        <v>131</v>
      </c>
      <c r="BB655" t="s">
        <v>131</v>
      </c>
      <c r="BC655" t="s">
        <v>131</v>
      </c>
      <c r="BD655" t="s">
        <v>131</v>
      </c>
      <c r="BE655" t="s">
        <v>132</v>
      </c>
      <c r="BH655" t="s">
        <v>2215</v>
      </c>
      <c r="BI655" t="s">
        <v>131</v>
      </c>
      <c r="BL655" t="s">
        <v>167</v>
      </c>
      <c r="BO655" t="s">
        <v>131</v>
      </c>
      <c r="BP655" t="s">
        <v>134</v>
      </c>
      <c r="BQ655" t="s">
        <v>131</v>
      </c>
      <c r="BS655" t="str">
        <f t="shared" si="47"/>
        <v>N/A</v>
      </c>
      <c r="BT655" t="s">
        <v>131</v>
      </c>
      <c r="BV655" t="str">
        <f>""</f>
        <v/>
      </c>
      <c r="BW655" t="s">
        <v>135</v>
      </c>
      <c r="BX655" t="str">
        <f>""</f>
        <v/>
      </c>
      <c r="BY655" t="str">
        <f>""</f>
        <v/>
      </c>
      <c r="BZ655" t="str">
        <f>""</f>
        <v/>
      </c>
      <c r="CA655" t="str">
        <f>"Must be able to lift 50 lbs, work in adverse weather conditions &amp; pass a random drug test paid by employer.  Testing positive may result in termination of employment."</f>
        <v>Must be able to lift 50 lbs, work in adverse weather conditions &amp; pass a random drug test paid by employer.  Testing positive may result in termination of employment.</v>
      </c>
      <c r="CB655" t="s">
        <v>131</v>
      </c>
      <c r="CF655" t="s">
        <v>131</v>
      </c>
      <c r="CH655" t="str">
        <f>""</f>
        <v/>
      </c>
      <c r="CI655" t="s">
        <v>131</v>
      </c>
      <c r="CK655" t="s">
        <v>131</v>
      </c>
      <c r="CL655" t="str">
        <f>""</f>
        <v/>
      </c>
      <c r="CM655" t="str">
        <f>""</f>
        <v/>
      </c>
      <c r="CN655" t="str">
        <f>""</f>
        <v/>
      </c>
      <c r="CO655" t="str">
        <f>""</f>
        <v/>
      </c>
      <c r="CP655" t="str">
        <f>"37-3011.00"</f>
        <v>37-3011.00</v>
      </c>
      <c r="CQ655" t="s">
        <v>920</v>
      </c>
      <c r="CR655" t="s">
        <v>3086</v>
      </c>
      <c r="CS655" t="s">
        <v>131</v>
      </c>
      <c r="CU655" t="s">
        <v>17761</v>
      </c>
      <c r="CW655" t="s">
        <v>3874</v>
      </c>
      <c r="CX655" t="s">
        <v>1763</v>
      </c>
      <c r="CZ655" s="3" t="str">
        <f>"70816"</f>
        <v>70816</v>
      </c>
      <c r="DA655" t="s">
        <v>135</v>
      </c>
      <c r="DB655" t="str">
        <f>"37-3011"</f>
        <v>37-3011</v>
      </c>
      <c r="DC655" t="s">
        <v>920</v>
      </c>
      <c r="DD655" t="s">
        <v>134</v>
      </c>
      <c r="DE655" t="s">
        <v>134</v>
      </c>
      <c r="DF655" t="str">
        <f>""</f>
        <v/>
      </c>
      <c r="DH655" s="6">
        <v>14.59</v>
      </c>
      <c r="DI655" t="s">
        <v>344</v>
      </c>
      <c r="DK655" t="s">
        <v>345</v>
      </c>
      <c r="DR655" t="s">
        <v>3877</v>
      </c>
      <c r="DS655" s="6">
        <v>15.51</v>
      </c>
      <c r="DT655" t="s">
        <v>424</v>
      </c>
      <c r="DU655" s="1">
        <v>44363</v>
      </c>
      <c r="DV655" s="1">
        <v>44452</v>
      </c>
    </row>
    <row r="656" spans="1:126" ht="15" customHeight="1" x14ac:dyDescent="0.35">
      <c r="A656" t="s">
        <v>19591</v>
      </c>
      <c r="B656" t="s">
        <v>318</v>
      </c>
      <c r="C656" s="1">
        <v>44336</v>
      </c>
      <c r="D656" s="1">
        <v>44364</v>
      </c>
      <c r="H656" t="s">
        <v>319</v>
      </c>
      <c r="I656" t="s">
        <v>8893</v>
      </c>
      <c r="J656" t="s">
        <v>1122</v>
      </c>
      <c r="L656" t="s">
        <v>19592</v>
      </c>
      <c r="M656" t="s">
        <v>19593</v>
      </c>
      <c r="O656" t="s">
        <v>12860</v>
      </c>
      <c r="P656" t="s">
        <v>676</v>
      </c>
      <c r="Q656" s="3">
        <v>50459</v>
      </c>
      <c r="R656" t="s">
        <v>128</v>
      </c>
      <c r="T656" s="4">
        <v>16413241466</v>
      </c>
      <c r="V656" t="s">
        <v>19594</v>
      </c>
      <c r="W656" t="s">
        <v>19595</v>
      </c>
      <c r="Y656" t="s">
        <v>19593</v>
      </c>
      <c r="AA656" t="s">
        <v>12860</v>
      </c>
      <c r="AB656" t="s">
        <v>605</v>
      </c>
      <c r="AC656" s="3" t="str">
        <f>"50459"</f>
        <v>50459</v>
      </c>
      <c r="AD656" t="s">
        <v>128</v>
      </c>
      <c r="AF656" s="4">
        <v>16413241466</v>
      </c>
      <c r="AH656" t="str">
        <f>"311612"</f>
        <v>311612</v>
      </c>
      <c r="AI656" t="s">
        <v>130</v>
      </c>
      <c r="AJ656" t="s">
        <v>19596</v>
      </c>
      <c r="AK656" t="s">
        <v>409</v>
      </c>
      <c r="AM656" t="s">
        <v>19597</v>
      </c>
      <c r="AN656" t="s">
        <v>1262</v>
      </c>
      <c r="AO656" t="s">
        <v>262</v>
      </c>
      <c r="AP656" t="s">
        <v>263</v>
      </c>
      <c r="AQ656" s="5">
        <v>60601</v>
      </c>
      <c r="AR656" t="s">
        <v>128</v>
      </c>
      <c r="AT656" s="4">
        <v>13126097729</v>
      </c>
      <c r="AV656" t="s">
        <v>19598</v>
      </c>
      <c r="AW656" t="s">
        <v>19599</v>
      </c>
      <c r="AX656" t="s">
        <v>131</v>
      </c>
      <c r="AY656" t="s">
        <v>131</v>
      </c>
      <c r="AZ656" t="s">
        <v>131</v>
      </c>
      <c r="BA656" t="s">
        <v>131</v>
      </c>
      <c r="BB656" t="s">
        <v>131</v>
      </c>
      <c r="BC656" t="s">
        <v>131</v>
      </c>
      <c r="BD656" t="s">
        <v>131</v>
      </c>
      <c r="BE656" t="s">
        <v>132</v>
      </c>
      <c r="BH656" t="s">
        <v>19600</v>
      </c>
      <c r="BI656" t="s">
        <v>131</v>
      </c>
      <c r="BL656" t="s">
        <v>167</v>
      </c>
      <c r="BO656" t="s">
        <v>131</v>
      </c>
      <c r="BP656" t="s">
        <v>134</v>
      </c>
      <c r="BQ656" t="s">
        <v>131</v>
      </c>
      <c r="BS656" t="str">
        <f t="shared" si="47"/>
        <v>N/A</v>
      </c>
      <c r="BT656" t="s">
        <v>131</v>
      </c>
      <c r="BV656" t="str">
        <f>""</f>
        <v/>
      </c>
      <c r="BW656" t="s">
        <v>135</v>
      </c>
      <c r="BX656" t="str">
        <f>""</f>
        <v/>
      </c>
      <c r="BY656" t="str">
        <f>""</f>
        <v/>
      </c>
      <c r="BZ656" t="str">
        <f>""</f>
        <v/>
      </c>
      <c r="CA656" t="str">
        <f>"1. Ability to understand proper meat cuts and weights; (2) Ability to understand food safety practices."</f>
        <v>1. Ability to understand proper meat cuts and weights; (2) Ability to understand food safety practices.</v>
      </c>
      <c r="CB656" t="s">
        <v>131</v>
      </c>
      <c r="CF656" t="s">
        <v>131</v>
      </c>
      <c r="CH656" t="str">
        <f>""</f>
        <v/>
      </c>
      <c r="CI656" t="s">
        <v>131</v>
      </c>
      <c r="CK656" t="s">
        <v>131</v>
      </c>
      <c r="CL656" t="str">
        <f>""</f>
        <v/>
      </c>
      <c r="CM656" t="str">
        <f>""</f>
        <v/>
      </c>
      <c r="CN656" t="str">
        <f>""</f>
        <v/>
      </c>
      <c r="CO656" t="str">
        <f>""</f>
        <v/>
      </c>
      <c r="CP656" t="str">
        <f>"51-3022.00"</f>
        <v>51-3022.00</v>
      </c>
      <c r="CQ656" t="s">
        <v>1114</v>
      </c>
      <c r="CR656" t="s">
        <v>19601</v>
      </c>
      <c r="CS656" t="s">
        <v>131</v>
      </c>
      <c r="CU656" t="s">
        <v>19593</v>
      </c>
      <c r="CW656" t="s">
        <v>12860</v>
      </c>
      <c r="CX656" t="s">
        <v>605</v>
      </c>
      <c r="CZ656" s="3" t="str">
        <f>"50549"</f>
        <v>50549</v>
      </c>
      <c r="DA656" t="s">
        <v>131</v>
      </c>
      <c r="DB656" t="str">
        <f>"51-3022"</f>
        <v>51-3022</v>
      </c>
      <c r="DC656" t="s">
        <v>1114</v>
      </c>
      <c r="DD656" t="s">
        <v>134</v>
      </c>
      <c r="DE656" t="s">
        <v>134</v>
      </c>
      <c r="DF656" t="str">
        <f>""</f>
        <v/>
      </c>
      <c r="DH656" s="6">
        <v>14.94</v>
      </c>
      <c r="DI656" t="s">
        <v>344</v>
      </c>
      <c r="DK656" t="s">
        <v>345</v>
      </c>
      <c r="DS656" s="6">
        <v>14.94</v>
      </c>
      <c r="DT656" t="s">
        <v>424</v>
      </c>
      <c r="DU656" s="1">
        <v>44364</v>
      </c>
      <c r="DV656" s="1">
        <v>44453</v>
      </c>
    </row>
    <row r="657" spans="1:126" ht="15" customHeight="1" x14ac:dyDescent="0.35">
      <c r="A657" t="s">
        <v>11433</v>
      </c>
      <c r="B657" t="s">
        <v>318</v>
      </c>
      <c r="C657" s="1">
        <v>44336</v>
      </c>
      <c r="D657" s="1">
        <v>44363</v>
      </c>
      <c r="H657" t="s">
        <v>319</v>
      </c>
      <c r="I657" t="s">
        <v>284</v>
      </c>
      <c r="J657" t="s">
        <v>3932</v>
      </c>
      <c r="K657" t="s">
        <v>2872</v>
      </c>
      <c r="L657" t="s">
        <v>3580</v>
      </c>
      <c r="M657" t="s">
        <v>11434</v>
      </c>
      <c r="O657" t="s">
        <v>11435</v>
      </c>
      <c r="P657" t="s">
        <v>248</v>
      </c>
      <c r="Q657" s="3">
        <v>55376</v>
      </c>
      <c r="R657" t="s">
        <v>128</v>
      </c>
      <c r="T657" s="4">
        <v>17632864427</v>
      </c>
      <c r="V657" t="s">
        <v>11436</v>
      </c>
      <c r="W657" t="s">
        <v>11437</v>
      </c>
      <c r="Y657" t="s">
        <v>11434</v>
      </c>
      <c r="AA657" t="s">
        <v>11435</v>
      </c>
      <c r="AB657" t="s">
        <v>249</v>
      </c>
      <c r="AC657" s="3" t="str">
        <f>"55376"</f>
        <v>55376</v>
      </c>
      <c r="AD657" t="s">
        <v>128</v>
      </c>
      <c r="AF657" s="4">
        <v>17634974700</v>
      </c>
      <c r="AH657" t="str">
        <f>"5617"</f>
        <v>5617</v>
      </c>
      <c r="AI657" t="s">
        <v>130</v>
      </c>
      <c r="AJ657" t="s">
        <v>2442</v>
      </c>
      <c r="AK657" t="s">
        <v>2443</v>
      </c>
      <c r="AL657" t="s">
        <v>2444</v>
      </c>
      <c r="AM657" t="s">
        <v>2445</v>
      </c>
      <c r="AN657" t="s">
        <v>1169</v>
      </c>
      <c r="AO657" t="s">
        <v>707</v>
      </c>
      <c r="AP657" t="s">
        <v>249</v>
      </c>
      <c r="AQ657" s="5">
        <v>55402</v>
      </c>
      <c r="AR657" t="s">
        <v>128</v>
      </c>
      <c r="AT657" s="4">
        <v>16124927165</v>
      </c>
      <c r="AV657" t="s">
        <v>2446</v>
      </c>
      <c r="AW657" t="s">
        <v>2447</v>
      </c>
      <c r="AX657" t="s">
        <v>131</v>
      </c>
      <c r="AY657" t="s">
        <v>131</v>
      </c>
      <c r="AZ657" t="s">
        <v>131</v>
      </c>
      <c r="BA657" t="s">
        <v>131</v>
      </c>
      <c r="BB657" t="s">
        <v>131</v>
      </c>
      <c r="BC657" t="s">
        <v>131</v>
      </c>
      <c r="BD657" t="s">
        <v>131</v>
      </c>
      <c r="BE657" t="s">
        <v>132</v>
      </c>
      <c r="BH657" t="s">
        <v>2215</v>
      </c>
      <c r="BI657" t="s">
        <v>131</v>
      </c>
      <c r="BL657" t="s">
        <v>167</v>
      </c>
      <c r="BO657" t="s">
        <v>131</v>
      </c>
      <c r="BP657" t="s">
        <v>134</v>
      </c>
      <c r="BQ657" t="s">
        <v>131</v>
      </c>
      <c r="BS657" t="str">
        <f t="shared" si="47"/>
        <v>N/A</v>
      </c>
      <c r="BT657" t="s">
        <v>131</v>
      </c>
      <c r="BV657" t="str">
        <f>""</f>
        <v/>
      </c>
      <c r="BW657" t="s">
        <v>135</v>
      </c>
      <c r="BX657" t="str">
        <f>""</f>
        <v/>
      </c>
      <c r="BY657" t="str">
        <f>""</f>
        <v/>
      </c>
      <c r="BZ657" t="str">
        <f>""</f>
        <v/>
      </c>
      <c r="CA657" t="str">
        <f>"No formal education, training or experience required.  Must be able to lift/carry up to 50 pounds consistently all day long.  Random drug testing during employment.  On-the-job training will  be provided."</f>
        <v>No formal education, training or experience required.  Must be able to lift/carry up to 50 pounds consistently all day long.  Random drug testing during employment.  On-the-job training will  be provided.</v>
      </c>
      <c r="CB657" t="s">
        <v>131</v>
      </c>
      <c r="CF657" t="s">
        <v>131</v>
      </c>
      <c r="CH657" t="str">
        <f>""</f>
        <v/>
      </c>
      <c r="CI657" t="s">
        <v>131</v>
      </c>
      <c r="CK657" t="s">
        <v>131</v>
      </c>
      <c r="CL657" t="str">
        <f>""</f>
        <v/>
      </c>
      <c r="CM657" t="str">
        <f>""</f>
        <v/>
      </c>
      <c r="CN657" t="str">
        <f>""</f>
        <v/>
      </c>
      <c r="CO657" t="str">
        <f>""</f>
        <v/>
      </c>
      <c r="CP657" t="str">
        <f>"37-3011.00"</f>
        <v>37-3011.00</v>
      </c>
      <c r="CQ657" t="s">
        <v>920</v>
      </c>
      <c r="CR657" t="s">
        <v>2215</v>
      </c>
      <c r="CS657" t="s">
        <v>135</v>
      </c>
      <c r="CT657" s="2" t="s">
        <v>11438</v>
      </c>
      <c r="CU657" t="s">
        <v>11434</v>
      </c>
      <c r="CW657" t="s">
        <v>11435</v>
      </c>
      <c r="CX657" t="s">
        <v>249</v>
      </c>
      <c r="CZ657" s="3" t="str">
        <f>"55376"</f>
        <v>55376</v>
      </c>
      <c r="DA657" t="s">
        <v>135</v>
      </c>
      <c r="DB657" t="str">
        <f>"37-3011"</f>
        <v>37-3011</v>
      </c>
      <c r="DC657" t="s">
        <v>920</v>
      </c>
      <c r="DD657" t="s">
        <v>134</v>
      </c>
      <c r="DE657" t="s">
        <v>134</v>
      </c>
      <c r="DF657" t="str">
        <f>""</f>
        <v/>
      </c>
      <c r="DH657" s="6">
        <v>17.78</v>
      </c>
      <c r="DI657" t="s">
        <v>344</v>
      </c>
      <c r="DK657" t="s">
        <v>345</v>
      </c>
      <c r="DS657" s="6">
        <v>17.78</v>
      </c>
      <c r="DT657" s="2" t="s">
        <v>347</v>
      </c>
      <c r="DU657" s="1">
        <v>44363</v>
      </c>
      <c r="DV657" s="1">
        <v>44452</v>
      </c>
    </row>
    <row r="658" spans="1:126" ht="15" customHeight="1" x14ac:dyDescent="0.35">
      <c r="A658" t="s">
        <v>14762</v>
      </c>
      <c r="B658" t="s">
        <v>318</v>
      </c>
      <c r="C658" s="1">
        <v>44336</v>
      </c>
      <c r="D658" s="1">
        <v>44363</v>
      </c>
      <c r="H658" t="s">
        <v>319</v>
      </c>
      <c r="I658" t="s">
        <v>14763</v>
      </c>
      <c r="J658" t="s">
        <v>1225</v>
      </c>
      <c r="K658" t="s">
        <v>2374</v>
      </c>
      <c r="L658" t="s">
        <v>1105</v>
      </c>
      <c r="M658" t="s">
        <v>14764</v>
      </c>
      <c r="N658" t="s">
        <v>3699</v>
      </c>
      <c r="O658" t="s">
        <v>14765</v>
      </c>
      <c r="P658" t="s">
        <v>412</v>
      </c>
      <c r="Q658" s="3">
        <v>76901</v>
      </c>
      <c r="R658" t="s">
        <v>128</v>
      </c>
      <c r="S658" t="s">
        <v>3699</v>
      </c>
      <c r="T658" s="4">
        <v>13252629703</v>
      </c>
      <c r="V658" t="s">
        <v>14766</v>
      </c>
      <c r="W658" t="s">
        <v>14767</v>
      </c>
      <c r="X658" t="s">
        <v>3699</v>
      </c>
      <c r="Y658" t="s">
        <v>14768</v>
      </c>
      <c r="Z658" t="s">
        <v>3699</v>
      </c>
      <c r="AA658" t="s">
        <v>14769</v>
      </c>
      <c r="AB658" t="s">
        <v>400</v>
      </c>
      <c r="AC658" s="3" t="str">
        <f>"76901"</f>
        <v>76901</v>
      </c>
      <c r="AD658" t="s">
        <v>128</v>
      </c>
      <c r="AE658" t="s">
        <v>134</v>
      </c>
      <c r="AF658" s="4">
        <v>13252629703</v>
      </c>
      <c r="AH658" t="str">
        <f>"238990"</f>
        <v>238990</v>
      </c>
      <c r="AI658" t="s">
        <v>287</v>
      </c>
      <c r="AJ658" t="s">
        <v>11912</v>
      </c>
      <c r="AK658" t="s">
        <v>14770</v>
      </c>
      <c r="AL658" t="s">
        <v>1660</v>
      </c>
      <c r="AM658" t="s">
        <v>14771</v>
      </c>
      <c r="AN658" t="s">
        <v>14772</v>
      </c>
      <c r="AO658" t="s">
        <v>608</v>
      </c>
      <c r="AP658" t="s">
        <v>400</v>
      </c>
      <c r="AQ658" s="5">
        <v>78738</v>
      </c>
      <c r="AR658" t="s">
        <v>128</v>
      </c>
      <c r="AT658" s="4">
        <v>15128101612</v>
      </c>
      <c r="AV658" t="s">
        <v>14773</v>
      </c>
      <c r="AW658" t="s">
        <v>14774</v>
      </c>
      <c r="AX658" t="s">
        <v>131</v>
      </c>
      <c r="AY658" t="s">
        <v>131</v>
      </c>
      <c r="AZ658" t="s">
        <v>131</v>
      </c>
      <c r="BA658" t="s">
        <v>131</v>
      </c>
      <c r="BB658" t="s">
        <v>131</v>
      </c>
      <c r="BC658" t="s">
        <v>131</v>
      </c>
      <c r="BD658" t="s">
        <v>131</v>
      </c>
      <c r="BE658" t="s">
        <v>132</v>
      </c>
      <c r="BH658" t="s">
        <v>14775</v>
      </c>
      <c r="BI658" t="s">
        <v>131</v>
      </c>
      <c r="BL658" t="s">
        <v>167</v>
      </c>
      <c r="BO658" t="s">
        <v>131</v>
      </c>
      <c r="BP658" t="s">
        <v>134</v>
      </c>
      <c r="BQ658" t="s">
        <v>131</v>
      </c>
      <c r="BS658" t="str">
        <f t="shared" si="47"/>
        <v>N/A</v>
      </c>
      <c r="BT658" t="s">
        <v>131</v>
      </c>
      <c r="BV658" t="str">
        <f>""</f>
        <v/>
      </c>
      <c r="BW658" t="s">
        <v>131</v>
      </c>
      <c r="BX658" t="str">
        <f>""</f>
        <v/>
      </c>
      <c r="BY658" t="str">
        <f>""</f>
        <v/>
      </c>
      <c r="BZ658" t="str">
        <f>""</f>
        <v/>
      </c>
      <c r="CA658" t="str">
        <f>""</f>
        <v/>
      </c>
      <c r="CB658" t="s">
        <v>131</v>
      </c>
      <c r="CF658" t="s">
        <v>131</v>
      </c>
      <c r="CH658" t="str">
        <f>""</f>
        <v/>
      </c>
      <c r="CI658" t="s">
        <v>131</v>
      </c>
      <c r="CK658" t="s">
        <v>131</v>
      </c>
      <c r="CL658" t="str">
        <f>""</f>
        <v/>
      </c>
      <c r="CM658" t="str">
        <f>""</f>
        <v/>
      </c>
      <c r="CN658" t="str">
        <f>""</f>
        <v/>
      </c>
      <c r="CO658" t="str">
        <f>""</f>
        <v/>
      </c>
      <c r="CP658" t="str">
        <f>"47-4031.00"</f>
        <v>47-4031.00</v>
      </c>
      <c r="CQ658" t="s">
        <v>14776</v>
      </c>
      <c r="CR658" t="s">
        <v>14777</v>
      </c>
      <c r="CS658" t="s">
        <v>135</v>
      </c>
      <c r="CT658" t="s">
        <v>14778</v>
      </c>
      <c r="CU658" t="s">
        <v>14779</v>
      </c>
      <c r="CV658" t="s">
        <v>3699</v>
      </c>
      <c r="CW658" t="s">
        <v>14780</v>
      </c>
      <c r="CX658" t="s">
        <v>400</v>
      </c>
      <c r="CZ658" s="3" t="str">
        <f>"76901"</f>
        <v>76901</v>
      </c>
      <c r="DA658" t="s">
        <v>135</v>
      </c>
      <c r="DB658" t="str">
        <f>"47-4031"</f>
        <v>47-4031</v>
      </c>
      <c r="DC658" t="s">
        <v>14776</v>
      </c>
      <c r="DD658" t="s">
        <v>134</v>
      </c>
      <c r="DE658" t="s">
        <v>134</v>
      </c>
      <c r="DF658" t="str">
        <f>""</f>
        <v/>
      </c>
      <c r="DH658" s="6">
        <v>15.84</v>
      </c>
      <c r="DI658" t="s">
        <v>344</v>
      </c>
      <c r="DK658" t="s">
        <v>345</v>
      </c>
      <c r="DR658" t="s">
        <v>14781</v>
      </c>
      <c r="DS658" s="6">
        <v>16.239999999999998</v>
      </c>
      <c r="DT658" s="2" t="s">
        <v>9661</v>
      </c>
      <c r="DU658" s="1">
        <v>44363</v>
      </c>
      <c r="DV658" s="1">
        <v>44452</v>
      </c>
    </row>
    <row r="659" spans="1:126" ht="15" customHeight="1" x14ac:dyDescent="0.35">
      <c r="A659" t="s">
        <v>18756</v>
      </c>
      <c r="B659" t="s">
        <v>318</v>
      </c>
      <c r="C659" s="1">
        <v>44337</v>
      </c>
      <c r="D659" s="1">
        <v>44364</v>
      </c>
      <c r="H659" t="s">
        <v>319</v>
      </c>
      <c r="I659" t="s">
        <v>534</v>
      </c>
      <c r="J659" t="s">
        <v>18757</v>
      </c>
      <c r="K659" t="s">
        <v>134</v>
      </c>
      <c r="L659" t="s">
        <v>1105</v>
      </c>
      <c r="M659" t="s">
        <v>18758</v>
      </c>
      <c r="O659" t="s">
        <v>18759</v>
      </c>
      <c r="P659" t="s">
        <v>273</v>
      </c>
      <c r="Q659" s="3">
        <v>7843</v>
      </c>
      <c r="R659" t="s">
        <v>128</v>
      </c>
      <c r="S659" t="s">
        <v>134</v>
      </c>
      <c r="T659" s="4">
        <v>19738966240</v>
      </c>
      <c r="V659" t="s">
        <v>18760</v>
      </c>
      <c r="W659" t="s">
        <v>18761</v>
      </c>
      <c r="X659" t="s">
        <v>18762</v>
      </c>
      <c r="Y659" t="s">
        <v>18763</v>
      </c>
      <c r="AA659" t="s">
        <v>18764</v>
      </c>
      <c r="AB659" t="s">
        <v>276</v>
      </c>
      <c r="AC659" s="3" t="str">
        <f>"07843"</f>
        <v>07843</v>
      </c>
      <c r="AD659" t="s">
        <v>128</v>
      </c>
      <c r="AE659" t="s">
        <v>134</v>
      </c>
      <c r="AF659" s="4">
        <v>19738966240</v>
      </c>
      <c r="AH659" t="str">
        <f>"7225"</f>
        <v>7225</v>
      </c>
      <c r="AI659" t="s">
        <v>167</v>
      </c>
      <c r="AX659" t="s">
        <v>131</v>
      </c>
      <c r="AY659" t="s">
        <v>131</v>
      </c>
      <c r="AZ659" t="s">
        <v>131</v>
      </c>
      <c r="BA659" t="s">
        <v>131</v>
      </c>
      <c r="BB659" t="s">
        <v>131</v>
      </c>
      <c r="BC659" t="s">
        <v>131</v>
      </c>
      <c r="BD659" t="s">
        <v>131</v>
      </c>
      <c r="BE659" t="s">
        <v>132</v>
      </c>
      <c r="BH659" t="s">
        <v>1080</v>
      </c>
      <c r="BI659" t="s">
        <v>135</v>
      </c>
      <c r="BJ659" t="s">
        <v>5714</v>
      </c>
      <c r="BK659" t="s">
        <v>581</v>
      </c>
      <c r="BL659" t="s">
        <v>167</v>
      </c>
      <c r="BO659" t="s">
        <v>131</v>
      </c>
      <c r="BP659" t="s">
        <v>134</v>
      </c>
      <c r="BQ659" t="s">
        <v>131</v>
      </c>
      <c r="BS659" t="str">
        <f t="shared" si="47"/>
        <v>N/A</v>
      </c>
      <c r="BT659" t="s">
        <v>131</v>
      </c>
      <c r="BV659" t="str">
        <f>""</f>
        <v/>
      </c>
      <c r="BW659" t="s">
        <v>135</v>
      </c>
      <c r="BX659" t="str">
        <f>""</f>
        <v/>
      </c>
      <c r="BY659" t="str">
        <f>"Thai"</f>
        <v>Thai</v>
      </c>
      <c r="BZ659" t="str">
        <f>""</f>
        <v/>
      </c>
      <c r="CA659" t="str">
        <f>""</f>
        <v/>
      </c>
      <c r="CB659" t="s">
        <v>131</v>
      </c>
      <c r="CF659" t="s">
        <v>131</v>
      </c>
      <c r="CH659" t="str">
        <f>""</f>
        <v/>
      </c>
      <c r="CI659" t="s">
        <v>131</v>
      </c>
      <c r="CK659" t="s">
        <v>131</v>
      </c>
      <c r="CL659" t="str">
        <f>""</f>
        <v/>
      </c>
      <c r="CM659" t="str">
        <f>""</f>
        <v/>
      </c>
      <c r="CN659" t="str">
        <f>""</f>
        <v/>
      </c>
      <c r="CO659" t="str">
        <f>""</f>
        <v/>
      </c>
      <c r="CP659" t="str">
        <f>"35-2014.00"</f>
        <v>35-2014.00</v>
      </c>
      <c r="CQ659" t="s">
        <v>581</v>
      </c>
      <c r="CR659" t="s">
        <v>134</v>
      </c>
      <c r="CS659" t="s">
        <v>131</v>
      </c>
      <c r="CU659" t="s">
        <v>18763</v>
      </c>
      <c r="CW659" t="s">
        <v>18765</v>
      </c>
      <c r="CX659" t="s">
        <v>276</v>
      </c>
      <c r="CZ659" s="3" t="str">
        <f>"07843"</f>
        <v>07843</v>
      </c>
      <c r="DA659" t="s">
        <v>131</v>
      </c>
      <c r="DB659" t="str">
        <f>"35-2014"</f>
        <v>35-2014</v>
      </c>
      <c r="DC659" t="s">
        <v>581</v>
      </c>
      <c r="DD659" t="s">
        <v>134</v>
      </c>
      <c r="DE659" t="s">
        <v>134</v>
      </c>
      <c r="DF659" t="str">
        <f>""</f>
        <v/>
      </c>
      <c r="DH659" s="6">
        <v>16.190000000000001</v>
      </c>
      <c r="DI659" t="s">
        <v>344</v>
      </c>
      <c r="DK659" t="s">
        <v>345</v>
      </c>
      <c r="DS659" s="6">
        <v>16.190000000000001</v>
      </c>
      <c r="DT659" t="s">
        <v>424</v>
      </c>
      <c r="DU659" s="1">
        <v>44364</v>
      </c>
      <c r="DV659" s="1">
        <v>44453</v>
      </c>
    </row>
    <row r="660" spans="1:126" ht="15" customHeight="1" x14ac:dyDescent="0.35">
      <c r="A660" t="s">
        <v>13369</v>
      </c>
      <c r="B660" t="s">
        <v>318</v>
      </c>
      <c r="C660" s="1">
        <v>44337</v>
      </c>
      <c r="D660" s="1">
        <v>44364</v>
      </c>
      <c r="H660" t="s">
        <v>319</v>
      </c>
      <c r="I660" t="s">
        <v>13370</v>
      </c>
      <c r="J660" t="s">
        <v>13371</v>
      </c>
      <c r="L660" t="s">
        <v>395</v>
      </c>
      <c r="M660" t="s">
        <v>13372</v>
      </c>
      <c r="N660" t="s">
        <v>13373</v>
      </c>
      <c r="O660" t="s">
        <v>13374</v>
      </c>
      <c r="P660" t="s">
        <v>593</v>
      </c>
      <c r="Q660" s="3">
        <v>28104</v>
      </c>
      <c r="R660" t="s">
        <v>128</v>
      </c>
      <c r="T660" s="4">
        <v>17046843377</v>
      </c>
      <c r="V660" t="s">
        <v>134</v>
      </c>
      <c r="W660" t="s">
        <v>13375</v>
      </c>
      <c r="Y660" t="s">
        <v>13372</v>
      </c>
      <c r="Z660" t="s">
        <v>13376</v>
      </c>
      <c r="AA660" t="s">
        <v>13374</v>
      </c>
      <c r="AB660" t="s">
        <v>594</v>
      </c>
      <c r="AC660" s="3" t="str">
        <f>"28104"</f>
        <v>28104</v>
      </c>
      <c r="AD660" t="s">
        <v>128</v>
      </c>
      <c r="AF660" s="4">
        <v>17046843377</v>
      </c>
      <c r="AH660" t="str">
        <f>"56173"</f>
        <v>56173</v>
      </c>
      <c r="AI660" t="s">
        <v>287</v>
      </c>
      <c r="AJ660" t="s">
        <v>2917</v>
      </c>
      <c r="AK660" t="s">
        <v>2918</v>
      </c>
      <c r="AM660" t="s">
        <v>2919</v>
      </c>
      <c r="AN660" t="s">
        <v>2920</v>
      </c>
      <c r="AO660" t="s">
        <v>2921</v>
      </c>
      <c r="AP660" t="s">
        <v>306</v>
      </c>
      <c r="AQ660" s="5">
        <v>22949</v>
      </c>
      <c r="AR660" t="s">
        <v>128</v>
      </c>
      <c r="AT660" s="4">
        <v>14342634300</v>
      </c>
      <c r="AV660" t="s">
        <v>2922</v>
      </c>
      <c r="AW660" t="s">
        <v>2923</v>
      </c>
      <c r="AX660" t="s">
        <v>131</v>
      </c>
      <c r="AY660" t="s">
        <v>131</v>
      </c>
      <c r="AZ660" t="s">
        <v>131</v>
      </c>
      <c r="BA660" t="s">
        <v>131</v>
      </c>
      <c r="BB660" t="s">
        <v>131</v>
      </c>
      <c r="BC660" t="s">
        <v>131</v>
      </c>
      <c r="BD660" t="s">
        <v>131</v>
      </c>
      <c r="BE660" t="s">
        <v>132</v>
      </c>
      <c r="BH660" t="s">
        <v>5049</v>
      </c>
      <c r="BI660" t="s">
        <v>131</v>
      </c>
      <c r="BL660" t="s">
        <v>167</v>
      </c>
      <c r="BO660" t="s">
        <v>131</v>
      </c>
      <c r="BP660" t="s">
        <v>134</v>
      </c>
      <c r="BQ660" t="s">
        <v>131</v>
      </c>
      <c r="BS660" t="str">
        <f t="shared" si="47"/>
        <v>N/A</v>
      </c>
      <c r="BT660" t="s">
        <v>135</v>
      </c>
      <c r="BU660">
        <v>3</v>
      </c>
      <c r="BV660" t="str">
        <f>"Landscape"</f>
        <v>Landscape</v>
      </c>
      <c r="BW660" t="s">
        <v>135</v>
      </c>
      <c r="BX660" t="str">
        <f>""</f>
        <v/>
      </c>
      <c r="BY660" t="str">
        <f>""</f>
        <v/>
      </c>
      <c r="BZ660" t="str">
        <f>""</f>
        <v/>
      </c>
      <c r="CA660" t="str">
        <f>"Must lift/carry 50 lbs., when necessary.  Saturday work required, when necessary.  Post-hire upon suspicion of use and post-accident drug testing required of foreign and domestic workers."</f>
        <v>Must lift/carry 50 lbs., when necessary.  Saturday work required, when necessary.  Post-hire upon suspicion of use and post-accident drug testing required of foreign and domestic workers.</v>
      </c>
      <c r="CB660" t="s">
        <v>131</v>
      </c>
      <c r="CF660" t="s">
        <v>131</v>
      </c>
      <c r="CH660" t="str">
        <f>""</f>
        <v/>
      </c>
      <c r="CI660" t="s">
        <v>131</v>
      </c>
      <c r="CK660" t="s">
        <v>131</v>
      </c>
      <c r="CL660" t="str">
        <f>""</f>
        <v/>
      </c>
      <c r="CM660" t="str">
        <f>""</f>
        <v/>
      </c>
      <c r="CN660" t="str">
        <f>""</f>
        <v/>
      </c>
      <c r="CO660" t="str">
        <f>""</f>
        <v/>
      </c>
      <c r="CP660" t="str">
        <f>"37-3011.00"</f>
        <v>37-3011.00</v>
      </c>
      <c r="CQ660" t="s">
        <v>920</v>
      </c>
      <c r="CR660" t="s">
        <v>2924</v>
      </c>
      <c r="CS660" t="s">
        <v>135</v>
      </c>
      <c r="CT660" t="s">
        <v>2925</v>
      </c>
      <c r="CU660" t="s">
        <v>13377</v>
      </c>
      <c r="CW660" t="s">
        <v>13374</v>
      </c>
      <c r="CX660" t="s">
        <v>594</v>
      </c>
      <c r="CZ660" s="3" t="str">
        <f>"28104"</f>
        <v>28104</v>
      </c>
      <c r="DA660" t="s">
        <v>135</v>
      </c>
      <c r="DB660" t="str">
        <f>"37-3011"</f>
        <v>37-3011</v>
      </c>
      <c r="DC660" t="s">
        <v>920</v>
      </c>
      <c r="DD660" t="s">
        <v>134</v>
      </c>
      <c r="DE660" t="s">
        <v>134</v>
      </c>
      <c r="DF660" t="str">
        <f>""</f>
        <v/>
      </c>
      <c r="DH660" s="6">
        <v>14.31</v>
      </c>
      <c r="DI660" t="s">
        <v>344</v>
      </c>
      <c r="DK660" t="s">
        <v>345</v>
      </c>
      <c r="DS660" s="6">
        <v>14.31</v>
      </c>
      <c r="DT660" s="2" t="s">
        <v>347</v>
      </c>
      <c r="DU660" s="1">
        <v>44364</v>
      </c>
      <c r="DV660" s="1">
        <v>44453</v>
      </c>
    </row>
    <row r="661" spans="1:126" ht="15" customHeight="1" x14ac:dyDescent="0.35">
      <c r="A661" t="s">
        <v>19985</v>
      </c>
      <c r="B661" t="s">
        <v>318</v>
      </c>
      <c r="C661" s="1">
        <v>44337</v>
      </c>
      <c r="D661" s="1">
        <v>44364</v>
      </c>
      <c r="H661" t="s">
        <v>319</v>
      </c>
      <c r="I661" t="s">
        <v>15690</v>
      </c>
      <c r="J661" t="s">
        <v>15691</v>
      </c>
      <c r="L661" t="s">
        <v>569</v>
      </c>
      <c r="M661" t="s">
        <v>15692</v>
      </c>
      <c r="O661" t="s">
        <v>6215</v>
      </c>
      <c r="P661" t="s">
        <v>194</v>
      </c>
      <c r="Q661" s="3">
        <v>34145</v>
      </c>
      <c r="R661" t="s">
        <v>128</v>
      </c>
      <c r="T661" s="4">
        <v>12393946661</v>
      </c>
      <c r="V661" t="s">
        <v>1021</v>
      </c>
      <c r="W661" t="s">
        <v>15750</v>
      </c>
      <c r="Y661" t="s">
        <v>15692</v>
      </c>
      <c r="AA661" t="s">
        <v>15206</v>
      </c>
      <c r="AB661" t="s">
        <v>195</v>
      </c>
      <c r="AC661" s="3" t="str">
        <f>"34145"</f>
        <v>34145</v>
      </c>
      <c r="AD661" t="s">
        <v>128</v>
      </c>
      <c r="AF661" s="4">
        <v>12393946661</v>
      </c>
      <c r="AH661" t="str">
        <f>"713910"</f>
        <v>713910</v>
      </c>
      <c r="AI661" t="s">
        <v>287</v>
      </c>
      <c r="AJ661" t="s">
        <v>1024</v>
      </c>
      <c r="AK661" t="s">
        <v>1025</v>
      </c>
      <c r="AM661" t="s">
        <v>1026</v>
      </c>
      <c r="AO661" t="s">
        <v>1027</v>
      </c>
      <c r="AP661" t="s">
        <v>129</v>
      </c>
      <c r="AQ661" s="5">
        <v>11590</v>
      </c>
      <c r="AR661" t="s">
        <v>128</v>
      </c>
      <c r="AT661" s="4">
        <v>15163307168</v>
      </c>
      <c r="AV661" t="s">
        <v>1021</v>
      </c>
      <c r="AW661" t="s">
        <v>1028</v>
      </c>
      <c r="AX661" t="s">
        <v>131</v>
      </c>
      <c r="AY661" t="s">
        <v>131</v>
      </c>
      <c r="AZ661" t="s">
        <v>131</v>
      </c>
      <c r="BA661" t="s">
        <v>131</v>
      </c>
      <c r="BB661" t="s">
        <v>131</v>
      </c>
      <c r="BC661" t="s">
        <v>131</v>
      </c>
      <c r="BD661" t="s">
        <v>131</v>
      </c>
      <c r="BE661" t="s">
        <v>132</v>
      </c>
      <c r="BH661" t="s">
        <v>6218</v>
      </c>
      <c r="BI661" t="s">
        <v>131</v>
      </c>
      <c r="BL661" t="s">
        <v>167</v>
      </c>
      <c r="BO661" t="s">
        <v>131</v>
      </c>
      <c r="BP661" t="s">
        <v>134</v>
      </c>
      <c r="BQ661" t="s">
        <v>131</v>
      </c>
      <c r="BS661" t="str">
        <f t="shared" si="47"/>
        <v>N/A</v>
      </c>
      <c r="BT661" t="s">
        <v>135</v>
      </c>
      <c r="BU661">
        <v>6</v>
      </c>
      <c r="BV661" t="str">
        <f>"COOKS"</f>
        <v>COOKS</v>
      </c>
      <c r="BW661" t="s">
        <v>131</v>
      </c>
      <c r="BX661" t="str">
        <f>""</f>
        <v/>
      </c>
      <c r="BY661" t="str">
        <f>""</f>
        <v/>
      </c>
      <c r="BZ661" t="str">
        <f>""</f>
        <v/>
      </c>
      <c r="CA661" t="str">
        <f>""</f>
        <v/>
      </c>
      <c r="CB661" t="s">
        <v>131</v>
      </c>
      <c r="CF661" t="s">
        <v>131</v>
      </c>
      <c r="CH661" t="str">
        <f>""</f>
        <v/>
      </c>
      <c r="CI661" t="s">
        <v>131</v>
      </c>
      <c r="CK661" t="s">
        <v>131</v>
      </c>
      <c r="CL661" t="str">
        <f>""</f>
        <v/>
      </c>
      <c r="CM661" t="str">
        <f>""</f>
        <v/>
      </c>
      <c r="CN661" t="str">
        <f>""</f>
        <v/>
      </c>
      <c r="CO661" t="str">
        <f>""</f>
        <v/>
      </c>
      <c r="CP661" t="str">
        <f>"35-2014.00"</f>
        <v>35-2014.00</v>
      </c>
      <c r="CQ661" t="s">
        <v>581</v>
      </c>
      <c r="CR661" t="s">
        <v>6219</v>
      </c>
      <c r="CS661" t="s">
        <v>131</v>
      </c>
      <c r="CU661" t="s">
        <v>15692</v>
      </c>
      <c r="CW661" t="s">
        <v>6215</v>
      </c>
      <c r="CX661" t="s">
        <v>195</v>
      </c>
      <c r="CZ661" s="3" t="str">
        <f>"34145"</f>
        <v>34145</v>
      </c>
      <c r="DA661" t="s">
        <v>131</v>
      </c>
      <c r="DB661" t="str">
        <f>"35-2014"</f>
        <v>35-2014</v>
      </c>
      <c r="DC661" t="s">
        <v>581</v>
      </c>
      <c r="DD661" t="s">
        <v>134</v>
      </c>
      <c r="DE661" t="s">
        <v>134</v>
      </c>
      <c r="DF661" t="str">
        <f>""</f>
        <v/>
      </c>
      <c r="DH661" s="6">
        <v>15.46</v>
      </c>
      <c r="DI661" t="s">
        <v>344</v>
      </c>
      <c r="DK661" t="s">
        <v>345</v>
      </c>
      <c r="DR661" t="s">
        <v>5543</v>
      </c>
      <c r="DS661" s="6">
        <v>15.46</v>
      </c>
      <c r="DT661" t="s">
        <v>424</v>
      </c>
      <c r="DU661" s="1">
        <v>44364</v>
      </c>
      <c r="DV661" s="1">
        <v>44453</v>
      </c>
    </row>
    <row r="662" spans="1:126" ht="15" customHeight="1" x14ac:dyDescent="0.35">
      <c r="A662" t="s">
        <v>18857</v>
      </c>
      <c r="B662" t="s">
        <v>318</v>
      </c>
      <c r="C662" s="1">
        <v>44337</v>
      </c>
      <c r="D662" s="1">
        <v>44364</v>
      </c>
      <c r="H662" t="s">
        <v>319</v>
      </c>
      <c r="I662" t="s">
        <v>2451</v>
      </c>
      <c r="J662" t="s">
        <v>1157</v>
      </c>
      <c r="L662" t="s">
        <v>395</v>
      </c>
      <c r="M662" t="s">
        <v>2452</v>
      </c>
      <c r="N662" t="s">
        <v>134</v>
      </c>
      <c r="O662" t="s">
        <v>2453</v>
      </c>
      <c r="P662" t="s">
        <v>194</v>
      </c>
      <c r="Q662" s="3">
        <v>34285</v>
      </c>
      <c r="R662" t="s">
        <v>128</v>
      </c>
      <c r="S662" t="s">
        <v>134</v>
      </c>
      <c r="T662" s="4">
        <v>19414085300</v>
      </c>
      <c r="V662" t="s">
        <v>2454</v>
      </c>
      <c r="W662" t="s">
        <v>2455</v>
      </c>
      <c r="X662" t="s">
        <v>2456</v>
      </c>
      <c r="Y662" t="s">
        <v>2452</v>
      </c>
      <c r="Z662" t="s">
        <v>134</v>
      </c>
      <c r="AA662" t="s">
        <v>2453</v>
      </c>
      <c r="AB662" t="s">
        <v>195</v>
      </c>
      <c r="AC662" s="3" t="str">
        <f>"34285"</f>
        <v>34285</v>
      </c>
      <c r="AD662" t="s">
        <v>128</v>
      </c>
      <c r="AE662" t="s">
        <v>134</v>
      </c>
      <c r="AF662" s="4">
        <v>19414847362</v>
      </c>
      <c r="AH662" t="str">
        <f>"722511"</f>
        <v>722511</v>
      </c>
      <c r="AI662" t="s">
        <v>130</v>
      </c>
      <c r="AJ662" t="s">
        <v>1386</v>
      </c>
      <c r="AK662" t="s">
        <v>1387</v>
      </c>
      <c r="AL662" t="s">
        <v>1036</v>
      </c>
      <c r="AM662" t="s">
        <v>1388</v>
      </c>
      <c r="AN662" t="s">
        <v>997</v>
      </c>
      <c r="AO662" t="s">
        <v>719</v>
      </c>
      <c r="AP662" t="s">
        <v>377</v>
      </c>
      <c r="AQ662" s="5">
        <v>1701</v>
      </c>
      <c r="AR662" t="s">
        <v>128</v>
      </c>
      <c r="AS662" t="s">
        <v>134</v>
      </c>
      <c r="AT662" s="4">
        <v>16179399444</v>
      </c>
      <c r="AV662" t="s">
        <v>1389</v>
      </c>
      <c r="AW662" t="s">
        <v>1390</v>
      </c>
      <c r="AX662" t="s">
        <v>131</v>
      </c>
      <c r="AY662" t="s">
        <v>131</v>
      </c>
      <c r="AZ662" t="s">
        <v>131</v>
      </c>
      <c r="BA662" t="s">
        <v>131</v>
      </c>
      <c r="BB662" t="s">
        <v>131</v>
      </c>
      <c r="BC662" t="s">
        <v>131</v>
      </c>
      <c r="BD662" t="s">
        <v>131</v>
      </c>
      <c r="BE662" t="s">
        <v>132</v>
      </c>
      <c r="BH662" t="s">
        <v>2457</v>
      </c>
      <c r="BI662" t="s">
        <v>131</v>
      </c>
      <c r="BL662" t="s">
        <v>167</v>
      </c>
      <c r="BO662" t="s">
        <v>131</v>
      </c>
      <c r="BP662" t="s">
        <v>134</v>
      </c>
      <c r="BQ662" t="s">
        <v>131</v>
      </c>
      <c r="BS662" t="str">
        <f t="shared" si="47"/>
        <v>N/A</v>
      </c>
      <c r="BT662" t="s">
        <v>135</v>
      </c>
      <c r="BU662">
        <v>3</v>
      </c>
      <c r="BV662" t="str">
        <f>"Service Assistant"</f>
        <v>Service Assistant</v>
      </c>
      <c r="BW662" t="s">
        <v>135</v>
      </c>
      <c r="BX662" t="str">
        <f>""</f>
        <v/>
      </c>
      <c r="BY662" t="str">
        <f>""</f>
        <v/>
      </c>
      <c r="BZ662" t="str">
        <f>""</f>
        <v/>
      </c>
      <c r="CA662" t="s">
        <v>2458</v>
      </c>
      <c r="CB662" t="s">
        <v>131</v>
      </c>
      <c r="CF662" t="s">
        <v>131</v>
      </c>
      <c r="CH662" t="str">
        <f>""</f>
        <v/>
      </c>
      <c r="CI662" t="s">
        <v>131</v>
      </c>
      <c r="CK662" t="s">
        <v>131</v>
      </c>
      <c r="CL662" t="str">
        <f>""</f>
        <v/>
      </c>
      <c r="CM662" t="str">
        <f>""</f>
        <v/>
      </c>
      <c r="CN662" t="str">
        <f>""</f>
        <v/>
      </c>
      <c r="CO662" t="str">
        <f>""</f>
        <v/>
      </c>
      <c r="CP662" t="str">
        <f>"35-9011.00"</f>
        <v>35-9011.00</v>
      </c>
      <c r="CQ662" t="s">
        <v>1016</v>
      </c>
      <c r="CR662" t="s">
        <v>1205</v>
      </c>
      <c r="CS662" t="s">
        <v>131</v>
      </c>
      <c r="CU662" t="s">
        <v>2459</v>
      </c>
      <c r="CV662" t="s">
        <v>134</v>
      </c>
      <c r="CW662" t="s">
        <v>2453</v>
      </c>
      <c r="CX662" t="s">
        <v>195</v>
      </c>
      <c r="CZ662" s="3" t="str">
        <f>"34285"</f>
        <v>34285</v>
      </c>
      <c r="DA662" t="s">
        <v>131</v>
      </c>
      <c r="DB662" t="str">
        <f>"35-9011"</f>
        <v>35-9011</v>
      </c>
      <c r="DC662" t="s">
        <v>1016</v>
      </c>
      <c r="DD662" t="s">
        <v>134</v>
      </c>
      <c r="DE662" t="s">
        <v>134</v>
      </c>
      <c r="DF662" t="str">
        <f>""</f>
        <v/>
      </c>
      <c r="DH662" s="6">
        <v>10.6</v>
      </c>
      <c r="DI662" t="s">
        <v>344</v>
      </c>
      <c r="DK662" t="s">
        <v>345</v>
      </c>
      <c r="DS662" s="6">
        <v>10.6</v>
      </c>
      <c r="DT662" t="s">
        <v>424</v>
      </c>
      <c r="DU662" s="1">
        <v>44364</v>
      </c>
      <c r="DV662" s="1">
        <v>44453</v>
      </c>
    </row>
    <row r="663" spans="1:126" ht="15" customHeight="1" x14ac:dyDescent="0.35">
      <c r="A663" t="s">
        <v>17789</v>
      </c>
      <c r="B663" t="s">
        <v>318</v>
      </c>
      <c r="C663" s="1">
        <v>44337</v>
      </c>
      <c r="D663" s="1">
        <v>44377</v>
      </c>
      <c r="H663" t="s">
        <v>319</v>
      </c>
      <c r="I663" t="s">
        <v>16269</v>
      </c>
      <c r="J663" t="s">
        <v>1036</v>
      </c>
      <c r="L663" t="s">
        <v>303</v>
      </c>
      <c r="M663" t="s">
        <v>17790</v>
      </c>
      <c r="O663" t="s">
        <v>16271</v>
      </c>
      <c r="P663" t="s">
        <v>629</v>
      </c>
      <c r="Q663" s="3">
        <v>38930</v>
      </c>
      <c r="R663" t="s">
        <v>128</v>
      </c>
      <c r="T663" s="4">
        <v>16622547200</v>
      </c>
      <c r="V663" t="s">
        <v>5734</v>
      </c>
      <c r="W663" t="s">
        <v>17791</v>
      </c>
      <c r="Y663" t="s">
        <v>17792</v>
      </c>
      <c r="AA663" t="s">
        <v>16271</v>
      </c>
      <c r="AB663" t="s">
        <v>630</v>
      </c>
      <c r="AC663" s="3" t="str">
        <f>"38930"</f>
        <v>38930</v>
      </c>
      <c r="AD663" t="s">
        <v>128</v>
      </c>
      <c r="AF663" s="4">
        <v>16622547200</v>
      </c>
      <c r="AH663" t="str">
        <f>"31171"</f>
        <v>31171</v>
      </c>
      <c r="AI663" t="s">
        <v>130</v>
      </c>
      <c r="AJ663" t="s">
        <v>860</v>
      </c>
      <c r="AK663" t="s">
        <v>5730</v>
      </c>
      <c r="AL663" t="s">
        <v>1978</v>
      </c>
      <c r="AM663" t="s">
        <v>5732</v>
      </c>
      <c r="AN663" t="s">
        <v>16273</v>
      </c>
      <c r="AO663" t="s">
        <v>5733</v>
      </c>
      <c r="AP663" t="s">
        <v>779</v>
      </c>
      <c r="AQ663" s="5">
        <v>37122</v>
      </c>
      <c r="AR663" t="s">
        <v>128</v>
      </c>
      <c r="AT663" s="4">
        <v>19312428584</v>
      </c>
      <c r="AV663" t="s">
        <v>5725</v>
      </c>
      <c r="AW663" t="s">
        <v>5735</v>
      </c>
      <c r="AX663" t="s">
        <v>131</v>
      </c>
      <c r="AY663" t="s">
        <v>131</v>
      </c>
      <c r="AZ663" t="s">
        <v>131</v>
      </c>
      <c r="BA663" t="s">
        <v>131</v>
      </c>
      <c r="BB663" t="s">
        <v>131</v>
      </c>
      <c r="BC663" t="s">
        <v>131</v>
      </c>
      <c r="BD663" t="s">
        <v>131</v>
      </c>
      <c r="BE663" t="s">
        <v>132</v>
      </c>
      <c r="BH663" t="s">
        <v>15478</v>
      </c>
      <c r="BI663" t="s">
        <v>131</v>
      </c>
      <c r="BL663" t="s">
        <v>167</v>
      </c>
      <c r="BO663" t="s">
        <v>131</v>
      </c>
      <c r="BP663" t="s">
        <v>134</v>
      </c>
      <c r="BQ663" t="s">
        <v>135</v>
      </c>
      <c r="BR663">
        <v>1</v>
      </c>
      <c r="BS663" t="str">
        <f>"Less than 1 month - probably 1-2 weeks of safety and sanitation training required. "</f>
        <v xml:space="preserve">Less than 1 month - probably 1-2 weeks of safety and sanitation training required. </v>
      </c>
      <c r="BT663" t="s">
        <v>135</v>
      </c>
      <c r="BU663">
        <v>1</v>
      </c>
      <c r="BV663" t="str">
        <f>"Minimum of 2 weeks experience in seafood industry or produce packing industry. "</f>
        <v xml:space="preserve">Minimum of 2 weeks experience in seafood industry or produce packing industry. </v>
      </c>
      <c r="BW663" t="s">
        <v>135</v>
      </c>
      <c r="BX663" t="str">
        <f>""</f>
        <v/>
      </c>
      <c r="BY663" t="str">
        <f>""</f>
        <v/>
      </c>
      <c r="BZ663" t="str">
        <f>""</f>
        <v/>
      </c>
      <c r="CA663" t="str">
        <f>"Cannot have an aversion to cool temperatures. Temperatures often maintained around 50 degrees Fahrenheit. "</f>
        <v xml:space="preserve">Cannot have an aversion to cool temperatures. Temperatures often maintained around 50 degrees Fahrenheit. </v>
      </c>
      <c r="CB663" t="s">
        <v>131</v>
      </c>
      <c r="CF663" t="s">
        <v>131</v>
      </c>
      <c r="CH663" t="str">
        <f>""</f>
        <v/>
      </c>
      <c r="CI663" t="s">
        <v>131</v>
      </c>
      <c r="CK663" t="s">
        <v>131</v>
      </c>
      <c r="CL663" t="str">
        <f>""</f>
        <v/>
      </c>
      <c r="CM663" t="str">
        <f>""</f>
        <v/>
      </c>
      <c r="CN663" t="str">
        <f>""</f>
        <v/>
      </c>
      <c r="CO663" t="str">
        <f>""</f>
        <v/>
      </c>
      <c r="CP663" t="str">
        <f>"53-7064.00"</f>
        <v>53-7064.00</v>
      </c>
      <c r="CQ663" t="s">
        <v>2987</v>
      </c>
      <c r="CR663" t="s">
        <v>14532</v>
      </c>
      <c r="CS663" t="s">
        <v>131</v>
      </c>
      <c r="CU663" t="s">
        <v>17790</v>
      </c>
      <c r="CW663" t="s">
        <v>17793</v>
      </c>
      <c r="CX663" t="s">
        <v>630</v>
      </c>
      <c r="CZ663" s="3" t="str">
        <f>"38930"</f>
        <v>38930</v>
      </c>
      <c r="DA663" t="s">
        <v>131</v>
      </c>
      <c r="DB663" t="str">
        <f>"53-7064; 53-7064"</f>
        <v>53-7064; 53-7064</v>
      </c>
      <c r="DC663" t="s">
        <v>17794</v>
      </c>
      <c r="DD663" t="s">
        <v>134</v>
      </c>
      <c r="DE663" t="s">
        <v>134</v>
      </c>
      <c r="DF663" t="str">
        <f>""</f>
        <v/>
      </c>
      <c r="DH663" s="6">
        <v>9.7899999999999991</v>
      </c>
      <c r="DI663" t="s">
        <v>344</v>
      </c>
      <c r="DK663" t="s">
        <v>345</v>
      </c>
      <c r="DR663" t="s">
        <v>15830</v>
      </c>
      <c r="DS663" s="6">
        <v>9.7899999999999991</v>
      </c>
      <c r="DT663" t="s">
        <v>424</v>
      </c>
      <c r="DU663" s="1">
        <v>44377</v>
      </c>
      <c r="DV663" s="1">
        <v>44466</v>
      </c>
    </row>
    <row r="664" spans="1:126" ht="15" customHeight="1" x14ac:dyDescent="0.35">
      <c r="A664" t="s">
        <v>17878</v>
      </c>
      <c r="B664" t="s">
        <v>318</v>
      </c>
      <c r="C664" s="1">
        <v>44337</v>
      </c>
      <c r="D664" s="1">
        <v>44377</v>
      </c>
      <c r="H664" t="s">
        <v>319</v>
      </c>
      <c r="I664" t="s">
        <v>16269</v>
      </c>
      <c r="J664" t="s">
        <v>1036</v>
      </c>
      <c r="L664" t="s">
        <v>303</v>
      </c>
      <c r="M664" t="s">
        <v>17879</v>
      </c>
      <c r="O664" t="s">
        <v>16271</v>
      </c>
      <c r="P664" t="s">
        <v>629</v>
      </c>
      <c r="Q664" s="3">
        <v>38930</v>
      </c>
      <c r="R664" t="s">
        <v>128</v>
      </c>
      <c r="T664" s="4">
        <v>16622547200</v>
      </c>
      <c r="V664" t="s">
        <v>5725</v>
      </c>
      <c r="W664" t="s">
        <v>16272</v>
      </c>
      <c r="Y664" t="s">
        <v>17879</v>
      </c>
      <c r="AA664" t="s">
        <v>16271</v>
      </c>
      <c r="AB664" t="s">
        <v>630</v>
      </c>
      <c r="AC664" s="3" t="str">
        <f>"38930"</f>
        <v>38930</v>
      </c>
      <c r="AD664" t="s">
        <v>128</v>
      </c>
      <c r="AF664" s="4">
        <v>16622547200</v>
      </c>
      <c r="AH664" t="str">
        <f>"31171"</f>
        <v>31171</v>
      </c>
      <c r="AI664" t="s">
        <v>130</v>
      </c>
      <c r="AJ664" t="s">
        <v>860</v>
      </c>
      <c r="AK664" t="s">
        <v>5730</v>
      </c>
      <c r="AL664" t="s">
        <v>1978</v>
      </c>
      <c r="AM664" t="s">
        <v>5732</v>
      </c>
      <c r="AN664" t="s">
        <v>16273</v>
      </c>
      <c r="AO664" t="s">
        <v>5733</v>
      </c>
      <c r="AP664" t="s">
        <v>779</v>
      </c>
      <c r="AQ664" s="5">
        <v>37122</v>
      </c>
      <c r="AR664" t="s">
        <v>128</v>
      </c>
      <c r="AT664" s="4">
        <v>19312428584</v>
      </c>
      <c r="AV664" t="s">
        <v>5734</v>
      </c>
      <c r="AW664" t="s">
        <v>5735</v>
      </c>
      <c r="AX664" t="s">
        <v>131</v>
      </c>
      <c r="AY664" t="s">
        <v>131</v>
      </c>
      <c r="AZ664" t="s">
        <v>131</v>
      </c>
      <c r="BA664" t="s">
        <v>131</v>
      </c>
      <c r="BB664" t="s">
        <v>131</v>
      </c>
      <c r="BC664" t="s">
        <v>131</v>
      </c>
      <c r="BD664" t="s">
        <v>131</v>
      </c>
      <c r="BE664" t="s">
        <v>132</v>
      </c>
      <c r="BH664" t="s">
        <v>16274</v>
      </c>
      <c r="BI664" t="s">
        <v>131</v>
      </c>
      <c r="BL664" t="s">
        <v>167</v>
      </c>
      <c r="BO664" t="s">
        <v>131</v>
      </c>
      <c r="BP664" t="s">
        <v>134</v>
      </c>
      <c r="BQ664" t="s">
        <v>135</v>
      </c>
      <c r="BR664">
        <v>1</v>
      </c>
      <c r="BS664" t="str">
        <f>"1-2 weeks of safety and sanitation training may be required. "</f>
        <v xml:space="preserve">1-2 weeks of safety and sanitation training may be required. </v>
      </c>
      <c r="BT664" t="s">
        <v>135</v>
      </c>
      <c r="BU664">
        <v>1</v>
      </c>
      <c r="BV664" t="str">
        <f>"Experience in seafood or other food processing industry. "</f>
        <v xml:space="preserve">Experience in seafood or other food processing industry. </v>
      </c>
      <c r="BW664" t="s">
        <v>131</v>
      </c>
      <c r="BX664" t="str">
        <f>""</f>
        <v/>
      </c>
      <c r="BY664" t="str">
        <f>""</f>
        <v/>
      </c>
      <c r="BZ664" t="str">
        <f>""</f>
        <v/>
      </c>
      <c r="CA664" t="str">
        <f>""</f>
        <v/>
      </c>
      <c r="CB664" t="s">
        <v>131</v>
      </c>
      <c r="CF664" t="s">
        <v>131</v>
      </c>
      <c r="CH664" t="str">
        <f>""</f>
        <v/>
      </c>
      <c r="CI664" t="s">
        <v>131</v>
      </c>
      <c r="CK664" t="s">
        <v>131</v>
      </c>
      <c r="CL664" t="str">
        <f>""</f>
        <v/>
      </c>
      <c r="CM664" t="str">
        <f>""</f>
        <v/>
      </c>
      <c r="CN664" t="str">
        <f>""</f>
        <v/>
      </c>
      <c r="CO664" t="str">
        <f>""</f>
        <v/>
      </c>
      <c r="CP664" t="str">
        <f>"51-3022.00"</f>
        <v>51-3022.00</v>
      </c>
      <c r="CQ664" t="s">
        <v>1114</v>
      </c>
      <c r="CR664" t="s">
        <v>17880</v>
      </c>
      <c r="CS664" t="s">
        <v>131</v>
      </c>
      <c r="CU664" t="s">
        <v>17879</v>
      </c>
      <c r="CW664" t="s">
        <v>16271</v>
      </c>
      <c r="CX664" t="s">
        <v>630</v>
      </c>
      <c r="CZ664" s="3" t="str">
        <f>"38930"</f>
        <v>38930</v>
      </c>
      <c r="DA664" t="s">
        <v>131</v>
      </c>
      <c r="DB664" t="str">
        <f>"51-3022; 51-3022"</f>
        <v>51-3022; 51-3022</v>
      </c>
      <c r="DC664" t="s">
        <v>17881</v>
      </c>
      <c r="DD664" t="s">
        <v>134</v>
      </c>
      <c r="DE664" t="s">
        <v>134</v>
      </c>
      <c r="DF664" t="str">
        <f>""</f>
        <v/>
      </c>
      <c r="DH664" s="6">
        <v>10.87</v>
      </c>
      <c r="DI664" t="s">
        <v>344</v>
      </c>
      <c r="DK664" t="s">
        <v>345</v>
      </c>
      <c r="DR664" t="s">
        <v>15830</v>
      </c>
      <c r="DS664" s="6">
        <v>10.87</v>
      </c>
      <c r="DT664" t="s">
        <v>424</v>
      </c>
      <c r="DU664" s="1">
        <v>44377</v>
      </c>
      <c r="DV664" s="1">
        <v>44466</v>
      </c>
    </row>
    <row r="665" spans="1:126" ht="15" customHeight="1" x14ac:dyDescent="0.35">
      <c r="A665" t="s">
        <v>17832</v>
      </c>
      <c r="B665" t="s">
        <v>318</v>
      </c>
      <c r="C665" s="1">
        <v>44337</v>
      </c>
      <c r="D665" s="1">
        <v>44364</v>
      </c>
      <c r="H665" t="s">
        <v>319</v>
      </c>
      <c r="I665" t="s">
        <v>14446</v>
      </c>
      <c r="J665" t="s">
        <v>3376</v>
      </c>
      <c r="L665" t="s">
        <v>569</v>
      </c>
      <c r="M665" t="s">
        <v>14447</v>
      </c>
      <c r="O665" t="s">
        <v>14448</v>
      </c>
      <c r="P665" t="s">
        <v>194</v>
      </c>
      <c r="Q665" s="3">
        <v>34972</v>
      </c>
      <c r="R665" t="s">
        <v>128</v>
      </c>
      <c r="T665" s="4">
        <v>18633571700</v>
      </c>
      <c r="V665" t="s">
        <v>1021</v>
      </c>
      <c r="W665" t="s">
        <v>14449</v>
      </c>
      <c r="Y665" t="s">
        <v>14447</v>
      </c>
      <c r="AA665" t="s">
        <v>14448</v>
      </c>
      <c r="AB665" t="s">
        <v>195</v>
      </c>
      <c r="AC665" s="3" t="str">
        <f>"34972"</f>
        <v>34972</v>
      </c>
      <c r="AD665" t="s">
        <v>128</v>
      </c>
      <c r="AF665" s="4">
        <v>18633571700</v>
      </c>
      <c r="AH665" t="str">
        <f>"713910"</f>
        <v>713910</v>
      </c>
      <c r="AI665" t="s">
        <v>287</v>
      </c>
      <c r="AJ665" t="s">
        <v>1024</v>
      </c>
      <c r="AK665" t="s">
        <v>1025</v>
      </c>
      <c r="AM665" t="s">
        <v>1026</v>
      </c>
      <c r="AO665" t="s">
        <v>1027</v>
      </c>
      <c r="AP665" t="s">
        <v>129</v>
      </c>
      <c r="AQ665" s="5">
        <v>11590</v>
      </c>
      <c r="AR665" t="s">
        <v>128</v>
      </c>
      <c r="AT665" s="4">
        <v>15163307168</v>
      </c>
      <c r="AV665" t="s">
        <v>1021</v>
      </c>
      <c r="AW665" t="s">
        <v>1028</v>
      </c>
      <c r="AX665" t="s">
        <v>131</v>
      </c>
      <c r="AY665" t="s">
        <v>131</v>
      </c>
      <c r="AZ665" t="s">
        <v>131</v>
      </c>
      <c r="BA665" t="s">
        <v>131</v>
      </c>
      <c r="BB665" t="s">
        <v>131</v>
      </c>
      <c r="BC665" t="s">
        <v>131</v>
      </c>
      <c r="BD665" t="s">
        <v>131</v>
      </c>
      <c r="BE665" t="s">
        <v>132</v>
      </c>
      <c r="BH665" t="s">
        <v>5677</v>
      </c>
      <c r="BI665" t="s">
        <v>131</v>
      </c>
      <c r="BL665" t="s">
        <v>167</v>
      </c>
      <c r="BO665" t="s">
        <v>131</v>
      </c>
      <c r="BP665" t="s">
        <v>134</v>
      </c>
      <c r="BQ665" t="s">
        <v>131</v>
      </c>
      <c r="BS665" t="str">
        <f t="shared" ref="BS665:BS696" si="48">"N/A"</f>
        <v>N/A</v>
      </c>
      <c r="BT665" t="s">
        <v>131</v>
      </c>
      <c r="BV665" t="str">
        <f>""</f>
        <v/>
      </c>
      <c r="BW665" t="s">
        <v>131</v>
      </c>
      <c r="BX665" t="str">
        <f>""</f>
        <v/>
      </c>
      <c r="BY665" t="str">
        <f>""</f>
        <v/>
      </c>
      <c r="BZ665" t="str">
        <f>""</f>
        <v/>
      </c>
      <c r="CA665" t="str">
        <f>""</f>
        <v/>
      </c>
      <c r="CB665" t="s">
        <v>131</v>
      </c>
      <c r="CF665" t="s">
        <v>131</v>
      </c>
      <c r="CH665" t="str">
        <f>""</f>
        <v/>
      </c>
      <c r="CI665" t="s">
        <v>131</v>
      </c>
      <c r="CK665" t="s">
        <v>131</v>
      </c>
      <c r="CL665" t="str">
        <f>""</f>
        <v/>
      </c>
      <c r="CM665" t="str">
        <f>""</f>
        <v/>
      </c>
      <c r="CN665" t="str">
        <f>""</f>
        <v/>
      </c>
      <c r="CO665" t="str">
        <f>""</f>
        <v/>
      </c>
      <c r="CP665" t="str">
        <f>"35-3031.00"</f>
        <v>35-3031.00</v>
      </c>
      <c r="CQ665" t="s">
        <v>1214</v>
      </c>
      <c r="CR665" t="s">
        <v>392</v>
      </c>
      <c r="CS665" t="s">
        <v>131</v>
      </c>
      <c r="CU665" t="s">
        <v>14447</v>
      </c>
      <c r="CW665" t="s">
        <v>14448</v>
      </c>
      <c r="CX665" t="s">
        <v>195</v>
      </c>
      <c r="CZ665" s="3" t="str">
        <f>"34972"</f>
        <v>34972</v>
      </c>
      <c r="DA665" t="s">
        <v>131</v>
      </c>
      <c r="DB665" t="str">
        <f>"35-3031"</f>
        <v>35-3031</v>
      </c>
      <c r="DC665" t="s">
        <v>1214</v>
      </c>
      <c r="DD665" t="s">
        <v>134</v>
      </c>
      <c r="DE665" t="s">
        <v>134</v>
      </c>
      <c r="DF665" t="str">
        <f>""</f>
        <v/>
      </c>
      <c r="DH665" s="6">
        <v>13.72</v>
      </c>
      <c r="DI665" t="s">
        <v>344</v>
      </c>
      <c r="DK665" t="s">
        <v>345</v>
      </c>
      <c r="DR665" t="s">
        <v>2085</v>
      </c>
      <c r="DS665" s="6">
        <v>13.72</v>
      </c>
      <c r="DT665" t="s">
        <v>424</v>
      </c>
      <c r="DU665" s="1">
        <v>44364</v>
      </c>
      <c r="DV665" s="1">
        <v>44453</v>
      </c>
    </row>
    <row r="666" spans="1:126" ht="15" customHeight="1" x14ac:dyDescent="0.35">
      <c r="A666" t="s">
        <v>14445</v>
      </c>
      <c r="B666" t="s">
        <v>318</v>
      </c>
      <c r="C666" s="1">
        <v>44337</v>
      </c>
      <c r="D666" s="1">
        <v>44364</v>
      </c>
      <c r="H666" t="s">
        <v>319</v>
      </c>
      <c r="I666" t="s">
        <v>14446</v>
      </c>
      <c r="J666" t="s">
        <v>3376</v>
      </c>
      <c r="L666" t="s">
        <v>569</v>
      </c>
      <c r="M666" t="s">
        <v>14447</v>
      </c>
      <c r="O666" t="s">
        <v>14448</v>
      </c>
      <c r="P666" t="s">
        <v>194</v>
      </c>
      <c r="Q666" s="3">
        <v>34972</v>
      </c>
      <c r="R666" t="s">
        <v>128</v>
      </c>
      <c r="T666" s="4">
        <v>18633571700</v>
      </c>
      <c r="V666" t="s">
        <v>1021</v>
      </c>
      <c r="W666" t="s">
        <v>14449</v>
      </c>
      <c r="Y666" t="s">
        <v>14447</v>
      </c>
      <c r="AA666" t="s">
        <v>14448</v>
      </c>
      <c r="AB666" t="s">
        <v>195</v>
      </c>
      <c r="AC666" s="3" t="str">
        <f>"34972"</f>
        <v>34972</v>
      </c>
      <c r="AD666" t="s">
        <v>128</v>
      </c>
      <c r="AF666" s="4">
        <v>18633571700</v>
      </c>
      <c r="AH666" t="str">
        <f>"713910"</f>
        <v>713910</v>
      </c>
      <c r="AI666" t="s">
        <v>287</v>
      </c>
      <c r="AJ666" t="s">
        <v>1024</v>
      </c>
      <c r="AK666" t="s">
        <v>1025</v>
      </c>
      <c r="AM666" t="s">
        <v>1026</v>
      </c>
      <c r="AO666" t="s">
        <v>1027</v>
      </c>
      <c r="AP666" t="s">
        <v>129</v>
      </c>
      <c r="AQ666" s="5">
        <v>11590</v>
      </c>
      <c r="AR666" t="s">
        <v>128</v>
      </c>
      <c r="AT666" s="4">
        <v>15163307168</v>
      </c>
      <c r="AV666" t="s">
        <v>1021</v>
      </c>
      <c r="AW666" t="s">
        <v>1028</v>
      </c>
      <c r="AX666" t="s">
        <v>131</v>
      </c>
      <c r="AY666" t="s">
        <v>131</v>
      </c>
      <c r="AZ666" t="s">
        <v>131</v>
      </c>
      <c r="BA666" t="s">
        <v>131</v>
      </c>
      <c r="BB666" t="s">
        <v>131</v>
      </c>
      <c r="BC666" t="s">
        <v>131</v>
      </c>
      <c r="BD666" t="s">
        <v>131</v>
      </c>
      <c r="BE666" t="s">
        <v>132</v>
      </c>
      <c r="BH666" t="s">
        <v>3930</v>
      </c>
      <c r="BI666" t="s">
        <v>131</v>
      </c>
      <c r="BL666" t="s">
        <v>167</v>
      </c>
      <c r="BO666" t="s">
        <v>131</v>
      </c>
      <c r="BP666" t="s">
        <v>134</v>
      </c>
      <c r="BQ666" t="s">
        <v>131</v>
      </c>
      <c r="BS666" t="str">
        <f t="shared" si="48"/>
        <v>N/A</v>
      </c>
      <c r="BT666" t="s">
        <v>135</v>
      </c>
      <c r="BU666">
        <v>3</v>
      </c>
      <c r="BV666" t="str">
        <f>"COOKS"</f>
        <v>COOKS</v>
      </c>
      <c r="BW666" t="s">
        <v>131</v>
      </c>
      <c r="BX666" t="str">
        <f>""</f>
        <v/>
      </c>
      <c r="BY666" t="str">
        <f>""</f>
        <v/>
      </c>
      <c r="BZ666" t="str">
        <f>""</f>
        <v/>
      </c>
      <c r="CA666" t="str">
        <f>""</f>
        <v/>
      </c>
      <c r="CB666" t="s">
        <v>131</v>
      </c>
      <c r="CF666" t="s">
        <v>131</v>
      </c>
      <c r="CH666" t="str">
        <f>""</f>
        <v/>
      </c>
      <c r="CI666" t="s">
        <v>131</v>
      </c>
      <c r="CK666" t="s">
        <v>131</v>
      </c>
      <c r="CL666" t="str">
        <f>""</f>
        <v/>
      </c>
      <c r="CM666" t="str">
        <f>""</f>
        <v/>
      </c>
      <c r="CN666" t="str">
        <f>""</f>
        <v/>
      </c>
      <c r="CO666" t="str">
        <f>""</f>
        <v/>
      </c>
      <c r="CP666" t="str">
        <f>"35-2014.00"</f>
        <v>35-2014.00</v>
      </c>
      <c r="CQ666" t="s">
        <v>581</v>
      </c>
      <c r="CR666" t="s">
        <v>6219</v>
      </c>
      <c r="CS666" t="s">
        <v>131</v>
      </c>
      <c r="CU666" t="s">
        <v>14447</v>
      </c>
      <c r="CW666" t="s">
        <v>14448</v>
      </c>
      <c r="CX666" t="s">
        <v>195</v>
      </c>
      <c r="CZ666" s="3" t="str">
        <f>"34972"</f>
        <v>34972</v>
      </c>
      <c r="DA666" t="s">
        <v>131</v>
      </c>
      <c r="DB666" t="str">
        <f>"35-2014"</f>
        <v>35-2014</v>
      </c>
      <c r="DC666" t="s">
        <v>581</v>
      </c>
      <c r="DD666" t="s">
        <v>134</v>
      </c>
      <c r="DE666" t="s">
        <v>134</v>
      </c>
      <c r="DF666" t="str">
        <f>""</f>
        <v/>
      </c>
      <c r="DH666" s="6">
        <v>15.55</v>
      </c>
      <c r="DI666" t="s">
        <v>344</v>
      </c>
      <c r="DK666" t="s">
        <v>345</v>
      </c>
      <c r="DR666" t="s">
        <v>2085</v>
      </c>
      <c r="DS666" s="6">
        <v>15.55</v>
      </c>
      <c r="DT666" t="s">
        <v>424</v>
      </c>
      <c r="DU666" s="1">
        <v>44364</v>
      </c>
      <c r="DV666" s="1">
        <v>44453</v>
      </c>
    </row>
    <row r="667" spans="1:126" ht="15" customHeight="1" x14ac:dyDescent="0.35">
      <c r="A667" t="s">
        <v>14248</v>
      </c>
      <c r="B667" t="s">
        <v>318</v>
      </c>
      <c r="C667" s="1">
        <v>44337</v>
      </c>
      <c r="D667" s="1">
        <v>44364</v>
      </c>
      <c r="H667" t="s">
        <v>319</v>
      </c>
      <c r="I667" t="s">
        <v>11028</v>
      </c>
      <c r="J667" t="s">
        <v>11029</v>
      </c>
      <c r="L667" t="s">
        <v>223</v>
      </c>
      <c r="M667" t="s">
        <v>11030</v>
      </c>
      <c r="N667" t="s">
        <v>11031</v>
      </c>
      <c r="O667" t="s">
        <v>9844</v>
      </c>
      <c r="P667" t="s">
        <v>194</v>
      </c>
      <c r="Q667" s="3">
        <v>32408</v>
      </c>
      <c r="R667" t="s">
        <v>128</v>
      </c>
      <c r="T667" s="4">
        <v>17863285408</v>
      </c>
      <c r="V667" t="s">
        <v>1211</v>
      </c>
      <c r="W667" t="s">
        <v>11366</v>
      </c>
      <c r="Y667" t="s">
        <v>11030</v>
      </c>
      <c r="Z667" t="s">
        <v>11031</v>
      </c>
      <c r="AA667" t="s">
        <v>9844</v>
      </c>
      <c r="AB667" t="s">
        <v>195</v>
      </c>
      <c r="AC667" s="3" t="str">
        <f>"32408"</f>
        <v>32408</v>
      </c>
      <c r="AD667" t="s">
        <v>128</v>
      </c>
      <c r="AF667" s="4">
        <v>17863285408</v>
      </c>
      <c r="AH667" t="str">
        <f>"561720"</f>
        <v>561720</v>
      </c>
      <c r="AI667" t="s">
        <v>167</v>
      </c>
      <c r="AX667" t="s">
        <v>131</v>
      </c>
      <c r="AY667" t="s">
        <v>131</v>
      </c>
      <c r="AZ667" t="s">
        <v>131</v>
      </c>
      <c r="BA667" t="s">
        <v>131</v>
      </c>
      <c r="BB667" t="s">
        <v>131</v>
      </c>
      <c r="BC667" t="s">
        <v>131</v>
      </c>
      <c r="BD667" t="s">
        <v>131</v>
      </c>
      <c r="BE667" t="s">
        <v>132</v>
      </c>
      <c r="BH667" t="s">
        <v>4277</v>
      </c>
      <c r="BI667" t="s">
        <v>131</v>
      </c>
      <c r="BL667" t="s">
        <v>167</v>
      </c>
      <c r="BO667" t="s">
        <v>131</v>
      </c>
      <c r="BP667" t="s">
        <v>134</v>
      </c>
      <c r="BQ667" t="s">
        <v>131</v>
      </c>
      <c r="BS667" t="str">
        <f t="shared" si="48"/>
        <v>N/A</v>
      </c>
      <c r="BT667" t="s">
        <v>135</v>
      </c>
      <c r="BU667">
        <v>1</v>
      </c>
      <c r="BV667" t="str">
        <f>"HOUSEKEEPING/MAID/HOUSEMAN/PUBLIC AREA ATTENDANT"</f>
        <v>HOUSEKEEPING/MAID/HOUSEMAN/PUBLIC AREA ATTENDANT</v>
      </c>
      <c r="BW667" t="s">
        <v>131</v>
      </c>
      <c r="BX667" t="str">
        <f>""</f>
        <v/>
      </c>
      <c r="BY667" t="str">
        <f>""</f>
        <v/>
      </c>
      <c r="BZ667" t="str">
        <f>""</f>
        <v/>
      </c>
      <c r="CA667" t="str">
        <f>""</f>
        <v/>
      </c>
      <c r="CB667" t="s">
        <v>131</v>
      </c>
      <c r="CF667" t="s">
        <v>131</v>
      </c>
      <c r="CH667" t="str">
        <f>""</f>
        <v/>
      </c>
      <c r="CI667" t="s">
        <v>131</v>
      </c>
      <c r="CK667" t="s">
        <v>131</v>
      </c>
      <c r="CL667" t="str">
        <f>""</f>
        <v/>
      </c>
      <c r="CM667" t="str">
        <f>""</f>
        <v/>
      </c>
      <c r="CN667" t="str">
        <f>""</f>
        <v/>
      </c>
      <c r="CO667" t="str">
        <f>""</f>
        <v/>
      </c>
      <c r="CP667" t="str">
        <f>"37-2012.00"</f>
        <v>37-2012.00</v>
      </c>
      <c r="CQ667" t="s">
        <v>479</v>
      </c>
      <c r="CR667" t="s">
        <v>4277</v>
      </c>
      <c r="CS667" t="s">
        <v>131</v>
      </c>
      <c r="CU667" t="s">
        <v>14249</v>
      </c>
      <c r="CW667" t="s">
        <v>7173</v>
      </c>
      <c r="CX667" t="s">
        <v>195</v>
      </c>
      <c r="CZ667" s="3" t="str">
        <f>"33767"</f>
        <v>33767</v>
      </c>
      <c r="DA667" t="s">
        <v>135</v>
      </c>
      <c r="DB667" t="str">
        <f>"37-2012"</f>
        <v>37-2012</v>
      </c>
      <c r="DC667" t="s">
        <v>479</v>
      </c>
      <c r="DD667" t="s">
        <v>134</v>
      </c>
      <c r="DE667" t="s">
        <v>134</v>
      </c>
      <c r="DF667" t="str">
        <f>""</f>
        <v/>
      </c>
      <c r="DH667" s="6">
        <v>11.75</v>
      </c>
      <c r="DI667" t="s">
        <v>344</v>
      </c>
      <c r="DK667" t="s">
        <v>345</v>
      </c>
      <c r="DR667" t="s">
        <v>7176</v>
      </c>
      <c r="DS667" s="6">
        <v>11.75</v>
      </c>
      <c r="DT667" t="s">
        <v>424</v>
      </c>
      <c r="DU667" s="1">
        <v>44364</v>
      </c>
      <c r="DV667" s="1">
        <v>44453</v>
      </c>
    </row>
    <row r="668" spans="1:126" ht="15" customHeight="1" x14ac:dyDescent="0.35">
      <c r="A668" t="s">
        <v>19715</v>
      </c>
      <c r="B668" t="s">
        <v>318</v>
      </c>
      <c r="C668" s="1">
        <v>44337</v>
      </c>
      <c r="D668" s="1">
        <v>44364</v>
      </c>
      <c r="H668" t="s">
        <v>319</v>
      </c>
      <c r="I668" t="s">
        <v>11028</v>
      </c>
      <c r="J668" t="s">
        <v>11029</v>
      </c>
      <c r="L668" t="s">
        <v>223</v>
      </c>
      <c r="M668" t="s">
        <v>11365</v>
      </c>
      <c r="N668" t="s">
        <v>11031</v>
      </c>
      <c r="O668" t="s">
        <v>9844</v>
      </c>
      <c r="P668" t="s">
        <v>194</v>
      </c>
      <c r="Q668" s="3">
        <v>32408</v>
      </c>
      <c r="R668" t="s">
        <v>128</v>
      </c>
      <c r="T668" s="4">
        <v>17863285408</v>
      </c>
      <c r="V668" t="s">
        <v>1211</v>
      </c>
      <c r="W668" t="s">
        <v>11366</v>
      </c>
      <c r="Y668" t="s">
        <v>11365</v>
      </c>
      <c r="Z668" t="s">
        <v>11031</v>
      </c>
      <c r="AA668" t="s">
        <v>9844</v>
      </c>
      <c r="AB668" t="s">
        <v>195</v>
      </c>
      <c r="AC668" s="3" t="str">
        <f>"32408"</f>
        <v>32408</v>
      </c>
      <c r="AD668" t="s">
        <v>128</v>
      </c>
      <c r="AF668" s="4">
        <v>17863285408</v>
      </c>
      <c r="AH668" t="str">
        <f>"56172"</f>
        <v>56172</v>
      </c>
      <c r="AI668" t="s">
        <v>167</v>
      </c>
      <c r="AX668" t="s">
        <v>131</v>
      </c>
      <c r="AY668" t="s">
        <v>131</v>
      </c>
      <c r="AZ668" t="s">
        <v>131</v>
      </c>
      <c r="BA668" t="s">
        <v>131</v>
      </c>
      <c r="BB668" t="s">
        <v>131</v>
      </c>
      <c r="BC668" t="s">
        <v>131</v>
      </c>
      <c r="BD668" t="s">
        <v>131</v>
      </c>
      <c r="BE668" t="s">
        <v>132</v>
      </c>
      <c r="BH668" t="s">
        <v>4277</v>
      </c>
      <c r="BI668" t="s">
        <v>131</v>
      </c>
      <c r="BL668" t="s">
        <v>167</v>
      </c>
      <c r="BO668" t="s">
        <v>131</v>
      </c>
      <c r="BP668" t="s">
        <v>134</v>
      </c>
      <c r="BQ668" t="s">
        <v>131</v>
      </c>
      <c r="BS668" t="str">
        <f t="shared" si="48"/>
        <v>N/A</v>
      </c>
      <c r="BT668" t="s">
        <v>135</v>
      </c>
      <c r="BU668">
        <v>1</v>
      </c>
      <c r="BV668" t="str">
        <f>"HOUSEKEEPING/MAID/HOUSEMAN/PUBLIC AREA ATTENDANT"</f>
        <v>HOUSEKEEPING/MAID/HOUSEMAN/PUBLIC AREA ATTENDANT</v>
      </c>
      <c r="BW668" t="s">
        <v>131</v>
      </c>
      <c r="BX668" t="str">
        <f>""</f>
        <v/>
      </c>
      <c r="BY668" t="str">
        <f>""</f>
        <v/>
      </c>
      <c r="BZ668" t="str">
        <f>""</f>
        <v/>
      </c>
      <c r="CA668" t="str">
        <f>""</f>
        <v/>
      </c>
      <c r="CB668" t="s">
        <v>131</v>
      </c>
      <c r="CF668" t="s">
        <v>131</v>
      </c>
      <c r="CH668" t="str">
        <f>""</f>
        <v/>
      </c>
      <c r="CI668" t="s">
        <v>131</v>
      </c>
      <c r="CK668" t="s">
        <v>131</v>
      </c>
      <c r="CL668" t="str">
        <f>""</f>
        <v/>
      </c>
      <c r="CM668" t="str">
        <f>""</f>
        <v/>
      </c>
      <c r="CN668" t="str">
        <f>""</f>
        <v/>
      </c>
      <c r="CO668" t="str">
        <f>""</f>
        <v/>
      </c>
      <c r="CP668" t="str">
        <f>"37-2012.00"</f>
        <v>37-2012.00</v>
      </c>
      <c r="CQ668" t="s">
        <v>479</v>
      </c>
      <c r="CR668" t="s">
        <v>4277</v>
      </c>
      <c r="CS668" t="s">
        <v>131</v>
      </c>
      <c r="CU668" t="s">
        <v>19716</v>
      </c>
      <c r="CW668" t="s">
        <v>6282</v>
      </c>
      <c r="CX668" t="s">
        <v>195</v>
      </c>
      <c r="CZ668" s="3" t="str">
        <f>"33180"</f>
        <v>33180</v>
      </c>
      <c r="DA668" t="s">
        <v>135</v>
      </c>
      <c r="DB668" t="str">
        <f>"37-2012"</f>
        <v>37-2012</v>
      </c>
      <c r="DC668" t="s">
        <v>479</v>
      </c>
      <c r="DD668" t="s">
        <v>134</v>
      </c>
      <c r="DE668" t="s">
        <v>134</v>
      </c>
      <c r="DF668" t="str">
        <f>""</f>
        <v/>
      </c>
      <c r="DH668" s="6">
        <v>11.7</v>
      </c>
      <c r="DI668" t="s">
        <v>344</v>
      </c>
      <c r="DK668" t="s">
        <v>345</v>
      </c>
      <c r="DR668" t="s">
        <v>2160</v>
      </c>
      <c r="DS668" s="6">
        <v>11.7</v>
      </c>
      <c r="DT668" t="s">
        <v>424</v>
      </c>
      <c r="DU668" s="1">
        <v>44364</v>
      </c>
      <c r="DV668" s="1">
        <v>44453</v>
      </c>
    </row>
    <row r="669" spans="1:126" ht="15" customHeight="1" x14ac:dyDescent="0.35">
      <c r="A669" t="s">
        <v>14526</v>
      </c>
      <c r="B669" t="s">
        <v>318</v>
      </c>
      <c r="C669" s="1">
        <v>44337</v>
      </c>
      <c r="D669" s="1">
        <v>44364</v>
      </c>
      <c r="H669" t="s">
        <v>319</v>
      </c>
      <c r="I669" t="s">
        <v>3156</v>
      </c>
      <c r="J669" t="s">
        <v>12239</v>
      </c>
      <c r="L669" t="s">
        <v>303</v>
      </c>
      <c r="M669" t="s">
        <v>14527</v>
      </c>
      <c r="O669" t="s">
        <v>885</v>
      </c>
      <c r="P669" t="s">
        <v>412</v>
      </c>
      <c r="Q669" s="3">
        <v>77038</v>
      </c>
      <c r="R669" t="s">
        <v>128</v>
      </c>
      <c r="T669" s="4">
        <v>12818475855</v>
      </c>
      <c r="V669" t="s">
        <v>14528</v>
      </c>
      <c r="W669" t="s">
        <v>14529</v>
      </c>
      <c r="Y669" t="s">
        <v>14527</v>
      </c>
      <c r="AA669" t="s">
        <v>885</v>
      </c>
      <c r="AB669" t="s">
        <v>400</v>
      </c>
      <c r="AC669" s="3" t="str">
        <f>"77038"</f>
        <v>77038</v>
      </c>
      <c r="AD669" t="s">
        <v>128</v>
      </c>
      <c r="AF669" s="4">
        <v>12818475855</v>
      </c>
      <c r="AH669" t="str">
        <f>"238990"</f>
        <v>238990</v>
      </c>
      <c r="AI669" t="s">
        <v>130</v>
      </c>
      <c r="AJ669" t="s">
        <v>4018</v>
      </c>
      <c r="AK669" t="s">
        <v>2069</v>
      </c>
      <c r="AM669" t="s">
        <v>4019</v>
      </c>
      <c r="AO669" t="s">
        <v>1040</v>
      </c>
      <c r="AP669" t="s">
        <v>400</v>
      </c>
      <c r="AQ669" s="5">
        <v>78737</v>
      </c>
      <c r="AR669" t="s">
        <v>128</v>
      </c>
      <c r="AT669" s="4">
        <v>15128942128</v>
      </c>
      <c r="AV669" t="s">
        <v>4020</v>
      </c>
      <c r="AW669" t="s">
        <v>4021</v>
      </c>
      <c r="AX669" t="s">
        <v>131</v>
      </c>
      <c r="AY669" t="s">
        <v>131</v>
      </c>
      <c r="AZ669" t="s">
        <v>131</v>
      </c>
      <c r="BA669" t="s">
        <v>131</v>
      </c>
      <c r="BB669" t="s">
        <v>131</v>
      </c>
      <c r="BC669" t="s">
        <v>131</v>
      </c>
      <c r="BD669" t="s">
        <v>131</v>
      </c>
      <c r="BE669" t="s">
        <v>132</v>
      </c>
      <c r="BH669" t="s">
        <v>4045</v>
      </c>
      <c r="BI669" t="s">
        <v>131</v>
      </c>
      <c r="BL669" t="s">
        <v>167</v>
      </c>
      <c r="BO669" t="s">
        <v>131</v>
      </c>
      <c r="BP669" t="s">
        <v>134</v>
      </c>
      <c r="BQ669" t="s">
        <v>131</v>
      </c>
      <c r="BS669" t="str">
        <f t="shared" si="48"/>
        <v>N/A</v>
      </c>
      <c r="BT669" t="s">
        <v>135</v>
      </c>
      <c r="BU669">
        <v>1</v>
      </c>
      <c r="BV669" t="str">
        <f>"See F.b.5.a."</f>
        <v>See F.b.5.a.</v>
      </c>
      <c r="BW669" t="s">
        <v>135</v>
      </c>
      <c r="BX669" t="str">
        <f>""</f>
        <v/>
      </c>
      <c r="BY669" t="str">
        <f>""</f>
        <v/>
      </c>
      <c r="BZ669" t="str">
        <f>""</f>
        <v/>
      </c>
      <c r="CA669" t="str">
        <f>"Requires one month of experience working with cement/concrete."</f>
        <v>Requires one month of experience working with cement/concrete.</v>
      </c>
      <c r="CB669" t="s">
        <v>131</v>
      </c>
      <c r="CF669" t="s">
        <v>131</v>
      </c>
      <c r="CH669" t="str">
        <f>""</f>
        <v/>
      </c>
      <c r="CI669" t="s">
        <v>131</v>
      </c>
      <c r="CK669" t="s">
        <v>131</v>
      </c>
      <c r="CL669" t="str">
        <f>""</f>
        <v/>
      </c>
      <c r="CM669" t="str">
        <f>""</f>
        <v/>
      </c>
      <c r="CN669" t="str">
        <f>""</f>
        <v/>
      </c>
      <c r="CO669" t="str">
        <f>""</f>
        <v/>
      </c>
      <c r="CP669" t="str">
        <f>"47-2061.00"</f>
        <v>47-2061.00</v>
      </c>
      <c r="CQ669" t="s">
        <v>393</v>
      </c>
      <c r="CS669" t="s">
        <v>135</v>
      </c>
      <c r="CT669" t="s">
        <v>14530</v>
      </c>
      <c r="CU669" t="s">
        <v>14527</v>
      </c>
      <c r="CW669" t="s">
        <v>885</v>
      </c>
      <c r="CX669" t="s">
        <v>400</v>
      </c>
      <c r="CZ669" s="3" t="str">
        <f>"77038"</f>
        <v>77038</v>
      </c>
      <c r="DA669" t="s">
        <v>135</v>
      </c>
      <c r="DB669" t="str">
        <f>"47-2051"</f>
        <v>47-2051</v>
      </c>
      <c r="DC669" t="s">
        <v>5057</v>
      </c>
      <c r="DD669" t="s">
        <v>134</v>
      </c>
      <c r="DE669" t="s">
        <v>134</v>
      </c>
      <c r="DF669" t="str">
        <f>""</f>
        <v/>
      </c>
      <c r="DH669" s="6">
        <v>18.190000000000001</v>
      </c>
      <c r="DI669" t="s">
        <v>344</v>
      </c>
      <c r="DK669" t="s">
        <v>345</v>
      </c>
      <c r="DS669" s="6">
        <v>18.190000000000001</v>
      </c>
      <c r="DT669" s="2" t="s">
        <v>347</v>
      </c>
      <c r="DU669" s="1">
        <v>44364</v>
      </c>
      <c r="DV669" s="1">
        <v>44453</v>
      </c>
    </row>
    <row r="670" spans="1:126" ht="15" customHeight="1" x14ac:dyDescent="0.35">
      <c r="A670" t="s">
        <v>12614</v>
      </c>
      <c r="B670" t="s">
        <v>318</v>
      </c>
      <c r="C670" s="1">
        <v>44337</v>
      </c>
      <c r="D670" s="1">
        <v>44364</v>
      </c>
      <c r="H670" t="s">
        <v>319</v>
      </c>
      <c r="I670" t="s">
        <v>12615</v>
      </c>
      <c r="J670" t="s">
        <v>6686</v>
      </c>
      <c r="L670" t="s">
        <v>1031</v>
      </c>
      <c r="M670" t="s">
        <v>12616</v>
      </c>
      <c r="O670" t="s">
        <v>12617</v>
      </c>
      <c r="P670" t="s">
        <v>127</v>
      </c>
      <c r="Q670" s="3">
        <v>10994</v>
      </c>
      <c r="R670" t="s">
        <v>128</v>
      </c>
      <c r="T670" s="4">
        <v>18456272491</v>
      </c>
      <c r="V670" t="s">
        <v>1021</v>
      </c>
      <c r="W670" t="s">
        <v>12618</v>
      </c>
      <c r="Y670" t="s">
        <v>12616</v>
      </c>
      <c r="AA670" t="s">
        <v>12617</v>
      </c>
      <c r="AB670" t="s">
        <v>129</v>
      </c>
      <c r="AC670" s="3" t="str">
        <f>"10994"</f>
        <v>10994</v>
      </c>
      <c r="AD670" t="s">
        <v>128</v>
      </c>
      <c r="AF670" s="4">
        <v>18456272491</v>
      </c>
      <c r="AH670" t="str">
        <f>"56173"</f>
        <v>56173</v>
      </c>
      <c r="AI670" t="s">
        <v>287</v>
      </c>
      <c r="AJ670" t="s">
        <v>1024</v>
      </c>
      <c r="AK670" t="s">
        <v>1025</v>
      </c>
      <c r="AM670" t="s">
        <v>1026</v>
      </c>
      <c r="AO670" t="s">
        <v>1027</v>
      </c>
      <c r="AP670" t="s">
        <v>129</v>
      </c>
      <c r="AQ670" s="5">
        <v>11590</v>
      </c>
      <c r="AR670" t="s">
        <v>128</v>
      </c>
      <c r="AT670" s="4">
        <v>15163307168</v>
      </c>
      <c r="AV670" t="s">
        <v>1021</v>
      </c>
      <c r="AW670" t="s">
        <v>1028</v>
      </c>
      <c r="AX670" t="s">
        <v>131</v>
      </c>
      <c r="AY670" t="s">
        <v>131</v>
      </c>
      <c r="AZ670" t="s">
        <v>131</v>
      </c>
      <c r="BA670" t="s">
        <v>131</v>
      </c>
      <c r="BB670" t="s">
        <v>131</v>
      </c>
      <c r="BC670" t="s">
        <v>131</v>
      </c>
      <c r="BD670" t="s">
        <v>131</v>
      </c>
      <c r="BE670" t="s">
        <v>132</v>
      </c>
      <c r="BH670" t="s">
        <v>5067</v>
      </c>
      <c r="BI670" t="s">
        <v>131</v>
      </c>
      <c r="BL670" t="s">
        <v>167</v>
      </c>
      <c r="BO670" t="s">
        <v>131</v>
      </c>
      <c r="BP670" t="s">
        <v>134</v>
      </c>
      <c r="BQ670" t="s">
        <v>131</v>
      </c>
      <c r="BS670" t="str">
        <f t="shared" si="48"/>
        <v>N/A</v>
      </c>
      <c r="BT670" t="s">
        <v>131</v>
      </c>
      <c r="BV670" t="str">
        <f>""</f>
        <v/>
      </c>
      <c r="BW670" t="s">
        <v>131</v>
      </c>
      <c r="BX670" t="str">
        <f>""</f>
        <v/>
      </c>
      <c r="BY670" t="str">
        <f>""</f>
        <v/>
      </c>
      <c r="BZ670" t="str">
        <f>""</f>
        <v/>
      </c>
      <c r="CA670" t="str">
        <f>""</f>
        <v/>
      </c>
      <c r="CB670" t="s">
        <v>131</v>
      </c>
      <c r="CF670" t="s">
        <v>131</v>
      </c>
      <c r="CH670" t="str">
        <f>""</f>
        <v/>
      </c>
      <c r="CI670" t="s">
        <v>131</v>
      </c>
      <c r="CK670" t="s">
        <v>131</v>
      </c>
      <c r="CL670" t="str">
        <f>""</f>
        <v/>
      </c>
      <c r="CM670" t="str">
        <f>""</f>
        <v/>
      </c>
      <c r="CN670" t="str">
        <f>""</f>
        <v/>
      </c>
      <c r="CO670" t="str">
        <f>""</f>
        <v/>
      </c>
      <c r="CP670" t="str">
        <f>"37-3011.00"</f>
        <v>37-3011.00</v>
      </c>
      <c r="CQ670" t="s">
        <v>920</v>
      </c>
      <c r="CR670" t="s">
        <v>5068</v>
      </c>
      <c r="CS670" t="s">
        <v>135</v>
      </c>
      <c r="CT670" t="s">
        <v>12619</v>
      </c>
      <c r="CU670" t="s">
        <v>12616</v>
      </c>
      <c r="CW670" t="s">
        <v>12617</v>
      </c>
      <c r="CX670" t="s">
        <v>129</v>
      </c>
      <c r="CZ670" s="3" t="str">
        <f>"10994"</f>
        <v>10994</v>
      </c>
      <c r="DA670" t="s">
        <v>135</v>
      </c>
      <c r="DB670" t="str">
        <f>"37-3011"</f>
        <v>37-3011</v>
      </c>
      <c r="DC670" t="s">
        <v>920</v>
      </c>
      <c r="DD670" t="s">
        <v>134</v>
      </c>
      <c r="DE670" t="s">
        <v>134</v>
      </c>
      <c r="DF670" t="str">
        <f>""</f>
        <v/>
      </c>
      <c r="DH670" s="6">
        <v>17.75</v>
      </c>
      <c r="DI670" t="s">
        <v>344</v>
      </c>
      <c r="DK670" t="s">
        <v>345</v>
      </c>
      <c r="DR670" t="s">
        <v>346</v>
      </c>
      <c r="DS670" s="6">
        <v>17.75</v>
      </c>
      <c r="DT670" s="2" t="s">
        <v>347</v>
      </c>
      <c r="DU670" s="1">
        <v>44364</v>
      </c>
      <c r="DV670" s="1">
        <v>44453</v>
      </c>
    </row>
    <row r="671" spans="1:126" ht="15" customHeight="1" x14ac:dyDescent="0.35">
      <c r="A671" t="s">
        <v>12293</v>
      </c>
      <c r="B671" t="s">
        <v>318</v>
      </c>
      <c r="C671" s="1">
        <v>44337</v>
      </c>
      <c r="D671" s="1">
        <v>44364</v>
      </c>
      <c r="H671" t="s">
        <v>319</v>
      </c>
      <c r="I671" t="s">
        <v>12294</v>
      </c>
      <c r="J671" t="s">
        <v>9242</v>
      </c>
      <c r="L671" t="s">
        <v>1105</v>
      </c>
      <c r="M671" t="s">
        <v>12295</v>
      </c>
      <c r="O671" t="s">
        <v>1040</v>
      </c>
      <c r="P671" t="s">
        <v>412</v>
      </c>
      <c r="Q671" s="3">
        <v>78717</v>
      </c>
      <c r="R671" t="s">
        <v>128</v>
      </c>
      <c r="T671" s="4">
        <v>15127971640</v>
      </c>
      <c r="V671" t="s">
        <v>12296</v>
      </c>
      <c r="W671" t="s">
        <v>12297</v>
      </c>
      <c r="Y671" t="s">
        <v>12295</v>
      </c>
      <c r="AA671" t="s">
        <v>1040</v>
      </c>
      <c r="AB671" t="s">
        <v>400</v>
      </c>
      <c r="AC671" s="3" t="str">
        <f>"78717"</f>
        <v>78717</v>
      </c>
      <c r="AD671" t="s">
        <v>128</v>
      </c>
      <c r="AF671" s="4">
        <v>15127971640</v>
      </c>
      <c r="AH671" t="str">
        <f>"56173"</f>
        <v>56173</v>
      </c>
      <c r="AI671" t="s">
        <v>130</v>
      </c>
      <c r="AJ671" t="s">
        <v>4018</v>
      </c>
      <c r="AK671" t="s">
        <v>2069</v>
      </c>
      <c r="AM671" t="s">
        <v>4019</v>
      </c>
      <c r="AO671" t="s">
        <v>1040</v>
      </c>
      <c r="AP671" t="s">
        <v>400</v>
      </c>
      <c r="AQ671" s="5">
        <v>78737</v>
      </c>
      <c r="AR671" t="s">
        <v>128</v>
      </c>
      <c r="AT671" s="4">
        <v>15128942128</v>
      </c>
      <c r="AV671" t="s">
        <v>4020</v>
      </c>
      <c r="AW671" t="s">
        <v>4021</v>
      </c>
      <c r="AX671" t="s">
        <v>131</v>
      </c>
      <c r="AY671" t="s">
        <v>131</v>
      </c>
      <c r="AZ671" t="s">
        <v>131</v>
      </c>
      <c r="BA671" t="s">
        <v>131</v>
      </c>
      <c r="BB671" t="s">
        <v>131</v>
      </c>
      <c r="BC671" t="s">
        <v>131</v>
      </c>
      <c r="BD671" t="s">
        <v>131</v>
      </c>
      <c r="BE671" t="s">
        <v>132</v>
      </c>
      <c r="BH671" t="s">
        <v>4509</v>
      </c>
      <c r="BI671" t="s">
        <v>131</v>
      </c>
      <c r="BL671" t="s">
        <v>167</v>
      </c>
      <c r="BO671" t="s">
        <v>131</v>
      </c>
      <c r="BP671" t="s">
        <v>134</v>
      </c>
      <c r="BQ671" t="s">
        <v>131</v>
      </c>
      <c r="BS671" t="str">
        <f t="shared" si="48"/>
        <v>N/A</v>
      </c>
      <c r="BT671" t="s">
        <v>135</v>
      </c>
      <c r="BU671">
        <v>3</v>
      </c>
      <c r="BV671" t="str">
        <f>"See F.b.5.a."</f>
        <v>See F.b.5.a.</v>
      </c>
      <c r="BW671" t="s">
        <v>135</v>
      </c>
      <c r="BX671" t="str">
        <f>""</f>
        <v/>
      </c>
      <c r="BY671" t="str">
        <f>""</f>
        <v/>
      </c>
      <c r="BZ671" t="str">
        <f>""</f>
        <v/>
      </c>
      <c r="CA671" t="str">
        <f>"Must have 3 months experience and be able to lift up to 60lbs. Employer provides transportation to and from all worksites at no cost."</f>
        <v>Must have 3 months experience and be able to lift up to 60lbs. Employer provides transportation to and from all worksites at no cost.</v>
      </c>
      <c r="CB671" t="s">
        <v>131</v>
      </c>
      <c r="CF671" t="s">
        <v>131</v>
      </c>
      <c r="CH671" t="str">
        <f>""</f>
        <v/>
      </c>
      <c r="CI671" t="s">
        <v>131</v>
      </c>
      <c r="CK671" t="s">
        <v>131</v>
      </c>
      <c r="CL671" t="str">
        <f>""</f>
        <v/>
      </c>
      <c r="CM671" t="str">
        <f>""</f>
        <v/>
      </c>
      <c r="CN671" t="str">
        <f>""</f>
        <v/>
      </c>
      <c r="CO671" t="str">
        <f>""</f>
        <v/>
      </c>
      <c r="CP671" t="str">
        <f>"37-3011.00"</f>
        <v>37-3011.00</v>
      </c>
      <c r="CQ671" t="s">
        <v>920</v>
      </c>
      <c r="CS671" t="s">
        <v>135</v>
      </c>
      <c r="CT671" s="2" t="s">
        <v>12298</v>
      </c>
      <c r="CU671" t="s">
        <v>12295</v>
      </c>
      <c r="CW671" t="s">
        <v>1040</v>
      </c>
      <c r="CX671" t="s">
        <v>400</v>
      </c>
      <c r="CZ671" s="3" t="str">
        <f>"78717"</f>
        <v>78717</v>
      </c>
      <c r="DA671" t="s">
        <v>135</v>
      </c>
      <c r="DB671" t="str">
        <f>"37-3011"</f>
        <v>37-3011</v>
      </c>
      <c r="DC671" t="s">
        <v>920</v>
      </c>
      <c r="DD671" t="s">
        <v>134</v>
      </c>
      <c r="DE671" t="s">
        <v>134</v>
      </c>
      <c r="DF671" t="str">
        <f>""</f>
        <v/>
      </c>
      <c r="DH671" s="6">
        <v>14.63</v>
      </c>
      <c r="DI671" t="s">
        <v>344</v>
      </c>
      <c r="DK671" t="s">
        <v>345</v>
      </c>
      <c r="DS671" s="6">
        <v>14.63</v>
      </c>
      <c r="DT671" s="2" t="s">
        <v>347</v>
      </c>
      <c r="DU671" s="1">
        <v>44364</v>
      </c>
      <c r="DV671" s="1">
        <v>44453</v>
      </c>
    </row>
    <row r="672" spans="1:126" ht="15" customHeight="1" x14ac:dyDescent="0.35">
      <c r="A672" t="s">
        <v>17318</v>
      </c>
      <c r="B672" t="s">
        <v>318</v>
      </c>
      <c r="C672" s="1">
        <v>44337</v>
      </c>
      <c r="D672" s="1">
        <v>44364</v>
      </c>
      <c r="H672" t="s">
        <v>319</v>
      </c>
      <c r="I672" t="s">
        <v>5398</v>
      </c>
      <c r="J672" t="s">
        <v>13665</v>
      </c>
      <c r="L672" t="s">
        <v>1031</v>
      </c>
      <c r="M672" t="s">
        <v>13666</v>
      </c>
      <c r="O672" t="s">
        <v>5674</v>
      </c>
      <c r="P672" t="s">
        <v>194</v>
      </c>
      <c r="Q672" s="3">
        <v>34102</v>
      </c>
      <c r="R672" t="s">
        <v>128</v>
      </c>
      <c r="T672" s="4">
        <v>12393602000</v>
      </c>
      <c r="V672" t="s">
        <v>1021</v>
      </c>
      <c r="W672" t="s">
        <v>13667</v>
      </c>
      <c r="X672" t="s">
        <v>13792</v>
      </c>
      <c r="Y672" t="s">
        <v>13666</v>
      </c>
      <c r="AA672" t="s">
        <v>5674</v>
      </c>
      <c r="AB672" t="s">
        <v>195</v>
      </c>
      <c r="AC672" s="3" t="str">
        <f>"34102"</f>
        <v>34102</v>
      </c>
      <c r="AD672" t="s">
        <v>128</v>
      </c>
      <c r="AF672" s="4">
        <v>12393602000</v>
      </c>
      <c r="AH672" t="str">
        <f>"722513"</f>
        <v>722513</v>
      </c>
      <c r="AI672" t="s">
        <v>287</v>
      </c>
      <c r="AJ672" t="s">
        <v>1024</v>
      </c>
      <c r="AK672" t="s">
        <v>1025</v>
      </c>
      <c r="AM672" t="s">
        <v>1026</v>
      </c>
      <c r="AO672" t="s">
        <v>1027</v>
      </c>
      <c r="AP672" t="s">
        <v>129</v>
      </c>
      <c r="AQ672" s="5">
        <v>11590</v>
      </c>
      <c r="AR672" t="s">
        <v>128</v>
      </c>
      <c r="AT672" s="4">
        <v>15163307168</v>
      </c>
      <c r="AV672" t="s">
        <v>1021</v>
      </c>
      <c r="AW672" t="s">
        <v>1028</v>
      </c>
      <c r="AX672" t="s">
        <v>131</v>
      </c>
      <c r="AY672" t="s">
        <v>131</v>
      </c>
      <c r="AZ672" t="s">
        <v>131</v>
      </c>
      <c r="BA672" t="s">
        <v>131</v>
      </c>
      <c r="BB672" t="s">
        <v>131</v>
      </c>
      <c r="BC672" t="s">
        <v>131</v>
      </c>
      <c r="BD672" t="s">
        <v>131</v>
      </c>
      <c r="BE672" t="s">
        <v>132</v>
      </c>
      <c r="BH672" t="s">
        <v>17319</v>
      </c>
      <c r="BI672" t="s">
        <v>131</v>
      </c>
      <c r="BL672" t="s">
        <v>167</v>
      </c>
      <c r="BO672" t="s">
        <v>131</v>
      </c>
      <c r="BP672" t="s">
        <v>134</v>
      </c>
      <c r="BQ672" t="s">
        <v>131</v>
      </c>
      <c r="BS672" t="str">
        <f t="shared" si="48"/>
        <v>N/A</v>
      </c>
      <c r="BT672" t="s">
        <v>131</v>
      </c>
      <c r="BV672" t="str">
        <f>""</f>
        <v/>
      </c>
      <c r="BW672" t="s">
        <v>131</v>
      </c>
      <c r="BX672" t="str">
        <f>""</f>
        <v/>
      </c>
      <c r="BY672" t="str">
        <f>""</f>
        <v/>
      </c>
      <c r="BZ672" t="str">
        <f>""</f>
        <v/>
      </c>
      <c r="CA672" t="str">
        <f>""</f>
        <v/>
      </c>
      <c r="CB672" t="s">
        <v>131</v>
      </c>
      <c r="CF672" t="s">
        <v>131</v>
      </c>
      <c r="CH672" t="str">
        <f>""</f>
        <v/>
      </c>
      <c r="CI672" t="s">
        <v>131</v>
      </c>
      <c r="CK672" t="s">
        <v>131</v>
      </c>
      <c r="CL672" t="str">
        <f>""</f>
        <v/>
      </c>
      <c r="CM672" t="str">
        <f>""</f>
        <v/>
      </c>
      <c r="CN672" t="str">
        <f>""</f>
        <v/>
      </c>
      <c r="CO672" t="str">
        <f>""</f>
        <v/>
      </c>
      <c r="CP672" t="str">
        <f>"35-9031.00"</f>
        <v>35-9031.00</v>
      </c>
      <c r="CQ672" t="s">
        <v>5231</v>
      </c>
      <c r="CR672" t="s">
        <v>392</v>
      </c>
      <c r="CS672" t="s">
        <v>131</v>
      </c>
      <c r="CU672" t="s">
        <v>13668</v>
      </c>
      <c r="CW672" t="s">
        <v>5674</v>
      </c>
      <c r="CX672" t="s">
        <v>195</v>
      </c>
      <c r="CZ672" s="3" t="str">
        <f>"34102"</f>
        <v>34102</v>
      </c>
      <c r="DA672" t="s">
        <v>131</v>
      </c>
      <c r="DB672" t="str">
        <f>"35-9031"</f>
        <v>35-9031</v>
      </c>
      <c r="DC672" t="s">
        <v>5231</v>
      </c>
      <c r="DD672" t="s">
        <v>134</v>
      </c>
      <c r="DE672" t="s">
        <v>134</v>
      </c>
      <c r="DF672" t="str">
        <f>""</f>
        <v/>
      </c>
      <c r="DH672" s="6">
        <v>11.72</v>
      </c>
      <c r="DI672" t="s">
        <v>344</v>
      </c>
      <c r="DK672" t="s">
        <v>345</v>
      </c>
      <c r="DR672" t="s">
        <v>5543</v>
      </c>
      <c r="DS672" s="6">
        <v>11.72</v>
      </c>
      <c r="DT672" t="s">
        <v>424</v>
      </c>
      <c r="DU672" s="1">
        <v>44364</v>
      </c>
      <c r="DV672" s="1">
        <v>44453</v>
      </c>
    </row>
    <row r="673" spans="1:126" ht="15" customHeight="1" x14ac:dyDescent="0.35">
      <c r="A673" t="s">
        <v>13099</v>
      </c>
      <c r="B673" t="s">
        <v>318</v>
      </c>
      <c r="C673" s="1">
        <v>44337</v>
      </c>
      <c r="D673" s="1">
        <v>44364</v>
      </c>
      <c r="H673" t="s">
        <v>319</v>
      </c>
      <c r="I673" t="s">
        <v>12956</v>
      </c>
      <c r="J673" t="s">
        <v>3539</v>
      </c>
      <c r="K673" t="s">
        <v>415</v>
      </c>
      <c r="L673" t="s">
        <v>1105</v>
      </c>
      <c r="M673" t="s">
        <v>12957</v>
      </c>
      <c r="O673" t="s">
        <v>12958</v>
      </c>
      <c r="P673" t="s">
        <v>3898</v>
      </c>
      <c r="Q673" s="3">
        <v>41144</v>
      </c>
      <c r="R673" t="s">
        <v>128</v>
      </c>
      <c r="T673" s="4">
        <v>16064730001</v>
      </c>
      <c r="V673" t="s">
        <v>134</v>
      </c>
      <c r="W673" t="s">
        <v>12959</v>
      </c>
      <c r="Y673" t="s">
        <v>12957</v>
      </c>
      <c r="AA673" t="s">
        <v>12958</v>
      </c>
      <c r="AB673" t="s">
        <v>2436</v>
      </c>
      <c r="AC673" s="3" t="str">
        <f>"41144"</f>
        <v>41144</v>
      </c>
      <c r="AD673" t="s">
        <v>128</v>
      </c>
      <c r="AF673" s="4">
        <v>16064730001</v>
      </c>
      <c r="AH673" t="str">
        <f>"56173"</f>
        <v>56173</v>
      </c>
      <c r="AI673" t="s">
        <v>287</v>
      </c>
      <c r="AJ673" t="s">
        <v>2917</v>
      </c>
      <c r="AK673" t="s">
        <v>2918</v>
      </c>
      <c r="AM673" t="s">
        <v>3772</v>
      </c>
      <c r="AO673" t="s">
        <v>3773</v>
      </c>
      <c r="AP673" t="s">
        <v>306</v>
      </c>
      <c r="AQ673" s="5">
        <v>22903</v>
      </c>
      <c r="AR673" t="s">
        <v>128</v>
      </c>
      <c r="AT673" s="4">
        <v>14342634300</v>
      </c>
      <c r="AV673" t="s">
        <v>9074</v>
      </c>
      <c r="AW673" t="s">
        <v>2923</v>
      </c>
      <c r="AX673" t="s">
        <v>131</v>
      </c>
      <c r="AY673" t="s">
        <v>131</v>
      </c>
      <c r="AZ673" t="s">
        <v>131</v>
      </c>
      <c r="BA673" t="s">
        <v>131</v>
      </c>
      <c r="BB673" t="s">
        <v>131</v>
      </c>
      <c r="BC673" t="s">
        <v>131</v>
      </c>
      <c r="BD673" t="s">
        <v>131</v>
      </c>
      <c r="BE673" t="s">
        <v>132</v>
      </c>
      <c r="BH673" t="s">
        <v>2685</v>
      </c>
      <c r="BI673" t="s">
        <v>131</v>
      </c>
      <c r="BL673" t="s">
        <v>167</v>
      </c>
      <c r="BO673" t="s">
        <v>131</v>
      </c>
      <c r="BP673" t="s">
        <v>134</v>
      </c>
      <c r="BQ673" t="s">
        <v>131</v>
      </c>
      <c r="BS673" t="str">
        <f t="shared" si="48"/>
        <v>N/A</v>
      </c>
      <c r="BT673" t="s">
        <v>131</v>
      </c>
      <c r="BV673" t="str">
        <f>""</f>
        <v/>
      </c>
      <c r="BW673" t="s">
        <v>135</v>
      </c>
      <c r="BX673" t="str">
        <f>""</f>
        <v/>
      </c>
      <c r="BY673" t="str">
        <f>""</f>
        <v/>
      </c>
      <c r="BZ673" t="str">
        <f>""</f>
        <v/>
      </c>
      <c r="CA673" t="str">
        <f>"Must lift/carry 50 lbs., when necessary.  Saturday work required, when necessary.  Post-hire random, post-accident and upon suspicion of use drug testing required of foreign and domestic workers."</f>
        <v>Must lift/carry 50 lbs., when necessary.  Saturday work required, when necessary.  Post-hire random, post-accident and upon suspicion of use drug testing required of foreign and domestic workers.</v>
      </c>
      <c r="CB673" t="s">
        <v>131</v>
      </c>
      <c r="CF673" t="s">
        <v>131</v>
      </c>
      <c r="CH673" t="str">
        <f>""</f>
        <v/>
      </c>
      <c r="CI673" t="s">
        <v>131</v>
      </c>
      <c r="CK673" t="s">
        <v>131</v>
      </c>
      <c r="CL673" t="str">
        <f>""</f>
        <v/>
      </c>
      <c r="CM673" t="str">
        <f>""</f>
        <v/>
      </c>
      <c r="CN673" t="str">
        <f>""</f>
        <v/>
      </c>
      <c r="CO673" t="str">
        <f>""</f>
        <v/>
      </c>
      <c r="CP673" t="str">
        <f>"51-9198.00"</f>
        <v>51-9198.00</v>
      </c>
      <c r="CQ673" t="s">
        <v>2685</v>
      </c>
      <c r="CR673" t="s">
        <v>2924</v>
      </c>
      <c r="CS673" t="s">
        <v>135</v>
      </c>
      <c r="CT673" t="s">
        <v>2925</v>
      </c>
      <c r="CU673" t="s">
        <v>12957</v>
      </c>
      <c r="CW673" t="s">
        <v>12958</v>
      </c>
      <c r="CX673" t="s">
        <v>2436</v>
      </c>
      <c r="CZ673" s="3" t="str">
        <f>"41144"</f>
        <v>41144</v>
      </c>
      <c r="DA673" t="s">
        <v>135</v>
      </c>
      <c r="DB673" t="str">
        <f>"53-7062"</f>
        <v>53-7062</v>
      </c>
      <c r="DC673" t="s">
        <v>1030</v>
      </c>
      <c r="DD673" t="s">
        <v>134</v>
      </c>
      <c r="DE673" t="s">
        <v>134</v>
      </c>
      <c r="DF673" t="str">
        <f>""</f>
        <v/>
      </c>
      <c r="DH673" s="6">
        <v>16.28</v>
      </c>
      <c r="DI673" t="s">
        <v>344</v>
      </c>
      <c r="DK673" t="s">
        <v>345</v>
      </c>
      <c r="DS673" s="6">
        <v>16.28</v>
      </c>
      <c r="DT673" t="s">
        <v>424</v>
      </c>
      <c r="DU673" s="1">
        <v>44364</v>
      </c>
      <c r="DV673" s="1">
        <v>44453</v>
      </c>
    </row>
    <row r="674" spans="1:126" ht="15" customHeight="1" x14ac:dyDescent="0.35">
      <c r="A674" t="s">
        <v>14549</v>
      </c>
      <c r="B674" t="s">
        <v>318</v>
      </c>
      <c r="C674" s="1">
        <v>44337</v>
      </c>
      <c r="D674" s="1">
        <v>44364</v>
      </c>
      <c r="H674" t="s">
        <v>319</v>
      </c>
      <c r="I674" t="s">
        <v>5792</v>
      </c>
      <c r="J674" t="s">
        <v>14550</v>
      </c>
      <c r="L674" t="s">
        <v>9084</v>
      </c>
      <c r="M674" t="s">
        <v>14551</v>
      </c>
      <c r="O674" t="s">
        <v>14552</v>
      </c>
      <c r="P674" t="s">
        <v>593</v>
      </c>
      <c r="Q674" s="3">
        <v>27253</v>
      </c>
      <c r="R674" t="s">
        <v>128</v>
      </c>
      <c r="T674" s="4">
        <v>13363760787</v>
      </c>
      <c r="V674" t="s">
        <v>14553</v>
      </c>
      <c r="W674" t="s">
        <v>14554</v>
      </c>
      <c r="Y674" t="s">
        <v>14555</v>
      </c>
      <c r="AA674" t="s">
        <v>14552</v>
      </c>
      <c r="AB674" t="s">
        <v>594</v>
      </c>
      <c r="AC674" s="3" t="str">
        <f>"27253"</f>
        <v>27253</v>
      </c>
      <c r="AD674" t="s">
        <v>128</v>
      </c>
      <c r="AF674" s="4">
        <v>13363760787</v>
      </c>
      <c r="AH674" t="str">
        <f>"3273"</f>
        <v>3273</v>
      </c>
      <c r="AI674" t="s">
        <v>167</v>
      </c>
      <c r="AX674" t="s">
        <v>131</v>
      </c>
      <c r="AY674" t="s">
        <v>131</v>
      </c>
      <c r="AZ674" t="s">
        <v>131</v>
      </c>
      <c r="BA674" t="s">
        <v>131</v>
      </c>
      <c r="BB674" t="s">
        <v>131</v>
      </c>
      <c r="BC674" t="s">
        <v>131</v>
      </c>
      <c r="BD674" t="s">
        <v>131</v>
      </c>
      <c r="BE674" t="s">
        <v>132</v>
      </c>
      <c r="BH674" t="s">
        <v>14556</v>
      </c>
      <c r="BI674" t="s">
        <v>131</v>
      </c>
      <c r="BL674" t="s">
        <v>167</v>
      </c>
      <c r="BO674" t="s">
        <v>131</v>
      </c>
      <c r="BP674" t="s">
        <v>134</v>
      </c>
      <c r="BQ674" t="s">
        <v>131</v>
      </c>
      <c r="BS674" t="str">
        <f t="shared" si="48"/>
        <v>N/A</v>
      </c>
      <c r="BT674" t="s">
        <v>131</v>
      </c>
      <c r="BV674" t="str">
        <f>""</f>
        <v/>
      </c>
      <c r="BW674" t="s">
        <v>131</v>
      </c>
      <c r="BX674" t="str">
        <f>""</f>
        <v/>
      </c>
      <c r="BY674" t="str">
        <f>""</f>
        <v/>
      </c>
      <c r="BZ674" t="str">
        <f>""</f>
        <v/>
      </c>
      <c r="CA674" t="str">
        <f>""</f>
        <v/>
      </c>
      <c r="CB674" t="s">
        <v>131</v>
      </c>
      <c r="CF674" t="s">
        <v>131</v>
      </c>
      <c r="CH674" t="str">
        <f>""</f>
        <v/>
      </c>
      <c r="CI674" t="s">
        <v>131</v>
      </c>
      <c r="CK674" t="s">
        <v>131</v>
      </c>
      <c r="CL674" t="str">
        <f>""</f>
        <v/>
      </c>
      <c r="CM674" t="str">
        <f>""</f>
        <v/>
      </c>
      <c r="CN674" t="str">
        <f>""</f>
        <v/>
      </c>
      <c r="CO674" t="str">
        <f>""</f>
        <v/>
      </c>
      <c r="CP674" t="str">
        <f>"47-2051.00"</f>
        <v>47-2051.00</v>
      </c>
      <c r="CQ674" t="s">
        <v>5057</v>
      </c>
      <c r="CR674" t="s">
        <v>392</v>
      </c>
      <c r="CS674" t="s">
        <v>135</v>
      </c>
      <c r="CT674" t="s">
        <v>14557</v>
      </c>
      <c r="CU674" t="s">
        <v>14551</v>
      </c>
      <c r="CW674" t="s">
        <v>14552</v>
      </c>
      <c r="CX674" t="s">
        <v>594</v>
      </c>
      <c r="CZ674" s="3" t="str">
        <f>"27253"</f>
        <v>27253</v>
      </c>
      <c r="DA674" t="s">
        <v>135</v>
      </c>
      <c r="DB674" t="str">
        <f>"47-2061"</f>
        <v>47-2061</v>
      </c>
      <c r="DC674" t="s">
        <v>393</v>
      </c>
      <c r="DD674" t="s">
        <v>134</v>
      </c>
      <c r="DE674" t="s">
        <v>134</v>
      </c>
      <c r="DF674" t="str">
        <f>""</f>
        <v/>
      </c>
      <c r="DH674" s="6">
        <v>15.87</v>
      </c>
      <c r="DI674" t="s">
        <v>344</v>
      </c>
      <c r="DK674" t="s">
        <v>345</v>
      </c>
      <c r="DR674" t="s">
        <v>14558</v>
      </c>
      <c r="DS674" s="6">
        <v>15.87</v>
      </c>
      <c r="DT674" s="2" t="s">
        <v>347</v>
      </c>
      <c r="DU674" s="1">
        <v>44364</v>
      </c>
      <c r="DV674" s="1">
        <v>44453</v>
      </c>
    </row>
    <row r="675" spans="1:126" ht="15" customHeight="1" x14ac:dyDescent="0.35">
      <c r="A675" t="s">
        <v>18366</v>
      </c>
      <c r="B675" t="s">
        <v>318</v>
      </c>
      <c r="C675" s="1">
        <v>44337</v>
      </c>
      <c r="D675" s="1">
        <v>44368</v>
      </c>
      <c r="H675" t="s">
        <v>319</v>
      </c>
      <c r="I675" t="s">
        <v>18367</v>
      </c>
      <c r="J675" t="s">
        <v>618</v>
      </c>
      <c r="L675" t="s">
        <v>1105</v>
      </c>
      <c r="M675" t="s">
        <v>18368</v>
      </c>
      <c r="O675" t="s">
        <v>6466</v>
      </c>
      <c r="P675" t="s">
        <v>507</v>
      </c>
      <c r="Q675" s="3">
        <v>48174</v>
      </c>
      <c r="R675" t="s">
        <v>128</v>
      </c>
      <c r="T675" s="4">
        <v>17343412206</v>
      </c>
      <c r="V675" t="s">
        <v>18369</v>
      </c>
      <c r="W675" t="s">
        <v>18370</v>
      </c>
      <c r="X675" t="s">
        <v>18370</v>
      </c>
      <c r="Y675" t="s">
        <v>18368</v>
      </c>
      <c r="AA675" t="s">
        <v>6466</v>
      </c>
      <c r="AB675" t="s">
        <v>511</v>
      </c>
      <c r="AC675" s="3" t="str">
        <f>"48174"</f>
        <v>48174</v>
      </c>
      <c r="AD675" t="s">
        <v>128</v>
      </c>
      <c r="AF675" s="4">
        <v>17349923357</v>
      </c>
      <c r="AH675" t="str">
        <f>"321214"</f>
        <v>321214</v>
      </c>
      <c r="AI675" t="s">
        <v>167</v>
      </c>
      <c r="AX675" t="s">
        <v>131</v>
      </c>
      <c r="AY675" t="s">
        <v>131</v>
      </c>
      <c r="AZ675" t="s">
        <v>131</v>
      </c>
      <c r="BA675" t="s">
        <v>131</v>
      </c>
      <c r="BB675" t="s">
        <v>131</v>
      </c>
      <c r="BC675" t="s">
        <v>131</v>
      </c>
      <c r="BD675" t="s">
        <v>131</v>
      </c>
      <c r="BE675" t="s">
        <v>132</v>
      </c>
      <c r="BH675" t="s">
        <v>18371</v>
      </c>
      <c r="BI675" t="s">
        <v>131</v>
      </c>
      <c r="BL675" t="s">
        <v>401</v>
      </c>
      <c r="BO675" t="s">
        <v>131</v>
      </c>
      <c r="BP675" t="s">
        <v>134</v>
      </c>
      <c r="BQ675" t="s">
        <v>131</v>
      </c>
      <c r="BS675" t="str">
        <f t="shared" si="48"/>
        <v>N/A</v>
      </c>
      <c r="BT675" t="s">
        <v>131</v>
      </c>
      <c r="BV675" t="str">
        <f>""</f>
        <v/>
      </c>
      <c r="BW675" t="s">
        <v>131</v>
      </c>
      <c r="BX675" t="str">
        <f>""</f>
        <v/>
      </c>
      <c r="BY675" t="str">
        <f>""</f>
        <v/>
      </c>
      <c r="BZ675" t="str">
        <f>""</f>
        <v/>
      </c>
      <c r="CA675" t="str">
        <f>""</f>
        <v/>
      </c>
      <c r="CB675" t="s">
        <v>131</v>
      </c>
      <c r="CF675" t="s">
        <v>131</v>
      </c>
      <c r="CH675" t="str">
        <f>""</f>
        <v/>
      </c>
      <c r="CI675" t="s">
        <v>131</v>
      </c>
      <c r="CK675" t="s">
        <v>131</v>
      </c>
      <c r="CL675" t="str">
        <f>""</f>
        <v/>
      </c>
      <c r="CM675" t="str">
        <f>""</f>
        <v/>
      </c>
      <c r="CN675" t="str">
        <f>""</f>
        <v/>
      </c>
      <c r="CO675" t="str">
        <f>""</f>
        <v/>
      </c>
      <c r="CP675" t="str">
        <f>"51-7042.00"</f>
        <v>51-7042.00</v>
      </c>
      <c r="CQ675" t="s">
        <v>8192</v>
      </c>
      <c r="CR675" t="s">
        <v>18372</v>
      </c>
      <c r="CS675" t="s">
        <v>131</v>
      </c>
      <c r="CU675" t="s">
        <v>18368</v>
      </c>
      <c r="CW675" t="s">
        <v>6466</v>
      </c>
      <c r="CX675" t="s">
        <v>511</v>
      </c>
      <c r="CZ675" s="3" t="str">
        <f>"48174"</f>
        <v>48174</v>
      </c>
      <c r="DA675" t="s">
        <v>131</v>
      </c>
      <c r="DB675" t="str">
        <f>"51-7042"</f>
        <v>51-7042</v>
      </c>
      <c r="DC675" t="s">
        <v>8192</v>
      </c>
      <c r="DD675" t="s">
        <v>134</v>
      </c>
      <c r="DE675" t="s">
        <v>134</v>
      </c>
      <c r="DF675" t="str">
        <f>""</f>
        <v/>
      </c>
      <c r="DH675" s="6">
        <v>15.92</v>
      </c>
      <c r="DI675" t="s">
        <v>344</v>
      </c>
      <c r="DK675" t="s">
        <v>345</v>
      </c>
      <c r="DR675" t="s">
        <v>17601</v>
      </c>
      <c r="DS675" s="6">
        <v>15.92</v>
      </c>
      <c r="DT675" t="s">
        <v>424</v>
      </c>
      <c r="DU675" s="1">
        <v>44368</v>
      </c>
      <c r="DV675" s="1">
        <v>44457</v>
      </c>
    </row>
    <row r="676" spans="1:126" ht="15" customHeight="1" x14ac:dyDescent="0.35">
      <c r="A676" t="s">
        <v>19771</v>
      </c>
      <c r="B676" t="s">
        <v>318</v>
      </c>
      <c r="C676" s="1">
        <v>44337</v>
      </c>
      <c r="D676" s="1">
        <v>44364</v>
      </c>
      <c r="H676" t="s">
        <v>319</v>
      </c>
      <c r="I676" t="s">
        <v>19772</v>
      </c>
      <c r="J676" t="s">
        <v>4417</v>
      </c>
      <c r="L676" t="s">
        <v>1105</v>
      </c>
      <c r="M676" t="s">
        <v>19773</v>
      </c>
      <c r="O676" t="s">
        <v>4144</v>
      </c>
      <c r="P676" t="s">
        <v>588</v>
      </c>
      <c r="Q676" s="3">
        <v>22191</v>
      </c>
      <c r="R676" t="s">
        <v>128</v>
      </c>
      <c r="T676" s="4">
        <v>15712950069</v>
      </c>
      <c r="V676" t="s">
        <v>19774</v>
      </c>
      <c r="W676" t="s">
        <v>19775</v>
      </c>
      <c r="Y676" t="s">
        <v>19773</v>
      </c>
      <c r="AA676" t="s">
        <v>4144</v>
      </c>
      <c r="AB676" t="s">
        <v>306</v>
      </c>
      <c r="AC676" s="3" t="str">
        <f>"22191"</f>
        <v>22191</v>
      </c>
      <c r="AD676" t="s">
        <v>128</v>
      </c>
      <c r="AF676" s="4">
        <v>15712950069</v>
      </c>
      <c r="AH676" t="str">
        <f>"561790"</f>
        <v>561790</v>
      </c>
      <c r="AI676" t="s">
        <v>130</v>
      </c>
      <c r="AJ676" t="s">
        <v>4018</v>
      </c>
      <c r="AK676" t="s">
        <v>2069</v>
      </c>
      <c r="AM676" t="s">
        <v>4019</v>
      </c>
      <c r="AO676" t="s">
        <v>1040</v>
      </c>
      <c r="AP676" t="s">
        <v>400</v>
      </c>
      <c r="AQ676" s="5">
        <v>78737</v>
      </c>
      <c r="AR676" t="s">
        <v>128</v>
      </c>
      <c r="AT676" s="4">
        <v>15128942128</v>
      </c>
      <c r="AV676" t="s">
        <v>4020</v>
      </c>
      <c r="AW676" t="s">
        <v>4021</v>
      </c>
      <c r="AX676" t="s">
        <v>131</v>
      </c>
      <c r="AY676" t="s">
        <v>131</v>
      </c>
      <c r="AZ676" t="s">
        <v>131</v>
      </c>
      <c r="BA676" t="s">
        <v>131</v>
      </c>
      <c r="BB676" t="s">
        <v>131</v>
      </c>
      <c r="BC676" t="s">
        <v>131</v>
      </c>
      <c r="BD676" t="s">
        <v>131</v>
      </c>
      <c r="BE676" t="s">
        <v>132</v>
      </c>
      <c r="BH676" t="s">
        <v>11777</v>
      </c>
      <c r="BI676" t="s">
        <v>131</v>
      </c>
      <c r="BL676" t="s">
        <v>167</v>
      </c>
      <c r="BO676" t="s">
        <v>131</v>
      </c>
      <c r="BP676" t="s">
        <v>134</v>
      </c>
      <c r="BQ676" t="s">
        <v>131</v>
      </c>
      <c r="BS676" t="str">
        <f t="shared" si="48"/>
        <v>N/A</v>
      </c>
      <c r="BT676" t="s">
        <v>131</v>
      </c>
      <c r="BV676" t="str">
        <f>""</f>
        <v/>
      </c>
      <c r="BW676" t="s">
        <v>135</v>
      </c>
      <c r="BX676" t="str">
        <f>""</f>
        <v/>
      </c>
      <c r="BY676" t="str">
        <f>""</f>
        <v/>
      </c>
      <c r="BZ676" t="str">
        <f>""</f>
        <v/>
      </c>
      <c r="CA676" t="str">
        <f>"Must be able to lift 50 pounds and work in adverse weather conditions. Work schedule varies, must be able to work 45 – 65 hours per week as weather permits, overtime available, but not guaranteed."</f>
        <v>Must be able to lift 50 pounds and work in adverse weather conditions. Work schedule varies, must be able to work 45 – 65 hours per week as weather permits, overtime available, but not guaranteed.</v>
      </c>
      <c r="CB676" t="s">
        <v>131</v>
      </c>
      <c r="CF676" t="s">
        <v>131</v>
      </c>
      <c r="CH676" t="str">
        <f>""</f>
        <v/>
      </c>
      <c r="CI676" t="s">
        <v>131</v>
      </c>
      <c r="CK676" t="s">
        <v>131</v>
      </c>
      <c r="CL676" t="str">
        <f>""</f>
        <v/>
      </c>
      <c r="CM676" t="str">
        <f>""</f>
        <v/>
      </c>
      <c r="CN676" t="str">
        <f>""</f>
        <v/>
      </c>
      <c r="CO676" t="str">
        <f>""</f>
        <v/>
      </c>
      <c r="CP676" t="str">
        <f>"37-2011.00"</f>
        <v>37-2011.00</v>
      </c>
      <c r="CQ676" t="s">
        <v>794</v>
      </c>
      <c r="CS676" t="s">
        <v>135</v>
      </c>
      <c r="CT676" t="s">
        <v>19776</v>
      </c>
      <c r="CU676" t="s">
        <v>19777</v>
      </c>
      <c r="CW676" t="s">
        <v>13302</v>
      </c>
      <c r="CX676" t="s">
        <v>306</v>
      </c>
      <c r="CZ676" s="3" t="str">
        <f>"22079"</f>
        <v>22079</v>
      </c>
      <c r="DA676" t="s">
        <v>135</v>
      </c>
      <c r="DB676" t="str">
        <f>"37-2011"</f>
        <v>37-2011</v>
      </c>
      <c r="DC676" t="s">
        <v>794</v>
      </c>
      <c r="DD676" t="s">
        <v>134</v>
      </c>
      <c r="DE676" t="s">
        <v>134</v>
      </c>
      <c r="DF676" t="str">
        <f>""</f>
        <v/>
      </c>
      <c r="DH676" s="6">
        <v>15.31</v>
      </c>
      <c r="DI676" t="s">
        <v>344</v>
      </c>
      <c r="DK676" t="s">
        <v>345</v>
      </c>
      <c r="DS676" s="6">
        <v>15.31</v>
      </c>
      <c r="DT676" s="2" t="s">
        <v>347</v>
      </c>
      <c r="DU676" s="1">
        <v>44364</v>
      </c>
      <c r="DV676" s="1">
        <v>44453</v>
      </c>
    </row>
    <row r="677" spans="1:126" ht="15" customHeight="1" x14ac:dyDescent="0.35">
      <c r="A677" t="s">
        <v>8154</v>
      </c>
      <c r="B677" t="s">
        <v>318</v>
      </c>
      <c r="C677" s="1">
        <v>44337</v>
      </c>
      <c r="D677" s="1">
        <v>44368</v>
      </c>
      <c r="H677" t="s">
        <v>319</v>
      </c>
      <c r="I677" t="s">
        <v>8155</v>
      </c>
      <c r="J677" t="s">
        <v>503</v>
      </c>
      <c r="L677" t="s">
        <v>918</v>
      </c>
      <c r="M677" t="s">
        <v>8156</v>
      </c>
      <c r="O677" t="s">
        <v>8157</v>
      </c>
      <c r="P677" t="s">
        <v>818</v>
      </c>
      <c r="Q677" s="3">
        <v>30663</v>
      </c>
      <c r="R677" t="s">
        <v>128</v>
      </c>
      <c r="T677" s="4">
        <v>17065572077</v>
      </c>
      <c r="V677" t="s">
        <v>8158</v>
      </c>
      <c r="W677" t="s">
        <v>8159</v>
      </c>
      <c r="Y677" t="s">
        <v>8156</v>
      </c>
      <c r="AA677" t="s">
        <v>8157</v>
      </c>
      <c r="AB677" t="s">
        <v>643</v>
      </c>
      <c r="AC677" s="3" t="str">
        <f>"30663"</f>
        <v>30663</v>
      </c>
      <c r="AD677" t="s">
        <v>128</v>
      </c>
      <c r="AF677" s="4">
        <v>17065572077</v>
      </c>
      <c r="AH677" t="str">
        <f>"484121"</f>
        <v>484121</v>
      </c>
      <c r="AI677" t="s">
        <v>130</v>
      </c>
      <c r="AJ677" t="s">
        <v>2245</v>
      </c>
      <c r="AK677" t="s">
        <v>563</v>
      </c>
      <c r="AL677" t="s">
        <v>8160</v>
      </c>
      <c r="AM677" t="s">
        <v>8161</v>
      </c>
      <c r="AN677" t="s">
        <v>8162</v>
      </c>
      <c r="AO677" t="s">
        <v>8163</v>
      </c>
      <c r="AQ677" s="5" t="s">
        <v>8164</v>
      </c>
      <c r="AR677" t="s">
        <v>156</v>
      </c>
      <c r="AS677" t="s">
        <v>216</v>
      </c>
      <c r="AT677" s="4">
        <v>15198365459</v>
      </c>
      <c r="AU677">
        <v>210</v>
      </c>
      <c r="AV677" t="s">
        <v>8165</v>
      </c>
      <c r="AW677" t="s">
        <v>8166</v>
      </c>
      <c r="AX677" t="s">
        <v>131</v>
      </c>
      <c r="AY677" t="s">
        <v>131</v>
      </c>
      <c r="AZ677" t="s">
        <v>131</v>
      </c>
      <c r="BA677" t="s">
        <v>131</v>
      </c>
      <c r="BB677" t="s">
        <v>131</v>
      </c>
      <c r="BC677" t="s">
        <v>131</v>
      </c>
      <c r="BD677" t="s">
        <v>131</v>
      </c>
      <c r="BE677" t="s">
        <v>132</v>
      </c>
      <c r="BH677" t="s">
        <v>1703</v>
      </c>
      <c r="BI677" t="s">
        <v>135</v>
      </c>
      <c r="BJ677" t="s">
        <v>8167</v>
      </c>
      <c r="BK677" t="s">
        <v>1238</v>
      </c>
      <c r="BL677" t="s">
        <v>401</v>
      </c>
      <c r="BO677" t="s">
        <v>131</v>
      </c>
      <c r="BP677" t="s">
        <v>134</v>
      </c>
      <c r="BQ677" t="s">
        <v>131</v>
      </c>
      <c r="BS677" t="str">
        <f t="shared" si="48"/>
        <v>N/A</v>
      </c>
      <c r="BT677" t="s">
        <v>131</v>
      </c>
      <c r="BV677" t="str">
        <f>""</f>
        <v/>
      </c>
      <c r="BW677" t="s">
        <v>135</v>
      </c>
      <c r="BX677" t="str">
        <f>""</f>
        <v/>
      </c>
      <c r="BY677" t="str">
        <f>""</f>
        <v/>
      </c>
      <c r="BZ677" t="str">
        <f>""</f>
        <v/>
      </c>
      <c r="CA677" t="str">
        <f>"Ability to create new forms
Transport Pro Knowledge
Good communication skills
Knowledge of Canadian/USA border crossing requirements, including PAPS/PARS paperwork"</f>
        <v>Ability to create new forms
Transport Pro Knowledge
Good communication skills
Knowledge of Canadian/USA border crossing requirements, including PAPS/PARS paperwork</v>
      </c>
      <c r="CB677" t="s">
        <v>131</v>
      </c>
      <c r="CF677" t="s">
        <v>131</v>
      </c>
      <c r="CH677" t="str">
        <f>""</f>
        <v/>
      </c>
      <c r="CI677" t="s">
        <v>131</v>
      </c>
      <c r="CK677" t="s">
        <v>131</v>
      </c>
      <c r="CL677" t="str">
        <f>""</f>
        <v/>
      </c>
      <c r="CM677" t="str">
        <f>""</f>
        <v/>
      </c>
      <c r="CN677" t="str">
        <f>""</f>
        <v/>
      </c>
      <c r="CO677" t="str">
        <f>""</f>
        <v/>
      </c>
      <c r="CP677" t="str">
        <f>"43-5032.00"</f>
        <v>43-5032.00</v>
      </c>
      <c r="CQ677" t="s">
        <v>8168</v>
      </c>
      <c r="CS677" t="s">
        <v>131</v>
      </c>
      <c r="CU677" t="s">
        <v>8156</v>
      </c>
      <c r="CW677" t="s">
        <v>8157</v>
      </c>
      <c r="CX677" t="s">
        <v>643</v>
      </c>
      <c r="CZ677" s="3" t="str">
        <f>"30663"</f>
        <v>30663</v>
      </c>
      <c r="DA677" t="s">
        <v>131</v>
      </c>
      <c r="DB677" t="str">
        <f>"43-5011"</f>
        <v>43-5011</v>
      </c>
      <c r="DC677" t="s">
        <v>3935</v>
      </c>
      <c r="DD677" t="s">
        <v>8169</v>
      </c>
      <c r="DE677" t="s">
        <v>8170</v>
      </c>
      <c r="DF677" t="str">
        <f>""</f>
        <v/>
      </c>
      <c r="DH677" s="6">
        <v>22.6</v>
      </c>
      <c r="DI677" t="s">
        <v>344</v>
      </c>
      <c r="DK677" t="s">
        <v>345</v>
      </c>
      <c r="DS677" s="6">
        <v>22.6</v>
      </c>
      <c r="DT677" t="s">
        <v>424</v>
      </c>
      <c r="DU677" s="1">
        <v>44368</v>
      </c>
      <c r="DV677" s="1">
        <v>44457</v>
      </c>
    </row>
    <row r="678" spans="1:126" ht="15" customHeight="1" x14ac:dyDescent="0.35">
      <c r="A678" t="s">
        <v>18414</v>
      </c>
      <c r="B678" t="s">
        <v>318</v>
      </c>
      <c r="C678" s="1">
        <v>44337</v>
      </c>
      <c r="D678" s="1">
        <v>44364</v>
      </c>
      <c r="H678" t="s">
        <v>319</v>
      </c>
      <c r="I678" t="s">
        <v>8155</v>
      </c>
      <c r="J678" t="s">
        <v>503</v>
      </c>
      <c r="L678" t="s">
        <v>918</v>
      </c>
      <c r="M678" t="s">
        <v>8156</v>
      </c>
      <c r="O678" t="s">
        <v>8157</v>
      </c>
      <c r="P678" t="s">
        <v>818</v>
      </c>
      <c r="Q678" s="3">
        <v>30663</v>
      </c>
      <c r="R678" t="s">
        <v>128</v>
      </c>
      <c r="T678" s="4">
        <v>17065572077</v>
      </c>
      <c r="V678" t="s">
        <v>8158</v>
      </c>
      <c r="W678" t="s">
        <v>8159</v>
      </c>
      <c r="Y678" t="s">
        <v>8156</v>
      </c>
      <c r="AA678" t="s">
        <v>8157</v>
      </c>
      <c r="AB678" t="s">
        <v>643</v>
      </c>
      <c r="AC678" s="3" t="str">
        <f>"30663"</f>
        <v>30663</v>
      </c>
      <c r="AD678" t="s">
        <v>128</v>
      </c>
      <c r="AF678" s="4">
        <v>17065572077</v>
      </c>
      <c r="AH678" t="str">
        <f>"484121"</f>
        <v>484121</v>
      </c>
      <c r="AI678" t="s">
        <v>130</v>
      </c>
      <c r="AJ678" t="s">
        <v>2245</v>
      </c>
      <c r="AK678" t="s">
        <v>563</v>
      </c>
      <c r="AL678" t="s">
        <v>8160</v>
      </c>
      <c r="AM678" t="s">
        <v>8161</v>
      </c>
      <c r="AN678" t="s">
        <v>8162</v>
      </c>
      <c r="AO678" t="s">
        <v>8163</v>
      </c>
      <c r="AQ678" s="5" t="s">
        <v>8164</v>
      </c>
      <c r="AR678" t="s">
        <v>156</v>
      </c>
      <c r="AS678" t="s">
        <v>216</v>
      </c>
      <c r="AT678" s="4">
        <v>15198365459</v>
      </c>
      <c r="AU678">
        <v>210</v>
      </c>
      <c r="AV678" t="s">
        <v>8165</v>
      </c>
      <c r="AW678" t="s">
        <v>8166</v>
      </c>
      <c r="AX678" t="s">
        <v>131</v>
      </c>
      <c r="AY678" t="s">
        <v>131</v>
      </c>
      <c r="AZ678" t="s">
        <v>131</v>
      </c>
      <c r="BA678" t="s">
        <v>131</v>
      </c>
      <c r="BB678" t="s">
        <v>131</v>
      </c>
      <c r="BC678" t="s">
        <v>131</v>
      </c>
      <c r="BD678" t="s">
        <v>131</v>
      </c>
      <c r="BE678" t="s">
        <v>132</v>
      </c>
      <c r="BH678" t="s">
        <v>18415</v>
      </c>
      <c r="BI678" t="s">
        <v>135</v>
      </c>
      <c r="BJ678" t="s">
        <v>12564</v>
      </c>
      <c r="BK678" t="s">
        <v>1030</v>
      </c>
      <c r="BL678" t="s">
        <v>401</v>
      </c>
      <c r="BO678" t="s">
        <v>131</v>
      </c>
      <c r="BP678" t="s">
        <v>134</v>
      </c>
      <c r="BQ678" t="s">
        <v>131</v>
      </c>
      <c r="BS678" t="str">
        <f t="shared" si="48"/>
        <v>N/A</v>
      </c>
      <c r="BT678" t="s">
        <v>131</v>
      </c>
      <c r="BV678" t="str">
        <f>""</f>
        <v/>
      </c>
      <c r="BW678" t="s">
        <v>135</v>
      </c>
      <c r="BX678" t="str">
        <f>"Health and safety qualification from the Province of Ontario.
Driver's License"</f>
        <v>Health and safety qualification from the Province of Ontario.
Driver's License</v>
      </c>
      <c r="BY678" t="str">
        <f>""</f>
        <v/>
      </c>
      <c r="BZ678" t="str">
        <f>""</f>
        <v/>
      </c>
      <c r="CA678" t="str">
        <f>"Excellent written and verbal communication skills
Knowledge of different machinery and usage, including forklifts, small tractors, &amp; automotive vehicles
Knowledge of basic Spread sheets/billing/invoicing procedures"</f>
        <v>Excellent written and verbal communication skills
Knowledge of different machinery and usage, including forklifts, small tractors, &amp; automotive vehicles
Knowledge of basic Spread sheets/billing/invoicing procedures</v>
      </c>
      <c r="CB678" t="s">
        <v>131</v>
      </c>
      <c r="CF678" t="s">
        <v>131</v>
      </c>
      <c r="CH678" t="str">
        <f>""</f>
        <v/>
      </c>
      <c r="CI678" t="s">
        <v>131</v>
      </c>
      <c r="CK678" t="s">
        <v>131</v>
      </c>
      <c r="CL678" t="str">
        <f>""</f>
        <v/>
      </c>
      <c r="CM678" t="str">
        <f>""</f>
        <v/>
      </c>
      <c r="CN678" t="str">
        <f>""</f>
        <v/>
      </c>
      <c r="CO678" t="str">
        <f>""</f>
        <v/>
      </c>
      <c r="CP678" t="str">
        <f>"11-1021.00"</f>
        <v>11-1021.00</v>
      </c>
      <c r="CQ678" t="s">
        <v>1296</v>
      </c>
      <c r="CS678" t="s">
        <v>135</v>
      </c>
      <c r="CT678" t="s">
        <v>18416</v>
      </c>
      <c r="CU678" t="s">
        <v>8156</v>
      </c>
      <c r="CW678" t="s">
        <v>8157</v>
      </c>
      <c r="CX678" t="s">
        <v>643</v>
      </c>
      <c r="CZ678" s="3" t="str">
        <f>"30663"</f>
        <v>30663</v>
      </c>
      <c r="DA678" t="s">
        <v>131</v>
      </c>
      <c r="DB678" t="str">
        <f>"53-1021"</f>
        <v>53-1021</v>
      </c>
      <c r="DC678" t="s">
        <v>12565</v>
      </c>
      <c r="DD678" t="s">
        <v>134</v>
      </c>
      <c r="DE678" t="s">
        <v>134</v>
      </c>
      <c r="DF678" t="str">
        <f>""</f>
        <v/>
      </c>
      <c r="DH678" s="6">
        <v>26.63</v>
      </c>
      <c r="DI678" t="s">
        <v>344</v>
      </c>
      <c r="DK678" t="s">
        <v>345</v>
      </c>
      <c r="DS678" s="6">
        <v>26.63</v>
      </c>
      <c r="DT678" s="2" t="s">
        <v>347</v>
      </c>
      <c r="DU678" s="1">
        <v>44364</v>
      </c>
      <c r="DV678" s="1">
        <v>44453</v>
      </c>
    </row>
    <row r="679" spans="1:126" ht="15" customHeight="1" x14ac:dyDescent="0.35">
      <c r="A679" t="s">
        <v>19080</v>
      </c>
      <c r="B679" t="s">
        <v>318</v>
      </c>
      <c r="C679" s="1">
        <v>44337</v>
      </c>
      <c r="D679" s="1">
        <v>44364</v>
      </c>
      <c r="H679" t="s">
        <v>319</v>
      </c>
      <c r="I679" t="s">
        <v>5398</v>
      </c>
      <c r="J679" t="s">
        <v>13665</v>
      </c>
      <c r="L679" t="s">
        <v>1031</v>
      </c>
      <c r="M679" t="s">
        <v>13666</v>
      </c>
      <c r="O679" t="s">
        <v>5674</v>
      </c>
      <c r="P679" t="s">
        <v>194</v>
      </c>
      <c r="Q679" s="3">
        <v>34102</v>
      </c>
      <c r="R679" t="s">
        <v>128</v>
      </c>
      <c r="T679" s="4">
        <v>12393602000</v>
      </c>
      <c r="V679" t="s">
        <v>1021</v>
      </c>
      <c r="W679" t="s">
        <v>13667</v>
      </c>
      <c r="X679" t="s">
        <v>13792</v>
      </c>
      <c r="Y679" t="s">
        <v>13666</v>
      </c>
      <c r="AA679" t="s">
        <v>5674</v>
      </c>
      <c r="AB679" t="s">
        <v>195</v>
      </c>
      <c r="AC679" s="3" t="str">
        <f>"34102"</f>
        <v>34102</v>
      </c>
      <c r="AD679" t="s">
        <v>128</v>
      </c>
      <c r="AF679" s="4">
        <v>12393602000</v>
      </c>
      <c r="AH679" t="str">
        <f>"722513"</f>
        <v>722513</v>
      </c>
      <c r="AI679" t="s">
        <v>287</v>
      </c>
      <c r="AJ679" t="s">
        <v>1024</v>
      </c>
      <c r="AK679" t="s">
        <v>1025</v>
      </c>
      <c r="AM679" t="s">
        <v>1026</v>
      </c>
      <c r="AO679" t="s">
        <v>1027</v>
      </c>
      <c r="AP679" t="s">
        <v>129</v>
      </c>
      <c r="AQ679" s="5">
        <v>11590</v>
      </c>
      <c r="AR679" t="s">
        <v>128</v>
      </c>
      <c r="AT679" s="4">
        <v>15163307168</v>
      </c>
      <c r="AV679" t="s">
        <v>1021</v>
      </c>
      <c r="AW679" t="s">
        <v>1028</v>
      </c>
      <c r="AX679" t="s">
        <v>131</v>
      </c>
      <c r="AY679" t="s">
        <v>131</v>
      </c>
      <c r="AZ679" t="s">
        <v>131</v>
      </c>
      <c r="BA679" t="s">
        <v>131</v>
      </c>
      <c r="BB679" t="s">
        <v>131</v>
      </c>
      <c r="BC679" t="s">
        <v>131</v>
      </c>
      <c r="BD679" t="s">
        <v>131</v>
      </c>
      <c r="BE679" t="s">
        <v>132</v>
      </c>
      <c r="BH679" t="s">
        <v>11936</v>
      </c>
      <c r="BI679" t="s">
        <v>131</v>
      </c>
      <c r="BL679" t="s">
        <v>167</v>
      </c>
      <c r="BO679" t="s">
        <v>131</v>
      </c>
      <c r="BP679" t="s">
        <v>134</v>
      </c>
      <c r="BQ679" t="s">
        <v>131</v>
      </c>
      <c r="BS679" t="str">
        <f t="shared" si="48"/>
        <v>N/A</v>
      </c>
      <c r="BT679" t="s">
        <v>135</v>
      </c>
      <c r="BU679">
        <v>3</v>
      </c>
      <c r="BV679" t="str">
        <f>"SERVERS"</f>
        <v>SERVERS</v>
      </c>
      <c r="BW679" t="s">
        <v>131</v>
      </c>
      <c r="BX679" t="str">
        <f>""</f>
        <v/>
      </c>
      <c r="BY679" t="str">
        <f>""</f>
        <v/>
      </c>
      <c r="BZ679" t="str">
        <f>""</f>
        <v/>
      </c>
      <c r="CA679" t="str">
        <f>""</f>
        <v/>
      </c>
      <c r="CB679" t="s">
        <v>131</v>
      </c>
      <c r="CF679" t="s">
        <v>131</v>
      </c>
      <c r="CH679" t="str">
        <f>""</f>
        <v/>
      </c>
      <c r="CI679" t="s">
        <v>131</v>
      </c>
      <c r="CK679" t="s">
        <v>131</v>
      </c>
      <c r="CL679" t="str">
        <f>""</f>
        <v/>
      </c>
      <c r="CM679" t="str">
        <f>""</f>
        <v/>
      </c>
      <c r="CN679" t="str">
        <f>""</f>
        <v/>
      </c>
      <c r="CO679" t="str">
        <f>""</f>
        <v/>
      </c>
      <c r="CP679" t="str">
        <f>"35-3031.00"</f>
        <v>35-3031.00</v>
      </c>
      <c r="CQ679" t="s">
        <v>1214</v>
      </c>
      <c r="CR679" t="s">
        <v>392</v>
      </c>
      <c r="CS679" t="s">
        <v>131</v>
      </c>
      <c r="CU679" t="s">
        <v>13668</v>
      </c>
      <c r="CW679" t="s">
        <v>5674</v>
      </c>
      <c r="CX679" t="s">
        <v>195</v>
      </c>
      <c r="CZ679" s="3" t="str">
        <f>"34102"</f>
        <v>34102</v>
      </c>
      <c r="DA679" t="s">
        <v>131</v>
      </c>
      <c r="DB679" t="str">
        <f>"35-3031"</f>
        <v>35-3031</v>
      </c>
      <c r="DC679" t="s">
        <v>1214</v>
      </c>
      <c r="DD679" t="s">
        <v>134</v>
      </c>
      <c r="DE679" t="s">
        <v>134</v>
      </c>
      <c r="DF679" t="str">
        <f>""</f>
        <v/>
      </c>
      <c r="DH679" s="6">
        <v>15.48</v>
      </c>
      <c r="DI679" t="s">
        <v>344</v>
      </c>
      <c r="DK679" t="s">
        <v>345</v>
      </c>
      <c r="DR679" t="s">
        <v>5543</v>
      </c>
      <c r="DS679" s="6">
        <v>15.48</v>
      </c>
      <c r="DT679" t="s">
        <v>424</v>
      </c>
      <c r="DU679" s="1">
        <v>44364</v>
      </c>
      <c r="DV679" s="1">
        <v>44453</v>
      </c>
    </row>
    <row r="680" spans="1:126" ht="15" customHeight="1" x14ac:dyDescent="0.35">
      <c r="A680" t="s">
        <v>16064</v>
      </c>
      <c r="B680" t="s">
        <v>318</v>
      </c>
      <c r="C680" s="1">
        <v>44337</v>
      </c>
      <c r="D680" s="1">
        <v>44364</v>
      </c>
      <c r="H680" t="s">
        <v>319</v>
      </c>
      <c r="I680" t="s">
        <v>1449</v>
      </c>
      <c r="J680" t="s">
        <v>1116</v>
      </c>
      <c r="L680" t="s">
        <v>395</v>
      </c>
      <c r="M680" t="s">
        <v>16065</v>
      </c>
      <c r="O680" t="s">
        <v>16066</v>
      </c>
      <c r="P680" t="s">
        <v>127</v>
      </c>
      <c r="Q680" s="3">
        <v>11937</v>
      </c>
      <c r="R680" t="s">
        <v>128</v>
      </c>
      <c r="T680" s="4">
        <v>16316800158</v>
      </c>
      <c r="V680" t="s">
        <v>4583</v>
      </c>
      <c r="W680" t="s">
        <v>16067</v>
      </c>
      <c r="Y680" t="s">
        <v>16068</v>
      </c>
      <c r="AA680" t="s">
        <v>16066</v>
      </c>
      <c r="AB680" t="s">
        <v>129</v>
      </c>
      <c r="AC680" s="3" t="str">
        <f>"11937"</f>
        <v>11937</v>
      </c>
      <c r="AD680" t="s">
        <v>128</v>
      </c>
      <c r="AF680" s="4">
        <v>16316800158</v>
      </c>
      <c r="AH680" t="str">
        <f>"56173"</f>
        <v>56173</v>
      </c>
      <c r="AI680" t="s">
        <v>287</v>
      </c>
      <c r="AJ680" t="s">
        <v>4584</v>
      </c>
      <c r="AK680" t="s">
        <v>4585</v>
      </c>
      <c r="AM680" t="s">
        <v>4586</v>
      </c>
      <c r="AO680" t="s">
        <v>5652</v>
      </c>
      <c r="AP680" t="s">
        <v>195</v>
      </c>
      <c r="AQ680" s="5">
        <v>34957</v>
      </c>
      <c r="AR680" t="s">
        <v>128</v>
      </c>
      <c r="AT680" s="4">
        <v>17723344829</v>
      </c>
      <c r="AV680" t="s">
        <v>4583</v>
      </c>
      <c r="AW680" t="s">
        <v>4587</v>
      </c>
      <c r="AX680" t="s">
        <v>131</v>
      </c>
      <c r="AY680" t="s">
        <v>131</v>
      </c>
      <c r="AZ680" t="s">
        <v>131</v>
      </c>
      <c r="BA680" t="s">
        <v>131</v>
      </c>
      <c r="BB680" t="s">
        <v>131</v>
      </c>
      <c r="BC680" t="s">
        <v>131</v>
      </c>
      <c r="BD680" t="s">
        <v>131</v>
      </c>
      <c r="BE680" t="s">
        <v>132</v>
      </c>
      <c r="BH680" t="s">
        <v>16069</v>
      </c>
      <c r="BI680" t="s">
        <v>131</v>
      </c>
      <c r="BL680" t="s">
        <v>167</v>
      </c>
      <c r="BO680" t="s">
        <v>131</v>
      </c>
      <c r="BP680" t="s">
        <v>134</v>
      </c>
      <c r="BQ680" t="s">
        <v>131</v>
      </c>
      <c r="BS680" t="str">
        <f t="shared" si="48"/>
        <v>N/A</v>
      </c>
      <c r="BT680" t="s">
        <v>131</v>
      </c>
      <c r="BV680" t="str">
        <f>""</f>
        <v/>
      </c>
      <c r="BW680" t="s">
        <v>131</v>
      </c>
      <c r="BX680" t="str">
        <f>""</f>
        <v/>
      </c>
      <c r="BY680" t="str">
        <f>""</f>
        <v/>
      </c>
      <c r="BZ680" t="str">
        <f>""</f>
        <v/>
      </c>
      <c r="CA680" t="str">
        <f>""</f>
        <v/>
      </c>
      <c r="CB680" t="s">
        <v>131</v>
      </c>
      <c r="CF680" t="s">
        <v>131</v>
      </c>
      <c r="CH680" t="str">
        <f>""</f>
        <v/>
      </c>
      <c r="CI680" t="s">
        <v>131</v>
      </c>
      <c r="CK680" t="s">
        <v>131</v>
      </c>
      <c r="CL680" t="str">
        <f>""</f>
        <v/>
      </c>
      <c r="CM680" t="str">
        <f>""</f>
        <v/>
      </c>
      <c r="CN680" t="str">
        <f>""</f>
        <v/>
      </c>
      <c r="CO680" t="str">
        <f>""</f>
        <v/>
      </c>
      <c r="CP680" t="str">
        <f>"37-3011.00"</f>
        <v>37-3011.00</v>
      </c>
      <c r="CQ680" t="s">
        <v>920</v>
      </c>
      <c r="CS680" t="s">
        <v>135</v>
      </c>
      <c r="CT680" t="s">
        <v>4588</v>
      </c>
      <c r="CU680" t="s">
        <v>16068</v>
      </c>
      <c r="CW680" t="s">
        <v>16066</v>
      </c>
      <c r="CX680" t="s">
        <v>129</v>
      </c>
      <c r="CZ680" s="3" t="str">
        <f>"11937"</f>
        <v>11937</v>
      </c>
      <c r="DA680" t="s">
        <v>131</v>
      </c>
      <c r="DB680" t="str">
        <f>"37-3011"</f>
        <v>37-3011</v>
      </c>
      <c r="DC680" t="s">
        <v>920</v>
      </c>
      <c r="DD680" t="s">
        <v>134</v>
      </c>
      <c r="DE680" t="s">
        <v>134</v>
      </c>
      <c r="DF680" t="str">
        <f>""</f>
        <v/>
      </c>
      <c r="DH680" s="6">
        <v>17.75</v>
      </c>
      <c r="DI680" t="s">
        <v>344</v>
      </c>
      <c r="DK680" t="s">
        <v>345</v>
      </c>
      <c r="DR680" t="s">
        <v>346</v>
      </c>
      <c r="DS680" s="6">
        <v>17.75</v>
      </c>
      <c r="DT680" s="2" t="s">
        <v>347</v>
      </c>
      <c r="DU680" s="1">
        <v>44364</v>
      </c>
      <c r="DV680" s="1">
        <v>44453</v>
      </c>
    </row>
    <row r="681" spans="1:126" ht="15" customHeight="1" x14ac:dyDescent="0.35">
      <c r="A681" t="s">
        <v>18199</v>
      </c>
      <c r="B681" t="s">
        <v>318</v>
      </c>
      <c r="C681" s="1">
        <v>44337</v>
      </c>
      <c r="D681" s="1">
        <v>44364</v>
      </c>
      <c r="H681" t="s">
        <v>319</v>
      </c>
      <c r="I681" t="s">
        <v>10445</v>
      </c>
      <c r="J681" t="s">
        <v>5804</v>
      </c>
      <c r="K681" t="s">
        <v>134</v>
      </c>
      <c r="L681" t="s">
        <v>460</v>
      </c>
      <c r="M681" t="s">
        <v>10446</v>
      </c>
      <c r="N681" t="s">
        <v>134</v>
      </c>
      <c r="O681" t="s">
        <v>10447</v>
      </c>
      <c r="P681" t="s">
        <v>273</v>
      </c>
      <c r="Q681" s="3">
        <v>7930</v>
      </c>
      <c r="R681" t="s">
        <v>128</v>
      </c>
      <c r="S681" t="s">
        <v>134</v>
      </c>
      <c r="T681" s="4">
        <v>19088792696</v>
      </c>
      <c r="V681" t="s">
        <v>10448</v>
      </c>
      <c r="W681" t="s">
        <v>10449</v>
      </c>
      <c r="Y681" t="s">
        <v>10446</v>
      </c>
      <c r="Z681" t="s">
        <v>134</v>
      </c>
      <c r="AA681" t="s">
        <v>10447</v>
      </c>
      <c r="AB681" t="s">
        <v>276</v>
      </c>
      <c r="AC681" s="3" t="str">
        <f>"07930"</f>
        <v>07930</v>
      </c>
      <c r="AD681" t="s">
        <v>128</v>
      </c>
      <c r="AE681" t="s">
        <v>134</v>
      </c>
      <c r="AF681" s="4">
        <v>19088792696</v>
      </c>
      <c r="AH681" t="str">
        <f>"44523"</f>
        <v>44523</v>
      </c>
      <c r="AI681" t="s">
        <v>287</v>
      </c>
      <c r="AJ681" t="s">
        <v>3150</v>
      </c>
      <c r="AK681" t="s">
        <v>934</v>
      </c>
      <c r="AL681" t="s">
        <v>474</v>
      </c>
      <c r="AM681" t="s">
        <v>3151</v>
      </c>
      <c r="AN681" t="s">
        <v>134</v>
      </c>
      <c r="AO681" t="s">
        <v>3152</v>
      </c>
      <c r="AP681" t="s">
        <v>400</v>
      </c>
      <c r="AQ681" s="5">
        <v>77414</v>
      </c>
      <c r="AR681" t="s">
        <v>128</v>
      </c>
      <c r="AT681" s="4">
        <v>19792457577</v>
      </c>
      <c r="AU681">
        <v>105</v>
      </c>
      <c r="AV681" t="s">
        <v>3153</v>
      </c>
      <c r="AW681" t="s">
        <v>3154</v>
      </c>
      <c r="AX681" t="s">
        <v>131</v>
      </c>
      <c r="AY681" t="s">
        <v>131</v>
      </c>
      <c r="AZ681" t="s">
        <v>131</v>
      </c>
      <c r="BA681" t="s">
        <v>131</v>
      </c>
      <c r="BB681" t="s">
        <v>131</v>
      </c>
      <c r="BC681" t="s">
        <v>131</v>
      </c>
      <c r="BD681" t="s">
        <v>131</v>
      </c>
      <c r="BE681" t="s">
        <v>132</v>
      </c>
      <c r="BH681" t="s">
        <v>18200</v>
      </c>
      <c r="BI681" t="s">
        <v>131</v>
      </c>
      <c r="BL681" t="s">
        <v>167</v>
      </c>
      <c r="BO681" t="s">
        <v>131</v>
      </c>
      <c r="BP681" t="s">
        <v>134</v>
      </c>
      <c r="BQ681" t="s">
        <v>131</v>
      </c>
      <c r="BS681" t="str">
        <f t="shared" si="48"/>
        <v>N/A</v>
      </c>
      <c r="BT681" t="s">
        <v>131</v>
      </c>
      <c r="BV681" t="str">
        <f>""</f>
        <v/>
      </c>
      <c r="BW681" t="s">
        <v>135</v>
      </c>
      <c r="BX681" t="str">
        <f>""</f>
        <v/>
      </c>
      <c r="BY681" t="str">
        <f>""</f>
        <v/>
      </c>
      <c r="BZ681" t="str">
        <f>""</f>
        <v/>
      </c>
      <c r="CA681" t="s">
        <v>18201</v>
      </c>
      <c r="CB681" t="s">
        <v>131</v>
      </c>
      <c r="CF681" t="s">
        <v>131</v>
      </c>
      <c r="CH681" t="str">
        <f>""</f>
        <v/>
      </c>
      <c r="CI681" t="s">
        <v>131</v>
      </c>
      <c r="CK681" t="s">
        <v>131</v>
      </c>
      <c r="CL681" t="str">
        <f>""</f>
        <v/>
      </c>
      <c r="CM681" t="str">
        <f>""</f>
        <v/>
      </c>
      <c r="CN681" t="str">
        <f>""</f>
        <v/>
      </c>
      <c r="CO681" t="str">
        <f>""</f>
        <v/>
      </c>
      <c r="CP681" t="str">
        <f>"39-3091.00"</f>
        <v>39-3091.00</v>
      </c>
      <c r="CQ681" t="s">
        <v>1374</v>
      </c>
      <c r="CS681" t="s">
        <v>135</v>
      </c>
      <c r="CT681" t="s">
        <v>5308</v>
      </c>
      <c r="CU681" t="s">
        <v>10452</v>
      </c>
      <c r="CV681" t="s">
        <v>134</v>
      </c>
      <c r="CW681" t="s">
        <v>10447</v>
      </c>
      <c r="CX681" t="s">
        <v>276</v>
      </c>
      <c r="CZ681" s="3" t="str">
        <f>"07930"</f>
        <v>07930</v>
      </c>
      <c r="DA681" t="s">
        <v>135</v>
      </c>
      <c r="DB681" t="str">
        <f>"39-3091"</f>
        <v>39-3091</v>
      </c>
      <c r="DC681" t="s">
        <v>1374</v>
      </c>
      <c r="DD681" t="s">
        <v>134</v>
      </c>
      <c r="DE681" t="s">
        <v>134</v>
      </c>
      <c r="DF681" t="str">
        <f>""</f>
        <v/>
      </c>
      <c r="DH681" s="6">
        <v>13.08</v>
      </c>
      <c r="DI681" t="s">
        <v>344</v>
      </c>
      <c r="DK681" t="s">
        <v>345</v>
      </c>
      <c r="DS681" s="6">
        <v>13.08</v>
      </c>
      <c r="DT681" s="2" t="s">
        <v>347</v>
      </c>
      <c r="DU681" s="1">
        <v>44364</v>
      </c>
      <c r="DV681" s="1">
        <v>44453</v>
      </c>
    </row>
    <row r="682" spans="1:126" ht="15" customHeight="1" x14ac:dyDescent="0.35">
      <c r="A682" t="s">
        <v>17327</v>
      </c>
      <c r="B682" t="s">
        <v>318</v>
      </c>
      <c r="C682" s="1">
        <v>44337</v>
      </c>
      <c r="D682" s="1">
        <v>44364</v>
      </c>
      <c r="H682" t="s">
        <v>319</v>
      </c>
      <c r="I682" t="s">
        <v>4511</v>
      </c>
      <c r="J682" t="s">
        <v>4512</v>
      </c>
      <c r="L682" t="s">
        <v>395</v>
      </c>
      <c r="M682" t="s">
        <v>4513</v>
      </c>
      <c r="O682" t="s">
        <v>642</v>
      </c>
      <c r="Q682" s="3">
        <v>30340</v>
      </c>
      <c r="R682" t="s">
        <v>643</v>
      </c>
      <c r="T682" s="4">
        <v>14049341359</v>
      </c>
      <c r="V682" t="s">
        <v>4514</v>
      </c>
      <c r="W682" t="s">
        <v>8742</v>
      </c>
      <c r="Y682" t="s">
        <v>8743</v>
      </c>
      <c r="AA682" t="s">
        <v>1145</v>
      </c>
      <c r="AB682" t="s">
        <v>643</v>
      </c>
      <c r="AC682" s="3" t="str">
        <f>"30501"</f>
        <v>30501</v>
      </c>
      <c r="AD682" t="s">
        <v>128</v>
      </c>
      <c r="AF682" s="4">
        <v>17707804622</v>
      </c>
      <c r="AH682" t="str">
        <f>"311615"</f>
        <v>311615</v>
      </c>
      <c r="AI682" t="s">
        <v>287</v>
      </c>
      <c r="AJ682" t="s">
        <v>4511</v>
      </c>
      <c r="AK682" t="s">
        <v>4512</v>
      </c>
      <c r="AM682" t="s">
        <v>4513</v>
      </c>
      <c r="AO682" t="s">
        <v>642</v>
      </c>
      <c r="AQ682" s="5">
        <v>30340</v>
      </c>
      <c r="AR682" t="s">
        <v>643</v>
      </c>
      <c r="AT682" s="4">
        <v>14049341359</v>
      </c>
      <c r="AV682" t="s">
        <v>4514</v>
      </c>
      <c r="AW682" t="s">
        <v>4517</v>
      </c>
      <c r="AX682" t="s">
        <v>131</v>
      </c>
      <c r="AY682" t="s">
        <v>131</v>
      </c>
      <c r="AZ682" t="s">
        <v>131</v>
      </c>
      <c r="BA682" t="s">
        <v>131</v>
      </c>
      <c r="BB682" t="s">
        <v>131</v>
      </c>
      <c r="BC682" t="s">
        <v>131</v>
      </c>
      <c r="BD682" t="s">
        <v>131</v>
      </c>
      <c r="BE682" t="s">
        <v>132</v>
      </c>
      <c r="BH682" t="s">
        <v>8744</v>
      </c>
      <c r="BI682" t="s">
        <v>131</v>
      </c>
      <c r="BL682" t="s">
        <v>167</v>
      </c>
      <c r="BO682" t="s">
        <v>131</v>
      </c>
      <c r="BP682" t="s">
        <v>134</v>
      </c>
      <c r="BQ682" t="s">
        <v>131</v>
      </c>
      <c r="BS682" t="str">
        <f t="shared" si="48"/>
        <v>N/A</v>
      </c>
      <c r="BT682" t="s">
        <v>131</v>
      </c>
      <c r="BV682" t="str">
        <f>""</f>
        <v/>
      </c>
      <c r="BW682" t="s">
        <v>131</v>
      </c>
      <c r="BX682" t="str">
        <f>""</f>
        <v/>
      </c>
      <c r="BY682" t="str">
        <f>""</f>
        <v/>
      </c>
      <c r="BZ682" t="str">
        <f>""</f>
        <v/>
      </c>
      <c r="CA682" t="str">
        <f>""</f>
        <v/>
      </c>
      <c r="CB682" t="s">
        <v>131</v>
      </c>
      <c r="CF682" t="s">
        <v>131</v>
      </c>
      <c r="CH682" t="str">
        <f>""</f>
        <v/>
      </c>
      <c r="CI682" t="s">
        <v>131</v>
      </c>
      <c r="CK682" t="s">
        <v>131</v>
      </c>
      <c r="CL682" t="str">
        <f>""</f>
        <v/>
      </c>
      <c r="CM682" t="str">
        <f>""</f>
        <v/>
      </c>
      <c r="CN682" t="str">
        <f>""</f>
        <v/>
      </c>
      <c r="CO682" t="str">
        <f>""</f>
        <v/>
      </c>
      <c r="CP682" t="str">
        <f>"51-3022.00"</f>
        <v>51-3022.00</v>
      </c>
      <c r="CQ682" t="s">
        <v>1114</v>
      </c>
      <c r="CR682" t="s">
        <v>918</v>
      </c>
      <c r="CS682" t="s">
        <v>131</v>
      </c>
      <c r="CU682" t="s">
        <v>17328</v>
      </c>
      <c r="CW682" t="s">
        <v>17329</v>
      </c>
      <c r="CX682" t="s">
        <v>643</v>
      </c>
      <c r="CZ682" s="3" t="str">
        <f>"30540"</f>
        <v>30540</v>
      </c>
      <c r="DA682" t="s">
        <v>131</v>
      </c>
      <c r="DB682" t="str">
        <f>"51-3022"</f>
        <v>51-3022</v>
      </c>
      <c r="DC682" t="s">
        <v>1114</v>
      </c>
      <c r="DD682" t="s">
        <v>134</v>
      </c>
      <c r="DE682" t="s">
        <v>134</v>
      </c>
      <c r="DF682" t="str">
        <f>""</f>
        <v/>
      </c>
      <c r="DH682" s="6">
        <v>12.82</v>
      </c>
      <c r="DI682" t="s">
        <v>344</v>
      </c>
      <c r="DK682" t="s">
        <v>345</v>
      </c>
      <c r="DR682" t="s">
        <v>9127</v>
      </c>
      <c r="DS682" s="6">
        <v>12.82</v>
      </c>
      <c r="DT682" t="s">
        <v>424</v>
      </c>
      <c r="DU682" s="1">
        <v>44364</v>
      </c>
      <c r="DV682" s="1">
        <v>44453</v>
      </c>
    </row>
    <row r="683" spans="1:126" ht="15" customHeight="1" x14ac:dyDescent="0.35">
      <c r="A683" t="s">
        <v>12156</v>
      </c>
      <c r="B683" t="s">
        <v>318</v>
      </c>
      <c r="C683" s="1">
        <v>44337</v>
      </c>
      <c r="D683" s="1">
        <v>44364</v>
      </c>
      <c r="H683" t="s">
        <v>319</v>
      </c>
      <c r="I683" t="s">
        <v>12157</v>
      </c>
      <c r="J683" t="s">
        <v>12158</v>
      </c>
      <c r="L683" t="s">
        <v>7995</v>
      </c>
      <c r="M683" t="s">
        <v>12159</v>
      </c>
      <c r="O683" t="s">
        <v>1882</v>
      </c>
      <c r="P683" t="s">
        <v>720</v>
      </c>
      <c r="Q683" s="3">
        <v>2459</v>
      </c>
      <c r="R683" t="s">
        <v>128</v>
      </c>
      <c r="T683" s="4">
        <v>16037858743</v>
      </c>
      <c r="V683" t="s">
        <v>12160</v>
      </c>
      <c r="W683" t="s">
        <v>12161</v>
      </c>
      <c r="X683" t="s">
        <v>12162</v>
      </c>
      <c r="Y683" t="s">
        <v>12159</v>
      </c>
      <c r="AA683" t="s">
        <v>12163</v>
      </c>
      <c r="AB683" t="s">
        <v>377</v>
      </c>
      <c r="AC683" s="3" t="str">
        <f>"02459"</f>
        <v>02459</v>
      </c>
      <c r="AD683" t="s">
        <v>128</v>
      </c>
      <c r="AF683" s="4">
        <v>16179640140</v>
      </c>
      <c r="AH683" t="str">
        <f>"713940"</f>
        <v>713940</v>
      </c>
      <c r="AI683" t="s">
        <v>130</v>
      </c>
      <c r="AJ683" t="s">
        <v>2692</v>
      </c>
      <c r="AK683" t="s">
        <v>8991</v>
      </c>
      <c r="AM683" t="s">
        <v>12164</v>
      </c>
      <c r="AN683" t="s">
        <v>12165</v>
      </c>
      <c r="AO683" t="s">
        <v>149</v>
      </c>
      <c r="AP683" t="s">
        <v>595</v>
      </c>
      <c r="AQ683" s="5">
        <v>20036</v>
      </c>
      <c r="AR683" t="s">
        <v>128</v>
      </c>
      <c r="AT683" s="4">
        <v>12027443250</v>
      </c>
      <c r="AV683" t="s">
        <v>8992</v>
      </c>
      <c r="AW683" t="s">
        <v>12166</v>
      </c>
      <c r="AX683" t="s">
        <v>131</v>
      </c>
      <c r="AY683" t="s">
        <v>131</v>
      </c>
      <c r="AZ683" t="s">
        <v>131</v>
      </c>
      <c r="BA683" t="s">
        <v>131</v>
      </c>
      <c r="BB683" t="s">
        <v>131</v>
      </c>
      <c r="BC683" t="s">
        <v>131</v>
      </c>
      <c r="BD683" t="s">
        <v>131</v>
      </c>
      <c r="BE683" t="s">
        <v>132</v>
      </c>
      <c r="BH683" t="s">
        <v>12167</v>
      </c>
      <c r="BI683" t="s">
        <v>135</v>
      </c>
      <c r="BJ683" t="s">
        <v>5284</v>
      </c>
      <c r="BK683" t="s">
        <v>4698</v>
      </c>
      <c r="BL683" t="s">
        <v>401</v>
      </c>
      <c r="BO683" t="s">
        <v>131</v>
      </c>
      <c r="BP683" t="s">
        <v>134</v>
      </c>
      <c r="BQ683" t="s">
        <v>131</v>
      </c>
      <c r="BS683" t="str">
        <f t="shared" si="48"/>
        <v>N/A</v>
      </c>
      <c r="BT683" t="s">
        <v>135</v>
      </c>
      <c r="BU683">
        <v>12</v>
      </c>
      <c r="BV683" t="str">
        <f>"Soccer coach "</f>
        <v xml:space="preserve">Soccer coach </v>
      </c>
      <c r="BW683" t="s">
        <v>131</v>
      </c>
      <c r="BX683" t="str">
        <f>""</f>
        <v/>
      </c>
      <c r="BY683" t="str">
        <f>""</f>
        <v/>
      </c>
      <c r="BZ683" t="str">
        <f>""</f>
        <v/>
      </c>
      <c r="CA683" t="str">
        <f>""</f>
        <v/>
      </c>
      <c r="CB683" t="s">
        <v>131</v>
      </c>
      <c r="CF683" t="s">
        <v>131</v>
      </c>
      <c r="CH683" t="str">
        <f>""</f>
        <v/>
      </c>
      <c r="CI683" t="s">
        <v>131</v>
      </c>
      <c r="CK683" t="s">
        <v>131</v>
      </c>
      <c r="CL683" t="str">
        <f>""</f>
        <v/>
      </c>
      <c r="CM683" t="str">
        <f>""</f>
        <v/>
      </c>
      <c r="CN683" t="str">
        <f>""</f>
        <v/>
      </c>
      <c r="CO683" t="str">
        <f>""</f>
        <v/>
      </c>
      <c r="CP683" t="str">
        <f>"27-2022.00"</f>
        <v>27-2022.00</v>
      </c>
      <c r="CQ683" t="s">
        <v>4698</v>
      </c>
      <c r="CR683" t="s">
        <v>7995</v>
      </c>
      <c r="CS683" t="s">
        <v>131</v>
      </c>
      <c r="CU683" t="s">
        <v>12159</v>
      </c>
      <c r="CW683" t="s">
        <v>10668</v>
      </c>
      <c r="CX683" t="s">
        <v>377</v>
      </c>
      <c r="CZ683" s="3" t="str">
        <f>"02459"</f>
        <v>02459</v>
      </c>
      <c r="DA683" t="s">
        <v>131</v>
      </c>
      <c r="DB683" t="str">
        <f>"27-2022"</f>
        <v>27-2022</v>
      </c>
      <c r="DC683" t="s">
        <v>4698</v>
      </c>
      <c r="DD683" t="s">
        <v>134</v>
      </c>
      <c r="DE683" t="s">
        <v>134</v>
      </c>
      <c r="DF683" t="str">
        <f>""</f>
        <v/>
      </c>
      <c r="DH683" s="6">
        <v>26.28</v>
      </c>
      <c r="DI683" t="s">
        <v>344</v>
      </c>
      <c r="DK683" t="s">
        <v>345</v>
      </c>
      <c r="DS683" s="6">
        <v>26.28</v>
      </c>
      <c r="DT683" t="s">
        <v>424</v>
      </c>
      <c r="DU683" s="1">
        <v>44364</v>
      </c>
      <c r="DV683" s="1">
        <v>44453</v>
      </c>
    </row>
    <row r="684" spans="1:126" ht="15" customHeight="1" x14ac:dyDescent="0.35">
      <c r="A684" t="s">
        <v>9123</v>
      </c>
      <c r="B684" t="s">
        <v>318</v>
      </c>
      <c r="C684" s="1">
        <v>44337</v>
      </c>
      <c r="D684" s="1">
        <v>44364</v>
      </c>
      <c r="H684" t="s">
        <v>319</v>
      </c>
      <c r="I684" t="s">
        <v>4511</v>
      </c>
      <c r="J684" t="s">
        <v>4512</v>
      </c>
      <c r="L684" t="s">
        <v>395</v>
      </c>
      <c r="M684" t="s">
        <v>4513</v>
      </c>
      <c r="O684" t="s">
        <v>642</v>
      </c>
      <c r="Q684" s="3">
        <v>30340</v>
      </c>
      <c r="R684" t="s">
        <v>643</v>
      </c>
      <c r="T684" s="4">
        <v>14049341359</v>
      </c>
      <c r="V684" t="s">
        <v>4514</v>
      </c>
      <c r="W684" t="s">
        <v>9124</v>
      </c>
      <c r="Y684" t="s">
        <v>9125</v>
      </c>
      <c r="AA684" t="s">
        <v>8760</v>
      </c>
      <c r="AB684" t="s">
        <v>643</v>
      </c>
      <c r="AC684" s="3" t="str">
        <f>"30517"</f>
        <v>30517</v>
      </c>
      <c r="AD684" t="s">
        <v>128</v>
      </c>
      <c r="AF684" s="4">
        <v>17078046221</v>
      </c>
      <c r="AH684" t="str">
        <f>"311615"</f>
        <v>311615</v>
      </c>
      <c r="AI684" t="s">
        <v>287</v>
      </c>
      <c r="AJ684" t="s">
        <v>4511</v>
      </c>
      <c r="AK684" t="s">
        <v>4512</v>
      </c>
      <c r="AM684" t="s">
        <v>4513</v>
      </c>
      <c r="AO684" t="s">
        <v>642</v>
      </c>
      <c r="AQ684" s="5">
        <v>30340</v>
      </c>
      <c r="AR684" t="s">
        <v>643</v>
      </c>
      <c r="AT684" s="4">
        <v>14049341359</v>
      </c>
      <c r="AV684" t="s">
        <v>4514</v>
      </c>
      <c r="AW684" t="s">
        <v>4517</v>
      </c>
      <c r="AX684" t="s">
        <v>131</v>
      </c>
      <c r="AY684" t="s">
        <v>131</v>
      </c>
      <c r="AZ684" t="s">
        <v>131</v>
      </c>
      <c r="BA684" t="s">
        <v>131</v>
      </c>
      <c r="BB684" t="s">
        <v>131</v>
      </c>
      <c r="BC684" t="s">
        <v>131</v>
      </c>
      <c r="BD684" t="s">
        <v>131</v>
      </c>
      <c r="BE684" t="s">
        <v>132</v>
      </c>
      <c r="BH684" t="s">
        <v>8744</v>
      </c>
      <c r="BI684" t="s">
        <v>131</v>
      </c>
      <c r="BL684" t="s">
        <v>167</v>
      </c>
      <c r="BO684" t="s">
        <v>131</v>
      </c>
      <c r="BP684" t="s">
        <v>134</v>
      </c>
      <c r="BQ684" t="s">
        <v>131</v>
      </c>
      <c r="BS684" t="str">
        <f t="shared" si="48"/>
        <v>N/A</v>
      </c>
      <c r="BT684" t="s">
        <v>131</v>
      </c>
      <c r="BV684" t="str">
        <f>""</f>
        <v/>
      </c>
      <c r="BW684" t="s">
        <v>131</v>
      </c>
      <c r="BX684" t="str">
        <f>""</f>
        <v/>
      </c>
      <c r="BY684" t="str">
        <f>""</f>
        <v/>
      </c>
      <c r="BZ684" t="str">
        <f>""</f>
        <v/>
      </c>
      <c r="CA684" t="str">
        <f>""</f>
        <v/>
      </c>
      <c r="CB684" t="s">
        <v>131</v>
      </c>
      <c r="CF684" t="s">
        <v>131</v>
      </c>
      <c r="CH684" t="str">
        <f>""</f>
        <v/>
      </c>
      <c r="CI684" t="s">
        <v>131</v>
      </c>
      <c r="CK684" t="s">
        <v>131</v>
      </c>
      <c r="CL684" t="str">
        <f>""</f>
        <v/>
      </c>
      <c r="CM684" t="str">
        <f>""</f>
        <v/>
      </c>
      <c r="CN684" t="str">
        <f>""</f>
        <v/>
      </c>
      <c r="CO684" t="str">
        <f>""</f>
        <v/>
      </c>
      <c r="CP684" t="str">
        <f>"51-3022.00"</f>
        <v>51-3022.00</v>
      </c>
      <c r="CQ684" t="s">
        <v>1114</v>
      </c>
      <c r="CR684" t="s">
        <v>9126</v>
      </c>
      <c r="CS684" t="s">
        <v>131</v>
      </c>
      <c r="CU684" t="s">
        <v>9125</v>
      </c>
      <c r="CW684" t="s">
        <v>8760</v>
      </c>
      <c r="CX684" t="s">
        <v>643</v>
      </c>
      <c r="CZ684" s="3" t="str">
        <f>"30517"</f>
        <v>30517</v>
      </c>
      <c r="DA684" t="s">
        <v>131</v>
      </c>
      <c r="DB684" t="str">
        <f>"51-3022"</f>
        <v>51-3022</v>
      </c>
      <c r="DC684" t="s">
        <v>1114</v>
      </c>
      <c r="DD684" t="s">
        <v>134</v>
      </c>
      <c r="DE684" t="s">
        <v>134</v>
      </c>
      <c r="DF684" t="str">
        <f>""</f>
        <v/>
      </c>
      <c r="DH684" s="6">
        <v>12.82</v>
      </c>
      <c r="DI684" t="s">
        <v>344</v>
      </c>
      <c r="DK684" t="s">
        <v>345</v>
      </c>
      <c r="DR684" t="s">
        <v>9127</v>
      </c>
      <c r="DS684" s="6">
        <v>12.82</v>
      </c>
      <c r="DT684" t="s">
        <v>424</v>
      </c>
      <c r="DU684" s="1">
        <v>44364</v>
      </c>
      <c r="DV684" s="1">
        <v>44453</v>
      </c>
    </row>
    <row r="685" spans="1:126" ht="15" customHeight="1" x14ac:dyDescent="0.35">
      <c r="A685" t="s">
        <v>15513</v>
      </c>
      <c r="B685" t="s">
        <v>318</v>
      </c>
      <c r="C685" s="1">
        <v>44337</v>
      </c>
      <c r="D685" s="1">
        <v>44368</v>
      </c>
      <c r="H685" t="s">
        <v>319</v>
      </c>
      <c r="I685" t="s">
        <v>15514</v>
      </c>
      <c r="J685" t="s">
        <v>15515</v>
      </c>
      <c r="L685" t="s">
        <v>15516</v>
      </c>
      <c r="M685" t="s">
        <v>15517</v>
      </c>
      <c r="O685" t="s">
        <v>15518</v>
      </c>
      <c r="P685" t="s">
        <v>194</v>
      </c>
      <c r="Q685" s="3">
        <v>32967</v>
      </c>
      <c r="R685" t="s">
        <v>128</v>
      </c>
      <c r="S685" t="s">
        <v>15519</v>
      </c>
      <c r="T685" s="4">
        <v>17726183239</v>
      </c>
      <c r="V685" t="s">
        <v>15520</v>
      </c>
      <c r="W685" t="s">
        <v>15521</v>
      </c>
      <c r="X685" t="s">
        <v>15521</v>
      </c>
      <c r="Y685" t="s">
        <v>15522</v>
      </c>
      <c r="AA685" t="s">
        <v>15523</v>
      </c>
      <c r="AB685" t="s">
        <v>1512</v>
      </c>
      <c r="AC685" s="3" t="str">
        <f>"92766"</f>
        <v>92766</v>
      </c>
      <c r="AD685" t="s">
        <v>128</v>
      </c>
      <c r="AE685" t="s">
        <v>15524</v>
      </c>
      <c r="AF685" s="4">
        <v>15037610989</v>
      </c>
      <c r="AH685" t="str">
        <f>"71119"</f>
        <v>71119</v>
      </c>
      <c r="AI685" t="s">
        <v>287</v>
      </c>
      <c r="AJ685" t="s">
        <v>15514</v>
      </c>
      <c r="AK685" t="s">
        <v>15515</v>
      </c>
      <c r="AM685" t="s">
        <v>15517</v>
      </c>
      <c r="AO685" t="s">
        <v>15518</v>
      </c>
      <c r="AP685" t="s">
        <v>195</v>
      </c>
      <c r="AQ685" s="5">
        <v>32967</v>
      </c>
      <c r="AR685" t="s">
        <v>128</v>
      </c>
      <c r="AT685" s="4">
        <v>1726183239</v>
      </c>
      <c r="AV685" t="s">
        <v>15520</v>
      </c>
      <c r="AW685" t="s">
        <v>15525</v>
      </c>
      <c r="AX685" t="s">
        <v>131</v>
      </c>
      <c r="AY685" t="s">
        <v>131</v>
      </c>
      <c r="AZ685" t="s">
        <v>131</v>
      </c>
      <c r="BA685" t="s">
        <v>131</v>
      </c>
      <c r="BB685" t="s">
        <v>131</v>
      </c>
      <c r="BC685" t="s">
        <v>131</v>
      </c>
      <c r="BD685" t="s">
        <v>131</v>
      </c>
      <c r="BE685" t="s">
        <v>132</v>
      </c>
      <c r="BH685" t="s">
        <v>15526</v>
      </c>
      <c r="BI685" t="s">
        <v>131</v>
      </c>
      <c r="BL685" t="s">
        <v>167</v>
      </c>
      <c r="BO685" t="s">
        <v>131</v>
      </c>
      <c r="BP685" t="s">
        <v>134</v>
      </c>
      <c r="BQ685" t="s">
        <v>131</v>
      </c>
      <c r="BS685" t="str">
        <f t="shared" si="48"/>
        <v>N/A</v>
      </c>
      <c r="BT685" t="s">
        <v>135</v>
      </c>
      <c r="BU685">
        <v>1</v>
      </c>
      <c r="BV685" t="str">
        <f>"carnival worker"</f>
        <v>carnival worker</v>
      </c>
      <c r="BW685" t="s">
        <v>131</v>
      </c>
      <c r="BX685" t="str">
        <f>""</f>
        <v/>
      </c>
      <c r="BY685" t="str">
        <f>""</f>
        <v/>
      </c>
      <c r="BZ685" t="str">
        <f>""</f>
        <v/>
      </c>
      <c r="CA685" t="str">
        <f>""</f>
        <v/>
      </c>
      <c r="CB685" t="s">
        <v>131</v>
      </c>
      <c r="CF685" t="s">
        <v>131</v>
      </c>
      <c r="CH685" t="str">
        <f>""</f>
        <v/>
      </c>
      <c r="CI685" t="s">
        <v>131</v>
      </c>
      <c r="CK685" t="s">
        <v>131</v>
      </c>
      <c r="CL685" t="str">
        <f>""</f>
        <v/>
      </c>
      <c r="CM685" t="str">
        <f>""</f>
        <v/>
      </c>
      <c r="CN685" t="str">
        <f>""</f>
        <v/>
      </c>
      <c r="CO685" t="str">
        <f>""</f>
        <v/>
      </c>
      <c r="CP685" t="str">
        <f>"49-9098.00"</f>
        <v>49-9098.00</v>
      </c>
      <c r="CQ685" t="s">
        <v>1503</v>
      </c>
      <c r="CR685" t="s">
        <v>15516</v>
      </c>
      <c r="CS685" t="s">
        <v>135</v>
      </c>
      <c r="CT685" t="s">
        <v>15527</v>
      </c>
      <c r="CU685" t="s">
        <v>15528</v>
      </c>
      <c r="CW685" t="s">
        <v>6396</v>
      </c>
      <c r="CX685" t="s">
        <v>1512</v>
      </c>
      <c r="CZ685" s="3" t="str">
        <f>"92766"</f>
        <v>92766</v>
      </c>
      <c r="DA685" t="s">
        <v>131</v>
      </c>
      <c r="DB685" t="str">
        <f>"49-9098"</f>
        <v>49-9098</v>
      </c>
      <c r="DC685" t="s">
        <v>1503</v>
      </c>
      <c r="DD685" t="s">
        <v>134</v>
      </c>
      <c r="DE685" t="s">
        <v>134</v>
      </c>
      <c r="DF685" t="str">
        <f>""</f>
        <v/>
      </c>
      <c r="DH685" s="6">
        <v>17.600000000000001</v>
      </c>
      <c r="DI685" t="s">
        <v>344</v>
      </c>
      <c r="DK685" t="s">
        <v>345</v>
      </c>
      <c r="DR685" t="s">
        <v>10682</v>
      </c>
      <c r="DS685" s="6">
        <v>17.600000000000001</v>
      </c>
      <c r="DT685" t="s">
        <v>424</v>
      </c>
      <c r="DU685" s="1">
        <v>44368</v>
      </c>
      <c r="DV685" s="1">
        <v>44457</v>
      </c>
    </row>
    <row r="686" spans="1:126" ht="15" customHeight="1" x14ac:dyDescent="0.35">
      <c r="A686" t="s">
        <v>14513</v>
      </c>
      <c r="B686" t="s">
        <v>318</v>
      </c>
      <c r="C686" s="1">
        <v>44337</v>
      </c>
      <c r="D686" s="1">
        <v>44364</v>
      </c>
      <c r="H686" t="s">
        <v>319</v>
      </c>
      <c r="I686" t="s">
        <v>4511</v>
      </c>
      <c r="J686" t="s">
        <v>4512</v>
      </c>
      <c r="L686" t="s">
        <v>395</v>
      </c>
      <c r="M686" t="s">
        <v>4513</v>
      </c>
      <c r="O686" t="s">
        <v>642</v>
      </c>
      <c r="Q686" s="3">
        <v>30340</v>
      </c>
      <c r="R686" t="s">
        <v>643</v>
      </c>
      <c r="T686" s="4">
        <v>14049341359</v>
      </c>
      <c r="V686" t="s">
        <v>4514</v>
      </c>
      <c r="W686" t="s">
        <v>14514</v>
      </c>
      <c r="Y686" t="s">
        <v>14515</v>
      </c>
      <c r="Z686" t="s">
        <v>14516</v>
      </c>
      <c r="AA686" t="s">
        <v>3561</v>
      </c>
      <c r="AC686" s="3" t="str">
        <f>"30043"</f>
        <v>30043</v>
      </c>
      <c r="AD686" t="s">
        <v>643</v>
      </c>
      <c r="AF686" s="4">
        <v>14049062091</v>
      </c>
      <c r="AH686" t="str">
        <f>"311615"</f>
        <v>311615</v>
      </c>
      <c r="AI686" t="s">
        <v>287</v>
      </c>
      <c r="AJ686" t="s">
        <v>4511</v>
      </c>
      <c r="AK686" t="s">
        <v>4512</v>
      </c>
      <c r="AM686" t="s">
        <v>4513</v>
      </c>
      <c r="AO686" t="s">
        <v>642</v>
      </c>
      <c r="AQ686" s="5">
        <v>30340</v>
      </c>
      <c r="AR686" t="s">
        <v>643</v>
      </c>
      <c r="AT686" s="4">
        <v>14049341359</v>
      </c>
      <c r="AV686" t="s">
        <v>4514</v>
      </c>
      <c r="AW686" t="s">
        <v>4517</v>
      </c>
      <c r="AX686" t="s">
        <v>131</v>
      </c>
      <c r="AY686" t="s">
        <v>131</v>
      </c>
      <c r="AZ686" t="s">
        <v>131</v>
      </c>
      <c r="BA686" t="s">
        <v>131</v>
      </c>
      <c r="BB686" t="s">
        <v>131</v>
      </c>
      <c r="BC686" t="s">
        <v>131</v>
      </c>
      <c r="BD686" t="s">
        <v>131</v>
      </c>
      <c r="BE686" t="s">
        <v>132</v>
      </c>
      <c r="BH686" t="s">
        <v>8744</v>
      </c>
      <c r="BI686" t="s">
        <v>131</v>
      </c>
      <c r="BL686" t="s">
        <v>167</v>
      </c>
      <c r="BO686" t="s">
        <v>131</v>
      </c>
      <c r="BP686" t="s">
        <v>134</v>
      </c>
      <c r="BQ686" t="s">
        <v>131</v>
      </c>
      <c r="BS686" t="str">
        <f t="shared" si="48"/>
        <v>N/A</v>
      </c>
      <c r="BT686" t="s">
        <v>131</v>
      </c>
      <c r="BV686" t="str">
        <f>""</f>
        <v/>
      </c>
      <c r="BW686" t="s">
        <v>131</v>
      </c>
      <c r="BX686" t="str">
        <f>""</f>
        <v/>
      </c>
      <c r="BY686" t="str">
        <f>""</f>
        <v/>
      </c>
      <c r="BZ686" t="str">
        <f>""</f>
        <v/>
      </c>
      <c r="CA686" t="str">
        <f>""</f>
        <v/>
      </c>
      <c r="CB686" t="s">
        <v>131</v>
      </c>
      <c r="CF686" t="s">
        <v>131</v>
      </c>
      <c r="CH686" t="str">
        <f>""</f>
        <v/>
      </c>
      <c r="CI686" t="s">
        <v>131</v>
      </c>
      <c r="CK686" t="s">
        <v>131</v>
      </c>
      <c r="CL686" t="str">
        <f>""</f>
        <v/>
      </c>
      <c r="CM686" t="str">
        <f>""</f>
        <v/>
      </c>
      <c r="CN686" t="str">
        <f>""</f>
        <v/>
      </c>
      <c r="CO686" t="str">
        <f>""</f>
        <v/>
      </c>
      <c r="CP686" t="str">
        <f>"51-3022.00"</f>
        <v>51-3022.00</v>
      </c>
      <c r="CQ686" t="s">
        <v>1114</v>
      </c>
      <c r="CS686" t="s">
        <v>131</v>
      </c>
      <c r="CU686" t="s">
        <v>14517</v>
      </c>
      <c r="CW686" t="s">
        <v>14518</v>
      </c>
      <c r="CX686" t="s">
        <v>643</v>
      </c>
      <c r="CZ686" s="3" t="str">
        <f>"30517"</f>
        <v>30517</v>
      </c>
      <c r="DA686" t="s">
        <v>131</v>
      </c>
      <c r="DB686" t="str">
        <f>"51-3022"</f>
        <v>51-3022</v>
      </c>
      <c r="DC686" t="s">
        <v>1114</v>
      </c>
      <c r="DD686" t="s">
        <v>134</v>
      </c>
      <c r="DE686" t="s">
        <v>134</v>
      </c>
      <c r="DF686" t="str">
        <f>""</f>
        <v/>
      </c>
      <c r="DH686" s="6">
        <v>12.82</v>
      </c>
      <c r="DI686" t="s">
        <v>344</v>
      </c>
      <c r="DK686" t="s">
        <v>345</v>
      </c>
      <c r="DS686" s="6">
        <v>12.82</v>
      </c>
      <c r="DT686" t="s">
        <v>424</v>
      </c>
      <c r="DU686" s="1">
        <v>44364</v>
      </c>
      <c r="DV686" s="1">
        <v>44453</v>
      </c>
    </row>
    <row r="687" spans="1:126" ht="15" customHeight="1" x14ac:dyDescent="0.35">
      <c r="A687" t="s">
        <v>20101</v>
      </c>
      <c r="B687" t="s">
        <v>318</v>
      </c>
      <c r="C687" s="1">
        <v>44337</v>
      </c>
      <c r="D687" s="1">
        <v>44364</v>
      </c>
      <c r="H687" t="s">
        <v>319</v>
      </c>
      <c r="I687" t="s">
        <v>839</v>
      </c>
      <c r="J687" t="s">
        <v>1544</v>
      </c>
      <c r="L687" t="s">
        <v>1031</v>
      </c>
      <c r="M687" t="s">
        <v>20102</v>
      </c>
      <c r="O687" t="s">
        <v>3249</v>
      </c>
      <c r="P687" t="s">
        <v>778</v>
      </c>
      <c r="Q687" s="3">
        <v>37183</v>
      </c>
      <c r="R687" t="s">
        <v>128</v>
      </c>
      <c r="T687" s="4">
        <v>19316195847</v>
      </c>
      <c r="V687" t="s">
        <v>20103</v>
      </c>
      <c r="W687" t="s">
        <v>20104</v>
      </c>
      <c r="Y687" t="s">
        <v>20102</v>
      </c>
      <c r="AA687" t="s">
        <v>3249</v>
      </c>
      <c r="AB687" t="s">
        <v>779</v>
      </c>
      <c r="AC687" s="3" t="str">
        <f>"37183"</f>
        <v>37183</v>
      </c>
      <c r="AD687" t="s">
        <v>128</v>
      </c>
      <c r="AF687" s="4">
        <v>19313890909</v>
      </c>
      <c r="AH687" t="str">
        <f>"2371"</f>
        <v>2371</v>
      </c>
      <c r="AI687" t="s">
        <v>130</v>
      </c>
      <c r="AJ687" t="s">
        <v>3252</v>
      </c>
      <c r="AK687" t="s">
        <v>3253</v>
      </c>
      <c r="AL687" t="s">
        <v>589</v>
      </c>
      <c r="AM687" t="s">
        <v>3254</v>
      </c>
      <c r="AO687" t="s">
        <v>3255</v>
      </c>
      <c r="AP687" t="s">
        <v>779</v>
      </c>
      <c r="AQ687" s="5">
        <v>37110</v>
      </c>
      <c r="AR687" t="s">
        <v>128</v>
      </c>
      <c r="AT687" s="4">
        <v>19312747811</v>
      </c>
      <c r="AV687" t="s">
        <v>3256</v>
      </c>
      <c r="AW687" t="s">
        <v>3257</v>
      </c>
      <c r="AX687" t="s">
        <v>131</v>
      </c>
      <c r="AY687" t="s">
        <v>131</v>
      </c>
      <c r="AZ687" t="s">
        <v>131</v>
      </c>
      <c r="BA687" t="s">
        <v>131</v>
      </c>
      <c r="BB687" t="s">
        <v>131</v>
      </c>
      <c r="BC687" t="s">
        <v>131</v>
      </c>
      <c r="BD687" t="s">
        <v>131</v>
      </c>
      <c r="BE687" t="s">
        <v>132</v>
      </c>
      <c r="BH687" t="s">
        <v>3258</v>
      </c>
      <c r="BI687" t="s">
        <v>131</v>
      </c>
      <c r="BL687" t="s">
        <v>167</v>
      </c>
      <c r="BO687" t="s">
        <v>131</v>
      </c>
      <c r="BP687" t="s">
        <v>134</v>
      </c>
      <c r="BQ687" t="s">
        <v>131</v>
      </c>
      <c r="BS687" t="str">
        <f t="shared" si="48"/>
        <v>N/A</v>
      </c>
      <c r="BT687" t="s">
        <v>131</v>
      </c>
      <c r="BV687" t="str">
        <f>""</f>
        <v/>
      </c>
      <c r="BW687" t="s">
        <v>135</v>
      </c>
      <c r="BX687" t="str">
        <f>""</f>
        <v/>
      </c>
      <c r="BY687" t="str">
        <f>""</f>
        <v/>
      </c>
      <c r="BZ687" t="str">
        <f>""</f>
        <v/>
      </c>
      <c r="CA687" t="str">
        <f>"MUST BE ABLE TO LIFT 75 LBS. POST-HIRE DRUG SCREEN AT EMPLOYER'S EXPENSE. REPETITIVE MOVEMENTS, FREQUENT STOOPING, EXPOSURE TO EXTREME TEMPERATURES. "</f>
        <v xml:space="preserve">MUST BE ABLE TO LIFT 75 LBS. POST-HIRE DRUG SCREEN AT EMPLOYER'S EXPENSE. REPETITIVE MOVEMENTS, FREQUENT STOOPING, EXPOSURE TO EXTREME TEMPERATURES. </v>
      </c>
      <c r="CB687" t="s">
        <v>131</v>
      </c>
      <c r="CF687" t="s">
        <v>131</v>
      </c>
      <c r="CH687" t="str">
        <f>""</f>
        <v/>
      </c>
      <c r="CI687" t="s">
        <v>131</v>
      </c>
      <c r="CK687" t="s">
        <v>131</v>
      </c>
      <c r="CL687" t="str">
        <f>""</f>
        <v/>
      </c>
      <c r="CM687" t="str">
        <f>""</f>
        <v/>
      </c>
      <c r="CN687" t="str">
        <f>""</f>
        <v/>
      </c>
      <c r="CO687" t="str">
        <f>""</f>
        <v/>
      </c>
      <c r="CP687" t="str">
        <f>"47-2061.00"</f>
        <v>47-2061.00</v>
      </c>
      <c r="CQ687" t="s">
        <v>393</v>
      </c>
      <c r="CS687" t="s">
        <v>131</v>
      </c>
      <c r="CU687" t="s">
        <v>20105</v>
      </c>
      <c r="CW687" t="s">
        <v>3249</v>
      </c>
      <c r="CX687" t="s">
        <v>779</v>
      </c>
      <c r="CZ687" s="3" t="str">
        <f>"37183"</f>
        <v>37183</v>
      </c>
      <c r="DA687" t="s">
        <v>135</v>
      </c>
      <c r="DB687" t="str">
        <f>"47-2061"</f>
        <v>47-2061</v>
      </c>
      <c r="DC687" t="s">
        <v>393</v>
      </c>
      <c r="DD687" t="s">
        <v>134</v>
      </c>
      <c r="DE687" t="s">
        <v>134</v>
      </c>
      <c r="DF687" t="str">
        <f>""</f>
        <v/>
      </c>
      <c r="DH687" s="6">
        <v>15.35</v>
      </c>
      <c r="DI687" t="s">
        <v>344</v>
      </c>
      <c r="DK687" t="s">
        <v>345</v>
      </c>
      <c r="DR687" t="s">
        <v>3260</v>
      </c>
      <c r="DS687" s="6">
        <v>16.559999999999999</v>
      </c>
      <c r="DT687" t="s">
        <v>424</v>
      </c>
      <c r="DU687" s="1">
        <v>44364</v>
      </c>
      <c r="DV687" s="1">
        <v>44453</v>
      </c>
    </row>
    <row r="688" spans="1:126" ht="15" customHeight="1" x14ac:dyDescent="0.35">
      <c r="A688" t="s">
        <v>3247</v>
      </c>
      <c r="B688" t="s">
        <v>318</v>
      </c>
      <c r="C688" s="1">
        <v>44337</v>
      </c>
      <c r="D688" s="1">
        <v>44364</v>
      </c>
      <c r="H688" t="s">
        <v>319</v>
      </c>
      <c r="I688" t="s">
        <v>839</v>
      </c>
      <c r="J688" t="s">
        <v>1544</v>
      </c>
      <c r="L688" t="s">
        <v>1031</v>
      </c>
      <c r="M688" t="s">
        <v>3248</v>
      </c>
      <c r="O688" t="s">
        <v>3249</v>
      </c>
      <c r="P688" t="s">
        <v>778</v>
      </c>
      <c r="Q688" s="3">
        <v>37183</v>
      </c>
      <c r="R688" t="s">
        <v>128</v>
      </c>
      <c r="T688" s="4">
        <v>19316195847</v>
      </c>
      <c r="V688" t="s">
        <v>3250</v>
      </c>
      <c r="W688" t="s">
        <v>3251</v>
      </c>
      <c r="Y688" t="s">
        <v>3248</v>
      </c>
      <c r="AA688" t="s">
        <v>3249</v>
      </c>
      <c r="AB688" t="s">
        <v>779</v>
      </c>
      <c r="AC688" s="3" t="str">
        <f>"37183"</f>
        <v>37183</v>
      </c>
      <c r="AD688" t="s">
        <v>128</v>
      </c>
      <c r="AF688" s="4">
        <v>19313899671</v>
      </c>
      <c r="AH688" t="str">
        <f>"237310"</f>
        <v>237310</v>
      </c>
      <c r="AI688" t="s">
        <v>130</v>
      </c>
      <c r="AJ688" t="s">
        <v>3252</v>
      </c>
      <c r="AK688" t="s">
        <v>3253</v>
      </c>
      <c r="AL688" t="s">
        <v>589</v>
      </c>
      <c r="AM688" t="s">
        <v>3254</v>
      </c>
      <c r="AO688" t="s">
        <v>3255</v>
      </c>
      <c r="AP688" t="s">
        <v>779</v>
      </c>
      <c r="AQ688" s="5">
        <v>37110</v>
      </c>
      <c r="AR688" t="s">
        <v>128</v>
      </c>
      <c r="AT688" s="4">
        <v>19312747811</v>
      </c>
      <c r="AV688" t="s">
        <v>3256</v>
      </c>
      <c r="AW688" t="s">
        <v>3257</v>
      </c>
      <c r="AX688" t="s">
        <v>131</v>
      </c>
      <c r="AY688" t="s">
        <v>131</v>
      </c>
      <c r="AZ688" t="s">
        <v>131</v>
      </c>
      <c r="BA688" t="s">
        <v>131</v>
      </c>
      <c r="BB688" t="s">
        <v>131</v>
      </c>
      <c r="BC688" t="s">
        <v>131</v>
      </c>
      <c r="BD688" t="s">
        <v>131</v>
      </c>
      <c r="BE688" t="s">
        <v>132</v>
      </c>
      <c r="BH688" t="s">
        <v>3258</v>
      </c>
      <c r="BI688" t="s">
        <v>131</v>
      </c>
      <c r="BL688" t="s">
        <v>167</v>
      </c>
      <c r="BO688" t="s">
        <v>131</v>
      </c>
      <c r="BP688" t="s">
        <v>134</v>
      </c>
      <c r="BQ688" t="s">
        <v>131</v>
      </c>
      <c r="BS688" t="str">
        <f t="shared" si="48"/>
        <v>N/A</v>
      </c>
      <c r="BT688" t="s">
        <v>135</v>
      </c>
      <c r="BU688">
        <v>3</v>
      </c>
      <c r="BV688" t="str">
        <f>"road or concrete construction"</f>
        <v>road or concrete construction</v>
      </c>
      <c r="BW688" t="s">
        <v>135</v>
      </c>
      <c r="BX688" t="str">
        <f>""</f>
        <v/>
      </c>
      <c r="BY688" t="str">
        <f>""</f>
        <v/>
      </c>
      <c r="BZ688" t="str">
        <f>""</f>
        <v/>
      </c>
      <c r="CA688" t="str">
        <f>"Must be able to lift 50lbs. Post-hire drug screen at employer's expense. Repetitive movements. Extensive pushing/pulling. Extensive walking. Exposure to extreme temperatures. "</f>
        <v xml:space="preserve">Must be able to lift 50lbs. Post-hire drug screen at employer's expense. Repetitive movements. Extensive pushing/pulling. Extensive walking. Exposure to extreme temperatures. </v>
      </c>
      <c r="CB688" t="s">
        <v>131</v>
      </c>
      <c r="CF688" t="s">
        <v>131</v>
      </c>
      <c r="CH688" t="str">
        <f>""</f>
        <v/>
      </c>
      <c r="CI688" t="s">
        <v>131</v>
      </c>
      <c r="CK688" t="s">
        <v>131</v>
      </c>
      <c r="CL688" t="str">
        <f>""</f>
        <v/>
      </c>
      <c r="CM688" t="str">
        <f>""</f>
        <v/>
      </c>
      <c r="CN688" t="str">
        <f>""</f>
        <v/>
      </c>
      <c r="CO688" t="str">
        <f>""</f>
        <v/>
      </c>
      <c r="CP688" t="str">
        <f>"47-2061.00"</f>
        <v>47-2061.00</v>
      </c>
      <c r="CQ688" t="s">
        <v>393</v>
      </c>
      <c r="CS688" t="s">
        <v>131</v>
      </c>
      <c r="CU688" t="s">
        <v>3259</v>
      </c>
      <c r="CW688" t="s">
        <v>3249</v>
      </c>
      <c r="CX688" t="s">
        <v>779</v>
      </c>
      <c r="CZ688" s="3" t="str">
        <f>"37183"</f>
        <v>37183</v>
      </c>
      <c r="DA688" t="s">
        <v>135</v>
      </c>
      <c r="DB688" t="str">
        <f>"47-2061"</f>
        <v>47-2061</v>
      </c>
      <c r="DC688" t="s">
        <v>393</v>
      </c>
      <c r="DD688" t="s">
        <v>134</v>
      </c>
      <c r="DE688" t="s">
        <v>134</v>
      </c>
      <c r="DF688" t="str">
        <f>""</f>
        <v/>
      </c>
      <c r="DH688" s="6">
        <v>15.35</v>
      </c>
      <c r="DI688" t="s">
        <v>344</v>
      </c>
      <c r="DK688" t="s">
        <v>345</v>
      </c>
      <c r="DR688" t="s">
        <v>3260</v>
      </c>
      <c r="DS688" s="6">
        <v>16.559999999999999</v>
      </c>
      <c r="DT688" t="s">
        <v>424</v>
      </c>
      <c r="DU688" s="1">
        <v>44364</v>
      </c>
      <c r="DV688" s="1">
        <v>44453</v>
      </c>
    </row>
    <row r="689" spans="1:126" ht="15" customHeight="1" x14ac:dyDescent="0.35">
      <c r="A689" t="s">
        <v>15551</v>
      </c>
      <c r="B689" t="s">
        <v>318</v>
      </c>
      <c r="C689" s="1">
        <v>44337</v>
      </c>
      <c r="D689" s="1">
        <v>44368</v>
      </c>
      <c r="H689" t="s">
        <v>319</v>
      </c>
      <c r="I689" t="s">
        <v>15552</v>
      </c>
      <c r="J689" t="s">
        <v>2240</v>
      </c>
      <c r="L689" t="s">
        <v>395</v>
      </c>
      <c r="M689" t="s">
        <v>15553</v>
      </c>
      <c r="O689" t="s">
        <v>15554</v>
      </c>
      <c r="P689" t="s">
        <v>194</v>
      </c>
      <c r="Q689" s="3">
        <v>33838</v>
      </c>
      <c r="R689" t="s">
        <v>128</v>
      </c>
      <c r="T689" s="4">
        <v>18634394225</v>
      </c>
      <c r="V689" t="s">
        <v>15555</v>
      </c>
      <c r="W689" t="s">
        <v>15556</v>
      </c>
      <c r="Y689" t="s">
        <v>15553</v>
      </c>
      <c r="AA689" t="s">
        <v>15554</v>
      </c>
      <c r="AB689" t="s">
        <v>195</v>
      </c>
      <c r="AC689" s="3" t="str">
        <f>"33838"</f>
        <v>33838</v>
      </c>
      <c r="AD689" t="s">
        <v>128</v>
      </c>
      <c r="AF689" s="4">
        <v>18634394225</v>
      </c>
      <c r="AH689" t="str">
        <f>"111310"</f>
        <v>111310</v>
      </c>
      <c r="AI689" t="s">
        <v>130</v>
      </c>
      <c r="AJ689" t="s">
        <v>1709</v>
      </c>
      <c r="AK689" t="s">
        <v>1710</v>
      </c>
      <c r="AL689" t="s">
        <v>695</v>
      </c>
      <c r="AM689" t="s">
        <v>1711</v>
      </c>
      <c r="AO689" t="s">
        <v>792</v>
      </c>
      <c r="AP689" t="s">
        <v>172</v>
      </c>
      <c r="AQ689" s="5">
        <v>92106</v>
      </c>
      <c r="AR689" t="s">
        <v>128</v>
      </c>
      <c r="AT689" s="4">
        <v>16192696164</v>
      </c>
      <c r="AV689" t="s">
        <v>1712</v>
      </c>
      <c r="AW689" t="s">
        <v>1713</v>
      </c>
      <c r="AX689" t="s">
        <v>131</v>
      </c>
      <c r="AY689" t="s">
        <v>131</v>
      </c>
      <c r="AZ689" t="s">
        <v>131</v>
      </c>
      <c r="BA689" t="s">
        <v>131</v>
      </c>
      <c r="BB689" t="s">
        <v>131</v>
      </c>
      <c r="BC689" t="s">
        <v>131</v>
      </c>
      <c r="BD689" t="s">
        <v>131</v>
      </c>
      <c r="BE689" t="s">
        <v>132</v>
      </c>
      <c r="BH689" t="s">
        <v>15557</v>
      </c>
      <c r="BI689" t="s">
        <v>131</v>
      </c>
      <c r="BL689" t="s">
        <v>167</v>
      </c>
      <c r="BO689" t="s">
        <v>131</v>
      </c>
      <c r="BP689" t="s">
        <v>134</v>
      </c>
      <c r="BQ689" t="s">
        <v>131</v>
      </c>
      <c r="BS689" t="str">
        <f t="shared" si="48"/>
        <v>N/A</v>
      </c>
      <c r="BT689" t="s">
        <v>131</v>
      </c>
      <c r="BV689" t="str">
        <f>""</f>
        <v/>
      </c>
      <c r="BW689" t="s">
        <v>135</v>
      </c>
      <c r="BX689" t="str">
        <f>"Must have a valid commercial drivers license or above, pass a required drivers license background check and mandated drug and alcohol test. "</f>
        <v xml:space="preserve">Must have a valid commercial drivers license or above, pass a required drivers license background check and mandated drug and alcohol test. </v>
      </c>
      <c r="BY689" t="str">
        <f>""</f>
        <v/>
      </c>
      <c r="BZ689" t="str">
        <f>""</f>
        <v/>
      </c>
      <c r="CA689" t="s">
        <v>15558</v>
      </c>
      <c r="CB689" t="s">
        <v>131</v>
      </c>
      <c r="CF689" t="s">
        <v>131</v>
      </c>
      <c r="CH689" t="str">
        <f>""</f>
        <v/>
      </c>
      <c r="CI689" t="s">
        <v>131</v>
      </c>
      <c r="CK689" t="s">
        <v>131</v>
      </c>
      <c r="CL689" t="str">
        <f>""</f>
        <v/>
      </c>
      <c r="CM689" t="str">
        <f>""</f>
        <v/>
      </c>
      <c r="CN689" t="str">
        <f>""</f>
        <v/>
      </c>
      <c r="CO689" t="str">
        <f>""</f>
        <v/>
      </c>
      <c r="CP689" t="str">
        <f>"49-3041.00"</f>
        <v>49-3041.00</v>
      </c>
      <c r="CQ689" t="s">
        <v>6270</v>
      </c>
      <c r="CR689" t="s">
        <v>1426</v>
      </c>
      <c r="CS689" t="s">
        <v>135</v>
      </c>
      <c r="CT689" t="s">
        <v>15559</v>
      </c>
      <c r="CU689" t="s">
        <v>15560</v>
      </c>
      <c r="CW689" t="s">
        <v>15554</v>
      </c>
      <c r="CX689" t="s">
        <v>195</v>
      </c>
      <c r="CZ689" s="3" t="str">
        <f>"33838"</f>
        <v>33838</v>
      </c>
      <c r="DA689" t="s">
        <v>131</v>
      </c>
      <c r="DB689" t="str">
        <f>"49-3041"</f>
        <v>49-3041</v>
      </c>
      <c r="DC689" t="s">
        <v>6270</v>
      </c>
      <c r="DD689" t="s">
        <v>134</v>
      </c>
      <c r="DE689" t="s">
        <v>134</v>
      </c>
      <c r="DF689" t="str">
        <f>""</f>
        <v/>
      </c>
      <c r="DH689" s="6">
        <v>19.89</v>
      </c>
      <c r="DI689" t="s">
        <v>344</v>
      </c>
      <c r="DK689" t="s">
        <v>345</v>
      </c>
      <c r="DS689" s="6">
        <v>19.89</v>
      </c>
      <c r="DT689" t="s">
        <v>424</v>
      </c>
      <c r="DU689" s="1">
        <v>44368</v>
      </c>
      <c r="DV689" s="1">
        <v>44457</v>
      </c>
    </row>
    <row r="690" spans="1:126" ht="15" customHeight="1" x14ac:dyDescent="0.35">
      <c r="A690" t="s">
        <v>8401</v>
      </c>
      <c r="B690" t="s">
        <v>318</v>
      </c>
      <c r="C690" s="1">
        <v>44337</v>
      </c>
      <c r="D690" s="1">
        <v>44364</v>
      </c>
      <c r="H690" t="s">
        <v>319</v>
      </c>
      <c r="I690" t="s">
        <v>8402</v>
      </c>
      <c r="J690" t="s">
        <v>8403</v>
      </c>
      <c r="L690" t="s">
        <v>1105</v>
      </c>
      <c r="M690" t="s">
        <v>8404</v>
      </c>
      <c r="O690" t="s">
        <v>8405</v>
      </c>
      <c r="P690" t="s">
        <v>412</v>
      </c>
      <c r="Q690" s="3">
        <v>79772</v>
      </c>
      <c r="R690" t="s">
        <v>128</v>
      </c>
      <c r="T690" s="4">
        <v>14324482414</v>
      </c>
      <c r="V690" t="s">
        <v>8406</v>
      </c>
      <c r="W690" t="s">
        <v>8407</v>
      </c>
      <c r="X690" t="s">
        <v>8408</v>
      </c>
      <c r="Y690" t="s">
        <v>8409</v>
      </c>
      <c r="AA690" t="s">
        <v>8405</v>
      </c>
      <c r="AB690" t="s">
        <v>400</v>
      </c>
      <c r="AC690" s="3" t="str">
        <f>"79772"</f>
        <v>79772</v>
      </c>
      <c r="AD690" t="s">
        <v>128</v>
      </c>
      <c r="AF690" s="4">
        <v>14324482414</v>
      </c>
      <c r="AH690" t="str">
        <f>"486990"</f>
        <v>486990</v>
      </c>
      <c r="AI690" t="s">
        <v>167</v>
      </c>
      <c r="AX690" t="s">
        <v>131</v>
      </c>
      <c r="AY690" t="s">
        <v>131</v>
      </c>
      <c r="AZ690" t="s">
        <v>131</v>
      </c>
      <c r="BA690" t="s">
        <v>131</v>
      </c>
      <c r="BB690" t="s">
        <v>131</v>
      </c>
      <c r="BC690" t="s">
        <v>131</v>
      </c>
      <c r="BD690" t="s">
        <v>131</v>
      </c>
      <c r="BE690" t="s">
        <v>132</v>
      </c>
      <c r="BH690" t="s">
        <v>8410</v>
      </c>
      <c r="BI690" t="s">
        <v>131</v>
      </c>
      <c r="BL690" t="s">
        <v>167</v>
      </c>
      <c r="BO690" t="s">
        <v>131</v>
      </c>
      <c r="BP690" t="s">
        <v>134</v>
      </c>
      <c r="BQ690" t="s">
        <v>131</v>
      </c>
      <c r="BS690" t="str">
        <f t="shared" si="48"/>
        <v>N/A</v>
      </c>
      <c r="BT690" t="s">
        <v>135</v>
      </c>
      <c r="BU690">
        <v>12</v>
      </c>
      <c r="BV690" t="str">
        <f>"Truck Tractor experience"</f>
        <v>Truck Tractor experience</v>
      </c>
      <c r="BW690" t="s">
        <v>131</v>
      </c>
      <c r="BX690" t="str">
        <f>""</f>
        <v/>
      </c>
      <c r="BY690" t="str">
        <f>""</f>
        <v/>
      </c>
      <c r="BZ690" t="str">
        <f>""</f>
        <v/>
      </c>
      <c r="CA690" t="str">
        <f>""</f>
        <v/>
      </c>
      <c r="CB690" t="s">
        <v>131</v>
      </c>
      <c r="CF690" t="s">
        <v>131</v>
      </c>
      <c r="CH690" t="str">
        <f>""</f>
        <v/>
      </c>
      <c r="CI690" t="s">
        <v>131</v>
      </c>
      <c r="CK690" t="s">
        <v>131</v>
      </c>
      <c r="CL690" t="str">
        <f>""</f>
        <v/>
      </c>
      <c r="CM690" t="str">
        <f>""</f>
        <v/>
      </c>
      <c r="CN690" t="str">
        <f>""</f>
        <v/>
      </c>
      <c r="CO690" t="str">
        <f>""</f>
        <v/>
      </c>
      <c r="CP690" t="str">
        <f>"53-3032.00"</f>
        <v>53-3032.00</v>
      </c>
      <c r="CQ690" t="s">
        <v>1238</v>
      </c>
      <c r="CR690" t="s">
        <v>8411</v>
      </c>
      <c r="CS690" t="s">
        <v>135</v>
      </c>
      <c r="CT690" t="s">
        <v>8412</v>
      </c>
      <c r="CU690" t="s">
        <v>8409</v>
      </c>
      <c r="CW690" t="s">
        <v>8405</v>
      </c>
      <c r="CX690" t="s">
        <v>400</v>
      </c>
      <c r="CZ690" s="3" t="str">
        <f>"79772"</f>
        <v>79772</v>
      </c>
      <c r="DA690" t="s">
        <v>135</v>
      </c>
      <c r="DB690" t="str">
        <f>"53-3032"</f>
        <v>53-3032</v>
      </c>
      <c r="DC690" t="s">
        <v>1238</v>
      </c>
      <c r="DD690" t="s">
        <v>134</v>
      </c>
      <c r="DE690" t="s">
        <v>134</v>
      </c>
      <c r="DF690" t="str">
        <f>"53-7061.00"</f>
        <v>53-7061.00</v>
      </c>
      <c r="DG690" t="s">
        <v>1719</v>
      </c>
      <c r="DH690" s="6">
        <v>21.49</v>
      </c>
      <c r="DI690" t="s">
        <v>344</v>
      </c>
      <c r="DK690" t="s">
        <v>345</v>
      </c>
      <c r="DS690" s="6">
        <v>23.72</v>
      </c>
      <c r="DT690" s="2" t="s">
        <v>347</v>
      </c>
      <c r="DU690" s="1">
        <v>44364</v>
      </c>
      <c r="DV690" s="1">
        <v>44453</v>
      </c>
    </row>
    <row r="691" spans="1:126" ht="15" customHeight="1" x14ac:dyDescent="0.35">
      <c r="A691" t="s">
        <v>7885</v>
      </c>
      <c r="B691" t="s">
        <v>318</v>
      </c>
      <c r="C691" s="1">
        <v>44337</v>
      </c>
      <c r="D691" s="1">
        <v>44364</v>
      </c>
      <c r="H691" t="s">
        <v>319</v>
      </c>
      <c r="I691" t="s">
        <v>6830</v>
      </c>
      <c r="J691" t="s">
        <v>5364</v>
      </c>
      <c r="L691" t="s">
        <v>1105</v>
      </c>
      <c r="M691" t="s">
        <v>7886</v>
      </c>
      <c r="O691" t="s">
        <v>807</v>
      </c>
      <c r="P691" t="s">
        <v>857</v>
      </c>
      <c r="Q691" s="3">
        <v>85040</v>
      </c>
      <c r="R691" t="s">
        <v>128</v>
      </c>
      <c r="T691" s="4">
        <v>14802423645</v>
      </c>
      <c r="V691" t="s">
        <v>6832</v>
      </c>
      <c r="W691" t="s">
        <v>6833</v>
      </c>
      <c r="Y691" t="s">
        <v>7886</v>
      </c>
      <c r="AA691" t="s">
        <v>807</v>
      </c>
      <c r="AB691" t="s">
        <v>808</v>
      </c>
      <c r="AC691" s="3" t="str">
        <f>"85040"</f>
        <v>85040</v>
      </c>
      <c r="AD691" t="s">
        <v>128</v>
      </c>
      <c r="AF691" s="4">
        <v>14802423645</v>
      </c>
      <c r="AH691" t="str">
        <f>"71399"</f>
        <v>71399</v>
      </c>
      <c r="AI691" t="s">
        <v>287</v>
      </c>
      <c r="AJ691" t="s">
        <v>2209</v>
      </c>
      <c r="AK691" t="s">
        <v>1459</v>
      </c>
      <c r="AL691" t="s">
        <v>2210</v>
      </c>
      <c r="AM691" t="s">
        <v>2211</v>
      </c>
      <c r="AN691" t="s">
        <v>788</v>
      </c>
      <c r="AO691" t="s">
        <v>2212</v>
      </c>
      <c r="AP691" t="s">
        <v>400</v>
      </c>
      <c r="AQ691" s="5">
        <v>75033</v>
      </c>
      <c r="AR691" t="s">
        <v>128</v>
      </c>
      <c r="AT691" s="4">
        <v>19727789690</v>
      </c>
      <c r="AV691" t="s">
        <v>6834</v>
      </c>
      <c r="AW691" t="s">
        <v>2214</v>
      </c>
      <c r="AX691" t="s">
        <v>131</v>
      </c>
      <c r="AY691" t="s">
        <v>131</v>
      </c>
      <c r="AZ691" t="s">
        <v>131</v>
      </c>
      <c r="BA691" t="s">
        <v>131</v>
      </c>
      <c r="BB691" t="s">
        <v>131</v>
      </c>
      <c r="BC691" t="s">
        <v>131</v>
      </c>
      <c r="BD691" t="s">
        <v>131</v>
      </c>
      <c r="BE691" t="s">
        <v>132</v>
      </c>
      <c r="BH691" t="s">
        <v>6835</v>
      </c>
      <c r="BI691" t="s">
        <v>131</v>
      </c>
      <c r="BL691" t="s">
        <v>167</v>
      </c>
      <c r="BO691" t="s">
        <v>131</v>
      </c>
      <c r="BP691" t="s">
        <v>134</v>
      </c>
      <c r="BQ691" t="s">
        <v>131</v>
      </c>
      <c r="BS691" t="str">
        <f t="shared" si="48"/>
        <v>N/A</v>
      </c>
      <c r="BT691" t="s">
        <v>131</v>
      </c>
      <c r="BV691" t="str">
        <f>""</f>
        <v/>
      </c>
      <c r="BW691" t="s">
        <v>135</v>
      </c>
      <c r="BX691" t="str">
        <f>""</f>
        <v/>
      </c>
      <c r="BY691" t="str">
        <f>""</f>
        <v/>
      </c>
      <c r="BZ691" t="str">
        <f>""</f>
        <v/>
      </c>
      <c r="CA691" t="str">
        <f>"MUST BE WILLING TO WORK UP TO 7DAYS/WK. APPLICANTS MUST COOPERATE WITH AND COMPLETE JOB APPLICATION AND INTERVIEW TRUTHFULLY."</f>
        <v>MUST BE WILLING TO WORK UP TO 7DAYS/WK. APPLICANTS MUST COOPERATE WITH AND COMPLETE JOB APPLICATION AND INTERVIEW TRUTHFULLY.</v>
      </c>
      <c r="CB691" t="s">
        <v>131</v>
      </c>
      <c r="CF691" t="s">
        <v>131</v>
      </c>
      <c r="CH691" t="str">
        <f>""</f>
        <v/>
      </c>
      <c r="CI691" t="s">
        <v>131</v>
      </c>
      <c r="CK691" t="s">
        <v>131</v>
      </c>
      <c r="CL691" t="str">
        <f>""</f>
        <v/>
      </c>
      <c r="CM691" t="str">
        <f>""</f>
        <v/>
      </c>
      <c r="CN691" t="str">
        <f>""</f>
        <v/>
      </c>
      <c r="CO691" t="str">
        <f>""</f>
        <v/>
      </c>
      <c r="CP691" t="str">
        <f>"39-3091.00"</f>
        <v>39-3091.00</v>
      </c>
      <c r="CQ691" t="s">
        <v>1374</v>
      </c>
      <c r="CS691" t="s">
        <v>135</v>
      </c>
      <c r="CT691" t="s">
        <v>6836</v>
      </c>
      <c r="CU691" t="s">
        <v>7886</v>
      </c>
      <c r="CW691" t="s">
        <v>807</v>
      </c>
      <c r="CX691" t="s">
        <v>808</v>
      </c>
      <c r="CZ691" s="3" t="str">
        <f>"85040"</f>
        <v>85040</v>
      </c>
      <c r="DA691" t="s">
        <v>135</v>
      </c>
      <c r="DB691" t="str">
        <f>"39-3091"</f>
        <v>39-3091</v>
      </c>
      <c r="DC691" t="s">
        <v>1374</v>
      </c>
      <c r="DD691" t="s">
        <v>134</v>
      </c>
      <c r="DE691" t="s">
        <v>134</v>
      </c>
      <c r="DF691" t="str">
        <f>"35-3022.00"</f>
        <v>35-3022.00</v>
      </c>
      <c r="DG691" t="s">
        <v>5154</v>
      </c>
      <c r="DH691" s="6">
        <v>12.54</v>
      </c>
      <c r="DI691" t="s">
        <v>344</v>
      </c>
      <c r="DK691" t="s">
        <v>345</v>
      </c>
      <c r="DS691" s="6">
        <v>15.01</v>
      </c>
      <c r="DT691" s="2" t="s">
        <v>347</v>
      </c>
      <c r="DU691" s="1">
        <v>44364</v>
      </c>
      <c r="DV691" s="1">
        <v>44453</v>
      </c>
    </row>
    <row r="692" spans="1:126" ht="15" customHeight="1" x14ac:dyDescent="0.35">
      <c r="A692" t="s">
        <v>19636</v>
      </c>
      <c r="B692" t="s">
        <v>318</v>
      </c>
      <c r="C692" s="1">
        <v>44338</v>
      </c>
      <c r="D692" s="1">
        <v>44368</v>
      </c>
      <c r="H692" t="s">
        <v>319</v>
      </c>
      <c r="I692" t="s">
        <v>14902</v>
      </c>
      <c r="J692" t="s">
        <v>1225</v>
      </c>
      <c r="K692" t="s">
        <v>134</v>
      </c>
      <c r="L692" t="s">
        <v>1226</v>
      </c>
      <c r="M692" t="s">
        <v>1227</v>
      </c>
      <c r="N692" t="s">
        <v>1228</v>
      </c>
      <c r="O692" t="s">
        <v>1229</v>
      </c>
      <c r="P692" t="s">
        <v>412</v>
      </c>
      <c r="Q692" s="3">
        <v>78266</v>
      </c>
      <c r="R692" t="s">
        <v>128</v>
      </c>
      <c r="T692" s="4">
        <v>18305844555</v>
      </c>
      <c r="V692" t="s">
        <v>1230</v>
      </c>
      <c r="W692" t="s">
        <v>19637</v>
      </c>
      <c r="X692" t="s">
        <v>134</v>
      </c>
      <c r="Y692" t="s">
        <v>19638</v>
      </c>
      <c r="Z692" t="s">
        <v>134</v>
      </c>
      <c r="AA692" t="s">
        <v>19639</v>
      </c>
      <c r="AB692" t="s">
        <v>1234</v>
      </c>
      <c r="AC692" s="3" t="str">
        <f>"59301"</f>
        <v>59301</v>
      </c>
      <c r="AD692" t="s">
        <v>128</v>
      </c>
      <c r="AE692" t="s">
        <v>134</v>
      </c>
      <c r="AF692" s="4">
        <v>14062341790</v>
      </c>
      <c r="AH692" t="str">
        <f>"424520"</f>
        <v>424520</v>
      </c>
      <c r="AI692" t="s">
        <v>287</v>
      </c>
      <c r="AJ692" t="s">
        <v>1224</v>
      </c>
      <c r="AK692" t="s">
        <v>1225</v>
      </c>
      <c r="AL692" t="s">
        <v>134</v>
      </c>
      <c r="AM692" t="s">
        <v>1227</v>
      </c>
      <c r="AN692" t="s">
        <v>1228</v>
      </c>
      <c r="AO692" t="s">
        <v>1229</v>
      </c>
      <c r="AP692" t="s">
        <v>400</v>
      </c>
      <c r="AQ692" s="5">
        <v>78266</v>
      </c>
      <c r="AR692" t="s">
        <v>128</v>
      </c>
      <c r="AT692" s="4">
        <v>18305844555</v>
      </c>
      <c r="AV692" t="s">
        <v>1235</v>
      </c>
      <c r="AW692" t="s">
        <v>1236</v>
      </c>
      <c r="AX692" t="s">
        <v>131</v>
      </c>
      <c r="AY692" t="s">
        <v>131</v>
      </c>
      <c r="AZ692" t="s">
        <v>131</v>
      </c>
      <c r="BA692" t="s">
        <v>131</v>
      </c>
      <c r="BB692" t="s">
        <v>131</v>
      </c>
      <c r="BC692" t="s">
        <v>131</v>
      </c>
      <c r="BD692" t="s">
        <v>131</v>
      </c>
      <c r="BE692" t="s">
        <v>132</v>
      </c>
      <c r="BH692" t="s">
        <v>19640</v>
      </c>
      <c r="BI692" t="s">
        <v>131</v>
      </c>
      <c r="BL692" t="s">
        <v>167</v>
      </c>
      <c r="BO692" t="s">
        <v>131</v>
      </c>
      <c r="BP692" t="s">
        <v>134</v>
      </c>
      <c r="BQ692" t="s">
        <v>131</v>
      </c>
      <c r="BS692" t="str">
        <f t="shared" si="48"/>
        <v>N/A</v>
      </c>
      <c r="BT692" t="s">
        <v>135</v>
      </c>
      <c r="BU692">
        <v>3</v>
      </c>
      <c r="BV692" t="str">
        <f>"GENERAL LIVESTOCK WORKER"</f>
        <v>GENERAL LIVESTOCK WORKER</v>
      </c>
      <c r="BW692" t="s">
        <v>135</v>
      </c>
      <c r="BX692" t="str">
        <f>""</f>
        <v/>
      </c>
      <c r="BY692" t="str">
        <f>""</f>
        <v/>
      </c>
      <c r="BZ692" t="str">
        <f>""</f>
        <v/>
      </c>
      <c r="CA692" t="str">
        <f>"MUST BE ABLETO LIFT 100 LBS. DRIVER'S LICENSE IN 30 DAYS."</f>
        <v>MUST BE ABLETO LIFT 100 LBS. DRIVER'S LICENSE IN 30 DAYS.</v>
      </c>
      <c r="CB692" t="s">
        <v>131</v>
      </c>
      <c r="CF692" t="s">
        <v>131</v>
      </c>
      <c r="CH692" t="str">
        <f>""</f>
        <v/>
      </c>
      <c r="CI692" t="s">
        <v>131</v>
      </c>
      <c r="CK692" t="s">
        <v>131</v>
      </c>
      <c r="CL692" t="str">
        <f>""</f>
        <v/>
      </c>
      <c r="CM692" t="str">
        <f>""</f>
        <v/>
      </c>
      <c r="CN692" t="str">
        <f>""</f>
        <v/>
      </c>
      <c r="CO692" t="str">
        <f>""</f>
        <v/>
      </c>
      <c r="CP692" t="str">
        <f>"45-2093.00"</f>
        <v>45-2093.00</v>
      </c>
      <c r="CQ692" t="s">
        <v>5790</v>
      </c>
      <c r="CS692" t="s">
        <v>131</v>
      </c>
      <c r="CU692" t="s">
        <v>19641</v>
      </c>
      <c r="CW692" t="s">
        <v>19639</v>
      </c>
      <c r="CX692" t="s">
        <v>1234</v>
      </c>
      <c r="CZ692" s="3" t="str">
        <f>"59301"</f>
        <v>59301</v>
      </c>
      <c r="DA692" t="s">
        <v>131</v>
      </c>
      <c r="DB692" t="str">
        <f>"45-2093"</f>
        <v>45-2093</v>
      </c>
      <c r="DC692" t="s">
        <v>5790</v>
      </c>
      <c r="DD692" t="s">
        <v>134</v>
      </c>
      <c r="DE692" t="s">
        <v>134</v>
      </c>
      <c r="DF692" t="str">
        <f>""</f>
        <v/>
      </c>
      <c r="DH692" s="6">
        <v>14.75</v>
      </c>
      <c r="DI692" t="s">
        <v>344</v>
      </c>
      <c r="DK692" t="s">
        <v>345</v>
      </c>
      <c r="DS692" s="6">
        <v>14.75</v>
      </c>
      <c r="DT692" t="s">
        <v>424</v>
      </c>
      <c r="DU692" s="1">
        <v>44368</v>
      </c>
      <c r="DV692" s="1">
        <v>44457</v>
      </c>
    </row>
    <row r="693" spans="1:126" ht="15" customHeight="1" x14ac:dyDescent="0.35">
      <c r="A693" t="s">
        <v>17755</v>
      </c>
      <c r="B693" t="s">
        <v>318</v>
      </c>
      <c r="C693" s="1">
        <v>44338</v>
      </c>
      <c r="D693" s="1">
        <v>44368</v>
      </c>
      <c r="H693" t="s">
        <v>319</v>
      </c>
      <c r="I693" t="s">
        <v>1224</v>
      </c>
      <c r="J693" t="s">
        <v>1225</v>
      </c>
      <c r="K693" t="s">
        <v>134</v>
      </c>
      <c r="L693" t="s">
        <v>1226</v>
      </c>
      <c r="M693" t="s">
        <v>1227</v>
      </c>
      <c r="N693" t="s">
        <v>4611</v>
      </c>
      <c r="O693" t="s">
        <v>1229</v>
      </c>
      <c r="P693" t="s">
        <v>412</v>
      </c>
      <c r="Q693" s="3">
        <v>78266</v>
      </c>
      <c r="R693" t="s">
        <v>128</v>
      </c>
      <c r="T693" s="4">
        <v>18305844555</v>
      </c>
      <c r="V693" t="s">
        <v>1230</v>
      </c>
      <c r="W693" t="s">
        <v>17756</v>
      </c>
      <c r="Y693" t="s">
        <v>17757</v>
      </c>
      <c r="AA693" t="s">
        <v>17758</v>
      </c>
      <c r="AB693" t="s">
        <v>400</v>
      </c>
      <c r="AC693" s="3" t="str">
        <f>"78023"</f>
        <v>78023</v>
      </c>
      <c r="AD693" t="s">
        <v>128</v>
      </c>
      <c r="AF693" s="4">
        <v>12106955009</v>
      </c>
      <c r="AH693" t="str">
        <f>"3116"</f>
        <v>3116</v>
      </c>
      <c r="AI693" t="s">
        <v>287</v>
      </c>
      <c r="AJ693" t="s">
        <v>1224</v>
      </c>
      <c r="AK693" t="s">
        <v>1225</v>
      </c>
      <c r="AL693" t="s">
        <v>134</v>
      </c>
      <c r="AM693" t="s">
        <v>1227</v>
      </c>
      <c r="AN693" t="s">
        <v>1228</v>
      </c>
      <c r="AO693" t="s">
        <v>1229</v>
      </c>
      <c r="AP693" t="s">
        <v>400</v>
      </c>
      <c r="AQ693" s="5">
        <v>78266</v>
      </c>
      <c r="AR693" t="s">
        <v>128</v>
      </c>
      <c r="AT693" s="4">
        <v>18305844555</v>
      </c>
      <c r="AV693" t="s">
        <v>1235</v>
      </c>
      <c r="AW693" t="s">
        <v>1236</v>
      </c>
      <c r="AX693" t="s">
        <v>131</v>
      </c>
      <c r="AY693" t="s">
        <v>131</v>
      </c>
      <c r="AZ693" t="s">
        <v>131</v>
      </c>
      <c r="BA693" t="s">
        <v>131</v>
      </c>
      <c r="BB693" t="s">
        <v>131</v>
      </c>
      <c r="BC693" t="s">
        <v>131</v>
      </c>
      <c r="BD693" t="s">
        <v>131</v>
      </c>
      <c r="BE693" t="s">
        <v>132</v>
      </c>
      <c r="BH693" t="s">
        <v>8230</v>
      </c>
      <c r="BI693" t="s">
        <v>131</v>
      </c>
      <c r="BL693" t="s">
        <v>167</v>
      </c>
      <c r="BO693" t="s">
        <v>131</v>
      </c>
      <c r="BP693" t="s">
        <v>134</v>
      </c>
      <c r="BQ693" t="s">
        <v>131</v>
      </c>
      <c r="BS693" t="str">
        <f t="shared" si="48"/>
        <v>N/A</v>
      </c>
      <c r="BT693" t="s">
        <v>135</v>
      </c>
      <c r="BU693">
        <v>3</v>
      </c>
      <c r="BV693" t="str">
        <f>"Any butchering or meat processing work"</f>
        <v>Any butchering or meat processing work</v>
      </c>
      <c r="BW693" t="s">
        <v>131</v>
      </c>
      <c r="BX693" t="str">
        <f>""</f>
        <v/>
      </c>
      <c r="BY693" t="str">
        <f>""</f>
        <v/>
      </c>
      <c r="BZ693" t="str">
        <f>""</f>
        <v/>
      </c>
      <c r="CA693" t="str">
        <f>""</f>
        <v/>
      </c>
      <c r="CB693" t="s">
        <v>131</v>
      </c>
      <c r="CF693" t="s">
        <v>131</v>
      </c>
      <c r="CH693" t="str">
        <f>""</f>
        <v/>
      </c>
      <c r="CI693" t="s">
        <v>131</v>
      </c>
      <c r="CK693" t="s">
        <v>131</v>
      </c>
      <c r="CL693" t="str">
        <f>""</f>
        <v/>
      </c>
      <c r="CM693" t="str">
        <f>""</f>
        <v/>
      </c>
      <c r="CN693" t="str">
        <f>""</f>
        <v/>
      </c>
      <c r="CO693" t="str">
        <f>""</f>
        <v/>
      </c>
      <c r="CP693" t="str">
        <f>"51-3023.00"</f>
        <v>51-3023.00</v>
      </c>
      <c r="CQ693" t="s">
        <v>5705</v>
      </c>
      <c r="CS693" t="s">
        <v>131</v>
      </c>
      <c r="CU693" t="s">
        <v>17757</v>
      </c>
      <c r="CW693" t="s">
        <v>17758</v>
      </c>
      <c r="CX693" t="s">
        <v>400</v>
      </c>
      <c r="CZ693" s="3" t="str">
        <f>"78023"</f>
        <v>78023</v>
      </c>
      <c r="DA693" t="s">
        <v>131</v>
      </c>
      <c r="DB693" t="str">
        <f>"51-3023"</f>
        <v>51-3023</v>
      </c>
      <c r="DC693" t="s">
        <v>5705</v>
      </c>
      <c r="DD693" t="s">
        <v>134</v>
      </c>
      <c r="DE693" t="s">
        <v>134</v>
      </c>
      <c r="DF693" t="str">
        <f>""</f>
        <v/>
      </c>
      <c r="DH693" s="6">
        <v>14.8</v>
      </c>
      <c r="DI693" t="s">
        <v>344</v>
      </c>
      <c r="DK693" t="s">
        <v>345</v>
      </c>
      <c r="DS693" s="6">
        <v>14.8</v>
      </c>
      <c r="DT693" t="s">
        <v>424</v>
      </c>
      <c r="DU693" s="1">
        <v>44368</v>
      </c>
      <c r="DV693" s="1">
        <v>44457</v>
      </c>
    </row>
    <row r="694" spans="1:126" ht="15" customHeight="1" x14ac:dyDescent="0.35">
      <c r="A694" t="s">
        <v>15984</v>
      </c>
      <c r="B694" t="s">
        <v>318</v>
      </c>
      <c r="C694" s="1">
        <v>44338</v>
      </c>
      <c r="D694" s="1">
        <v>44368</v>
      </c>
      <c r="H694" t="s">
        <v>319</v>
      </c>
      <c r="I694" t="s">
        <v>1224</v>
      </c>
      <c r="J694" t="s">
        <v>1225</v>
      </c>
      <c r="K694" t="s">
        <v>134</v>
      </c>
      <c r="L694" t="s">
        <v>1226</v>
      </c>
      <c r="M694" t="s">
        <v>1227</v>
      </c>
      <c r="N694" t="s">
        <v>1228</v>
      </c>
      <c r="O694" t="s">
        <v>1229</v>
      </c>
      <c r="P694" t="s">
        <v>412</v>
      </c>
      <c r="Q694" s="3">
        <v>78266</v>
      </c>
      <c r="R694" t="s">
        <v>128</v>
      </c>
      <c r="T694" s="4">
        <v>18305844555</v>
      </c>
      <c r="V694" t="s">
        <v>1230</v>
      </c>
      <c r="W694" t="s">
        <v>12459</v>
      </c>
      <c r="Y694" t="s">
        <v>1232</v>
      </c>
      <c r="AA694" t="s">
        <v>1233</v>
      </c>
      <c r="AB694" t="s">
        <v>1234</v>
      </c>
      <c r="AC694" s="3" t="str">
        <f t="shared" ref="AC694:AC700" si="49">"59405"</f>
        <v>59405</v>
      </c>
      <c r="AD694" t="s">
        <v>128</v>
      </c>
      <c r="AF694" s="4">
        <v>14064547645</v>
      </c>
      <c r="AH694" t="str">
        <f>"484110"</f>
        <v>484110</v>
      </c>
      <c r="AI694" t="s">
        <v>287</v>
      </c>
      <c r="AJ694" t="s">
        <v>1224</v>
      </c>
      <c r="AK694" t="s">
        <v>1225</v>
      </c>
      <c r="AL694" t="s">
        <v>134</v>
      </c>
      <c r="AM694" t="s">
        <v>1227</v>
      </c>
      <c r="AN694" t="s">
        <v>1228</v>
      </c>
      <c r="AO694" t="s">
        <v>1229</v>
      </c>
      <c r="AP694" t="s">
        <v>400</v>
      </c>
      <c r="AQ694" s="5">
        <v>59405</v>
      </c>
      <c r="AR694" t="s">
        <v>128</v>
      </c>
      <c r="AT694" s="4">
        <v>18305844555</v>
      </c>
      <c r="AV694" t="s">
        <v>1235</v>
      </c>
      <c r="AW694" t="s">
        <v>1236</v>
      </c>
      <c r="AX694" t="s">
        <v>131</v>
      </c>
      <c r="AY694" t="s">
        <v>131</v>
      </c>
      <c r="AZ694" t="s">
        <v>131</v>
      </c>
      <c r="BA694" t="s">
        <v>131</v>
      </c>
      <c r="BB694" t="s">
        <v>131</v>
      </c>
      <c r="BC694" t="s">
        <v>131</v>
      </c>
      <c r="BD694" t="s">
        <v>131</v>
      </c>
      <c r="BE694" t="s">
        <v>132</v>
      </c>
      <c r="BH694" t="s">
        <v>3224</v>
      </c>
      <c r="BI694" t="s">
        <v>131</v>
      </c>
      <c r="BL694" t="s">
        <v>167</v>
      </c>
      <c r="BO694" t="s">
        <v>131</v>
      </c>
      <c r="BP694" t="s">
        <v>134</v>
      </c>
      <c r="BQ694" t="s">
        <v>131</v>
      </c>
      <c r="BS694" t="str">
        <f t="shared" si="48"/>
        <v>N/A</v>
      </c>
      <c r="BT694" t="s">
        <v>135</v>
      </c>
      <c r="BU694">
        <v>6</v>
      </c>
      <c r="BV694" t="str">
        <f>"MAINTENANCE WORK"</f>
        <v>MAINTENANCE WORK</v>
      </c>
      <c r="BW694" t="s">
        <v>131</v>
      </c>
      <c r="BX694" t="str">
        <f>""</f>
        <v/>
      </c>
      <c r="BY694" t="str">
        <f>""</f>
        <v/>
      </c>
      <c r="BZ694" t="str">
        <f>""</f>
        <v/>
      </c>
      <c r="CA694" t="str">
        <f>""</f>
        <v/>
      </c>
      <c r="CB694" t="s">
        <v>131</v>
      </c>
      <c r="CF694" t="s">
        <v>131</v>
      </c>
      <c r="CH694" t="str">
        <f>""</f>
        <v/>
      </c>
      <c r="CI694" t="s">
        <v>131</v>
      </c>
      <c r="CK694" t="s">
        <v>131</v>
      </c>
      <c r="CL694" t="str">
        <f>""</f>
        <v/>
      </c>
      <c r="CM694" t="str">
        <f>""</f>
        <v/>
      </c>
      <c r="CN694" t="str">
        <f>""</f>
        <v/>
      </c>
      <c r="CO694" t="str">
        <f>""</f>
        <v/>
      </c>
      <c r="CP694" t="str">
        <f>"49-9098.00"</f>
        <v>49-9098.00</v>
      </c>
      <c r="CQ694" t="s">
        <v>1503</v>
      </c>
      <c r="CS694" t="s">
        <v>131</v>
      </c>
      <c r="CU694" t="s">
        <v>15985</v>
      </c>
      <c r="CW694" t="s">
        <v>15986</v>
      </c>
      <c r="CX694" t="s">
        <v>1243</v>
      </c>
      <c r="CZ694" s="3" t="str">
        <f>"83687"</f>
        <v>83687</v>
      </c>
      <c r="DA694" t="s">
        <v>131</v>
      </c>
      <c r="DB694" t="str">
        <f>"49-9098"</f>
        <v>49-9098</v>
      </c>
      <c r="DC694" t="s">
        <v>1503</v>
      </c>
      <c r="DD694" t="s">
        <v>134</v>
      </c>
      <c r="DE694" t="s">
        <v>134</v>
      </c>
      <c r="DF694" t="str">
        <f>""</f>
        <v/>
      </c>
      <c r="DH694" s="6">
        <v>15.64</v>
      </c>
      <c r="DI694" t="s">
        <v>344</v>
      </c>
      <c r="DK694" t="s">
        <v>345</v>
      </c>
      <c r="DS694" s="6">
        <v>15.64</v>
      </c>
      <c r="DT694" t="s">
        <v>424</v>
      </c>
      <c r="DU694" s="1">
        <v>44368</v>
      </c>
      <c r="DV694" s="1">
        <v>44457</v>
      </c>
    </row>
    <row r="695" spans="1:126" ht="15" customHeight="1" x14ac:dyDescent="0.35">
      <c r="A695" t="s">
        <v>15874</v>
      </c>
      <c r="B695" t="s">
        <v>318</v>
      </c>
      <c r="C695" s="1">
        <v>44338</v>
      </c>
      <c r="D695" s="1">
        <v>44368</v>
      </c>
      <c r="H695" t="s">
        <v>319</v>
      </c>
      <c r="I695" t="s">
        <v>1224</v>
      </c>
      <c r="J695" t="s">
        <v>1225</v>
      </c>
      <c r="K695" t="s">
        <v>134</v>
      </c>
      <c r="L695" t="s">
        <v>1226</v>
      </c>
      <c r="M695" t="s">
        <v>1227</v>
      </c>
      <c r="N695" t="s">
        <v>1228</v>
      </c>
      <c r="O695" t="s">
        <v>1229</v>
      </c>
      <c r="P695" t="s">
        <v>412</v>
      </c>
      <c r="Q695" s="3">
        <v>78266</v>
      </c>
      <c r="R695" t="s">
        <v>128</v>
      </c>
      <c r="T695" s="4">
        <v>18305844555</v>
      </c>
      <c r="V695" t="s">
        <v>1230</v>
      </c>
      <c r="W695" t="s">
        <v>12459</v>
      </c>
      <c r="Y695" t="s">
        <v>1232</v>
      </c>
      <c r="AA695" t="s">
        <v>1233</v>
      </c>
      <c r="AB695" t="s">
        <v>1234</v>
      </c>
      <c r="AC695" s="3" t="str">
        <f t="shared" si="49"/>
        <v>59405</v>
      </c>
      <c r="AD695" t="s">
        <v>128</v>
      </c>
      <c r="AF695" s="4">
        <v>14064547645</v>
      </c>
      <c r="AH695" t="str">
        <f>"484220"</f>
        <v>484220</v>
      </c>
      <c r="AI695" t="s">
        <v>287</v>
      </c>
      <c r="AJ695" t="s">
        <v>1224</v>
      </c>
      <c r="AK695" t="s">
        <v>1225</v>
      </c>
      <c r="AL695" t="s">
        <v>134</v>
      </c>
      <c r="AM695" t="s">
        <v>1227</v>
      </c>
      <c r="AN695" t="s">
        <v>1228</v>
      </c>
      <c r="AO695" t="s">
        <v>1229</v>
      </c>
      <c r="AP695" t="s">
        <v>400</v>
      </c>
      <c r="AQ695" s="5">
        <v>78266</v>
      </c>
      <c r="AR695" t="s">
        <v>128</v>
      </c>
      <c r="AT695" s="4">
        <v>18305844555</v>
      </c>
      <c r="AV695" t="s">
        <v>1235</v>
      </c>
      <c r="AW695" t="s">
        <v>15875</v>
      </c>
      <c r="AX695" t="s">
        <v>131</v>
      </c>
      <c r="AY695" t="s">
        <v>131</v>
      </c>
      <c r="AZ695" t="s">
        <v>131</v>
      </c>
      <c r="BA695" t="s">
        <v>131</v>
      </c>
      <c r="BB695" t="s">
        <v>131</v>
      </c>
      <c r="BC695" t="s">
        <v>131</v>
      </c>
      <c r="BD695" t="s">
        <v>131</v>
      </c>
      <c r="BE695" t="s">
        <v>132</v>
      </c>
      <c r="BH695" t="s">
        <v>12220</v>
      </c>
      <c r="BI695" t="s">
        <v>131</v>
      </c>
      <c r="BL695" t="s">
        <v>167</v>
      </c>
      <c r="BO695" t="s">
        <v>131</v>
      </c>
      <c r="BP695" t="s">
        <v>134</v>
      </c>
      <c r="BQ695" t="s">
        <v>131</v>
      </c>
      <c r="BS695" t="str">
        <f t="shared" si="48"/>
        <v>N/A</v>
      </c>
      <c r="BT695" t="s">
        <v>135</v>
      </c>
      <c r="BU695">
        <v>6</v>
      </c>
      <c r="BV695" t="str">
        <f>"MAINTENANCE WORK"</f>
        <v>MAINTENANCE WORK</v>
      </c>
      <c r="BW695" t="s">
        <v>131</v>
      </c>
      <c r="BX695" t="str">
        <f>""</f>
        <v/>
      </c>
      <c r="BY695" t="str">
        <f>""</f>
        <v/>
      </c>
      <c r="BZ695" t="str">
        <f>""</f>
        <v/>
      </c>
      <c r="CA695" t="str">
        <f>""</f>
        <v/>
      </c>
      <c r="CB695" t="s">
        <v>131</v>
      </c>
      <c r="CF695" t="s">
        <v>131</v>
      </c>
      <c r="CH695" t="str">
        <f>""</f>
        <v/>
      </c>
      <c r="CI695" t="s">
        <v>131</v>
      </c>
      <c r="CK695" t="s">
        <v>131</v>
      </c>
      <c r="CL695" t="str">
        <f>""</f>
        <v/>
      </c>
      <c r="CM695" t="str">
        <f>""</f>
        <v/>
      </c>
      <c r="CN695" t="str">
        <f>""</f>
        <v/>
      </c>
      <c r="CO695" t="str">
        <f>""</f>
        <v/>
      </c>
      <c r="CP695" t="str">
        <f>"49-9098.00"</f>
        <v>49-9098.00</v>
      </c>
      <c r="CQ695" t="s">
        <v>1503</v>
      </c>
      <c r="CS695" t="s">
        <v>131</v>
      </c>
      <c r="CU695" t="s">
        <v>15876</v>
      </c>
      <c r="CW695" t="s">
        <v>9803</v>
      </c>
      <c r="CX695" t="s">
        <v>2870</v>
      </c>
      <c r="CZ695" s="3" t="str">
        <f>"58045"</f>
        <v>58045</v>
      </c>
      <c r="DA695" t="s">
        <v>131</v>
      </c>
      <c r="DB695" t="str">
        <f>"49-9098"</f>
        <v>49-9098</v>
      </c>
      <c r="DC695" t="s">
        <v>1503</v>
      </c>
      <c r="DD695" t="s">
        <v>134</v>
      </c>
      <c r="DE695" t="s">
        <v>134</v>
      </c>
      <c r="DF695" t="str">
        <f>""</f>
        <v/>
      </c>
      <c r="DH695" s="6">
        <v>16.36</v>
      </c>
      <c r="DI695" t="s">
        <v>344</v>
      </c>
      <c r="DK695" t="s">
        <v>345</v>
      </c>
      <c r="DS695" s="6">
        <v>16.36</v>
      </c>
      <c r="DT695" t="s">
        <v>424</v>
      </c>
      <c r="DU695" s="1">
        <v>44368</v>
      </c>
      <c r="DV695" s="1">
        <v>44457</v>
      </c>
    </row>
    <row r="696" spans="1:126" ht="15" customHeight="1" x14ac:dyDescent="0.35">
      <c r="A696" t="s">
        <v>12458</v>
      </c>
      <c r="B696" t="s">
        <v>318</v>
      </c>
      <c r="C696" s="1">
        <v>44338</v>
      </c>
      <c r="D696" s="1">
        <v>44368</v>
      </c>
      <c r="H696" t="s">
        <v>319</v>
      </c>
      <c r="I696" t="s">
        <v>1224</v>
      </c>
      <c r="J696" t="s">
        <v>1225</v>
      </c>
      <c r="K696" t="s">
        <v>134</v>
      </c>
      <c r="L696" t="s">
        <v>1226</v>
      </c>
      <c r="M696" t="s">
        <v>1227</v>
      </c>
      <c r="N696" t="s">
        <v>1228</v>
      </c>
      <c r="O696" t="s">
        <v>1229</v>
      </c>
      <c r="P696" t="s">
        <v>412</v>
      </c>
      <c r="Q696" s="3">
        <v>78266</v>
      </c>
      <c r="R696" t="s">
        <v>128</v>
      </c>
      <c r="T696" s="4">
        <v>18305844555</v>
      </c>
      <c r="V696" t="s">
        <v>1230</v>
      </c>
      <c r="W696" t="s">
        <v>12459</v>
      </c>
      <c r="Y696" t="s">
        <v>1232</v>
      </c>
      <c r="AA696" t="s">
        <v>1233</v>
      </c>
      <c r="AB696" t="s">
        <v>1234</v>
      </c>
      <c r="AC696" s="3" t="str">
        <f t="shared" si="49"/>
        <v>59405</v>
      </c>
      <c r="AD696" t="s">
        <v>128</v>
      </c>
      <c r="AF696" s="4">
        <v>14064547645</v>
      </c>
      <c r="AH696" t="str">
        <f>"484110"</f>
        <v>484110</v>
      </c>
      <c r="AI696" t="s">
        <v>287</v>
      </c>
      <c r="AJ696" t="s">
        <v>1224</v>
      </c>
      <c r="AK696" t="s">
        <v>1225</v>
      </c>
      <c r="AL696" t="s">
        <v>134</v>
      </c>
      <c r="AM696" t="s">
        <v>1227</v>
      </c>
      <c r="AN696" t="s">
        <v>1228</v>
      </c>
      <c r="AO696" t="s">
        <v>1229</v>
      </c>
      <c r="AP696" t="s">
        <v>400</v>
      </c>
      <c r="AQ696" s="5">
        <v>78266</v>
      </c>
      <c r="AR696" t="s">
        <v>128</v>
      </c>
      <c r="AT696" s="4">
        <v>18305844555</v>
      </c>
      <c r="AV696" t="s">
        <v>1235</v>
      </c>
      <c r="AW696" t="s">
        <v>1236</v>
      </c>
      <c r="AX696" t="s">
        <v>131</v>
      </c>
      <c r="AY696" t="s">
        <v>131</v>
      </c>
      <c r="AZ696" t="s">
        <v>131</v>
      </c>
      <c r="BA696" t="s">
        <v>131</v>
      </c>
      <c r="BB696" t="s">
        <v>131</v>
      </c>
      <c r="BC696" t="s">
        <v>131</v>
      </c>
      <c r="BD696" t="s">
        <v>131</v>
      </c>
      <c r="BE696" t="s">
        <v>132</v>
      </c>
      <c r="BH696" t="s">
        <v>3224</v>
      </c>
      <c r="BI696" t="s">
        <v>131</v>
      </c>
      <c r="BL696" t="s">
        <v>167</v>
      </c>
      <c r="BO696" t="s">
        <v>131</v>
      </c>
      <c r="BP696" t="s">
        <v>134</v>
      </c>
      <c r="BQ696" t="s">
        <v>131</v>
      </c>
      <c r="BS696" t="str">
        <f t="shared" si="48"/>
        <v>N/A</v>
      </c>
      <c r="BT696" t="s">
        <v>135</v>
      </c>
      <c r="BU696">
        <v>6</v>
      </c>
      <c r="BV696" t="str">
        <f>"MAINTENANCE WORK"</f>
        <v>MAINTENANCE WORK</v>
      </c>
      <c r="BW696" t="s">
        <v>131</v>
      </c>
      <c r="BX696" t="str">
        <f>""</f>
        <v/>
      </c>
      <c r="BY696" t="str">
        <f>""</f>
        <v/>
      </c>
      <c r="BZ696" t="str">
        <f>""</f>
        <v/>
      </c>
      <c r="CA696" t="str">
        <f>""</f>
        <v/>
      </c>
      <c r="CB696" t="s">
        <v>131</v>
      </c>
      <c r="CF696" t="s">
        <v>131</v>
      </c>
      <c r="CH696" t="str">
        <f>""</f>
        <v/>
      </c>
      <c r="CI696" t="s">
        <v>131</v>
      </c>
      <c r="CK696" t="s">
        <v>131</v>
      </c>
      <c r="CL696" t="str">
        <f>""</f>
        <v/>
      </c>
      <c r="CM696" t="str">
        <f>""</f>
        <v/>
      </c>
      <c r="CN696" t="str">
        <f>""</f>
        <v/>
      </c>
      <c r="CO696" t="str">
        <f>""</f>
        <v/>
      </c>
      <c r="CP696" t="str">
        <f>"49-9098.00"</f>
        <v>49-9098.00</v>
      </c>
      <c r="CQ696" t="s">
        <v>1503</v>
      </c>
      <c r="CS696" t="s">
        <v>131</v>
      </c>
      <c r="CU696" t="s">
        <v>12460</v>
      </c>
      <c r="CW696" t="s">
        <v>8229</v>
      </c>
      <c r="CX696" t="s">
        <v>1234</v>
      </c>
      <c r="CZ696" s="3" t="str">
        <f>"59270"</f>
        <v>59270</v>
      </c>
      <c r="DA696" t="s">
        <v>131</v>
      </c>
      <c r="DB696" t="str">
        <f>"49-9098"</f>
        <v>49-9098</v>
      </c>
      <c r="DC696" t="s">
        <v>1503</v>
      </c>
      <c r="DD696" t="s">
        <v>134</v>
      </c>
      <c r="DE696" t="s">
        <v>134</v>
      </c>
      <c r="DF696" t="str">
        <f>""</f>
        <v/>
      </c>
      <c r="DH696" s="6">
        <v>14.77</v>
      </c>
      <c r="DI696" t="s">
        <v>344</v>
      </c>
      <c r="DK696" t="s">
        <v>345</v>
      </c>
      <c r="DS696" s="6">
        <v>14.77</v>
      </c>
      <c r="DT696" t="s">
        <v>424</v>
      </c>
      <c r="DU696" s="1">
        <v>44368</v>
      </c>
      <c r="DV696" s="1">
        <v>44457</v>
      </c>
    </row>
    <row r="697" spans="1:126" ht="15" customHeight="1" x14ac:dyDescent="0.35">
      <c r="A697" t="s">
        <v>4610</v>
      </c>
      <c r="B697" t="s">
        <v>318</v>
      </c>
      <c r="C697" s="1">
        <v>44338</v>
      </c>
      <c r="D697" s="1">
        <v>44368</v>
      </c>
      <c r="H697" t="s">
        <v>319</v>
      </c>
      <c r="I697" t="s">
        <v>1224</v>
      </c>
      <c r="J697" t="s">
        <v>1225</v>
      </c>
      <c r="K697" t="s">
        <v>134</v>
      </c>
      <c r="L697" t="s">
        <v>1226</v>
      </c>
      <c r="M697" t="s">
        <v>1227</v>
      </c>
      <c r="N697" t="s">
        <v>4611</v>
      </c>
      <c r="O697" t="s">
        <v>1229</v>
      </c>
      <c r="P697" t="s">
        <v>412</v>
      </c>
      <c r="Q697" s="3">
        <v>78266</v>
      </c>
      <c r="R697" t="s">
        <v>128</v>
      </c>
      <c r="T697" s="4">
        <v>18305844555</v>
      </c>
      <c r="V697" t="s">
        <v>1230</v>
      </c>
      <c r="W697" t="s">
        <v>1231</v>
      </c>
      <c r="Y697" t="s">
        <v>1232</v>
      </c>
      <c r="AA697" t="s">
        <v>1233</v>
      </c>
      <c r="AB697" t="s">
        <v>1234</v>
      </c>
      <c r="AC697" s="3" t="str">
        <f t="shared" si="49"/>
        <v>59405</v>
      </c>
      <c r="AD697" t="s">
        <v>128</v>
      </c>
      <c r="AF697" s="4">
        <v>14064547645</v>
      </c>
      <c r="AH697" t="str">
        <f>"484110"</f>
        <v>484110</v>
      </c>
      <c r="AI697" t="s">
        <v>287</v>
      </c>
      <c r="AJ697" t="s">
        <v>1224</v>
      </c>
      <c r="AK697" t="s">
        <v>1225</v>
      </c>
      <c r="AL697" t="s">
        <v>134</v>
      </c>
      <c r="AM697" t="s">
        <v>1227</v>
      </c>
      <c r="AN697" t="s">
        <v>1228</v>
      </c>
      <c r="AO697" t="s">
        <v>1229</v>
      </c>
      <c r="AP697" t="s">
        <v>400</v>
      </c>
      <c r="AQ697" s="5">
        <v>78266</v>
      </c>
      <c r="AR697" t="s">
        <v>128</v>
      </c>
      <c r="AT697" s="4">
        <v>18305844555</v>
      </c>
      <c r="AV697" t="s">
        <v>1235</v>
      </c>
      <c r="AW697" t="s">
        <v>1236</v>
      </c>
      <c r="AX697" t="s">
        <v>131</v>
      </c>
      <c r="AY697" t="s">
        <v>131</v>
      </c>
      <c r="AZ697" t="s">
        <v>131</v>
      </c>
      <c r="BA697" t="s">
        <v>131</v>
      </c>
      <c r="BB697" t="s">
        <v>131</v>
      </c>
      <c r="BC697" t="s">
        <v>131</v>
      </c>
      <c r="BD697" t="s">
        <v>131</v>
      </c>
      <c r="BE697" t="s">
        <v>132</v>
      </c>
      <c r="BH697" t="s">
        <v>1237</v>
      </c>
      <c r="BI697" t="s">
        <v>131</v>
      </c>
      <c r="BL697" t="s">
        <v>167</v>
      </c>
      <c r="BO697" t="s">
        <v>131</v>
      </c>
      <c r="BP697" t="s">
        <v>134</v>
      </c>
      <c r="BQ697" t="s">
        <v>131</v>
      </c>
      <c r="BS697" t="str">
        <f t="shared" ref="BS697:BS728" si="50">"N/A"</f>
        <v>N/A</v>
      </c>
      <c r="BT697" t="s">
        <v>135</v>
      </c>
      <c r="BU697">
        <v>3</v>
      </c>
      <c r="BV697" t="str">
        <f>"HEAVY TRUCK AND TRAILER OPERATION"</f>
        <v>HEAVY TRUCK AND TRAILER OPERATION</v>
      </c>
      <c r="BW697" t="s">
        <v>135</v>
      </c>
      <c r="BX697" t="str">
        <f>"MUST HAVE A CLASS A CDL WITHIN 30 DAYS OF HIRE"</f>
        <v>MUST HAVE A CLASS A CDL WITHIN 30 DAYS OF HIRE</v>
      </c>
      <c r="BY697" t="str">
        <f>""</f>
        <v/>
      </c>
      <c r="BZ697" t="str">
        <f>""</f>
        <v/>
      </c>
      <c r="CA697" t="str">
        <f>""</f>
        <v/>
      </c>
      <c r="CB697" t="s">
        <v>131</v>
      </c>
      <c r="CF697" t="s">
        <v>131</v>
      </c>
      <c r="CH697" t="str">
        <f>""</f>
        <v/>
      </c>
      <c r="CI697" t="s">
        <v>131</v>
      </c>
      <c r="CK697" t="s">
        <v>131</v>
      </c>
      <c r="CL697" t="str">
        <f>""</f>
        <v/>
      </c>
      <c r="CM697" t="str">
        <f>""</f>
        <v/>
      </c>
      <c r="CN697" t="str">
        <f>""</f>
        <v/>
      </c>
      <c r="CO697" t="str">
        <f>""</f>
        <v/>
      </c>
      <c r="CP697" t="str">
        <f>"53-3032.00"</f>
        <v>53-3032.00</v>
      </c>
      <c r="CQ697" t="s">
        <v>1238</v>
      </c>
      <c r="CR697" t="s">
        <v>1239</v>
      </c>
      <c r="CS697" t="s">
        <v>135</v>
      </c>
      <c r="CT697" t="s">
        <v>1240</v>
      </c>
      <c r="CU697" t="s">
        <v>4612</v>
      </c>
      <c r="CW697" t="s">
        <v>4613</v>
      </c>
      <c r="CX697" t="s">
        <v>2870</v>
      </c>
      <c r="CZ697" s="3" t="str">
        <f>"58271"</f>
        <v>58271</v>
      </c>
      <c r="DA697" t="s">
        <v>135</v>
      </c>
      <c r="DB697" t="str">
        <f>"53-3032"</f>
        <v>53-3032</v>
      </c>
      <c r="DC697" t="s">
        <v>1238</v>
      </c>
      <c r="DD697" t="s">
        <v>134</v>
      </c>
      <c r="DE697" t="s">
        <v>134</v>
      </c>
      <c r="DF697" t="str">
        <f>""</f>
        <v/>
      </c>
      <c r="DH697" s="6">
        <v>23.11</v>
      </c>
      <c r="DI697" t="s">
        <v>344</v>
      </c>
      <c r="DK697" t="s">
        <v>345</v>
      </c>
      <c r="DS697" s="6">
        <v>23.11</v>
      </c>
      <c r="DT697" s="2" t="s">
        <v>347</v>
      </c>
      <c r="DU697" s="1">
        <v>44368</v>
      </c>
      <c r="DV697" s="1">
        <v>44457</v>
      </c>
    </row>
    <row r="698" spans="1:126" ht="15" customHeight="1" x14ac:dyDescent="0.35">
      <c r="A698" t="s">
        <v>19246</v>
      </c>
      <c r="B698" t="s">
        <v>318</v>
      </c>
      <c r="C698" s="1">
        <v>44338</v>
      </c>
      <c r="D698" s="1">
        <v>44368</v>
      </c>
      <c r="H698" t="s">
        <v>319</v>
      </c>
      <c r="I698" t="s">
        <v>1224</v>
      </c>
      <c r="J698" t="s">
        <v>1225</v>
      </c>
      <c r="K698" t="s">
        <v>134</v>
      </c>
      <c r="L698" t="s">
        <v>1226</v>
      </c>
      <c r="M698" t="s">
        <v>1227</v>
      </c>
      <c r="N698" t="s">
        <v>1228</v>
      </c>
      <c r="O698" t="s">
        <v>1229</v>
      </c>
      <c r="P698" t="s">
        <v>412</v>
      </c>
      <c r="Q698" s="3">
        <v>78266</v>
      </c>
      <c r="R698" t="s">
        <v>128</v>
      </c>
      <c r="T698" s="4">
        <v>18305844555</v>
      </c>
      <c r="V698" t="s">
        <v>1230</v>
      </c>
      <c r="W698" t="s">
        <v>1231</v>
      </c>
      <c r="Y698" t="s">
        <v>1232</v>
      </c>
      <c r="AA698" t="s">
        <v>1233</v>
      </c>
      <c r="AB698" t="s">
        <v>1234</v>
      </c>
      <c r="AC698" s="3" t="str">
        <f t="shared" si="49"/>
        <v>59405</v>
      </c>
      <c r="AD698" t="s">
        <v>128</v>
      </c>
      <c r="AF698" s="4">
        <v>14064547645</v>
      </c>
      <c r="AH698" t="str">
        <f>"484110"</f>
        <v>484110</v>
      </c>
      <c r="AI698" t="s">
        <v>287</v>
      </c>
      <c r="AJ698" t="s">
        <v>1224</v>
      </c>
      <c r="AK698" t="s">
        <v>1225</v>
      </c>
      <c r="AL698" t="s">
        <v>134</v>
      </c>
      <c r="AM698" t="s">
        <v>1227</v>
      </c>
      <c r="AN698" t="s">
        <v>1228</v>
      </c>
      <c r="AO698" t="s">
        <v>1229</v>
      </c>
      <c r="AP698" t="s">
        <v>400</v>
      </c>
      <c r="AQ698" s="5">
        <v>78266</v>
      </c>
      <c r="AR698" t="s">
        <v>128</v>
      </c>
      <c r="AT698" s="4">
        <v>18305844555</v>
      </c>
      <c r="AV698" t="s">
        <v>1235</v>
      </c>
      <c r="AW698" t="s">
        <v>1236</v>
      </c>
      <c r="AX698" t="s">
        <v>131</v>
      </c>
      <c r="AY698" t="s">
        <v>131</v>
      </c>
      <c r="AZ698" t="s">
        <v>131</v>
      </c>
      <c r="BA698" t="s">
        <v>131</v>
      </c>
      <c r="BB698" t="s">
        <v>131</v>
      </c>
      <c r="BC698" t="s">
        <v>131</v>
      </c>
      <c r="BD698" t="s">
        <v>131</v>
      </c>
      <c r="BE698" t="s">
        <v>132</v>
      </c>
      <c r="BH698" t="s">
        <v>1237</v>
      </c>
      <c r="BI698" t="s">
        <v>131</v>
      </c>
      <c r="BL698" t="s">
        <v>167</v>
      </c>
      <c r="BO698" t="s">
        <v>131</v>
      </c>
      <c r="BP698" t="s">
        <v>134</v>
      </c>
      <c r="BQ698" t="s">
        <v>131</v>
      </c>
      <c r="BS698" t="str">
        <f t="shared" si="50"/>
        <v>N/A</v>
      </c>
      <c r="BT698" t="s">
        <v>135</v>
      </c>
      <c r="BU698">
        <v>3</v>
      </c>
      <c r="BV698" t="str">
        <f>"HEAVY TRUCK AND TRAILER OPERATION"</f>
        <v>HEAVY TRUCK AND TRAILER OPERATION</v>
      </c>
      <c r="BW698" t="s">
        <v>135</v>
      </c>
      <c r="BX698" t="str">
        <f>"MUST HAVE A CLASS A CDL WITHIN 30 DAYS OF HIRE."</f>
        <v>MUST HAVE A CLASS A CDL WITHIN 30 DAYS OF HIRE.</v>
      </c>
      <c r="BY698" t="str">
        <f>""</f>
        <v/>
      </c>
      <c r="BZ698" t="str">
        <f>""</f>
        <v/>
      </c>
      <c r="CA698" t="str">
        <f>""</f>
        <v/>
      </c>
      <c r="CB698" t="s">
        <v>131</v>
      </c>
      <c r="CF698" t="s">
        <v>131</v>
      </c>
      <c r="CH698" t="str">
        <f>""</f>
        <v/>
      </c>
      <c r="CI698" t="s">
        <v>131</v>
      </c>
      <c r="CK698" t="s">
        <v>131</v>
      </c>
      <c r="CL698" t="str">
        <f>""</f>
        <v/>
      </c>
      <c r="CM698" t="str">
        <f>""</f>
        <v/>
      </c>
      <c r="CN698" t="str">
        <f>""</f>
        <v/>
      </c>
      <c r="CO698" t="str">
        <f>""</f>
        <v/>
      </c>
      <c r="CP698" t="str">
        <f>"53-3032.00"</f>
        <v>53-3032.00</v>
      </c>
      <c r="CQ698" t="s">
        <v>1238</v>
      </c>
      <c r="CR698" t="s">
        <v>1239</v>
      </c>
      <c r="CS698" t="s">
        <v>135</v>
      </c>
      <c r="CT698" t="s">
        <v>1240</v>
      </c>
      <c r="CU698" t="s">
        <v>19247</v>
      </c>
      <c r="CW698" t="s">
        <v>19248</v>
      </c>
      <c r="CX698" t="s">
        <v>249</v>
      </c>
      <c r="CZ698" s="3" t="str">
        <f>"56284"</f>
        <v>56284</v>
      </c>
      <c r="DA698" t="s">
        <v>135</v>
      </c>
      <c r="DB698" t="str">
        <f>"53-3032"</f>
        <v>53-3032</v>
      </c>
      <c r="DC698" t="s">
        <v>1238</v>
      </c>
      <c r="DD698" t="s">
        <v>134</v>
      </c>
      <c r="DE698" t="s">
        <v>134</v>
      </c>
      <c r="DF698" t="str">
        <f>""</f>
        <v/>
      </c>
      <c r="DH698" s="6">
        <v>21.37</v>
      </c>
      <c r="DI698" t="s">
        <v>344</v>
      </c>
      <c r="DK698" t="s">
        <v>345</v>
      </c>
      <c r="DS698" s="6">
        <v>21.37</v>
      </c>
      <c r="DT698" s="2" t="s">
        <v>347</v>
      </c>
      <c r="DU698" s="1">
        <v>44368</v>
      </c>
      <c r="DV698" s="1">
        <v>44457</v>
      </c>
    </row>
    <row r="699" spans="1:126" ht="15" customHeight="1" x14ac:dyDescent="0.35">
      <c r="A699" t="s">
        <v>1223</v>
      </c>
      <c r="B699" t="s">
        <v>318</v>
      </c>
      <c r="C699" s="1">
        <v>44338</v>
      </c>
      <c r="D699" s="1">
        <v>44368</v>
      </c>
      <c r="H699" t="s">
        <v>319</v>
      </c>
      <c r="I699" t="s">
        <v>1224</v>
      </c>
      <c r="J699" t="s">
        <v>1225</v>
      </c>
      <c r="K699" t="s">
        <v>134</v>
      </c>
      <c r="L699" t="s">
        <v>1226</v>
      </c>
      <c r="M699" t="s">
        <v>1227</v>
      </c>
      <c r="N699" t="s">
        <v>1228</v>
      </c>
      <c r="O699" t="s">
        <v>1229</v>
      </c>
      <c r="P699" t="s">
        <v>412</v>
      </c>
      <c r="Q699" s="3">
        <v>78266</v>
      </c>
      <c r="R699" t="s">
        <v>128</v>
      </c>
      <c r="T699" s="4">
        <v>18305844555</v>
      </c>
      <c r="V699" t="s">
        <v>1230</v>
      </c>
      <c r="W699" t="s">
        <v>1231</v>
      </c>
      <c r="Y699" t="s">
        <v>1232</v>
      </c>
      <c r="AA699" t="s">
        <v>1233</v>
      </c>
      <c r="AB699" t="s">
        <v>1234</v>
      </c>
      <c r="AC699" s="3" t="str">
        <f t="shared" si="49"/>
        <v>59405</v>
      </c>
      <c r="AD699" t="s">
        <v>128</v>
      </c>
      <c r="AF699" s="4">
        <v>14064547645</v>
      </c>
      <c r="AH699" t="str">
        <f>"484110"</f>
        <v>484110</v>
      </c>
      <c r="AI699" t="s">
        <v>287</v>
      </c>
      <c r="AJ699" t="s">
        <v>1224</v>
      </c>
      <c r="AK699" t="s">
        <v>1225</v>
      </c>
      <c r="AL699" t="s">
        <v>134</v>
      </c>
      <c r="AM699" t="s">
        <v>1227</v>
      </c>
      <c r="AN699" t="s">
        <v>1228</v>
      </c>
      <c r="AO699" t="s">
        <v>1229</v>
      </c>
      <c r="AP699" t="s">
        <v>400</v>
      </c>
      <c r="AQ699" s="5">
        <v>78266</v>
      </c>
      <c r="AR699" t="s">
        <v>128</v>
      </c>
      <c r="AT699" s="4">
        <v>18305844555</v>
      </c>
      <c r="AV699" t="s">
        <v>1235</v>
      </c>
      <c r="AW699" t="s">
        <v>1236</v>
      </c>
      <c r="AX699" t="s">
        <v>131</v>
      </c>
      <c r="AY699" t="s">
        <v>131</v>
      </c>
      <c r="AZ699" t="s">
        <v>131</v>
      </c>
      <c r="BA699" t="s">
        <v>131</v>
      </c>
      <c r="BB699" t="s">
        <v>131</v>
      </c>
      <c r="BC699" t="s">
        <v>131</v>
      </c>
      <c r="BD699" t="s">
        <v>131</v>
      </c>
      <c r="BE699" t="s">
        <v>132</v>
      </c>
      <c r="BH699" t="s">
        <v>1237</v>
      </c>
      <c r="BI699" t="s">
        <v>131</v>
      </c>
      <c r="BL699" t="s">
        <v>167</v>
      </c>
      <c r="BO699" t="s">
        <v>131</v>
      </c>
      <c r="BP699" t="s">
        <v>134</v>
      </c>
      <c r="BQ699" t="s">
        <v>131</v>
      </c>
      <c r="BS699" t="str">
        <f t="shared" si="50"/>
        <v>N/A</v>
      </c>
      <c r="BT699" t="s">
        <v>135</v>
      </c>
      <c r="BU699">
        <v>3</v>
      </c>
      <c r="BV699" t="str">
        <f>"HEAVY TRUCK AND TRAILER OPERATION"</f>
        <v>HEAVY TRUCK AND TRAILER OPERATION</v>
      </c>
      <c r="BW699" t="s">
        <v>135</v>
      </c>
      <c r="BX699" t="str">
        <f>"MUST HAVE A CLASS A CDL WITHIN 30 DAYS OF HIRE"</f>
        <v>MUST HAVE A CLASS A CDL WITHIN 30 DAYS OF HIRE</v>
      </c>
      <c r="BY699" t="str">
        <f>""</f>
        <v/>
      </c>
      <c r="BZ699" t="str">
        <f>""</f>
        <v/>
      </c>
      <c r="CA699" t="str">
        <f>""</f>
        <v/>
      </c>
      <c r="CB699" t="s">
        <v>131</v>
      </c>
      <c r="CF699" t="s">
        <v>131</v>
      </c>
      <c r="CH699" t="str">
        <f>""</f>
        <v/>
      </c>
      <c r="CI699" t="s">
        <v>131</v>
      </c>
      <c r="CK699" t="s">
        <v>131</v>
      </c>
      <c r="CL699" t="str">
        <f>""</f>
        <v/>
      </c>
      <c r="CM699" t="str">
        <f>""</f>
        <v/>
      </c>
      <c r="CN699" t="str">
        <f>""</f>
        <v/>
      </c>
      <c r="CO699" t="str">
        <f>""</f>
        <v/>
      </c>
      <c r="CP699" t="str">
        <f>"53-3032.00"</f>
        <v>53-3032.00</v>
      </c>
      <c r="CQ699" t="s">
        <v>1238</v>
      </c>
      <c r="CR699" t="s">
        <v>1239</v>
      </c>
      <c r="CS699" t="s">
        <v>135</v>
      </c>
      <c r="CT699" t="s">
        <v>1240</v>
      </c>
      <c r="CU699" t="s">
        <v>1241</v>
      </c>
      <c r="CW699" t="s">
        <v>1242</v>
      </c>
      <c r="CX699" t="s">
        <v>1243</v>
      </c>
      <c r="CZ699" s="3" t="str">
        <f>"83328"</f>
        <v>83328</v>
      </c>
      <c r="DA699" t="s">
        <v>135</v>
      </c>
      <c r="DB699" t="str">
        <f>"53-3032"</f>
        <v>53-3032</v>
      </c>
      <c r="DC699" t="s">
        <v>1238</v>
      </c>
      <c r="DD699" t="s">
        <v>134</v>
      </c>
      <c r="DE699" t="s">
        <v>134</v>
      </c>
      <c r="DF699" t="str">
        <f>""</f>
        <v/>
      </c>
      <c r="DH699" s="6">
        <v>15.91</v>
      </c>
      <c r="DI699" t="s">
        <v>344</v>
      </c>
      <c r="DK699" t="s">
        <v>345</v>
      </c>
      <c r="DS699" s="6">
        <v>22.85</v>
      </c>
      <c r="DT699" s="2" t="s">
        <v>347</v>
      </c>
      <c r="DU699" s="1">
        <v>44368</v>
      </c>
      <c r="DV699" s="1">
        <v>44457</v>
      </c>
    </row>
    <row r="700" spans="1:126" ht="15" customHeight="1" x14ac:dyDescent="0.35">
      <c r="A700" t="s">
        <v>9801</v>
      </c>
      <c r="B700" t="s">
        <v>318</v>
      </c>
      <c r="C700" s="1">
        <v>44338</v>
      </c>
      <c r="D700" s="1">
        <v>44368</v>
      </c>
      <c r="H700" t="s">
        <v>319</v>
      </c>
      <c r="I700" t="s">
        <v>1224</v>
      </c>
      <c r="J700" t="s">
        <v>1225</v>
      </c>
      <c r="K700" t="s">
        <v>134</v>
      </c>
      <c r="L700" t="s">
        <v>1226</v>
      </c>
      <c r="M700" t="s">
        <v>1227</v>
      </c>
      <c r="N700" t="s">
        <v>1228</v>
      </c>
      <c r="O700" t="s">
        <v>1229</v>
      </c>
      <c r="P700" t="s">
        <v>412</v>
      </c>
      <c r="Q700" s="3">
        <v>78266</v>
      </c>
      <c r="R700" t="s">
        <v>128</v>
      </c>
      <c r="T700" s="4">
        <v>18305844555</v>
      </c>
      <c r="V700" t="s">
        <v>1230</v>
      </c>
      <c r="W700" t="s">
        <v>1231</v>
      </c>
      <c r="Y700" t="s">
        <v>1232</v>
      </c>
      <c r="AA700" t="s">
        <v>1233</v>
      </c>
      <c r="AB700" t="s">
        <v>1234</v>
      </c>
      <c r="AC700" s="3" t="str">
        <f t="shared" si="49"/>
        <v>59405</v>
      </c>
      <c r="AD700" t="s">
        <v>128</v>
      </c>
      <c r="AF700" s="4">
        <v>14064547645</v>
      </c>
      <c r="AH700" t="str">
        <f>"484110"</f>
        <v>484110</v>
      </c>
      <c r="AI700" t="s">
        <v>287</v>
      </c>
      <c r="AJ700" t="s">
        <v>1224</v>
      </c>
      <c r="AK700" t="s">
        <v>1225</v>
      </c>
      <c r="AL700" t="s">
        <v>134</v>
      </c>
      <c r="AM700" t="s">
        <v>1227</v>
      </c>
      <c r="AN700" t="s">
        <v>1228</v>
      </c>
      <c r="AO700" t="s">
        <v>1229</v>
      </c>
      <c r="AP700" t="s">
        <v>400</v>
      </c>
      <c r="AQ700" s="5">
        <v>78266</v>
      </c>
      <c r="AR700" t="s">
        <v>128</v>
      </c>
      <c r="AT700" s="4">
        <v>18305844555</v>
      </c>
      <c r="AV700" t="s">
        <v>1235</v>
      </c>
      <c r="AW700" t="s">
        <v>1236</v>
      </c>
      <c r="AX700" t="s">
        <v>131</v>
      </c>
      <c r="AY700" t="s">
        <v>131</v>
      </c>
      <c r="AZ700" t="s">
        <v>131</v>
      </c>
      <c r="BA700" t="s">
        <v>131</v>
      </c>
      <c r="BB700" t="s">
        <v>131</v>
      </c>
      <c r="BC700" t="s">
        <v>131</v>
      </c>
      <c r="BD700" t="s">
        <v>131</v>
      </c>
      <c r="BE700" t="s">
        <v>132</v>
      </c>
      <c r="BH700" t="s">
        <v>1237</v>
      </c>
      <c r="BI700" t="s">
        <v>131</v>
      </c>
      <c r="BL700" t="s">
        <v>167</v>
      </c>
      <c r="BO700" t="s">
        <v>131</v>
      </c>
      <c r="BP700" t="s">
        <v>134</v>
      </c>
      <c r="BQ700" t="s">
        <v>131</v>
      </c>
      <c r="BS700" t="str">
        <f t="shared" si="50"/>
        <v>N/A</v>
      </c>
      <c r="BT700" t="s">
        <v>135</v>
      </c>
      <c r="BU700">
        <v>3</v>
      </c>
      <c r="BV700" t="str">
        <f>"HEAVY TRUCK AND TRAILER OPERATION"</f>
        <v>HEAVY TRUCK AND TRAILER OPERATION</v>
      </c>
      <c r="BW700" t="s">
        <v>135</v>
      </c>
      <c r="BX700" t="str">
        <f>"MUST HAVEA CLASS A CDL WITHIN 30 DAYS OF HIRE"</f>
        <v>MUST HAVEA CLASS A CDL WITHIN 30 DAYS OF HIRE</v>
      </c>
      <c r="BY700" t="str">
        <f>""</f>
        <v/>
      </c>
      <c r="BZ700" t="str">
        <f>""</f>
        <v/>
      </c>
      <c r="CA700" t="str">
        <f>""</f>
        <v/>
      </c>
      <c r="CB700" t="s">
        <v>131</v>
      </c>
      <c r="CF700" t="s">
        <v>131</v>
      </c>
      <c r="CH700" t="str">
        <f>""</f>
        <v/>
      </c>
      <c r="CI700" t="s">
        <v>131</v>
      </c>
      <c r="CK700" t="s">
        <v>131</v>
      </c>
      <c r="CL700" t="str">
        <f>""</f>
        <v/>
      </c>
      <c r="CM700" t="str">
        <f>""</f>
        <v/>
      </c>
      <c r="CN700" t="str">
        <f>""</f>
        <v/>
      </c>
      <c r="CO700" t="str">
        <f>""</f>
        <v/>
      </c>
      <c r="CP700" t="str">
        <f>"53-3032.00"</f>
        <v>53-3032.00</v>
      </c>
      <c r="CQ700" t="s">
        <v>1238</v>
      </c>
      <c r="CR700" t="s">
        <v>1239</v>
      </c>
      <c r="CS700" t="s">
        <v>135</v>
      </c>
      <c r="CT700" t="s">
        <v>1240</v>
      </c>
      <c r="CU700" t="s">
        <v>9802</v>
      </c>
      <c r="CW700" t="s">
        <v>9803</v>
      </c>
      <c r="CX700" t="s">
        <v>2870</v>
      </c>
      <c r="CZ700" s="3" t="str">
        <f>"58045"</f>
        <v>58045</v>
      </c>
      <c r="DA700" t="s">
        <v>135</v>
      </c>
      <c r="DB700" t="str">
        <f>"53-3032"</f>
        <v>53-3032</v>
      </c>
      <c r="DC700" t="s">
        <v>1238</v>
      </c>
      <c r="DD700" t="s">
        <v>134</v>
      </c>
      <c r="DE700" t="s">
        <v>134</v>
      </c>
      <c r="DF700" t="str">
        <f>""</f>
        <v/>
      </c>
      <c r="DH700" s="6">
        <v>23.11</v>
      </c>
      <c r="DI700" t="s">
        <v>344</v>
      </c>
      <c r="DK700" t="s">
        <v>345</v>
      </c>
      <c r="DS700" s="6">
        <v>24.63</v>
      </c>
      <c r="DT700" s="2" t="s">
        <v>347</v>
      </c>
      <c r="DU700" s="1">
        <v>44368</v>
      </c>
      <c r="DV700" s="1">
        <v>44457</v>
      </c>
    </row>
    <row r="701" spans="1:126" ht="15" customHeight="1" x14ac:dyDescent="0.35">
      <c r="A701" t="s">
        <v>9906</v>
      </c>
      <c r="B701" t="s">
        <v>318</v>
      </c>
      <c r="C701" s="1">
        <v>44338</v>
      </c>
      <c r="D701" s="1">
        <v>44368</v>
      </c>
      <c r="H701" t="s">
        <v>319</v>
      </c>
      <c r="I701" t="s">
        <v>1224</v>
      </c>
      <c r="J701" t="s">
        <v>1225</v>
      </c>
      <c r="K701" t="s">
        <v>3699</v>
      </c>
      <c r="L701" t="s">
        <v>1226</v>
      </c>
      <c r="M701" t="s">
        <v>1227</v>
      </c>
      <c r="N701" t="s">
        <v>1228</v>
      </c>
      <c r="O701" t="s">
        <v>1229</v>
      </c>
      <c r="P701" t="s">
        <v>412</v>
      </c>
      <c r="Q701" s="3">
        <v>78266</v>
      </c>
      <c r="R701" t="s">
        <v>128</v>
      </c>
      <c r="T701" s="4">
        <v>18305844555</v>
      </c>
      <c r="V701" t="s">
        <v>1235</v>
      </c>
      <c r="W701" t="s">
        <v>4274</v>
      </c>
      <c r="X701" t="s">
        <v>134</v>
      </c>
      <c r="Y701" t="s">
        <v>4275</v>
      </c>
      <c r="Z701" t="s">
        <v>134</v>
      </c>
      <c r="AA701" t="s">
        <v>4276</v>
      </c>
      <c r="AB701" t="s">
        <v>249</v>
      </c>
      <c r="AC701" s="3" t="str">
        <f>"55612"</f>
        <v>55612</v>
      </c>
      <c r="AD701" t="s">
        <v>128</v>
      </c>
      <c r="AE701" t="s">
        <v>134</v>
      </c>
      <c r="AF701" s="4">
        <v>12184061330</v>
      </c>
      <c r="AH701" t="str">
        <f>"72111"</f>
        <v>72111</v>
      </c>
      <c r="AI701" t="s">
        <v>287</v>
      </c>
      <c r="AJ701" t="s">
        <v>1224</v>
      </c>
      <c r="AK701" t="s">
        <v>1225</v>
      </c>
      <c r="AL701" t="s">
        <v>134</v>
      </c>
      <c r="AM701" t="s">
        <v>1227</v>
      </c>
      <c r="AN701" t="s">
        <v>1228</v>
      </c>
      <c r="AO701" t="s">
        <v>1229</v>
      </c>
      <c r="AP701" t="s">
        <v>400</v>
      </c>
      <c r="AQ701" s="5">
        <v>78266</v>
      </c>
      <c r="AR701" t="s">
        <v>128</v>
      </c>
      <c r="AT701" s="4">
        <v>18305844555</v>
      </c>
      <c r="AV701" t="s">
        <v>1235</v>
      </c>
      <c r="AW701" t="s">
        <v>1236</v>
      </c>
      <c r="AX701" t="s">
        <v>131</v>
      </c>
      <c r="AY701" t="s">
        <v>131</v>
      </c>
      <c r="AZ701" t="s">
        <v>131</v>
      </c>
      <c r="BA701" t="s">
        <v>131</v>
      </c>
      <c r="BB701" t="s">
        <v>131</v>
      </c>
      <c r="BC701" t="s">
        <v>131</v>
      </c>
      <c r="BD701" t="s">
        <v>131</v>
      </c>
      <c r="BE701" t="s">
        <v>132</v>
      </c>
      <c r="BH701" t="s">
        <v>9907</v>
      </c>
      <c r="BI701" t="s">
        <v>131</v>
      </c>
      <c r="BL701" t="s">
        <v>167</v>
      </c>
      <c r="BO701" t="s">
        <v>131</v>
      </c>
      <c r="BP701" t="s">
        <v>134</v>
      </c>
      <c r="BQ701" t="s">
        <v>131</v>
      </c>
      <c r="BS701" t="str">
        <f t="shared" si="50"/>
        <v>N/A</v>
      </c>
      <c r="BT701" t="s">
        <v>131</v>
      </c>
      <c r="BV701" t="str">
        <f>""</f>
        <v/>
      </c>
      <c r="BW701" t="s">
        <v>135</v>
      </c>
      <c r="BX701" t="str">
        <f>""</f>
        <v/>
      </c>
      <c r="BY701" t="str">
        <f>""</f>
        <v/>
      </c>
      <c r="BZ701" t="str">
        <f>""</f>
        <v/>
      </c>
      <c r="CA701" t="str">
        <f>"MUST BE ABLE TO LIFT UP TO 50 LBS. AND BE TOLERANT TO WORKING UNDER EXTREMELY COLD CONDITIONS FOR LONG PERIODS OF TIME."</f>
        <v>MUST BE ABLE TO LIFT UP TO 50 LBS. AND BE TOLERANT TO WORKING UNDER EXTREMELY COLD CONDITIONS FOR LONG PERIODS OF TIME.</v>
      </c>
      <c r="CB701" t="s">
        <v>131</v>
      </c>
      <c r="CF701" t="s">
        <v>131</v>
      </c>
      <c r="CH701" t="str">
        <f>""</f>
        <v/>
      </c>
      <c r="CI701" t="s">
        <v>131</v>
      </c>
      <c r="CK701" t="s">
        <v>131</v>
      </c>
      <c r="CL701" t="str">
        <f>""</f>
        <v/>
      </c>
      <c r="CM701" t="str">
        <f>""</f>
        <v/>
      </c>
      <c r="CN701" t="str">
        <f>""</f>
        <v/>
      </c>
      <c r="CO701" t="str">
        <f>""</f>
        <v/>
      </c>
      <c r="CP701" t="str">
        <f>"39-3091.00"</f>
        <v>39-3091.00</v>
      </c>
      <c r="CQ701" t="s">
        <v>1374</v>
      </c>
      <c r="CS701" t="s">
        <v>131</v>
      </c>
      <c r="CU701" t="s">
        <v>4278</v>
      </c>
      <c r="CW701" t="s">
        <v>4276</v>
      </c>
      <c r="CX701" t="s">
        <v>249</v>
      </c>
      <c r="CZ701" s="3" t="str">
        <f>"55612"</f>
        <v>55612</v>
      </c>
      <c r="DA701" t="s">
        <v>131</v>
      </c>
      <c r="DB701" t="str">
        <f>"39-3091"</f>
        <v>39-3091</v>
      </c>
      <c r="DC701" t="s">
        <v>1374</v>
      </c>
      <c r="DD701" t="s">
        <v>134</v>
      </c>
      <c r="DE701" t="s">
        <v>134</v>
      </c>
      <c r="DF701" t="str">
        <f>""</f>
        <v/>
      </c>
      <c r="DH701" s="6">
        <v>12.3</v>
      </c>
      <c r="DI701" t="s">
        <v>344</v>
      </c>
      <c r="DK701" t="s">
        <v>345</v>
      </c>
      <c r="DR701" t="s">
        <v>9908</v>
      </c>
      <c r="DS701" s="6">
        <v>12.3</v>
      </c>
      <c r="DT701" t="s">
        <v>424</v>
      </c>
      <c r="DU701" s="1">
        <v>44368</v>
      </c>
      <c r="DV701" s="1">
        <v>44457</v>
      </c>
    </row>
    <row r="702" spans="1:126" ht="15" customHeight="1" x14ac:dyDescent="0.35">
      <c r="A702" t="s">
        <v>16318</v>
      </c>
      <c r="B702" t="s">
        <v>318</v>
      </c>
      <c r="C702" s="1">
        <v>44338</v>
      </c>
      <c r="D702" s="1">
        <v>44368</v>
      </c>
      <c r="H702" t="s">
        <v>319</v>
      </c>
      <c r="I702" t="s">
        <v>16319</v>
      </c>
      <c r="J702" t="s">
        <v>3804</v>
      </c>
      <c r="K702" t="s">
        <v>1060</v>
      </c>
      <c r="L702" t="s">
        <v>7565</v>
      </c>
      <c r="M702" t="s">
        <v>16320</v>
      </c>
      <c r="O702" t="s">
        <v>16321</v>
      </c>
      <c r="P702" t="s">
        <v>507</v>
      </c>
      <c r="Q702" s="3">
        <v>49431</v>
      </c>
      <c r="R702" t="s">
        <v>128</v>
      </c>
      <c r="T702" s="4">
        <v>12316901857</v>
      </c>
      <c r="V702" t="s">
        <v>16322</v>
      </c>
      <c r="W702" t="s">
        <v>16323</v>
      </c>
      <c r="Y702" t="s">
        <v>16324</v>
      </c>
      <c r="AA702" t="s">
        <v>16325</v>
      </c>
      <c r="AB702" t="s">
        <v>511</v>
      </c>
      <c r="AC702" s="3" t="str">
        <f>"49431"</f>
        <v>49431</v>
      </c>
      <c r="AD702" t="s">
        <v>128</v>
      </c>
      <c r="AF702" s="4">
        <v>12317573049</v>
      </c>
      <c r="AH702" t="str">
        <f>"238220"</f>
        <v>238220</v>
      </c>
      <c r="AI702" t="s">
        <v>130</v>
      </c>
      <c r="AJ702" t="s">
        <v>16326</v>
      </c>
      <c r="AK702" t="s">
        <v>3392</v>
      </c>
      <c r="AL702" t="s">
        <v>8498</v>
      </c>
      <c r="AM702" t="s">
        <v>16327</v>
      </c>
      <c r="AO702" t="s">
        <v>16321</v>
      </c>
      <c r="AP702" t="s">
        <v>511</v>
      </c>
      <c r="AQ702" s="5">
        <v>49431</v>
      </c>
      <c r="AR702" t="s">
        <v>128</v>
      </c>
      <c r="AT702" s="4">
        <v>12314254444</v>
      </c>
      <c r="AV702" t="s">
        <v>16328</v>
      </c>
      <c r="AW702" t="s">
        <v>16329</v>
      </c>
      <c r="AX702" t="s">
        <v>131</v>
      </c>
      <c r="AY702" t="s">
        <v>131</v>
      </c>
      <c r="AZ702" t="s">
        <v>131</v>
      </c>
      <c r="BA702" t="s">
        <v>131</v>
      </c>
      <c r="BB702" t="s">
        <v>131</v>
      </c>
      <c r="BC702" t="s">
        <v>131</v>
      </c>
      <c r="BD702" t="s">
        <v>131</v>
      </c>
      <c r="BE702" t="s">
        <v>132</v>
      </c>
      <c r="BH702" t="s">
        <v>16330</v>
      </c>
      <c r="BI702" t="s">
        <v>131</v>
      </c>
      <c r="BL702" t="s">
        <v>401</v>
      </c>
      <c r="BO702" t="s">
        <v>131</v>
      </c>
      <c r="BP702" t="s">
        <v>134</v>
      </c>
      <c r="BQ702" t="s">
        <v>131</v>
      </c>
      <c r="BS702" t="str">
        <f t="shared" si="50"/>
        <v>N/A</v>
      </c>
      <c r="BT702" t="s">
        <v>131</v>
      </c>
      <c r="BV702" t="str">
        <f>""</f>
        <v/>
      </c>
      <c r="BW702" t="s">
        <v>131</v>
      </c>
      <c r="BX702" t="str">
        <f>""</f>
        <v/>
      </c>
      <c r="BY702" t="str">
        <f>""</f>
        <v/>
      </c>
      <c r="BZ702" t="str">
        <f>""</f>
        <v/>
      </c>
      <c r="CA702" t="str">
        <f>""</f>
        <v/>
      </c>
      <c r="CB702" t="s">
        <v>131</v>
      </c>
      <c r="CF702" t="s">
        <v>131</v>
      </c>
      <c r="CH702" t="str">
        <f>""</f>
        <v/>
      </c>
      <c r="CI702" t="s">
        <v>131</v>
      </c>
      <c r="CK702" t="s">
        <v>131</v>
      </c>
      <c r="CL702" t="str">
        <f>""</f>
        <v/>
      </c>
      <c r="CM702" t="str">
        <f>""</f>
        <v/>
      </c>
      <c r="CN702" t="str">
        <f>""</f>
        <v/>
      </c>
      <c r="CO702" t="str">
        <f>""</f>
        <v/>
      </c>
      <c r="CP702" t="str">
        <f>"43-9199.00"</f>
        <v>43-9199.00</v>
      </c>
      <c r="CQ702" t="s">
        <v>775</v>
      </c>
      <c r="CR702" t="s">
        <v>2835</v>
      </c>
      <c r="CS702" t="s">
        <v>131</v>
      </c>
      <c r="CU702" t="s">
        <v>16324</v>
      </c>
      <c r="CW702" t="s">
        <v>16325</v>
      </c>
      <c r="CX702" t="s">
        <v>511</v>
      </c>
      <c r="CZ702" s="3" t="str">
        <f>"49431"</f>
        <v>49431</v>
      </c>
      <c r="DA702" t="s">
        <v>131</v>
      </c>
      <c r="DB702" t="str">
        <f>"43-9061"</f>
        <v>43-9061</v>
      </c>
      <c r="DC702" t="s">
        <v>4501</v>
      </c>
      <c r="DD702" t="s">
        <v>134</v>
      </c>
      <c r="DE702" t="s">
        <v>134</v>
      </c>
      <c r="DF702" t="str">
        <f>"37-2011.00"</f>
        <v>37-2011.00</v>
      </c>
      <c r="DG702" t="s">
        <v>794</v>
      </c>
      <c r="DH702" s="6">
        <v>16.59</v>
      </c>
      <c r="DI702" t="s">
        <v>344</v>
      </c>
      <c r="DK702" t="s">
        <v>345</v>
      </c>
      <c r="DR702" t="s">
        <v>16331</v>
      </c>
      <c r="DS702" s="6">
        <v>16.59</v>
      </c>
      <c r="DT702" t="s">
        <v>424</v>
      </c>
      <c r="DU702" s="1">
        <v>44368</v>
      </c>
      <c r="DV702" s="1">
        <v>44457</v>
      </c>
    </row>
    <row r="703" spans="1:126" ht="15" customHeight="1" x14ac:dyDescent="0.35">
      <c r="A703" t="s">
        <v>13315</v>
      </c>
      <c r="B703" t="s">
        <v>318</v>
      </c>
      <c r="C703" s="1">
        <v>44339</v>
      </c>
      <c r="D703" s="1">
        <v>44368</v>
      </c>
      <c r="H703" t="s">
        <v>319</v>
      </c>
      <c r="I703" t="s">
        <v>13316</v>
      </c>
      <c r="J703" t="s">
        <v>5052</v>
      </c>
      <c r="K703" t="s">
        <v>302</v>
      </c>
      <c r="L703" t="s">
        <v>130</v>
      </c>
      <c r="M703" t="s">
        <v>13317</v>
      </c>
      <c r="N703" t="s">
        <v>13318</v>
      </c>
      <c r="O703" t="s">
        <v>12612</v>
      </c>
      <c r="P703" t="s">
        <v>127</v>
      </c>
      <c r="Q703" s="3">
        <v>85621</v>
      </c>
      <c r="R703" t="s">
        <v>128</v>
      </c>
      <c r="T703" s="4">
        <v>16237386372</v>
      </c>
      <c r="V703" t="s">
        <v>13319</v>
      </c>
      <c r="W703" t="s">
        <v>13320</v>
      </c>
      <c r="X703" t="s">
        <v>13320</v>
      </c>
      <c r="Y703" t="s">
        <v>13321</v>
      </c>
      <c r="AA703" t="s">
        <v>12612</v>
      </c>
      <c r="AB703" t="s">
        <v>808</v>
      </c>
      <c r="AC703" s="3" t="str">
        <f>"85621"</f>
        <v>85621</v>
      </c>
      <c r="AD703" t="s">
        <v>128</v>
      </c>
      <c r="AF703" s="4">
        <v>15209802688</v>
      </c>
      <c r="AH703" t="str">
        <f>"3114"</f>
        <v>3114</v>
      </c>
      <c r="AI703" t="s">
        <v>130</v>
      </c>
      <c r="AJ703" t="s">
        <v>13316</v>
      </c>
      <c r="AK703" t="s">
        <v>5052</v>
      </c>
      <c r="AL703" t="s">
        <v>13322</v>
      </c>
      <c r="AM703" t="s">
        <v>13317</v>
      </c>
      <c r="AN703" t="s">
        <v>13318</v>
      </c>
      <c r="AO703" t="s">
        <v>12612</v>
      </c>
      <c r="AP703" t="s">
        <v>808</v>
      </c>
      <c r="AQ703" s="5">
        <v>85621</v>
      </c>
      <c r="AR703" t="s">
        <v>128</v>
      </c>
      <c r="AT703" s="4">
        <v>16237386372</v>
      </c>
      <c r="AV703" t="s">
        <v>13319</v>
      </c>
      <c r="AW703" t="s">
        <v>13323</v>
      </c>
      <c r="AX703" t="s">
        <v>131</v>
      </c>
      <c r="AY703" t="s">
        <v>131</v>
      </c>
      <c r="AZ703" t="s">
        <v>131</v>
      </c>
      <c r="BA703" t="s">
        <v>131</v>
      </c>
      <c r="BB703" t="s">
        <v>131</v>
      </c>
      <c r="BC703" t="s">
        <v>131</v>
      </c>
      <c r="BD703" t="s">
        <v>131</v>
      </c>
      <c r="BE703" t="s">
        <v>132</v>
      </c>
      <c r="BH703" t="s">
        <v>13324</v>
      </c>
      <c r="BI703" t="s">
        <v>131</v>
      </c>
      <c r="BL703" t="s">
        <v>167</v>
      </c>
      <c r="BO703" t="s">
        <v>131</v>
      </c>
      <c r="BP703" t="s">
        <v>134</v>
      </c>
      <c r="BQ703" t="s">
        <v>131</v>
      </c>
      <c r="BS703" t="str">
        <f t="shared" si="50"/>
        <v>N/A</v>
      </c>
      <c r="BT703" t="s">
        <v>131</v>
      </c>
      <c r="BV703" t="str">
        <f>""</f>
        <v/>
      </c>
      <c r="BW703" t="s">
        <v>131</v>
      </c>
      <c r="BX703" t="str">
        <f>""</f>
        <v/>
      </c>
      <c r="BY703" t="str">
        <f>""</f>
        <v/>
      </c>
      <c r="BZ703" t="str">
        <f>""</f>
        <v/>
      </c>
      <c r="CA703" t="str">
        <f>""</f>
        <v/>
      </c>
      <c r="CB703" t="s">
        <v>131</v>
      </c>
      <c r="CF703" t="s">
        <v>131</v>
      </c>
      <c r="CH703" t="str">
        <f>""</f>
        <v/>
      </c>
      <c r="CI703" t="s">
        <v>131</v>
      </c>
      <c r="CK703" t="s">
        <v>131</v>
      </c>
      <c r="CL703" t="str">
        <f>""</f>
        <v/>
      </c>
      <c r="CM703" t="str">
        <f>""</f>
        <v/>
      </c>
      <c r="CN703" t="str">
        <f>""</f>
        <v/>
      </c>
      <c r="CO703" t="str">
        <f>""</f>
        <v/>
      </c>
      <c r="CP703" t="str">
        <f>"51-3099.00"</f>
        <v>51-3099.00</v>
      </c>
      <c r="CQ703" t="s">
        <v>12787</v>
      </c>
      <c r="CR703" t="s">
        <v>13324</v>
      </c>
      <c r="CS703" t="s">
        <v>131</v>
      </c>
      <c r="CU703" t="s">
        <v>13321</v>
      </c>
      <c r="CW703" t="s">
        <v>12612</v>
      </c>
      <c r="CX703" t="s">
        <v>808</v>
      </c>
      <c r="CZ703" s="3" t="str">
        <f>"85621"</f>
        <v>85621</v>
      </c>
      <c r="DA703" t="s">
        <v>131</v>
      </c>
      <c r="DB703" t="str">
        <f>"35-2021"</f>
        <v>35-2021</v>
      </c>
      <c r="DC703" t="s">
        <v>1749</v>
      </c>
      <c r="DD703" t="s">
        <v>134</v>
      </c>
      <c r="DE703" t="s">
        <v>134</v>
      </c>
      <c r="DF703" t="str">
        <f>"53-7064.00"</f>
        <v>53-7064.00</v>
      </c>
      <c r="DG703" t="s">
        <v>2987</v>
      </c>
      <c r="DH703" s="6">
        <v>12.38</v>
      </c>
      <c r="DI703" t="s">
        <v>344</v>
      </c>
      <c r="DK703" t="s">
        <v>345</v>
      </c>
      <c r="DR703" t="s">
        <v>13325</v>
      </c>
      <c r="DS703" s="6">
        <v>12.38</v>
      </c>
      <c r="DT703" t="s">
        <v>424</v>
      </c>
      <c r="DU703" s="1">
        <v>44368</v>
      </c>
      <c r="DV703" s="1">
        <v>44457</v>
      </c>
    </row>
    <row r="704" spans="1:126" ht="15" customHeight="1" x14ac:dyDescent="0.35">
      <c r="A704" t="s">
        <v>10522</v>
      </c>
      <c r="B704" t="s">
        <v>318</v>
      </c>
      <c r="C704" s="1">
        <v>44339</v>
      </c>
      <c r="D704" s="1">
        <v>44368</v>
      </c>
      <c r="H704" t="s">
        <v>319</v>
      </c>
      <c r="I704" t="s">
        <v>10523</v>
      </c>
      <c r="J704" t="s">
        <v>10524</v>
      </c>
      <c r="K704" t="s">
        <v>1198</v>
      </c>
      <c r="L704" t="s">
        <v>9816</v>
      </c>
      <c r="M704" t="s">
        <v>10525</v>
      </c>
      <c r="N704" t="s">
        <v>10526</v>
      </c>
      <c r="O704" t="s">
        <v>7749</v>
      </c>
      <c r="P704" t="s">
        <v>1174</v>
      </c>
      <c r="Q704" s="3">
        <v>97501</v>
      </c>
      <c r="R704" t="s">
        <v>128</v>
      </c>
      <c r="T704" s="4">
        <v>15418420038</v>
      </c>
      <c r="V704" t="s">
        <v>10527</v>
      </c>
      <c r="W704" t="s">
        <v>10528</v>
      </c>
      <c r="X704" t="s">
        <v>978</v>
      </c>
      <c r="Y704" t="s">
        <v>10525</v>
      </c>
      <c r="Z704" t="s">
        <v>10526</v>
      </c>
      <c r="AA704" t="s">
        <v>7749</v>
      </c>
      <c r="AB704" t="s">
        <v>1512</v>
      </c>
      <c r="AC704" s="3" t="str">
        <f>"97501"</f>
        <v>97501</v>
      </c>
      <c r="AD704" t="s">
        <v>128</v>
      </c>
      <c r="AF704" s="4">
        <v>15418420038</v>
      </c>
      <c r="AH704" t="str">
        <f>"115310"</f>
        <v>115310</v>
      </c>
      <c r="AI704" t="s">
        <v>167</v>
      </c>
      <c r="AX704" t="s">
        <v>131</v>
      </c>
      <c r="AY704" t="s">
        <v>131</v>
      </c>
      <c r="AZ704" t="s">
        <v>131</v>
      </c>
      <c r="BA704" t="s">
        <v>131</v>
      </c>
      <c r="BB704" t="s">
        <v>131</v>
      </c>
      <c r="BC704" t="s">
        <v>131</v>
      </c>
      <c r="BD704" t="s">
        <v>131</v>
      </c>
      <c r="BE704" t="s">
        <v>132</v>
      </c>
      <c r="BH704" t="s">
        <v>10529</v>
      </c>
      <c r="BI704" t="s">
        <v>131</v>
      </c>
      <c r="BL704" t="s">
        <v>167</v>
      </c>
      <c r="BO704" t="s">
        <v>131</v>
      </c>
      <c r="BP704" t="s">
        <v>134</v>
      </c>
      <c r="BQ704" t="s">
        <v>131</v>
      </c>
      <c r="BS704" t="str">
        <f t="shared" si="50"/>
        <v>N/A</v>
      </c>
      <c r="BT704" t="s">
        <v>135</v>
      </c>
      <c r="BU704">
        <v>3</v>
      </c>
      <c r="BV704" t="str">
        <f>"COMMERCIAL TREE PLANTING AND/OR PRE-COMMERCIAL THINNING"</f>
        <v>COMMERCIAL TREE PLANTING AND/OR PRE-COMMERCIAL THINNING</v>
      </c>
      <c r="BW704" t="s">
        <v>131</v>
      </c>
      <c r="BX704" t="str">
        <f>""</f>
        <v/>
      </c>
      <c r="BY704" t="str">
        <f>""</f>
        <v/>
      </c>
      <c r="BZ704" t="str">
        <f>""</f>
        <v/>
      </c>
      <c r="CA704" t="str">
        <f>""</f>
        <v/>
      </c>
      <c r="CB704" t="s">
        <v>131</v>
      </c>
      <c r="CF704" t="s">
        <v>131</v>
      </c>
      <c r="CH704" t="str">
        <f>""</f>
        <v/>
      </c>
      <c r="CI704" t="s">
        <v>131</v>
      </c>
      <c r="CK704" t="s">
        <v>131</v>
      </c>
      <c r="CL704" t="str">
        <f>""</f>
        <v/>
      </c>
      <c r="CM704" t="str">
        <f>""</f>
        <v/>
      </c>
      <c r="CN704" t="str">
        <f>""</f>
        <v/>
      </c>
      <c r="CO704" t="str">
        <f>""</f>
        <v/>
      </c>
      <c r="CP704" t="str">
        <f>"45-4011.00"</f>
        <v>45-4011.00</v>
      </c>
      <c r="CQ704" t="s">
        <v>4310</v>
      </c>
      <c r="CR704" t="s">
        <v>5068</v>
      </c>
      <c r="CS704" t="s">
        <v>135</v>
      </c>
      <c r="CT704" t="s">
        <v>10530</v>
      </c>
      <c r="CU704" t="s">
        <v>10525</v>
      </c>
      <c r="CW704" t="s">
        <v>7749</v>
      </c>
      <c r="CX704" t="s">
        <v>1512</v>
      </c>
      <c r="CZ704" s="3" t="str">
        <f>"97501"</f>
        <v>97501</v>
      </c>
      <c r="DA704" t="s">
        <v>135</v>
      </c>
      <c r="DB704" t="str">
        <f>"45-4011"</f>
        <v>45-4011</v>
      </c>
      <c r="DC704" t="s">
        <v>4310</v>
      </c>
      <c r="DD704" t="s">
        <v>134</v>
      </c>
      <c r="DE704" t="s">
        <v>134</v>
      </c>
      <c r="DF704" t="str">
        <f>""</f>
        <v/>
      </c>
      <c r="DH704" s="6">
        <v>18.899999999999999</v>
      </c>
      <c r="DI704" t="s">
        <v>344</v>
      </c>
      <c r="DK704" t="s">
        <v>345</v>
      </c>
      <c r="DS704" s="6">
        <v>18.899999999999999</v>
      </c>
      <c r="DT704" s="2" t="s">
        <v>347</v>
      </c>
      <c r="DU704" s="1">
        <v>44368</v>
      </c>
      <c r="DV704" s="1">
        <v>44457</v>
      </c>
    </row>
    <row r="705" spans="1:126" ht="15" customHeight="1" x14ac:dyDescent="0.35">
      <c r="A705" t="s">
        <v>17889</v>
      </c>
      <c r="B705" t="s">
        <v>318</v>
      </c>
      <c r="C705" s="1">
        <v>44339</v>
      </c>
      <c r="D705" s="1">
        <v>44369</v>
      </c>
      <c r="H705" t="s">
        <v>319</v>
      </c>
      <c r="I705" t="s">
        <v>2981</v>
      </c>
      <c r="J705" t="s">
        <v>17890</v>
      </c>
      <c r="L705" t="s">
        <v>17891</v>
      </c>
      <c r="M705" t="s">
        <v>2985</v>
      </c>
      <c r="O705" t="s">
        <v>2982</v>
      </c>
      <c r="P705" t="s">
        <v>826</v>
      </c>
      <c r="Q705" s="3">
        <v>21631</v>
      </c>
      <c r="R705" t="s">
        <v>128</v>
      </c>
      <c r="T705" s="4">
        <v>14435210148</v>
      </c>
      <c r="V705" t="s">
        <v>17892</v>
      </c>
      <c r="W705" t="s">
        <v>17893</v>
      </c>
      <c r="Y705" t="s">
        <v>2985</v>
      </c>
      <c r="AA705" t="s">
        <v>2982</v>
      </c>
      <c r="AB705" t="s">
        <v>382</v>
      </c>
      <c r="AC705" s="3" t="str">
        <f>"21631"</f>
        <v>21631</v>
      </c>
      <c r="AD705" t="s">
        <v>128</v>
      </c>
      <c r="AF705" s="4">
        <v>14435210148</v>
      </c>
      <c r="AH705" t="str">
        <f>"114112"</f>
        <v>114112</v>
      </c>
      <c r="AI705" t="s">
        <v>167</v>
      </c>
      <c r="AX705" t="s">
        <v>131</v>
      </c>
      <c r="AY705" t="s">
        <v>131</v>
      </c>
      <c r="AZ705" t="s">
        <v>131</v>
      </c>
      <c r="BA705" t="s">
        <v>131</v>
      </c>
      <c r="BB705" t="s">
        <v>131</v>
      </c>
      <c r="BC705" t="s">
        <v>131</v>
      </c>
      <c r="BD705" t="s">
        <v>131</v>
      </c>
      <c r="BE705" t="s">
        <v>132</v>
      </c>
      <c r="BH705" t="s">
        <v>2986</v>
      </c>
      <c r="BI705" t="s">
        <v>131</v>
      </c>
      <c r="BL705" t="s">
        <v>167</v>
      </c>
      <c r="BO705" t="s">
        <v>131</v>
      </c>
      <c r="BP705" t="s">
        <v>134</v>
      </c>
      <c r="BQ705" t="s">
        <v>131</v>
      </c>
      <c r="BS705" t="str">
        <f t="shared" si="50"/>
        <v>N/A</v>
      </c>
      <c r="BT705" t="s">
        <v>131</v>
      </c>
      <c r="BV705" t="str">
        <f>""</f>
        <v/>
      </c>
      <c r="BW705" t="s">
        <v>135</v>
      </c>
      <c r="BX705" t="str">
        <f>""</f>
        <v/>
      </c>
      <c r="BY705" t="str">
        <f>""</f>
        <v/>
      </c>
      <c r="BZ705" t="str">
        <f>""</f>
        <v/>
      </c>
      <c r="CA705" t="str">
        <f>"Applicants are subject to drug screening as a job requirement."</f>
        <v>Applicants are subject to drug screening as a job requirement.</v>
      </c>
      <c r="CB705" t="s">
        <v>131</v>
      </c>
      <c r="CF705" t="s">
        <v>131</v>
      </c>
      <c r="CH705" t="str">
        <f>""</f>
        <v/>
      </c>
      <c r="CI705" t="s">
        <v>131</v>
      </c>
      <c r="CK705" t="s">
        <v>131</v>
      </c>
      <c r="CL705" t="str">
        <f>""</f>
        <v/>
      </c>
      <c r="CM705" t="str">
        <f>""</f>
        <v/>
      </c>
      <c r="CN705" t="str">
        <f>""</f>
        <v/>
      </c>
      <c r="CO705" t="str">
        <f>""</f>
        <v/>
      </c>
      <c r="CP705" t="str">
        <f>"53-7064.00"</f>
        <v>53-7064.00</v>
      </c>
      <c r="CQ705" t="s">
        <v>2987</v>
      </c>
      <c r="CR705" t="s">
        <v>6630</v>
      </c>
      <c r="CS705" t="s">
        <v>131</v>
      </c>
      <c r="CU705" t="s">
        <v>2988</v>
      </c>
      <c r="CW705" t="s">
        <v>1546</v>
      </c>
      <c r="CX705" t="s">
        <v>382</v>
      </c>
      <c r="CZ705" s="3" t="str">
        <f>"21613"</f>
        <v>21613</v>
      </c>
      <c r="DA705" t="s">
        <v>131</v>
      </c>
      <c r="DB705" t="str">
        <f>"53-7064"</f>
        <v>53-7064</v>
      </c>
      <c r="DC705" t="s">
        <v>2987</v>
      </c>
      <c r="DD705" t="s">
        <v>134</v>
      </c>
      <c r="DE705" t="s">
        <v>134</v>
      </c>
      <c r="DF705" t="str">
        <f>""</f>
        <v/>
      </c>
      <c r="DH705" s="6">
        <v>14</v>
      </c>
      <c r="DI705" t="s">
        <v>344</v>
      </c>
      <c r="DK705" t="s">
        <v>345</v>
      </c>
      <c r="DR705" t="s">
        <v>7845</v>
      </c>
      <c r="DS705" s="6">
        <v>14</v>
      </c>
      <c r="DT705" t="s">
        <v>424</v>
      </c>
      <c r="DU705" s="1">
        <v>44369</v>
      </c>
      <c r="DV705" s="1">
        <v>44458</v>
      </c>
    </row>
    <row r="706" spans="1:126" ht="15" customHeight="1" x14ac:dyDescent="0.35">
      <c r="A706" t="s">
        <v>16596</v>
      </c>
      <c r="B706" t="s">
        <v>318</v>
      </c>
      <c r="C706" s="1">
        <v>44339</v>
      </c>
      <c r="D706" s="1">
        <v>44368</v>
      </c>
      <c r="H706" t="s">
        <v>319</v>
      </c>
      <c r="I706" t="s">
        <v>2981</v>
      </c>
      <c r="J706" t="s">
        <v>1413</v>
      </c>
      <c r="L706" t="s">
        <v>1105</v>
      </c>
      <c r="M706" t="s">
        <v>2985</v>
      </c>
      <c r="O706" t="s">
        <v>2982</v>
      </c>
      <c r="P706" t="s">
        <v>826</v>
      </c>
      <c r="Q706" s="3">
        <v>21631</v>
      </c>
      <c r="R706" t="s">
        <v>128</v>
      </c>
      <c r="T706" s="4">
        <v>14435210149</v>
      </c>
      <c r="V706" t="s">
        <v>2983</v>
      </c>
      <c r="W706" t="s">
        <v>2984</v>
      </c>
      <c r="Y706" t="s">
        <v>2985</v>
      </c>
      <c r="AA706" t="s">
        <v>2982</v>
      </c>
      <c r="AB706" t="s">
        <v>382</v>
      </c>
      <c r="AC706" s="3" t="str">
        <f>"21631"</f>
        <v>21631</v>
      </c>
      <c r="AD706" t="s">
        <v>128</v>
      </c>
      <c r="AF706" s="4">
        <v>14435210149</v>
      </c>
      <c r="AH706" t="str">
        <f>"114112"</f>
        <v>114112</v>
      </c>
      <c r="AI706" t="s">
        <v>167</v>
      </c>
      <c r="AX706" t="s">
        <v>131</v>
      </c>
      <c r="AY706" t="s">
        <v>131</v>
      </c>
      <c r="AZ706" t="s">
        <v>131</v>
      </c>
      <c r="BA706" t="s">
        <v>131</v>
      </c>
      <c r="BB706" t="s">
        <v>131</v>
      </c>
      <c r="BC706" t="s">
        <v>131</v>
      </c>
      <c r="BD706" t="s">
        <v>131</v>
      </c>
      <c r="BE706" t="s">
        <v>132</v>
      </c>
      <c r="BH706" t="s">
        <v>2986</v>
      </c>
      <c r="BI706" t="s">
        <v>131</v>
      </c>
      <c r="BL706" t="s">
        <v>167</v>
      </c>
      <c r="BO706" t="s">
        <v>131</v>
      </c>
      <c r="BP706" t="s">
        <v>134</v>
      </c>
      <c r="BQ706" t="s">
        <v>131</v>
      </c>
      <c r="BS706" t="str">
        <f t="shared" si="50"/>
        <v>N/A</v>
      </c>
      <c r="BT706" t="s">
        <v>131</v>
      </c>
      <c r="BV706" t="str">
        <f>""</f>
        <v/>
      </c>
      <c r="BW706" t="s">
        <v>135</v>
      </c>
      <c r="BX706" t="str">
        <f>""</f>
        <v/>
      </c>
      <c r="BY706" t="str">
        <f>""</f>
        <v/>
      </c>
      <c r="BZ706" t="str">
        <f>""</f>
        <v/>
      </c>
      <c r="CA706" t="str">
        <f>"Applicants are subject to drug screening as a job requirement."</f>
        <v>Applicants are subject to drug screening as a job requirement.</v>
      </c>
      <c r="CB706" t="s">
        <v>131</v>
      </c>
      <c r="CF706" t="s">
        <v>131</v>
      </c>
      <c r="CH706" t="str">
        <f>""</f>
        <v/>
      </c>
      <c r="CI706" t="s">
        <v>131</v>
      </c>
      <c r="CK706" t="s">
        <v>131</v>
      </c>
      <c r="CL706" t="str">
        <f>""</f>
        <v/>
      </c>
      <c r="CM706" t="str">
        <f>""</f>
        <v/>
      </c>
      <c r="CN706" t="str">
        <f>""</f>
        <v/>
      </c>
      <c r="CO706" t="str">
        <f>""</f>
        <v/>
      </c>
      <c r="CP706" t="str">
        <f>"53-7064.00"</f>
        <v>53-7064.00</v>
      </c>
      <c r="CQ706" t="s">
        <v>2987</v>
      </c>
      <c r="CR706" t="s">
        <v>1105</v>
      </c>
      <c r="CS706" t="s">
        <v>131</v>
      </c>
      <c r="CU706" t="s">
        <v>2988</v>
      </c>
      <c r="CW706" t="s">
        <v>1546</v>
      </c>
      <c r="CX706" t="s">
        <v>382</v>
      </c>
      <c r="CZ706" s="3" t="str">
        <f>"21613"</f>
        <v>21613</v>
      </c>
      <c r="DA706" t="s">
        <v>131</v>
      </c>
      <c r="DB706" t="str">
        <f>"53-7064"</f>
        <v>53-7064</v>
      </c>
      <c r="DC706" t="s">
        <v>2987</v>
      </c>
      <c r="DD706" t="s">
        <v>134</v>
      </c>
      <c r="DE706" t="s">
        <v>134</v>
      </c>
      <c r="DF706" t="str">
        <f>""</f>
        <v/>
      </c>
      <c r="DH706" s="6">
        <v>14</v>
      </c>
      <c r="DI706" t="s">
        <v>344</v>
      </c>
      <c r="DK706" t="s">
        <v>345</v>
      </c>
      <c r="DR706" t="s">
        <v>7845</v>
      </c>
      <c r="DS706" s="6">
        <v>14</v>
      </c>
      <c r="DT706" t="s">
        <v>424</v>
      </c>
      <c r="DU706" s="1">
        <v>44368</v>
      </c>
      <c r="DV706" s="1">
        <v>44457</v>
      </c>
    </row>
    <row r="707" spans="1:126" ht="15" customHeight="1" x14ac:dyDescent="0.35">
      <c r="A707" t="s">
        <v>13629</v>
      </c>
      <c r="B707" t="s">
        <v>318</v>
      </c>
      <c r="C707" s="1">
        <v>44340</v>
      </c>
      <c r="D707" s="1">
        <v>44368</v>
      </c>
      <c r="H707" t="s">
        <v>319</v>
      </c>
      <c r="I707" t="s">
        <v>10863</v>
      </c>
      <c r="J707" t="s">
        <v>4792</v>
      </c>
      <c r="K707" t="s">
        <v>10864</v>
      </c>
      <c r="L707" t="s">
        <v>6444</v>
      </c>
      <c r="M707" t="s">
        <v>13630</v>
      </c>
      <c r="O707" t="s">
        <v>616</v>
      </c>
      <c r="P707" t="s">
        <v>194</v>
      </c>
      <c r="Q707" s="3">
        <v>33196</v>
      </c>
      <c r="R707" t="s">
        <v>128</v>
      </c>
      <c r="T707" s="4">
        <v>13052153641</v>
      </c>
      <c r="V707" t="s">
        <v>10865</v>
      </c>
      <c r="W707" t="s">
        <v>10866</v>
      </c>
      <c r="Y707" t="s">
        <v>13630</v>
      </c>
      <c r="AA707" t="s">
        <v>616</v>
      </c>
      <c r="AB707" t="s">
        <v>195</v>
      </c>
      <c r="AC707" s="3" t="str">
        <f>"33196"</f>
        <v>33196</v>
      </c>
      <c r="AD707" t="s">
        <v>128</v>
      </c>
      <c r="AF707" s="4">
        <v>13052153641</v>
      </c>
      <c r="AH707" t="str">
        <f>"561320"</f>
        <v>561320</v>
      </c>
      <c r="AI707" t="s">
        <v>167</v>
      </c>
      <c r="AX707" t="s">
        <v>131</v>
      </c>
      <c r="AY707" t="s">
        <v>131</v>
      </c>
      <c r="AZ707" t="s">
        <v>131</v>
      </c>
      <c r="BA707" t="s">
        <v>131</v>
      </c>
      <c r="BB707" t="s">
        <v>131</v>
      </c>
      <c r="BC707" t="s">
        <v>131</v>
      </c>
      <c r="BD707" t="s">
        <v>131</v>
      </c>
      <c r="BE707" t="s">
        <v>132</v>
      </c>
      <c r="BH707" t="s">
        <v>4816</v>
      </c>
      <c r="BI707" t="s">
        <v>131</v>
      </c>
      <c r="BL707" t="s">
        <v>167</v>
      </c>
      <c r="BO707" t="s">
        <v>131</v>
      </c>
      <c r="BP707" t="s">
        <v>134</v>
      </c>
      <c r="BQ707" t="s">
        <v>131</v>
      </c>
      <c r="BS707" t="str">
        <f t="shared" si="50"/>
        <v>N/A</v>
      </c>
      <c r="BT707" t="s">
        <v>135</v>
      </c>
      <c r="BU707">
        <v>3</v>
      </c>
      <c r="BV707" t="str">
        <f>"Cook"</f>
        <v>Cook</v>
      </c>
      <c r="BW707" t="s">
        <v>131</v>
      </c>
      <c r="BX707" t="str">
        <f>""</f>
        <v/>
      </c>
      <c r="BY707" t="str">
        <f>""</f>
        <v/>
      </c>
      <c r="BZ707" t="str">
        <f>""</f>
        <v/>
      </c>
      <c r="CA707" t="str">
        <f>""</f>
        <v/>
      </c>
      <c r="CB707" t="s">
        <v>131</v>
      </c>
      <c r="CF707" t="s">
        <v>131</v>
      </c>
      <c r="CH707" t="str">
        <f>""</f>
        <v/>
      </c>
      <c r="CI707" t="s">
        <v>131</v>
      </c>
      <c r="CK707" t="s">
        <v>131</v>
      </c>
      <c r="CL707" t="str">
        <f>""</f>
        <v/>
      </c>
      <c r="CM707" t="str">
        <f>""</f>
        <v/>
      </c>
      <c r="CN707" t="str">
        <f>""</f>
        <v/>
      </c>
      <c r="CO707" t="str">
        <f>""</f>
        <v/>
      </c>
      <c r="CP707" t="str">
        <f>"35-2014.00"</f>
        <v>35-2014.00</v>
      </c>
      <c r="CQ707" t="s">
        <v>581</v>
      </c>
      <c r="CS707" t="s">
        <v>131</v>
      </c>
      <c r="CU707" t="s">
        <v>13631</v>
      </c>
      <c r="CW707" t="s">
        <v>2025</v>
      </c>
      <c r="CX707" t="s">
        <v>195</v>
      </c>
      <c r="CZ707" s="3" t="str">
        <f>"33140"</f>
        <v>33140</v>
      </c>
      <c r="DA707" t="s">
        <v>135</v>
      </c>
      <c r="DB707" t="str">
        <f>"35-2014"</f>
        <v>35-2014</v>
      </c>
      <c r="DC707" t="s">
        <v>581</v>
      </c>
      <c r="DD707" t="s">
        <v>134</v>
      </c>
      <c r="DE707" t="s">
        <v>134</v>
      </c>
      <c r="DF707" t="str">
        <f>""</f>
        <v/>
      </c>
      <c r="DH707" s="6">
        <v>14.63</v>
      </c>
      <c r="DI707" t="s">
        <v>344</v>
      </c>
      <c r="DK707" t="s">
        <v>345</v>
      </c>
      <c r="DR707" t="s">
        <v>2160</v>
      </c>
      <c r="DS707" s="6">
        <v>14.63</v>
      </c>
      <c r="DT707" t="s">
        <v>424</v>
      </c>
      <c r="DU707" s="1">
        <v>44368</v>
      </c>
      <c r="DV707" s="1">
        <v>44457</v>
      </c>
    </row>
    <row r="708" spans="1:126" ht="15" customHeight="1" x14ac:dyDescent="0.35">
      <c r="A708" t="s">
        <v>17296</v>
      </c>
      <c r="B708" t="s">
        <v>318</v>
      </c>
      <c r="C708" s="1">
        <v>44340</v>
      </c>
      <c r="D708" s="1">
        <v>44368</v>
      </c>
      <c r="H708" t="s">
        <v>319</v>
      </c>
      <c r="I708" t="s">
        <v>10863</v>
      </c>
      <c r="J708" t="s">
        <v>4792</v>
      </c>
      <c r="K708" t="s">
        <v>10864</v>
      </c>
      <c r="L708" t="s">
        <v>6444</v>
      </c>
      <c r="M708" t="s">
        <v>13630</v>
      </c>
      <c r="O708" t="s">
        <v>616</v>
      </c>
      <c r="P708" t="s">
        <v>194</v>
      </c>
      <c r="Q708" s="3">
        <v>33196</v>
      </c>
      <c r="R708" t="s">
        <v>128</v>
      </c>
      <c r="T708" s="4">
        <v>13052153641</v>
      </c>
      <c r="V708" t="s">
        <v>10865</v>
      </c>
      <c r="W708" t="s">
        <v>10866</v>
      </c>
      <c r="Y708" t="s">
        <v>13630</v>
      </c>
      <c r="AA708" t="s">
        <v>616</v>
      </c>
      <c r="AB708" t="s">
        <v>195</v>
      </c>
      <c r="AC708" s="3" t="str">
        <f>"33196"</f>
        <v>33196</v>
      </c>
      <c r="AD708" t="s">
        <v>128</v>
      </c>
      <c r="AF708" s="4">
        <v>13052153641</v>
      </c>
      <c r="AH708" t="str">
        <f>"561320"</f>
        <v>561320</v>
      </c>
      <c r="AI708" t="s">
        <v>167</v>
      </c>
      <c r="AX708" t="s">
        <v>131</v>
      </c>
      <c r="AY708" t="s">
        <v>131</v>
      </c>
      <c r="AZ708" t="s">
        <v>131</v>
      </c>
      <c r="BA708" t="s">
        <v>131</v>
      </c>
      <c r="BB708" t="s">
        <v>131</v>
      </c>
      <c r="BC708" t="s">
        <v>131</v>
      </c>
      <c r="BD708" t="s">
        <v>131</v>
      </c>
      <c r="BE708" t="s">
        <v>132</v>
      </c>
      <c r="BH708" t="s">
        <v>4816</v>
      </c>
      <c r="BI708" t="s">
        <v>131</v>
      </c>
      <c r="BL708" t="s">
        <v>167</v>
      </c>
      <c r="BO708" t="s">
        <v>131</v>
      </c>
      <c r="BP708" t="s">
        <v>134</v>
      </c>
      <c r="BQ708" t="s">
        <v>131</v>
      </c>
      <c r="BS708" t="str">
        <f t="shared" si="50"/>
        <v>N/A</v>
      </c>
      <c r="BT708" t="s">
        <v>135</v>
      </c>
      <c r="BU708">
        <v>3</v>
      </c>
      <c r="BV708" t="str">
        <f>"Cook"</f>
        <v>Cook</v>
      </c>
      <c r="BW708" t="s">
        <v>131</v>
      </c>
      <c r="BX708" t="str">
        <f>""</f>
        <v/>
      </c>
      <c r="BY708" t="str">
        <f>""</f>
        <v/>
      </c>
      <c r="BZ708" t="str">
        <f>""</f>
        <v/>
      </c>
      <c r="CA708" t="str">
        <f>""</f>
        <v/>
      </c>
      <c r="CB708" t="s">
        <v>131</v>
      </c>
      <c r="CF708" t="s">
        <v>131</v>
      </c>
      <c r="CH708" t="str">
        <f>""</f>
        <v/>
      </c>
      <c r="CI708" t="s">
        <v>131</v>
      </c>
      <c r="CK708" t="s">
        <v>131</v>
      </c>
      <c r="CL708" t="str">
        <f>""</f>
        <v/>
      </c>
      <c r="CM708" t="str">
        <f>""</f>
        <v/>
      </c>
      <c r="CN708" t="str">
        <f>""</f>
        <v/>
      </c>
      <c r="CO708" t="str">
        <f>""</f>
        <v/>
      </c>
      <c r="CP708" t="str">
        <f>"35-2011.00"</f>
        <v>35-2011.00</v>
      </c>
      <c r="CQ708" t="s">
        <v>7074</v>
      </c>
      <c r="CS708" t="s">
        <v>131</v>
      </c>
      <c r="CU708" t="s">
        <v>13631</v>
      </c>
      <c r="CW708" t="s">
        <v>2025</v>
      </c>
      <c r="CX708" t="s">
        <v>195</v>
      </c>
      <c r="CZ708" s="3" t="str">
        <f>"33140"</f>
        <v>33140</v>
      </c>
      <c r="DA708" t="s">
        <v>135</v>
      </c>
      <c r="DB708" t="str">
        <f>"35-2011"</f>
        <v>35-2011</v>
      </c>
      <c r="DC708" t="s">
        <v>7074</v>
      </c>
      <c r="DD708" t="s">
        <v>134</v>
      </c>
      <c r="DE708" t="s">
        <v>134</v>
      </c>
      <c r="DF708" t="str">
        <f>""</f>
        <v/>
      </c>
      <c r="DH708" s="6">
        <v>10.79</v>
      </c>
      <c r="DI708" t="s">
        <v>344</v>
      </c>
      <c r="DK708" t="s">
        <v>345</v>
      </c>
      <c r="DR708" t="s">
        <v>2160</v>
      </c>
      <c r="DS708" s="6">
        <v>10.79</v>
      </c>
      <c r="DT708" t="s">
        <v>424</v>
      </c>
      <c r="DU708" s="1">
        <v>44368</v>
      </c>
      <c r="DV708" s="1">
        <v>44457</v>
      </c>
    </row>
    <row r="709" spans="1:126" ht="15" customHeight="1" x14ac:dyDescent="0.35">
      <c r="A709" t="s">
        <v>16832</v>
      </c>
      <c r="B709" t="s">
        <v>318</v>
      </c>
      <c r="C709" s="1">
        <v>44340</v>
      </c>
      <c r="D709" s="1">
        <v>44368</v>
      </c>
      <c r="H709" t="s">
        <v>319</v>
      </c>
      <c r="I709" t="s">
        <v>8560</v>
      </c>
      <c r="J709" t="s">
        <v>781</v>
      </c>
      <c r="L709" t="s">
        <v>1105</v>
      </c>
      <c r="M709" t="s">
        <v>16833</v>
      </c>
      <c r="O709" t="s">
        <v>16834</v>
      </c>
      <c r="P709" t="s">
        <v>826</v>
      </c>
      <c r="Q709" s="3">
        <v>21114</v>
      </c>
      <c r="R709" t="s">
        <v>128</v>
      </c>
      <c r="T709" s="4">
        <v>19103892777</v>
      </c>
      <c r="V709" t="s">
        <v>16835</v>
      </c>
      <c r="W709" t="s">
        <v>16836</v>
      </c>
      <c r="Y709" t="s">
        <v>16837</v>
      </c>
      <c r="AA709" t="s">
        <v>16834</v>
      </c>
      <c r="AB709" t="s">
        <v>382</v>
      </c>
      <c r="AC709" s="3" t="str">
        <f>"21114"</f>
        <v>21114</v>
      </c>
      <c r="AD709" t="s">
        <v>128</v>
      </c>
      <c r="AF709" s="4">
        <v>19103892777</v>
      </c>
      <c r="AH709" t="str">
        <f>"814110"</f>
        <v>814110</v>
      </c>
      <c r="AI709" t="s">
        <v>130</v>
      </c>
      <c r="AJ709" t="s">
        <v>15269</v>
      </c>
      <c r="AK709" t="s">
        <v>15328</v>
      </c>
      <c r="AM709" t="s">
        <v>15329</v>
      </c>
      <c r="AN709" t="s">
        <v>1524</v>
      </c>
      <c r="AO709" t="s">
        <v>2071</v>
      </c>
      <c r="AP709" t="s">
        <v>594</v>
      </c>
      <c r="AQ709" s="5">
        <v>27858</v>
      </c>
      <c r="AR709" t="s">
        <v>128</v>
      </c>
      <c r="AT709" s="4">
        <v>19105260066</v>
      </c>
      <c r="AV709" t="s">
        <v>15330</v>
      </c>
      <c r="AW709" t="s">
        <v>16838</v>
      </c>
      <c r="AX709" t="s">
        <v>131</v>
      </c>
      <c r="AY709" t="s">
        <v>131</v>
      </c>
      <c r="AZ709" t="s">
        <v>131</v>
      </c>
      <c r="BA709" t="s">
        <v>131</v>
      </c>
      <c r="BB709" t="s">
        <v>131</v>
      </c>
      <c r="BC709" t="s">
        <v>131</v>
      </c>
      <c r="BD709" t="s">
        <v>131</v>
      </c>
      <c r="BE709" t="s">
        <v>132</v>
      </c>
      <c r="BH709" t="s">
        <v>7134</v>
      </c>
      <c r="BI709" t="s">
        <v>131</v>
      </c>
      <c r="BL709" t="s">
        <v>401</v>
      </c>
      <c r="BO709" t="s">
        <v>131</v>
      </c>
      <c r="BP709" t="s">
        <v>134</v>
      </c>
      <c r="BQ709" t="s">
        <v>131</v>
      </c>
      <c r="BS709" t="str">
        <f t="shared" si="50"/>
        <v>N/A</v>
      </c>
      <c r="BT709" t="s">
        <v>135</v>
      </c>
      <c r="BU709">
        <v>24</v>
      </c>
      <c r="BV709" t="str">
        <f>"Live-In Nanny"</f>
        <v>Live-In Nanny</v>
      </c>
      <c r="BW709" t="s">
        <v>135</v>
      </c>
      <c r="BX709" t="str">
        <f>""</f>
        <v/>
      </c>
      <c r="BY709" t="str">
        <f>""</f>
        <v/>
      </c>
      <c r="BZ709" t="str">
        <f>""</f>
        <v/>
      </c>
      <c r="CA709" t="str">
        <f>"Knowledge of basic first aid and CPR; Passage of drug tests and background checks; Driver's license or the eligibility to acquire one within 30 days after hiring"</f>
        <v>Knowledge of basic first aid and CPR; Passage of drug tests and background checks; Driver's license or the eligibility to acquire one within 30 days after hiring</v>
      </c>
      <c r="CB709" t="s">
        <v>131</v>
      </c>
      <c r="CF709" t="s">
        <v>131</v>
      </c>
      <c r="CH709" t="str">
        <f>""</f>
        <v/>
      </c>
      <c r="CI709" t="s">
        <v>131</v>
      </c>
      <c r="CK709" t="s">
        <v>131</v>
      </c>
      <c r="CL709" t="str">
        <f>""</f>
        <v/>
      </c>
      <c r="CM709" t="str">
        <f>""</f>
        <v/>
      </c>
      <c r="CN709" t="str">
        <f>""</f>
        <v/>
      </c>
      <c r="CO709" t="str">
        <f>""</f>
        <v/>
      </c>
      <c r="CP709" t="str">
        <f>"39-9011.01"</f>
        <v>39-9011.01</v>
      </c>
      <c r="CQ709" t="s">
        <v>339</v>
      </c>
      <c r="CR709" t="s">
        <v>7134</v>
      </c>
      <c r="CS709" t="s">
        <v>131</v>
      </c>
      <c r="CU709" t="s">
        <v>16837</v>
      </c>
      <c r="CW709" t="s">
        <v>16834</v>
      </c>
      <c r="CX709" t="s">
        <v>382</v>
      </c>
      <c r="CZ709" s="3" t="str">
        <f>"21114"</f>
        <v>21114</v>
      </c>
      <c r="DA709" t="s">
        <v>131</v>
      </c>
      <c r="DB709" t="str">
        <f>"39-9011"</f>
        <v>39-9011</v>
      </c>
      <c r="DC709" t="s">
        <v>342</v>
      </c>
      <c r="DD709" t="s">
        <v>343</v>
      </c>
      <c r="DE709" t="s">
        <v>339</v>
      </c>
      <c r="DF709" t="str">
        <f>""</f>
        <v/>
      </c>
      <c r="DH709" s="6">
        <v>12.06</v>
      </c>
      <c r="DI709" t="s">
        <v>344</v>
      </c>
      <c r="DK709" t="s">
        <v>345</v>
      </c>
      <c r="DS709" s="6">
        <v>12.06</v>
      </c>
      <c r="DT709" t="s">
        <v>424</v>
      </c>
      <c r="DU709" s="1">
        <v>44368</v>
      </c>
      <c r="DV709" s="1">
        <v>44457</v>
      </c>
    </row>
    <row r="710" spans="1:126" ht="15" customHeight="1" x14ac:dyDescent="0.35">
      <c r="A710" t="s">
        <v>12241</v>
      </c>
      <c r="B710" t="s">
        <v>318</v>
      </c>
      <c r="C710" s="1">
        <v>44340</v>
      </c>
      <c r="D710" s="1">
        <v>44368</v>
      </c>
      <c r="H710" t="s">
        <v>319</v>
      </c>
      <c r="I710" t="s">
        <v>12242</v>
      </c>
      <c r="J710" t="s">
        <v>1456</v>
      </c>
      <c r="L710" t="s">
        <v>303</v>
      </c>
      <c r="M710" t="s">
        <v>12243</v>
      </c>
      <c r="O710" t="s">
        <v>12244</v>
      </c>
      <c r="P710" t="s">
        <v>311</v>
      </c>
      <c r="Q710" s="3">
        <v>15314</v>
      </c>
      <c r="R710" t="s">
        <v>128</v>
      </c>
      <c r="T710" s="4">
        <v>17248090203</v>
      </c>
      <c r="V710" t="s">
        <v>134</v>
      </c>
      <c r="W710" t="s">
        <v>12245</v>
      </c>
      <c r="Y710" t="s">
        <v>12243</v>
      </c>
      <c r="AA710" t="s">
        <v>12244</v>
      </c>
      <c r="AB710" t="s">
        <v>312</v>
      </c>
      <c r="AC710" s="3" t="str">
        <f>"15314"</f>
        <v>15314</v>
      </c>
      <c r="AD710" t="s">
        <v>128</v>
      </c>
      <c r="AF710" s="4">
        <v>17248090203</v>
      </c>
      <c r="AH710" t="str">
        <f>"56173"</f>
        <v>56173</v>
      </c>
      <c r="AI710" t="s">
        <v>287</v>
      </c>
      <c r="AJ710" t="s">
        <v>2917</v>
      </c>
      <c r="AK710" t="s">
        <v>2918</v>
      </c>
      <c r="AL710" t="s">
        <v>610</v>
      </c>
      <c r="AM710" t="s">
        <v>3772</v>
      </c>
      <c r="AO710" t="s">
        <v>3773</v>
      </c>
      <c r="AP710" t="s">
        <v>306</v>
      </c>
      <c r="AQ710" s="5">
        <v>22903</v>
      </c>
      <c r="AR710" t="s">
        <v>128</v>
      </c>
      <c r="AT710" s="4">
        <v>14342634300</v>
      </c>
      <c r="AV710" t="s">
        <v>5385</v>
      </c>
      <c r="AW710" t="s">
        <v>2923</v>
      </c>
      <c r="AX710" t="s">
        <v>131</v>
      </c>
      <c r="AY710" t="s">
        <v>131</v>
      </c>
      <c r="AZ710" t="s">
        <v>131</v>
      </c>
      <c r="BA710" t="s">
        <v>131</v>
      </c>
      <c r="BB710" t="s">
        <v>131</v>
      </c>
      <c r="BC710" t="s">
        <v>131</v>
      </c>
      <c r="BD710" t="s">
        <v>131</v>
      </c>
      <c r="BE710" t="s">
        <v>132</v>
      </c>
      <c r="BH710" t="s">
        <v>12109</v>
      </c>
      <c r="BI710" t="s">
        <v>131</v>
      </c>
      <c r="BL710" t="s">
        <v>167</v>
      </c>
      <c r="BO710" t="s">
        <v>131</v>
      </c>
      <c r="BP710" t="s">
        <v>134</v>
      </c>
      <c r="BQ710" t="s">
        <v>131</v>
      </c>
      <c r="BS710" t="str">
        <f t="shared" si="50"/>
        <v>N/A</v>
      </c>
      <c r="BT710" t="s">
        <v>135</v>
      </c>
      <c r="BU710">
        <v>3</v>
      </c>
      <c r="BV710" t="str">
        <f>"Requires three months of previous grounds maintenance experience."</f>
        <v>Requires three months of previous grounds maintenance experience.</v>
      </c>
      <c r="BW710" t="s">
        <v>135</v>
      </c>
      <c r="BX710" t="str">
        <f>""</f>
        <v/>
      </c>
      <c r="BY710" t="str">
        <f>""</f>
        <v/>
      </c>
      <c r="BZ710" t="str">
        <f>""</f>
        <v/>
      </c>
      <c r="CA710" t="str">
        <f>"Must lift/carry 50lbs, when necessary. Hours may vary depending on snowfall. Must work Saturday &amp; Sunday, when necessary and be on-call during storm events."</f>
        <v>Must lift/carry 50lbs, when necessary. Hours may vary depending on snowfall. Must work Saturday &amp; Sunday, when necessary and be on-call during storm events.</v>
      </c>
      <c r="CB710" t="s">
        <v>131</v>
      </c>
      <c r="CF710" t="s">
        <v>131</v>
      </c>
      <c r="CH710" t="str">
        <f>""</f>
        <v/>
      </c>
      <c r="CI710" t="s">
        <v>131</v>
      </c>
      <c r="CK710" t="s">
        <v>131</v>
      </c>
      <c r="CL710" t="str">
        <f>""</f>
        <v/>
      </c>
      <c r="CM710" t="str">
        <f>""</f>
        <v/>
      </c>
      <c r="CN710" t="str">
        <f>""</f>
        <v/>
      </c>
      <c r="CO710" t="str">
        <f>""</f>
        <v/>
      </c>
      <c r="CP710" t="str">
        <f>"37-3011.00"</f>
        <v>37-3011.00</v>
      </c>
      <c r="CQ710" t="s">
        <v>920</v>
      </c>
      <c r="CR710" t="s">
        <v>2924</v>
      </c>
      <c r="CS710" t="s">
        <v>135</v>
      </c>
      <c r="CT710" t="s">
        <v>2925</v>
      </c>
      <c r="CU710" t="s">
        <v>12243</v>
      </c>
      <c r="CW710" t="s">
        <v>12244</v>
      </c>
      <c r="CX710" t="s">
        <v>312</v>
      </c>
      <c r="CZ710" s="3" t="str">
        <f>"15314"</f>
        <v>15314</v>
      </c>
      <c r="DA710" t="s">
        <v>135</v>
      </c>
      <c r="DB710" t="str">
        <f>"37-3011"</f>
        <v>37-3011</v>
      </c>
      <c r="DC710" t="s">
        <v>920</v>
      </c>
      <c r="DD710" t="s">
        <v>134</v>
      </c>
      <c r="DE710" t="s">
        <v>134</v>
      </c>
      <c r="DF710" t="str">
        <f>""</f>
        <v/>
      </c>
      <c r="DH710" s="6">
        <v>14.66</v>
      </c>
      <c r="DI710" t="s">
        <v>344</v>
      </c>
      <c r="DK710" t="s">
        <v>345</v>
      </c>
      <c r="DS710" s="6">
        <v>14.66</v>
      </c>
      <c r="DT710" s="2" t="s">
        <v>347</v>
      </c>
      <c r="DU710" s="1">
        <v>44368</v>
      </c>
      <c r="DV710" s="1">
        <v>44457</v>
      </c>
    </row>
    <row r="711" spans="1:126" ht="15" customHeight="1" x14ac:dyDescent="0.35">
      <c r="A711" t="s">
        <v>15706</v>
      </c>
      <c r="B711" t="s">
        <v>318</v>
      </c>
      <c r="C711" s="1">
        <v>44340</v>
      </c>
      <c r="D711" s="1">
        <v>44368</v>
      </c>
      <c r="H711" t="s">
        <v>319</v>
      </c>
      <c r="I711" t="s">
        <v>10471</v>
      </c>
      <c r="J711" t="s">
        <v>1060</v>
      </c>
      <c r="K711" t="s">
        <v>2927</v>
      </c>
      <c r="L711" t="s">
        <v>7021</v>
      </c>
      <c r="M711" t="s">
        <v>15707</v>
      </c>
      <c r="O711" t="s">
        <v>15708</v>
      </c>
      <c r="P711" t="s">
        <v>818</v>
      </c>
      <c r="Q711" s="3">
        <v>30153</v>
      </c>
      <c r="R711" t="s">
        <v>128</v>
      </c>
      <c r="T711" s="4">
        <v>19125512066</v>
      </c>
      <c r="V711" t="s">
        <v>15709</v>
      </c>
      <c r="W711" t="s">
        <v>15710</v>
      </c>
      <c r="Y711" t="s">
        <v>15707</v>
      </c>
      <c r="AA711" t="s">
        <v>15708</v>
      </c>
      <c r="AB711" t="s">
        <v>643</v>
      </c>
      <c r="AC711" s="3" t="str">
        <f>"30153"</f>
        <v>30153</v>
      </c>
      <c r="AD711" t="s">
        <v>128</v>
      </c>
      <c r="AF711" s="4">
        <v>19125512066</v>
      </c>
      <c r="AH711" t="str">
        <f>"562998"</f>
        <v>562998</v>
      </c>
      <c r="AI711" t="s">
        <v>167</v>
      </c>
      <c r="AX711" t="s">
        <v>131</v>
      </c>
      <c r="AY711" t="s">
        <v>131</v>
      </c>
      <c r="AZ711" t="s">
        <v>131</v>
      </c>
      <c r="BA711" t="s">
        <v>131</v>
      </c>
      <c r="BB711" t="s">
        <v>131</v>
      </c>
      <c r="BC711" t="s">
        <v>131</v>
      </c>
      <c r="BD711" t="s">
        <v>131</v>
      </c>
      <c r="BE711" t="s">
        <v>132</v>
      </c>
      <c r="BH711" t="s">
        <v>15711</v>
      </c>
      <c r="BI711" t="s">
        <v>131</v>
      </c>
      <c r="BL711" t="s">
        <v>167</v>
      </c>
      <c r="BO711" t="s">
        <v>131</v>
      </c>
      <c r="BP711" t="s">
        <v>134</v>
      </c>
      <c r="BQ711" t="s">
        <v>131</v>
      </c>
      <c r="BS711" t="str">
        <f t="shared" si="50"/>
        <v>N/A</v>
      </c>
      <c r="BT711" t="s">
        <v>131</v>
      </c>
      <c r="BV711" t="str">
        <f>""</f>
        <v/>
      </c>
      <c r="BW711" t="s">
        <v>135</v>
      </c>
      <c r="BX711" t="str">
        <f>""</f>
        <v/>
      </c>
      <c r="BY711" t="str">
        <f>""</f>
        <v/>
      </c>
      <c r="BZ711" t="str">
        <f>""</f>
        <v/>
      </c>
      <c r="CA711" t="str">
        <f>"Must obtain a form of ID and be able to pass a drug screen."</f>
        <v>Must obtain a form of ID and be able to pass a drug screen.</v>
      </c>
      <c r="CB711" t="s">
        <v>131</v>
      </c>
      <c r="CF711" t="s">
        <v>131</v>
      </c>
      <c r="CH711" t="str">
        <f>""</f>
        <v/>
      </c>
      <c r="CI711" t="s">
        <v>131</v>
      </c>
      <c r="CK711" t="s">
        <v>131</v>
      </c>
      <c r="CL711" t="str">
        <f>""</f>
        <v/>
      </c>
      <c r="CM711" t="str">
        <f>""</f>
        <v/>
      </c>
      <c r="CN711" t="str">
        <f>""</f>
        <v/>
      </c>
      <c r="CO711" t="str">
        <f>""</f>
        <v/>
      </c>
      <c r="CP711" t="str">
        <f>"47-2061.00"</f>
        <v>47-2061.00</v>
      </c>
      <c r="CQ711" t="s">
        <v>393</v>
      </c>
      <c r="CR711" t="s">
        <v>5117</v>
      </c>
      <c r="CS711" t="s">
        <v>135</v>
      </c>
      <c r="CT711" t="s">
        <v>15712</v>
      </c>
      <c r="CU711" t="s">
        <v>15707</v>
      </c>
      <c r="CW711" t="s">
        <v>15708</v>
      </c>
      <c r="CX711" t="s">
        <v>643</v>
      </c>
      <c r="CZ711" s="3" t="str">
        <f>"30153"</f>
        <v>30153</v>
      </c>
      <c r="DA711" t="s">
        <v>135</v>
      </c>
      <c r="DB711" t="str">
        <f>"47-2061"</f>
        <v>47-2061</v>
      </c>
      <c r="DC711" t="s">
        <v>393</v>
      </c>
      <c r="DD711" t="s">
        <v>134</v>
      </c>
      <c r="DE711" t="s">
        <v>134</v>
      </c>
      <c r="DF711" t="str">
        <f>""</f>
        <v/>
      </c>
      <c r="DH711" s="6">
        <v>15.67</v>
      </c>
      <c r="DI711" t="s">
        <v>344</v>
      </c>
      <c r="DK711" t="s">
        <v>345</v>
      </c>
      <c r="DR711" t="s">
        <v>9127</v>
      </c>
      <c r="DS711" s="6">
        <v>17.100000000000001</v>
      </c>
      <c r="DT711" s="2" t="s">
        <v>347</v>
      </c>
      <c r="DU711" s="1">
        <v>44368</v>
      </c>
      <c r="DV711" s="1">
        <v>44457</v>
      </c>
    </row>
    <row r="712" spans="1:126" ht="15" customHeight="1" x14ac:dyDescent="0.35">
      <c r="A712" t="s">
        <v>18501</v>
      </c>
      <c r="B712" t="s">
        <v>318</v>
      </c>
      <c r="C712" s="1">
        <v>44340</v>
      </c>
      <c r="D712" s="1">
        <v>44368</v>
      </c>
      <c r="H712" t="s">
        <v>319</v>
      </c>
      <c r="I712" t="s">
        <v>9867</v>
      </c>
      <c r="J712" t="s">
        <v>1025</v>
      </c>
      <c r="K712" t="s">
        <v>568</v>
      </c>
      <c r="L712" t="s">
        <v>126</v>
      </c>
      <c r="M712" t="s">
        <v>9868</v>
      </c>
      <c r="O712" t="s">
        <v>4084</v>
      </c>
      <c r="P712" t="s">
        <v>311</v>
      </c>
      <c r="Q712" s="3">
        <v>19102</v>
      </c>
      <c r="R712" t="s">
        <v>128</v>
      </c>
      <c r="T712" s="4">
        <v>12154050555</v>
      </c>
      <c r="V712" t="s">
        <v>9869</v>
      </c>
      <c r="W712" t="s">
        <v>18502</v>
      </c>
      <c r="Y712" t="s">
        <v>18503</v>
      </c>
      <c r="AA712" t="s">
        <v>18504</v>
      </c>
      <c r="AB712" t="s">
        <v>630</v>
      </c>
      <c r="AC712" s="3" t="str">
        <f>"39638"</f>
        <v>39638</v>
      </c>
      <c r="AD712" t="s">
        <v>128</v>
      </c>
      <c r="AF712" s="4">
        <v>16012254843</v>
      </c>
      <c r="AH712" t="str">
        <f>"115310"</f>
        <v>115310</v>
      </c>
      <c r="AI712" t="s">
        <v>167</v>
      </c>
      <c r="AX712" t="s">
        <v>131</v>
      </c>
      <c r="AY712" t="s">
        <v>131</v>
      </c>
      <c r="AZ712" t="s">
        <v>131</v>
      </c>
      <c r="BA712" t="s">
        <v>131</v>
      </c>
      <c r="BB712" t="s">
        <v>131</v>
      </c>
      <c r="BC712" t="s">
        <v>131</v>
      </c>
      <c r="BD712" t="s">
        <v>131</v>
      </c>
      <c r="BE712" t="s">
        <v>132</v>
      </c>
      <c r="BH712" t="s">
        <v>18505</v>
      </c>
      <c r="BI712" t="s">
        <v>131</v>
      </c>
      <c r="BL712" t="s">
        <v>167</v>
      </c>
      <c r="BO712" t="s">
        <v>131</v>
      </c>
      <c r="BP712" t="s">
        <v>134</v>
      </c>
      <c r="BQ712" t="s">
        <v>131</v>
      </c>
      <c r="BS712" t="str">
        <f t="shared" si="50"/>
        <v>N/A</v>
      </c>
      <c r="BT712" t="s">
        <v>135</v>
      </c>
      <c r="BU712">
        <v>12</v>
      </c>
      <c r="BV712" t="str">
        <f>"FOREST LABORER"</f>
        <v>FOREST LABORER</v>
      </c>
      <c r="BW712" t="s">
        <v>131</v>
      </c>
      <c r="BX712" t="str">
        <f>""</f>
        <v/>
      </c>
      <c r="BY712" t="str">
        <f>""</f>
        <v/>
      </c>
      <c r="BZ712" t="str">
        <f>""</f>
        <v/>
      </c>
      <c r="CA712" t="str">
        <f>""</f>
        <v/>
      </c>
      <c r="CB712" t="s">
        <v>131</v>
      </c>
      <c r="CF712" t="s">
        <v>131</v>
      </c>
      <c r="CH712" t="str">
        <f>""</f>
        <v/>
      </c>
      <c r="CI712" t="s">
        <v>131</v>
      </c>
      <c r="CK712" t="s">
        <v>131</v>
      </c>
      <c r="CL712" t="str">
        <f>""</f>
        <v/>
      </c>
      <c r="CM712" t="str">
        <f>""</f>
        <v/>
      </c>
      <c r="CN712" t="str">
        <f>""</f>
        <v/>
      </c>
      <c r="CO712" t="str">
        <f>""</f>
        <v/>
      </c>
      <c r="CP712" t="str">
        <f>"45-4011.00"</f>
        <v>45-4011.00</v>
      </c>
      <c r="CQ712" t="s">
        <v>4310</v>
      </c>
      <c r="CR712" t="s">
        <v>223</v>
      </c>
      <c r="CS712" t="s">
        <v>135</v>
      </c>
      <c r="CT712" t="s">
        <v>18506</v>
      </c>
      <c r="CU712" t="s">
        <v>18507</v>
      </c>
      <c r="CW712" t="s">
        <v>18504</v>
      </c>
      <c r="CX712" t="s">
        <v>630</v>
      </c>
      <c r="CZ712" s="3" t="str">
        <f>"39638"</f>
        <v>39638</v>
      </c>
      <c r="DA712" t="s">
        <v>135</v>
      </c>
      <c r="DB712" t="str">
        <f>"45-4011"</f>
        <v>45-4011</v>
      </c>
      <c r="DC712" t="s">
        <v>4310</v>
      </c>
      <c r="DD712" t="s">
        <v>134</v>
      </c>
      <c r="DE712" t="s">
        <v>134</v>
      </c>
      <c r="DF712" t="str">
        <f>""</f>
        <v/>
      </c>
      <c r="DH712" s="6">
        <v>15.76</v>
      </c>
      <c r="DI712" t="s">
        <v>344</v>
      </c>
      <c r="DK712" t="s">
        <v>345</v>
      </c>
      <c r="DR712" t="s">
        <v>16960</v>
      </c>
      <c r="DS712" s="6">
        <v>15.76</v>
      </c>
      <c r="DT712" s="2" t="s">
        <v>347</v>
      </c>
      <c r="DU712" s="1">
        <v>44368</v>
      </c>
      <c r="DV712" s="1">
        <v>44457</v>
      </c>
    </row>
    <row r="713" spans="1:126" ht="15" customHeight="1" x14ac:dyDescent="0.35">
      <c r="A713" t="s">
        <v>7201</v>
      </c>
      <c r="B713" t="s">
        <v>318</v>
      </c>
      <c r="C713" s="1">
        <v>44340</v>
      </c>
      <c r="D713" s="1">
        <v>44368</v>
      </c>
      <c r="H713" t="s">
        <v>319</v>
      </c>
      <c r="I713" t="s">
        <v>7202</v>
      </c>
      <c r="J713" t="s">
        <v>653</v>
      </c>
      <c r="L713" t="s">
        <v>1851</v>
      </c>
      <c r="M713" t="s">
        <v>7203</v>
      </c>
      <c r="N713" t="s">
        <v>134</v>
      </c>
      <c r="O713" t="s">
        <v>4408</v>
      </c>
      <c r="P713" t="s">
        <v>194</v>
      </c>
      <c r="Q713" s="3">
        <v>34112</v>
      </c>
      <c r="R713" t="s">
        <v>128</v>
      </c>
      <c r="S713" t="s">
        <v>134</v>
      </c>
      <c r="T713" s="4">
        <v>12397326700</v>
      </c>
      <c r="V713" t="s">
        <v>7204</v>
      </c>
      <c r="W713" t="s">
        <v>7205</v>
      </c>
      <c r="X713" t="s">
        <v>7206</v>
      </c>
      <c r="Y713" t="s">
        <v>7203</v>
      </c>
      <c r="Z713" t="s">
        <v>134</v>
      </c>
      <c r="AA713" t="s">
        <v>4408</v>
      </c>
      <c r="AB713" t="s">
        <v>195</v>
      </c>
      <c r="AC713" s="3" t="str">
        <f>"34112"</f>
        <v>34112</v>
      </c>
      <c r="AD713" t="s">
        <v>128</v>
      </c>
      <c r="AE713" t="s">
        <v>134</v>
      </c>
      <c r="AF713" s="4">
        <v>12397326700</v>
      </c>
      <c r="AH713" t="str">
        <f>"713910"</f>
        <v>713910</v>
      </c>
      <c r="AI713" t="s">
        <v>130</v>
      </c>
      <c r="AJ713" t="s">
        <v>1386</v>
      </c>
      <c r="AK713" t="s">
        <v>1387</v>
      </c>
      <c r="AL713" t="s">
        <v>1036</v>
      </c>
      <c r="AM713" t="s">
        <v>1388</v>
      </c>
      <c r="AN713" t="s">
        <v>997</v>
      </c>
      <c r="AO713" t="s">
        <v>719</v>
      </c>
      <c r="AP713" t="s">
        <v>377</v>
      </c>
      <c r="AQ713" s="5">
        <v>1701</v>
      </c>
      <c r="AR713" t="s">
        <v>128</v>
      </c>
      <c r="AS713" t="s">
        <v>134</v>
      </c>
      <c r="AT713" s="4">
        <v>16179399444</v>
      </c>
      <c r="AV713" t="s">
        <v>1389</v>
      </c>
      <c r="AW713" t="s">
        <v>1390</v>
      </c>
      <c r="AX713" t="s">
        <v>131</v>
      </c>
      <c r="AY713" t="s">
        <v>131</v>
      </c>
      <c r="AZ713" t="s">
        <v>131</v>
      </c>
      <c r="BA713" t="s">
        <v>131</v>
      </c>
      <c r="BB713" t="s">
        <v>131</v>
      </c>
      <c r="BC713" t="s">
        <v>131</v>
      </c>
      <c r="BD713" t="s">
        <v>131</v>
      </c>
      <c r="BE713" t="s">
        <v>132</v>
      </c>
      <c r="BH713" t="s">
        <v>5408</v>
      </c>
      <c r="BI713" t="s">
        <v>131</v>
      </c>
      <c r="BL713" t="s">
        <v>167</v>
      </c>
      <c r="BO713" t="s">
        <v>131</v>
      </c>
      <c r="BP713" t="s">
        <v>134</v>
      </c>
      <c r="BQ713" t="s">
        <v>131</v>
      </c>
      <c r="BS713" t="str">
        <f t="shared" si="50"/>
        <v>N/A</v>
      </c>
      <c r="BT713" t="s">
        <v>135</v>
      </c>
      <c r="BU713">
        <v>3</v>
      </c>
      <c r="BV713" t="str">
        <f>"Busser/Food Runner"</f>
        <v>Busser/Food Runner</v>
      </c>
      <c r="BW713" t="s">
        <v>135</v>
      </c>
      <c r="BX713" t="str">
        <f>""</f>
        <v/>
      </c>
      <c r="BY713" t="str">
        <f>""</f>
        <v/>
      </c>
      <c r="BZ713" t="str">
        <f>""</f>
        <v/>
      </c>
      <c r="CA713" s="2" t="s">
        <v>7207</v>
      </c>
      <c r="CB713" t="s">
        <v>131</v>
      </c>
      <c r="CF713" t="s">
        <v>131</v>
      </c>
      <c r="CH713" t="str">
        <f>""</f>
        <v/>
      </c>
      <c r="CI713" t="s">
        <v>131</v>
      </c>
      <c r="CK713" t="s">
        <v>131</v>
      </c>
      <c r="CL713" t="str">
        <f>""</f>
        <v/>
      </c>
      <c r="CM713" t="str">
        <f>""</f>
        <v/>
      </c>
      <c r="CN713" t="str">
        <f>""</f>
        <v/>
      </c>
      <c r="CO713" t="str">
        <f>""</f>
        <v/>
      </c>
      <c r="CP713" t="str">
        <f>"35-9011.00"</f>
        <v>35-9011.00</v>
      </c>
      <c r="CQ713" t="s">
        <v>1016</v>
      </c>
      <c r="CR713" t="s">
        <v>7208</v>
      </c>
      <c r="CS713" t="s">
        <v>131</v>
      </c>
      <c r="CU713" t="s">
        <v>7209</v>
      </c>
      <c r="CV713" t="s">
        <v>134</v>
      </c>
      <c r="CW713" t="s">
        <v>4408</v>
      </c>
      <c r="CX713" t="s">
        <v>195</v>
      </c>
      <c r="CZ713" s="3" t="str">
        <f>"34112"</f>
        <v>34112</v>
      </c>
      <c r="DA713" t="s">
        <v>131</v>
      </c>
      <c r="DB713" t="str">
        <f>"35-9011"</f>
        <v>35-9011</v>
      </c>
      <c r="DC713" t="s">
        <v>1016</v>
      </c>
      <c r="DD713" t="s">
        <v>134</v>
      </c>
      <c r="DE713" t="s">
        <v>134</v>
      </c>
      <c r="DF713" t="str">
        <f>""</f>
        <v/>
      </c>
      <c r="DH713" s="6">
        <v>11.41</v>
      </c>
      <c r="DI713" t="s">
        <v>344</v>
      </c>
      <c r="DK713" t="s">
        <v>345</v>
      </c>
      <c r="DS713" s="6">
        <v>11.41</v>
      </c>
      <c r="DT713" t="s">
        <v>424</v>
      </c>
      <c r="DU713" s="1">
        <v>44368</v>
      </c>
      <c r="DV713" s="1">
        <v>44457</v>
      </c>
    </row>
    <row r="714" spans="1:126" ht="15" customHeight="1" x14ac:dyDescent="0.35">
      <c r="A714" t="s">
        <v>18782</v>
      </c>
      <c r="B714" t="s">
        <v>318</v>
      </c>
      <c r="C714" s="1">
        <v>44340</v>
      </c>
      <c r="D714" s="1">
        <v>44368</v>
      </c>
      <c r="H714" t="s">
        <v>319</v>
      </c>
      <c r="I714" t="s">
        <v>7202</v>
      </c>
      <c r="J714" t="s">
        <v>653</v>
      </c>
      <c r="L714" t="s">
        <v>1851</v>
      </c>
      <c r="M714" t="s">
        <v>7209</v>
      </c>
      <c r="N714" t="s">
        <v>134</v>
      </c>
      <c r="O714" t="s">
        <v>4408</v>
      </c>
      <c r="P714" t="s">
        <v>194</v>
      </c>
      <c r="Q714" s="3">
        <v>34112</v>
      </c>
      <c r="R714" t="s">
        <v>128</v>
      </c>
      <c r="S714" t="s">
        <v>134</v>
      </c>
      <c r="T714" s="4">
        <v>12397326700</v>
      </c>
      <c r="V714" t="s">
        <v>11353</v>
      </c>
      <c r="W714" t="s">
        <v>7205</v>
      </c>
      <c r="X714" t="s">
        <v>7206</v>
      </c>
      <c r="Y714" t="s">
        <v>7209</v>
      </c>
      <c r="Z714" t="s">
        <v>134</v>
      </c>
      <c r="AA714" t="s">
        <v>4408</v>
      </c>
      <c r="AB714" t="s">
        <v>195</v>
      </c>
      <c r="AC714" s="3" t="str">
        <f>"34112"</f>
        <v>34112</v>
      </c>
      <c r="AD714" t="s">
        <v>128</v>
      </c>
      <c r="AE714" t="s">
        <v>134</v>
      </c>
      <c r="AF714" s="4">
        <v>12397326700</v>
      </c>
      <c r="AH714" t="str">
        <f>"713910"</f>
        <v>713910</v>
      </c>
      <c r="AI714" t="s">
        <v>130</v>
      </c>
      <c r="AJ714" t="s">
        <v>1386</v>
      </c>
      <c r="AK714" t="s">
        <v>1387</v>
      </c>
      <c r="AL714" t="s">
        <v>1036</v>
      </c>
      <c r="AM714" t="s">
        <v>1388</v>
      </c>
      <c r="AN714" t="s">
        <v>997</v>
      </c>
      <c r="AO714" t="s">
        <v>719</v>
      </c>
      <c r="AP714" t="s">
        <v>377</v>
      </c>
      <c r="AQ714" s="5">
        <v>1701</v>
      </c>
      <c r="AR714" t="s">
        <v>128</v>
      </c>
      <c r="AS714" t="s">
        <v>134</v>
      </c>
      <c r="AT714" s="4">
        <v>16179399444</v>
      </c>
      <c r="AV714" t="s">
        <v>1389</v>
      </c>
      <c r="AW714" t="s">
        <v>1390</v>
      </c>
      <c r="AX714" t="s">
        <v>131</v>
      </c>
      <c r="AY714" t="s">
        <v>131</v>
      </c>
      <c r="AZ714" t="s">
        <v>131</v>
      </c>
      <c r="BA714" t="s">
        <v>131</v>
      </c>
      <c r="BB714" t="s">
        <v>131</v>
      </c>
      <c r="BC714" t="s">
        <v>131</v>
      </c>
      <c r="BD714" t="s">
        <v>131</v>
      </c>
      <c r="BE714" t="s">
        <v>132</v>
      </c>
      <c r="BH714" t="s">
        <v>5764</v>
      </c>
      <c r="BI714" t="s">
        <v>131</v>
      </c>
      <c r="BL714" t="s">
        <v>167</v>
      </c>
      <c r="BO714" t="s">
        <v>131</v>
      </c>
      <c r="BP714" t="s">
        <v>134</v>
      </c>
      <c r="BQ714" t="s">
        <v>131</v>
      </c>
      <c r="BS714" t="str">
        <f t="shared" si="50"/>
        <v>N/A</v>
      </c>
      <c r="BT714" t="s">
        <v>135</v>
      </c>
      <c r="BU714">
        <v>12</v>
      </c>
      <c r="BV714" t="str">
        <f>"Line Cook"</f>
        <v>Line Cook</v>
      </c>
      <c r="BW714" t="s">
        <v>135</v>
      </c>
      <c r="BX714" t="str">
        <f>""</f>
        <v/>
      </c>
      <c r="BY714" t="str">
        <f>""</f>
        <v/>
      </c>
      <c r="BZ714" t="str">
        <f>""</f>
        <v/>
      </c>
      <c r="CA714" s="2" t="s">
        <v>18783</v>
      </c>
      <c r="CB714" t="s">
        <v>131</v>
      </c>
      <c r="CF714" t="s">
        <v>131</v>
      </c>
      <c r="CH714" t="str">
        <f>""</f>
        <v/>
      </c>
      <c r="CI714" t="s">
        <v>131</v>
      </c>
      <c r="CK714" t="s">
        <v>131</v>
      </c>
      <c r="CL714" t="str">
        <f>""</f>
        <v/>
      </c>
      <c r="CM714" t="str">
        <f>""</f>
        <v/>
      </c>
      <c r="CN714" t="str">
        <f>""</f>
        <v/>
      </c>
      <c r="CO714" t="str">
        <f>""</f>
        <v/>
      </c>
      <c r="CP714" t="str">
        <f>"35-2014.00"</f>
        <v>35-2014.00</v>
      </c>
      <c r="CQ714" t="s">
        <v>581</v>
      </c>
      <c r="CR714" t="s">
        <v>7918</v>
      </c>
      <c r="CS714" t="s">
        <v>131</v>
      </c>
      <c r="CU714" t="s">
        <v>7209</v>
      </c>
      <c r="CV714" t="s">
        <v>134</v>
      </c>
      <c r="CW714" t="s">
        <v>4408</v>
      </c>
      <c r="CX714" t="s">
        <v>195</v>
      </c>
      <c r="CZ714" s="3" t="str">
        <f>"34112"</f>
        <v>34112</v>
      </c>
      <c r="DA714" t="s">
        <v>131</v>
      </c>
      <c r="DB714" t="str">
        <f>"35-2014"</f>
        <v>35-2014</v>
      </c>
      <c r="DC714" t="s">
        <v>581</v>
      </c>
      <c r="DD714" t="s">
        <v>134</v>
      </c>
      <c r="DE714" t="s">
        <v>134</v>
      </c>
      <c r="DF714" t="str">
        <f>""</f>
        <v/>
      </c>
      <c r="DH714" s="6">
        <v>15.46</v>
      </c>
      <c r="DI714" t="s">
        <v>344</v>
      </c>
      <c r="DK714" t="s">
        <v>345</v>
      </c>
      <c r="DS714" s="6">
        <v>15.46</v>
      </c>
      <c r="DT714" t="s">
        <v>424</v>
      </c>
      <c r="DU714" s="1">
        <v>44368</v>
      </c>
      <c r="DV714" s="1">
        <v>44457</v>
      </c>
    </row>
    <row r="715" spans="1:126" ht="15" customHeight="1" x14ac:dyDescent="0.35">
      <c r="A715" t="s">
        <v>11352</v>
      </c>
      <c r="B715" t="s">
        <v>318</v>
      </c>
      <c r="C715" s="1">
        <v>44340</v>
      </c>
      <c r="D715" s="1">
        <v>44368</v>
      </c>
      <c r="H715" t="s">
        <v>319</v>
      </c>
      <c r="I715" t="s">
        <v>7202</v>
      </c>
      <c r="J715" t="s">
        <v>653</v>
      </c>
      <c r="L715" t="s">
        <v>1851</v>
      </c>
      <c r="M715" t="s">
        <v>7209</v>
      </c>
      <c r="N715" t="s">
        <v>134</v>
      </c>
      <c r="O715" t="s">
        <v>4408</v>
      </c>
      <c r="P715" t="s">
        <v>194</v>
      </c>
      <c r="Q715" s="3">
        <v>34112</v>
      </c>
      <c r="R715" t="s">
        <v>128</v>
      </c>
      <c r="S715" t="s">
        <v>134</v>
      </c>
      <c r="T715" s="4">
        <v>12397326700</v>
      </c>
      <c r="V715" t="s">
        <v>11353</v>
      </c>
      <c r="W715" t="s">
        <v>7205</v>
      </c>
      <c r="X715" t="s">
        <v>7206</v>
      </c>
      <c r="Y715" t="s">
        <v>7209</v>
      </c>
      <c r="Z715" t="s">
        <v>134</v>
      </c>
      <c r="AA715" t="s">
        <v>4408</v>
      </c>
      <c r="AB715" t="s">
        <v>195</v>
      </c>
      <c r="AC715" s="3" t="str">
        <f>"34112"</f>
        <v>34112</v>
      </c>
      <c r="AD715" t="s">
        <v>128</v>
      </c>
      <c r="AE715" t="s">
        <v>134</v>
      </c>
      <c r="AF715" s="4">
        <v>12397326700</v>
      </c>
      <c r="AH715" t="str">
        <f>"713910"</f>
        <v>713910</v>
      </c>
      <c r="AI715" t="s">
        <v>130</v>
      </c>
      <c r="AJ715" t="s">
        <v>1386</v>
      </c>
      <c r="AK715" t="s">
        <v>1387</v>
      </c>
      <c r="AL715" t="s">
        <v>1036</v>
      </c>
      <c r="AM715" t="s">
        <v>1388</v>
      </c>
      <c r="AN715" t="s">
        <v>997</v>
      </c>
      <c r="AO715" t="s">
        <v>719</v>
      </c>
      <c r="AP715" t="s">
        <v>377</v>
      </c>
      <c r="AQ715" s="5">
        <v>1701</v>
      </c>
      <c r="AR715" t="s">
        <v>128</v>
      </c>
      <c r="AS715" t="s">
        <v>134</v>
      </c>
      <c r="AT715" s="4">
        <v>16179399444</v>
      </c>
      <c r="AV715" t="s">
        <v>1389</v>
      </c>
      <c r="AW715" t="s">
        <v>1390</v>
      </c>
      <c r="AX715" t="s">
        <v>131</v>
      </c>
      <c r="AY715" t="s">
        <v>131</v>
      </c>
      <c r="AZ715" t="s">
        <v>131</v>
      </c>
      <c r="BA715" t="s">
        <v>131</v>
      </c>
      <c r="BB715" t="s">
        <v>131</v>
      </c>
      <c r="BC715" t="s">
        <v>131</v>
      </c>
      <c r="BD715" t="s">
        <v>131</v>
      </c>
      <c r="BE715" t="s">
        <v>132</v>
      </c>
      <c r="BH715" t="s">
        <v>1213</v>
      </c>
      <c r="BI715" t="s">
        <v>131</v>
      </c>
      <c r="BL715" t="s">
        <v>167</v>
      </c>
      <c r="BO715" t="s">
        <v>131</v>
      </c>
      <c r="BP715" t="s">
        <v>134</v>
      </c>
      <c r="BQ715" t="s">
        <v>131</v>
      </c>
      <c r="BS715" t="str">
        <f t="shared" si="50"/>
        <v>N/A</v>
      </c>
      <c r="BT715" t="s">
        <v>135</v>
      </c>
      <c r="BU715">
        <v>6</v>
      </c>
      <c r="BV715" t="str">
        <f>"Server"</f>
        <v>Server</v>
      </c>
      <c r="BW715" t="s">
        <v>135</v>
      </c>
      <c r="BX715" t="str">
        <f>""</f>
        <v/>
      </c>
      <c r="BY715" t="str">
        <f>""</f>
        <v/>
      </c>
      <c r="BZ715" t="str">
        <f>""</f>
        <v/>
      </c>
      <c r="CA715" s="2" t="s">
        <v>11354</v>
      </c>
      <c r="CB715" t="s">
        <v>131</v>
      </c>
      <c r="CF715" t="s">
        <v>131</v>
      </c>
      <c r="CH715" t="str">
        <f>""</f>
        <v/>
      </c>
      <c r="CI715" t="s">
        <v>131</v>
      </c>
      <c r="CK715" t="s">
        <v>131</v>
      </c>
      <c r="CL715" t="str">
        <f>""</f>
        <v/>
      </c>
      <c r="CM715" t="str">
        <f>""</f>
        <v/>
      </c>
      <c r="CN715" t="str">
        <f>""</f>
        <v/>
      </c>
      <c r="CO715" t="str">
        <f>""</f>
        <v/>
      </c>
      <c r="CP715" t="str">
        <f>"35-3031.00"</f>
        <v>35-3031.00</v>
      </c>
      <c r="CQ715" t="s">
        <v>1214</v>
      </c>
      <c r="CR715" t="s">
        <v>7208</v>
      </c>
      <c r="CS715" t="s">
        <v>131</v>
      </c>
      <c r="CU715" t="s">
        <v>7209</v>
      </c>
      <c r="CV715" t="s">
        <v>134</v>
      </c>
      <c r="CW715" t="s">
        <v>4408</v>
      </c>
      <c r="CX715" t="s">
        <v>195</v>
      </c>
      <c r="CZ715" s="3" t="str">
        <f>"34112"</f>
        <v>34112</v>
      </c>
      <c r="DA715" t="s">
        <v>131</v>
      </c>
      <c r="DB715" t="str">
        <f>"35-3031"</f>
        <v>35-3031</v>
      </c>
      <c r="DC715" t="s">
        <v>1214</v>
      </c>
      <c r="DD715" t="s">
        <v>134</v>
      </c>
      <c r="DE715" t="s">
        <v>134</v>
      </c>
      <c r="DF715" t="str">
        <f>""</f>
        <v/>
      </c>
      <c r="DH715" s="6">
        <v>15.48</v>
      </c>
      <c r="DI715" t="s">
        <v>344</v>
      </c>
      <c r="DK715" t="s">
        <v>345</v>
      </c>
      <c r="DS715" s="6">
        <v>15.48</v>
      </c>
      <c r="DT715" t="s">
        <v>424</v>
      </c>
      <c r="DU715" s="1">
        <v>44368</v>
      </c>
      <c r="DV715" s="1">
        <v>44457</v>
      </c>
    </row>
    <row r="716" spans="1:126" ht="15" customHeight="1" x14ac:dyDescent="0.35">
      <c r="A716" t="s">
        <v>18211</v>
      </c>
      <c r="B716" t="s">
        <v>318</v>
      </c>
      <c r="C716" s="1">
        <v>44340</v>
      </c>
      <c r="D716" s="1">
        <v>44369</v>
      </c>
      <c r="H716" t="s">
        <v>319</v>
      </c>
      <c r="I716" t="s">
        <v>18212</v>
      </c>
      <c r="J716" t="s">
        <v>3388</v>
      </c>
      <c r="L716" t="s">
        <v>2105</v>
      </c>
      <c r="M716" t="s">
        <v>18213</v>
      </c>
      <c r="O716" t="s">
        <v>18214</v>
      </c>
      <c r="P716" t="s">
        <v>226</v>
      </c>
      <c r="Q716" s="3">
        <v>46628</v>
      </c>
      <c r="R716" t="s">
        <v>128</v>
      </c>
      <c r="T716" s="4">
        <v>15742772424</v>
      </c>
      <c r="V716" t="s">
        <v>18215</v>
      </c>
      <c r="W716" t="s">
        <v>18216</v>
      </c>
      <c r="Y716" t="s">
        <v>18213</v>
      </c>
      <c r="AA716" t="s">
        <v>18214</v>
      </c>
      <c r="AB716" t="s">
        <v>229</v>
      </c>
      <c r="AC716" s="3" t="str">
        <f>"46628"</f>
        <v>46628</v>
      </c>
      <c r="AD716" t="s">
        <v>128</v>
      </c>
      <c r="AF716" s="4">
        <v>15742772424</v>
      </c>
      <c r="AH716" t="str">
        <f>"56173"</f>
        <v>56173</v>
      </c>
      <c r="AI716" t="s">
        <v>130</v>
      </c>
      <c r="AJ716" t="s">
        <v>3252</v>
      </c>
      <c r="AK716" t="s">
        <v>3253</v>
      </c>
      <c r="AL716" t="s">
        <v>589</v>
      </c>
      <c r="AM716" t="s">
        <v>3254</v>
      </c>
      <c r="AO716" t="s">
        <v>3255</v>
      </c>
      <c r="AP716" t="s">
        <v>779</v>
      </c>
      <c r="AQ716" s="5">
        <v>37110</v>
      </c>
      <c r="AR716" t="s">
        <v>128</v>
      </c>
      <c r="AT716" s="4">
        <v>19312747811</v>
      </c>
      <c r="AV716" t="s">
        <v>3256</v>
      </c>
      <c r="AW716" t="s">
        <v>3257</v>
      </c>
      <c r="AX716" t="s">
        <v>131</v>
      </c>
      <c r="AY716" t="s">
        <v>131</v>
      </c>
      <c r="AZ716" t="s">
        <v>131</v>
      </c>
      <c r="BA716" t="s">
        <v>131</v>
      </c>
      <c r="BB716" t="s">
        <v>131</v>
      </c>
      <c r="BC716" t="s">
        <v>131</v>
      </c>
      <c r="BD716" t="s">
        <v>131</v>
      </c>
      <c r="BE716" t="s">
        <v>132</v>
      </c>
      <c r="BH716" t="s">
        <v>6545</v>
      </c>
      <c r="BI716" t="s">
        <v>131</v>
      </c>
      <c r="BL716" t="s">
        <v>167</v>
      </c>
      <c r="BO716" t="s">
        <v>131</v>
      </c>
      <c r="BP716" t="s">
        <v>134</v>
      </c>
      <c r="BQ716" t="s">
        <v>131</v>
      </c>
      <c r="BS716" t="str">
        <f t="shared" si="50"/>
        <v>N/A</v>
      </c>
      <c r="BT716" t="s">
        <v>131</v>
      </c>
      <c r="BV716" t="str">
        <f>""</f>
        <v/>
      </c>
      <c r="BW716" t="s">
        <v>135</v>
      </c>
      <c r="BX716" t="str">
        <f>""</f>
        <v/>
      </c>
      <c r="BY716" t="str">
        <f>""</f>
        <v/>
      </c>
      <c r="BZ716" t="str">
        <f>""</f>
        <v/>
      </c>
      <c r="CA716" t="str">
        <f>"MUST BE ABLE TO LIFT 50 LBS. 
REPETITIVE MOVEMENTS"</f>
        <v>MUST BE ABLE TO LIFT 50 LBS. 
REPETITIVE MOVEMENTS</v>
      </c>
      <c r="CB716" t="s">
        <v>131</v>
      </c>
      <c r="CF716" t="s">
        <v>131</v>
      </c>
      <c r="CH716" t="str">
        <f>""</f>
        <v/>
      </c>
      <c r="CI716" t="s">
        <v>131</v>
      </c>
      <c r="CK716" t="s">
        <v>131</v>
      </c>
      <c r="CL716" t="str">
        <f>""</f>
        <v/>
      </c>
      <c r="CM716" t="str">
        <f>""</f>
        <v/>
      </c>
      <c r="CN716" t="str">
        <f>""</f>
        <v/>
      </c>
      <c r="CO716" t="str">
        <f>""</f>
        <v/>
      </c>
      <c r="CP716" t="str">
        <f>"37-3011.00"</f>
        <v>37-3011.00</v>
      </c>
      <c r="CQ716" t="s">
        <v>920</v>
      </c>
      <c r="CS716" t="s">
        <v>131</v>
      </c>
      <c r="CU716" t="s">
        <v>18213</v>
      </c>
      <c r="CW716" t="s">
        <v>18214</v>
      </c>
      <c r="CX716" t="s">
        <v>229</v>
      </c>
      <c r="CZ716" s="3" t="str">
        <f>"46628"</f>
        <v>46628</v>
      </c>
      <c r="DA716" t="s">
        <v>135</v>
      </c>
      <c r="DB716" t="str">
        <f>"37-3011"</f>
        <v>37-3011</v>
      </c>
      <c r="DC716" t="s">
        <v>920</v>
      </c>
      <c r="DD716" t="s">
        <v>134</v>
      </c>
      <c r="DE716" t="s">
        <v>134</v>
      </c>
      <c r="DF716" t="str">
        <f>""</f>
        <v/>
      </c>
      <c r="DH716" s="6">
        <v>15.13</v>
      </c>
      <c r="DI716" t="s">
        <v>344</v>
      </c>
      <c r="DK716" t="s">
        <v>345</v>
      </c>
      <c r="DR716" t="s">
        <v>18217</v>
      </c>
      <c r="DS716" s="6">
        <v>15.81</v>
      </c>
      <c r="DT716" t="s">
        <v>424</v>
      </c>
      <c r="DU716" s="1">
        <v>44369</v>
      </c>
      <c r="DV716" s="1">
        <v>44458</v>
      </c>
    </row>
    <row r="717" spans="1:126" ht="15" customHeight="1" x14ac:dyDescent="0.35">
      <c r="A717" t="s">
        <v>12349</v>
      </c>
      <c r="B717" t="s">
        <v>318</v>
      </c>
      <c r="C717" s="1">
        <v>44340</v>
      </c>
      <c r="D717" s="1">
        <v>44369</v>
      </c>
      <c r="H717" t="s">
        <v>319</v>
      </c>
      <c r="I717" t="s">
        <v>2704</v>
      </c>
      <c r="J717" t="s">
        <v>875</v>
      </c>
      <c r="K717" t="s">
        <v>134</v>
      </c>
      <c r="L717" t="s">
        <v>628</v>
      </c>
      <c r="M717" t="s">
        <v>12350</v>
      </c>
      <c r="N717" t="s">
        <v>134</v>
      </c>
      <c r="O717" t="s">
        <v>1809</v>
      </c>
      <c r="P717" t="s">
        <v>194</v>
      </c>
      <c r="Q717" s="3">
        <v>34996</v>
      </c>
      <c r="R717" t="s">
        <v>128</v>
      </c>
      <c r="T717" s="4">
        <v>17722251000</v>
      </c>
      <c r="V717" t="s">
        <v>12351</v>
      </c>
      <c r="W717" t="s">
        <v>12352</v>
      </c>
      <c r="X717" t="s">
        <v>134</v>
      </c>
      <c r="Y717" t="s">
        <v>12350</v>
      </c>
      <c r="Z717" t="s">
        <v>134</v>
      </c>
      <c r="AA717" t="s">
        <v>1809</v>
      </c>
      <c r="AB717" t="s">
        <v>195</v>
      </c>
      <c r="AC717" s="3" t="str">
        <f>"34996"</f>
        <v>34996</v>
      </c>
      <c r="AD717" t="s">
        <v>128</v>
      </c>
      <c r="AE717" t="s">
        <v>134</v>
      </c>
      <c r="AF717" s="4">
        <v>17722251000</v>
      </c>
      <c r="AH717" t="str">
        <f>"71391"</f>
        <v>71391</v>
      </c>
      <c r="AI717" t="s">
        <v>130</v>
      </c>
      <c r="AJ717" t="s">
        <v>5072</v>
      </c>
      <c r="AK717" t="s">
        <v>3376</v>
      </c>
      <c r="AL717" t="s">
        <v>355</v>
      </c>
      <c r="AM717" t="s">
        <v>5073</v>
      </c>
      <c r="AN717" t="s">
        <v>1072</v>
      </c>
      <c r="AO717" t="s">
        <v>5074</v>
      </c>
      <c r="AP717" t="s">
        <v>276</v>
      </c>
      <c r="AQ717" s="5">
        <v>7724</v>
      </c>
      <c r="AR717" t="s">
        <v>128</v>
      </c>
      <c r="AS717" t="s">
        <v>134</v>
      </c>
      <c r="AT717" s="4">
        <v>13059981732</v>
      </c>
      <c r="AU717">
        <v>107</v>
      </c>
      <c r="AV717" t="s">
        <v>5075</v>
      </c>
      <c r="AW717" t="s">
        <v>5076</v>
      </c>
      <c r="AX717" t="s">
        <v>131</v>
      </c>
      <c r="AY717" t="s">
        <v>131</v>
      </c>
      <c r="AZ717" t="s">
        <v>131</v>
      </c>
      <c r="BA717" t="s">
        <v>131</v>
      </c>
      <c r="BB717" t="s">
        <v>131</v>
      </c>
      <c r="BC717" t="s">
        <v>131</v>
      </c>
      <c r="BD717" t="s">
        <v>131</v>
      </c>
      <c r="BE717" t="s">
        <v>132</v>
      </c>
      <c r="BH717" t="s">
        <v>1857</v>
      </c>
      <c r="BI717" t="s">
        <v>131</v>
      </c>
      <c r="BL717" t="s">
        <v>167</v>
      </c>
      <c r="BO717" t="s">
        <v>131</v>
      </c>
      <c r="BP717" t="s">
        <v>134</v>
      </c>
      <c r="BQ717" t="s">
        <v>131</v>
      </c>
      <c r="BS717" t="str">
        <f t="shared" si="50"/>
        <v>N/A</v>
      </c>
      <c r="BT717" t="s">
        <v>135</v>
      </c>
      <c r="BU717">
        <v>3</v>
      </c>
      <c r="BV717" t="str">
        <f>"Bartender in hospitality setting"</f>
        <v>Bartender in hospitality setting</v>
      </c>
      <c r="BW717" t="s">
        <v>135</v>
      </c>
      <c r="BX717" t="str">
        <f>""</f>
        <v/>
      </c>
      <c r="BY717" t="str">
        <f>""</f>
        <v/>
      </c>
      <c r="BZ717" t="str">
        <f>""</f>
        <v/>
      </c>
      <c r="CA717" t="str">
        <f>"EMPLOYER REQUIRES PRE-EMPLOYMENT POLICE CLEARANCE AND POST-EMPLOYMENT DRUG TESTING TO BE CARRIED OUT EQUALLY BETWEEN THE U.S. WORKERS AND THE H-2B WORKERS. FLUENT IN ENGLISH."</f>
        <v>EMPLOYER REQUIRES PRE-EMPLOYMENT POLICE CLEARANCE AND POST-EMPLOYMENT DRUG TESTING TO BE CARRIED OUT EQUALLY BETWEEN THE U.S. WORKERS AND THE H-2B WORKERS. FLUENT IN ENGLISH.</v>
      </c>
      <c r="CB717" t="s">
        <v>131</v>
      </c>
      <c r="CF717" t="s">
        <v>131</v>
      </c>
      <c r="CH717" t="str">
        <f>""</f>
        <v/>
      </c>
      <c r="CI717" t="s">
        <v>131</v>
      </c>
      <c r="CK717" t="s">
        <v>131</v>
      </c>
      <c r="CL717" t="str">
        <f>""</f>
        <v/>
      </c>
      <c r="CM717" t="str">
        <f>""</f>
        <v/>
      </c>
      <c r="CN717" t="str">
        <f>""</f>
        <v/>
      </c>
      <c r="CO717" t="str">
        <f>""</f>
        <v/>
      </c>
      <c r="CP717" t="str">
        <f>"35-3011.00"</f>
        <v>35-3011.00</v>
      </c>
      <c r="CQ717" t="s">
        <v>1859</v>
      </c>
      <c r="CS717" t="s">
        <v>131</v>
      </c>
      <c r="CU717" t="s">
        <v>12353</v>
      </c>
      <c r="CW717" t="s">
        <v>1809</v>
      </c>
      <c r="CX717" t="s">
        <v>195</v>
      </c>
      <c r="CZ717" s="3" t="str">
        <f>"34996"</f>
        <v>34996</v>
      </c>
      <c r="DA717" t="s">
        <v>131</v>
      </c>
      <c r="DB717" t="str">
        <f>"35-3011"</f>
        <v>35-3011</v>
      </c>
      <c r="DC717" t="s">
        <v>1859</v>
      </c>
      <c r="DD717" t="s">
        <v>134</v>
      </c>
      <c r="DE717" t="s">
        <v>134</v>
      </c>
      <c r="DF717" t="str">
        <f>""</f>
        <v/>
      </c>
      <c r="DH717" s="6">
        <v>11.58</v>
      </c>
      <c r="DI717" t="s">
        <v>344</v>
      </c>
      <c r="DK717" t="s">
        <v>345</v>
      </c>
      <c r="DR717" t="s">
        <v>4740</v>
      </c>
      <c r="DS717" s="6">
        <v>11.58</v>
      </c>
      <c r="DT717" t="s">
        <v>424</v>
      </c>
      <c r="DU717" s="1">
        <v>44369</v>
      </c>
      <c r="DV717" s="1">
        <v>44458</v>
      </c>
    </row>
    <row r="718" spans="1:126" ht="15" customHeight="1" x14ac:dyDescent="0.35">
      <c r="A718" t="s">
        <v>18979</v>
      </c>
      <c r="B718" t="s">
        <v>318</v>
      </c>
      <c r="C718" s="1">
        <v>44340</v>
      </c>
      <c r="D718" s="1">
        <v>44368</v>
      </c>
      <c r="H718" t="s">
        <v>319</v>
      </c>
      <c r="I718" t="s">
        <v>18980</v>
      </c>
      <c r="J718" t="s">
        <v>18981</v>
      </c>
      <c r="K718" t="s">
        <v>134</v>
      </c>
      <c r="L718" t="s">
        <v>1105</v>
      </c>
      <c r="M718" t="s">
        <v>18982</v>
      </c>
      <c r="N718" t="s">
        <v>18983</v>
      </c>
      <c r="O718" t="s">
        <v>807</v>
      </c>
      <c r="P718" t="s">
        <v>857</v>
      </c>
      <c r="Q718" s="3">
        <v>85029</v>
      </c>
      <c r="R718" t="s">
        <v>128</v>
      </c>
      <c r="S718" t="s">
        <v>134</v>
      </c>
      <c r="T718" s="4">
        <v>16027950222</v>
      </c>
      <c r="V718" t="s">
        <v>18984</v>
      </c>
      <c r="W718" t="s">
        <v>18985</v>
      </c>
      <c r="Y718" t="s">
        <v>18982</v>
      </c>
      <c r="Z718" t="s">
        <v>18983</v>
      </c>
      <c r="AA718" t="s">
        <v>807</v>
      </c>
      <c r="AB718" t="s">
        <v>808</v>
      </c>
      <c r="AC718" s="3" t="str">
        <f>"85029"</f>
        <v>85029</v>
      </c>
      <c r="AD718" t="s">
        <v>128</v>
      </c>
      <c r="AE718" t="s">
        <v>134</v>
      </c>
      <c r="AF718" s="4">
        <v>16027950222</v>
      </c>
      <c r="AH718" t="str">
        <f>"624120"</f>
        <v>624120</v>
      </c>
      <c r="AI718" t="s">
        <v>130</v>
      </c>
      <c r="AJ718" t="s">
        <v>18045</v>
      </c>
      <c r="AK718" t="s">
        <v>18046</v>
      </c>
      <c r="AL718" t="s">
        <v>18047</v>
      </c>
      <c r="AM718" t="s">
        <v>18986</v>
      </c>
      <c r="AN718" t="s">
        <v>18987</v>
      </c>
      <c r="AO718" t="s">
        <v>2617</v>
      </c>
      <c r="AP718" t="s">
        <v>808</v>
      </c>
      <c r="AQ718" s="5">
        <v>85383</v>
      </c>
      <c r="AR718" t="s">
        <v>128</v>
      </c>
      <c r="AT718" s="4">
        <v>13109232830</v>
      </c>
      <c r="AV718" t="s">
        <v>18988</v>
      </c>
      <c r="AW718" t="s">
        <v>18989</v>
      </c>
      <c r="AX718" t="s">
        <v>131</v>
      </c>
      <c r="AY718" t="s">
        <v>131</v>
      </c>
      <c r="AZ718" t="s">
        <v>131</v>
      </c>
      <c r="BA718" t="s">
        <v>131</v>
      </c>
      <c r="BB718" t="s">
        <v>131</v>
      </c>
      <c r="BC718" t="s">
        <v>131</v>
      </c>
      <c r="BD718" t="s">
        <v>131</v>
      </c>
      <c r="BE718" t="s">
        <v>132</v>
      </c>
      <c r="BH718" t="s">
        <v>18990</v>
      </c>
      <c r="BI718" t="s">
        <v>131</v>
      </c>
      <c r="BL718" t="s">
        <v>401</v>
      </c>
      <c r="BO718" t="s">
        <v>131</v>
      </c>
      <c r="BP718" t="s">
        <v>134</v>
      </c>
      <c r="BQ718" t="s">
        <v>131</v>
      </c>
      <c r="BS718" t="str">
        <f t="shared" si="50"/>
        <v>N/A</v>
      </c>
      <c r="BT718" t="s">
        <v>135</v>
      </c>
      <c r="BU718">
        <v>12</v>
      </c>
      <c r="BV718" t="str">
        <f>"Caregiver"</f>
        <v>Caregiver</v>
      </c>
      <c r="BW718" t="s">
        <v>131</v>
      </c>
      <c r="BX718" t="str">
        <f>""</f>
        <v/>
      </c>
      <c r="BY718" t="str">
        <f>""</f>
        <v/>
      </c>
      <c r="BZ718" t="str">
        <f>""</f>
        <v/>
      </c>
      <c r="CA718" t="str">
        <f>""</f>
        <v/>
      </c>
      <c r="CB718" t="s">
        <v>131</v>
      </c>
      <c r="CF718" t="s">
        <v>131</v>
      </c>
      <c r="CH718" t="str">
        <f>""</f>
        <v/>
      </c>
      <c r="CI718" t="s">
        <v>131</v>
      </c>
      <c r="CK718" t="s">
        <v>131</v>
      </c>
      <c r="CL718" t="str">
        <f>""</f>
        <v/>
      </c>
      <c r="CM718" t="str">
        <f>""</f>
        <v/>
      </c>
      <c r="CN718" t="str">
        <f>""</f>
        <v/>
      </c>
      <c r="CO718" t="str">
        <f>""</f>
        <v/>
      </c>
      <c r="CP718" t="str">
        <f>"39-9021.00"</f>
        <v>39-9021.00</v>
      </c>
      <c r="CQ718" t="s">
        <v>2708</v>
      </c>
      <c r="CR718" t="s">
        <v>18991</v>
      </c>
      <c r="CS718" t="s">
        <v>131</v>
      </c>
      <c r="CU718" t="s">
        <v>18992</v>
      </c>
      <c r="CV718" t="s">
        <v>18983</v>
      </c>
      <c r="CW718" t="s">
        <v>807</v>
      </c>
      <c r="CX718" t="s">
        <v>808</v>
      </c>
      <c r="CZ718" s="3" t="str">
        <f>"85029"</f>
        <v>85029</v>
      </c>
      <c r="DA718" t="s">
        <v>131</v>
      </c>
      <c r="DB718" t="str">
        <f>"39-9021"</f>
        <v>39-9021</v>
      </c>
      <c r="DC718" t="s">
        <v>2708</v>
      </c>
      <c r="DD718" t="s">
        <v>134</v>
      </c>
      <c r="DE718" t="s">
        <v>134</v>
      </c>
      <c r="DF718" t="str">
        <f>""</f>
        <v/>
      </c>
      <c r="DH718" s="6">
        <v>12.57</v>
      </c>
      <c r="DI718" t="s">
        <v>344</v>
      </c>
      <c r="DK718" t="s">
        <v>345</v>
      </c>
      <c r="DS718" s="6">
        <v>12.57</v>
      </c>
      <c r="DT718" t="s">
        <v>424</v>
      </c>
      <c r="DU718" s="1">
        <v>44368</v>
      </c>
      <c r="DV718" s="1">
        <v>44457</v>
      </c>
    </row>
    <row r="719" spans="1:126" ht="15" customHeight="1" x14ac:dyDescent="0.35">
      <c r="A719" t="s">
        <v>16966</v>
      </c>
      <c r="B719" t="s">
        <v>318</v>
      </c>
      <c r="C719" s="1">
        <v>44340</v>
      </c>
      <c r="D719" s="1">
        <v>44368</v>
      </c>
      <c r="H719" t="s">
        <v>319</v>
      </c>
      <c r="I719" t="s">
        <v>16967</v>
      </c>
      <c r="J719" t="s">
        <v>16968</v>
      </c>
      <c r="L719" t="s">
        <v>395</v>
      </c>
      <c r="M719" t="s">
        <v>16969</v>
      </c>
      <c r="O719" t="s">
        <v>13185</v>
      </c>
      <c r="P719" t="s">
        <v>1004</v>
      </c>
      <c r="Q719" s="3">
        <v>84775</v>
      </c>
      <c r="R719" t="s">
        <v>128</v>
      </c>
      <c r="T719" s="4">
        <v>14354910492</v>
      </c>
      <c r="V719" t="s">
        <v>16970</v>
      </c>
      <c r="W719" t="s">
        <v>16971</v>
      </c>
      <c r="X719" t="s">
        <v>16972</v>
      </c>
      <c r="Y719" t="s">
        <v>16969</v>
      </c>
      <c r="AA719" t="s">
        <v>13185</v>
      </c>
      <c r="AB719" t="s">
        <v>1008</v>
      </c>
      <c r="AC719" s="3" t="str">
        <f>"84775"</f>
        <v>84775</v>
      </c>
      <c r="AD719" t="s">
        <v>128</v>
      </c>
      <c r="AF719" s="4">
        <v>14354910492</v>
      </c>
      <c r="AH719" t="str">
        <f>"72251"</f>
        <v>72251</v>
      </c>
      <c r="AI719" t="s">
        <v>287</v>
      </c>
      <c r="AJ719" t="s">
        <v>4284</v>
      </c>
      <c r="AK719" t="s">
        <v>2892</v>
      </c>
      <c r="AM719" t="s">
        <v>4285</v>
      </c>
      <c r="AO719" t="s">
        <v>4286</v>
      </c>
      <c r="AP719" t="s">
        <v>172</v>
      </c>
      <c r="AQ719" s="5">
        <v>93422</v>
      </c>
      <c r="AR719" t="s">
        <v>128</v>
      </c>
      <c r="AT719" s="4">
        <v>18593382754</v>
      </c>
      <c r="AV719" t="s">
        <v>4287</v>
      </c>
      <c r="AW719" t="s">
        <v>4288</v>
      </c>
      <c r="AX719" t="s">
        <v>131</v>
      </c>
      <c r="AY719" t="s">
        <v>131</v>
      </c>
      <c r="AZ719" t="s">
        <v>131</v>
      </c>
      <c r="BA719" t="s">
        <v>131</v>
      </c>
      <c r="BB719" t="s">
        <v>131</v>
      </c>
      <c r="BC719" t="s">
        <v>131</v>
      </c>
      <c r="BD719" t="s">
        <v>131</v>
      </c>
      <c r="BE719" t="s">
        <v>132</v>
      </c>
      <c r="BH719" t="s">
        <v>1749</v>
      </c>
      <c r="BI719" t="s">
        <v>131</v>
      </c>
      <c r="BL719" t="s">
        <v>167</v>
      </c>
      <c r="BO719" t="s">
        <v>131</v>
      </c>
      <c r="BP719" t="s">
        <v>134</v>
      </c>
      <c r="BQ719" t="s">
        <v>131</v>
      </c>
      <c r="BS719" t="str">
        <f t="shared" si="50"/>
        <v>N/A</v>
      </c>
      <c r="BT719" t="s">
        <v>131</v>
      </c>
      <c r="BV719" t="str">
        <f>""</f>
        <v/>
      </c>
      <c r="BW719" t="s">
        <v>131</v>
      </c>
      <c r="BX719" t="str">
        <f>""</f>
        <v/>
      </c>
      <c r="BY719" t="str">
        <f>""</f>
        <v/>
      </c>
      <c r="BZ719" t="str">
        <f>""</f>
        <v/>
      </c>
      <c r="CA719" t="str">
        <f>""</f>
        <v/>
      </c>
      <c r="CB719" t="s">
        <v>131</v>
      </c>
      <c r="CF719" t="s">
        <v>131</v>
      </c>
      <c r="CH719" t="str">
        <f>""</f>
        <v/>
      </c>
      <c r="CI719" t="s">
        <v>131</v>
      </c>
      <c r="CK719" t="s">
        <v>131</v>
      </c>
      <c r="CL719" t="str">
        <f>""</f>
        <v/>
      </c>
      <c r="CM719" t="str">
        <f>""</f>
        <v/>
      </c>
      <c r="CN719" t="str">
        <f>""</f>
        <v/>
      </c>
      <c r="CO719" t="str">
        <f>""</f>
        <v/>
      </c>
      <c r="CP719" t="str">
        <f>"35-2021.00"</f>
        <v>35-2021.00</v>
      </c>
      <c r="CQ719" t="s">
        <v>1749</v>
      </c>
      <c r="CS719" t="s">
        <v>131</v>
      </c>
      <c r="CU719" t="s">
        <v>16969</v>
      </c>
      <c r="CW719" t="s">
        <v>13185</v>
      </c>
      <c r="CX719" t="s">
        <v>1008</v>
      </c>
      <c r="CZ719" s="3" t="str">
        <f>"84775"</f>
        <v>84775</v>
      </c>
      <c r="DA719" t="s">
        <v>131</v>
      </c>
      <c r="DB719" t="str">
        <f>"35-2021"</f>
        <v>35-2021</v>
      </c>
      <c r="DC719" t="s">
        <v>1749</v>
      </c>
      <c r="DD719" t="s">
        <v>134</v>
      </c>
      <c r="DE719" t="s">
        <v>134</v>
      </c>
      <c r="DF719" t="str">
        <f>""</f>
        <v/>
      </c>
      <c r="DH719" s="6">
        <v>10.58</v>
      </c>
      <c r="DI719" t="s">
        <v>344</v>
      </c>
      <c r="DK719" t="s">
        <v>345</v>
      </c>
      <c r="DS719" s="6">
        <v>10.58</v>
      </c>
      <c r="DT719" t="s">
        <v>424</v>
      </c>
      <c r="DU719" s="1">
        <v>44368</v>
      </c>
      <c r="DV719" s="1">
        <v>44457</v>
      </c>
    </row>
    <row r="720" spans="1:126" ht="15" customHeight="1" x14ac:dyDescent="0.35">
      <c r="A720" t="s">
        <v>16607</v>
      </c>
      <c r="B720" t="s">
        <v>318</v>
      </c>
      <c r="C720" s="1">
        <v>44340</v>
      </c>
      <c r="D720" s="1">
        <v>44368</v>
      </c>
      <c r="H720" t="s">
        <v>319</v>
      </c>
      <c r="I720" t="s">
        <v>4846</v>
      </c>
      <c r="J720" t="s">
        <v>4847</v>
      </c>
      <c r="K720" t="s">
        <v>134</v>
      </c>
      <c r="L720" t="s">
        <v>2097</v>
      </c>
      <c r="M720" t="s">
        <v>4848</v>
      </c>
      <c r="O720" t="s">
        <v>4202</v>
      </c>
      <c r="P720" t="s">
        <v>194</v>
      </c>
      <c r="Q720" s="3">
        <v>34990</v>
      </c>
      <c r="R720" t="s">
        <v>128</v>
      </c>
      <c r="S720" t="s">
        <v>134</v>
      </c>
      <c r="T720" s="4">
        <v>17723368951</v>
      </c>
      <c r="V720" t="s">
        <v>8871</v>
      </c>
      <c r="W720" t="s">
        <v>8872</v>
      </c>
      <c r="X720" t="s">
        <v>134</v>
      </c>
      <c r="Y720" t="s">
        <v>4848</v>
      </c>
      <c r="Z720" t="s">
        <v>134</v>
      </c>
      <c r="AA720" t="s">
        <v>4202</v>
      </c>
      <c r="AB720" t="s">
        <v>195</v>
      </c>
      <c r="AC720" s="3" t="str">
        <f t="shared" ref="AC720:AC725" si="51">"34990"</f>
        <v>34990</v>
      </c>
      <c r="AD720" t="s">
        <v>128</v>
      </c>
      <c r="AE720" t="s">
        <v>134</v>
      </c>
      <c r="AF720" s="4">
        <v>17723368951</v>
      </c>
      <c r="AH720" t="str">
        <f t="shared" ref="AH720:AH725" si="52">"713910"</f>
        <v>713910</v>
      </c>
      <c r="AI720" t="s">
        <v>167</v>
      </c>
      <c r="AX720" t="s">
        <v>131</v>
      </c>
      <c r="AY720" t="s">
        <v>131</v>
      </c>
      <c r="AZ720" t="s">
        <v>131</v>
      </c>
      <c r="BA720" t="s">
        <v>131</v>
      </c>
      <c r="BB720" t="s">
        <v>131</v>
      </c>
      <c r="BC720" t="s">
        <v>131</v>
      </c>
      <c r="BD720" t="s">
        <v>131</v>
      </c>
      <c r="BE720" t="s">
        <v>132</v>
      </c>
      <c r="BH720" t="s">
        <v>6161</v>
      </c>
      <c r="BI720" t="s">
        <v>131</v>
      </c>
      <c r="BL720" t="s">
        <v>167</v>
      </c>
      <c r="BO720" t="s">
        <v>131</v>
      </c>
      <c r="BP720" t="s">
        <v>134</v>
      </c>
      <c r="BQ720" t="s">
        <v>131</v>
      </c>
      <c r="BS720" t="str">
        <f t="shared" si="50"/>
        <v>N/A</v>
      </c>
      <c r="BT720" t="s">
        <v>135</v>
      </c>
      <c r="BU720">
        <v>3</v>
      </c>
      <c r="BV720" t="str">
        <f>"CLUB, RESORT, HOTEL EXPERIENCE IN HSKP"</f>
        <v>CLUB, RESORT, HOTEL EXPERIENCE IN HSKP</v>
      </c>
      <c r="BW720" t="s">
        <v>131</v>
      </c>
      <c r="BX720" t="str">
        <f>""</f>
        <v/>
      </c>
      <c r="BY720" t="str">
        <f>""</f>
        <v/>
      </c>
      <c r="BZ720" t="str">
        <f>""</f>
        <v/>
      </c>
      <c r="CA720" t="str">
        <f>""</f>
        <v/>
      </c>
      <c r="CB720" t="s">
        <v>131</v>
      </c>
      <c r="CF720" t="s">
        <v>131</v>
      </c>
      <c r="CH720" t="str">
        <f>""</f>
        <v/>
      </c>
      <c r="CI720" t="s">
        <v>131</v>
      </c>
      <c r="CK720" t="s">
        <v>131</v>
      </c>
      <c r="CL720" t="str">
        <f>""</f>
        <v/>
      </c>
      <c r="CM720" t="str">
        <f>""</f>
        <v/>
      </c>
      <c r="CN720" t="str">
        <f>""</f>
        <v/>
      </c>
      <c r="CO720" t="str">
        <f>""</f>
        <v/>
      </c>
      <c r="CP720" t="str">
        <f>"37-2012.00"</f>
        <v>37-2012.00</v>
      </c>
      <c r="CQ720" t="s">
        <v>479</v>
      </c>
      <c r="CR720" t="s">
        <v>16608</v>
      </c>
      <c r="CS720" t="s">
        <v>131</v>
      </c>
      <c r="CU720" t="s">
        <v>4848</v>
      </c>
      <c r="CV720" t="s">
        <v>134</v>
      </c>
      <c r="CW720" t="s">
        <v>4202</v>
      </c>
      <c r="CX720" t="s">
        <v>195</v>
      </c>
      <c r="CZ720" s="3" t="str">
        <f t="shared" ref="CZ720:CZ725" si="53">"34990"</f>
        <v>34990</v>
      </c>
      <c r="DA720" t="s">
        <v>131</v>
      </c>
      <c r="DB720" t="str">
        <f>"37-2012"</f>
        <v>37-2012</v>
      </c>
      <c r="DC720" t="s">
        <v>479</v>
      </c>
      <c r="DD720" t="s">
        <v>134</v>
      </c>
      <c r="DE720" t="s">
        <v>134</v>
      </c>
      <c r="DF720" t="str">
        <f>""</f>
        <v/>
      </c>
      <c r="DH720" s="6">
        <v>11.92</v>
      </c>
      <c r="DI720" t="s">
        <v>344</v>
      </c>
      <c r="DK720" t="s">
        <v>345</v>
      </c>
      <c r="DS720" s="6">
        <v>11.92</v>
      </c>
      <c r="DT720" t="s">
        <v>424</v>
      </c>
      <c r="DU720" s="1">
        <v>44368</v>
      </c>
      <c r="DV720" s="1">
        <v>44457</v>
      </c>
    </row>
    <row r="721" spans="1:126" ht="15" customHeight="1" x14ac:dyDescent="0.35">
      <c r="A721" t="s">
        <v>4192</v>
      </c>
      <c r="B721" t="s">
        <v>318</v>
      </c>
      <c r="C721" s="1">
        <v>44340</v>
      </c>
      <c r="D721" s="1">
        <v>44368</v>
      </c>
      <c r="H721" t="s">
        <v>319</v>
      </c>
      <c r="I721" t="s">
        <v>4193</v>
      </c>
      <c r="J721" t="s">
        <v>4194</v>
      </c>
      <c r="K721" t="s">
        <v>2825</v>
      </c>
      <c r="L721" t="s">
        <v>4195</v>
      </c>
      <c r="M721" t="s">
        <v>4196</v>
      </c>
      <c r="O721" t="s">
        <v>4197</v>
      </c>
      <c r="P721" t="s">
        <v>194</v>
      </c>
      <c r="Q721" s="3" t="s">
        <v>4198</v>
      </c>
      <c r="R721" t="s">
        <v>128</v>
      </c>
      <c r="S721" t="s">
        <v>194</v>
      </c>
      <c r="T721" s="4">
        <v>17723368951</v>
      </c>
      <c r="V721" t="s">
        <v>4199</v>
      </c>
      <c r="W721" t="s">
        <v>4200</v>
      </c>
      <c r="Y721" t="s">
        <v>4201</v>
      </c>
      <c r="AA721" t="s">
        <v>4202</v>
      </c>
      <c r="AB721" t="s">
        <v>195</v>
      </c>
      <c r="AC721" s="3" t="str">
        <f t="shared" si="51"/>
        <v>34990</v>
      </c>
      <c r="AD721" t="s">
        <v>128</v>
      </c>
      <c r="AF721" s="4">
        <v>17723368951</v>
      </c>
      <c r="AH721" t="str">
        <f t="shared" si="52"/>
        <v>713910</v>
      </c>
      <c r="AI721" t="s">
        <v>167</v>
      </c>
      <c r="AX721" t="s">
        <v>131</v>
      </c>
      <c r="AY721" t="s">
        <v>131</v>
      </c>
      <c r="AZ721" t="s">
        <v>131</v>
      </c>
      <c r="BA721" t="s">
        <v>131</v>
      </c>
      <c r="BB721" t="s">
        <v>131</v>
      </c>
      <c r="BC721" t="s">
        <v>131</v>
      </c>
      <c r="BD721" t="s">
        <v>131</v>
      </c>
      <c r="BE721" t="s">
        <v>132</v>
      </c>
      <c r="BH721" t="s">
        <v>4203</v>
      </c>
      <c r="BI721" t="s">
        <v>131</v>
      </c>
      <c r="BL721" t="s">
        <v>167</v>
      </c>
      <c r="BO721" t="s">
        <v>131</v>
      </c>
      <c r="BP721" t="s">
        <v>134</v>
      </c>
      <c r="BQ721" t="s">
        <v>131</v>
      </c>
      <c r="BS721" t="str">
        <f t="shared" si="50"/>
        <v>N/A</v>
      </c>
      <c r="BT721" t="s">
        <v>135</v>
      </c>
      <c r="BU721">
        <v>3</v>
      </c>
      <c r="BV721" t="str">
        <f>"Must have 3 mo prior, recent, verifiable, club, resort, or hotel, housekeeper experience."</f>
        <v>Must have 3 mo prior, recent, verifiable, club, resort, or hotel, housekeeper experience.</v>
      </c>
      <c r="BW721" t="s">
        <v>131</v>
      </c>
      <c r="BX721" t="str">
        <f>""</f>
        <v/>
      </c>
      <c r="BY721" t="str">
        <f>""</f>
        <v/>
      </c>
      <c r="BZ721" t="str">
        <f>""</f>
        <v/>
      </c>
      <c r="CA721" t="str">
        <f>""</f>
        <v/>
      </c>
      <c r="CB721" t="s">
        <v>131</v>
      </c>
      <c r="CF721" t="s">
        <v>131</v>
      </c>
      <c r="CH721" t="str">
        <f>""</f>
        <v/>
      </c>
      <c r="CI721" t="s">
        <v>131</v>
      </c>
      <c r="CK721" t="s">
        <v>131</v>
      </c>
      <c r="CL721" t="str">
        <f>""</f>
        <v/>
      </c>
      <c r="CM721" t="str">
        <f>""</f>
        <v/>
      </c>
      <c r="CN721" t="str">
        <f>""</f>
        <v/>
      </c>
      <c r="CO721" t="str">
        <f>""</f>
        <v/>
      </c>
      <c r="CP721" t="str">
        <f>"37-2012.00"</f>
        <v>37-2012.00</v>
      </c>
      <c r="CQ721" t="s">
        <v>479</v>
      </c>
      <c r="CR721" t="s">
        <v>4204</v>
      </c>
      <c r="CS721" t="s">
        <v>131</v>
      </c>
      <c r="CU721" t="s">
        <v>4201</v>
      </c>
      <c r="CW721" t="s">
        <v>4205</v>
      </c>
      <c r="CX721" t="s">
        <v>195</v>
      </c>
      <c r="CZ721" s="3" t="str">
        <f t="shared" si="53"/>
        <v>34990</v>
      </c>
      <c r="DA721" t="s">
        <v>131</v>
      </c>
      <c r="DB721" t="str">
        <f>"35-2013"</f>
        <v>35-2013</v>
      </c>
      <c r="DC721" t="s">
        <v>4206</v>
      </c>
      <c r="DD721" t="s">
        <v>134</v>
      </c>
      <c r="DE721" t="s">
        <v>134</v>
      </c>
      <c r="DF721" t="str">
        <f>"37-2012.00"</f>
        <v>37-2012.00</v>
      </c>
      <c r="DG721" t="s">
        <v>479</v>
      </c>
      <c r="DH721" s="6">
        <v>21.92</v>
      </c>
      <c r="DI721" t="s">
        <v>344</v>
      </c>
      <c r="DK721" t="s">
        <v>345</v>
      </c>
      <c r="DS721" s="6">
        <v>21.92</v>
      </c>
      <c r="DT721" t="s">
        <v>424</v>
      </c>
      <c r="DU721" s="1">
        <v>44368</v>
      </c>
      <c r="DV721" s="1">
        <v>44457</v>
      </c>
    </row>
    <row r="722" spans="1:126" ht="15" customHeight="1" x14ac:dyDescent="0.35">
      <c r="A722" t="s">
        <v>6954</v>
      </c>
      <c r="B722" t="s">
        <v>318</v>
      </c>
      <c r="C722" s="1">
        <v>44340</v>
      </c>
      <c r="D722" s="1">
        <v>44368</v>
      </c>
      <c r="H722" t="s">
        <v>319</v>
      </c>
      <c r="I722" t="s">
        <v>4193</v>
      </c>
      <c r="J722" t="s">
        <v>4194</v>
      </c>
      <c r="K722" t="s">
        <v>2825</v>
      </c>
      <c r="L722" t="s">
        <v>4195</v>
      </c>
      <c r="M722" t="s">
        <v>4196</v>
      </c>
      <c r="O722" t="s">
        <v>4197</v>
      </c>
      <c r="P722" t="s">
        <v>194</v>
      </c>
      <c r="Q722" s="3" t="s">
        <v>4198</v>
      </c>
      <c r="R722" t="s">
        <v>128</v>
      </c>
      <c r="S722" t="s">
        <v>194</v>
      </c>
      <c r="T722" s="4">
        <v>17723368951</v>
      </c>
      <c r="V722" t="s">
        <v>4199</v>
      </c>
      <c r="W722" t="s">
        <v>4200</v>
      </c>
      <c r="Y722" t="s">
        <v>4201</v>
      </c>
      <c r="AA722" t="s">
        <v>4202</v>
      </c>
      <c r="AB722" t="s">
        <v>195</v>
      </c>
      <c r="AC722" s="3" t="str">
        <f t="shared" si="51"/>
        <v>34990</v>
      </c>
      <c r="AD722" t="s">
        <v>128</v>
      </c>
      <c r="AF722" s="4">
        <v>17723368951</v>
      </c>
      <c r="AH722" t="str">
        <f t="shared" si="52"/>
        <v>713910</v>
      </c>
      <c r="AI722" t="s">
        <v>167</v>
      </c>
      <c r="AX722" t="s">
        <v>131</v>
      </c>
      <c r="AY722" t="s">
        <v>131</v>
      </c>
      <c r="AZ722" t="s">
        <v>131</v>
      </c>
      <c r="BA722" t="s">
        <v>131</v>
      </c>
      <c r="BB722" t="s">
        <v>131</v>
      </c>
      <c r="BC722" t="s">
        <v>131</v>
      </c>
      <c r="BD722" t="s">
        <v>131</v>
      </c>
      <c r="BE722" t="s">
        <v>132</v>
      </c>
      <c r="BH722" t="s">
        <v>6955</v>
      </c>
      <c r="BI722" t="s">
        <v>131</v>
      </c>
      <c r="BL722" t="s">
        <v>167</v>
      </c>
      <c r="BO722" t="s">
        <v>131</v>
      </c>
      <c r="BP722" t="s">
        <v>134</v>
      </c>
      <c r="BQ722" t="s">
        <v>131</v>
      </c>
      <c r="BS722" t="str">
        <f t="shared" si="50"/>
        <v>N/A</v>
      </c>
      <c r="BT722" t="s">
        <v>135</v>
      </c>
      <c r="BU722">
        <v>6</v>
      </c>
      <c r="BV722" t="str">
        <f>"Must have 6 mo prior, recent, verifiable, club, resort, or fine dining, dining room attendant experience."</f>
        <v>Must have 6 mo prior, recent, verifiable, club, resort, or fine dining, dining room attendant experience.</v>
      </c>
      <c r="BW722" t="s">
        <v>131</v>
      </c>
      <c r="BX722" t="str">
        <f>""</f>
        <v/>
      </c>
      <c r="BY722" t="str">
        <f>""</f>
        <v/>
      </c>
      <c r="BZ722" t="str">
        <f>""</f>
        <v/>
      </c>
      <c r="CA722" t="str">
        <f>""</f>
        <v/>
      </c>
      <c r="CB722" t="s">
        <v>131</v>
      </c>
      <c r="CF722" t="s">
        <v>131</v>
      </c>
      <c r="CH722" t="str">
        <f>""</f>
        <v/>
      </c>
      <c r="CI722" t="s">
        <v>131</v>
      </c>
      <c r="CK722" t="s">
        <v>131</v>
      </c>
      <c r="CL722" t="str">
        <f>""</f>
        <v/>
      </c>
      <c r="CM722" t="str">
        <f>""</f>
        <v/>
      </c>
      <c r="CN722" t="str">
        <f>""</f>
        <v/>
      </c>
      <c r="CO722" t="str">
        <f>""</f>
        <v/>
      </c>
      <c r="CP722" t="str">
        <f>"35-9011.00"</f>
        <v>35-9011.00</v>
      </c>
      <c r="CQ722" t="s">
        <v>1016</v>
      </c>
      <c r="CR722" t="s">
        <v>6955</v>
      </c>
      <c r="CS722" t="s">
        <v>131</v>
      </c>
      <c r="CU722" t="s">
        <v>4201</v>
      </c>
      <c r="CW722" t="s">
        <v>4205</v>
      </c>
      <c r="CX722" t="s">
        <v>195</v>
      </c>
      <c r="CZ722" s="3" t="str">
        <f t="shared" si="53"/>
        <v>34990</v>
      </c>
      <c r="DA722" t="s">
        <v>131</v>
      </c>
      <c r="DB722" t="str">
        <f>"35-9011"</f>
        <v>35-9011</v>
      </c>
      <c r="DC722" t="s">
        <v>1016</v>
      </c>
      <c r="DD722" t="s">
        <v>134</v>
      </c>
      <c r="DE722" t="s">
        <v>134</v>
      </c>
      <c r="DF722" t="str">
        <f>""</f>
        <v/>
      </c>
      <c r="DH722" s="6">
        <v>9.85</v>
      </c>
      <c r="DI722" t="s">
        <v>344</v>
      </c>
      <c r="DK722" t="s">
        <v>345</v>
      </c>
      <c r="DS722" s="6">
        <v>9.85</v>
      </c>
      <c r="DT722" t="s">
        <v>424</v>
      </c>
      <c r="DU722" s="1">
        <v>44368</v>
      </c>
      <c r="DV722" s="1">
        <v>44457</v>
      </c>
    </row>
    <row r="723" spans="1:126" ht="15" customHeight="1" x14ac:dyDescent="0.35">
      <c r="A723" t="s">
        <v>14956</v>
      </c>
      <c r="B723" t="s">
        <v>318</v>
      </c>
      <c r="C723" s="1">
        <v>44340</v>
      </c>
      <c r="D723" s="1">
        <v>44368</v>
      </c>
      <c r="H723" t="s">
        <v>319</v>
      </c>
      <c r="I723" t="s">
        <v>4193</v>
      </c>
      <c r="J723" t="s">
        <v>4194</v>
      </c>
      <c r="K723" t="s">
        <v>2825</v>
      </c>
      <c r="L723" t="s">
        <v>4195</v>
      </c>
      <c r="M723" t="s">
        <v>4196</v>
      </c>
      <c r="O723" t="s">
        <v>4197</v>
      </c>
      <c r="P723" t="s">
        <v>194</v>
      </c>
      <c r="Q723" s="3" t="s">
        <v>4198</v>
      </c>
      <c r="R723" t="s">
        <v>128</v>
      </c>
      <c r="S723" t="s">
        <v>194</v>
      </c>
      <c r="T723" s="4">
        <v>17723368951</v>
      </c>
      <c r="V723" t="s">
        <v>4199</v>
      </c>
      <c r="W723" t="s">
        <v>4200</v>
      </c>
      <c r="Y723" t="s">
        <v>4201</v>
      </c>
      <c r="AA723" t="s">
        <v>4202</v>
      </c>
      <c r="AB723" t="s">
        <v>195</v>
      </c>
      <c r="AC723" s="3" t="str">
        <f t="shared" si="51"/>
        <v>34990</v>
      </c>
      <c r="AD723" t="s">
        <v>128</v>
      </c>
      <c r="AF723" s="4">
        <v>17723368951</v>
      </c>
      <c r="AH723" t="str">
        <f t="shared" si="52"/>
        <v>713910</v>
      </c>
      <c r="AI723" t="s">
        <v>167</v>
      </c>
      <c r="AX723" t="s">
        <v>131</v>
      </c>
      <c r="AY723" t="s">
        <v>131</v>
      </c>
      <c r="AZ723" t="s">
        <v>131</v>
      </c>
      <c r="BA723" t="s">
        <v>131</v>
      </c>
      <c r="BB723" t="s">
        <v>131</v>
      </c>
      <c r="BC723" t="s">
        <v>131</v>
      </c>
      <c r="BD723" t="s">
        <v>131</v>
      </c>
      <c r="BE723" t="s">
        <v>132</v>
      </c>
      <c r="BH723" t="s">
        <v>14957</v>
      </c>
      <c r="BI723" t="s">
        <v>131</v>
      </c>
      <c r="BL723" t="s">
        <v>167</v>
      </c>
      <c r="BO723" t="s">
        <v>131</v>
      </c>
      <c r="BP723" t="s">
        <v>134</v>
      </c>
      <c r="BQ723" t="s">
        <v>131</v>
      </c>
      <c r="BS723" t="str">
        <f t="shared" si="50"/>
        <v>N/A</v>
      </c>
      <c r="BT723" t="s">
        <v>135</v>
      </c>
      <c r="BU723">
        <v>3</v>
      </c>
      <c r="BV723" t="str">
        <f>"Must have 3 months  prior, recent, verifiable, club, resort, or fine dining, high volume dishwasher experience. "</f>
        <v xml:space="preserve">Must have 3 months  prior, recent, verifiable, club, resort, or fine dining, high volume dishwasher experience. </v>
      </c>
      <c r="BW723" t="s">
        <v>131</v>
      </c>
      <c r="BX723" t="str">
        <f>""</f>
        <v/>
      </c>
      <c r="BY723" t="str">
        <f>""</f>
        <v/>
      </c>
      <c r="BZ723" t="str">
        <f>""</f>
        <v/>
      </c>
      <c r="CA723" t="str">
        <f>""</f>
        <v/>
      </c>
      <c r="CB723" t="s">
        <v>131</v>
      </c>
      <c r="CF723" t="s">
        <v>131</v>
      </c>
      <c r="CH723" t="str">
        <f>""</f>
        <v/>
      </c>
      <c r="CI723" t="s">
        <v>131</v>
      </c>
      <c r="CK723" t="s">
        <v>131</v>
      </c>
      <c r="CL723" t="str">
        <f>""</f>
        <v/>
      </c>
      <c r="CM723" t="str">
        <f>""</f>
        <v/>
      </c>
      <c r="CN723" t="str">
        <f>""</f>
        <v/>
      </c>
      <c r="CO723" t="str">
        <f>""</f>
        <v/>
      </c>
      <c r="CP723" t="str">
        <f>"35-9021.00"</f>
        <v>35-9021.00</v>
      </c>
      <c r="CQ723" t="s">
        <v>2552</v>
      </c>
      <c r="CR723" t="s">
        <v>2552</v>
      </c>
      <c r="CS723" t="s">
        <v>131</v>
      </c>
      <c r="CU723" t="s">
        <v>4201</v>
      </c>
      <c r="CW723" t="s">
        <v>4205</v>
      </c>
      <c r="CX723" t="s">
        <v>195</v>
      </c>
      <c r="CZ723" s="3" t="str">
        <f t="shared" si="53"/>
        <v>34990</v>
      </c>
      <c r="DA723" t="s">
        <v>131</v>
      </c>
      <c r="DB723" t="str">
        <f>"35-9021"</f>
        <v>35-9021</v>
      </c>
      <c r="DC723" t="s">
        <v>2552</v>
      </c>
      <c r="DD723" t="s">
        <v>134</v>
      </c>
      <c r="DE723" t="s">
        <v>134</v>
      </c>
      <c r="DF723" t="str">
        <f>""</f>
        <v/>
      </c>
      <c r="DH723" s="6">
        <v>11.22</v>
      </c>
      <c r="DI723" t="s">
        <v>344</v>
      </c>
      <c r="DK723" t="s">
        <v>345</v>
      </c>
      <c r="DS723" s="6">
        <v>11.22</v>
      </c>
      <c r="DT723" t="s">
        <v>424</v>
      </c>
      <c r="DU723" s="1">
        <v>44368</v>
      </c>
      <c r="DV723" s="1">
        <v>44457</v>
      </c>
    </row>
    <row r="724" spans="1:126" ht="15" customHeight="1" x14ac:dyDescent="0.35">
      <c r="A724" t="s">
        <v>18329</v>
      </c>
      <c r="B724" t="s">
        <v>318</v>
      </c>
      <c r="C724" s="1">
        <v>44340</v>
      </c>
      <c r="D724" s="1">
        <v>44368</v>
      </c>
      <c r="H724" t="s">
        <v>319</v>
      </c>
      <c r="I724" t="s">
        <v>4193</v>
      </c>
      <c r="J724" t="s">
        <v>4194</v>
      </c>
      <c r="K724" t="s">
        <v>2825</v>
      </c>
      <c r="L724" t="s">
        <v>16220</v>
      </c>
      <c r="M724" t="s">
        <v>4196</v>
      </c>
      <c r="O724" t="s">
        <v>4197</v>
      </c>
      <c r="P724" t="s">
        <v>194</v>
      </c>
      <c r="Q724" s="3" t="s">
        <v>4198</v>
      </c>
      <c r="R724" t="s">
        <v>128</v>
      </c>
      <c r="S724" t="s">
        <v>194</v>
      </c>
      <c r="T724" s="4">
        <v>17723368951</v>
      </c>
      <c r="V724" t="s">
        <v>4199</v>
      </c>
      <c r="W724" t="s">
        <v>4200</v>
      </c>
      <c r="Y724" t="s">
        <v>4201</v>
      </c>
      <c r="AA724" t="s">
        <v>4202</v>
      </c>
      <c r="AB724" t="s">
        <v>195</v>
      </c>
      <c r="AC724" s="3" t="str">
        <f t="shared" si="51"/>
        <v>34990</v>
      </c>
      <c r="AD724" t="s">
        <v>128</v>
      </c>
      <c r="AF724" s="4">
        <v>17723368951</v>
      </c>
      <c r="AH724" t="str">
        <f t="shared" si="52"/>
        <v>713910</v>
      </c>
      <c r="AI724" t="s">
        <v>167</v>
      </c>
      <c r="AX724" t="s">
        <v>131</v>
      </c>
      <c r="AY724" t="s">
        <v>131</v>
      </c>
      <c r="AZ724" t="s">
        <v>131</v>
      </c>
      <c r="BA724" t="s">
        <v>131</v>
      </c>
      <c r="BB724" t="s">
        <v>131</v>
      </c>
      <c r="BC724" t="s">
        <v>131</v>
      </c>
      <c r="BD724" t="s">
        <v>131</v>
      </c>
      <c r="BE724" t="s">
        <v>132</v>
      </c>
      <c r="BH724" t="s">
        <v>10641</v>
      </c>
      <c r="BI724" t="s">
        <v>131</v>
      </c>
      <c r="BL724" t="s">
        <v>167</v>
      </c>
      <c r="BO724" t="s">
        <v>131</v>
      </c>
      <c r="BP724" t="s">
        <v>134</v>
      </c>
      <c r="BQ724" t="s">
        <v>131</v>
      </c>
      <c r="BS724" t="str">
        <f t="shared" si="50"/>
        <v>N/A</v>
      </c>
      <c r="BT724" t="s">
        <v>135</v>
      </c>
      <c r="BU724">
        <v>6</v>
      </c>
      <c r="BV724" t="str">
        <f>"Must have 6 mo. prior, recent, verifiable, club, resort, fine dining, high volume Linecook exp"</f>
        <v>Must have 6 mo. prior, recent, verifiable, club, resort, fine dining, high volume Linecook exp</v>
      </c>
      <c r="BW724" t="s">
        <v>131</v>
      </c>
      <c r="BX724" t="str">
        <f>""</f>
        <v/>
      </c>
      <c r="BY724" t="str">
        <f>""</f>
        <v/>
      </c>
      <c r="BZ724" t="str">
        <f>""</f>
        <v/>
      </c>
      <c r="CA724" t="str">
        <f>""</f>
        <v/>
      </c>
      <c r="CB724" t="s">
        <v>131</v>
      </c>
      <c r="CF724" t="s">
        <v>131</v>
      </c>
      <c r="CH724" t="str">
        <f>""</f>
        <v/>
      </c>
      <c r="CI724" t="s">
        <v>131</v>
      </c>
      <c r="CK724" t="s">
        <v>131</v>
      </c>
      <c r="CL724" t="str">
        <f>""</f>
        <v/>
      </c>
      <c r="CM724" t="str">
        <f>""</f>
        <v/>
      </c>
      <c r="CN724" t="str">
        <f>""</f>
        <v/>
      </c>
      <c r="CO724" t="str">
        <f>""</f>
        <v/>
      </c>
      <c r="CP724" t="str">
        <f>"35-2014.00"</f>
        <v>35-2014.00</v>
      </c>
      <c r="CQ724" t="s">
        <v>581</v>
      </c>
      <c r="CR724" t="s">
        <v>8679</v>
      </c>
      <c r="CS724" t="s">
        <v>131</v>
      </c>
      <c r="CU724" t="s">
        <v>4201</v>
      </c>
      <c r="CW724" t="s">
        <v>4205</v>
      </c>
      <c r="CX724" t="s">
        <v>195</v>
      </c>
      <c r="CZ724" s="3" t="str">
        <f t="shared" si="53"/>
        <v>34990</v>
      </c>
      <c r="DA724" t="s">
        <v>131</v>
      </c>
      <c r="DB724" t="str">
        <f>"35-2014"</f>
        <v>35-2014</v>
      </c>
      <c r="DC724" t="s">
        <v>581</v>
      </c>
      <c r="DD724" t="s">
        <v>134</v>
      </c>
      <c r="DE724" t="s">
        <v>134</v>
      </c>
      <c r="DF724" t="str">
        <f>""</f>
        <v/>
      </c>
      <c r="DH724" s="6">
        <v>13.22</v>
      </c>
      <c r="DI724" t="s">
        <v>344</v>
      </c>
      <c r="DK724" t="s">
        <v>345</v>
      </c>
      <c r="DS724" s="6">
        <v>13.22</v>
      </c>
      <c r="DT724" t="s">
        <v>424</v>
      </c>
      <c r="DU724" s="1">
        <v>44368</v>
      </c>
      <c r="DV724" s="1">
        <v>44457</v>
      </c>
    </row>
    <row r="725" spans="1:126" ht="15" customHeight="1" x14ac:dyDescent="0.35">
      <c r="A725" t="s">
        <v>12453</v>
      </c>
      <c r="B725" t="s">
        <v>318</v>
      </c>
      <c r="C725" s="1">
        <v>44340</v>
      </c>
      <c r="D725" s="1">
        <v>44368</v>
      </c>
      <c r="H725" t="s">
        <v>319</v>
      </c>
      <c r="I725" t="s">
        <v>12454</v>
      </c>
      <c r="J725" t="s">
        <v>12455</v>
      </c>
      <c r="K725" t="s">
        <v>7211</v>
      </c>
      <c r="L725" t="s">
        <v>4195</v>
      </c>
      <c r="M725" t="s">
        <v>4201</v>
      </c>
      <c r="O725" t="s">
        <v>4202</v>
      </c>
      <c r="P725" t="s">
        <v>194</v>
      </c>
      <c r="Q725" s="3">
        <v>34990</v>
      </c>
      <c r="R725" t="s">
        <v>128</v>
      </c>
      <c r="S725" t="s">
        <v>194</v>
      </c>
      <c r="T725" s="4">
        <v>17723368951</v>
      </c>
      <c r="V725" t="s">
        <v>4199</v>
      </c>
      <c r="W725" t="s">
        <v>4200</v>
      </c>
      <c r="Y725" t="s">
        <v>4201</v>
      </c>
      <c r="AA725" t="s">
        <v>4202</v>
      </c>
      <c r="AB725" t="s">
        <v>195</v>
      </c>
      <c r="AC725" s="3" t="str">
        <f t="shared" si="51"/>
        <v>34990</v>
      </c>
      <c r="AD725" t="s">
        <v>128</v>
      </c>
      <c r="AF725" s="4">
        <v>17723368951</v>
      </c>
      <c r="AH725" t="str">
        <f t="shared" si="52"/>
        <v>713910</v>
      </c>
      <c r="AI725" t="s">
        <v>167</v>
      </c>
      <c r="AX725" t="s">
        <v>131</v>
      </c>
      <c r="AY725" t="s">
        <v>131</v>
      </c>
      <c r="AZ725" t="s">
        <v>131</v>
      </c>
      <c r="BA725" t="s">
        <v>131</v>
      </c>
      <c r="BB725" t="s">
        <v>131</v>
      </c>
      <c r="BC725" t="s">
        <v>131</v>
      </c>
      <c r="BD725" t="s">
        <v>131</v>
      </c>
      <c r="BE725" t="s">
        <v>132</v>
      </c>
      <c r="BH725" t="s">
        <v>12456</v>
      </c>
      <c r="BI725" t="s">
        <v>131</v>
      </c>
      <c r="BL725" t="s">
        <v>167</v>
      </c>
      <c r="BO725" t="s">
        <v>131</v>
      </c>
      <c r="BP725" t="s">
        <v>134</v>
      </c>
      <c r="BQ725" t="s">
        <v>131</v>
      </c>
      <c r="BS725" t="str">
        <f t="shared" si="50"/>
        <v>N/A</v>
      </c>
      <c r="BT725" t="s">
        <v>135</v>
      </c>
      <c r="BU725">
        <v>6</v>
      </c>
      <c r="BV725" t="str">
        <f>"6 MONTHS PRIOR EXPERIENCE IN RESORT, CLUB, HOTEL , FINE DINING HIGH VOLUME SERVER EXP."</f>
        <v>6 MONTHS PRIOR EXPERIENCE IN RESORT, CLUB, HOTEL , FINE DINING HIGH VOLUME SERVER EXP.</v>
      </c>
      <c r="BW725" t="s">
        <v>131</v>
      </c>
      <c r="BX725" t="str">
        <f>""</f>
        <v/>
      </c>
      <c r="BY725" t="str">
        <f>""</f>
        <v/>
      </c>
      <c r="BZ725" t="str">
        <f>""</f>
        <v/>
      </c>
      <c r="CA725" t="str">
        <f>""</f>
        <v/>
      </c>
      <c r="CB725" t="s">
        <v>131</v>
      </c>
      <c r="CF725" t="s">
        <v>131</v>
      </c>
      <c r="CH725" t="str">
        <f>""</f>
        <v/>
      </c>
      <c r="CI725" t="s">
        <v>131</v>
      </c>
      <c r="CK725" t="s">
        <v>131</v>
      </c>
      <c r="CL725" t="str">
        <f>""</f>
        <v/>
      </c>
      <c r="CM725" t="str">
        <f>""</f>
        <v/>
      </c>
      <c r="CN725" t="str">
        <f>""</f>
        <v/>
      </c>
      <c r="CO725" t="str">
        <f>""</f>
        <v/>
      </c>
      <c r="CP725" t="str">
        <f>"35-3031.00"</f>
        <v>35-3031.00</v>
      </c>
      <c r="CQ725" t="s">
        <v>1214</v>
      </c>
      <c r="CR725" t="s">
        <v>12457</v>
      </c>
      <c r="CS725" t="s">
        <v>131</v>
      </c>
      <c r="CU725" t="s">
        <v>4201</v>
      </c>
      <c r="CW725" t="s">
        <v>4205</v>
      </c>
      <c r="CX725" t="s">
        <v>195</v>
      </c>
      <c r="CZ725" s="3" t="str">
        <f t="shared" si="53"/>
        <v>34990</v>
      </c>
      <c r="DA725" t="s">
        <v>131</v>
      </c>
      <c r="DB725" t="str">
        <f>"35-3031"</f>
        <v>35-3031</v>
      </c>
      <c r="DC725" t="s">
        <v>1214</v>
      </c>
      <c r="DD725" t="s">
        <v>134</v>
      </c>
      <c r="DE725" t="s">
        <v>134</v>
      </c>
      <c r="DF725" t="str">
        <f>""</f>
        <v/>
      </c>
      <c r="DH725" s="6">
        <v>11.85</v>
      </c>
      <c r="DI725" t="s">
        <v>344</v>
      </c>
      <c r="DK725" t="s">
        <v>345</v>
      </c>
      <c r="DS725" s="6">
        <v>11.85</v>
      </c>
      <c r="DT725" t="s">
        <v>424</v>
      </c>
      <c r="DU725" s="1">
        <v>44368</v>
      </c>
      <c r="DV725" s="1">
        <v>44457</v>
      </c>
    </row>
    <row r="726" spans="1:126" ht="15" customHeight="1" x14ac:dyDescent="0.35">
      <c r="A726" t="s">
        <v>4510</v>
      </c>
      <c r="B726" t="s">
        <v>318</v>
      </c>
      <c r="C726" s="1">
        <v>44340</v>
      </c>
      <c r="D726" s="1">
        <v>44368</v>
      </c>
      <c r="H726" t="s">
        <v>319</v>
      </c>
      <c r="I726" t="s">
        <v>4511</v>
      </c>
      <c r="J726" t="s">
        <v>4512</v>
      </c>
      <c r="L726" t="s">
        <v>395</v>
      </c>
      <c r="M726" t="s">
        <v>4513</v>
      </c>
      <c r="O726" t="s">
        <v>642</v>
      </c>
      <c r="Q726" s="3">
        <v>30340</v>
      </c>
      <c r="R726" t="s">
        <v>643</v>
      </c>
      <c r="T726" s="4">
        <v>14049341359</v>
      </c>
      <c r="V726" t="s">
        <v>4514</v>
      </c>
      <c r="W726" t="s">
        <v>4515</v>
      </c>
      <c r="Y726" t="s">
        <v>4516</v>
      </c>
      <c r="AA726" t="s">
        <v>3561</v>
      </c>
      <c r="AB726" t="s">
        <v>643</v>
      </c>
      <c r="AC726" s="3" t="str">
        <f>"30044"</f>
        <v>30044</v>
      </c>
      <c r="AD726" t="s">
        <v>128</v>
      </c>
      <c r="AF726" s="4">
        <v>16786143043</v>
      </c>
      <c r="AH726" t="str">
        <f>"2361"</f>
        <v>2361</v>
      </c>
      <c r="AI726" t="s">
        <v>287</v>
      </c>
      <c r="AJ726" t="s">
        <v>4511</v>
      </c>
      <c r="AK726" t="s">
        <v>4512</v>
      </c>
      <c r="AM726" t="s">
        <v>4513</v>
      </c>
      <c r="AO726" t="s">
        <v>642</v>
      </c>
      <c r="AQ726" s="5">
        <v>30340</v>
      </c>
      <c r="AR726" t="s">
        <v>643</v>
      </c>
      <c r="AT726" s="4">
        <v>14049341359</v>
      </c>
      <c r="AV726" t="s">
        <v>4514</v>
      </c>
      <c r="AW726" t="s">
        <v>4517</v>
      </c>
      <c r="AX726" t="s">
        <v>131</v>
      </c>
      <c r="AY726" t="s">
        <v>131</v>
      </c>
      <c r="AZ726" t="s">
        <v>131</v>
      </c>
      <c r="BA726" t="s">
        <v>131</v>
      </c>
      <c r="BB726" t="s">
        <v>131</v>
      </c>
      <c r="BC726" t="s">
        <v>131</v>
      </c>
      <c r="BD726" t="s">
        <v>131</v>
      </c>
      <c r="BE726" t="s">
        <v>132</v>
      </c>
      <c r="BH726" t="s">
        <v>4518</v>
      </c>
      <c r="BI726" t="s">
        <v>131</v>
      </c>
      <c r="BL726" t="s">
        <v>167</v>
      </c>
      <c r="BO726" t="s">
        <v>131</v>
      </c>
      <c r="BP726" t="s">
        <v>134</v>
      </c>
      <c r="BQ726" t="s">
        <v>131</v>
      </c>
      <c r="BS726" t="str">
        <f t="shared" si="50"/>
        <v>N/A</v>
      </c>
      <c r="BT726" t="s">
        <v>131</v>
      </c>
      <c r="BV726" t="str">
        <f>""</f>
        <v/>
      </c>
      <c r="BW726" t="s">
        <v>131</v>
      </c>
      <c r="BX726" t="str">
        <f>""</f>
        <v/>
      </c>
      <c r="BY726" t="str">
        <f>""</f>
        <v/>
      </c>
      <c r="BZ726" t="str">
        <f>""</f>
        <v/>
      </c>
      <c r="CA726" t="str">
        <f>""</f>
        <v/>
      </c>
      <c r="CB726" t="s">
        <v>131</v>
      </c>
      <c r="CF726" t="s">
        <v>131</v>
      </c>
      <c r="CH726" t="str">
        <f>""</f>
        <v/>
      </c>
      <c r="CI726" t="s">
        <v>131</v>
      </c>
      <c r="CK726" t="s">
        <v>131</v>
      </c>
      <c r="CL726" t="str">
        <f>""</f>
        <v/>
      </c>
      <c r="CM726" t="str">
        <f>""</f>
        <v/>
      </c>
      <c r="CN726" t="str">
        <f>""</f>
        <v/>
      </c>
      <c r="CO726" t="str">
        <f>""</f>
        <v/>
      </c>
      <c r="CP726" t="str">
        <f>"47-3011.00"</f>
        <v>47-3011.00</v>
      </c>
      <c r="CQ726" t="s">
        <v>4519</v>
      </c>
      <c r="CR726" t="s">
        <v>918</v>
      </c>
      <c r="CS726" t="s">
        <v>131</v>
      </c>
      <c r="CU726" t="s">
        <v>4516</v>
      </c>
      <c r="CW726" t="s">
        <v>3561</v>
      </c>
      <c r="CX726" t="s">
        <v>643</v>
      </c>
      <c r="CZ726" s="3" t="str">
        <f>"30044"</f>
        <v>30044</v>
      </c>
      <c r="DA726" t="s">
        <v>131</v>
      </c>
      <c r="DB726" t="str">
        <f>"47-2061"</f>
        <v>47-2061</v>
      </c>
      <c r="DC726" t="s">
        <v>393</v>
      </c>
      <c r="DD726" t="s">
        <v>134</v>
      </c>
      <c r="DE726" t="s">
        <v>134</v>
      </c>
      <c r="DF726" t="str">
        <f>""</f>
        <v/>
      </c>
      <c r="DH726" s="6">
        <v>16.36</v>
      </c>
      <c r="DI726" t="s">
        <v>344</v>
      </c>
      <c r="DK726" t="s">
        <v>345</v>
      </c>
      <c r="DR726" t="s">
        <v>2218</v>
      </c>
      <c r="DS726" s="6">
        <v>16.36</v>
      </c>
      <c r="DT726" t="s">
        <v>424</v>
      </c>
      <c r="DU726" s="1">
        <v>44368</v>
      </c>
      <c r="DV726" s="1">
        <v>44457</v>
      </c>
    </row>
    <row r="727" spans="1:126" ht="15" customHeight="1" x14ac:dyDescent="0.35">
      <c r="A727" t="s">
        <v>8870</v>
      </c>
      <c r="B727" t="s">
        <v>318</v>
      </c>
      <c r="C727" s="1">
        <v>44340</v>
      </c>
      <c r="D727" s="1">
        <v>44368</v>
      </c>
      <c r="H727" t="s">
        <v>319</v>
      </c>
      <c r="I727" t="s">
        <v>4846</v>
      </c>
      <c r="J727" t="s">
        <v>4847</v>
      </c>
      <c r="K727" t="s">
        <v>134</v>
      </c>
      <c r="L727" t="s">
        <v>2097</v>
      </c>
      <c r="M727" t="s">
        <v>4201</v>
      </c>
      <c r="N727" t="s">
        <v>134</v>
      </c>
      <c r="O727" t="s">
        <v>4205</v>
      </c>
      <c r="P727" t="s">
        <v>194</v>
      </c>
      <c r="Q727" s="3">
        <v>34990</v>
      </c>
      <c r="R727" t="s">
        <v>128</v>
      </c>
      <c r="S727" t="s">
        <v>134</v>
      </c>
      <c r="T727" s="4">
        <v>17723368951</v>
      </c>
      <c r="V727" t="s">
        <v>8871</v>
      </c>
      <c r="W727" t="s">
        <v>8872</v>
      </c>
      <c r="X727" t="s">
        <v>134</v>
      </c>
      <c r="Y727" t="s">
        <v>4848</v>
      </c>
      <c r="AA727" t="s">
        <v>4202</v>
      </c>
      <c r="AB727" t="s">
        <v>195</v>
      </c>
      <c r="AC727" s="3" t="str">
        <f>"34990"</f>
        <v>34990</v>
      </c>
      <c r="AD727" t="s">
        <v>128</v>
      </c>
      <c r="AE727" t="s">
        <v>134</v>
      </c>
      <c r="AF727" s="4">
        <v>17723368951</v>
      </c>
      <c r="AH727" t="str">
        <f>"713910"</f>
        <v>713910</v>
      </c>
      <c r="AI727" t="s">
        <v>167</v>
      </c>
      <c r="AX727" t="s">
        <v>131</v>
      </c>
      <c r="AY727" t="s">
        <v>131</v>
      </c>
      <c r="AZ727" t="s">
        <v>131</v>
      </c>
      <c r="BA727" t="s">
        <v>131</v>
      </c>
      <c r="BB727" t="s">
        <v>131</v>
      </c>
      <c r="BC727" t="s">
        <v>131</v>
      </c>
      <c r="BD727" t="s">
        <v>131</v>
      </c>
      <c r="BE727" t="s">
        <v>132</v>
      </c>
      <c r="BH727" t="s">
        <v>8873</v>
      </c>
      <c r="BI727" t="s">
        <v>131</v>
      </c>
      <c r="BL727" t="s">
        <v>167</v>
      </c>
      <c r="BO727" t="s">
        <v>131</v>
      </c>
      <c r="BP727" t="s">
        <v>134</v>
      </c>
      <c r="BQ727" t="s">
        <v>131</v>
      </c>
      <c r="BS727" t="str">
        <f t="shared" si="50"/>
        <v>N/A</v>
      </c>
      <c r="BT727" t="s">
        <v>131</v>
      </c>
      <c r="BV727" t="str">
        <f>""</f>
        <v/>
      </c>
      <c r="BW727" t="s">
        <v>131</v>
      </c>
      <c r="BX727" t="str">
        <f>""</f>
        <v/>
      </c>
      <c r="BY727" t="str">
        <f>""</f>
        <v/>
      </c>
      <c r="BZ727" t="str">
        <f>""</f>
        <v/>
      </c>
      <c r="CA727" t="str">
        <f>""</f>
        <v/>
      </c>
      <c r="CB727" t="s">
        <v>131</v>
      </c>
      <c r="CF727" t="s">
        <v>131</v>
      </c>
      <c r="CH727" t="str">
        <f>""</f>
        <v/>
      </c>
      <c r="CI727" t="s">
        <v>131</v>
      </c>
      <c r="CK727" t="s">
        <v>131</v>
      </c>
      <c r="CL727" t="str">
        <f>""</f>
        <v/>
      </c>
      <c r="CM727" t="str">
        <f>""</f>
        <v/>
      </c>
      <c r="CN727" t="str">
        <f>""</f>
        <v/>
      </c>
      <c r="CO727" t="str">
        <f>""</f>
        <v/>
      </c>
      <c r="CP727" t="str">
        <f>"37-3011.00"</f>
        <v>37-3011.00</v>
      </c>
      <c r="CQ727" t="s">
        <v>920</v>
      </c>
      <c r="CR727" t="s">
        <v>8874</v>
      </c>
      <c r="CS727" t="s">
        <v>131</v>
      </c>
      <c r="CU727" t="s">
        <v>4848</v>
      </c>
      <c r="CW727" t="s">
        <v>4202</v>
      </c>
      <c r="CX727" t="s">
        <v>195</v>
      </c>
      <c r="CZ727" s="3" t="str">
        <f>"34990"</f>
        <v>34990</v>
      </c>
      <c r="DA727" t="s">
        <v>131</v>
      </c>
      <c r="DB727" t="str">
        <f>"37-3011"</f>
        <v>37-3011</v>
      </c>
      <c r="DC727" t="s">
        <v>920</v>
      </c>
      <c r="DD727" t="s">
        <v>134</v>
      </c>
      <c r="DE727" t="s">
        <v>134</v>
      </c>
      <c r="DF727" t="str">
        <f>""</f>
        <v/>
      </c>
      <c r="DH727" s="6">
        <v>14.89</v>
      </c>
      <c r="DI727" t="s">
        <v>344</v>
      </c>
      <c r="DK727" t="s">
        <v>345</v>
      </c>
      <c r="DR727" t="s">
        <v>4740</v>
      </c>
      <c r="DS727" s="6">
        <v>14.89</v>
      </c>
      <c r="DT727" t="s">
        <v>424</v>
      </c>
      <c r="DU727" s="1">
        <v>44368</v>
      </c>
      <c r="DV727" s="1">
        <v>44457</v>
      </c>
    </row>
    <row r="728" spans="1:126" ht="15" customHeight="1" x14ac:dyDescent="0.35">
      <c r="A728" t="s">
        <v>19469</v>
      </c>
      <c r="B728" t="s">
        <v>318</v>
      </c>
      <c r="C728" s="1">
        <v>44340</v>
      </c>
      <c r="D728" s="1">
        <v>44368</v>
      </c>
      <c r="H728" t="s">
        <v>319</v>
      </c>
      <c r="I728" t="s">
        <v>4193</v>
      </c>
      <c r="J728" t="s">
        <v>4194</v>
      </c>
      <c r="K728" t="s">
        <v>1253</v>
      </c>
      <c r="L728" t="s">
        <v>4195</v>
      </c>
      <c r="M728" t="s">
        <v>4196</v>
      </c>
      <c r="O728" t="s">
        <v>4197</v>
      </c>
      <c r="P728" t="s">
        <v>194</v>
      </c>
      <c r="Q728" s="3" t="s">
        <v>4198</v>
      </c>
      <c r="R728" t="s">
        <v>128</v>
      </c>
      <c r="S728" t="s">
        <v>194</v>
      </c>
      <c r="T728" s="4">
        <v>17723368951</v>
      </c>
      <c r="V728" t="s">
        <v>4199</v>
      </c>
      <c r="W728" t="s">
        <v>4200</v>
      </c>
      <c r="Y728" t="s">
        <v>19470</v>
      </c>
      <c r="AA728" t="s">
        <v>4202</v>
      </c>
      <c r="AB728" t="s">
        <v>195</v>
      </c>
      <c r="AC728" s="3" t="str">
        <f>"34990"</f>
        <v>34990</v>
      </c>
      <c r="AD728" t="s">
        <v>128</v>
      </c>
      <c r="AF728" s="4">
        <v>17723368951</v>
      </c>
      <c r="AH728" t="str">
        <f>"713910"</f>
        <v>713910</v>
      </c>
      <c r="AI728" t="s">
        <v>167</v>
      </c>
      <c r="AX728" t="s">
        <v>131</v>
      </c>
      <c r="AY728" t="s">
        <v>131</v>
      </c>
      <c r="AZ728" t="s">
        <v>131</v>
      </c>
      <c r="BA728" t="s">
        <v>131</v>
      </c>
      <c r="BB728" t="s">
        <v>131</v>
      </c>
      <c r="BC728" t="s">
        <v>131</v>
      </c>
      <c r="BD728" t="s">
        <v>131</v>
      </c>
      <c r="BE728" t="s">
        <v>132</v>
      </c>
      <c r="BH728" t="s">
        <v>19471</v>
      </c>
      <c r="BI728" t="s">
        <v>131</v>
      </c>
      <c r="BL728" t="s">
        <v>167</v>
      </c>
      <c r="BO728" t="s">
        <v>131</v>
      </c>
      <c r="BP728" t="s">
        <v>134</v>
      </c>
      <c r="BQ728" t="s">
        <v>131</v>
      </c>
      <c r="BS728" t="str">
        <f t="shared" si="50"/>
        <v>N/A</v>
      </c>
      <c r="BT728" t="s">
        <v>131</v>
      </c>
      <c r="BV728" t="str">
        <f>""</f>
        <v/>
      </c>
      <c r="BW728" t="s">
        <v>131</v>
      </c>
      <c r="BX728" t="str">
        <f>""</f>
        <v/>
      </c>
      <c r="BY728" t="str">
        <f>""</f>
        <v/>
      </c>
      <c r="BZ728" t="str">
        <f>""</f>
        <v/>
      </c>
      <c r="CA728" t="str">
        <f>""</f>
        <v/>
      </c>
      <c r="CB728" t="s">
        <v>131</v>
      </c>
      <c r="CF728" t="s">
        <v>131</v>
      </c>
      <c r="CH728" t="str">
        <f>""</f>
        <v/>
      </c>
      <c r="CI728" t="s">
        <v>131</v>
      </c>
      <c r="CK728" t="s">
        <v>131</v>
      </c>
      <c r="CL728" t="str">
        <f>""</f>
        <v/>
      </c>
      <c r="CM728" t="str">
        <f>""</f>
        <v/>
      </c>
      <c r="CN728" t="str">
        <f>""</f>
        <v/>
      </c>
      <c r="CO728" t="str">
        <f>""</f>
        <v/>
      </c>
      <c r="CP728" t="str">
        <f>"37-3011.00"</f>
        <v>37-3011.00</v>
      </c>
      <c r="CQ728" t="s">
        <v>920</v>
      </c>
      <c r="CR728" t="s">
        <v>19472</v>
      </c>
      <c r="CS728" t="s">
        <v>131</v>
      </c>
      <c r="CU728" t="s">
        <v>4201</v>
      </c>
      <c r="CW728" t="s">
        <v>4205</v>
      </c>
      <c r="CX728" t="s">
        <v>195</v>
      </c>
      <c r="CZ728" s="3" t="str">
        <f>"34990"</f>
        <v>34990</v>
      </c>
      <c r="DA728" t="s">
        <v>131</v>
      </c>
      <c r="DB728" t="str">
        <f>"37-3011"</f>
        <v>37-3011</v>
      </c>
      <c r="DC728" t="s">
        <v>920</v>
      </c>
      <c r="DD728" t="s">
        <v>134</v>
      </c>
      <c r="DE728" t="s">
        <v>134</v>
      </c>
      <c r="DF728" t="str">
        <f>""</f>
        <v/>
      </c>
      <c r="DH728" s="6">
        <v>14.89</v>
      </c>
      <c r="DI728" t="s">
        <v>344</v>
      </c>
      <c r="DK728" t="s">
        <v>345</v>
      </c>
      <c r="DR728" t="s">
        <v>4740</v>
      </c>
      <c r="DS728" s="6">
        <v>14.89</v>
      </c>
      <c r="DT728" t="s">
        <v>424</v>
      </c>
      <c r="DU728" s="1">
        <v>44368</v>
      </c>
      <c r="DV728" s="1">
        <v>44457</v>
      </c>
    </row>
    <row r="729" spans="1:126" ht="15" customHeight="1" x14ac:dyDescent="0.35">
      <c r="A729" t="s">
        <v>19857</v>
      </c>
      <c r="B729" t="s">
        <v>318</v>
      </c>
      <c r="C729" s="1">
        <v>44340</v>
      </c>
      <c r="D729" s="1">
        <v>44369</v>
      </c>
      <c r="H729" t="s">
        <v>319</v>
      </c>
      <c r="I729" t="s">
        <v>19858</v>
      </c>
      <c r="J729" t="s">
        <v>1060</v>
      </c>
      <c r="K729" t="s">
        <v>684</v>
      </c>
      <c r="L729" t="s">
        <v>18415</v>
      </c>
      <c r="M729" t="s">
        <v>19859</v>
      </c>
      <c r="O729" t="s">
        <v>9454</v>
      </c>
      <c r="P729" t="s">
        <v>811</v>
      </c>
      <c r="Q729" s="3">
        <v>29730</v>
      </c>
      <c r="R729" t="s">
        <v>128</v>
      </c>
      <c r="T729" s="4">
        <v>18033292932</v>
      </c>
      <c r="V729" t="s">
        <v>19860</v>
      </c>
      <c r="W729" t="s">
        <v>19861</v>
      </c>
      <c r="Y729" t="s">
        <v>19859</v>
      </c>
      <c r="AA729" t="s">
        <v>9454</v>
      </c>
      <c r="AB729" t="s">
        <v>812</v>
      </c>
      <c r="AC729" s="3" t="str">
        <f>"29730"</f>
        <v>29730</v>
      </c>
      <c r="AD729" t="s">
        <v>128</v>
      </c>
      <c r="AF729" s="4">
        <v>18033292932</v>
      </c>
      <c r="AH729" t="str">
        <f>"33712"</f>
        <v>33712</v>
      </c>
      <c r="AI729" t="s">
        <v>130</v>
      </c>
      <c r="AJ729" t="s">
        <v>1604</v>
      </c>
      <c r="AK729" t="s">
        <v>4068</v>
      </c>
      <c r="AL729" t="s">
        <v>1198</v>
      </c>
      <c r="AM729" t="s">
        <v>10932</v>
      </c>
      <c r="AN729" t="s">
        <v>4292</v>
      </c>
      <c r="AO729" t="s">
        <v>600</v>
      </c>
      <c r="AP729" t="s">
        <v>594</v>
      </c>
      <c r="AQ729" s="5">
        <v>28217</v>
      </c>
      <c r="AR729" t="s">
        <v>128</v>
      </c>
      <c r="AT729" s="4">
        <v>17049002925</v>
      </c>
      <c r="AV729" t="s">
        <v>10933</v>
      </c>
      <c r="AW729" t="s">
        <v>12394</v>
      </c>
      <c r="AX729" t="s">
        <v>131</v>
      </c>
      <c r="AY729" t="s">
        <v>131</v>
      </c>
      <c r="AZ729" t="s">
        <v>131</v>
      </c>
      <c r="BA729" t="s">
        <v>131</v>
      </c>
      <c r="BB729" t="s">
        <v>131</v>
      </c>
      <c r="BC729" t="s">
        <v>131</v>
      </c>
      <c r="BD729" t="s">
        <v>131</v>
      </c>
      <c r="BE729" t="s">
        <v>132</v>
      </c>
      <c r="BH729" t="s">
        <v>19862</v>
      </c>
      <c r="BI729" t="s">
        <v>131</v>
      </c>
      <c r="BL729" t="s">
        <v>167</v>
      </c>
      <c r="BO729" t="s">
        <v>131</v>
      </c>
      <c r="BP729" t="s">
        <v>134</v>
      </c>
      <c r="BQ729" t="s">
        <v>131</v>
      </c>
      <c r="BS729" t="str">
        <f t="shared" ref="BS729:BS740" si="54">"N/A"</f>
        <v>N/A</v>
      </c>
      <c r="BT729" t="s">
        <v>135</v>
      </c>
      <c r="BU729">
        <v>3</v>
      </c>
      <c r="BV729" t="str">
        <f>"Sewing machine operator or similar occupation."</f>
        <v>Sewing machine operator or similar occupation.</v>
      </c>
      <c r="BW729" t="s">
        <v>135</v>
      </c>
      <c r="BX729" t="str">
        <f>""</f>
        <v/>
      </c>
      <c r="BY729" t="str">
        <f>""</f>
        <v/>
      </c>
      <c r="BZ729" t="str">
        <f>""</f>
        <v/>
      </c>
      <c r="CA729" t="str">
        <f>"Must have at least 3 months prior full-time employment experience sewing garments, pillows, or other similar products in a manufacturing setting within the 5 years preceding the start date. Must be able to obtain a state Driver's License.
"</f>
        <v xml:space="preserve">Must have at least 3 months prior full-time employment experience sewing garments, pillows, or other similar products in a manufacturing setting within the 5 years preceding the start date. Must be able to obtain a state Driver's License.
</v>
      </c>
      <c r="CB729" t="s">
        <v>131</v>
      </c>
      <c r="CF729" t="s">
        <v>131</v>
      </c>
      <c r="CH729" t="str">
        <f>""</f>
        <v/>
      </c>
      <c r="CI729" t="s">
        <v>131</v>
      </c>
      <c r="CK729" t="s">
        <v>131</v>
      </c>
      <c r="CL729" t="str">
        <f>""</f>
        <v/>
      </c>
      <c r="CM729" t="str">
        <f>""</f>
        <v/>
      </c>
      <c r="CN729" t="str">
        <f>""</f>
        <v/>
      </c>
      <c r="CO729" t="str">
        <f>""</f>
        <v/>
      </c>
      <c r="CP729" t="str">
        <f>"51-6031.00"</f>
        <v>51-6031.00</v>
      </c>
      <c r="CQ729" t="s">
        <v>1339</v>
      </c>
      <c r="CR729" t="s">
        <v>18415</v>
      </c>
      <c r="CS729" t="s">
        <v>131</v>
      </c>
      <c r="CU729" t="s">
        <v>19859</v>
      </c>
      <c r="CW729" t="s">
        <v>9454</v>
      </c>
      <c r="CX729" t="s">
        <v>812</v>
      </c>
      <c r="CZ729" s="3" t="str">
        <f>"29730"</f>
        <v>29730</v>
      </c>
      <c r="DA729" t="s">
        <v>131</v>
      </c>
      <c r="DB729" t="str">
        <f>"51-6031"</f>
        <v>51-6031</v>
      </c>
      <c r="DC729" t="s">
        <v>1339</v>
      </c>
      <c r="DD729" t="s">
        <v>134</v>
      </c>
      <c r="DE729" t="s">
        <v>134</v>
      </c>
      <c r="DF729" t="str">
        <f>""</f>
        <v/>
      </c>
      <c r="DH729" s="6">
        <v>13.23</v>
      </c>
      <c r="DI729" t="s">
        <v>344</v>
      </c>
      <c r="DK729" t="s">
        <v>345</v>
      </c>
      <c r="DS729" s="6">
        <v>13.23</v>
      </c>
      <c r="DT729" t="s">
        <v>424</v>
      </c>
      <c r="DU729" s="1">
        <v>44369</v>
      </c>
      <c r="DV729" s="1">
        <v>44458</v>
      </c>
    </row>
    <row r="730" spans="1:126" ht="15" customHeight="1" x14ac:dyDescent="0.35">
      <c r="A730" t="s">
        <v>17795</v>
      </c>
      <c r="B730" t="s">
        <v>318</v>
      </c>
      <c r="C730" s="1">
        <v>44340</v>
      </c>
      <c r="D730" s="1">
        <v>44369</v>
      </c>
      <c r="H730" t="s">
        <v>319</v>
      </c>
      <c r="I730" t="s">
        <v>3816</v>
      </c>
      <c r="J730" t="s">
        <v>1813</v>
      </c>
      <c r="L730" t="s">
        <v>10924</v>
      </c>
      <c r="M730" t="s">
        <v>17796</v>
      </c>
      <c r="O730" t="s">
        <v>10926</v>
      </c>
      <c r="P730" t="s">
        <v>593</v>
      </c>
      <c r="Q730" s="3">
        <v>28604</v>
      </c>
      <c r="R730" t="s">
        <v>128</v>
      </c>
      <c r="T730" s="4">
        <v>18288985421</v>
      </c>
      <c r="V730" t="s">
        <v>10927</v>
      </c>
      <c r="W730" t="s">
        <v>10928</v>
      </c>
      <c r="X730" t="s">
        <v>10929</v>
      </c>
      <c r="Y730" t="s">
        <v>10930</v>
      </c>
      <c r="AA730" t="s">
        <v>10931</v>
      </c>
      <c r="AB730" t="s">
        <v>594</v>
      </c>
      <c r="AC730" s="3" t="str">
        <f>"28604"</f>
        <v>28604</v>
      </c>
      <c r="AD730" t="s">
        <v>128</v>
      </c>
      <c r="AF730" s="4">
        <v>18288984521</v>
      </c>
      <c r="AH730" t="str">
        <f>"7139"</f>
        <v>7139</v>
      </c>
      <c r="AI730" t="s">
        <v>130</v>
      </c>
      <c r="AJ730" t="s">
        <v>1604</v>
      </c>
      <c r="AK730" t="s">
        <v>4068</v>
      </c>
      <c r="AL730" t="s">
        <v>1198</v>
      </c>
      <c r="AM730" t="s">
        <v>10932</v>
      </c>
      <c r="AN730" t="s">
        <v>4292</v>
      </c>
      <c r="AO730" t="s">
        <v>600</v>
      </c>
      <c r="AP730" t="s">
        <v>594</v>
      </c>
      <c r="AQ730" s="5">
        <v>28217</v>
      </c>
      <c r="AR730" t="s">
        <v>128</v>
      </c>
      <c r="AT730" s="4">
        <v>17049002925</v>
      </c>
      <c r="AV730" t="s">
        <v>10933</v>
      </c>
      <c r="AW730" t="s">
        <v>12394</v>
      </c>
      <c r="AX730" t="s">
        <v>131</v>
      </c>
      <c r="AY730" t="s">
        <v>131</v>
      </c>
      <c r="AZ730" t="s">
        <v>131</v>
      </c>
      <c r="BA730" t="s">
        <v>131</v>
      </c>
      <c r="BB730" t="s">
        <v>131</v>
      </c>
      <c r="BC730" t="s">
        <v>131</v>
      </c>
      <c r="BD730" t="s">
        <v>131</v>
      </c>
      <c r="BE730" t="s">
        <v>132</v>
      </c>
      <c r="BH730" t="s">
        <v>5105</v>
      </c>
      <c r="BI730" t="s">
        <v>131</v>
      </c>
      <c r="BL730" t="s">
        <v>167</v>
      </c>
      <c r="BO730" t="s">
        <v>131</v>
      </c>
      <c r="BP730" t="s">
        <v>134</v>
      </c>
      <c r="BQ730" t="s">
        <v>131</v>
      </c>
      <c r="BS730" t="str">
        <f t="shared" si="54"/>
        <v>N/A</v>
      </c>
      <c r="BT730" t="s">
        <v>131</v>
      </c>
      <c r="BV730" t="str">
        <f>""</f>
        <v/>
      </c>
      <c r="BW730" t="s">
        <v>135</v>
      </c>
      <c r="BX730" t="str">
        <f>""</f>
        <v/>
      </c>
      <c r="BY730" t="str">
        <f>""</f>
        <v/>
      </c>
      <c r="BZ730" t="str">
        <f>""</f>
        <v/>
      </c>
      <c r="CA730" t="str">
        <f>"Must be able to lift at least 25 pounds. "</f>
        <v xml:space="preserve">Must be able to lift at least 25 pounds. </v>
      </c>
      <c r="CB730" t="s">
        <v>131</v>
      </c>
      <c r="CF730" t="s">
        <v>131</v>
      </c>
      <c r="CH730" t="str">
        <f>""</f>
        <v/>
      </c>
      <c r="CI730" t="s">
        <v>131</v>
      </c>
      <c r="CK730" t="s">
        <v>131</v>
      </c>
      <c r="CL730" t="str">
        <f>""</f>
        <v/>
      </c>
      <c r="CM730" t="str">
        <f>""</f>
        <v/>
      </c>
      <c r="CN730" t="str">
        <f>""</f>
        <v/>
      </c>
      <c r="CO730" t="str">
        <f>""</f>
        <v/>
      </c>
      <c r="CP730" t="str">
        <f>"35-3022.00"</f>
        <v>35-3022.00</v>
      </c>
      <c r="CQ730" t="s">
        <v>5154</v>
      </c>
      <c r="CR730" t="s">
        <v>10936</v>
      </c>
      <c r="CS730" t="s">
        <v>131</v>
      </c>
      <c r="CU730" t="s">
        <v>10930</v>
      </c>
      <c r="CW730" t="s">
        <v>10931</v>
      </c>
      <c r="CX730" t="s">
        <v>594</v>
      </c>
      <c r="CZ730" s="3" t="str">
        <f>"28604"</f>
        <v>28604</v>
      </c>
      <c r="DA730" t="s">
        <v>131</v>
      </c>
      <c r="DB730" t="str">
        <f>"35-3022"</f>
        <v>35-3022</v>
      </c>
      <c r="DC730" t="s">
        <v>5154</v>
      </c>
      <c r="DD730" t="s">
        <v>134</v>
      </c>
      <c r="DE730" t="s">
        <v>134</v>
      </c>
      <c r="DF730" t="str">
        <f>""</f>
        <v/>
      </c>
      <c r="DH730" s="6">
        <v>9.9499999999999993</v>
      </c>
      <c r="DI730" t="s">
        <v>344</v>
      </c>
      <c r="DK730" t="s">
        <v>345</v>
      </c>
      <c r="DS730" s="6">
        <v>9.9499999999999993</v>
      </c>
      <c r="DT730" t="s">
        <v>424</v>
      </c>
      <c r="DU730" s="1">
        <v>44369</v>
      </c>
      <c r="DV730" s="1">
        <v>44458</v>
      </c>
    </row>
    <row r="731" spans="1:126" ht="15" customHeight="1" x14ac:dyDescent="0.35">
      <c r="A731" t="s">
        <v>10923</v>
      </c>
      <c r="B731" t="s">
        <v>318</v>
      </c>
      <c r="C731" s="1">
        <v>44340</v>
      </c>
      <c r="D731" s="1">
        <v>44369</v>
      </c>
      <c r="H731" t="s">
        <v>319</v>
      </c>
      <c r="I731" t="s">
        <v>3816</v>
      </c>
      <c r="J731" t="s">
        <v>1813</v>
      </c>
      <c r="L731" t="s">
        <v>10924</v>
      </c>
      <c r="M731" t="s">
        <v>10925</v>
      </c>
      <c r="O731" t="s">
        <v>10926</v>
      </c>
      <c r="P731" t="s">
        <v>593</v>
      </c>
      <c r="Q731" s="3">
        <v>28604</v>
      </c>
      <c r="R731" t="s">
        <v>128</v>
      </c>
      <c r="T731" s="4">
        <v>18288984521</v>
      </c>
      <c r="V731" t="s">
        <v>10927</v>
      </c>
      <c r="W731" t="s">
        <v>10928</v>
      </c>
      <c r="X731" t="s">
        <v>10929</v>
      </c>
      <c r="Y731" t="s">
        <v>10930</v>
      </c>
      <c r="AA731" t="s">
        <v>10931</v>
      </c>
      <c r="AB731" t="s">
        <v>594</v>
      </c>
      <c r="AC731" s="3" t="str">
        <f>"28604"</f>
        <v>28604</v>
      </c>
      <c r="AD731" t="s">
        <v>128</v>
      </c>
      <c r="AF731" s="4">
        <v>18288984521</v>
      </c>
      <c r="AH731" t="str">
        <f>"7139"</f>
        <v>7139</v>
      </c>
      <c r="AI731" t="s">
        <v>130</v>
      </c>
      <c r="AJ731" t="s">
        <v>1604</v>
      </c>
      <c r="AK731" t="s">
        <v>4068</v>
      </c>
      <c r="AL731" t="s">
        <v>1198</v>
      </c>
      <c r="AM731" t="s">
        <v>10932</v>
      </c>
      <c r="AN731" t="s">
        <v>4292</v>
      </c>
      <c r="AO731" t="s">
        <v>600</v>
      </c>
      <c r="AP731" t="s">
        <v>594</v>
      </c>
      <c r="AQ731" s="5">
        <v>28217</v>
      </c>
      <c r="AR731" t="s">
        <v>128</v>
      </c>
      <c r="AT731" s="4">
        <v>17049002925</v>
      </c>
      <c r="AV731" t="s">
        <v>10933</v>
      </c>
      <c r="AW731" t="s">
        <v>10934</v>
      </c>
      <c r="AX731" t="s">
        <v>131</v>
      </c>
      <c r="AY731" t="s">
        <v>131</v>
      </c>
      <c r="AZ731" t="s">
        <v>131</v>
      </c>
      <c r="BA731" t="s">
        <v>131</v>
      </c>
      <c r="BB731" t="s">
        <v>131</v>
      </c>
      <c r="BC731" t="s">
        <v>131</v>
      </c>
      <c r="BD731" t="s">
        <v>131</v>
      </c>
      <c r="BE731" t="s">
        <v>132</v>
      </c>
      <c r="BH731" t="s">
        <v>10935</v>
      </c>
      <c r="BI731" t="s">
        <v>131</v>
      </c>
      <c r="BL731" t="s">
        <v>167</v>
      </c>
      <c r="BO731" t="s">
        <v>131</v>
      </c>
      <c r="BP731" t="s">
        <v>134</v>
      </c>
      <c r="BQ731" t="s">
        <v>131</v>
      </c>
      <c r="BS731" t="str">
        <f t="shared" si="54"/>
        <v>N/A</v>
      </c>
      <c r="BT731" t="s">
        <v>131</v>
      </c>
      <c r="BV731" t="str">
        <f>""</f>
        <v/>
      </c>
      <c r="BW731" t="s">
        <v>135</v>
      </c>
      <c r="BX731" t="str">
        <f>""</f>
        <v/>
      </c>
      <c r="BY731" t="str">
        <f>""</f>
        <v/>
      </c>
      <c r="BZ731" t="str">
        <f>""</f>
        <v/>
      </c>
      <c r="CA731" t="str">
        <f>"Must be able to list at least 25 pounds. "</f>
        <v xml:space="preserve">Must be able to list at least 25 pounds. </v>
      </c>
      <c r="CB731" t="s">
        <v>131</v>
      </c>
      <c r="CF731" t="s">
        <v>131</v>
      </c>
      <c r="CH731" t="str">
        <f>""</f>
        <v/>
      </c>
      <c r="CI731" t="s">
        <v>131</v>
      </c>
      <c r="CK731" t="s">
        <v>131</v>
      </c>
      <c r="CL731" t="str">
        <f>""</f>
        <v/>
      </c>
      <c r="CM731" t="str">
        <f>""</f>
        <v/>
      </c>
      <c r="CN731" t="str">
        <f>""</f>
        <v/>
      </c>
      <c r="CO731" t="str">
        <f>""</f>
        <v/>
      </c>
      <c r="CP731" t="str">
        <f>"39-3091.00"</f>
        <v>39-3091.00</v>
      </c>
      <c r="CQ731" t="s">
        <v>1374</v>
      </c>
      <c r="CR731" t="s">
        <v>10936</v>
      </c>
      <c r="CS731" t="s">
        <v>131</v>
      </c>
      <c r="CU731" t="s">
        <v>10930</v>
      </c>
      <c r="CW731" t="s">
        <v>10931</v>
      </c>
      <c r="CX731" t="s">
        <v>594</v>
      </c>
      <c r="CZ731" s="3" t="str">
        <f>"28604"</f>
        <v>28604</v>
      </c>
      <c r="DA731" t="s">
        <v>131</v>
      </c>
      <c r="DB731" t="str">
        <f>"39-3091"</f>
        <v>39-3091</v>
      </c>
      <c r="DC731" t="s">
        <v>1374</v>
      </c>
      <c r="DD731" t="s">
        <v>134</v>
      </c>
      <c r="DE731" t="s">
        <v>134</v>
      </c>
      <c r="DF731" t="str">
        <f>""</f>
        <v/>
      </c>
      <c r="DH731" s="6">
        <v>10.82</v>
      </c>
      <c r="DI731" t="s">
        <v>344</v>
      </c>
      <c r="DK731" t="s">
        <v>345</v>
      </c>
      <c r="DS731" s="6">
        <v>10.82</v>
      </c>
      <c r="DT731" t="s">
        <v>424</v>
      </c>
      <c r="DU731" s="1">
        <v>44369</v>
      </c>
      <c r="DV731" s="1">
        <v>44458</v>
      </c>
    </row>
    <row r="732" spans="1:126" ht="15" customHeight="1" x14ac:dyDescent="0.35">
      <c r="A732" t="s">
        <v>12984</v>
      </c>
      <c r="B732" t="s">
        <v>318</v>
      </c>
      <c r="C732" s="1">
        <v>44340</v>
      </c>
      <c r="D732" s="1">
        <v>44368</v>
      </c>
      <c r="H732" t="s">
        <v>319</v>
      </c>
      <c r="I732" t="s">
        <v>12985</v>
      </c>
      <c r="J732" t="s">
        <v>8804</v>
      </c>
      <c r="K732" t="s">
        <v>268</v>
      </c>
      <c r="L732" t="s">
        <v>1105</v>
      </c>
      <c r="M732" t="s">
        <v>12986</v>
      </c>
      <c r="N732" t="s">
        <v>788</v>
      </c>
      <c r="O732" t="s">
        <v>11240</v>
      </c>
      <c r="P732" t="s">
        <v>1217</v>
      </c>
      <c r="Q732" s="3">
        <v>35004</v>
      </c>
      <c r="R732" t="s">
        <v>128</v>
      </c>
      <c r="T732" s="4">
        <v>12053520421</v>
      </c>
      <c r="V732" t="s">
        <v>12987</v>
      </c>
      <c r="W732" t="s">
        <v>12988</v>
      </c>
      <c r="X732" t="s">
        <v>12988</v>
      </c>
      <c r="Y732" t="s">
        <v>12989</v>
      </c>
      <c r="AA732" t="s">
        <v>11240</v>
      </c>
      <c r="AB732" t="s">
        <v>1218</v>
      </c>
      <c r="AC732" s="3" t="str">
        <f>"35004"</f>
        <v>35004</v>
      </c>
      <c r="AD732" t="s">
        <v>128</v>
      </c>
      <c r="AF732" s="4">
        <v>12054678376</v>
      </c>
      <c r="AH732" t="str">
        <f>"813910"</f>
        <v>813910</v>
      </c>
      <c r="AI732" t="s">
        <v>167</v>
      </c>
      <c r="AX732" t="s">
        <v>131</v>
      </c>
      <c r="AY732" t="s">
        <v>131</v>
      </c>
      <c r="AZ732" t="s">
        <v>131</v>
      </c>
      <c r="BA732" t="s">
        <v>131</v>
      </c>
      <c r="BB732" t="s">
        <v>131</v>
      </c>
      <c r="BC732" t="s">
        <v>131</v>
      </c>
      <c r="BD732" t="s">
        <v>131</v>
      </c>
      <c r="BE732" t="s">
        <v>132</v>
      </c>
      <c r="BH732" t="s">
        <v>12990</v>
      </c>
      <c r="BI732" t="s">
        <v>131</v>
      </c>
      <c r="BL732" t="s">
        <v>401</v>
      </c>
      <c r="BO732" t="s">
        <v>131</v>
      </c>
      <c r="BP732" t="s">
        <v>134</v>
      </c>
      <c r="BQ732" t="s">
        <v>131</v>
      </c>
      <c r="BS732" t="str">
        <f t="shared" si="54"/>
        <v>N/A</v>
      </c>
      <c r="BT732" t="s">
        <v>131</v>
      </c>
      <c r="BV732" t="str">
        <f>""</f>
        <v/>
      </c>
      <c r="BW732" t="s">
        <v>135</v>
      </c>
      <c r="BX732" t="str">
        <f>""</f>
        <v/>
      </c>
      <c r="BY732" t="str">
        <f>"Tagalog"</f>
        <v>Tagalog</v>
      </c>
      <c r="BZ732" t="str">
        <f>""</f>
        <v/>
      </c>
      <c r="CA732" t="str">
        <f>""</f>
        <v/>
      </c>
      <c r="CB732" t="s">
        <v>131</v>
      </c>
      <c r="CF732" t="s">
        <v>131</v>
      </c>
      <c r="CH732" t="str">
        <f>""</f>
        <v/>
      </c>
      <c r="CI732" t="s">
        <v>131</v>
      </c>
      <c r="CK732" t="s">
        <v>131</v>
      </c>
      <c r="CL732" t="str">
        <f>""</f>
        <v/>
      </c>
      <c r="CM732" t="str">
        <f>""</f>
        <v/>
      </c>
      <c r="CN732" t="str">
        <f>""</f>
        <v/>
      </c>
      <c r="CO732" t="str">
        <f>""</f>
        <v/>
      </c>
      <c r="CP732" t="str">
        <f>"43-5071.00"</f>
        <v>43-5071.00</v>
      </c>
      <c r="CQ732" t="s">
        <v>7140</v>
      </c>
      <c r="CS732" t="s">
        <v>131</v>
      </c>
      <c r="CU732" t="s">
        <v>12989</v>
      </c>
      <c r="CW732" t="s">
        <v>11240</v>
      </c>
      <c r="CX732" t="s">
        <v>1218</v>
      </c>
      <c r="CZ732" s="3" t="str">
        <f>"35004"</f>
        <v>35004</v>
      </c>
      <c r="DA732" t="s">
        <v>131</v>
      </c>
      <c r="DB732" t="str">
        <f>"43-5071"</f>
        <v>43-5071</v>
      </c>
      <c r="DC732" t="s">
        <v>7140</v>
      </c>
      <c r="DD732" t="s">
        <v>134</v>
      </c>
      <c r="DE732" t="s">
        <v>134</v>
      </c>
      <c r="DF732" t="str">
        <f>""</f>
        <v/>
      </c>
      <c r="DH732" s="6">
        <v>15.95</v>
      </c>
      <c r="DI732" t="s">
        <v>344</v>
      </c>
      <c r="DK732" t="s">
        <v>345</v>
      </c>
      <c r="DR732" t="s">
        <v>4161</v>
      </c>
      <c r="DS732" s="6">
        <v>15.95</v>
      </c>
      <c r="DT732" t="s">
        <v>424</v>
      </c>
      <c r="DU732" s="1">
        <v>44368</v>
      </c>
      <c r="DV732" s="1">
        <v>44457</v>
      </c>
    </row>
    <row r="733" spans="1:126" ht="15" customHeight="1" x14ac:dyDescent="0.35">
      <c r="A733" t="s">
        <v>7624</v>
      </c>
      <c r="B733" t="s">
        <v>318</v>
      </c>
      <c r="C733" s="1">
        <v>44340</v>
      </c>
      <c r="D733" s="1">
        <v>44368</v>
      </c>
      <c r="H733" t="s">
        <v>319</v>
      </c>
      <c r="I733" t="s">
        <v>4511</v>
      </c>
      <c r="J733" t="s">
        <v>4512</v>
      </c>
      <c r="L733" t="s">
        <v>395</v>
      </c>
      <c r="M733" t="s">
        <v>4513</v>
      </c>
      <c r="O733" t="s">
        <v>642</v>
      </c>
      <c r="Q733" s="3">
        <v>30340</v>
      </c>
      <c r="R733" t="s">
        <v>643</v>
      </c>
      <c r="T733" s="4">
        <v>14049341359</v>
      </c>
      <c r="V733" t="s">
        <v>4514</v>
      </c>
      <c r="W733" t="s">
        <v>7625</v>
      </c>
      <c r="Y733" t="s">
        <v>7626</v>
      </c>
      <c r="AA733" t="s">
        <v>3561</v>
      </c>
      <c r="AB733" t="s">
        <v>643</v>
      </c>
      <c r="AC733" s="3" t="str">
        <f>"30046"</f>
        <v>30046</v>
      </c>
      <c r="AD733" t="s">
        <v>128</v>
      </c>
      <c r="AF733" s="4">
        <v>17702317024</v>
      </c>
      <c r="AH733" t="str">
        <f>"238320"</f>
        <v>238320</v>
      </c>
      <c r="AI733" t="s">
        <v>287</v>
      </c>
      <c r="AJ733" t="s">
        <v>4511</v>
      </c>
      <c r="AK733" t="s">
        <v>4512</v>
      </c>
      <c r="AM733" t="s">
        <v>4513</v>
      </c>
      <c r="AO733" t="s">
        <v>642</v>
      </c>
      <c r="AQ733" s="5">
        <v>30340</v>
      </c>
      <c r="AR733" t="s">
        <v>643</v>
      </c>
      <c r="AT733" s="4">
        <v>14049341359</v>
      </c>
      <c r="AV733" t="s">
        <v>4514</v>
      </c>
      <c r="AW733" t="s">
        <v>4517</v>
      </c>
      <c r="AX733" t="s">
        <v>131</v>
      </c>
      <c r="AY733" t="s">
        <v>131</v>
      </c>
      <c r="AZ733" t="s">
        <v>131</v>
      </c>
      <c r="BA733" t="s">
        <v>131</v>
      </c>
      <c r="BB733" t="s">
        <v>131</v>
      </c>
      <c r="BC733" t="s">
        <v>131</v>
      </c>
      <c r="BD733" t="s">
        <v>131</v>
      </c>
      <c r="BE733" t="s">
        <v>132</v>
      </c>
      <c r="BH733" t="s">
        <v>7627</v>
      </c>
      <c r="BI733" t="s">
        <v>131</v>
      </c>
      <c r="BL733" t="s">
        <v>167</v>
      </c>
      <c r="BO733" t="s">
        <v>131</v>
      </c>
      <c r="BP733" t="s">
        <v>134</v>
      </c>
      <c r="BQ733" t="s">
        <v>131</v>
      </c>
      <c r="BS733" t="str">
        <f t="shared" si="54"/>
        <v>N/A</v>
      </c>
      <c r="BT733" t="s">
        <v>131</v>
      </c>
      <c r="BV733" t="str">
        <f>""</f>
        <v/>
      </c>
      <c r="BW733" t="s">
        <v>131</v>
      </c>
      <c r="BX733" t="str">
        <f>""</f>
        <v/>
      </c>
      <c r="BY733" t="str">
        <f>""</f>
        <v/>
      </c>
      <c r="BZ733" t="str">
        <f>""</f>
        <v/>
      </c>
      <c r="CA733" t="str">
        <f>""</f>
        <v/>
      </c>
      <c r="CB733" t="s">
        <v>131</v>
      </c>
      <c r="CF733" t="s">
        <v>131</v>
      </c>
      <c r="CH733" t="str">
        <f>""</f>
        <v/>
      </c>
      <c r="CI733" t="s">
        <v>131</v>
      </c>
      <c r="CK733" t="s">
        <v>131</v>
      </c>
      <c r="CL733" t="str">
        <f>""</f>
        <v/>
      </c>
      <c r="CM733" t="str">
        <f>""</f>
        <v/>
      </c>
      <c r="CN733" t="str">
        <f>""</f>
        <v/>
      </c>
      <c r="CO733" t="str">
        <f>""</f>
        <v/>
      </c>
      <c r="CP733" t="str">
        <f>"47-3014.00"</f>
        <v>47-3014.00</v>
      </c>
      <c r="CQ733" t="s">
        <v>1535</v>
      </c>
      <c r="CR733" t="s">
        <v>918</v>
      </c>
      <c r="CS733" t="s">
        <v>135</v>
      </c>
      <c r="CT733" t="s">
        <v>7628</v>
      </c>
      <c r="CU733" t="s">
        <v>7626</v>
      </c>
      <c r="CW733" t="s">
        <v>3561</v>
      </c>
      <c r="CX733" t="s">
        <v>643</v>
      </c>
      <c r="CZ733" s="3" t="str">
        <f>"30046"</f>
        <v>30046</v>
      </c>
      <c r="DA733" t="s">
        <v>135</v>
      </c>
      <c r="DB733" t="str">
        <f>"47-3014"</f>
        <v>47-3014</v>
      </c>
      <c r="DC733" t="s">
        <v>1535</v>
      </c>
      <c r="DD733" t="s">
        <v>134</v>
      </c>
      <c r="DE733" t="s">
        <v>134</v>
      </c>
      <c r="DF733" t="str">
        <f>""</f>
        <v/>
      </c>
      <c r="DH733" s="6">
        <v>14.06</v>
      </c>
      <c r="DI733" t="s">
        <v>344</v>
      </c>
      <c r="DK733" t="s">
        <v>345</v>
      </c>
      <c r="DR733" t="s">
        <v>2218</v>
      </c>
      <c r="DS733" s="6">
        <v>14.06</v>
      </c>
      <c r="DT733" s="2" t="s">
        <v>2219</v>
      </c>
      <c r="DU733" s="1">
        <v>44368</v>
      </c>
      <c r="DV733" s="1">
        <v>44457</v>
      </c>
    </row>
    <row r="734" spans="1:126" ht="15" customHeight="1" x14ac:dyDescent="0.35">
      <c r="A734" t="s">
        <v>17171</v>
      </c>
      <c r="B734" t="s">
        <v>318</v>
      </c>
      <c r="C734" s="1">
        <v>44340</v>
      </c>
      <c r="D734" s="1">
        <v>44368</v>
      </c>
      <c r="H734" t="s">
        <v>319</v>
      </c>
      <c r="I734" t="s">
        <v>4511</v>
      </c>
      <c r="J734" t="s">
        <v>4512</v>
      </c>
      <c r="L734" t="s">
        <v>395</v>
      </c>
      <c r="M734" t="s">
        <v>4513</v>
      </c>
      <c r="O734" t="s">
        <v>642</v>
      </c>
      <c r="Q734" s="3">
        <v>30340</v>
      </c>
      <c r="R734" t="s">
        <v>643</v>
      </c>
      <c r="T734" s="4">
        <v>14049341359</v>
      </c>
      <c r="V734" t="s">
        <v>4514</v>
      </c>
      <c r="W734" t="s">
        <v>17172</v>
      </c>
      <c r="X734" t="s">
        <v>17173</v>
      </c>
      <c r="Y734" t="s">
        <v>17174</v>
      </c>
      <c r="AA734" t="s">
        <v>1145</v>
      </c>
      <c r="AB734" t="s">
        <v>643</v>
      </c>
      <c r="AC734" s="3" t="str">
        <f>"30501"</f>
        <v>30501</v>
      </c>
      <c r="AD734" t="s">
        <v>128</v>
      </c>
      <c r="AF734" s="4">
        <v>16785959160</v>
      </c>
      <c r="AH734" t="str">
        <f>"722511"</f>
        <v>722511</v>
      </c>
      <c r="AI734" t="s">
        <v>287</v>
      </c>
      <c r="AJ734" t="s">
        <v>4511</v>
      </c>
      <c r="AK734" t="s">
        <v>4512</v>
      </c>
      <c r="AM734" t="s">
        <v>4513</v>
      </c>
      <c r="AO734" t="s">
        <v>642</v>
      </c>
      <c r="AQ734" s="5">
        <v>30340</v>
      </c>
      <c r="AR734" t="s">
        <v>643</v>
      </c>
      <c r="AT734" s="4">
        <v>14049341359</v>
      </c>
      <c r="AV734" t="s">
        <v>4514</v>
      </c>
      <c r="AW734" t="s">
        <v>4517</v>
      </c>
      <c r="AX734" t="s">
        <v>131</v>
      </c>
      <c r="AY734" t="s">
        <v>131</v>
      </c>
      <c r="AZ734" t="s">
        <v>131</v>
      </c>
      <c r="BA734" t="s">
        <v>131</v>
      </c>
      <c r="BB734" t="s">
        <v>131</v>
      </c>
      <c r="BC734" t="s">
        <v>131</v>
      </c>
      <c r="BD734" t="s">
        <v>131</v>
      </c>
      <c r="BE734" t="s">
        <v>132</v>
      </c>
      <c r="BH734" t="s">
        <v>17175</v>
      </c>
      <c r="BI734" t="s">
        <v>131</v>
      </c>
      <c r="BL734" t="s">
        <v>167</v>
      </c>
      <c r="BO734" t="s">
        <v>131</v>
      </c>
      <c r="BP734" t="s">
        <v>134</v>
      </c>
      <c r="BQ734" t="s">
        <v>131</v>
      </c>
      <c r="BS734" t="str">
        <f t="shared" si="54"/>
        <v>N/A</v>
      </c>
      <c r="BT734" t="s">
        <v>131</v>
      </c>
      <c r="BV734" t="str">
        <f>""</f>
        <v/>
      </c>
      <c r="BW734" t="s">
        <v>131</v>
      </c>
      <c r="BX734" t="str">
        <f>""</f>
        <v/>
      </c>
      <c r="BY734" t="str">
        <f>""</f>
        <v/>
      </c>
      <c r="BZ734" t="str">
        <f>""</f>
        <v/>
      </c>
      <c r="CA734" t="str">
        <f>""</f>
        <v/>
      </c>
      <c r="CB734" t="s">
        <v>131</v>
      </c>
      <c r="CF734" t="s">
        <v>131</v>
      </c>
      <c r="CH734" t="str">
        <f>""</f>
        <v/>
      </c>
      <c r="CI734" t="s">
        <v>131</v>
      </c>
      <c r="CK734" t="s">
        <v>131</v>
      </c>
      <c r="CL734" t="str">
        <f>""</f>
        <v/>
      </c>
      <c r="CM734" t="str">
        <f>""</f>
        <v/>
      </c>
      <c r="CN734" t="str">
        <f>""</f>
        <v/>
      </c>
      <c r="CO734" t="str">
        <f>""</f>
        <v/>
      </c>
      <c r="CP734" t="str">
        <f>"35-2021.00"</f>
        <v>35-2021.00</v>
      </c>
      <c r="CQ734" t="s">
        <v>1749</v>
      </c>
      <c r="CR734" t="s">
        <v>918</v>
      </c>
      <c r="CS734" t="s">
        <v>131</v>
      </c>
      <c r="CU734" t="s">
        <v>17174</v>
      </c>
      <c r="CW734" t="s">
        <v>1145</v>
      </c>
      <c r="CX734" t="s">
        <v>643</v>
      </c>
      <c r="CZ734" s="3" t="str">
        <f>"30501"</f>
        <v>30501</v>
      </c>
      <c r="DA734" t="s">
        <v>131</v>
      </c>
      <c r="DB734" t="str">
        <f>"35-3021"</f>
        <v>35-3021</v>
      </c>
      <c r="DC734" t="s">
        <v>2581</v>
      </c>
      <c r="DD734" t="s">
        <v>134</v>
      </c>
      <c r="DE734" t="s">
        <v>134</v>
      </c>
      <c r="DF734" t="str">
        <f>""</f>
        <v/>
      </c>
      <c r="DH734" s="6">
        <v>9.8000000000000007</v>
      </c>
      <c r="DI734" t="s">
        <v>344</v>
      </c>
      <c r="DK734" t="s">
        <v>345</v>
      </c>
      <c r="DR734" t="s">
        <v>8762</v>
      </c>
      <c r="DS734" s="6">
        <v>9.8000000000000007</v>
      </c>
      <c r="DT734" t="s">
        <v>424</v>
      </c>
      <c r="DU734" s="1">
        <v>44368</v>
      </c>
      <c r="DV734" s="1">
        <v>44457</v>
      </c>
    </row>
    <row r="735" spans="1:126" ht="15" customHeight="1" x14ac:dyDescent="0.35">
      <c r="A735" t="s">
        <v>15529</v>
      </c>
      <c r="B735" t="s">
        <v>318</v>
      </c>
      <c r="C735" s="1">
        <v>44340</v>
      </c>
      <c r="D735" s="1">
        <v>44369</v>
      </c>
      <c r="H735" t="s">
        <v>319</v>
      </c>
      <c r="I735" t="s">
        <v>15530</v>
      </c>
      <c r="J735" t="s">
        <v>3443</v>
      </c>
      <c r="K735" t="s">
        <v>7601</v>
      </c>
      <c r="L735" t="s">
        <v>303</v>
      </c>
      <c r="M735" t="s">
        <v>15531</v>
      </c>
      <c r="O735" t="s">
        <v>15532</v>
      </c>
      <c r="P735" t="s">
        <v>507</v>
      </c>
      <c r="Q735" s="3">
        <v>48390</v>
      </c>
      <c r="R735" t="s">
        <v>128</v>
      </c>
      <c r="T735" s="4">
        <v>12489333403</v>
      </c>
      <c r="V735" t="s">
        <v>15533</v>
      </c>
      <c r="W735" t="s">
        <v>15534</v>
      </c>
      <c r="Y735" t="s">
        <v>15531</v>
      </c>
      <c r="AA735" t="s">
        <v>15532</v>
      </c>
      <c r="AB735" t="s">
        <v>511</v>
      </c>
      <c r="AC735" s="3" t="str">
        <f>"48390"</f>
        <v>48390</v>
      </c>
      <c r="AD735" t="s">
        <v>128</v>
      </c>
      <c r="AF735" s="4">
        <v>12486693032</v>
      </c>
      <c r="AH735" t="str">
        <f>"5617"</f>
        <v>5617</v>
      </c>
      <c r="AI735" t="s">
        <v>130</v>
      </c>
      <c r="AJ735" t="s">
        <v>2442</v>
      </c>
      <c r="AK735" t="s">
        <v>2443</v>
      </c>
      <c r="AL735" t="s">
        <v>2444</v>
      </c>
      <c r="AM735" t="s">
        <v>2445</v>
      </c>
      <c r="AN735" t="s">
        <v>1169</v>
      </c>
      <c r="AO735" t="s">
        <v>707</v>
      </c>
      <c r="AP735" t="s">
        <v>249</v>
      </c>
      <c r="AQ735" s="5">
        <v>55402</v>
      </c>
      <c r="AR735" t="s">
        <v>128</v>
      </c>
      <c r="AT735" s="4">
        <v>16124927165</v>
      </c>
      <c r="AV735" t="s">
        <v>2446</v>
      </c>
      <c r="AW735" t="s">
        <v>2447</v>
      </c>
      <c r="AX735" t="s">
        <v>131</v>
      </c>
      <c r="AY735" t="s">
        <v>131</v>
      </c>
      <c r="AZ735" t="s">
        <v>131</v>
      </c>
      <c r="BA735" t="s">
        <v>131</v>
      </c>
      <c r="BB735" t="s">
        <v>131</v>
      </c>
      <c r="BC735" t="s">
        <v>131</v>
      </c>
      <c r="BD735" t="s">
        <v>131</v>
      </c>
      <c r="BE735" t="s">
        <v>132</v>
      </c>
      <c r="BH735" t="s">
        <v>2215</v>
      </c>
      <c r="BI735" t="s">
        <v>131</v>
      </c>
      <c r="BL735" t="s">
        <v>167</v>
      </c>
      <c r="BO735" t="s">
        <v>131</v>
      </c>
      <c r="BP735" t="s">
        <v>134</v>
      </c>
      <c r="BQ735" t="s">
        <v>131</v>
      </c>
      <c r="BS735" t="str">
        <f t="shared" si="54"/>
        <v>N/A</v>
      </c>
      <c r="BT735" t="s">
        <v>131</v>
      </c>
      <c r="BV735" t="str">
        <f>""</f>
        <v/>
      </c>
      <c r="BW735" t="s">
        <v>135</v>
      </c>
      <c r="BX735" t="str">
        <f>""</f>
        <v/>
      </c>
      <c r="BY735" t="str">
        <f>""</f>
        <v/>
      </c>
      <c r="BZ735" t="str">
        <f>""</f>
        <v/>
      </c>
      <c r="CA735" t="str">
        <f>"No formal education, training or experience required.  On-the-job training will be provided."</f>
        <v>No formal education, training or experience required.  On-the-job training will be provided.</v>
      </c>
      <c r="CB735" t="s">
        <v>131</v>
      </c>
      <c r="CF735" t="s">
        <v>131</v>
      </c>
      <c r="CH735" t="str">
        <f>""</f>
        <v/>
      </c>
      <c r="CI735" t="s">
        <v>131</v>
      </c>
      <c r="CK735" t="s">
        <v>131</v>
      </c>
      <c r="CL735" t="str">
        <f>""</f>
        <v/>
      </c>
      <c r="CM735" t="str">
        <f>""</f>
        <v/>
      </c>
      <c r="CN735" t="str">
        <f>""</f>
        <v/>
      </c>
      <c r="CO735" t="str">
        <f>""</f>
        <v/>
      </c>
      <c r="CP735" t="str">
        <f>"37-3011.00"</f>
        <v>37-3011.00</v>
      </c>
      <c r="CQ735" t="s">
        <v>920</v>
      </c>
      <c r="CR735" t="s">
        <v>3086</v>
      </c>
      <c r="CS735" t="s">
        <v>135</v>
      </c>
      <c r="CT735" s="2" t="s">
        <v>15535</v>
      </c>
      <c r="CU735" t="s">
        <v>15531</v>
      </c>
      <c r="CW735" t="s">
        <v>15532</v>
      </c>
      <c r="CX735" t="s">
        <v>511</v>
      </c>
      <c r="CZ735" s="3" t="str">
        <f>"48390"</f>
        <v>48390</v>
      </c>
      <c r="DA735" t="s">
        <v>135</v>
      </c>
      <c r="DB735" t="str">
        <f>"37-3011"</f>
        <v>37-3011</v>
      </c>
      <c r="DC735" t="s">
        <v>920</v>
      </c>
      <c r="DD735" t="s">
        <v>134</v>
      </c>
      <c r="DE735" t="s">
        <v>134</v>
      </c>
      <c r="DF735" t="str">
        <f>""</f>
        <v/>
      </c>
      <c r="DH735" s="6">
        <v>14.95</v>
      </c>
      <c r="DI735" t="s">
        <v>344</v>
      </c>
      <c r="DK735" t="s">
        <v>345</v>
      </c>
      <c r="DS735" s="6">
        <v>15.81</v>
      </c>
      <c r="DT735" s="2" t="s">
        <v>2219</v>
      </c>
      <c r="DU735" s="1">
        <v>44369</v>
      </c>
      <c r="DV735" s="1">
        <v>44458</v>
      </c>
    </row>
    <row r="736" spans="1:126" ht="15" customHeight="1" x14ac:dyDescent="0.35">
      <c r="A736" t="s">
        <v>12060</v>
      </c>
      <c r="B736" t="s">
        <v>318</v>
      </c>
      <c r="C736" s="1">
        <v>44340</v>
      </c>
      <c r="D736" s="1">
        <v>44368</v>
      </c>
      <c r="H736" t="s">
        <v>319</v>
      </c>
      <c r="I736" t="s">
        <v>4511</v>
      </c>
      <c r="J736" t="s">
        <v>4512</v>
      </c>
      <c r="L736" t="s">
        <v>395</v>
      </c>
      <c r="M736" t="s">
        <v>4513</v>
      </c>
      <c r="O736" t="s">
        <v>642</v>
      </c>
      <c r="Q736" s="3">
        <v>30340</v>
      </c>
      <c r="R736" t="s">
        <v>643</v>
      </c>
      <c r="T736" s="4">
        <v>14049341359</v>
      </c>
      <c r="V736" t="s">
        <v>4514</v>
      </c>
      <c r="W736" t="s">
        <v>12061</v>
      </c>
      <c r="Y736" t="s">
        <v>12062</v>
      </c>
      <c r="AA736" t="s">
        <v>2150</v>
      </c>
      <c r="AB736" t="s">
        <v>594</v>
      </c>
      <c r="AC736" s="3" t="str">
        <f>"27856"</f>
        <v>27856</v>
      </c>
      <c r="AD736" t="s">
        <v>128</v>
      </c>
      <c r="AF736" s="4">
        <v>12523630834</v>
      </c>
      <c r="AH736" t="str">
        <f>"115115"</f>
        <v>115115</v>
      </c>
      <c r="AI736" t="s">
        <v>287</v>
      </c>
      <c r="AJ736" t="s">
        <v>4511</v>
      </c>
      <c r="AK736" t="s">
        <v>4512</v>
      </c>
      <c r="AM736" t="s">
        <v>4513</v>
      </c>
      <c r="AO736" t="s">
        <v>642</v>
      </c>
      <c r="AQ736" s="5">
        <v>30340</v>
      </c>
      <c r="AR736" t="s">
        <v>643</v>
      </c>
      <c r="AT736" s="4">
        <v>14049341359</v>
      </c>
      <c r="AV736" t="s">
        <v>4514</v>
      </c>
      <c r="AW736" t="s">
        <v>4517</v>
      </c>
      <c r="AX736" t="s">
        <v>131</v>
      </c>
      <c r="AY736" t="s">
        <v>131</v>
      </c>
      <c r="AZ736" t="s">
        <v>131</v>
      </c>
      <c r="BA736" t="s">
        <v>131</v>
      </c>
      <c r="BB736" t="s">
        <v>131</v>
      </c>
      <c r="BC736" t="s">
        <v>131</v>
      </c>
      <c r="BD736" t="s">
        <v>131</v>
      </c>
      <c r="BE736" t="s">
        <v>132</v>
      </c>
      <c r="BH736" t="s">
        <v>3994</v>
      </c>
      <c r="BI736" t="s">
        <v>131</v>
      </c>
      <c r="BL736" t="s">
        <v>167</v>
      </c>
      <c r="BO736" t="s">
        <v>131</v>
      </c>
      <c r="BP736" t="s">
        <v>134</v>
      </c>
      <c r="BQ736" t="s">
        <v>131</v>
      </c>
      <c r="BS736" t="str">
        <f t="shared" si="54"/>
        <v>N/A</v>
      </c>
      <c r="BT736" t="s">
        <v>135</v>
      </c>
      <c r="BU736">
        <v>1</v>
      </c>
      <c r="BV736" t="str">
        <f>"Tree Planting"</f>
        <v>Tree Planting</v>
      </c>
      <c r="BW736" t="s">
        <v>135</v>
      </c>
      <c r="BX736" t="str">
        <f>""</f>
        <v/>
      </c>
      <c r="BY736" t="str">
        <f>""</f>
        <v/>
      </c>
      <c r="BZ736" t="str">
        <f>""</f>
        <v/>
      </c>
      <c r="CA736" t="str">
        <f>"LIFTING REQUIREMENT 75 LBS.
EXPOSURE TO EXTREME TEMPERATURES
EXTENSIVE PUSHING OR PULLING
EXTENSIVE SITTING OR WALKING
FREQUENT STOOPING OR BENDING OVER
REPETITIVE MOVEMENTS"</f>
        <v>LIFTING REQUIREMENT 75 LBS.
EXPOSURE TO EXTREME TEMPERATURES
EXTENSIVE PUSHING OR PULLING
EXTENSIVE SITTING OR WALKING
FREQUENT STOOPING OR BENDING OVER
REPETITIVE MOVEMENTS</v>
      </c>
      <c r="CB736" t="s">
        <v>131</v>
      </c>
      <c r="CF736" t="s">
        <v>131</v>
      </c>
      <c r="CH736" t="str">
        <f>""</f>
        <v/>
      </c>
      <c r="CI736" t="s">
        <v>131</v>
      </c>
      <c r="CK736" t="s">
        <v>131</v>
      </c>
      <c r="CL736" t="str">
        <f>""</f>
        <v/>
      </c>
      <c r="CM736" t="str">
        <f>""</f>
        <v/>
      </c>
      <c r="CN736" t="str">
        <f>""</f>
        <v/>
      </c>
      <c r="CO736" t="str">
        <f>""</f>
        <v/>
      </c>
      <c r="CP736" t="str">
        <f>"45-4011.00"</f>
        <v>45-4011.00</v>
      </c>
      <c r="CQ736" t="s">
        <v>4310</v>
      </c>
      <c r="CR736" t="s">
        <v>918</v>
      </c>
      <c r="CS736" t="s">
        <v>135</v>
      </c>
      <c r="CT736" s="2" t="s">
        <v>12063</v>
      </c>
      <c r="CU736" t="s">
        <v>12064</v>
      </c>
      <c r="CW736" t="s">
        <v>5222</v>
      </c>
      <c r="CX736" t="s">
        <v>594</v>
      </c>
      <c r="CZ736" s="3" t="str">
        <f>"27807"</f>
        <v>27807</v>
      </c>
      <c r="DA736" t="s">
        <v>135</v>
      </c>
      <c r="DB736" t="str">
        <f>"45-4011"</f>
        <v>45-4011</v>
      </c>
      <c r="DC736" t="s">
        <v>4310</v>
      </c>
      <c r="DD736" t="s">
        <v>134</v>
      </c>
      <c r="DE736" t="s">
        <v>134</v>
      </c>
      <c r="DF736" t="str">
        <f>""</f>
        <v/>
      </c>
      <c r="DH736" s="6">
        <v>15.76</v>
      </c>
      <c r="DI736" t="s">
        <v>344</v>
      </c>
      <c r="DK736" t="s">
        <v>345</v>
      </c>
      <c r="DR736" t="s">
        <v>12065</v>
      </c>
      <c r="DS736" s="6">
        <v>15.76</v>
      </c>
      <c r="DT736" s="2" t="s">
        <v>2219</v>
      </c>
      <c r="DU736" s="1">
        <v>44368</v>
      </c>
      <c r="DV736" s="1">
        <v>44457</v>
      </c>
    </row>
    <row r="737" spans="1:126" ht="15" customHeight="1" x14ac:dyDescent="0.35">
      <c r="A737" t="s">
        <v>18071</v>
      </c>
      <c r="B737" t="s">
        <v>318</v>
      </c>
      <c r="C737" s="1">
        <v>44340</v>
      </c>
      <c r="D737" s="1">
        <v>44369</v>
      </c>
      <c r="H737" t="s">
        <v>319</v>
      </c>
      <c r="I737" t="s">
        <v>5989</v>
      </c>
      <c r="J737" t="s">
        <v>11196</v>
      </c>
      <c r="L737" t="s">
        <v>8228</v>
      </c>
      <c r="M737" t="s">
        <v>10240</v>
      </c>
      <c r="O737" t="s">
        <v>10243</v>
      </c>
      <c r="P737" t="s">
        <v>194</v>
      </c>
      <c r="Q737" s="3">
        <v>32308</v>
      </c>
      <c r="R737" t="s">
        <v>128</v>
      </c>
      <c r="T737" s="4">
        <v>18505970249</v>
      </c>
      <c r="V737" t="s">
        <v>11197</v>
      </c>
      <c r="W737" t="s">
        <v>11198</v>
      </c>
      <c r="X737" t="s">
        <v>11198</v>
      </c>
      <c r="Y737" t="s">
        <v>11199</v>
      </c>
      <c r="Z737" t="s">
        <v>11200</v>
      </c>
      <c r="AA737" t="s">
        <v>10243</v>
      </c>
      <c r="AB737" t="s">
        <v>195</v>
      </c>
      <c r="AC737" s="3" t="str">
        <f>"32301"</f>
        <v>32301</v>
      </c>
      <c r="AD737" t="s">
        <v>128</v>
      </c>
      <c r="AF737" s="4">
        <v>18505970249</v>
      </c>
      <c r="AH737" t="str">
        <f>"561720"</f>
        <v>561720</v>
      </c>
      <c r="AI737" t="s">
        <v>167</v>
      </c>
      <c r="AX737" t="s">
        <v>131</v>
      </c>
      <c r="AY737" t="s">
        <v>131</v>
      </c>
      <c r="AZ737" t="s">
        <v>131</v>
      </c>
      <c r="BA737" t="s">
        <v>131</v>
      </c>
      <c r="BB737" t="s">
        <v>131</v>
      </c>
      <c r="BC737" t="s">
        <v>131</v>
      </c>
      <c r="BD737" t="s">
        <v>131</v>
      </c>
      <c r="BE737" t="s">
        <v>132</v>
      </c>
      <c r="BH737" t="s">
        <v>10277</v>
      </c>
      <c r="BI737" t="s">
        <v>131</v>
      </c>
      <c r="BL737" t="s">
        <v>401</v>
      </c>
      <c r="BO737" t="s">
        <v>131</v>
      </c>
      <c r="BP737" t="s">
        <v>134</v>
      </c>
      <c r="BQ737" t="s">
        <v>131</v>
      </c>
      <c r="BS737" t="str">
        <f t="shared" si="54"/>
        <v>N/A</v>
      </c>
      <c r="BT737" t="s">
        <v>135</v>
      </c>
      <c r="BU737">
        <v>2</v>
      </c>
      <c r="BV737" t="str">
        <f>"HOUSEKEEPING/CLEANERS"</f>
        <v>HOUSEKEEPING/CLEANERS</v>
      </c>
      <c r="BW737" t="s">
        <v>131</v>
      </c>
      <c r="BX737" t="str">
        <f>""</f>
        <v/>
      </c>
      <c r="BY737" t="str">
        <f>""</f>
        <v/>
      </c>
      <c r="BZ737" t="str">
        <f>""</f>
        <v/>
      </c>
      <c r="CA737" t="str">
        <f>""</f>
        <v/>
      </c>
      <c r="CB737" t="s">
        <v>131</v>
      </c>
      <c r="CF737" t="s">
        <v>131</v>
      </c>
      <c r="CH737" t="str">
        <f>""</f>
        <v/>
      </c>
      <c r="CI737" t="s">
        <v>131</v>
      </c>
      <c r="CK737" t="s">
        <v>131</v>
      </c>
      <c r="CL737" t="str">
        <f>""</f>
        <v/>
      </c>
      <c r="CM737" t="str">
        <f>""</f>
        <v/>
      </c>
      <c r="CN737" t="str">
        <f>""</f>
        <v/>
      </c>
      <c r="CO737" t="str">
        <f>""</f>
        <v/>
      </c>
      <c r="CP737" t="str">
        <f>"37-2012.00"</f>
        <v>37-2012.00</v>
      </c>
      <c r="CQ737" t="s">
        <v>479</v>
      </c>
      <c r="CR737" t="s">
        <v>1031</v>
      </c>
      <c r="CS737" t="s">
        <v>131</v>
      </c>
      <c r="CU737" t="s">
        <v>18072</v>
      </c>
      <c r="CW737" t="s">
        <v>8791</v>
      </c>
      <c r="CX737" t="s">
        <v>779</v>
      </c>
      <c r="CZ737" s="3" t="str">
        <f>"37862"</f>
        <v>37862</v>
      </c>
      <c r="DA737" t="s">
        <v>131</v>
      </c>
      <c r="DB737" t="str">
        <f>"37-2012"</f>
        <v>37-2012</v>
      </c>
      <c r="DC737" t="s">
        <v>479</v>
      </c>
      <c r="DD737" t="s">
        <v>134</v>
      </c>
      <c r="DE737" t="s">
        <v>134</v>
      </c>
      <c r="DF737" t="str">
        <f>""</f>
        <v/>
      </c>
      <c r="DH737" s="6">
        <v>10.88</v>
      </c>
      <c r="DI737" t="s">
        <v>344</v>
      </c>
      <c r="DK737" t="s">
        <v>345</v>
      </c>
      <c r="DR737" t="s">
        <v>8289</v>
      </c>
      <c r="DS737" s="6">
        <v>10.88</v>
      </c>
      <c r="DT737" t="s">
        <v>424</v>
      </c>
      <c r="DU737" s="1">
        <v>44369</v>
      </c>
      <c r="DV737" s="1">
        <v>44458</v>
      </c>
    </row>
    <row r="738" spans="1:126" ht="15" customHeight="1" x14ac:dyDescent="0.35">
      <c r="A738" t="s">
        <v>16554</v>
      </c>
      <c r="B738" t="s">
        <v>318</v>
      </c>
      <c r="C738" s="1">
        <v>44340</v>
      </c>
      <c r="D738" s="1">
        <v>44369</v>
      </c>
      <c r="H738" t="s">
        <v>319</v>
      </c>
      <c r="I738" t="s">
        <v>5989</v>
      </c>
      <c r="J738" t="s">
        <v>11196</v>
      </c>
      <c r="L738" t="s">
        <v>8228</v>
      </c>
      <c r="M738" t="s">
        <v>10240</v>
      </c>
      <c r="O738" t="s">
        <v>10243</v>
      </c>
      <c r="P738" t="s">
        <v>194</v>
      </c>
      <c r="Q738" s="3">
        <v>32308</v>
      </c>
      <c r="R738" t="s">
        <v>128</v>
      </c>
      <c r="T738" s="4">
        <v>18505970249</v>
      </c>
      <c r="V738" t="s">
        <v>11197</v>
      </c>
      <c r="W738" t="s">
        <v>11198</v>
      </c>
      <c r="X738" t="s">
        <v>11198</v>
      </c>
      <c r="Y738" t="s">
        <v>11199</v>
      </c>
      <c r="Z738" t="s">
        <v>11200</v>
      </c>
      <c r="AA738" t="s">
        <v>10243</v>
      </c>
      <c r="AB738" t="s">
        <v>195</v>
      </c>
      <c r="AC738" s="3" t="str">
        <f>"32301"</f>
        <v>32301</v>
      </c>
      <c r="AD738" t="s">
        <v>128</v>
      </c>
      <c r="AF738" s="4">
        <v>18505970249</v>
      </c>
      <c r="AH738" t="str">
        <f>"561720"</f>
        <v>561720</v>
      </c>
      <c r="AI738" t="s">
        <v>167</v>
      </c>
      <c r="AX738" t="s">
        <v>131</v>
      </c>
      <c r="AY738" t="s">
        <v>131</v>
      </c>
      <c r="AZ738" t="s">
        <v>131</v>
      </c>
      <c r="BA738" t="s">
        <v>131</v>
      </c>
      <c r="BB738" t="s">
        <v>131</v>
      </c>
      <c r="BC738" t="s">
        <v>131</v>
      </c>
      <c r="BD738" t="s">
        <v>131</v>
      </c>
      <c r="BE738" t="s">
        <v>132</v>
      </c>
      <c r="BH738" t="s">
        <v>11563</v>
      </c>
      <c r="BI738" t="s">
        <v>131</v>
      </c>
      <c r="BL738" t="s">
        <v>401</v>
      </c>
      <c r="BO738" t="s">
        <v>131</v>
      </c>
      <c r="BP738" t="s">
        <v>134</v>
      </c>
      <c r="BQ738" t="s">
        <v>131</v>
      </c>
      <c r="BS738" t="str">
        <f t="shared" si="54"/>
        <v>N/A</v>
      </c>
      <c r="BT738" t="s">
        <v>135</v>
      </c>
      <c r="BU738">
        <v>3</v>
      </c>
      <c r="BV738" t="str">
        <f>"HOUSEKEEPING/CLEANERS"</f>
        <v>HOUSEKEEPING/CLEANERS</v>
      </c>
      <c r="BW738" t="s">
        <v>135</v>
      </c>
      <c r="BX738" t="str">
        <f>""</f>
        <v/>
      </c>
      <c r="BY738" t="str">
        <f>""</f>
        <v/>
      </c>
      <c r="BZ738" t="str">
        <f>""</f>
        <v/>
      </c>
      <c r="CA738" t="str">
        <f>"CRIMINAL BACKGROUND CHECKS TO BE CONDUCTED PRE-HIRE."</f>
        <v>CRIMINAL BACKGROUND CHECKS TO BE CONDUCTED PRE-HIRE.</v>
      </c>
      <c r="CB738" t="s">
        <v>131</v>
      </c>
      <c r="CF738" t="s">
        <v>131</v>
      </c>
      <c r="CH738" t="str">
        <f>""</f>
        <v/>
      </c>
      <c r="CI738" t="s">
        <v>131</v>
      </c>
      <c r="CK738" t="s">
        <v>131</v>
      </c>
      <c r="CL738" t="str">
        <f>""</f>
        <v/>
      </c>
      <c r="CM738" t="str">
        <f>""</f>
        <v/>
      </c>
      <c r="CN738" t="str">
        <f>""</f>
        <v/>
      </c>
      <c r="CO738" t="str">
        <f>""</f>
        <v/>
      </c>
      <c r="CP738" t="str">
        <f>"37-2012.00"</f>
        <v>37-2012.00</v>
      </c>
      <c r="CQ738" t="s">
        <v>479</v>
      </c>
      <c r="CS738" t="s">
        <v>131</v>
      </c>
      <c r="CU738" t="s">
        <v>16555</v>
      </c>
      <c r="CV738" t="s">
        <v>16556</v>
      </c>
      <c r="CW738" t="s">
        <v>11527</v>
      </c>
      <c r="CX738" t="s">
        <v>389</v>
      </c>
      <c r="CZ738" s="3" t="str">
        <f>"53965"</f>
        <v>53965</v>
      </c>
      <c r="DA738" t="s">
        <v>131</v>
      </c>
      <c r="DB738" t="str">
        <f>"37-2012"</f>
        <v>37-2012</v>
      </c>
      <c r="DC738" t="s">
        <v>479</v>
      </c>
      <c r="DD738" t="s">
        <v>134</v>
      </c>
      <c r="DE738" t="s">
        <v>134</v>
      </c>
      <c r="DF738" t="str">
        <f>""</f>
        <v/>
      </c>
      <c r="DH738" s="6">
        <v>11.44</v>
      </c>
      <c r="DI738" t="s">
        <v>344</v>
      </c>
      <c r="DK738" t="s">
        <v>345</v>
      </c>
      <c r="DR738" t="s">
        <v>12721</v>
      </c>
      <c r="DS738" s="6">
        <v>11.44</v>
      </c>
      <c r="DT738" t="s">
        <v>424</v>
      </c>
      <c r="DU738" s="1">
        <v>44369</v>
      </c>
      <c r="DV738" s="1">
        <v>44458</v>
      </c>
    </row>
    <row r="739" spans="1:126" ht="15" customHeight="1" x14ac:dyDescent="0.35">
      <c r="A739" t="s">
        <v>11195</v>
      </c>
      <c r="B739" t="s">
        <v>318</v>
      </c>
      <c r="C739" s="1">
        <v>44340</v>
      </c>
      <c r="D739" s="1">
        <v>44369</v>
      </c>
      <c r="H739" t="s">
        <v>319</v>
      </c>
      <c r="I739" t="s">
        <v>5989</v>
      </c>
      <c r="J739" t="s">
        <v>11196</v>
      </c>
      <c r="L739" t="s">
        <v>8228</v>
      </c>
      <c r="M739" t="s">
        <v>10240</v>
      </c>
      <c r="O739" t="s">
        <v>10243</v>
      </c>
      <c r="P739" t="s">
        <v>194</v>
      </c>
      <c r="Q739" s="3">
        <v>32308</v>
      </c>
      <c r="R739" t="s">
        <v>128</v>
      </c>
      <c r="T739" s="4">
        <v>18505970249</v>
      </c>
      <c r="V739" t="s">
        <v>11197</v>
      </c>
      <c r="W739" t="s">
        <v>11198</v>
      </c>
      <c r="X739" t="s">
        <v>11198</v>
      </c>
      <c r="Y739" t="s">
        <v>11199</v>
      </c>
      <c r="Z739" t="s">
        <v>11200</v>
      </c>
      <c r="AA739" t="s">
        <v>10243</v>
      </c>
      <c r="AB739" t="s">
        <v>195</v>
      </c>
      <c r="AC739" s="3" t="str">
        <f>"32301"</f>
        <v>32301</v>
      </c>
      <c r="AD739" t="s">
        <v>128</v>
      </c>
      <c r="AF739" s="4">
        <v>18505970249</v>
      </c>
      <c r="AH739" t="str">
        <f>"722511"</f>
        <v>722511</v>
      </c>
      <c r="AI739" t="s">
        <v>167</v>
      </c>
      <c r="AX739" t="s">
        <v>131</v>
      </c>
      <c r="AY739" t="s">
        <v>131</v>
      </c>
      <c r="AZ739" t="s">
        <v>131</v>
      </c>
      <c r="BA739" t="s">
        <v>131</v>
      </c>
      <c r="BB739" t="s">
        <v>131</v>
      </c>
      <c r="BC739" t="s">
        <v>131</v>
      </c>
      <c r="BD739" t="s">
        <v>131</v>
      </c>
      <c r="BE739" t="s">
        <v>132</v>
      </c>
      <c r="BH739" t="s">
        <v>6218</v>
      </c>
      <c r="BI739" t="s">
        <v>131</v>
      </c>
      <c r="BL739" t="s">
        <v>401</v>
      </c>
      <c r="BO739" t="s">
        <v>131</v>
      </c>
      <c r="BP739" t="s">
        <v>134</v>
      </c>
      <c r="BQ739" t="s">
        <v>131</v>
      </c>
      <c r="BS739" t="str">
        <f t="shared" si="54"/>
        <v>N/A</v>
      </c>
      <c r="BT739" t="s">
        <v>135</v>
      </c>
      <c r="BU739">
        <v>3</v>
      </c>
      <c r="BV739" t="str">
        <f>"COOKING"</f>
        <v>COOKING</v>
      </c>
      <c r="BW739" t="s">
        <v>135</v>
      </c>
      <c r="BX739" t="str">
        <f>""</f>
        <v/>
      </c>
      <c r="BY739" t="str">
        <f>""</f>
        <v/>
      </c>
      <c r="BZ739" t="str">
        <f>""</f>
        <v/>
      </c>
      <c r="CA739" t="str">
        <f>"PRE-HIRE CRIMINAL BACKGROUND CHECKS TO BE CONDUCTED."</f>
        <v>PRE-HIRE CRIMINAL BACKGROUND CHECKS TO BE CONDUCTED.</v>
      </c>
      <c r="CB739" t="s">
        <v>131</v>
      </c>
      <c r="CF739" t="s">
        <v>131</v>
      </c>
      <c r="CH739" t="str">
        <f>""</f>
        <v/>
      </c>
      <c r="CI739" t="s">
        <v>131</v>
      </c>
      <c r="CK739" t="s">
        <v>131</v>
      </c>
      <c r="CL739" t="str">
        <f>""</f>
        <v/>
      </c>
      <c r="CM739" t="str">
        <f>""</f>
        <v/>
      </c>
      <c r="CN739" t="str">
        <f>""</f>
        <v/>
      </c>
      <c r="CO739" t="str">
        <f>""</f>
        <v/>
      </c>
      <c r="CP739" t="str">
        <f>"35-2014.00"</f>
        <v>35-2014.00</v>
      </c>
      <c r="CQ739" t="s">
        <v>581</v>
      </c>
      <c r="CS739" t="s">
        <v>131</v>
      </c>
      <c r="CU739" t="s">
        <v>11201</v>
      </c>
      <c r="CW739" t="s">
        <v>8288</v>
      </c>
      <c r="CX739" t="s">
        <v>779</v>
      </c>
      <c r="CZ739" s="3" t="str">
        <f>"37863"</f>
        <v>37863</v>
      </c>
      <c r="DA739" t="s">
        <v>131</v>
      </c>
      <c r="DB739" t="str">
        <f>"35-2014"</f>
        <v>35-2014</v>
      </c>
      <c r="DC739" t="s">
        <v>581</v>
      </c>
      <c r="DD739" t="s">
        <v>134</v>
      </c>
      <c r="DE739" t="s">
        <v>134</v>
      </c>
      <c r="DF739" t="str">
        <f>""</f>
        <v/>
      </c>
      <c r="DH739" s="6">
        <v>13.05</v>
      </c>
      <c r="DI739" t="s">
        <v>344</v>
      </c>
      <c r="DK739" t="s">
        <v>345</v>
      </c>
      <c r="DR739" t="s">
        <v>8289</v>
      </c>
      <c r="DS739" s="6">
        <v>13.05</v>
      </c>
      <c r="DT739" t="s">
        <v>424</v>
      </c>
      <c r="DU739" s="1">
        <v>44369</v>
      </c>
      <c r="DV739" s="1">
        <v>44458</v>
      </c>
    </row>
    <row r="740" spans="1:126" ht="15" customHeight="1" x14ac:dyDescent="0.35">
      <c r="A740" t="s">
        <v>10274</v>
      </c>
      <c r="B740" t="s">
        <v>318</v>
      </c>
      <c r="C740" s="1">
        <v>44340</v>
      </c>
      <c r="D740" s="1">
        <v>44369</v>
      </c>
      <c r="H740" t="s">
        <v>319</v>
      </c>
      <c r="I740" t="s">
        <v>1477</v>
      </c>
      <c r="J740" t="s">
        <v>8281</v>
      </c>
      <c r="L740" t="s">
        <v>8228</v>
      </c>
      <c r="M740" t="s">
        <v>8282</v>
      </c>
      <c r="O740" t="s">
        <v>8286</v>
      </c>
      <c r="P740" t="s">
        <v>194</v>
      </c>
      <c r="Q740" s="3">
        <v>32352</v>
      </c>
      <c r="R740" t="s">
        <v>128</v>
      </c>
      <c r="T740" s="4">
        <v>18504436908</v>
      </c>
      <c r="V740" t="s">
        <v>10275</v>
      </c>
      <c r="W740" t="s">
        <v>10276</v>
      </c>
      <c r="X740" t="s">
        <v>10276</v>
      </c>
      <c r="Y740" t="s">
        <v>8282</v>
      </c>
      <c r="AA740" t="s">
        <v>7574</v>
      </c>
      <c r="AB740" t="s">
        <v>195</v>
      </c>
      <c r="AC740" s="3" t="str">
        <f>"32352"</f>
        <v>32352</v>
      </c>
      <c r="AD740" t="s">
        <v>128</v>
      </c>
      <c r="AF740" s="4">
        <v>18504436908</v>
      </c>
      <c r="AH740" t="str">
        <f>"561720"</f>
        <v>561720</v>
      </c>
      <c r="AI740" t="s">
        <v>167</v>
      </c>
      <c r="AX740" t="s">
        <v>131</v>
      </c>
      <c r="AY740" t="s">
        <v>131</v>
      </c>
      <c r="AZ740" t="s">
        <v>131</v>
      </c>
      <c r="BA740" t="s">
        <v>131</v>
      </c>
      <c r="BB740" t="s">
        <v>131</v>
      </c>
      <c r="BC740" t="s">
        <v>131</v>
      </c>
      <c r="BD740" t="s">
        <v>131</v>
      </c>
      <c r="BE740" t="s">
        <v>132</v>
      </c>
      <c r="BH740" t="s">
        <v>10277</v>
      </c>
      <c r="BI740" t="s">
        <v>131</v>
      </c>
      <c r="BL740" t="s">
        <v>401</v>
      </c>
      <c r="BO740" t="s">
        <v>131</v>
      </c>
      <c r="BP740" t="s">
        <v>134</v>
      </c>
      <c r="BQ740" t="s">
        <v>131</v>
      </c>
      <c r="BS740" t="str">
        <f t="shared" si="54"/>
        <v>N/A</v>
      </c>
      <c r="BT740" t="s">
        <v>135</v>
      </c>
      <c r="BU740">
        <v>3</v>
      </c>
      <c r="BV740" t="str">
        <f>"HOUSEKEEPING/MAID/CLEANERS"</f>
        <v>HOUSEKEEPING/MAID/CLEANERS</v>
      </c>
      <c r="BW740" t="s">
        <v>135</v>
      </c>
      <c r="BX740" t="str">
        <f>""</f>
        <v/>
      </c>
      <c r="BY740" t="str">
        <f>""</f>
        <v/>
      </c>
      <c r="BZ740" t="str">
        <f>""</f>
        <v/>
      </c>
      <c r="CA740" t="str">
        <f>"PRE HIRE CRIMINAL BACKGROUND CHECKS TO BE CONDUCTED. "</f>
        <v xml:space="preserve">PRE HIRE CRIMINAL BACKGROUND CHECKS TO BE CONDUCTED. </v>
      </c>
      <c r="CB740" t="s">
        <v>131</v>
      </c>
      <c r="CF740" t="s">
        <v>131</v>
      </c>
      <c r="CH740" t="str">
        <f>""</f>
        <v/>
      </c>
      <c r="CI740" t="s">
        <v>131</v>
      </c>
      <c r="CK740" t="s">
        <v>131</v>
      </c>
      <c r="CL740" t="str">
        <f>""</f>
        <v/>
      </c>
      <c r="CM740" t="str">
        <f>""</f>
        <v/>
      </c>
      <c r="CN740" t="str">
        <f>""</f>
        <v/>
      </c>
      <c r="CO740" t="str">
        <f>""</f>
        <v/>
      </c>
      <c r="CP740" t="str">
        <f>"37-2012.00"</f>
        <v>37-2012.00</v>
      </c>
      <c r="CQ740" t="s">
        <v>479</v>
      </c>
      <c r="CS740" t="s">
        <v>131</v>
      </c>
      <c r="CU740" t="s">
        <v>8282</v>
      </c>
      <c r="CW740" t="s">
        <v>7574</v>
      </c>
      <c r="CX740" t="s">
        <v>195</v>
      </c>
      <c r="CZ740" s="3" t="str">
        <f>"32352"</f>
        <v>32352</v>
      </c>
      <c r="DA740" t="s">
        <v>131</v>
      </c>
      <c r="DB740" t="str">
        <f>"37-2012"</f>
        <v>37-2012</v>
      </c>
      <c r="DC740" t="s">
        <v>479</v>
      </c>
      <c r="DD740" t="s">
        <v>134</v>
      </c>
      <c r="DE740" t="s">
        <v>134</v>
      </c>
      <c r="DF740" t="str">
        <f>""</f>
        <v/>
      </c>
      <c r="DH740" s="6">
        <v>10.24</v>
      </c>
      <c r="DI740" t="s">
        <v>344</v>
      </c>
      <c r="DK740" t="s">
        <v>345</v>
      </c>
      <c r="DR740" t="s">
        <v>10246</v>
      </c>
      <c r="DS740" s="6">
        <v>10.24</v>
      </c>
      <c r="DT740" t="s">
        <v>424</v>
      </c>
      <c r="DU740" s="1">
        <v>44369</v>
      </c>
      <c r="DV740" s="1">
        <v>44458</v>
      </c>
    </row>
    <row r="741" spans="1:126" ht="15" customHeight="1" x14ac:dyDescent="0.35">
      <c r="A741" t="s">
        <v>19711</v>
      </c>
      <c r="B741" t="s">
        <v>318</v>
      </c>
      <c r="C741" s="1">
        <v>44340</v>
      </c>
      <c r="D741" s="1">
        <v>44369</v>
      </c>
      <c r="H741" t="s">
        <v>319</v>
      </c>
      <c r="I741" t="s">
        <v>1477</v>
      </c>
      <c r="J741" t="s">
        <v>8281</v>
      </c>
      <c r="L741" t="s">
        <v>8228</v>
      </c>
      <c r="M741" t="s">
        <v>8282</v>
      </c>
      <c r="O741" t="s">
        <v>8286</v>
      </c>
      <c r="P741" t="s">
        <v>194</v>
      </c>
      <c r="Q741" s="3">
        <v>32352</v>
      </c>
      <c r="R741" t="s">
        <v>128</v>
      </c>
      <c r="T741" s="4">
        <v>18504436908</v>
      </c>
      <c r="V741" t="s">
        <v>12718</v>
      </c>
      <c r="W741" t="s">
        <v>10276</v>
      </c>
      <c r="X741" t="s">
        <v>10276</v>
      </c>
      <c r="Y741" t="s">
        <v>8282</v>
      </c>
      <c r="AA741" t="s">
        <v>7574</v>
      </c>
      <c r="AB741" t="s">
        <v>195</v>
      </c>
      <c r="AC741" s="3" t="str">
        <f>"32352"</f>
        <v>32352</v>
      </c>
      <c r="AD741" t="s">
        <v>128</v>
      </c>
      <c r="AF741" s="4">
        <v>18504436908</v>
      </c>
      <c r="AH741" t="str">
        <f>"561720"</f>
        <v>561720</v>
      </c>
      <c r="AI741" t="s">
        <v>167</v>
      </c>
      <c r="AX741" t="s">
        <v>131</v>
      </c>
      <c r="AY741" t="s">
        <v>131</v>
      </c>
      <c r="AZ741" t="s">
        <v>131</v>
      </c>
      <c r="BA741" t="s">
        <v>131</v>
      </c>
      <c r="BB741" t="s">
        <v>131</v>
      </c>
      <c r="BC741" t="s">
        <v>131</v>
      </c>
      <c r="BD741" t="s">
        <v>131</v>
      </c>
      <c r="BE741" t="s">
        <v>132</v>
      </c>
      <c r="BH741" t="s">
        <v>10277</v>
      </c>
      <c r="BI741" t="s">
        <v>131</v>
      </c>
      <c r="BL741" t="s">
        <v>401</v>
      </c>
      <c r="BO741" t="s">
        <v>131</v>
      </c>
      <c r="BP741" t="s">
        <v>134</v>
      </c>
      <c r="BQ741" t="s">
        <v>135</v>
      </c>
      <c r="BR741">
        <v>3</v>
      </c>
      <c r="BS741" t="str">
        <f>"HOUSEKEEPING/MAID/CLEANERS"</f>
        <v>HOUSEKEEPING/MAID/CLEANERS</v>
      </c>
      <c r="BT741" t="s">
        <v>131</v>
      </c>
      <c r="BV741" t="str">
        <f>""</f>
        <v/>
      </c>
      <c r="BW741" t="s">
        <v>135</v>
      </c>
      <c r="BX741" t="str">
        <f>""</f>
        <v/>
      </c>
      <c r="BY741" t="str">
        <f>""</f>
        <v/>
      </c>
      <c r="BZ741" t="str">
        <f>""</f>
        <v/>
      </c>
      <c r="CA741" t="str">
        <f>"PRE HIRE CRIMINAL BACKGROUND CHECKS TO BE CONDUCTED."</f>
        <v>PRE HIRE CRIMINAL BACKGROUND CHECKS TO BE CONDUCTED.</v>
      </c>
      <c r="CB741" t="s">
        <v>131</v>
      </c>
      <c r="CF741" t="s">
        <v>131</v>
      </c>
      <c r="CH741" t="str">
        <f>""</f>
        <v/>
      </c>
      <c r="CI741" t="s">
        <v>131</v>
      </c>
      <c r="CK741" t="s">
        <v>131</v>
      </c>
      <c r="CL741" t="str">
        <f>""</f>
        <v/>
      </c>
      <c r="CM741" t="str">
        <f>""</f>
        <v/>
      </c>
      <c r="CN741" t="str">
        <f>""</f>
        <v/>
      </c>
      <c r="CO741" t="str">
        <f>""</f>
        <v/>
      </c>
      <c r="CP741" t="str">
        <f>"37-2012.00"</f>
        <v>37-2012.00</v>
      </c>
      <c r="CQ741" t="s">
        <v>479</v>
      </c>
      <c r="CS741" t="s">
        <v>131</v>
      </c>
      <c r="CU741" t="s">
        <v>18072</v>
      </c>
      <c r="CW741" t="s">
        <v>8791</v>
      </c>
      <c r="CX741" t="s">
        <v>779</v>
      </c>
      <c r="CZ741" s="3" t="str">
        <f>"37876"</f>
        <v>37876</v>
      </c>
      <c r="DA741" t="s">
        <v>131</v>
      </c>
      <c r="DB741" t="str">
        <f>"37-2012"</f>
        <v>37-2012</v>
      </c>
      <c r="DC741" t="s">
        <v>479</v>
      </c>
      <c r="DD741" t="s">
        <v>134</v>
      </c>
      <c r="DE741" t="s">
        <v>134</v>
      </c>
      <c r="DF741" t="str">
        <f>""</f>
        <v/>
      </c>
      <c r="DH741" s="6">
        <v>10.88</v>
      </c>
      <c r="DI741" t="s">
        <v>344</v>
      </c>
      <c r="DK741" t="s">
        <v>345</v>
      </c>
      <c r="DR741" t="s">
        <v>8289</v>
      </c>
      <c r="DS741" s="6">
        <v>10.88</v>
      </c>
      <c r="DT741" t="s">
        <v>424</v>
      </c>
      <c r="DU741" s="1">
        <v>44369</v>
      </c>
      <c r="DV741" s="1">
        <v>44458</v>
      </c>
    </row>
    <row r="742" spans="1:126" ht="15" customHeight="1" x14ac:dyDescent="0.35">
      <c r="A742" t="s">
        <v>12716</v>
      </c>
      <c r="B742" t="s">
        <v>318</v>
      </c>
      <c r="C742" s="1">
        <v>44340</v>
      </c>
      <c r="D742" s="1">
        <v>44369</v>
      </c>
      <c r="H742" t="s">
        <v>319</v>
      </c>
      <c r="I742" t="s">
        <v>1477</v>
      </c>
      <c r="J742" t="s">
        <v>12717</v>
      </c>
      <c r="L742" t="s">
        <v>8228</v>
      </c>
      <c r="M742" t="s">
        <v>8282</v>
      </c>
      <c r="O742" t="s">
        <v>8286</v>
      </c>
      <c r="P742" t="s">
        <v>194</v>
      </c>
      <c r="Q742" s="3">
        <v>32352</v>
      </c>
      <c r="R742" t="s">
        <v>128</v>
      </c>
      <c r="T742" s="4">
        <v>18504436908</v>
      </c>
      <c r="V742" t="s">
        <v>12718</v>
      </c>
      <c r="W742" t="s">
        <v>10276</v>
      </c>
      <c r="X742" t="s">
        <v>10276</v>
      </c>
      <c r="Y742" t="s">
        <v>8282</v>
      </c>
      <c r="AA742" t="s">
        <v>8286</v>
      </c>
      <c r="AB742" t="s">
        <v>195</v>
      </c>
      <c r="AC742" s="3" t="str">
        <f>"32352"</f>
        <v>32352</v>
      </c>
      <c r="AD742" t="s">
        <v>128</v>
      </c>
      <c r="AF742" s="4">
        <v>18504436908</v>
      </c>
      <c r="AH742" t="str">
        <f>"561720"</f>
        <v>561720</v>
      </c>
      <c r="AI742" t="s">
        <v>167</v>
      </c>
      <c r="AX742" t="s">
        <v>131</v>
      </c>
      <c r="AY742" t="s">
        <v>131</v>
      </c>
      <c r="AZ742" t="s">
        <v>131</v>
      </c>
      <c r="BA742" t="s">
        <v>131</v>
      </c>
      <c r="BB742" t="s">
        <v>131</v>
      </c>
      <c r="BC742" t="s">
        <v>131</v>
      </c>
      <c r="BD742" t="s">
        <v>131</v>
      </c>
      <c r="BE742" t="s">
        <v>132</v>
      </c>
      <c r="BH742" t="s">
        <v>12719</v>
      </c>
      <c r="BI742" t="s">
        <v>131</v>
      </c>
      <c r="BL742" t="s">
        <v>401</v>
      </c>
      <c r="BO742" t="s">
        <v>131</v>
      </c>
      <c r="BP742" t="s">
        <v>134</v>
      </c>
      <c r="BQ742" t="s">
        <v>131</v>
      </c>
      <c r="BS742" t="str">
        <f t="shared" ref="BS742:BS773" si="55">"N/A"</f>
        <v>N/A</v>
      </c>
      <c r="BT742" t="s">
        <v>135</v>
      </c>
      <c r="BU742">
        <v>3</v>
      </c>
      <c r="BV742" t="str">
        <f>"HOUSEKEEPING/CLEANERS"</f>
        <v>HOUSEKEEPING/CLEANERS</v>
      </c>
      <c r="BW742" t="s">
        <v>135</v>
      </c>
      <c r="BX742" t="str">
        <f>""</f>
        <v/>
      </c>
      <c r="BY742" t="str">
        <f>""</f>
        <v/>
      </c>
      <c r="BZ742" t="str">
        <f>""</f>
        <v/>
      </c>
      <c r="CA742" t="str">
        <f>"PRE HIRE CRIMINAL BA.CKGROUND CHECKS TO BE CONDUCTED"</f>
        <v>PRE HIRE CRIMINAL BA.CKGROUND CHECKS TO BE CONDUCTED</v>
      </c>
      <c r="CB742" t="s">
        <v>131</v>
      </c>
      <c r="CF742" t="s">
        <v>131</v>
      </c>
      <c r="CH742" t="str">
        <f>""</f>
        <v/>
      </c>
      <c r="CI742" t="s">
        <v>131</v>
      </c>
      <c r="CK742" t="s">
        <v>131</v>
      </c>
      <c r="CL742" t="str">
        <f>""</f>
        <v/>
      </c>
      <c r="CM742" t="str">
        <f>""</f>
        <v/>
      </c>
      <c r="CN742" t="str">
        <f>""</f>
        <v/>
      </c>
      <c r="CO742" t="str">
        <f>""</f>
        <v/>
      </c>
      <c r="CP742" t="str">
        <f>"37-2012.00"</f>
        <v>37-2012.00</v>
      </c>
      <c r="CQ742" t="s">
        <v>479</v>
      </c>
      <c r="CS742" t="s">
        <v>131</v>
      </c>
      <c r="CU742" t="s">
        <v>12720</v>
      </c>
      <c r="CW742" t="s">
        <v>11527</v>
      </c>
      <c r="CX742" t="s">
        <v>389</v>
      </c>
      <c r="CZ742" s="3" t="str">
        <f>"53965"</f>
        <v>53965</v>
      </c>
      <c r="DA742" t="s">
        <v>131</v>
      </c>
      <c r="DB742" t="str">
        <f>"37-2012"</f>
        <v>37-2012</v>
      </c>
      <c r="DC742" t="s">
        <v>479</v>
      </c>
      <c r="DD742" t="s">
        <v>134</v>
      </c>
      <c r="DE742" t="s">
        <v>134</v>
      </c>
      <c r="DF742" t="str">
        <f>""</f>
        <v/>
      </c>
      <c r="DH742" s="6">
        <v>11.44</v>
      </c>
      <c r="DI742" t="s">
        <v>344</v>
      </c>
      <c r="DK742" t="s">
        <v>345</v>
      </c>
      <c r="DR742" t="s">
        <v>12721</v>
      </c>
      <c r="DS742" s="6">
        <v>11.44</v>
      </c>
      <c r="DT742" t="s">
        <v>424</v>
      </c>
      <c r="DU742" s="1">
        <v>44369</v>
      </c>
      <c r="DV742" s="1">
        <v>44458</v>
      </c>
    </row>
    <row r="743" spans="1:126" ht="15" customHeight="1" x14ac:dyDescent="0.35">
      <c r="A743" t="s">
        <v>3242</v>
      </c>
      <c r="B743" t="s">
        <v>318</v>
      </c>
      <c r="C743" s="1">
        <v>44340</v>
      </c>
      <c r="D743" s="1">
        <v>44368</v>
      </c>
      <c r="H743" t="s">
        <v>319</v>
      </c>
      <c r="I743" t="s">
        <v>462</v>
      </c>
      <c r="J743" t="s">
        <v>463</v>
      </c>
      <c r="L743" t="s">
        <v>464</v>
      </c>
      <c r="M743" t="s">
        <v>465</v>
      </c>
      <c r="O743" t="s">
        <v>466</v>
      </c>
      <c r="P743" t="s">
        <v>467</v>
      </c>
      <c r="Q743" s="3">
        <v>80021</v>
      </c>
      <c r="R743" t="s">
        <v>128</v>
      </c>
      <c r="T743" s="4">
        <v>13034041800</v>
      </c>
      <c r="V743" t="s">
        <v>468</v>
      </c>
      <c r="W743" t="s">
        <v>3243</v>
      </c>
      <c r="X743" t="s">
        <v>3244</v>
      </c>
      <c r="Y743" t="s">
        <v>3245</v>
      </c>
      <c r="AA743" t="s">
        <v>3246</v>
      </c>
      <c r="AB743" t="s">
        <v>2549</v>
      </c>
      <c r="AC743" s="3" t="str">
        <f>"05356"</f>
        <v>05356</v>
      </c>
      <c r="AD743" t="s">
        <v>128</v>
      </c>
      <c r="AF743" s="4">
        <v>13034041800</v>
      </c>
      <c r="AH743" t="str">
        <f>"713920"</f>
        <v>713920</v>
      </c>
      <c r="AI743" t="s">
        <v>130</v>
      </c>
      <c r="AJ743" t="s">
        <v>472</v>
      </c>
      <c r="AK743" t="s">
        <v>473</v>
      </c>
      <c r="AL743" t="s">
        <v>474</v>
      </c>
      <c r="AM743" t="s">
        <v>475</v>
      </c>
      <c r="AN743" t="s">
        <v>439</v>
      </c>
      <c r="AO743" t="s">
        <v>476</v>
      </c>
      <c r="AP743" t="s">
        <v>172</v>
      </c>
      <c r="AQ743" s="5">
        <v>90071</v>
      </c>
      <c r="AR743" t="s">
        <v>128</v>
      </c>
      <c r="AT743" s="4">
        <v>13108203322</v>
      </c>
      <c r="AV743" t="s">
        <v>477</v>
      </c>
      <c r="AW743" t="s">
        <v>386</v>
      </c>
      <c r="AX743" t="s">
        <v>131</v>
      </c>
      <c r="AY743" t="s">
        <v>131</v>
      </c>
      <c r="AZ743" t="s">
        <v>131</v>
      </c>
      <c r="BA743" t="s">
        <v>131</v>
      </c>
      <c r="BB743" t="s">
        <v>131</v>
      </c>
      <c r="BC743" t="s">
        <v>131</v>
      </c>
      <c r="BD743" t="s">
        <v>131</v>
      </c>
      <c r="BE743" t="s">
        <v>132</v>
      </c>
      <c r="BH743" t="s">
        <v>478</v>
      </c>
      <c r="BI743" t="s">
        <v>131</v>
      </c>
      <c r="BL743" t="s">
        <v>167</v>
      </c>
      <c r="BO743" t="s">
        <v>131</v>
      </c>
      <c r="BP743" t="s">
        <v>134</v>
      </c>
      <c r="BQ743" t="s">
        <v>131</v>
      </c>
      <c r="BS743" t="str">
        <f t="shared" si="55"/>
        <v>N/A</v>
      </c>
      <c r="BT743" t="s">
        <v>135</v>
      </c>
      <c r="BU743">
        <v>12</v>
      </c>
      <c r="BV743" t="str">
        <f>"Maid, Housekeeping cleaner or related"</f>
        <v>Maid, Housekeeping cleaner or related</v>
      </c>
      <c r="BW743" t="s">
        <v>135</v>
      </c>
      <c r="BX743" t="str">
        <f>""</f>
        <v/>
      </c>
      <c r="BY743" t="str">
        <f>""</f>
        <v/>
      </c>
      <c r="BZ743" t="str">
        <f>""</f>
        <v/>
      </c>
      <c r="CA743" t="str">
        <f>" Must be able to lift 50 lbs. Must be able to stand for extended periods of time. Must have a minimum of 1 year of housekeeping experience."</f>
        <v xml:space="preserve"> Must be able to lift 50 lbs. Must be able to stand for extended periods of time. Must have a minimum of 1 year of housekeeping experience.</v>
      </c>
      <c r="CB743" t="s">
        <v>131</v>
      </c>
      <c r="CF743" t="s">
        <v>131</v>
      </c>
      <c r="CH743" t="str">
        <f>""</f>
        <v/>
      </c>
      <c r="CI743" t="s">
        <v>131</v>
      </c>
      <c r="CK743" t="s">
        <v>131</v>
      </c>
      <c r="CL743" t="str">
        <f>""</f>
        <v/>
      </c>
      <c r="CM743" t="str">
        <f>""</f>
        <v/>
      </c>
      <c r="CN743" t="str">
        <f>""</f>
        <v/>
      </c>
      <c r="CO743" t="str">
        <f>""</f>
        <v/>
      </c>
      <c r="CP743" t="str">
        <f>"37-2012.00"</f>
        <v>37-2012.00</v>
      </c>
      <c r="CQ743" t="s">
        <v>479</v>
      </c>
      <c r="CR743" t="s">
        <v>480</v>
      </c>
      <c r="CS743" t="s">
        <v>131</v>
      </c>
      <c r="CU743" t="s">
        <v>3245</v>
      </c>
      <c r="CW743" t="s">
        <v>3246</v>
      </c>
      <c r="CX743" t="s">
        <v>2549</v>
      </c>
      <c r="CZ743" s="3" t="str">
        <f>"05356"</f>
        <v>05356</v>
      </c>
      <c r="DA743" t="s">
        <v>131</v>
      </c>
      <c r="DB743" t="str">
        <f>"37-2012"</f>
        <v>37-2012</v>
      </c>
      <c r="DC743" t="s">
        <v>479</v>
      </c>
      <c r="DD743" t="s">
        <v>134</v>
      </c>
      <c r="DE743" t="s">
        <v>134</v>
      </c>
      <c r="DF743" t="str">
        <f>""</f>
        <v/>
      </c>
      <c r="DH743" s="6">
        <v>13.2</v>
      </c>
      <c r="DI743" t="s">
        <v>344</v>
      </c>
      <c r="DK743" t="s">
        <v>345</v>
      </c>
      <c r="DS743" s="6">
        <v>13.2</v>
      </c>
      <c r="DT743" t="s">
        <v>424</v>
      </c>
      <c r="DU743" s="1">
        <v>44368</v>
      </c>
      <c r="DV743" s="1">
        <v>44457</v>
      </c>
    </row>
    <row r="744" spans="1:126" ht="15" customHeight="1" x14ac:dyDescent="0.35">
      <c r="A744" t="s">
        <v>14229</v>
      </c>
      <c r="B744" t="s">
        <v>318</v>
      </c>
      <c r="C744" s="1">
        <v>44340</v>
      </c>
      <c r="D744" s="1">
        <v>44368</v>
      </c>
      <c r="H744" t="s">
        <v>319</v>
      </c>
      <c r="I744" t="s">
        <v>462</v>
      </c>
      <c r="J744" t="s">
        <v>463</v>
      </c>
      <c r="L744" t="s">
        <v>464</v>
      </c>
      <c r="M744" t="s">
        <v>465</v>
      </c>
      <c r="O744" t="s">
        <v>466</v>
      </c>
      <c r="P744" t="s">
        <v>467</v>
      </c>
      <c r="Q744" s="3">
        <v>80021</v>
      </c>
      <c r="R744" t="s">
        <v>128</v>
      </c>
      <c r="T744" s="4">
        <v>13034041800</v>
      </c>
      <c r="V744" t="s">
        <v>468</v>
      </c>
      <c r="W744" t="s">
        <v>14230</v>
      </c>
      <c r="X744" t="s">
        <v>14231</v>
      </c>
      <c r="Y744" t="s">
        <v>14232</v>
      </c>
      <c r="AA744" t="s">
        <v>8876</v>
      </c>
      <c r="AB744" t="s">
        <v>129</v>
      </c>
      <c r="AC744" s="3" t="str">
        <f>"12442"</f>
        <v>12442</v>
      </c>
      <c r="AD744" t="s">
        <v>128</v>
      </c>
      <c r="AF744" s="4">
        <v>13034041800</v>
      </c>
      <c r="AH744" t="str">
        <f>"721110"</f>
        <v>721110</v>
      </c>
      <c r="AI744" t="s">
        <v>130</v>
      </c>
      <c r="AJ744" t="s">
        <v>472</v>
      </c>
      <c r="AK744" t="s">
        <v>473</v>
      </c>
      <c r="AL744" t="s">
        <v>474</v>
      </c>
      <c r="AM744" t="s">
        <v>475</v>
      </c>
      <c r="AN744" t="s">
        <v>439</v>
      </c>
      <c r="AO744" t="s">
        <v>476</v>
      </c>
      <c r="AP744" t="s">
        <v>172</v>
      </c>
      <c r="AQ744" s="5">
        <v>90071</v>
      </c>
      <c r="AR744" t="s">
        <v>128</v>
      </c>
      <c r="AT744" s="4">
        <v>13108203322</v>
      </c>
      <c r="AV744" t="s">
        <v>477</v>
      </c>
      <c r="AW744" t="s">
        <v>386</v>
      </c>
      <c r="AX744" t="s">
        <v>131</v>
      </c>
      <c r="AY744" t="s">
        <v>131</v>
      </c>
      <c r="AZ744" t="s">
        <v>131</v>
      </c>
      <c r="BA744" t="s">
        <v>131</v>
      </c>
      <c r="BB744" t="s">
        <v>131</v>
      </c>
      <c r="BC744" t="s">
        <v>131</v>
      </c>
      <c r="BD744" t="s">
        <v>131</v>
      </c>
      <c r="BE744" t="s">
        <v>132</v>
      </c>
      <c r="BH744" t="s">
        <v>478</v>
      </c>
      <c r="BI744" t="s">
        <v>131</v>
      </c>
      <c r="BL744" t="s">
        <v>167</v>
      </c>
      <c r="BO744" t="s">
        <v>131</v>
      </c>
      <c r="BP744" t="s">
        <v>134</v>
      </c>
      <c r="BQ744" t="s">
        <v>131</v>
      </c>
      <c r="BS744" t="str">
        <f t="shared" si="55"/>
        <v>N/A</v>
      </c>
      <c r="BT744" t="s">
        <v>135</v>
      </c>
      <c r="BU744">
        <v>12</v>
      </c>
      <c r="BV744" t="str">
        <f>"Maid, Housekeeping cleaner or related"</f>
        <v>Maid, Housekeeping cleaner or related</v>
      </c>
      <c r="BW744" t="s">
        <v>135</v>
      </c>
      <c r="BX744" t="str">
        <f>""</f>
        <v/>
      </c>
      <c r="BY744" t="str">
        <f>""</f>
        <v/>
      </c>
      <c r="BZ744" t="str">
        <f>""</f>
        <v/>
      </c>
      <c r="CA744" t="str">
        <f>"Must be able to lift 50 lbs. Must be able to stand for extended periods of time. Must have a minimum of 1 year of housekeeping experience."</f>
        <v>Must be able to lift 50 lbs. Must be able to stand for extended periods of time. Must have a minimum of 1 year of housekeeping experience.</v>
      </c>
      <c r="CB744" t="s">
        <v>131</v>
      </c>
      <c r="CF744" t="s">
        <v>131</v>
      </c>
      <c r="CH744" t="str">
        <f>""</f>
        <v/>
      </c>
      <c r="CI744" t="s">
        <v>131</v>
      </c>
      <c r="CK744" t="s">
        <v>131</v>
      </c>
      <c r="CL744" t="str">
        <f>""</f>
        <v/>
      </c>
      <c r="CM744" t="str">
        <f>""</f>
        <v/>
      </c>
      <c r="CN744" t="str">
        <f>""</f>
        <v/>
      </c>
      <c r="CO744" t="str">
        <f>""</f>
        <v/>
      </c>
      <c r="CP744" t="str">
        <f>"37-2012.00"</f>
        <v>37-2012.00</v>
      </c>
      <c r="CQ744" t="s">
        <v>479</v>
      </c>
      <c r="CR744" t="s">
        <v>480</v>
      </c>
      <c r="CS744" t="s">
        <v>131</v>
      </c>
      <c r="CU744" t="s">
        <v>14232</v>
      </c>
      <c r="CW744" t="s">
        <v>8876</v>
      </c>
      <c r="CX744" t="s">
        <v>129</v>
      </c>
      <c r="CZ744" s="3" t="str">
        <f>"12442"</f>
        <v>12442</v>
      </c>
      <c r="DA744" t="s">
        <v>131</v>
      </c>
      <c r="DB744" t="str">
        <f>"37-2012"</f>
        <v>37-2012</v>
      </c>
      <c r="DC744" t="s">
        <v>479</v>
      </c>
      <c r="DD744" t="s">
        <v>134</v>
      </c>
      <c r="DE744" t="s">
        <v>134</v>
      </c>
      <c r="DF744" t="str">
        <f>""</f>
        <v/>
      </c>
      <c r="DH744" s="6">
        <v>17.34</v>
      </c>
      <c r="DI744" t="s">
        <v>344</v>
      </c>
      <c r="DK744" t="s">
        <v>345</v>
      </c>
      <c r="DS744" s="6">
        <v>17.34</v>
      </c>
      <c r="DT744" t="s">
        <v>424</v>
      </c>
      <c r="DU744" s="1">
        <v>44368</v>
      </c>
      <c r="DV744" s="1">
        <v>44457</v>
      </c>
    </row>
    <row r="745" spans="1:126" ht="15" customHeight="1" x14ac:dyDescent="0.35">
      <c r="A745" t="s">
        <v>8280</v>
      </c>
      <c r="B745" t="s">
        <v>318</v>
      </c>
      <c r="C745" s="1">
        <v>44340</v>
      </c>
      <c r="D745" s="1">
        <v>44369</v>
      </c>
      <c r="H745" t="s">
        <v>319</v>
      </c>
      <c r="I745" t="s">
        <v>1477</v>
      </c>
      <c r="J745" t="s">
        <v>8281</v>
      </c>
      <c r="L745" t="s">
        <v>8228</v>
      </c>
      <c r="M745" t="s">
        <v>8282</v>
      </c>
      <c r="O745" t="s">
        <v>7574</v>
      </c>
      <c r="P745" t="s">
        <v>194</v>
      </c>
      <c r="Q745" s="3">
        <v>32352</v>
      </c>
      <c r="R745" t="s">
        <v>128</v>
      </c>
      <c r="T745" s="4">
        <v>18504436908</v>
      </c>
      <c r="V745" t="s">
        <v>8283</v>
      </c>
      <c r="W745" t="s">
        <v>8284</v>
      </c>
      <c r="X745" t="s">
        <v>8284</v>
      </c>
      <c r="Y745" t="s">
        <v>8285</v>
      </c>
      <c r="AA745" t="s">
        <v>8286</v>
      </c>
      <c r="AB745" t="s">
        <v>195</v>
      </c>
      <c r="AC745" s="3" t="str">
        <f>"32352"</f>
        <v>32352</v>
      </c>
      <c r="AD745" t="s">
        <v>128</v>
      </c>
      <c r="AF745" s="4">
        <v>14708004280</v>
      </c>
      <c r="AH745" t="str">
        <f>"722511"</f>
        <v>722511</v>
      </c>
      <c r="AI745" t="s">
        <v>167</v>
      </c>
      <c r="AX745" t="s">
        <v>131</v>
      </c>
      <c r="AY745" t="s">
        <v>131</v>
      </c>
      <c r="AZ745" t="s">
        <v>131</v>
      </c>
      <c r="BA745" t="s">
        <v>131</v>
      </c>
      <c r="BB745" t="s">
        <v>131</v>
      </c>
      <c r="BC745" t="s">
        <v>131</v>
      </c>
      <c r="BD745" t="s">
        <v>131</v>
      </c>
      <c r="BE745" t="s">
        <v>132</v>
      </c>
      <c r="BH745" t="s">
        <v>6218</v>
      </c>
      <c r="BI745" t="s">
        <v>131</v>
      </c>
      <c r="BL745" t="s">
        <v>401</v>
      </c>
      <c r="BO745" t="s">
        <v>131</v>
      </c>
      <c r="BP745" t="s">
        <v>134</v>
      </c>
      <c r="BQ745" t="s">
        <v>131</v>
      </c>
      <c r="BS745" t="str">
        <f t="shared" si="55"/>
        <v>N/A</v>
      </c>
      <c r="BT745" t="s">
        <v>135</v>
      </c>
      <c r="BU745">
        <v>3</v>
      </c>
      <c r="BV745" t="str">
        <f>"COOKING"</f>
        <v>COOKING</v>
      </c>
      <c r="BW745" t="s">
        <v>135</v>
      </c>
      <c r="BX745" t="str">
        <f>""</f>
        <v/>
      </c>
      <c r="BY745" t="str">
        <f>""</f>
        <v/>
      </c>
      <c r="BZ745" t="str">
        <f>""</f>
        <v/>
      </c>
      <c r="CA745" t="str">
        <f>"PRE HIRE CRIMINAL BACKGROUND CHECKS TO BE CONDUCTED."</f>
        <v>PRE HIRE CRIMINAL BACKGROUND CHECKS TO BE CONDUCTED.</v>
      </c>
      <c r="CB745" t="s">
        <v>131</v>
      </c>
      <c r="CF745" t="s">
        <v>131</v>
      </c>
      <c r="CH745" t="str">
        <f>""</f>
        <v/>
      </c>
      <c r="CI745" t="s">
        <v>131</v>
      </c>
      <c r="CK745" t="s">
        <v>131</v>
      </c>
      <c r="CL745" t="str">
        <f>""</f>
        <v/>
      </c>
      <c r="CM745" t="str">
        <f>""</f>
        <v/>
      </c>
      <c r="CN745" t="str">
        <f>""</f>
        <v/>
      </c>
      <c r="CO745" t="str">
        <f>""</f>
        <v/>
      </c>
      <c r="CP745" t="str">
        <f>"35-2014.00"</f>
        <v>35-2014.00</v>
      </c>
      <c r="CQ745" t="s">
        <v>581</v>
      </c>
      <c r="CS745" t="s">
        <v>131</v>
      </c>
      <c r="CU745" t="s">
        <v>8287</v>
      </c>
      <c r="CW745" t="s">
        <v>8288</v>
      </c>
      <c r="CX745" t="s">
        <v>779</v>
      </c>
      <c r="CZ745" s="3" t="str">
        <f>"37863"</f>
        <v>37863</v>
      </c>
      <c r="DA745" t="s">
        <v>135</v>
      </c>
      <c r="DB745" t="str">
        <f>"35-2014"</f>
        <v>35-2014</v>
      </c>
      <c r="DC745" t="s">
        <v>581</v>
      </c>
      <c r="DD745" t="s">
        <v>134</v>
      </c>
      <c r="DE745" t="s">
        <v>134</v>
      </c>
      <c r="DF745" t="str">
        <f>""</f>
        <v/>
      </c>
      <c r="DH745" s="6">
        <v>13.05</v>
      </c>
      <c r="DI745" t="s">
        <v>344</v>
      </c>
      <c r="DK745" t="s">
        <v>345</v>
      </c>
      <c r="DR745" t="s">
        <v>8289</v>
      </c>
      <c r="DS745" s="6">
        <v>13.05</v>
      </c>
      <c r="DT745" s="2" t="s">
        <v>2219</v>
      </c>
      <c r="DU745" s="1">
        <v>44369</v>
      </c>
      <c r="DV745" s="1">
        <v>44458</v>
      </c>
    </row>
    <row r="746" spans="1:126" ht="15" customHeight="1" x14ac:dyDescent="0.35">
      <c r="A746" t="s">
        <v>12962</v>
      </c>
      <c r="B746" t="s">
        <v>318</v>
      </c>
      <c r="C746" s="1">
        <v>44340</v>
      </c>
      <c r="D746" s="1">
        <v>44369</v>
      </c>
      <c r="H746" t="s">
        <v>319</v>
      </c>
      <c r="I746" t="s">
        <v>1477</v>
      </c>
      <c r="J746" t="s">
        <v>8281</v>
      </c>
      <c r="L746" t="s">
        <v>8228</v>
      </c>
      <c r="M746" t="s">
        <v>8282</v>
      </c>
      <c r="O746" t="s">
        <v>7574</v>
      </c>
      <c r="P746" t="s">
        <v>194</v>
      </c>
      <c r="Q746" s="3">
        <v>32352</v>
      </c>
      <c r="R746" t="s">
        <v>128</v>
      </c>
      <c r="T746" s="4">
        <v>18504436908</v>
      </c>
      <c r="V746" t="s">
        <v>8283</v>
      </c>
      <c r="W746" t="s">
        <v>8284</v>
      </c>
      <c r="X746" t="s">
        <v>8284</v>
      </c>
      <c r="Y746" t="s">
        <v>8285</v>
      </c>
      <c r="AA746" t="s">
        <v>7574</v>
      </c>
      <c r="AB746" t="s">
        <v>195</v>
      </c>
      <c r="AC746" s="3" t="str">
        <f>"32352"</f>
        <v>32352</v>
      </c>
      <c r="AD746" t="s">
        <v>128</v>
      </c>
      <c r="AF746" s="4">
        <v>14708004280</v>
      </c>
      <c r="AH746" t="str">
        <f>"722511"</f>
        <v>722511</v>
      </c>
      <c r="AI746" t="s">
        <v>167</v>
      </c>
      <c r="AX746" t="s">
        <v>131</v>
      </c>
      <c r="AY746" t="s">
        <v>131</v>
      </c>
      <c r="AZ746" t="s">
        <v>131</v>
      </c>
      <c r="BA746" t="s">
        <v>131</v>
      </c>
      <c r="BB746" t="s">
        <v>131</v>
      </c>
      <c r="BC746" t="s">
        <v>131</v>
      </c>
      <c r="BD746" t="s">
        <v>131</v>
      </c>
      <c r="BE746" t="s">
        <v>132</v>
      </c>
      <c r="BH746" t="s">
        <v>12963</v>
      </c>
      <c r="BI746" t="s">
        <v>131</v>
      </c>
      <c r="BL746" t="s">
        <v>401</v>
      </c>
      <c r="BO746" t="s">
        <v>131</v>
      </c>
      <c r="BP746" t="s">
        <v>134</v>
      </c>
      <c r="BQ746" t="s">
        <v>131</v>
      </c>
      <c r="BS746" t="str">
        <f t="shared" si="55"/>
        <v>N/A</v>
      </c>
      <c r="BT746" t="s">
        <v>135</v>
      </c>
      <c r="BU746">
        <v>2</v>
      </c>
      <c r="BV746" t="str">
        <f>"HOST/HOSTESS"</f>
        <v>HOST/HOSTESS</v>
      </c>
      <c r="BW746" t="s">
        <v>135</v>
      </c>
      <c r="BX746" t="str">
        <f>""</f>
        <v/>
      </c>
      <c r="BY746" t="str">
        <f>""</f>
        <v/>
      </c>
      <c r="BZ746" t="str">
        <f>""</f>
        <v/>
      </c>
      <c r="CA746" t="str">
        <f>"PRE HIRE CRIMINAL BACKGROUND CHECKS TO BE CONDUCTED."</f>
        <v>PRE HIRE CRIMINAL BACKGROUND CHECKS TO BE CONDUCTED.</v>
      </c>
      <c r="CB746" t="s">
        <v>131</v>
      </c>
      <c r="CF746" t="s">
        <v>131</v>
      </c>
      <c r="CH746" t="str">
        <f>""</f>
        <v/>
      </c>
      <c r="CI746" t="s">
        <v>131</v>
      </c>
      <c r="CK746" t="s">
        <v>131</v>
      </c>
      <c r="CL746" t="str">
        <f>""</f>
        <v/>
      </c>
      <c r="CM746" t="str">
        <f>""</f>
        <v/>
      </c>
      <c r="CN746" t="str">
        <f>""</f>
        <v/>
      </c>
      <c r="CO746" t="str">
        <f>""</f>
        <v/>
      </c>
      <c r="CP746" t="str">
        <f>"35-9011.00"</f>
        <v>35-9011.00</v>
      </c>
      <c r="CQ746" t="s">
        <v>1016</v>
      </c>
      <c r="CS746" t="s">
        <v>131</v>
      </c>
      <c r="CU746" t="s">
        <v>8287</v>
      </c>
      <c r="CW746" t="s">
        <v>8288</v>
      </c>
      <c r="CX746" t="s">
        <v>779</v>
      </c>
      <c r="CZ746" s="3" t="str">
        <f>"37863"</f>
        <v>37863</v>
      </c>
      <c r="DA746" t="s">
        <v>135</v>
      </c>
      <c r="DB746" t="str">
        <f>"35-9011"</f>
        <v>35-9011</v>
      </c>
      <c r="DC746" t="s">
        <v>1016</v>
      </c>
      <c r="DD746" t="s">
        <v>134</v>
      </c>
      <c r="DE746" t="s">
        <v>134</v>
      </c>
      <c r="DF746" t="str">
        <f>""</f>
        <v/>
      </c>
      <c r="DH746" s="6">
        <v>10.41</v>
      </c>
      <c r="DI746" t="s">
        <v>344</v>
      </c>
      <c r="DK746" t="s">
        <v>345</v>
      </c>
      <c r="DR746" t="s">
        <v>8289</v>
      </c>
      <c r="DS746" s="6">
        <v>10.41</v>
      </c>
      <c r="DT746" s="2" t="s">
        <v>2219</v>
      </c>
      <c r="DU746" s="1">
        <v>44369</v>
      </c>
      <c r="DV746" s="1">
        <v>44458</v>
      </c>
    </row>
    <row r="747" spans="1:126" ht="15" customHeight="1" x14ac:dyDescent="0.35">
      <c r="A747" t="s">
        <v>9640</v>
      </c>
      <c r="B747" t="s">
        <v>318</v>
      </c>
      <c r="C747" s="1">
        <v>44340</v>
      </c>
      <c r="D747" s="1">
        <v>44369</v>
      </c>
      <c r="H747" t="s">
        <v>319</v>
      </c>
      <c r="I747" t="s">
        <v>1477</v>
      </c>
      <c r="J747" t="s">
        <v>8281</v>
      </c>
      <c r="L747" t="s">
        <v>392</v>
      </c>
      <c r="M747" t="s">
        <v>8282</v>
      </c>
      <c r="O747" t="s">
        <v>8286</v>
      </c>
      <c r="P747" t="s">
        <v>194</v>
      </c>
      <c r="Q747" s="3">
        <v>32352</v>
      </c>
      <c r="R747" t="s">
        <v>128</v>
      </c>
      <c r="T747" s="4">
        <v>18504436908</v>
      </c>
      <c r="V747" t="s">
        <v>8283</v>
      </c>
      <c r="W747" t="s">
        <v>8284</v>
      </c>
      <c r="X747" t="s">
        <v>8284</v>
      </c>
      <c r="Y747" t="s">
        <v>8285</v>
      </c>
      <c r="AA747" t="s">
        <v>7574</v>
      </c>
      <c r="AB747" t="s">
        <v>195</v>
      </c>
      <c r="AC747" s="3" t="str">
        <f>"32352"</f>
        <v>32352</v>
      </c>
      <c r="AD747" t="s">
        <v>128</v>
      </c>
      <c r="AF747" s="4">
        <v>14708004280</v>
      </c>
      <c r="AH747" t="str">
        <f>"722511"</f>
        <v>722511</v>
      </c>
      <c r="AI747" t="s">
        <v>167</v>
      </c>
      <c r="AX747" t="s">
        <v>131</v>
      </c>
      <c r="AY747" t="s">
        <v>131</v>
      </c>
      <c r="AZ747" t="s">
        <v>131</v>
      </c>
      <c r="BA747" t="s">
        <v>131</v>
      </c>
      <c r="BB747" t="s">
        <v>131</v>
      </c>
      <c r="BC747" t="s">
        <v>131</v>
      </c>
      <c r="BD747" t="s">
        <v>131</v>
      </c>
      <c r="BE747" t="s">
        <v>132</v>
      </c>
      <c r="BH747" t="s">
        <v>6218</v>
      </c>
      <c r="BI747" t="s">
        <v>131</v>
      </c>
      <c r="BL747" t="s">
        <v>401</v>
      </c>
      <c r="BO747" t="s">
        <v>131</v>
      </c>
      <c r="BP747" t="s">
        <v>134</v>
      </c>
      <c r="BQ747" t="s">
        <v>131</v>
      </c>
      <c r="BS747" t="str">
        <f t="shared" si="55"/>
        <v>N/A</v>
      </c>
      <c r="BT747" t="s">
        <v>135</v>
      </c>
      <c r="BU747">
        <v>3</v>
      </c>
      <c r="BV747" t="str">
        <f>"COOK/LINE COOK"</f>
        <v>COOK/LINE COOK</v>
      </c>
      <c r="BW747" t="s">
        <v>135</v>
      </c>
      <c r="BX747" t="str">
        <f>""</f>
        <v/>
      </c>
      <c r="BY747" t="str">
        <f>""</f>
        <v/>
      </c>
      <c r="BZ747" t="str">
        <f>""</f>
        <v/>
      </c>
      <c r="CA747" t="str">
        <f>"CRIMINAL BACKGROUND CHECKS TO BE CONDUCTED PRE-HIRE."</f>
        <v>CRIMINAL BACKGROUND CHECKS TO BE CONDUCTED PRE-HIRE.</v>
      </c>
      <c r="CB747" t="s">
        <v>131</v>
      </c>
      <c r="CF747" t="s">
        <v>131</v>
      </c>
      <c r="CH747" t="str">
        <f>""</f>
        <v/>
      </c>
      <c r="CI747" t="s">
        <v>131</v>
      </c>
      <c r="CK747" t="s">
        <v>131</v>
      </c>
      <c r="CL747" t="str">
        <f>""</f>
        <v/>
      </c>
      <c r="CM747" t="str">
        <f>""</f>
        <v/>
      </c>
      <c r="CN747" t="str">
        <f>""</f>
        <v/>
      </c>
      <c r="CO747" t="str">
        <f>""</f>
        <v/>
      </c>
      <c r="CP747" t="str">
        <f>"35-2014.00"</f>
        <v>35-2014.00</v>
      </c>
      <c r="CQ747" t="s">
        <v>581</v>
      </c>
      <c r="CS747" t="s">
        <v>131</v>
      </c>
      <c r="CU747" t="s">
        <v>9641</v>
      </c>
      <c r="CW747" t="s">
        <v>8288</v>
      </c>
      <c r="CX747" t="s">
        <v>779</v>
      </c>
      <c r="CZ747" s="3" t="str">
        <f>"37863"</f>
        <v>37863</v>
      </c>
      <c r="DA747" t="s">
        <v>135</v>
      </c>
      <c r="DB747" t="str">
        <f>"35-2014"</f>
        <v>35-2014</v>
      </c>
      <c r="DC747" t="s">
        <v>581</v>
      </c>
      <c r="DD747" t="s">
        <v>134</v>
      </c>
      <c r="DE747" t="s">
        <v>134</v>
      </c>
      <c r="DF747" t="str">
        <f>""</f>
        <v/>
      </c>
      <c r="DH747" s="6">
        <v>13.05</v>
      </c>
      <c r="DI747" t="s">
        <v>344</v>
      </c>
      <c r="DK747" t="s">
        <v>345</v>
      </c>
      <c r="DR747" t="s">
        <v>8289</v>
      </c>
      <c r="DS747" s="6">
        <v>13.05</v>
      </c>
      <c r="DT747" s="2" t="s">
        <v>2219</v>
      </c>
      <c r="DU747" s="1">
        <v>44369</v>
      </c>
      <c r="DV747" s="1">
        <v>44458</v>
      </c>
    </row>
    <row r="748" spans="1:126" ht="15" customHeight="1" x14ac:dyDescent="0.35">
      <c r="A748" t="s">
        <v>18401</v>
      </c>
      <c r="B748" t="s">
        <v>318</v>
      </c>
      <c r="C748" s="1">
        <v>44340</v>
      </c>
      <c r="D748" s="1">
        <v>44369</v>
      </c>
      <c r="H748" t="s">
        <v>319</v>
      </c>
      <c r="I748" t="s">
        <v>1477</v>
      </c>
      <c r="J748" t="s">
        <v>8281</v>
      </c>
      <c r="L748" t="s">
        <v>18402</v>
      </c>
      <c r="M748" t="s">
        <v>8282</v>
      </c>
      <c r="O748" t="s">
        <v>8286</v>
      </c>
      <c r="P748" t="s">
        <v>194</v>
      </c>
      <c r="Q748" s="3">
        <v>32352</v>
      </c>
      <c r="R748" t="s">
        <v>128</v>
      </c>
      <c r="T748" s="4">
        <v>18504436908</v>
      </c>
      <c r="V748" t="s">
        <v>8283</v>
      </c>
      <c r="W748" t="s">
        <v>8284</v>
      </c>
      <c r="X748" t="s">
        <v>8284</v>
      </c>
      <c r="Y748" t="s">
        <v>8285</v>
      </c>
      <c r="AA748" t="s">
        <v>7574</v>
      </c>
      <c r="AB748" t="s">
        <v>195</v>
      </c>
      <c r="AC748" s="3" t="str">
        <f>"32352"</f>
        <v>32352</v>
      </c>
      <c r="AD748" t="s">
        <v>128</v>
      </c>
      <c r="AF748" s="4">
        <v>18504436908</v>
      </c>
      <c r="AH748" t="str">
        <f>"722511"</f>
        <v>722511</v>
      </c>
      <c r="AI748" t="s">
        <v>167</v>
      </c>
      <c r="AX748" t="s">
        <v>131</v>
      </c>
      <c r="AY748" t="s">
        <v>131</v>
      </c>
      <c r="AZ748" t="s">
        <v>131</v>
      </c>
      <c r="BA748" t="s">
        <v>131</v>
      </c>
      <c r="BB748" t="s">
        <v>131</v>
      </c>
      <c r="BC748" t="s">
        <v>131</v>
      </c>
      <c r="BD748" t="s">
        <v>131</v>
      </c>
      <c r="BE748" t="s">
        <v>132</v>
      </c>
      <c r="BH748" t="s">
        <v>4855</v>
      </c>
      <c r="BI748" t="s">
        <v>131</v>
      </c>
      <c r="BL748" t="s">
        <v>401</v>
      </c>
      <c r="BO748" t="s">
        <v>131</v>
      </c>
      <c r="BP748" t="s">
        <v>134</v>
      </c>
      <c r="BQ748" t="s">
        <v>131</v>
      </c>
      <c r="BS748" t="str">
        <f t="shared" si="55"/>
        <v>N/A</v>
      </c>
      <c r="BT748" t="s">
        <v>131</v>
      </c>
      <c r="BV748" t="str">
        <f>""</f>
        <v/>
      </c>
      <c r="BW748" t="s">
        <v>135</v>
      </c>
      <c r="BX748" t="str">
        <f>""</f>
        <v/>
      </c>
      <c r="BY748" t="str">
        <f>""</f>
        <v/>
      </c>
      <c r="BZ748" t="str">
        <f>""</f>
        <v/>
      </c>
      <c r="CA748" t="str">
        <f>"PREHIRE CRIMINAL BACKGROUND CHECKS TO BE CONDUCTED."</f>
        <v>PREHIRE CRIMINAL BACKGROUND CHECKS TO BE CONDUCTED.</v>
      </c>
      <c r="CB748" t="s">
        <v>131</v>
      </c>
      <c r="CF748" t="s">
        <v>131</v>
      </c>
      <c r="CH748" t="str">
        <f>""</f>
        <v/>
      </c>
      <c r="CI748" t="s">
        <v>131</v>
      </c>
      <c r="CK748" t="s">
        <v>131</v>
      </c>
      <c r="CL748" t="str">
        <f>""</f>
        <v/>
      </c>
      <c r="CM748" t="str">
        <f>""</f>
        <v/>
      </c>
      <c r="CN748" t="str">
        <f>""</f>
        <v/>
      </c>
      <c r="CO748" t="str">
        <f>""</f>
        <v/>
      </c>
      <c r="CP748" t="str">
        <f>"35-9021.00"</f>
        <v>35-9021.00</v>
      </c>
      <c r="CQ748" t="s">
        <v>2552</v>
      </c>
      <c r="CS748" t="s">
        <v>131</v>
      </c>
      <c r="CU748" t="s">
        <v>18403</v>
      </c>
      <c r="CW748" t="s">
        <v>8288</v>
      </c>
      <c r="CX748" t="s">
        <v>779</v>
      </c>
      <c r="CZ748" s="3" t="str">
        <f>"37863"</f>
        <v>37863</v>
      </c>
      <c r="DA748" t="s">
        <v>135</v>
      </c>
      <c r="DB748" t="str">
        <f>"35-9021"</f>
        <v>35-9021</v>
      </c>
      <c r="DC748" t="s">
        <v>2552</v>
      </c>
      <c r="DD748" t="s">
        <v>134</v>
      </c>
      <c r="DE748" t="s">
        <v>134</v>
      </c>
      <c r="DF748" t="str">
        <f>""</f>
        <v/>
      </c>
      <c r="DH748" s="6">
        <v>11.07</v>
      </c>
      <c r="DI748" t="s">
        <v>344</v>
      </c>
      <c r="DK748" t="s">
        <v>345</v>
      </c>
      <c r="DR748" t="s">
        <v>8289</v>
      </c>
      <c r="DS748" s="6">
        <v>11.07</v>
      </c>
      <c r="DT748" s="2" t="s">
        <v>2219</v>
      </c>
      <c r="DU748" s="1">
        <v>44369</v>
      </c>
      <c r="DV748" s="1">
        <v>44458</v>
      </c>
    </row>
    <row r="749" spans="1:126" ht="15" customHeight="1" x14ac:dyDescent="0.35">
      <c r="A749" t="s">
        <v>17940</v>
      </c>
      <c r="B749" t="s">
        <v>318</v>
      </c>
      <c r="C749" s="1">
        <v>44340</v>
      </c>
      <c r="D749" s="1">
        <v>44369</v>
      </c>
      <c r="H749" t="s">
        <v>319</v>
      </c>
      <c r="I749" t="s">
        <v>5989</v>
      </c>
      <c r="J749" t="s">
        <v>11196</v>
      </c>
      <c r="L749" t="s">
        <v>8228</v>
      </c>
      <c r="M749" t="s">
        <v>10240</v>
      </c>
      <c r="O749" t="s">
        <v>10243</v>
      </c>
      <c r="P749" t="s">
        <v>194</v>
      </c>
      <c r="Q749" s="3">
        <v>32308</v>
      </c>
      <c r="R749" t="s">
        <v>128</v>
      </c>
      <c r="T749" s="4">
        <v>18505970249</v>
      </c>
      <c r="V749" t="s">
        <v>11197</v>
      </c>
      <c r="W749" t="s">
        <v>11198</v>
      </c>
      <c r="X749" t="s">
        <v>11198</v>
      </c>
      <c r="Y749" t="s">
        <v>11199</v>
      </c>
      <c r="Z749" t="s">
        <v>11200</v>
      </c>
      <c r="AA749" t="s">
        <v>8315</v>
      </c>
      <c r="AB749" t="s">
        <v>195</v>
      </c>
      <c r="AC749" s="3" t="str">
        <f>"32308"</f>
        <v>32308</v>
      </c>
      <c r="AD749" t="s">
        <v>128</v>
      </c>
      <c r="AF749" s="4">
        <v>18505970249</v>
      </c>
      <c r="AH749" t="str">
        <f>"722514"</f>
        <v>722514</v>
      </c>
      <c r="AI749" t="s">
        <v>167</v>
      </c>
      <c r="AX749" t="s">
        <v>131</v>
      </c>
      <c r="AY749" t="s">
        <v>131</v>
      </c>
      <c r="AZ749" t="s">
        <v>131</v>
      </c>
      <c r="BA749" t="s">
        <v>131</v>
      </c>
      <c r="BB749" t="s">
        <v>131</v>
      </c>
      <c r="BC749" t="s">
        <v>131</v>
      </c>
      <c r="BD749" t="s">
        <v>131</v>
      </c>
      <c r="BE749" t="s">
        <v>132</v>
      </c>
      <c r="BH749" t="s">
        <v>4855</v>
      </c>
      <c r="BI749" t="s">
        <v>131</v>
      </c>
      <c r="BL749" t="s">
        <v>401</v>
      </c>
      <c r="BO749" t="s">
        <v>131</v>
      </c>
      <c r="BP749" t="s">
        <v>134</v>
      </c>
      <c r="BQ749" t="s">
        <v>131</v>
      </c>
      <c r="BS749" t="str">
        <f t="shared" si="55"/>
        <v>N/A</v>
      </c>
      <c r="BT749" t="s">
        <v>131</v>
      </c>
      <c r="BV749" t="str">
        <f>""</f>
        <v/>
      </c>
      <c r="BW749" t="s">
        <v>135</v>
      </c>
      <c r="BX749" t="str">
        <f>""</f>
        <v/>
      </c>
      <c r="BY749" t="str">
        <f>""</f>
        <v/>
      </c>
      <c r="BZ749" t="str">
        <f>""</f>
        <v/>
      </c>
      <c r="CA749" t="str">
        <f>"CRIMINAL BACKGROUND CHECKS TO BE CONDUCTED PRE-HIRE."</f>
        <v>CRIMINAL BACKGROUND CHECKS TO BE CONDUCTED PRE-HIRE.</v>
      </c>
      <c r="CB749" t="s">
        <v>131</v>
      </c>
      <c r="CF749" t="s">
        <v>131</v>
      </c>
      <c r="CH749" t="str">
        <f>""</f>
        <v/>
      </c>
      <c r="CI749" t="s">
        <v>131</v>
      </c>
      <c r="CK749" t="s">
        <v>131</v>
      </c>
      <c r="CL749" t="str">
        <f>""</f>
        <v/>
      </c>
      <c r="CM749" t="str">
        <f>""</f>
        <v/>
      </c>
      <c r="CN749" t="str">
        <f>""</f>
        <v/>
      </c>
      <c r="CO749" t="str">
        <f>""</f>
        <v/>
      </c>
      <c r="CP749" t="str">
        <f>"35-9021.00"</f>
        <v>35-9021.00</v>
      </c>
      <c r="CQ749" t="s">
        <v>2552</v>
      </c>
      <c r="CS749" t="s">
        <v>131</v>
      </c>
      <c r="CU749" t="s">
        <v>17941</v>
      </c>
      <c r="CW749" t="s">
        <v>17942</v>
      </c>
      <c r="CX749" t="s">
        <v>779</v>
      </c>
      <c r="CZ749" s="3" t="str">
        <f>"37863"</f>
        <v>37863</v>
      </c>
      <c r="DA749" t="s">
        <v>131</v>
      </c>
      <c r="DB749" t="str">
        <f>"35-9021"</f>
        <v>35-9021</v>
      </c>
      <c r="DC749" t="s">
        <v>2552</v>
      </c>
      <c r="DD749" t="s">
        <v>134</v>
      </c>
      <c r="DE749" t="s">
        <v>134</v>
      </c>
      <c r="DF749" t="str">
        <f>""</f>
        <v/>
      </c>
      <c r="DH749" s="6">
        <v>11.07</v>
      </c>
      <c r="DI749" t="s">
        <v>344</v>
      </c>
      <c r="DK749" t="s">
        <v>345</v>
      </c>
      <c r="DR749" t="s">
        <v>8289</v>
      </c>
      <c r="DS749" s="6">
        <v>11.07</v>
      </c>
      <c r="DT749" t="s">
        <v>424</v>
      </c>
      <c r="DU749" s="1">
        <v>44369</v>
      </c>
      <c r="DV749" s="1">
        <v>44458</v>
      </c>
    </row>
    <row r="750" spans="1:126" ht="15" customHeight="1" x14ac:dyDescent="0.35">
      <c r="A750" t="s">
        <v>10237</v>
      </c>
      <c r="B750" t="s">
        <v>318</v>
      </c>
      <c r="C750" s="1">
        <v>44340</v>
      </c>
      <c r="D750" s="1">
        <v>44369</v>
      </c>
      <c r="H750" t="s">
        <v>319</v>
      </c>
      <c r="I750" t="s">
        <v>10238</v>
      </c>
      <c r="J750" t="s">
        <v>10239</v>
      </c>
      <c r="L750" t="s">
        <v>392</v>
      </c>
      <c r="M750" t="s">
        <v>10240</v>
      </c>
      <c r="O750" t="s">
        <v>8315</v>
      </c>
      <c r="P750" t="s">
        <v>194</v>
      </c>
      <c r="Q750" s="3">
        <v>32308</v>
      </c>
      <c r="R750" t="s">
        <v>128</v>
      </c>
      <c r="T750" s="4">
        <v>18502285777</v>
      </c>
      <c r="V750" t="s">
        <v>10241</v>
      </c>
      <c r="W750" t="s">
        <v>10242</v>
      </c>
      <c r="X750" t="s">
        <v>10242</v>
      </c>
      <c r="Y750" t="s">
        <v>10240</v>
      </c>
      <c r="AA750" t="s">
        <v>10243</v>
      </c>
      <c r="AB750" t="s">
        <v>195</v>
      </c>
      <c r="AC750" s="3" t="str">
        <f>"32308"</f>
        <v>32308</v>
      </c>
      <c r="AD750" t="s">
        <v>128</v>
      </c>
      <c r="AF750" s="4">
        <v>18502285777</v>
      </c>
      <c r="AH750" t="str">
        <f>"56173"</f>
        <v>56173</v>
      </c>
      <c r="AI750" t="s">
        <v>167</v>
      </c>
      <c r="AX750" t="s">
        <v>131</v>
      </c>
      <c r="AY750" t="s">
        <v>131</v>
      </c>
      <c r="AZ750" t="s">
        <v>131</v>
      </c>
      <c r="BA750" t="s">
        <v>131</v>
      </c>
      <c r="BB750" t="s">
        <v>131</v>
      </c>
      <c r="BC750" t="s">
        <v>131</v>
      </c>
      <c r="BD750" t="s">
        <v>131</v>
      </c>
      <c r="BE750" t="s">
        <v>132</v>
      </c>
      <c r="BH750" t="s">
        <v>10244</v>
      </c>
      <c r="BI750" t="s">
        <v>131</v>
      </c>
      <c r="BL750" t="s">
        <v>401</v>
      </c>
      <c r="BO750" t="s">
        <v>131</v>
      </c>
      <c r="BP750" t="s">
        <v>134</v>
      </c>
      <c r="BQ750" t="s">
        <v>131</v>
      </c>
      <c r="BS750" t="str">
        <f t="shared" si="55"/>
        <v>N/A</v>
      </c>
      <c r="BT750" t="s">
        <v>131</v>
      </c>
      <c r="BV750" t="str">
        <f>""</f>
        <v/>
      </c>
      <c r="BW750" t="s">
        <v>135</v>
      </c>
      <c r="BX750" t="str">
        <f>""</f>
        <v/>
      </c>
      <c r="BY750" t="str">
        <f>""</f>
        <v/>
      </c>
      <c r="BZ750" t="str">
        <f>""</f>
        <v/>
      </c>
      <c r="CA750" t="str">
        <f>"PRE-HIRE CRIMINAL BACKGROUND CHECKS TO BE CONDUCTED."</f>
        <v>PRE-HIRE CRIMINAL BACKGROUND CHECKS TO BE CONDUCTED.</v>
      </c>
      <c r="CB750" t="s">
        <v>131</v>
      </c>
      <c r="CF750" t="s">
        <v>131</v>
      </c>
      <c r="CH750" t="str">
        <f>""</f>
        <v/>
      </c>
      <c r="CI750" t="s">
        <v>131</v>
      </c>
      <c r="CK750" t="s">
        <v>131</v>
      </c>
      <c r="CL750" t="str">
        <f>""</f>
        <v/>
      </c>
      <c r="CM750" t="str">
        <f>""</f>
        <v/>
      </c>
      <c r="CN750" t="str">
        <f>""</f>
        <v/>
      </c>
      <c r="CO750" t="str">
        <f>""</f>
        <v/>
      </c>
      <c r="CP750" t="str">
        <f>"37-3011.00"</f>
        <v>37-3011.00</v>
      </c>
      <c r="CQ750" t="s">
        <v>920</v>
      </c>
      <c r="CS750" t="s">
        <v>131</v>
      </c>
      <c r="CU750" t="s">
        <v>10245</v>
      </c>
      <c r="CW750" t="s">
        <v>8315</v>
      </c>
      <c r="CX750" t="s">
        <v>195</v>
      </c>
      <c r="CZ750" s="3" t="str">
        <f>"32308"</f>
        <v>32308</v>
      </c>
      <c r="DA750" t="s">
        <v>131</v>
      </c>
      <c r="DB750" t="str">
        <f>"37-3011"</f>
        <v>37-3011</v>
      </c>
      <c r="DC750" t="s">
        <v>920</v>
      </c>
      <c r="DD750" t="s">
        <v>134</v>
      </c>
      <c r="DE750" t="s">
        <v>134</v>
      </c>
      <c r="DF750" t="str">
        <f>""</f>
        <v/>
      </c>
      <c r="DH750" s="6">
        <v>12.69</v>
      </c>
      <c r="DI750" t="s">
        <v>344</v>
      </c>
      <c r="DK750" t="s">
        <v>345</v>
      </c>
      <c r="DR750" t="s">
        <v>10246</v>
      </c>
      <c r="DS750" s="6">
        <v>12.69</v>
      </c>
      <c r="DT750" t="s">
        <v>424</v>
      </c>
      <c r="DU750" s="1">
        <v>44369</v>
      </c>
      <c r="DV750" s="1">
        <v>44458</v>
      </c>
    </row>
    <row r="751" spans="1:126" ht="15" customHeight="1" x14ac:dyDescent="0.35">
      <c r="A751" t="s">
        <v>19211</v>
      </c>
      <c r="B751" t="s">
        <v>318</v>
      </c>
      <c r="C751" s="1">
        <v>44340</v>
      </c>
      <c r="D751" s="1">
        <v>44368</v>
      </c>
      <c r="H751" t="s">
        <v>319</v>
      </c>
      <c r="I751" t="s">
        <v>15615</v>
      </c>
      <c r="J751" t="s">
        <v>174</v>
      </c>
      <c r="K751" t="s">
        <v>610</v>
      </c>
      <c r="L751" t="s">
        <v>11259</v>
      </c>
      <c r="M751" t="s">
        <v>15616</v>
      </c>
      <c r="O751" t="s">
        <v>15617</v>
      </c>
      <c r="P751" t="s">
        <v>412</v>
      </c>
      <c r="Q751" s="3">
        <v>77539</v>
      </c>
      <c r="R751" t="s">
        <v>128</v>
      </c>
      <c r="T751" s="4">
        <v>12813392111</v>
      </c>
      <c r="V751" t="s">
        <v>15618</v>
      </c>
      <c r="W751" t="s">
        <v>15619</v>
      </c>
      <c r="X751" t="s">
        <v>19212</v>
      </c>
      <c r="Y751" t="s">
        <v>15616</v>
      </c>
      <c r="AA751" t="s">
        <v>15617</v>
      </c>
      <c r="AB751" t="s">
        <v>400</v>
      </c>
      <c r="AC751" s="3" t="str">
        <f>"77539"</f>
        <v>77539</v>
      </c>
      <c r="AD751" t="s">
        <v>128</v>
      </c>
      <c r="AF751" s="4">
        <v>12813392111</v>
      </c>
      <c r="AH751" t="str">
        <f>"11411"</f>
        <v>11411</v>
      </c>
      <c r="AI751" t="s">
        <v>287</v>
      </c>
      <c r="AJ751" t="s">
        <v>6315</v>
      </c>
      <c r="AK751" t="s">
        <v>12620</v>
      </c>
      <c r="AL751" t="s">
        <v>415</v>
      </c>
      <c r="AM751" t="s">
        <v>15621</v>
      </c>
      <c r="AO751" t="s">
        <v>8628</v>
      </c>
      <c r="AP751" t="s">
        <v>400</v>
      </c>
      <c r="AQ751" s="5">
        <v>78526</v>
      </c>
      <c r="AR751" t="s">
        <v>128</v>
      </c>
      <c r="AT751" s="4">
        <v>19564661656</v>
      </c>
      <c r="AV751" t="s">
        <v>15622</v>
      </c>
      <c r="AW751" t="s">
        <v>19213</v>
      </c>
      <c r="AX751" t="s">
        <v>131</v>
      </c>
      <c r="AY751" t="s">
        <v>131</v>
      </c>
      <c r="AZ751" t="s">
        <v>131</v>
      </c>
      <c r="BA751" t="s">
        <v>131</v>
      </c>
      <c r="BB751" t="s">
        <v>131</v>
      </c>
      <c r="BC751" t="s">
        <v>131</v>
      </c>
      <c r="BD751" t="s">
        <v>131</v>
      </c>
      <c r="BE751" t="s">
        <v>132</v>
      </c>
      <c r="BH751" t="s">
        <v>19214</v>
      </c>
      <c r="BI751" t="s">
        <v>131</v>
      </c>
      <c r="BL751" t="s">
        <v>167</v>
      </c>
      <c r="BO751" t="s">
        <v>131</v>
      </c>
      <c r="BP751" t="s">
        <v>134</v>
      </c>
      <c r="BQ751" t="s">
        <v>131</v>
      </c>
      <c r="BS751" t="str">
        <f t="shared" si="55"/>
        <v>N/A</v>
      </c>
      <c r="BT751" t="s">
        <v>135</v>
      </c>
      <c r="BU751">
        <v>1</v>
      </c>
      <c r="BV751" t="str">
        <f>"fishing boat deckhand"</f>
        <v>fishing boat deckhand</v>
      </c>
      <c r="BW751" t="s">
        <v>131</v>
      </c>
      <c r="BX751" t="str">
        <f>""</f>
        <v/>
      </c>
      <c r="BY751" t="str">
        <f>""</f>
        <v/>
      </c>
      <c r="BZ751" t="str">
        <f>""</f>
        <v/>
      </c>
      <c r="CA751" t="str">
        <f>""</f>
        <v/>
      </c>
      <c r="CB751" t="s">
        <v>131</v>
      </c>
      <c r="CF751" t="s">
        <v>131</v>
      </c>
      <c r="CH751" t="str">
        <f>""</f>
        <v/>
      </c>
      <c r="CI751" t="s">
        <v>131</v>
      </c>
      <c r="CK751" t="s">
        <v>131</v>
      </c>
      <c r="CL751" t="str">
        <f>""</f>
        <v/>
      </c>
      <c r="CM751" t="str">
        <f>""</f>
        <v/>
      </c>
      <c r="CN751" t="str">
        <f>""</f>
        <v/>
      </c>
      <c r="CO751" t="str">
        <f>""</f>
        <v/>
      </c>
      <c r="CP751" t="str">
        <f>"45-3011.00"</f>
        <v>45-3011.00</v>
      </c>
      <c r="CQ751" t="s">
        <v>1770</v>
      </c>
      <c r="CR751" t="s">
        <v>19215</v>
      </c>
      <c r="CS751" t="s">
        <v>135</v>
      </c>
      <c r="CT751" t="s">
        <v>19216</v>
      </c>
      <c r="CU751" t="s">
        <v>15616</v>
      </c>
      <c r="CW751" t="s">
        <v>15617</v>
      </c>
      <c r="CX751" t="s">
        <v>400</v>
      </c>
      <c r="CZ751" s="3" t="str">
        <f>"77539"</f>
        <v>77539</v>
      </c>
      <c r="DA751" t="s">
        <v>131</v>
      </c>
      <c r="DB751" t="str">
        <f>"45-3011"</f>
        <v>45-3011</v>
      </c>
      <c r="DC751" t="s">
        <v>1770</v>
      </c>
      <c r="DD751" t="s">
        <v>134</v>
      </c>
      <c r="DE751" t="s">
        <v>134</v>
      </c>
      <c r="DF751" t="str">
        <f>""</f>
        <v/>
      </c>
      <c r="DH751" s="6">
        <v>16.649999999999999</v>
      </c>
      <c r="DI751" t="s">
        <v>344</v>
      </c>
      <c r="DK751" t="s">
        <v>345</v>
      </c>
      <c r="DR751" t="s">
        <v>8525</v>
      </c>
      <c r="DS751" s="6">
        <v>16.649999999999999</v>
      </c>
      <c r="DT751" s="2" t="s">
        <v>347</v>
      </c>
      <c r="DU751" s="1">
        <v>44368</v>
      </c>
      <c r="DV751" s="1">
        <v>44457</v>
      </c>
    </row>
    <row r="752" spans="1:126" ht="15" customHeight="1" x14ac:dyDescent="0.35">
      <c r="A752" t="s">
        <v>20062</v>
      </c>
      <c r="B752" t="s">
        <v>318</v>
      </c>
      <c r="C752" s="1">
        <v>44340</v>
      </c>
      <c r="D752" s="1">
        <v>44368</v>
      </c>
      <c r="H752" t="s">
        <v>319</v>
      </c>
      <c r="I752" t="s">
        <v>582</v>
      </c>
      <c r="J752" t="s">
        <v>5317</v>
      </c>
      <c r="K752" t="s">
        <v>222</v>
      </c>
      <c r="L752" t="s">
        <v>1031</v>
      </c>
      <c r="M752" t="s">
        <v>20063</v>
      </c>
      <c r="O752" t="s">
        <v>15674</v>
      </c>
      <c r="P752" t="s">
        <v>412</v>
      </c>
      <c r="Q752" s="3">
        <v>77979</v>
      </c>
      <c r="R752" t="s">
        <v>128</v>
      </c>
      <c r="T752" s="4">
        <v>13612201726</v>
      </c>
      <c r="V752" t="s">
        <v>15618</v>
      </c>
      <c r="W752" t="s">
        <v>20064</v>
      </c>
      <c r="X752" t="s">
        <v>20065</v>
      </c>
      <c r="Y752" t="s">
        <v>20063</v>
      </c>
      <c r="AA752" t="s">
        <v>15674</v>
      </c>
      <c r="AB752" t="s">
        <v>400</v>
      </c>
      <c r="AC752" s="3" t="str">
        <f>"77979"</f>
        <v>77979</v>
      </c>
      <c r="AD752" t="s">
        <v>128</v>
      </c>
      <c r="AF752" s="4">
        <v>13612201726</v>
      </c>
      <c r="AH752" t="str">
        <f>"11411"</f>
        <v>11411</v>
      </c>
      <c r="AI752" t="s">
        <v>287</v>
      </c>
      <c r="AJ752" t="s">
        <v>6315</v>
      </c>
      <c r="AK752" t="s">
        <v>12620</v>
      </c>
      <c r="AL752" t="s">
        <v>415</v>
      </c>
      <c r="AM752" t="s">
        <v>15621</v>
      </c>
      <c r="AO752" t="s">
        <v>8628</v>
      </c>
      <c r="AP752" t="s">
        <v>400</v>
      </c>
      <c r="AQ752" s="5">
        <v>78526</v>
      </c>
      <c r="AR752" t="s">
        <v>128</v>
      </c>
      <c r="AT752" s="4">
        <v>19564661656</v>
      </c>
      <c r="AV752" t="s">
        <v>15622</v>
      </c>
      <c r="AW752" t="s">
        <v>19627</v>
      </c>
      <c r="AX752" t="s">
        <v>131</v>
      </c>
      <c r="AY752" t="s">
        <v>131</v>
      </c>
      <c r="AZ752" t="s">
        <v>131</v>
      </c>
      <c r="BA752" t="s">
        <v>131</v>
      </c>
      <c r="BB752" t="s">
        <v>131</v>
      </c>
      <c r="BC752" t="s">
        <v>131</v>
      </c>
      <c r="BD752" t="s">
        <v>131</v>
      </c>
      <c r="BE752" t="s">
        <v>132</v>
      </c>
      <c r="BH752" t="s">
        <v>19214</v>
      </c>
      <c r="BI752" t="s">
        <v>131</v>
      </c>
      <c r="BL752" t="s">
        <v>167</v>
      </c>
      <c r="BO752" t="s">
        <v>131</v>
      </c>
      <c r="BP752" t="s">
        <v>134</v>
      </c>
      <c r="BQ752" t="s">
        <v>131</v>
      </c>
      <c r="BS752" t="str">
        <f t="shared" si="55"/>
        <v>N/A</v>
      </c>
      <c r="BT752" t="s">
        <v>135</v>
      </c>
      <c r="BU752">
        <v>1</v>
      </c>
      <c r="BV752" t="str">
        <f>"FISHING BOAT DECKHAND"</f>
        <v>FISHING BOAT DECKHAND</v>
      </c>
      <c r="BW752" t="s">
        <v>131</v>
      </c>
      <c r="BX752" t="str">
        <f>""</f>
        <v/>
      </c>
      <c r="BY752" t="str">
        <f>""</f>
        <v/>
      </c>
      <c r="BZ752" t="str">
        <f>""</f>
        <v/>
      </c>
      <c r="CA752" t="str">
        <f>""</f>
        <v/>
      </c>
      <c r="CB752" t="s">
        <v>131</v>
      </c>
      <c r="CF752" t="s">
        <v>131</v>
      </c>
      <c r="CH752" t="str">
        <f>""</f>
        <v/>
      </c>
      <c r="CI752" t="s">
        <v>131</v>
      </c>
      <c r="CK752" t="s">
        <v>131</v>
      </c>
      <c r="CL752" t="str">
        <f>""</f>
        <v/>
      </c>
      <c r="CM752" t="str">
        <f>""</f>
        <v/>
      </c>
      <c r="CN752" t="str">
        <f>""</f>
        <v/>
      </c>
      <c r="CO752" t="str">
        <f>""</f>
        <v/>
      </c>
      <c r="CP752" t="str">
        <f>"45-3011.00"</f>
        <v>45-3011.00</v>
      </c>
      <c r="CQ752" t="s">
        <v>1770</v>
      </c>
      <c r="CR752" t="s">
        <v>20066</v>
      </c>
      <c r="CS752" t="s">
        <v>135</v>
      </c>
      <c r="CT752" t="s">
        <v>20067</v>
      </c>
      <c r="CU752" t="s">
        <v>20068</v>
      </c>
      <c r="CW752" t="s">
        <v>15674</v>
      </c>
      <c r="CX752" t="s">
        <v>400</v>
      </c>
      <c r="CZ752" s="3" t="str">
        <f>"77979"</f>
        <v>77979</v>
      </c>
      <c r="DA752" t="s">
        <v>131</v>
      </c>
      <c r="DB752" t="str">
        <f>"45-3011"</f>
        <v>45-3011</v>
      </c>
      <c r="DC752" t="s">
        <v>1770</v>
      </c>
      <c r="DD752" t="s">
        <v>134</v>
      </c>
      <c r="DE752" t="s">
        <v>134</v>
      </c>
      <c r="DF752" t="str">
        <f>""</f>
        <v/>
      </c>
      <c r="DH752" s="6">
        <v>14.29</v>
      </c>
      <c r="DI752" t="s">
        <v>344</v>
      </c>
      <c r="DK752" t="s">
        <v>345</v>
      </c>
      <c r="DR752" t="s">
        <v>15675</v>
      </c>
      <c r="DS752" s="6">
        <v>14.29</v>
      </c>
      <c r="DT752" s="2" t="s">
        <v>347</v>
      </c>
      <c r="DU752" s="1">
        <v>44368</v>
      </c>
      <c r="DV752" s="1">
        <v>44457</v>
      </c>
    </row>
    <row r="753" spans="1:126" ht="15" customHeight="1" x14ac:dyDescent="0.35">
      <c r="A753" t="s">
        <v>12681</v>
      </c>
      <c r="B753" t="s">
        <v>318</v>
      </c>
      <c r="C753" s="1">
        <v>44341</v>
      </c>
      <c r="D753" s="1">
        <v>44368</v>
      </c>
      <c r="H753" t="s">
        <v>319</v>
      </c>
      <c r="I753" t="s">
        <v>9587</v>
      </c>
      <c r="J753" t="s">
        <v>2362</v>
      </c>
      <c r="L753" t="s">
        <v>5110</v>
      </c>
      <c r="M753" t="s">
        <v>9588</v>
      </c>
      <c r="O753" t="s">
        <v>647</v>
      </c>
      <c r="P753" t="s">
        <v>1675</v>
      </c>
      <c r="Q753" s="3">
        <v>68025</v>
      </c>
      <c r="R753" t="s">
        <v>128</v>
      </c>
      <c r="T753" s="4">
        <v>16613093173</v>
      </c>
      <c r="V753" t="s">
        <v>9589</v>
      </c>
      <c r="W753" t="s">
        <v>9590</v>
      </c>
      <c r="Y753" t="s">
        <v>9588</v>
      </c>
      <c r="AA753" t="s">
        <v>647</v>
      </c>
      <c r="AB753" t="s">
        <v>1176</v>
      </c>
      <c r="AC753" s="3" t="str">
        <f>"68025"</f>
        <v>68025</v>
      </c>
      <c r="AD753" t="s">
        <v>128</v>
      </c>
      <c r="AF753" s="4">
        <v>14026490223</v>
      </c>
      <c r="AH753" t="str">
        <f>"236220"</f>
        <v>236220</v>
      </c>
      <c r="AI753" t="s">
        <v>130</v>
      </c>
      <c r="AJ753" t="s">
        <v>4018</v>
      </c>
      <c r="AK753" t="s">
        <v>2069</v>
      </c>
      <c r="AM753" t="s">
        <v>4019</v>
      </c>
      <c r="AO753" t="s">
        <v>1040</v>
      </c>
      <c r="AP753" t="s">
        <v>400</v>
      </c>
      <c r="AQ753" s="5">
        <v>78737</v>
      </c>
      <c r="AR753" t="s">
        <v>128</v>
      </c>
      <c r="AT753" s="4">
        <v>15128942128</v>
      </c>
      <c r="AV753" t="s">
        <v>4020</v>
      </c>
      <c r="AW753" t="s">
        <v>4021</v>
      </c>
      <c r="AX753" t="s">
        <v>131</v>
      </c>
      <c r="AY753" t="s">
        <v>131</v>
      </c>
      <c r="AZ753" t="s">
        <v>131</v>
      </c>
      <c r="BA753" t="s">
        <v>131</v>
      </c>
      <c r="BB753" t="s">
        <v>131</v>
      </c>
      <c r="BC753" t="s">
        <v>131</v>
      </c>
      <c r="BD753" t="s">
        <v>131</v>
      </c>
      <c r="BE753" t="s">
        <v>132</v>
      </c>
      <c r="BH753" t="s">
        <v>9591</v>
      </c>
      <c r="BI753" t="s">
        <v>131</v>
      </c>
      <c r="BL753" t="s">
        <v>167</v>
      </c>
      <c r="BO753" t="s">
        <v>131</v>
      </c>
      <c r="BP753" t="s">
        <v>134</v>
      </c>
      <c r="BQ753" t="s">
        <v>131</v>
      </c>
      <c r="BS753" t="str">
        <f t="shared" si="55"/>
        <v>N/A</v>
      </c>
      <c r="BT753" t="s">
        <v>131</v>
      </c>
      <c r="BV753" t="str">
        <f>""</f>
        <v/>
      </c>
      <c r="BW753" t="s">
        <v>135</v>
      </c>
      <c r="BX753" t="str">
        <f>""</f>
        <v/>
      </c>
      <c r="BY753" t="str">
        <f>""</f>
        <v/>
      </c>
      <c r="BZ753" t="str">
        <f>""</f>
        <v/>
      </c>
      <c r="CA753" t="s">
        <v>9592</v>
      </c>
      <c r="CB753" t="s">
        <v>131</v>
      </c>
      <c r="CF753" t="s">
        <v>131</v>
      </c>
      <c r="CH753" t="str">
        <f>""</f>
        <v/>
      </c>
      <c r="CI753" t="s">
        <v>131</v>
      </c>
      <c r="CK753" t="s">
        <v>131</v>
      </c>
      <c r="CL753" t="str">
        <f>""</f>
        <v/>
      </c>
      <c r="CM753" t="str">
        <f>""</f>
        <v/>
      </c>
      <c r="CN753" t="str">
        <f>""</f>
        <v/>
      </c>
      <c r="CO753" t="str">
        <f>""</f>
        <v/>
      </c>
      <c r="CP753" t="str">
        <f>"49-9098.00"</f>
        <v>49-9098.00</v>
      </c>
      <c r="CQ753" t="s">
        <v>1503</v>
      </c>
      <c r="CR753" t="s">
        <v>5117</v>
      </c>
      <c r="CS753" t="s">
        <v>135</v>
      </c>
      <c r="CT753" t="s">
        <v>9593</v>
      </c>
      <c r="CU753" t="s">
        <v>12682</v>
      </c>
      <c r="CW753" t="s">
        <v>6430</v>
      </c>
      <c r="CX753" t="s">
        <v>258</v>
      </c>
      <c r="CZ753" s="3" t="str">
        <f>"65032"</f>
        <v>65032</v>
      </c>
      <c r="DA753" t="s">
        <v>135</v>
      </c>
      <c r="DB753" t="str">
        <f>"49-9098"</f>
        <v>49-9098</v>
      </c>
      <c r="DC753" t="s">
        <v>1503</v>
      </c>
      <c r="DD753" t="s">
        <v>134</v>
      </c>
      <c r="DE753" t="s">
        <v>134</v>
      </c>
      <c r="DF753" t="str">
        <f>""</f>
        <v/>
      </c>
      <c r="DH753" s="6">
        <v>12.96</v>
      </c>
      <c r="DI753" t="s">
        <v>344</v>
      </c>
      <c r="DK753" t="s">
        <v>345</v>
      </c>
      <c r="DS753" s="6">
        <v>12.96</v>
      </c>
      <c r="DT753" s="2" t="s">
        <v>2219</v>
      </c>
      <c r="DU753" s="1">
        <v>44368</v>
      </c>
      <c r="DV753" s="1">
        <v>44457</v>
      </c>
    </row>
    <row r="754" spans="1:126" ht="15" customHeight="1" x14ac:dyDescent="0.35">
      <c r="A754" t="s">
        <v>17410</v>
      </c>
      <c r="B754" t="s">
        <v>318</v>
      </c>
      <c r="C754" s="1">
        <v>44341</v>
      </c>
      <c r="D754" s="1">
        <v>44368</v>
      </c>
      <c r="H754" t="s">
        <v>319</v>
      </c>
      <c r="I754" t="s">
        <v>9587</v>
      </c>
      <c r="J754" t="s">
        <v>2362</v>
      </c>
      <c r="L754" t="s">
        <v>5110</v>
      </c>
      <c r="M754" t="s">
        <v>9588</v>
      </c>
      <c r="O754" t="s">
        <v>647</v>
      </c>
      <c r="P754" t="s">
        <v>1675</v>
      </c>
      <c r="Q754" s="3">
        <v>68025</v>
      </c>
      <c r="R754" t="s">
        <v>128</v>
      </c>
      <c r="T754" s="4">
        <v>16613093173</v>
      </c>
      <c r="V754" t="s">
        <v>9589</v>
      </c>
      <c r="W754" t="s">
        <v>9590</v>
      </c>
      <c r="Y754" t="s">
        <v>9588</v>
      </c>
      <c r="AA754" t="s">
        <v>647</v>
      </c>
      <c r="AB754" t="s">
        <v>1176</v>
      </c>
      <c r="AC754" s="3" t="str">
        <f>"68025"</f>
        <v>68025</v>
      </c>
      <c r="AD754" t="s">
        <v>128</v>
      </c>
      <c r="AF754" s="4">
        <v>14026490223</v>
      </c>
      <c r="AH754" t="str">
        <f>"23622"</f>
        <v>23622</v>
      </c>
      <c r="AI754" t="s">
        <v>130</v>
      </c>
      <c r="AJ754" t="s">
        <v>4018</v>
      </c>
      <c r="AK754" t="s">
        <v>2069</v>
      </c>
      <c r="AM754" t="s">
        <v>4019</v>
      </c>
      <c r="AO754" t="s">
        <v>1040</v>
      </c>
      <c r="AP754" t="s">
        <v>400</v>
      </c>
      <c r="AQ754" s="5">
        <v>78737</v>
      </c>
      <c r="AR754" t="s">
        <v>128</v>
      </c>
      <c r="AT754" s="4">
        <v>15128942128</v>
      </c>
      <c r="AV754" t="s">
        <v>4020</v>
      </c>
      <c r="AW754" t="s">
        <v>4021</v>
      </c>
      <c r="AX754" t="s">
        <v>131</v>
      </c>
      <c r="AY754" t="s">
        <v>131</v>
      </c>
      <c r="AZ754" t="s">
        <v>131</v>
      </c>
      <c r="BA754" t="s">
        <v>131</v>
      </c>
      <c r="BB754" t="s">
        <v>131</v>
      </c>
      <c r="BC754" t="s">
        <v>131</v>
      </c>
      <c r="BD754" t="s">
        <v>131</v>
      </c>
      <c r="BE754" t="s">
        <v>132</v>
      </c>
      <c r="BH754" t="s">
        <v>9591</v>
      </c>
      <c r="BI754" t="s">
        <v>131</v>
      </c>
      <c r="BL754" t="s">
        <v>167</v>
      </c>
      <c r="BO754" t="s">
        <v>131</v>
      </c>
      <c r="BP754" t="s">
        <v>134</v>
      </c>
      <c r="BQ754" t="s">
        <v>131</v>
      </c>
      <c r="BS754" t="str">
        <f t="shared" si="55"/>
        <v>N/A</v>
      </c>
      <c r="BT754" t="s">
        <v>131</v>
      </c>
      <c r="BV754" t="str">
        <f>""</f>
        <v/>
      </c>
      <c r="BW754" t="s">
        <v>135</v>
      </c>
      <c r="BX754" t="str">
        <f>""</f>
        <v/>
      </c>
      <c r="BY754" t="str">
        <f>""</f>
        <v/>
      </c>
      <c r="BZ754" t="str">
        <f>""</f>
        <v/>
      </c>
      <c r="CA754" t="s">
        <v>9592</v>
      </c>
      <c r="CB754" t="s">
        <v>131</v>
      </c>
      <c r="CF754" t="s">
        <v>131</v>
      </c>
      <c r="CH754" t="str">
        <f>""</f>
        <v/>
      </c>
      <c r="CI754" t="s">
        <v>131</v>
      </c>
      <c r="CK754" t="s">
        <v>131</v>
      </c>
      <c r="CL754" t="str">
        <f>""</f>
        <v/>
      </c>
      <c r="CM754" t="str">
        <f>""</f>
        <v/>
      </c>
      <c r="CN754" t="str">
        <f>""</f>
        <v/>
      </c>
      <c r="CO754" t="str">
        <f>""</f>
        <v/>
      </c>
      <c r="CP754" t="str">
        <f>"49-9098.00"</f>
        <v>49-9098.00</v>
      </c>
      <c r="CQ754" t="s">
        <v>1503</v>
      </c>
      <c r="CR754" t="s">
        <v>5117</v>
      </c>
      <c r="CS754" t="s">
        <v>135</v>
      </c>
      <c r="CT754" t="s">
        <v>9593</v>
      </c>
      <c r="CU754" t="s">
        <v>17411</v>
      </c>
      <c r="CW754" t="s">
        <v>17412</v>
      </c>
      <c r="CX754" t="s">
        <v>605</v>
      </c>
      <c r="CZ754" s="3" t="str">
        <f>"50254"</f>
        <v>50254</v>
      </c>
      <c r="DA754" t="s">
        <v>135</v>
      </c>
      <c r="DB754" t="str">
        <f>"49-9098"</f>
        <v>49-9098</v>
      </c>
      <c r="DC754" t="s">
        <v>1503</v>
      </c>
      <c r="DD754" t="s">
        <v>134</v>
      </c>
      <c r="DE754" t="s">
        <v>134</v>
      </c>
      <c r="DF754" t="str">
        <f>""</f>
        <v/>
      </c>
      <c r="DH754" s="6">
        <v>13.55</v>
      </c>
      <c r="DI754" t="s">
        <v>344</v>
      </c>
      <c r="DK754" t="s">
        <v>345</v>
      </c>
      <c r="DS754" s="6">
        <v>13.55</v>
      </c>
      <c r="DT754" s="2" t="s">
        <v>2219</v>
      </c>
      <c r="DU754" s="1">
        <v>44368</v>
      </c>
      <c r="DV754" s="1">
        <v>44457</v>
      </c>
    </row>
    <row r="755" spans="1:126" ht="15" customHeight="1" x14ac:dyDescent="0.35">
      <c r="A755" t="s">
        <v>9586</v>
      </c>
      <c r="B755" t="s">
        <v>318</v>
      </c>
      <c r="C755" s="1">
        <v>44341</v>
      </c>
      <c r="D755" s="1">
        <v>44368</v>
      </c>
      <c r="H755" t="s">
        <v>319</v>
      </c>
      <c r="I755" t="s">
        <v>9587</v>
      </c>
      <c r="J755" t="s">
        <v>2362</v>
      </c>
      <c r="L755" t="s">
        <v>5110</v>
      </c>
      <c r="M755" t="s">
        <v>9588</v>
      </c>
      <c r="O755" t="s">
        <v>647</v>
      </c>
      <c r="P755" t="s">
        <v>1675</v>
      </c>
      <c r="Q755" s="3">
        <v>68025</v>
      </c>
      <c r="R755" t="s">
        <v>128</v>
      </c>
      <c r="T755" s="4">
        <v>16613093173</v>
      </c>
      <c r="V755" t="s">
        <v>9589</v>
      </c>
      <c r="W755" t="s">
        <v>9590</v>
      </c>
      <c r="Y755" t="s">
        <v>9588</v>
      </c>
      <c r="AA755" t="s">
        <v>647</v>
      </c>
      <c r="AB755" t="s">
        <v>1176</v>
      </c>
      <c r="AC755" s="3" t="str">
        <f>"68025"</f>
        <v>68025</v>
      </c>
      <c r="AD755" t="s">
        <v>128</v>
      </c>
      <c r="AF755" s="4">
        <v>14026490223</v>
      </c>
      <c r="AH755" t="str">
        <f>"236220"</f>
        <v>236220</v>
      </c>
      <c r="AI755" t="s">
        <v>130</v>
      </c>
      <c r="AJ755" t="s">
        <v>4018</v>
      </c>
      <c r="AK755" t="s">
        <v>2069</v>
      </c>
      <c r="AM755" t="s">
        <v>4019</v>
      </c>
      <c r="AO755" t="s">
        <v>1040</v>
      </c>
      <c r="AP755" t="s">
        <v>400</v>
      </c>
      <c r="AQ755" s="5">
        <v>78737</v>
      </c>
      <c r="AR755" t="s">
        <v>128</v>
      </c>
      <c r="AT755" s="4">
        <v>15128942128</v>
      </c>
      <c r="AV755" t="s">
        <v>4020</v>
      </c>
      <c r="AW755" t="s">
        <v>4021</v>
      </c>
      <c r="AX755" t="s">
        <v>131</v>
      </c>
      <c r="AY755" t="s">
        <v>131</v>
      </c>
      <c r="AZ755" t="s">
        <v>131</v>
      </c>
      <c r="BA755" t="s">
        <v>131</v>
      </c>
      <c r="BB755" t="s">
        <v>131</v>
      </c>
      <c r="BC755" t="s">
        <v>131</v>
      </c>
      <c r="BD755" t="s">
        <v>131</v>
      </c>
      <c r="BE755" t="s">
        <v>132</v>
      </c>
      <c r="BH755" t="s">
        <v>9591</v>
      </c>
      <c r="BI755" t="s">
        <v>131</v>
      </c>
      <c r="BL755" t="s">
        <v>167</v>
      </c>
      <c r="BO755" t="s">
        <v>131</v>
      </c>
      <c r="BP755" t="s">
        <v>134</v>
      </c>
      <c r="BQ755" t="s">
        <v>131</v>
      </c>
      <c r="BS755" t="str">
        <f t="shared" si="55"/>
        <v>N/A</v>
      </c>
      <c r="BT755" t="s">
        <v>131</v>
      </c>
      <c r="BV755" t="str">
        <f>""</f>
        <v/>
      </c>
      <c r="BW755" t="s">
        <v>135</v>
      </c>
      <c r="BX755" t="str">
        <f>""</f>
        <v/>
      </c>
      <c r="BY755" t="str">
        <f>""</f>
        <v/>
      </c>
      <c r="BZ755" t="str">
        <f>""</f>
        <v/>
      </c>
      <c r="CA755" t="s">
        <v>9592</v>
      </c>
      <c r="CB755" t="s">
        <v>131</v>
      </c>
      <c r="CF755" t="s">
        <v>131</v>
      </c>
      <c r="CH755" t="str">
        <f>""</f>
        <v/>
      </c>
      <c r="CI755" t="s">
        <v>131</v>
      </c>
      <c r="CK755" t="s">
        <v>131</v>
      </c>
      <c r="CL755" t="str">
        <f>""</f>
        <v/>
      </c>
      <c r="CM755" t="str">
        <f>""</f>
        <v/>
      </c>
      <c r="CN755" t="str">
        <f>""</f>
        <v/>
      </c>
      <c r="CO755" t="str">
        <f>""</f>
        <v/>
      </c>
      <c r="CP755" t="str">
        <f>"49-9098.00"</f>
        <v>49-9098.00</v>
      </c>
      <c r="CQ755" t="s">
        <v>1503</v>
      </c>
      <c r="CR755" t="s">
        <v>5117</v>
      </c>
      <c r="CS755" t="s">
        <v>135</v>
      </c>
      <c r="CT755" t="s">
        <v>9593</v>
      </c>
      <c r="CU755" t="s">
        <v>9594</v>
      </c>
      <c r="CW755" t="s">
        <v>9595</v>
      </c>
      <c r="CX755" t="s">
        <v>605</v>
      </c>
      <c r="CZ755" s="3" t="str">
        <f>"50576"</f>
        <v>50576</v>
      </c>
      <c r="DA755" t="s">
        <v>135</v>
      </c>
      <c r="DB755" t="str">
        <f>"49-9098"</f>
        <v>49-9098</v>
      </c>
      <c r="DC755" t="s">
        <v>1503</v>
      </c>
      <c r="DD755" t="s">
        <v>134</v>
      </c>
      <c r="DE755" t="s">
        <v>134</v>
      </c>
      <c r="DF755" t="str">
        <f>""</f>
        <v/>
      </c>
      <c r="DH755" s="6">
        <v>13.55</v>
      </c>
      <c r="DI755" t="s">
        <v>344</v>
      </c>
      <c r="DK755" t="s">
        <v>345</v>
      </c>
      <c r="DS755" s="6">
        <v>13.55</v>
      </c>
      <c r="DT755" s="2" t="s">
        <v>2219</v>
      </c>
      <c r="DU755" s="1">
        <v>44368</v>
      </c>
      <c r="DV755" s="1">
        <v>44457</v>
      </c>
    </row>
    <row r="756" spans="1:126" ht="15" customHeight="1" x14ac:dyDescent="0.35">
      <c r="A756" t="s">
        <v>12343</v>
      </c>
      <c r="B756" t="s">
        <v>318</v>
      </c>
      <c r="C756" s="1">
        <v>44341</v>
      </c>
      <c r="D756" s="1">
        <v>44368</v>
      </c>
      <c r="H756" t="s">
        <v>319</v>
      </c>
      <c r="I756" t="s">
        <v>9587</v>
      </c>
      <c r="J756" t="s">
        <v>2362</v>
      </c>
      <c r="L756" t="s">
        <v>5110</v>
      </c>
      <c r="M756" t="s">
        <v>9588</v>
      </c>
      <c r="O756" t="s">
        <v>647</v>
      </c>
      <c r="P756" t="s">
        <v>1675</v>
      </c>
      <c r="Q756" s="3">
        <v>68025</v>
      </c>
      <c r="R756" t="s">
        <v>128</v>
      </c>
      <c r="T756" s="4">
        <v>16613093173</v>
      </c>
      <c r="V756" t="s">
        <v>9589</v>
      </c>
      <c r="W756" t="s">
        <v>9590</v>
      </c>
      <c r="Y756" t="s">
        <v>9588</v>
      </c>
      <c r="AA756" t="s">
        <v>647</v>
      </c>
      <c r="AB756" t="s">
        <v>1176</v>
      </c>
      <c r="AC756" s="3" t="str">
        <f>"68025"</f>
        <v>68025</v>
      </c>
      <c r="AD756" t="s">
        <v>128</v>
      </c>
      <c r="AF756" s="4">
        <v>14026490223</v>
      </c>
      <c r="AH756" t="str">
        <f>"236220"</f>
        <v>236220</v>
      </c>
      <c r="AI756" t="s">
        <v>130</v>
      </c>
      <c r="AJ756" t="s">
        <v>4018</v>
      </c>
      <c r="AK756" t="s">
        <v>2069</v>
      </c>
      <c r="AM756" t="s">
        <v>4019</v>
      </c>
      <c r="AO756" t="s">
        <v>1040</v>
      </c>
      <c r="AP756" t="s">
        <v>400</v>
      </c>
      <c r="AQ756" s="5">
        <v>78737</v>
      </c>
      <c r="AR756" t="s">
        <v>128</v>
      </c>
      <c r="AT756" s="4">
        <v>15128942128</v>
      </c>
      <c r="AV756" t="s">
        <v>4020</v>
      </c>
      <c r="AW756" t="s">
        <v>4021</v>
      </c>
      <c r="AX756" t="s">
        <v>131</v>
      </c>
      <c r="AY756" t="s">
        <v>131</v>
      </c>
      <c r="AZ756" t="s">
        <v>131</v>
      </c>
      <c r="BA756" t="s">
        <v>131</v>
      </c>
      <c r="BB756" t="s">
        <v>131</v>
      </c>
      <c r="BC756" t="s">
        <v>131</v>
      </c>
      <c r="BD756" t="s">
        <v>131</v>
      </c>
      <c r="BE756" t="s">
        <v>132</v>
      </c>
      <c r="BH756" t="s">
        <v>9591</v>
      </c>
      <c r="BI756" t="s">
        <v>131</v>
      </c>
      <c r="BL756" t="s">
        <v>167</v>
      </c>
      <c r="BO756" t="s">
        <v>131</v>
      </c>
      <c r="BP756" t="s">
        <v>134</v>
      </c>
      <c r="BQ756" t="s">
        <v>131</v>
      </c>
      <c r="BS756" t="str">
        <f t="shared" si="55"/>
        <v>N/A</v>
      </c>
      <c r="BT756" t="s">
        <v>131</v>
      </c>
      <c r="BV756" t="str">
        <f>""</f>
        <v/>
      </c>
      <c r="BW756" t="s">
        <v>135</v>
      </c>
      <c r="BX756" t="str">
        <f>""</f>
        <v/>
      </c>
      <c r="BY756" t="str">
        <f>""</f>
        <v/>
      </c>
      <c r="BZ756" t="str">
        <f>""</f>
        <v/>
      </c>
      <c r="CA756" t="s">
        <v>9592</v>
      </c>
      <c r="CB756" t="s">
        <v>131</v>
      </c>
      <c r="CF756" t="s">
        <v>131</v>
      </c>
      <c r="CH756" t="str">
        <f>""</f>
        <v/>
      </c>
      <c r="CI756" t="s">
        <v>131</v>
      </c>
      <c r="CK756" t="s">
        <v>131</v>
      </c>
      <c r="CL756" t="str">
        <f>""</f>
        <v/>
      </c>
      <c r="CM756" t="str">
        <f>""</f>
        <v/>
      </c>
      <c r="CN756" t="str">
        <f>""</f>
        <v/>
      </c>
      <c r="CO756" t="str">
        <f>""</f>
        <v/>
      </c>
      <c r="CP756" t="str">
        <f>"49-9098.00"</f>
        <v>49-9098.00</v>
      </c>
      <c r="CQ756" t="s">
        <v>1503</v>
      </c>
      <c r="CR756" t="s">
        <v>5117</v>
      </c>
      <c r="CS756" t="s">
        <v>135</v>
      </c>
      <c r="CT756" t="s">
        <v>9593</v>
      </c>
      <c r="CU756" t="s">
        <v>12344</v>
      </c>
      <c r="CW756" t="s">
        <v>12345</v>
      </c>
      <c r="CX756" t="s">
        <v>172</v>
      </c>
      <c r="CZ756" s="3" t="str">
        <f>"92582"</f>
        <v>92582</v>
      </c>
      <c r="DA756" t="s">
        <v>135</v>
      </c>
      <c r="DB756" t="str">
        <f>"49-9098"</f>
        <v>49-9098</v>
      </c>
      <c r="DC756" t="s">
        <v>1503</v>
      </c>
      <c r="DD756" t="s">
        <v>134</v>
      </c>
      <c r="DE756" t="s">
        <v>134</v>
      </c>
      <c r="DF756" t="str">
        <f>""</f>
        <v/>
      </c>
      <c r="DH756" s="6">
        <v>15.15</v>
      </c>
      <c r="DI756" t="s">
        <v>344</v>
      </c>
      <c r="DK756" t="s">
        <v>345</v>
      </c>
      <c r="DS756" s="6">
        <v>15.15</v>
      </c>
      <c r="DT756" s="2" t="s">
        <v>2219</v>
      </c>
      <c r="DU756" s="1">
        <v>44368</v>
      </c>
      <c r="DV756" s="1">
        <v>44457</v>
      </c>
    </row>
    <row r="757" spans="1:126" ht="15" customHeight="1" x14ac:dyDescent="0.35">
      <c r="A757" t="s">
        <v>16579</v>
      </c>
      <c r="B757" t="s">
        <v>318</v>
      </c>
      <c r="C757" s="1">
        <v>44341</v>
      </c>
      <c r="D757" s="1">
        <v>44368</v>
      </c>
      <c r="H757" t="s">
        <v>319</v>
      </c>
      <c r="I757" t="s">
        <v>7973</v>
      </c>
      <c r="J757" t="s">
        <v>957</v>
      </c>
      <c r="L757" t="s">
        <v>395</v>
      </c>
      <c r="M757" t="s">
        <v>16580</v>
      </c>
      <c r="O757" t="s">
        <v>2371</v>
      </c>
      <c r="P757" t="s">
        <v>412</v>
      </c>
      <c r="Q757" s="3">
        <v>76574</v>
      </c>
      <c r="R757" t="s">
        <v>128</v>
      </c>
      <c r="T757" s="4">
        <v>15128462535</v>
      </c>
      <c r="V757" t="s">
        <v>16581</v>
      </c>
      <c r="W757" t="s">
        <v>16582</v>
      </c>
      <c r="Y757" t="s">
        <v>16580</v>
      </c>
      <c r="AA757" t="s">
        <v>2371</v>
      </c>
      <c r="AB757" t="s">
        <v>400</v>
      </c>
      <c r="AC757" s="3" t="str">
        <f>"76574"</f>
        <v>76574</v>
      </c>
      <c r="AD757" t="s">
        <v>128</v>
      </c>
      <c r="AF757" s="4">
        <v>15128462535</v>
      </c>
      <c r="AH757" t="str">
        <f>"561730"</f>
        <v>561730</v>
      </c>
      <c r="AI757" t="s">
        <v>167</v>
      </c>
      <c r="AX757" t="s">
        <v>131</v>
      </c>
      <c r="AY757" t="s">
        <v>131</v>
      </c>
      <c r="AZ757" t="s">
        <v>131</v>
      </c>
      <c r="BA757" t="s">
        <v>131</v>
      </c>
      <c r="BB757" t="s">
        <v>131</v>
      </c>
      <c r="BC757" t="s">
        <v>131</v>
      </c>
      <c r="BD757" t="s">
        <v>131</v>
      </c>
      <c r="BE757" t="s">
        <v>132</v>
      </c>
      <c r="BH757" t="s">
        <v>16583</v>
      </c>
      <c r="BI757" t="s">
        <v>131</v>
      </c>
      <c r="BL757" t="s">
        <v>401</v>
      </c>
      <c r="BO757" t="s">
        <v>131</v>
      </c>
      <c r="BP757" t="s">
        <v>134</v>
      </c>
      <c r="BQ757" t="s">
        <v>131</v>
      </c>
      <c r="BS757" t="str">
        <f t="shared" si="55"/>
        <v>N/A</v>
      </c>
      <c r="BT757" t="s">
        <v>135</v>
      </c>
      <c r="BU757">
        <v>24</v>
      </c>
      <c r="BV757" t="str">
        <f>"Tree trimming and removal"</f>
        <v>Tree trimming and removal</v>
      </c>
      <c r="BW757" t="s">
        <v>135</v>
      </c>
      <c r="BX757" t="str">
        <f>""</f>
        <v/>
      </c>
      <c r="BY757" t="str">
        <f>"Spanish"</f>
        <v>Spanish</v>
      </c>
      <c r="BZ757" t="str">
        <f>""</f>
        <v/>
      </c>
      <c r="CA757" t="str">
        <f>""</f>
        <v/>
      </c>
      <c r="CB757" t="s">
        <v>131</v>
      </c>
      <c r="CF757" t="s">
        <v>131</v>
      </c>
      <c r="CH757" t="str">
        <f>""</f>
        <v/>
      </c>
      <c r="CI757" t="s">
        <v>131</v>
      </c>
      <c r="CK757" t="s">
        <v>131</v>
      </c>
      <c r="CL757" t="str">
        <f>""</f>
        <v/>
      </c>
      <c r="CM757" t="str">
        <f>""</f>
        <v/>
      </c>
      <c r="CN757" t="str">
        <f>""</f>
        <v/>
      </c>
      <c r="CO757" t="str">
        <f>""</f>
        <v/>
      </c>
      <c r="CP757" t="str">
        <f>"37-3013.00"</f>
        <v>37-3013.00</v>
      </c>
      <c r="CQ757" t="s">
        <v>4299</v>
      </c>
      <c r="CR757" t="s">
        <v>16584</v>
      </c>
      <c r="CS757" t="s">
        <v>135</v>
      </c>
      <c r="CT757" t="s">
        <v>16585</v>
      </c>
      <c r="CU757" t="s">
        <v>16586</v>
      </c>
      <c r="CW757" t="s">
        <v>2371</v>
      </c>
      <c r="CX757" t="s">
        <v>400</v>
      </c>
      <c r="CZ757" s="3" t="str">
        <f>"76574"</f>
        <v>76574</v>
      </c>
      <c r="DA757" t="s">
        <v>135</v>
      </c>
      <c r="DB757" t="str">
        <f>"37-3013"</f>
        <v>37-3013</v>
      </c>
      <c r="DC757" t="s">
        <v>4299</v>
      </c>
      <c r="DD757" t="s">
        <v>134</v>
      </c>
      <c r="DE757" t="s">
        <v>134</v>
      </c>
      <c r="DF757" t="str">
        <f>""</f>
        <v/>
      </c>
      <c r="DH757" s="6">
        <v>18.350000000000001</v>
      </c>
      <c r="DI757" t="s">
        <v>344</v>
      </c>
      <c r="DK757" t="s">
        <v>345</v>
      </c>
      <c r="DR757" t="s">
        <v>10072</v>
      </c>
      <c r="DS757" s="6">
        <v>18.350000000000001</v>
      </c>
      <c r="DT757" s="2" t="s">
        <v>2219</v>
      </c>
      <c r="DU757" s="1">
        <v>44368</v>
      </c>
      <c r="DV757" s="1">
        <v>44457</v>
      </c>
    </row>
    <row r="758" spans="1:126" ht="15" customHeight="1" x14ac:dyDescent="0.35">
      <c r="A758" t="s">
        <v>16296</v>
      </c>
      <c r="B758" t="s">
        <v>318</v>
      </c>
      <c r="C758" s="1">
        <v>44341</v>
      </c>
      <c r="D758" s="1">
        <v>44368</v>
      </c>
      <c r="H758" t="s">
        <v>319</v>
      </c>
      <c r="I758" t="s">
        <v>9587</v>
      </c>
      <c r="J758" t="s">
        <v>2362</v>
      </c>
      <c r="L758" t="s">
        <v>5110</v>
      </c>
      <c r="M758" t="s">
        <v>9588</v>
      </c>
      <c r="O758" t="s">
        <v>647</v>
      </c>
      <c r="P758" t="s">
        <v>1675</v>
      </c>
      <c r="Q758" s="3">
        <v>68025</v>
      </c>
      <c r="R758" t="s">
        <v>128</v>
      </c>
      <c r="T758" s="4">
        <v>16613093173</v>
      </c>
      <c r="V758" t="s">
        <v>9589</v>
      </c>
      <c r="W758" t="s">
        <v>9590</v>
      </c>
      <c r="Y758" t="s">
        <v>9588</v>
      </c>
      <c r="AA758" t="s">
        <v>647</v>
      </c>
      <c r="AB758" t="s">
        <v>1176</v>
      </c>
      <c r="AC758" s="3" t="str">
        <f>"68025"</f>
        <v>68025</v>
      </c>
      <c r="AD758" t="s">
        <v>128</v>
      </c>
      <c r="AF758" s="4">
        <v>14026490223</v>
      </c>
      <c r="AH758" t="str">
        <f>"236220"</f>
        <v>236220</v>
      </c>
      <c r="AI758" t="s">
        <v>130</v>
      </c>
      <c r="AJ758" t="s">
        <v>4018</v>
      </c>
      <c r="AK758" t="s">
        <v>2069</v>
      </c>
      <c r="AM758" t="s">
        <v>4019</v>
      </c>
      <c r="AO758" t="s">
        <v>1040</v>
      </c>
      <c r="AP758" t="s">
        <v>400</v>
      </c>
      <c r="AQ758" s="5">
        <v>78737</v>
      </c>
      <c r="AR758" t="s">
        <v>128</v>
      </c>
      <c r="AT758" s="4">
        <v>15128942128</v>
      </c>
      <c r="AV758" t="s">
        <v>4020</v>
      </c>
      <c r="AW758" t="s">
        <v>4021</v>
      </c>
      <c r="AX758" t="s">
        <v>131</v>
      </c>
      <c r="AY758" t="s">
        <v>131</v>
      </c>
      <c r="AZ758" t="s">
        <v>131</v>
      </c>
      <c r="BA758" t="s">
        <v>131</v>
      </c>
      <c r="BB758" t="s">
        <v>131</v>
      </c>
      <c r="BC758" t="s">
        <v>131</v>
      </c>
      <c r="BD758" t="s">
        <v>131</v>
      </c>
      <c r="BE758" t="s">
        <v>132</v>
      </c>
      <c r="BH758" t="s">
        <v>9591</v>
      </c>
      <c r="BI758" t="s">
        <v>131</v>
      </c>
      <c r="BL758" t="s">
        <v>167</v>
      </c>
      <c r="BO758" t="s">
        <v>131</v>
      </c>
      <c r="BP758" t="s">
        <v>134</v>
      </c>
      <c r="BQ758" t="s">
        <v>131</v>
      </c>
      <c r="BS758" t="str">
        <f t="shared" si="55"/>
        <v>N/A</v>
      </c>
      <c r="BT758" t="s">
        <v>131</v>
      </c>
      <c r="BV758" t="str">
        <f>""</f>
        <v/>
      </c>
      <c r="BW758" t="s">
        <v>135</v>
      </c>
      <c r="BX758" t="str">
        <f>""</f>
        <v/>
      </c>
      <c r="BY758" t="str">
        <f>""</f>
        <v/>
      </c>
      <c r="BZ758" t="str">
        <f>""</f>
        <v/>
      </c>
      <c r="CA758" t="s">
        <v>9592</v>
      </c>
      <c r="CB758" t="s">
        <v>131</v>
      </c>
      <c r="CF758" t="s">
        <v>131</v>
      </c>
      <c r="CH758" t="str">
        <f>""</f>
        <v/>
      </c>
      <c r="CI758" t="s">
        <v>131</v>
      </c>
      <c r="CK758" t="s">
        <v>131</v>
      </c>
      <c r="CL758" t="str">
        <f>""</f>
        <v/>
      </c>
      <c r="CM758" t="str">
        <f>""</f>
        <v/>
      </c>
      <c r="CN758" t="str">
        <f>""</f>
        <v/>
      </c>
      <c r="CO758" t="str">
        <f>""</f>
        <v/>
      </c>
      <c r="CP758" t="str">
        <f>"49-9098.00"</f>
        <v>49-9098.00</v>
      </c>
      <c r="CQ758" t="s">
        <v>1503</v>
      </c>
      <c r="CR758" t="s">
        <v>5117</v>
      </c>
      <c r="CS758" t="s">
        <v>135</v>
      </c>
      <c r="CT758" t="s">
        <v>9593</v>
      </c>
      <c r="CU758" t="s">
        <v>16297</v>
      </c>
      <c r="CW758" t="s">
        <v>11561</v>
      </c>
      <c r="CX758" t="s">
        <v>258</v>
      </c>
      <c r="CZ758" s="3" t="str">
        <f>"65647"</f>
        <v>65647</v>
      </c>
      <c r="DA758" t="s">
        <v>135</v>
      </c>
      <c r="DB758" t="str">
        <f>"49-9098"</f>
        <v>49-9098</v>
      </c>
      <c r="DC758" t="s">
        <v>1503</v>
      </c>
      <c r="DD758" t="s">
        <v>134</v>
      </c>
      <c r="DE758" t="s">
        <v>134</v>
      </c>
      <c r="DF758" t="str">
        <f>""</f>
        <v/>
      </c>
      <c r="DH758" s="6">
        <v>17.02</v>
      </c>
      <c r="DI758" t="s">
        <v>344</v>
      </c>
      <c r="DK758" t="s">
        <v>345</v>
      </c>
      <c r="DS758" s="6">
        <v>17.02</v>
      </c>
      <c r="DT758" s="2" t="s">
        <v>2219</v>
      </c>
      <c r="DU758" s="1">
        <v>44368</v>
      </c>
      <c r="DV758" s="1">
        <v>44457</v>
      </c>
    </row>
    <row r="759" spans="1:126" ht="15" customHeight="1" x14ac:dyDescent="0.35">
      <c r="A759" t="s">
        <v>15802</v>
      </c>
      <c r="B759" t="s">
        <v>318</v>
      </c>
      <c r="C759" s="1">
        <v>44341</v>
      </c>
      <c r="D759" s="1">
        <v>44368</v>
      </c>
      <c r="H759" t="s">
        <v>319</v>
      </c>
      <c r="I759" t="s">
        <v>15803</v>
      </c>
      <c r="J759" t="s">
        <v>15804</v>
      </c>
      <c r="L759" t="s">
        <v>1105</v>
      </c>
      <c r="M759" t="s">
        <v>15805</v>
      </c>
      <c r="O759" t="s">
        <v>3561</v>
      </c>
      <c r="Q759" s="3">
        <v>30046</v>
      </c>
      <c r="R759" t="s">
        <v>643</v>
      </c>
      <c r="S759" t="s">
        <v>818</v>
      </c>
      <c r="T759" s="4">
        <v>14702992090</v>
      </c>
      <c r="V759" t="s">
        <v>15806</v>
      </c>
      <c r="W759" t="s">
        <v>15807</v>
      </c>
      <c r="X759" t="s">
        <v>15807</v>
      </c>
      <c r="Y759" t="s">
        <v>15805</v>
      </c>
      <c r="AA759" t="s">
        <v>3561</v>
      </c>
      <c r="AC759" s="3" t="str">
        <f>"30046"</f>
        <v>30046</v>
      </c>
      <c r="AD759" t="s">
        <v>643</v>
      </c>
      <c r="AE759" t="s">
        <v>3238</v>
      </c>
      <c r="AF759" s="4">
        <v>14702992090</v>
      </c>
      <c r="AH759" t="str">
        <f>"624120"</f>
        <v>624120</v>
      </c>
      <c r="AI759" t="s">
        <v>167</v>
      </c>
      <c r="AX759" t="s">
        <v>131</v>
      </c>
      <c r="AY759" t="s">
        <v>131</v>
      </c>
      <c r="AZ759" t="s">
        <v>131</v>
      </c>
      <c r="BA759" t="s">
        <v>131</v>
      </c>
      <c r="BB759" t="s">
        <v>131</v>
      </c>
      <c r="BC759" t="s">
        <v>131</v>
      </c>
      <c r="BD759" t="s">
        <v>131</v>
      </c>
      <c r="BE759" t="s">
        <v>132</v>
      </c>
      <c r="BH759" t="s">
        <v>10184</v>
      </c>
      <c r="BI759" t="s">
        <v>131</v>
      </c>
      <c r="BL759" t="s">
        <v>167</v>
      </c>
      <c r="BO759" t="s">
        <v>131</v>
      </c>
      <c r="BP759" t="s">
        <v>134</v>
      </c>
      <c r="BQ759" t="s">
        <v>131</v>
      </c>
      <c r="BS759" t="str">
        <f t="shared" si="55"/>
        <v>N/A</v>
      </c>
      <c r="BT759" t="s">
        <v>131</v>
      </c>
      <c r="BV759" t="str">
        <f>""</f>
        <v/>
      </c>
      <c r="BW759" t="s">
        <v>131</v>
      </c>
      <c r="BX759" t="str">
        <f>""</f>
        <v/>
      </c>
      <c r="BY759" t="str">
        <f>""</f>
        <v/>
      </c>
      <c r="BZ759" t="str">
        <f>""</f>
        <v/>
      </c>
      <c r="CA759" t="str">
        <f>""</f>
        <v/>
      </c>
      <c r="CB759" t="s">
        <v>131</v>
      </c>
      <c r="CF759" t="s">
        <v>131</v>
      </c>
      <c r="CH759" t="str">
        <f>""</f>
        <v/>
      </c>
      <c r="CI759" t="s">
        <v>131</v>
      </c>
      <c r="CK759" t="s">
        <v>131</v>
      </c>
      <c r="CL759" t="str">
        <f>""</f>
        <v/>
      </c>
      <c r="CM759" t="str">
        <f>""</f>
        <v/>
      </c>
      <c r="CN759" t="str">
        <f>""</f>
        <v/>
      </c>
      <c r="CO759" t="str">
        <f>""</f>
        <v/>
      </c>
      <c r="CP759" t="str">
        <f>"39-9021.00"</f>
        <v>39-9021.00</v>
      </c>
      <c r="CQ759" t="s">
        <v>2708</v>
      </c>
      <c r="CS759" t="s">
        <v>131</v>
      </c>
      <c r="CU759" t="s">
        <v>15805</v>
      </c>
      <c r="CW759" t="s">
        <v>3561</v>
      </c>
      <c r="CX759" t="s">
        <v>643</v>
      </c>
      <c r="CZ759" s="3" t="str">
        <f>"30046"</f>
        <v>30046</v>
      </c>
      <c r="DA759" t="s">
        <v>131</v>
      </c>
      <c r="DB759" t="str">
        <f>"39-9021"</f>
        <v>39-9021</v>
      </c>
      <c r="DC759" t="s">
        <v>2708</v>
      </c>
      <c r="DD759" t="s">
        <v>134</v>
      </c>
      <c r="DE759" t="s">
        <v>134</v>
      </c>
      <c r="DF759" t="str">
        <f>""</f>
        <v/>
      </c>
      <c r="DH759" s="6">
        <v>12.75</v>
      </c>
      <c r="DI759" t="s">
        <v>344</v>
      </c>
      <c r="DK759" t="s">
        <v>345</v>
      </c>
      <c r="DS759" s="6">
        <v>12.75</v>
      </c>
      <c r="DT759" t="s">
        <v>424</v>
      </c>
      <c r="DU759" s="1">
        <v>44368</v>
      </c>
      <c r="DV759" s="1">
        <v>44457</v>
      </c>
    </row>
    <row r="760" spans="1:126" ht="15" customHeight="1" x14ac:dyDescent="0.35">
      <c r="A760" t="s">
        <v>17589</v>
      </c>
      <c r="B760" t="s">
        <v>318</v>
      </c>
      <c r="C760" s="1">
        <v>44341</v>
      </c>
      <c r="D760" s="1">
        <v>44368</v>
      </c>
      <c r="H760" t="s">
        <v>319</v>
      </c>
      <c r="I760" t="s">
        <v>9587</v>
      </c>
      <c r="J760" t="s">
        <v>2362</v>
      </c>
      <c r="L760" t="s">
        <v>5110</v>
      </c>
      <c r="M760" t="s">
        <v>9588</v>
      </c>
      <c r="O760" t="s">
        <v>647</v>
      </c>
      <c r="P760" t="s">
        <v>1675</v>
      </c>
      <c r="Q760" s="3">
        <v>68025</v>
      </c>
      <c r="R760" t="s">
        <v>128</v>
      </c>
      <c r="T760" s="4">
        <v>16613093173</v>
      </c>
      <c r="V760" t="s">
        <v>9589</v>
      </c>
      <c r="W760" t="s">
        <v>9590</v>
      </c>
      <c r="Y760" t="s">
        <v>9588</v>
      </c>
      <c r="AA760" t="s">
        <v>647</v>
      </c>
      <c r="AB760" t="s">
        <v>1176</v>
      </c>
      <c r="AC760" s="3" t="str">
        <f>"68025"</f>
        <v>68025</v>
      </c>
      <c r="AD760" t="s">
        <v>128</v>
      </c>
      <c r="AF760" s="4">
        <v>14026490223</v>
      </c>
      <c r="AH760" t="str">
        <f>"236220"</f>
        <v>236220</v>
      </c>
      <c r="AI760" t="s">
        <v>130</v>
      </c>
      <c r="AJ760" t="s">
        <v>4018</v>
      </c>
      <c r="AK760" t="s">
        <v>2069</v>
      </c>
      <c r="AM760" t="s">
        <v>4019</v>
      </c>
      <c r="AO760" t="s">
        <v>1040</v>
      </c>
      <c r="AP760" t="s">
        <v>400</v>
      </c>
      <c r="AQ760" s="5">
        <v>78737</v>
      </c>
      <c r="AR760" t="s">
        <v>128</v>
      </c>
      <c r="AT760" s="4">
        <v>15128942128</v>
      </c>
      <c r="AV760" t="s">
        <v>4020</v>
      </c>
      <c r="AW760" t="s">
        <v>4021</v>
      </c>
      <c r="AX760" t="s">
        <v>131</v>
      </c>
      <c r="AY760" t="s">
        <v>131</v>
      </c>
      <c r="AZ760" t="s">
        <v>131</v>
      </c>
      <c r="BA760" t="s">
        <v>131</v>
      </c>
      <c r="BB760" t="s">
        <v>131</v>
      </c>
      <c r="BC760" t="s">
        <v>131</v>
      </c>
      <c r="BD760" t="s">
        <v>131</v>
      </c>
      <c r="BE760" t="s">
        <v>132</v>
      </c>
      <c r="BH760" t="s">
        <v>9591</v>
      </c>
      <c r="BI760" t="s">
        <v>131</v>
      </c>
      <c r="BL760" t="s">
        <v>167</v>
      </c>
      <c r="BO760" t="s">
        <v>131</v>
      </c>
      <c r="BP760" t="s">
        <v>134</v>
      </c>
      <c r="BQ760" t="s">
        <v>131</v>
      </c>
      <c r="BS760" t="str">
        <f t="shared" si="55"/>
        <v>N/A</v>
      </c>
      <c r="BT760" t="s">
        <v>131</v>
      </c>
      <c r="BV760" t="str">
        <f>""</f>
        <v/>
      </c>
      <c r="BW760" t="s">
        <v>135</v>
      </c>
      <c r="BX760" t="str">
        <f>""</f>
        <v/>
      </c>
      <c r="BY760" t="str">
        <f>""</f>
        <v/>
      </c>
      <c r="BZ760" t="str">
        <f>""</f>
        <v/>
      </c>
      <c r="CA760" t="s">
        <v>9592</v>
      </c>
      <c r="CB760" t="s">
        <v>131</v>
      </c>
      <c r="CF760" t="s">
        <v>131</v>
      </c>
      <c r="CH760" t="str">
        <f>""</f>
        <v/>
      </c>
      <c r="CI760" t="s">
        <v>131</v>
      </c>
      <c r="CK760" t="s">
        <v>131</v>
      </c>
      <c r="CL760" t="str">
        <f>""</f>
        <v/>
      </c>
      <c r="CM760" t="str">
        <f>""</f>
        <v/>
      </c>
      <c r="CN760" t="str">
        <f>""</f>
        <v/>
      </c>
      <c r="CO760" t="str">
        <f>""</f>
        <v/>
      </c>
      <c r="CP760" t="str">
        <f>"49-9098.00"</f>
        <v>49-9098.00</v>
      </c>
      <c r="CQ760" t="s">
        <v>1503</v>
      </c>
      <c r="CR760" t="s">
        <v>5117</v>
      </c>
      <c r="CS760" t="s">
        <v>135</v>
      </c>
      <c r="CT760" t="s">
        <v>9593</v>
      </c>
      <c r="CU760" t="s">
        <v>17590</v>
      </c>
      <c r="CW760" t="s">
        <v>17591</v>
      </c>
      <c r="CX760" t="s">
        <v>605</v>
      </c>
      <c r="CZ760" s="3" t="str">
        <f>"50071"</f>
        <v>50071</v>
      </c>
      <c r="DA760" t="s">
        <v>135</v>
      </c>
      <c r="DB760" t="str">
        <f>"49-9098"</f>
        <v>49-9098</v>
      </c>
      <c r="DC760" t="s">
        <v>1503</v>
      </c>
      <c r="DD760" t="s">
        <v>134</v>
      </c>
      <c r="DE760" t="s">
        <v>134</v>
      </c>
      <c r="DF760" t="str">
        <f>""</f>
        <v/>
      </c>
      <c r="DH760" s="6">
        <v>13.55</v>
      </c>
      <c r="DI760" t="s">
        <v>344</v>
      </c>
      <c r="DK760" t="s">
        <v>345</v>
      </c>
      <c r="DS760" s="6">
        <v>13.55</v>
      </c>
      <c r="DT760" s="2" t="s">
        <v>2219</v>
      </c>
      <c r="DU760" s="1">
        <v>44368</v>
      </c>
      <c r="DV760" s="1">
        <v>44457</v>
      </c>
    </row>
    <row r="761" spans="1:126" ht="15" customHeight="1" x14ac:dyDescent="0.35">
      <c r="A761" t="s">
        <v>15244</v>
      </c>
      <c r="B761" t="s">
        <v>318</v>
      </c>
      <c r="C761" s="1">
        <v>44341</v>
      </c>
      <c r="D761" s="1">
        <v>44368</v>
      </c>
      <c r="H761" t="s">
        <v>319</v>
      </c>
      <c r="I761" t="s">
        <v>15245</v>
      </c>
      <c r="J761" t="s">
        <v>15246</v>
      </c>
      <c r="L761" t="s">
        <v>682</v>
      </c>
      <c r="M761" t="s">
        <v>15247</v>
      </c>
      <c r="N761" t="s">
        <v>15248</v>
      </c>
      <c r="O761" t="s">
        <v>405</v>
      </c>
      <c r="P761" t="s">
        <v>194</v>
      </c>
      <c r="Q761" s="3">
        <v>32819</v>
      </c>
      <c r="R761" t="s">
        <v>128</v>
      </c>
      <c r="T761" s="4">
        <v>14075300007</v>
      </c>
      <c r="V761" t="s">
        <v>15249</v>
      </c>
      <c r="W761" t="s">
        <v>15250</v>
      </c>
      <c r="X761" t="s">
        <v>15250</v>
      </c>
      <c r="Y761" t="s">
        <v>15251</v>
      </c>
      <c r="Z761" t="s">
        <v>15248</v>
      </c>
      <c r="AA761" t="s">
        <v>405</v>
      </c>
      <c r="AB761" t="s">
        <v>195</v>
      </c>
      <c r="AC761" s="3" t="str">
        <f>"32819"</f>
        <v>32819</v>
      </c>
      <c r="AD761" t="s">
        <v>128</v>
      </c>
      <c r="AF761" s="4">
        <v>14075300007</v>
      </c>
      <c r="AH761" t="str">
        <f>"541213"</f>
        <v>541213</v>
      </c>
      <c r="AI761" t="s">
        <v>167</v>
      </c>
      <c r="AX761" t="s">
        <v>131</v>
      </c>
      <c r="AY761" t="s">
        <v>131</v>
      </c>
      <c r="AZ761" t="s">
        <v>131</v>
      </c>
      <c r="BA761" t="s">
        <v>131</v>
      </c>
      <c r="BB761" t="s">
        <v>131</v>
      </c>
      <c r="BC761" t="s">
        <v>131</v>
      </c>
      <c r="BD761" t="s">
        <v>131</v>
      </c>
      <c r="BE761" t="s">
        <v>132</v>
      </c>
      <c r="BH761" t="s">
        <v>15252</v>
      </c>
      <c r="BI761" t="s">
        <v>131</v>
      </c>
      <c r="BL761" t="s">
        <v>167</v>
      </c>
      <c r="BO761" t="s">
        <v>131</v>
      </c>
      <c r="BP761" t="s">
        <v>134</v>
      </c>
      <c r="BQ761" t="s">
        <v>131</v>
      </c>
      <c r="BS761" t="str">
        <f t="shared" si="55"/>
        <v>N/A</v>
      </c>
      <c r="BT761" t="s">
        <v>135</v>
      </c>
      <c r="BU761">
        <v>12</v>
      </c>
      <c r="BV761" t="str">
        <f>"Brazilian Tax Returns"</f>
        <v>Brazilian Tax Returns</v>
      </c>
      <c r="BW761" t="s">
        <v>131</v>
      </c>
      <c r="BX761" t="str">
        <f>""</f>
        <v/>
      </c>
      <c r="BY761" t="str">
        <f>""</f>
        <v/>
      </c>
      <c r="BZ761" t="str">
        <f>""</f>
        <v/>
      </c>
      <c r="CA761" t="str">
        <f>""</f>
        <v/>
      </c>
      <c r="CB761" t="s">
        <v>131</v>
      </c>
      <c r="CF761" t="s">
        <v>131</v>
      </c>
      <c r="CH761" t="str">
        <f>""</f>
        <v/>
      </c>
      <c r="CI761" t="s">
        <v>131</v>
      </c>
      <c r="CK761" t="s">
        <v>131</v>
      </c>
      <c r="CL761" t="str">
        <f>""</f>
        <v/>
      </c>
      <c r="CM761" t="str">
        <f>""</f>
        <v/>
      </c>
      <c r="CN761" t="str">
        <f>""</f>
        <v/>
      </c>
      <c r="CO761" t="str">
        <f>""</f>
        <v/>
      </c>
      <c r="CP761" t="str">
        <f>"13-2082.00"</f>
        <v>13-2082.00</v>
      </c>
      <c r="CQ761" t="s">
        <v>14196</v>
      </c>
      <c r="CR761" t="s">
        <v>15253</v>
      </c>
      <c r="CS761" t="s">
        <v>131</v>
      </c>
      <c r="CU761" t="s">
        <v>15247</v>
      </c>
      <c r="CV761" t="s">
        <v>15248</v>
      </c>
      <c r="CW761" t="s">
        <v>405</v>
      </c>
      <c r="CX761" t="s">
        <v>195</v>
      </c>
      <c r="CZ761" s="3" t="str">
        <f>"32819"</f>
        <v>32819</v>
      </c>
      <c r="DA761" t="s">
        <v>131</v>
      </c>
      <c r="DB761" t="str">
        <f>"13-2082"</f>
        <v>13-2082</v>
      </c>
      <c r="DC761" t="s">
        <v>14196</v>
      </c>
      <c r="DD761" t="s">
        <v>134</v>
      </c>
      <c r="DE761" t="s">
        <v>134</v>
      </c>
      <c r="DF761" t="str">
        <f>""</f>
        <v/>
      </c>
      <c r="DH761" s="6">
        <v>21.33</v>
      </c>
      <c r="DI761" t="s">
        <v>344</v>
      </c>
      <c r="DK761" t="s">
        <v>345</v>
      </c>
      <c r="DR761" t="s">
        <v>15254</v>
      </c>
      <c r="DS761" s="6">
        <v>21.33</v>
      </c>
      <c r="DT761" t="s">
        <v>424</v>
      </c>
      <c r="DU761" s="1">
        <v>44368</v>
      </c>
      <c r="DV761" s="1">
        <v>44457</v>
      </c>
    </row>
    <row r="762" spans="1:126" ht="15" customHeight="1" x14ac:dyDescent="0.35">
      <c r="A762" t="s">
        <v>8668</v>
      </c>
      <c r="B762" t="s">
        <v>318</v>
      </c>
      <c r="C762" s="1">
        <v>44341</v>
      </c>
      <c r="D762" s="1">
        <v>44369</v>
      </c>
      <c r="H762" t="s">
        <v>319</v>
      </c>
      <c r="I762" t="s">
        <v>8669</v>
      </c>
      <c r="J762" t="s">
        <v>1540</v>
      </c>
      <c r="L762" t="s">
        <v>1105</v>
      </c>
      <c r="M762" t="s">
        <v>8670</v>
      </c>
      <c r="O762" t="s">
        <v>7017</v>
      </c>
      <c r="P762" t="s">
        <v>256</v>
      </c>
      <c r="Q762" s="3">
        <v>63010</v>
      </c>
      <c r="R762" t="s">
        <v>128</v>
      </c>
      <c r="T762" s="4">
        <v>16362232330</v>
      </c>
      <c r="V762" t="s">
        <v>3865</v>
      </c>
      <c r="W762" t="s">
        <v>8671</v>
      </c>
      <c r="X762" t="s">
        <v>8672</v>
      </c>
      <c r="Y762" t="s">
        <v>8670</v>
      </c>
      <c r="AA762" t="s">
        <v>7017</v>
      </c>
      <c r="AB762" t="s">
        <v>258</v>
      </c>
      <c r="AC762" s="3" t="str">
        <f>"63010"</f>
        <v>63010</v>
      </c>
      <c r="AD762" t="s">
        <v>128</v>
      </c>
      <c r="AF762" s="4">
        <v>16362232330</v>
      </c>
      <c r="AH762" t="str">
        <f>"56173"</f>
        <v>56173</v>
      </c>
      <c r="AI762" t="s">
        <v>287</v>
      </c>
      <c r="AJ762" t="s">
        <v>3862</v>
      </c>
      <c r="AK762" t="s">
        <v>2066</v>
      </c>
      <c r="AM762" t="s">
        <v>2650</v>
      </c>
      <c r="AO762" t="s">
        <v>2651</v>
      </c>
      <c r="AP762" t="s">
        <v>1336</v>
      </c>
      <c r="AQ762" s="5">
        <v>74132</v>
      </c>
      <c r="AR762" t="s">
        <v>128</v>
      </c>
      <c r="AS762" t="s">
        <v>1334</v>
      </c>
      <c r="AT762" s="4">
        <v>19189065212</v>
      </c>
      <c r="AV762" t="s">
        <v>3865</v>
      </c>
      <c r="AW762" t="s">
        <v>2653</v>
      </c>
      <c r="AX762" t="s">
        <v>131</v>
      </c>
      <c r="AY762" t="s">
        <v>131</v>
      </c>
      <c r="AZ762" t="s">
        <v>131</v>
      </c>
      <c r="BA762" t="s">
        <v>131</v>
      </c>
      <c r="BB762" t="s">
        <v>131</v>
      </c>
      <c r="BC762" t="s">
        <v>131</v>
      </c>
      <c r="BD762" t="s">
        <v>131</v>
      </c>
      <c r="BE762" t="s">
        <v>132</v>
      </c>
      <c r="BH762" t="s">
        <v>2215</v>
      </c>
      <c r="BI762" t="s">
        <v>131</v>
      </c>
      <c r="BL762" t="s">
        <v>401</v>
      </c>
      <c r="BO762" t="s">
        <v>131</v>
      </c>
      <c r="BP762" t="s">
        <v>134</v>
      </c>
      <c r="BQ762" t="s">
        <v>131</v>
      </c>
      <c r="BS762" t="str">
        <f t="shared" si="55"/>
        <v>N/A</v>
      </c>
      <c r="BT762" t="s">
        <v>131</v>
      </c>
      <c r="BV762" t="str">
        <f>""</f>
        <v/>
      </c>
      <c r="BW762" t="s">
        <v>135</v>
      </c>
      <c r="BX762" t="str">
        <f>""</f>
        <v/>
      </c>
      <c r="BY762" t="str">
        <f>""</f>
        <v/>
      </c>
      <c r="BZ762" t="str">
        <f>""</f>
        <v/>
      </c>
      <c r="CA762" t="str">
        <f>"lift 75 lbs, valid driver's license"</f>
        <v>lift 75 lbs, valid driver's license</v>
      </c>
      <c r="CB762" t="s">
        <v>131</v>
      </c>
      <c r="CF762" t="s">
        <v>131</v>
      </c>
      <c r="CH762" t="str">
        <f>""</f>
        <v/>
      </c>
      <c r="CI762" t="s">
        <v>131</v>
      </c>
      <c r="CK762" t="s">
        <v>131</v>
      </c>
      <c r="CL762" t="str">
        <f>""</f>
        <v/>
      </c>
      <c r="CM762" t="str">
        <f>""</f>
        <v/>
      </c>
      <c r="CN762" t="str">
        <f>""</f>
        <v/>
      </c>
      <c r="CO762" t="str">
        <f>""</f>
        <v/>
      </c>
      <c r="CP762" t="str">
        <f>"37-3011.00"</f>
        <v>37-3011.00</v>
      </c>
      <c r="CQ762" t="s">
        <v>920</v>
      </c>
      <c r="CR762" t="s">
        <v>920</v>
      </c>
      <c r="CS762" t="s">
        <v>131</v>
      </c>
      <c r="CU762" t="s">
        <v>8673</v>
      </c>
      <c r="CW762" t="s">
        <v>7017</v>
      </c>
      <c r="CX762" t="s">
        <v>258</v>
      </c>
      <c r="CZ762" s="3" t="str">
        <f>"63010"</f>
        <v>63010</v>
      </c>
      <c r="DA762" t="s">
        <v>135</v>
      </c>
      <c r="DB762" t="str">
        <f>"37-3011"</f>
        <v>37-3011</v>
      </c>
      <c r="DC762" t="s">
        <v>920</v>
      </c>
      <c r="DD762" t="s">
        <v>134</v>
      </c>
      <c r="DE762" t="s">
        <v>134</v>
      </c>
      <c r="DF762" t="str">
        <f>""</f>
        <v/>
      </c>
      <c r="DH762" s="6">
        <v>15.37</v>
      </c>
      <c r="DI762" t="s">
        <v>344</v>
      </c>
      <c r="DK762" t="s">
        <v>345</v>
      </c>
      <c r="DR762" t="s">
        <v>4139</v>
      </c>
      <c r="DS762" s="6">
        <v>15.37</v>
      </c>
      <c r="DT762" t="s">
        <v>424</v>
      </c>
      <c r="DU762" s="1">
        <v>44369</v>
      </c>
      <c r="DV762" s="1">
        <v>44458</v>
      </c>
    </row>
    <row r="763" spans="1:126" ht="15" customHeight="1" x14ac:dyDescent="0.35">
      <c r="A763" t="s">
        <v>17998</v>
      </c>
      <c r="B763" t="s">
        <v>318</v>
      </c>
      <c r="C763" s="1">
        <v>44341</v>
      </c>
      <c r="D763" s="1">
        <v>44369</v>
      </c>
      <c r="H763" t="s">
        <v>319</v>
      </c>
      <c r="I763" t="s">
        <v>1520</v>
      </c>
      <c r="J763" t="s">
        <v>288</v>
      </c>
      <c r="L763" t="s">
        <v>1105</v>
      </c>
      <c r="M763" t="s">
        <v>17999</v>
      </c>
      <c r="O763" t="s">
        <v>1471</v>
      </c>
      <c r="P763" t="s">
        <v>412</v>
      </c>
      <c r="Q763" s="3">
        <v>77328</v>
      </c>
      <c r="R763" t="s">
        <v>128</v>
      </c>
      <c r="T763" s="4">
        <v>18325267941</v>
      </c>
      <c r="V763" t="s">
        <v>18000</v>
      </c>
      <c r="W763" t="s">
        <v>18001</v>
      </c>
      <c r="Y763" t="s">
        <v>17999</v>
      </c>
      <c r="AA763" t="s">
        <v>1471</v>
      </c>
      <c r="AB763" t="s">
        <v>400</v>
      </c>
      <c r="AC763" s="3" t="str">
        <f>"77328"</f>
        <v>77328</v>
      </c>
      <c r="AD763" t="s">
        <v>128</v>
      </c>
      <c r="AF763" s="4">
        <v>18325267941</v>
      </c>
      <c r="AH763" t="str">
        <f>"236118"</f>
        <v>236118</v>
      </c>
      <c r="AI763" t="s">
        <v>130</v>
      </c>
      <c r="AJ763" t="s">
        <v>1311</v>
      </c>
      <c r="AK763" t="s">
        <v>4663</v>
      </c>
      <c r="AM763" t="s">
        <v>4124</v>
      </c>
      <c r="AO763" t="s">
        <v>608</v>
      </c>
      <c r="AP763" t="s">
        <v>400</v>
      </c>
      <c r="AQ763" s="5">
        <v>78746</v>
      </c>
      <c r="AR763" t="s">
        <v>128</v>
      </c>
      <c r="AT763" s="4">
        <v>15127320555</v>
      </c>
      <c r="AU763">
        <v>112</v>
      </c>
      <c r="AV763" t="s">
        <v>14335</v>
      </c>
      <c r="AW763" t="s">
        <v>4125</v>
      </c>
      <c r="AX763" t="s">
        <v>131</v>
      </c>
      <c r="AY763" t="s">
        <v>131</v>
      </c>
      <c r="AZ763" t="s">
        <v>131</v>
      </c>
      <c r="BA763" t="s">
        <v>131</v>
      </c>
      <c r="BB763" t="s">
        <v>131</v>
      </c>
      <c r="BC763" t="s">
        <v>131</v>
      </c>
      <c r="BD763" t="s">
        <v>131</v>
      </c>
      <c r="BE763" t="s">
        <v>132</v>
      </c>
      <c r="BH763" t="s">
        <v>18002</v>
      </c>
      <c r="BI763" t="s">
        <v>131</v>
      </c>
      <c r="BL763" t="s">
        <v>167</v>
      </c>
      <c r="BO763" t="s">
        <v>131</v>
      </c>
      <c r="BP763" t="s">
        <v>134</v>
      </c>
      <c r="BQ763" t="s">
        <v>131</v>
      </c>
      <c r="BS763" t="str">
        <f t="shared" si="55"/>
        <v>N/A</v>
      </c>
      <c r="BT763" t="s">
        <v>131</v>
      </c>
      <c r="BV763" t="str">
        <f>""</f>
        <v/>
      </c>
      <c r="BW763" t="s">
        <v>135</v>
      </c>
      <c r="BX763" t="str">
        <f>""</f>
        <v/>
      </c>
      <c r="BY763" t="str">
        <f>""</f>
        <v/>
      </c>
      <c r="BZ763" t="str">
        <f>""</f>
        <v/>
      </c>
      <c r="CA763" t="str">
        <f>"Physical requirements:
- Able to lift and carry between 10 to 25 lbs;
- Able and willing to stand on ladders and on top of the roofs while performing job duties."</f>
        <v>Physical requirements:
- Able to lift and carry between 10 to 25 lbs;
- Able and willing to stand on ladders and on top of the roofs while performing job duties.</v>
      </c>
      <c r="CB763" t="s">
        <v>131</v>
      </c>
      <c r="CF763" t="s">
        <v>131</v>
      </c>
      <c r="CH763" t="str">
        <f>""</f>
        <v/>
      </c>
      <c r="CI763" t="s">
        <v>131</v>
      </c>
      <c r="CK763" t="s">
        <v>131</v>
      </c>
      <c r="CL763" t="str">
        <f>""</f>
        <v/>
      </c>
      <c r="CM763" t="str">
        <f>""</f>
        <v/>
      </c>
      <c r="CN763" t="str">
        <f>""</f>
        <v/>
      </c>
      <c r="CO763" t="str">
        <f>""</f>
        <v/>
      </c>
      <c r="CP763" t="str">
        <f>"47-2141.00"</f>
        <v>47-2141.00</v>
      </c>
      <c r="CQ763" t="s">
        <v>1273</v>
      </c>
      <c r="CR763" t="s">
        <v>18002</v>
      </c>
      <c r="CS763" t="s">
        <v>135</v>
      </c>
      <c r="CT763" s="2" t="s">
        <v>18003</v>
      </c>
      <c r="CU763" t="s">
        <v>17999</v>
      </c>
      <c r="CW763" t="s">
        <v>1471</v>
      </c>
      <c r="CX763" t="s">
        <v>400</v>
      </c>
      <c r="CZ763" s="3" t="str">
        <f>"77328"</f>
        <v>77328</v>
      </c>
      <c r="DA763" t="s">
        <v>135</v>
      </c>
      <c r="DB763" t="str">
        <f>"47-2141"</f>
        <v>47-2141</v>
      </c>
      <c r="DC763" t="s">
        <v>1273</v>
      </c>
      <c r="DD763" t="s">
        <v>134</v>
      </c>
      <c r="DE763" t="s">
        <v>134</v>
      </c>
      <c r="DF763" t="str">
        <f>""</f>
        <v/>
      </c>
      <c r="DH763" s="6">
        <v>16.55</v>
      </c>
      <c r="DI763" t="s">
        <v>344</v>
      </c>
      <c r="DK763" t="s">
        <v>345</v>
      </c>
      <c r="DS763" s="6">
        <v>17.8</v>
      </c>
      <c r="DT763" s="2" t="s">
        <v>347</v>
      </c>
      <c r="DU763" s="1">
        <v>44369</v>
      </c>
      <c r="DV763" s="1">
        <v>44458</v>
      </c>
    </row>
    <row r="764" spans="1:126" ht="15" customHeight="1" x14ac:dyDescent="0.35">
      <c r="A764" t="s">
        <v>14118</v>
      </c>
      <c r="B764" t="s">
        <v>318</v>
      </c>
      <c r="C764" s="1">
        <v>44341</v>
      </c>
      <c r="D764" s="1">
        <v>44369</v>
      </c>
      <c r="H764" t="s">
        <v>319</v>
      </c>
      <c r="I764" t="s">
        <v>4127</v>
      </c>
      <c r="J764" t="s">
        <v>2262</v>
      </c>
      <c r="K764" t="s">
        <v>135</v>
      </c>
      <c r="L764" t="s">
        <v>460</v>
      </c>
      <c r="M764" t="s">
        <v>14119</v>
      </c>
      <c r="N764" t="s">
        <v>9508</v>
      </c>
      <c r="O764" t="s">
        <v>4895</v>
      </c>
      <c r="P764" t="s">
        <v>588</v>
      </c>
      <c r="Q764" s="3">
        <v>23464</v>
      </c>
      <c r="R764" t="s">
        <v>128</v>
      </c>
      <c r="T764" s="4">
        <v>907576924207</v>
      </c>
      <c r="V764" t="s">
        <v>14120</v>
      </c>
      <c r="W764" t="s">
        <v>14121</v>
      </c>
      <c r="Y764" t="s">
        <v>14119</v>
      </c>
      <c r="Z764" t="s">
        <v>9508</v>
      </c>
      <c r="AA764" t="s">
        <v>1756</v>
      </c>
      <c r="AB764" t="s">
        <v>306</v>
      </c>
      <c r="AC764" s="3" t="str">
        <f>"23464"</f>
        <v>23464</v>
      </c>
      <c r="AD764" t="s">
        <v>128</v>
      </c>
      <c r="AF764" s="4">
        <v>17576924207</v>
      </c>
      <c r="AH764" t="str">
        <f>"485991"</f>
        <v>485991</v>
      </c>
      <c r="AI764" t="s">
        <v>167</v>
      </c>
      <c r="AX764" t="s">
        <v>131</v>
      </c>
      <c r="AY764" t="s">
        <v>131</v>
      </c>
      <c r="AZ764" t="s">
        <v>131</v>
      </c>
      <c r="BA764" t="s">
        <v>131</v>
      </c>
      <c r="BB764" t="s">
        <v>131</v>
      </c>
      <c r="BC764" t="s">
        <v>131</v>
      </c>
      <c r="BD764" t="s">
        <v>131</v>
      </c>
      <c r="BE764" t="s">
        <v>132</v>
      </c>
      <c r="BH764" t="s">
        <v>5948</v>
      </c>
      <c r="BI764" t="s">
        <v>131</v>
      </c>
      <c r="BL764" t="s">
        <v>167</v>
      </c>
      <c r="BO764" t="s">
        <v>131</v>
      </c>
      <c r="BP764" t="s">
        <v>134</v>
      </c>
      <c r="BQ764" t="s">
        <v>131</v>
      </c>
      <c r="BS764" t="str">
        <f t="shared" si="55"/>
        <v>N/A</v>
      </c>
      <c r="BT764" t="s">
        <v>131</v>
      </c>
      <c r="BV764" t="str">
        <f>""</f>
        <v/>
      </c>
      <c r="BW764" t="s">
        <v>135</v>
      </c>
      <c r="BX764" t="str">
        <f>"Must have a valid drivers license form home country and be able to provide a driving record from home country or an attestation of driving history for the proper government agency."</f>
        <v>Must have a valid drivers license form home country and be able to provide a driving record from home country or an attestation of driving history for the proper government agency.</v>
      </c>
      <c r="BY764" t="str">
        <f>""</f>
        <v/>
      </c>
      <c r="BZ764" t="str">
        <f>""</f>
        <v/>
      </c>
      <c r="CA764" t="str">
        <f>""</f>
        <v/>
      </c>
      <c r="CB764" t="s">
        <v>131</v>
      </c>
      <c r="CF764" t="s">
        <v>131</v>
      </c>
      <c r="CH764" t="str">
        <f>""</f>
        <v/>
      </c>
      <c r="CI764" t="s">
        <v>131</v>
      </c>
      <c r="CK764" t="s">
        <v>131</v>
      </c>
      <c r="CL764" t="str">
        <f>""</f>
        <v/>
      </c>
      <c r="CM764" t="str">
        <f>""</f>
        <v/>
      </c>
      <c r="CN764" t="str">
        <f>""</f>
        <v/>
      </c>
      <c r="CO764" t="str">
        <f>""</f>
        <v/>
      </c>
      <c r="CP764" t="str">
        <f>"53-3022.00"</f>
        <v>53-3022.00</v>
      </c>
      <c r="CQ764" t="s">
        <v>14122</v>
      </c>
      <c r="CR764" t="s">
        <v>460</v>
      </c>
      <c r="CS764" t="s">
        <v>135</v>
      </c>
      <c r="CT764" t="s">
        <v>14123</v>
      </c>
      <c r="CU764" t="s">
        <v>14119</v>
      </c>
      <c r="CV764" t="s">
        <v>3819</v>
      </c>
      <c r="CW764" t="s">
        <v>4895</v>
      </c>
      <c r="CX764" t="s">
        <v>306</v>
      </c>
      <c r="CZ764" s="3" t="str">
        <f>"23464"</f>
        <v>23464</v>
      </c>
      <c r="DA764" t="s">
        <v>131</v>
      </c>
      <c r="DB764" t="str">
        <f>"53-3022"</f>
        <v>53-3022</v>
      </c>
      <c r="DC764" t="s">
        <v>14122</v>
      </c>
      <c r="DD764" t="s">
        <v>134</v>
      </c>
      <c r="DE764" t="s">
        <v>134</v>
      </c>
      <c r="DF764" t="str">
        <f>""</f>
        <v/>
      </c>
      <c r="DH764" s="6">
        <v>14.05</v>
      </c>
      <c r="DI764" t="s">
        <v>344</v>
      </c>
      <c r="DK764" t="s">
        <v>345</v>
      </c>
      <c r="DR764" t="s">
        <v>14124</v>
      </c>
      <c r="DS764" s="6">
        <v>14.05</v>
      </c>
      <c r="DT764" s="2" t="s">
        <v>347</v>
      </c>
      <c r="DU764" s="1">
        <v>44369</v>
      </c>
      <c r="DV764" s="1">
        <v>44458</v>
      </c>
    </row>
    <row r="765" spans="1:126" ht="15" customHeight="1" x14ac:dyDescent="0.35">
      <c r="A765" t="s">
        <v>3976</v>
      </c>
      <c r="B765" t="s">
        <v>318</v>
      </c>
      <c r="C765" s="1">
        <v>44341</v>
      </c>
      <c r="D765" s="1">
        <v>44369</v>
      </c>
      <c r="H765" t="s">
        <v>319</v>
      </c>
      <c r="I765" t="s">
        <v>1732</v>
      </c>
      <c r="J765" t="s">
        <v>560</v>
      </c>
      <c r="K765" t="s">
        <v>803</v>
      </c>
      <c r="L765" t="s">
        <v>130</v>
      </c>
      <c r="M765" t="s">
        <v>3977</v>
      </c>
      <c r="N765" t="s">
        <v>3978</v>
      </c>
      <c r="O765" t="s">
        <v>1735</v>
      </c>
      <c r="P765" t="s">
        <v>467</v>
      </c>
      <c r="Q765" s="3">
        <v>81658</v>
      </c>
      <c r="R765" t="s">
        <v>128</v>
      </c>
      <c r="T765" s="4">
        <v>19703066476</v>
      </c>
      <c r="V765" t="s">
        <v>3979</v>
      </c>
      <c r="W765" t="s">
        <v>3980</v>
      </c>
      <c r="Y765" t="s">
        <v>3981</v>
      </c>
      <c r="AA765" t="s">
        <v>3982</v>
      </c>
      <c r="AB765" t="s">
        <v>312</v>
      </c>
      <c r="AC765" s="3" t="str">
        <f>"19604"</f>
        <v>19604</v>
      </c>
      <c r="AD765" t="s">
        <v>128</v>
      </c>
      <c r="AF765" s="4">
        <v>16107901221</v>
      </c>
      <c r="AH765" t="str">
        <f>"315210"</f>
        <v>315210</v>
      </c>
      <c r="AI765" t="s">
        <v>130</v>
      </c>
      <c r="AJ765" t="s">
        <v>1732</v>
      </c>
      <c r="AK765" t="s">
        <v>560</v>
      </c>
      <c r="AL765" t="s">
        <v>803</v>
      </c>
      <c r="AM765" t="s">
        <v>3983</v>
      </c>
      <c r="AN765" t="s">
        <v>3984</v>
      </c>
      <c r="AO765" t="s">
        <v>1735</v>
      </c>
      <c r="AP765" t="s">
        <v>471</v>
      </c>
      <c r="AQ765" s="5">
        <v>81658</v>
      </c>
      <c r="AR765" t="s">
        <v>128</v>
      </c>
      <c r="AT765" s="4">
        <v>19703066476</v>
      </c>
      <c r="AV765" t="s">
        <v>1736</v>
      </c>
      <c r="AW765" t="s">
        <v>1743</v>
      </c>
      <c r="AX765" t="s">
        <v>131</v>
      </c>
      <c r="AY765" t="s">
        <v>131</v>
      </c>
      <c r="AZ765" t="s">
        <v>131</v>
      </c>
      <c r="BA765" t="s">
        <v>131</v>
      </c>
      <c r="BB765" t="s">
        <v>131</v>
      </c>
      <c r="BC765" t="s">
        <v>131</v>
      </c>
      <c r="BD765" t="s">
        <v>131</v>
      </c>
      <c r="BE765" t="s">
        <v>132</v>
      </c>
      <c r="BH765" t="s">
        <v>3985</v>
      </c>
      <c r="BI765" t="s">
        <v>131</v>
      </c>
      <c r="BL765" t="s">
        <v>167</v>
      </c>
      <c r="BO765" t="s">
        <v>131</v>
      </c>
      <c r="BP765" t="s">
        <v>134</v>
      </c>
      <c r="BQ765" t="s">
        <v>131</v>
      </c>
      <c r="BS765" t="str">
        <f t="shared" si="55"/>
        <v>N/A</v>
      </c>
      <c r="BT765" t="s">
        <v>135</v>
      </c>
      <c r="BU765">
        <v>1</v>
      </c>
      <c r="BV765" t="str">
        <f>"Sewing Machine operator "</f>
        <v xml:space="preserve">Sewing Machine operator </v>
      </c>
      <c r="BW765" t="s">
        <v>131</v>
      </c>
      <c r="BX765" t="str">
        <f>""</f>
        <v/>
      </c>
      <c r="BY765" t="str">
        <f>""</f>
        <v/>
      </c>
      <c r="BZ765" t="str">
        <f>""</f>
        <v/>
      </c>
      <c r="CA765" t="str">
        <f>""</f>
        <v/>
      </c>
      <c r="CB765" t="s">
        <v>131</v>
      </c>
      <c r="CF765" t="s">
        <v>131</v>
      </c>
      <c r="CH765" t="str">
        <f>""</f>
        <v/>
      </c>
      <c r="CI765" t="s">
        <v>131</v>
      </c>
      <c r="CK765" t="s">
        <v>131</v>
      </c>
      <c r="CL765" t="str">
        <f>""</f>
        <v/>
      </c>
      <c r="CM765" t="str">
        <f>""</f>
        <v/>
      </c>
      <c r="CN765" t="str">
        <f>""</f>
        <v/>
      </c>
      <c r="CO765" t="str">
        <f>""</f>
        <v/>
      </c>
      <c r="CP765" t="str">
        <f>"51-6031.00"</f>
        <v>51-6031.00</v>
      </c>
      <c r="CQ765" t="s">
        <v>1339</v>
      </c>
      <c r="CR765" t="s">
        <v>3986</v>
      </c>
      <c r="CS765" t="s">
        <v>131</v>
      </c>
      <c r="CU765" t="s">
        <v>3987</v>
      </c>
      <c r="CW765" t="s">
        <v>3982</v>
      </c>
      <c r="CX765" t="s">
        <v>312</v>
      </c>
      <c r="CZ765" s="3" t="str">
        <f>"19604"</f>
        <v>19604</v>
      </c>
      <c r="DA765" t="s">
        <v>131</v>
      </c>
      <c r="DB765" t="str">
        <f>"51-6031"</f>
        <v>51-6031</v>
      </c>
      <c r="DC765" t="s">
        <v>1339</v>
      </c>
      <c r="DD765" t="s">
        <v>134</v>
      </c>
      <c r="DE765" t="s">
        <v>134</v>
      </c>
      <c r="DF765" t="str">
        <f>""</f>
        <v/>
      </c>
      <c r="DH765" s="6">
        <v>12.45</v>
      </c>
      <c r="DI765" t="s">
        <v>344</v>
      </c>
      <c r="DK765" t="s">
        <v>345</v>
      </c>
      <c r="DR765" t="s">
        <v>3988</v>
      </c>
      <c r="DS765" s="6">
        <v>12.45</v>
      </c>
      <c r="DT765" t="s">
        <v>424</v>
      </c>
      <c r="DU765" s="1">
        <v>44369</v>
      </c>
      <c r="DV765" s="1">
        <v>44458</v>
      </c>
    </row>
    <row r="766" spans="1:126" ht="15" customHeight="1" x14ac:dyDescent="0.35">
      <c r="A766" t="s">
        <v>13119</v>
      </c>
      <c r="B766" t="s">
        <v>318</v>
      </c>
      <c r="C766" s="1">
        <v>44341</v>
      </c>
      <c r="D766" s="1">
        <v>44369</v>
      </c>
      <c r="H766" t="s">
        <v>319</v>
      </c>
      <c r="I766" t="s">
        <v>221</v>
      </c>
      <c r="J766" t="s">
        <v>10227</v>
      </c>
      <c r="L766" t="s">
        <v>10228</v>
      </c>
      <c r="M766" t="s">
        <v>13120</v>
      </c>
      <c r="O766" t="s">
        <v>10230</v>
      </c>
      <c r="P766" t="s">
        <v>3075</v>
      </c>
      <c r="Q766" s="3">
        <v>83814</v>
      </c>
      <c r="R766" t="s">
        <v>128</v>
      </c>
      <c r="T766" s="4">
        <v>12087650880</v>
      </c>
      <c r="V766" t="s">
        <v>13121</v>
      </c>
      <c r="W766" t="s">
        <v>10231</v>
      </c>
      <c r="Y766" t="s">
        <v>13120</v>
      </c>
      <c r="AA766" t="s">
        <v>10230</v>
      </c>
      <c r="AB766" t="s">
        <v>1243</v>
      </c>
      <c r="AC766" s="3" t="str">
        <f>"83814"</f>
        <v>83814</v>
      </c>
      <c r="AD766" t="s">
        <v>128</v>
      </c>
      <c r="AF766" s="4">
        <v>12087650880</v>
      </c>
      <c r="AH766" t="str">
        <f>"11531"</f>
        <v>11531</v>
      </c>
      <c r="AI766" t="s">
        <v>287</v>
      </c>
      <c r="AJ766" t="s">
        <v>5932</v>
      </c>
      <c r="AK766" t="s">
        <v>1756</v>
      </c>
      <c r="AM766" t="s">
        <v>5933</v>
      </c>
      <c r="AO766" t="s">
        <v>5934</v>
      </c>
      <c r="AP766" t="s">
        <v>1243</v>
      </c>
      <c r="AQ766" s="5">
        <v>83815</v>
      </c>
      <c r="AR766" t="s">
        <v>128</v>
      </c>
      <c r="AT766" s="4">
        <v>12089303246</v>
      </c>
      <c r="AV766" t="s">
        <v>5935</v>
      </c>
      <c r="AW766" t="s">
        <v>5936</v>
      </c>
      <c r="AX766" t="s">
        <v>131</v>
      </c>
      <c r="AY766" t="s">
        <v>131</v>
      </c>
      <c r="AZ766" t="s">
        <v>131</v>
      </c>
      <c r="BA766" t="s">
        <v>131</v>
      </c>
      <c r="BB766" t="s">
        <v>131</v>
      </c>
      <c r="BC766" t="s">
        <v>131</v>
      </c>
      <c r="BD766" t="s">
        <v>131</v>
      </c>
      <c r="BE766" t="s">
        <v>132</v>
      </c>
      <c r="BH766" t="s">
        <v>5937</v>
      </c>
      <c r="BI766" t="s">
        <v>131</v>
      </c>
      <c r="BL766" t="s">
        <v>167</v>
      </c>
      <c r="BO766" t="s">
        <v>131</v>
      </c>
      <c r="BP766" t="s">
        <v>134</v>
      </c>
      <c r="BQ766" t="s">
        <v>131</v>
      </c>
      <c r="BS766" t="str">
        <f t="shared" si="55"/>
        <v>N/A</v>
      </c>
      <c r="BT766" t="s">
        <v>131</v>
      </c>
      <c r="BV766" t="str">
        <f>""</f>
        <v/>
      </c>
      <c r="BW766" t="s">
        <v>131</v>
      </c>
      <c r="BX766" t="str">
        <f>""</f>
        <v/>
      </c>
      <c r="BY766" t="str">
        <f>""</f>
        <v/>
      </c>
      <c r="BZ766" t="str">
        <f>""</f>
        <v/>
      </c>
      <c r="CA766" t="str">
        <f>""</f>
        <v/>
      </c>
      <c r="CB766" t="s">
        <v>131</v>
      </c>
      <c r="CF766" t="s">
        <v>131</v>
      </c>
      <c r="CH766" t="str">
        <f>""</f>
        <v/>
      </c>
      <c r="CI766" t="s">
        <v>131</v>
      </c>
      <c r="CK766" t="s">
        <v>131</v>
      </c>
      <c r="CL766" t="str">
        <f>""</f>
        <v/>
      </c>
      <c r="CM766" t="str">
        <f>""</f>
        <v/>
      </c>
      <c r="CN766" t="str">
        <f>""</f>
        <v/>
      </c>
      <c r="CO766" t="str">
        <f>""</f>
        <v/>
      </c>
      <c r="CP766" t="str">
        <f>"45-4011.00"</f>
        <v>45-4011.00</v>
      </c>
      <c r="CQ766" t="s">
        <v>4310</v>
      </c>
      <c r="CR766" t="s">
        <v>5068</v>
      </c>
      <c r="CS766" t="s">
        <v>135</v>
      </c>
      <c r="CT766" s="2" t="s">
        <v>13122</v>
      </c>
      <c r="CU766" t="s">
        <v>13123</v>
      </c>
      <c r="CW766" t="s">
        <v>10232</v>
      </c>
      <c r="CX766" t="s">
        <v>630</v>
      </c>
      <c r="CZ766" s="3" t="str">
        <f>"39365"</f>
        <v>39365</v>
      </c>
      <c r="DA766" t="s">
        <v>135</v>
      </c>
      <c r="DB766" t="str">
        <f>"45-4011"</f>
        <v>45-4011</v>
      </c>
      <c r="DC766" t="s">
        <v>4310</v>
      </c>
      <c r="DD766" t="s">
        <v>134</v>
      </c>
      <c r="DE766" t="s">
        <v>134</v>
      </c>
      <c r="DF766" t="str">
        <f>""</f>
        <v/>
      </c>
      <c r="DH766" s="6">
        <v>15.76</v>
      </c>
      <c r="DI766" t="s">
        <v>344</v>
      </c>
      <c r="DK766" t="s">
        <v>345</v>
      </c>
      <c r="DR766" t="s">
        <v>13124</v>
      </c>
      <c r="DS766" s="6">
        <v>18.899999999999999</v>
      </c>
      <c r="DT766" s="2" t="s">
        <v>347</v>
      </c>
      <c r="DU766" s="1">
        <v>44369</v>
      </c>
      <c r="DV766" s="1">
        <v>44458</v>
      </c>
    </row>
    <row r="767" spans="1:126" ht="15" customHeight="1" x14ac:dyDescent="0.35">
      <c r="A767" t="s">
        <v>17284</v>
      </c>
      <c r="B767" t="s">
        <v>318</v>
      </c>
      <c r="C767" s="1">
        <v>44341</v>
      </c>
      <c r="D767" s="1">
        <v>44369</v>
      </c>
      <c r="H767" t="s">
        <v>319</v>
      </c>
      <c r="I767" t="s">
        <v>1775</v>
      </c>
      <c r="J767" t="s">
        <v>10653</v>
      </c>
      <c r="K767" t="s">
        <v>10654</v>
      </c>
      <c r="L767" t="s">
        <v>1105</v>
      </c>
      <c r="M767" t="s">
        <v>10655</v>
      </c>
      <c r="N767" t="s">
        <v>10656</v>
      </c>
      <c r="O767" t="s">
        <v>3874</v>
      </c>
      <c r="P767" t="s">
        <v>1760</v>
      </c>
      <c r="Q767" s="3">
        <v>70810</v>
      </c>
      <c r="R767" t="s">
        <v>128</v>
      </c>
      <c r="T767" s="4">
        <v>12257734282</v>
      </c>
      <c r="V767" t="s">
        <v>10657</v>
      </c>
      <c r="W767" t="s">
        <v>10658</v>
      </c>
      <c r="Y767" t="s">
        <v>10659</v>
      </c>
      <c r="Z767" t="s">
        <v>10660</v>
      </c>
      <c r="AA767" t="s">
        <v>3874</v>
      </c>
      <c r="AB767" t="s">
        <v>1763</v>
      </c>
      <c r="AC767" s="3" t="str">
        <f>"70805"</f>
        <v>70805</v>
      </c>
      <c r="AD767" t="s">
        <v>128</v>
      </c>
      <c r="AF767" s="4">
        <v>12257734282</v>
      </c>
      <c r="AH767" t="str">
        <f>"56173"</f>
        <v>56173</v>
      </c>
      <c r="AI767" t="s">
        <v>287</v>
      </c>
      <c r="AJ767" t="s">
        <v>2304</v>
      </c>
      <c r="AK767" t="s">
        <v>5773</v>
      </c>
      <c r="AL767" t="s">
        <v>589</v>
      </c>
      <c r="AM767" t="s">
        <v>5774</v>
      </c>
      <c r="AN767" t="s">
        <v>5775</v>
      </c>
      <c r="AO767" t="s">
        <v>5776</v>
      </c>
      <c r="AP767" t="s">
        <v>1763</v>
      </c>
      <c r="AQ767" s="5">
        <v>70754</v>
      </c>
      <c r="AR767" t="s">
        <v>128</v>
      </c>
      <c r="AS767" t="s">
        <v>1763</v>
      </c>
      <c r="AT767" s="4">
        <v>12256863033</v>
      </c>
      <c r="AV767" t="s">
        <v>5777</v>
      </c>
      <c r="AW767" t="s">
        <v>5778</v>
      </c>
      <c r="AX767" t="s">
        <v>131</v>
      </c>
      <c r="AY767" t="s">
        <v>131</v>
      </c>
      <c r="AZ767" t="s">
        <v>131</v>
      </c>
      <c r="BA767" t="s">
        <v>131</v>
      </c>
      <c r="BB767" t="s">
        <v>131</v>
      </c>
      <c r="BC767" t="s">
        <v>131</v>
      </c>
      <c r="BD767" t="s">
        <v>131</v>
      </c>
      <c r="BE767" t="s">
        <v>132</v>
      </c>
      <c r="BH767" t="s">
        <v>3780</v>
      </c>
      <c r="BI767" t="s">
        <v>131</v>
      </c>
      <c r="BL767" t="s">
        <v>167</v>
      </c>
      <c r="BO767" t="s">
        <v>131</v>
      </c>
      <c r="BP767" t="s">
        <v>134</v>
      </c>
      <c r="BQ767" t="s">
        <v>131</v>
      </c>
      <c r="BS767" t="str">
        <f t="shared" si="55"/>
        <v>N/A</v>
      </c>
      <c r="BT767" t="s">
        <v>131</v>
      </c>
      <c r="BV767" t="str">
        <f>""</f>
        <v/>
      </c>
      <c r="BW767" t="s">
        <v>135</v>
      </c>
      <c r="BX767" t="str">
        <f>""</f>
        <v/>
      </c>
      <c r="BY767" t="str">
        <f>""</f>
        <v/>
      </c>
      <c r="BZ767" t="str">
        <f>""</f>
        <v/>
      </c>
      <c r="CA767" t="str">
        <f>"ABLE TO LIFT UP 50LBS SIT STAND KNEEL REACH OVERHEAD OR GROUND LEVEL AND WALK FOR LONG PERIOD OF TIME.
ONCE HIRED MAY BE REQUIRED TO TAKE A RANDOM DRUG TEST AT NO COST TO WORKER, TESTING POSITIVE OR FAILURE TO COMPLY MAY RESULT IN TERMINATION"</f>
        <v>ABLE TO LIFT UP 50LBS SIT STAND KNEEL REACH OVERHEAD OR GROUND LEVEL AND WALK FOR LONG PERIOD OF TIME.
ONCE HIRED MAY BE REQUIRED TO TAKE A RANDOM DRUG TEST AT NO COST TO WORKER, TESTING POSITIVE OR FAILURE TO COMPLY MAY RESULT IN TERMINATION</v>
      </c>
      <c r="CB767" t="s">
        <v>131</v>
      </c>
      <c r="CF767" t="s">
        <v>131</v>
      </c>
      <c r="CH767" t="str">
        <f>""</f>
        <v/>
      </c>
      <c r="CI767" t="s">
        <v>131</v>
      </c>
      <c r="CK767" t="s">
        <v>131</v>
      </c>
      <c r="CL767" t="str">
        <f>""</f>
        <v/>
      </c>
      <c r="CM767" t="str">
        <f>""</f>
        <v/>
      </c>
      <c r="CN767" t="str">
        <f>""</f>
        <v/>
      </c>
      <c r="CO767" t="str">
        <f>""</f>
        <v/>
      </c>
      <c r="CP767" t="str">
        <f>"37-3011.00"</f>
        <v>37-3011.00</v>
      </c>
      <c r="CQ767" t="s">
        <v>920</v>
      </c>
      <c r="CS767" t="s">
        <v>135</v>
      </c>
      <c r="CT767" t="s">
        <v>10661</v>
      </c>
      <c r="CU767" t="s">
        <v>10659</v>
      </c>
      <c r="CW767" t="s">
        <v>3874</v>
      </c>
      <c r="CX767" t="s">
        <v>1763</v>
      </c>
      <c r="CZ767" s="3" t="str">
        <f>"70805"</f>
        <v>70805</v>
      </c>
      <c r="DA767" t="s">
        <v>135</v>
      </c>
      <c r="DB767" t="str">
        <f>"37-3011"</f>
        <v>37-3011</v>
      </c>
      <c r="DC767" t="s">
        <v>920</v>
      </c>
      <c r="DD767" t="s">
        <v>134</v>
      </c>
      <c r="DE767" t="s">
        <v>134</v>
      </c>
      <c r="DF767" t="str">
        <f>""</f>
        <v/>
      </c>
      <c r="DH767" s="6">
        <v>14.59</v>
      </c>
      <c r="DI767" t="s">
        <v>344</v>
      </c>
      <c r="DK767" t="s">
        <v>345</v>
      </c>
      <c r="DR767" t="s">
        <v>3877</v>
      </c>
      <c r="DS767" s="6">
        <v>14.59</v>
      </c>
      <c r="DT767" s="2" t="s">
        <v>347</v>
      </c>
      <c r="DU767" s="1">
        <v>44369</v>
      </c>
      <c r="DV767" s="1">
        <v>44458</v>
      </c>
    </row>
    <row r="768" spans="1:126" ht="15" customHeight="1" x14ac:dyDescent="0.35">
      <c r="A768" t="s">
        <v>8693</v>
      </c>
      <c r="B768" t="s">
        <v>318</v>
      </c>
      <c r="C768" s="1">
        <v>44341</v>
      </c>
      <c r="D768" s="1">
        <v>44369</v>
      </c>
      <c r="H768" t="s">
        <v>319</v>
      </c>
      <c r="I768" t="s">
        <v>8694</v>
      </c>
      <c r="J768" t="s">
        <v>313</v>
      </c>
      <c r="L768" t="s">
        <v>1105</v>
      </c>
      <c r="M768" t="s">
        <v>8695</v>
      </c>
      <c r="O768" t="s">
        <v>3443</v>
      </c>
      <c r="P768" t="s">
        <v>273</v>
      </c>
      <c r="Q768" s="3">
        <v>7416</v>
      </c>
      <c r="R768" t="s">
        <v>128</v>
      </c>
      <c r="T768" s="4">
        <v>19734590482</v>
      </c>
      <c r="V768" t="s">
        <v>8696</v>
      </c>
      <c r="W768" t="s">
        <v>8697</v>
      </c>
      <c r="X768" t="s">
        <v>8698</v>
      </c>
      <c r="Y768" t="s">
        <v>8695</v>
      </c>
      <c r="AA768" t="s">
        <v>3443</v>
      </c>
      <c r="AB768" t="s">
        <v>276</v>
      </c>
      <c r="AC768" s="3" t="str">
        <f>"07416"</f>
        <v>07416</v>
      </c>
      <c r="AD768" t="s">
        <v>128</v>
      </c>
      <c r="AF768" s="4">
        <v>19738642120</v>
      </c>
      <c r="AH768" t="str">
        <f>"722511"</f>
        <v>722511</v>
      </c>
      <c r="AI768" t="s">
        <v>167</v>
      </c>
      <c r="AX768" t="s">
        <v>131</v>
      </c>
      <c r="AY768" t="s">
        <v>131</v>
      </c>
      <c r="AZ768" t="s">
        <v>131</v>
      </c>
      <c r="BA768" t="s">
        <v>131</v>
      </c>
      <c r="BB768" t="s">
        <v>131</v>
      </c>
      <c r="BC768" t="s">
        <v>131</v>
      </c>
      <c r="BD768" t="s">
        <v>131</v>
      </c>
      <c r="BE768" t="s">
        <v>132</v>
      </c>
      <c r="BH768" t="s">
        <v>1080</v>
      </c>
      <c r="BI768" t="s">
        <v>131</v>
      </c>
      <c r="BL768" t="s">
        <v>167</v>
      </c>
      <c r="BO768" t="s">
        <v>131</v>
      </c>
      <c r="BP768" t="s">
        <v>134</v>
      </c>
      <c r="BQ768" t="s">
        <v>131</v>
      </c>
      <c r="BS768" t="str">
        <f t="shared" si="55"/>
        <v>N/A</v>
      </c>
      <c r="BT768" t="s">
        <v>131</v>
      </c>
      <c r="BV768" t="str">
        <f>""</f>
        <v/>
      </c>
      <c r="BW768" t="s">
        <v>131</v>
      </c>
      <c r="BX768" t="str">
        <f>""</f>
        <v/>
      </c>
      <c r="BY768" t="str">
        <f>""</f>
        <v/>
      </c>
      <c r="BZ768" t="str">
        <f>""</f>
        <v/>
      </c>
      <c r="CA768" t="str">
        <f>""</f>
        <v/>
      </c>
      <c r="CB768" t="s">
        <v>131</v>
      </c>
      <c r="CF768" t="s">
        <v>131</v>
      </c>
      <c r="CH768" t="str">
        <f>""</f>
        <v/>
      </c>
      <c r="CI768" t="s">
        <v>131</v>
      </c>
      <c r="CK768" t="s">
        <v>131</v>
      </c>
      <c r="CL768" t="str">
        <f>""</f>
        <v/>
      </c>
      <c r="CM768" t="str">
        <f>""</f>
        <v/>
      </c>
      <c r="CN768" t="str">
        <f>""</f>
        <v/>
      </c>
      <c r="CO768" t="str">
        <f>""</f>
        <v/>
      </c>
      <c r="CP768" t="str">
        <f>"35-2014.00"</f>
        <v>35-2014.00</v>
      </c>
      <c r="CQ768" t="s">
        <v>581</v>
      </c>
      <c r="CR768" t="s">
        <v>1105</v>
      </c>
      <c r="CS768" t="s">
        <v>131</v>
      </c>
      <c r="CU768" t="s">
        <v>8695</v>
      </c>
      <c r="CW768" t="s">
        <v>3443</v>
      </c>
      <c r="CX768" t="s">
        <v>276</v>
      </c>
      <c r="CZ768" s="3" t="str">
        <f>"07416"</f>
        <v>07416</v>
      </c>
      <c r="DA768" t="s">
        <v>131</v>
      </c>
      <c r="DB768" t="str">
        <f>"35-2014"</f>
        <v>35-2014</v>
      </c>
      <c r="DC768" t="s">
        <v>581</v>
      </c>
      <c r="DD768" t="s">
        <v>134</v>
      </c>
      <c r="DE768" t="s">
        <v>134</v>
      </c>
      <c r="DF768" t="str">
        <f>""</f>
        <v/>
      </c>
      <c r="DH768" s="6">
        <v>16.190000000000001</v>
      </c>
      <c r="DI768" t="s">
        <v>344</v>
      </c>
      <c r="DK768" t="s">
        <v>345</v>
      </c>
      <c r="DR768" t="s">
        <v>346</v>
      </c>
      <c r="DS768" s="6">
        <v>16.190000000000001</v>
      </c>
      <c r="DT768" t="s">
        <v>424</v>
      </c>
      <c r="DU768" s="1">
        <v>44369</v>
      </c>
      <c r="DV768" s="1">
        <v>44458</v>
      </c>
    </row>
    <row r="769" spans="1:126" ht="15" customHeight="1" x14ac:dyDescent="0.35">
      <c r="A769" t="s">
        <v>19870</v>
      </c>
      <c r="B769" t="s">
        <v>318</v>
      </c>
      <c r="C769" s="1">
        <v>44341</v>
      </c>
      <c r="D769" s="1">
        <v>44369</v>
      </c>
      <c r="H769" t="s">
        <v>319</v>
      </c>
      <c r="I769" t="s">
        <v>19871</v>
      </c>
      <c r="J769" t="s">
        <v>957</v>
      </c>
      <c r="L769" t="s">
        <v>395</v>
      </c>
      <c r="M769" t="s">
        <v>19872</v>
      </c>
      <c r="O769" t="s">
        <v>13414</v>
      </c>
      <c r="P769" t="s">
        <v>467</v>
      </c>
      <c r="Q769" s="3">
        <v>80540</v>
      </c>
      <c r="R769" t="s">
        <v>128</v>
      </c>
      <c r="T769" s="4">
        <v>13038235659</v>
      </c>
      <c r="V769" t="s">
        <v>134</v>
      </c>
      <c r="W769" t="s">
        <v>19873</v>
      </c>
      <c r="Y769" t="s">
        <v>19872</v>
      </c>
      <c r="AA769" t="s">
        <v>13414</v>
      </c>
      <c r="AB769" t="s">
        <v>471</v>
      </c>
      <c r="AC769" s="3" t="str">
        <f>"80540"</f>
        <v>80540</v>
      </c>
      <c r="AD769" t="s">
        <v>128</v>
      </c>
      <c r="AF769" s="4">
        <v>13038235659</v>
      </c>
      <c r="AH769" t="str">
        <f>"21231"</f>
        <v>21231</v>
      </c>
      <c r="AI769" t="s">
        <v>287</v>
      </c>
      <c r="AJ769" t="s">
        <v>2917</v>
      </c>
      <c r="AK769" t="s">
        <v>2918</v>
      </c>
      <c r="AM769" t="s">
        <v>3772</v>
      </c>
      <c r="AO769" t="s">
        <v>3773</v>
      </c>
      <c r="AP769" t="s">
        <v>306</v>
      </c>
      <c r="AQ769" s="5">
        <v>22903</v>
      </c>
      <c r="AR769" t="s">
        <v>128</v>
      </c>
      <c r="AT769" s="4">
        <v>14342634300</v>
      </c>
      <c r="AV769" t="s">
        <v>9074</v>
      </c>
      <c r="AW769" t="s">
        <v>2923</v>
      </c>
      <c r="AX769" t="s">
        <v>131</v>
      </c>
      <c r="AY769" t="s">
        <v>131</v>
      </c>
      <c r="AZ769" t="s">
        <v>131</v>
      </c>
      <c r="BA769" t="s">
        <v>131</v>
      </c>
      <c r="BB769" t="s">
        <v>131</v>
      </c>
      <c r="BC769" t="s">
        <v>131</v>
      </c>
      <c r="BD769" t="s">
        <v>131</v>
      </c>
      <c r="BE769" t="s">
        <v>132</v>
      </c>
      <c r="BH769" t="s">
        <v>19874</v>
      </c>
      <c r="BI769" t="s">
        <v>131</v>
      </c>
      <c r="BL769" t="s">
        <v>167</v>
      </c>
      <c r="BO769" t="s">
        <v>131</v>
      </c>
      <c r="BP769" t="s">
        <v>134</v>
      </c>
      <c r="BQ769" t="s">
        <v>131</v>
      </c>
      <c r="BS769" t="str">
        <f t="shared" si="55"/>
        <v>N/A</v>
      </c>
      <c r="BT769" t="s">
        <v>135</v>
      </c>
      <c r="BU769">
        <v>3</v>
      </c>
      <c r="BV769" t="str">
        <f>"Requires three months of experience in the designated occupation."</f>
        <v>Requires three months of experience in the designated occupation.</v>
      </c>
      <c r="BW769" t="s">
        <v>135</v>
      </c>
      <c r="BX769" t="str">
        <f>""</f>
        <v/>
      </c>
      <c r="BY769" t="str">
        <f>""</f>
        <v/>
      </c>
      <c r="BZ769" t="str">
        <f>""</f>
        <v/>
      </c>
      <c r="CA769" t="str">
        <f>"Must lift/carry 50 lbs., when necessary.   Post-hire post-accident drug testing required of foreign and domestic workers."</f>
        <v>Must lift/carry 50 lbs., when necessary.   Post-hire post-accident drug testing required of foreign and domestic workers.</v>
      </c>
      <c r="CB769" t="s">
        <v>131</v>
      </c>
      <c r="CF769" t="s">
        <v>131</v>
      </c>
      <c r="CH769" t="str">
        <f>""</f>
        <v/>
      </c>
      <c r="CI769" t="s">
        <v>131</v>
      </c>
      <c r="CK769" t="s">
        <v>131</v>
      </c>
      <c r="CL769" t="str">
        <f>""</f>
        <v/>
      </c>
      <c r="CM769" t="str">
        <f>""</f>
        <v/>
      </c>
      <c r="CN769" t="str">
        <f>""</f>
        <v/>
      </c>
      <c r="CO769" t="str">
        <f>""</f>
        <v/>
      </c>
      <c r="CP769" t="str">
        <f>"51-9031.00"</f>
        <v>51-9031.00</v>
      </c>
      <c r="CQ769" t="s">
        <v>19167</v>
      </c>
      <c r="CR769" t="s">
        <v>2924</v>
      </c>
      <c r="CS769" t="s">
        <v>131</v>
      </c>
      <c r="CU769" t="s">
        <v>19875</v>
      </c>
      <c r="CW769" t="s">
        <v>966</v>
      </c>
      <c r="CX769" t="s">
        <v>3100</v>
      </c>
      <c r="CZ769" s="3" t="str">
        <f>"88435"</f>
        <v>88435</v>
      </c>
      <c r="DA769" t="s">
        <v>131</v>
      </c>
      <c r="DB769" t="str">
        <f>"51-9031"</f>
        <v>51-9031</v>
      </c>
      <c r="DC769" t="s">
        <v>19167</v>
      </c>
      <c r="DD769" t="s">
        <v>134</v>
      </c>
      <c r="DE769" t="s">
        <v>134</v>
      </c>
      <c r="DF769" t="str">
        <f>""</f>
        <v/>
      </c>
      <c r="DH769" s="6">
        <v>16.39</v>
      </c>
      <c r="DI769" t="s">
        <v>344</v>
      </c>
      <c r="DK769" t="s">
        <v>345</v>
      </c>
      <c r="DS769" s="6">
        <v>16.39</v>
      </c>
      <c r="DT769" t="s">
        <v>424</v>
      </c>
      <c r="DU769" s="1">
        <v>44369</v>
      </c>
      <c r="DV769" s="1">
        <v>44458</v>
      </c>
    </row>
    <row r="770" spans="1:126" ht="15" customHeight="1" x14ac:dyDescent="0.35">
      <c r="A770" t="s">
        <v>2911</v>
      </c>
      <c r="B770" t="s">
        <v>318</v>
      </c>
      <c r="C770" s="1">
        <v>44341</v>
      </c>
      <c r="D770" s="1">
        <v>44369</v>
      </c>
      <c r="H770" t="s">
        <v>319</v>
      </c>
      <c r="I770" t="s">
        <v>2912</v>
      </c>
      <c r="J770" t="s">
        <v>1060</v>
      </c>
      <c r="L770" t="s">
        <v>2105</v>
      </c>
      <c r="M770" t="s">
        <v>2913</v>
      </c>
      <c r="N770" t="s">
        <v>2914</v>
      </c>
      <c r="O770" t="s">
        <v>2915</v>
      </c>
      <c r="P770" t="s">
        <v>273</v>
      </c>
      <c r="Q770" s="3">
        <v>7740</v>
      </c>
      <c r="R770" t="s">
        <v>128</v>
      </c>
      <c r="T770" s="4">
        <v>17328709083</v>
      </c>
      <c r="V770" t="s">
        <v>134</v>
      </c>
      <c r="W770" t="s">
        <v>2916</v>
      </c>
      <c r="Y770" t="s">
        <v>2913</v>
      </c>
      <c r="Z770" t="s">
        <v>2914</v>
      </c>
      <c r="AA770" t="s">
        <v>2915</v>
      </c>
      <c r="AB770" t="s">
        <v>276</v>
      </c>
      <c r="AC770" s="3" t="str">
        <f>"07740"</f>
        <v>07740</v>
      </c>
      <c r="AD770" t="s">
        <v>128</v>
      </c>
      <c r="AF770" s="4">
        <v>17328709083</v>
      </c>
      <c r="AH770" t="str">
        <f>"56173"</f>
        <v>56173</v>
      </c>
      <c r="AI770" t="s">
        <v>287</v>
      </c>
      <c r="AJ770" t="s">
        <v>2917</v>
      </c>
      <c r="AK770" t="s">
        <v>2918</v>
      </c>
      <c r="AM770" t="s">
        <v>2919</v>
      </c>
      <c r="AN770" t="s">
        <v>2920</v>
      </c>
      <c r="AO770" t="s">
        <v>2921</v>
      </c>
      <c r="AP770" t="s">
        <v>306</v>
      </c>
      <c r="AQ770" s="5">
        <v>22949</v>
      </c>
      <c r="AR770" t="s">
        <v>128</v>
      </c>
      <c r="AT770" s="4">
        <v>14342634300</v>
      </c>
      <c r="AV770" t="s">
        <v>2922</v>
      </c>
      <c r="AW770" t="s">
        <v>2923</v>
      </c>
      <c r="AX770" t="s">
        <v>131</v>
      </c>
      <c r="AY770" t="s">
        <v>131</v>
      </c>
      <c r="AZ770" t="s">
        <v>131</v>
      </c>
      <c r="BA770" t="s">
        <v>131</v>
      </c>
      <c r="BB770" t="s">
        <v>131</v>
      </c>
      <c r="BC770" t="s">
        <v>131</v>
      </c>
      <c r="BD770" t="s">
        <v>131</v>
      </c>
      <c r="BE770" t="s">
        <v>132</v>
      </c>
      <c r="BH770" t="s">
        <v>2215</v>
      </c>
      <c r="BI770" t="s">
        <v>131</v>
      </c>
      <c r="BL770" t="s">
        <v>167</v>
      </c>
      <c r="BO770" t="s">
        <v>131</v>
      </c>
      <c r="BP770" t="s">
        <v>134</v>
      </c>
      <c r="BQ770" t="s">
        <v>131</v>
      </c>
      <c r="BS770" t="str">
        <f t="shared" si="55"/>
        <v>N/A</v>
      </c>
      <c r="BT770" t="s">
        <v>135</v>
      </c>
      <c r="BU770">
        <v>3</v>
      </c>
      <c r="BV770" t="str">
        <f>"Landscape"</f>
        <v>Landscape</v>
      </c>
      <c r="BW770" t="s">
        <v>135</v>
      </c>
      <c r="BX770" t="str">
        <f>""</f>
        <v/>
      </c>
      <c r="BY770" t="str">
        <f>""</f>
        <v/>
      </c>
      <c r="BZ770" t="str">
        <f>""</f>
        <v/>
      </c>
      <c r="CA770" t="str">
        <f>"Must lift/carry 50 lbs., when necessary.  Saturday work required, when necessary.  Post-hire drug testing required of foreign and domestic workers upon suspicion of use."</f>
        <v>Must lift/carry 50 lbs., when necessary.  Saturday work required, when necessary.  Post-hire drug testing required of foreign and domestic workers upon suspicion of use.</v>
      </c>
      <c r="CB770" t="s">
        <v>131</v>
      </c>
      <c r="CF770" t="s">
        <v>131</v>
      </c>
      <c r="CH770" t="str">
        <f>""</f>
        <v/>
      </c>
      <c r="CI770" t="s">
        <v>131</v>
      </c>
      <c r="CK770" t="s">
        <v>131</v>
      </c>
      <c r="CL770" t="str">
        <f>""</f>
        <v/>
      </c>
      <c r="CM770" t="str">
        <f>""</f>
        <v/>
      </c>
      <c r="CN770" t="str">
        <f>""</f>
        <v/>
      </c>
      <c r="CO770" t="str">
        <f>""</f>
        <v/>
      </c>
      <c r="CP770" t="str">
        <f>"37-3011.00"</f>
        <v>37-3011.00</v>
      </c>
      <c r="CQ770" t="s">
        <v>920</v>
      </c>
      <c r="CR770" t="s">
        <v>2924</v>
      </c>
      <c r="CS770" t="s">
        <v>135</v>
      </c>
      <c r="CT770" t="s">
        <v>2925</v>
      </c>
      <c r="CU770" t="s">
        <v>2913</v>
      </c>
      <c r="CW770" t="s">
        <v>2915</v>
      </c>
      <c r="CX770" t="s">
        <v>276</v>
      </c>
      <c r="CZ770" s="3" t="str">
        <f>"07740"</f>
        <v>07740</v>
      </c>
      <c r="DA770" t="s">
        <v>135</v>
      </c>
      <c r="DB770" t="str">
        <f>"37-3011"</f>
        <v>37-3011</v>
      </c>
      <c r="DC770" t="s">
        <v>920</v>
      </c>
      <c r="DD770" t="s">
        <v>134</v>
      </c>
      <c r="DE770" t="s">
        <v>134</v>
      </c>
      <c r="DF770" t="str">
        <f>""</f>
        <v/>
      </c>
      <c r="DH770" s="6">
        <v>17.75</v>
      </c>
      <c r="DI770" t="s">
        <v>344</v>
      </c>
      <c r="DK770" t="s">
        <v>345</v>
      </c>
      <c r="DS770" s="6">
        <v>17.75</v>
      </c>
      <c r="DT770" s="2" t="s">
        <v>347</v>
      </c>
      <c r="DU770" s="1">
        <v>44369</v>
      </c>
      <c r="DV770" s="1">
        <v>44458</v>
      </c>
    </row>
    <row r="771" spans="1:126" ht="15" customHeight="1" x14ac:dyDescent="0.35">
      <c r="A771" t="s">
        <v>9475</v>
      </c>
      <c r="B771" t="s">
        <v>318</v>
      </c>
      <c r="C771" s="1">
        <v>44341</v>
      </c>
      <c r="D771" s="1">
        <v>44369</v>
      </c>
      <c r="H771" t="s">
        <v>319</v>
      </c>
      <c r="I771" t="s">
        <v>9476</v>
      </c>
      <c r="J771" t="s">
        <v>1050</v>
      </c>
      <c r="K771" t="s">
        <v>9169</v>
      </c>
      <c r="L771" t="s">
        <v>2403</v>
      </c>
      <c r="M771" t="s">
        <v>9477</v>
      </c>
      <c r="N771" t="s">
        <v>9478</v>
      </c>
      <c r="O771" t="s">
        <v>9479</v>
      </c>
      <c r="P771" t="s">
        <v>194</v>
      </c>
      <c r="Q771" s="3">
        <v>32320</v>
      </c>
      <c r="R771" t="s">
        <v>128</v>
      </c>
      <c r="T771" s="4">
        <v>18506538823</v>
      </c>
      <c r="V771" t="s">
        <v>9480</v>
      </c>
      <c r="W771" t="s">
        <v>9481</v>
      </c>
      <c r="Y771" t="s">
        <v>9477</v>
      </c>
      <c r="Z771" t="s">
        <v>9478</v>
      </c>
      <c r="AA771" t="s">
        <v>9479</v>
      </c>
      <c r="AB771" t="s">
        <v>195</v>
      </c>
      <c r="AC771" s="3" t="str">
        <f>"32320"</f>
        <v>32320</v>
      </c>
      <c r="AD771" t="s">
        <v>128</v>
      </c>
      <c r="AF771" s="4">
        <v>18506538823</v>
      </c>
      <c r="AH771" t="str">
        <f>"42446"</f>
        <v>42446</v>
      </c>
      <c r="AI771" t="s">
        <v>287</v>
      </c>
      <c r="AJ771" t="s">
        <v>4134</v>
      </c>
      <c r="AK771" t="s">
        <v>3493</v>
      </c>
      <c r="AM771" t="s">
        <v>4135</v>
      </c>
      <c r="AO771" t="s">
        <v>4136</v>
      </c>
      <c r="AP771" t="s">
        <v>643</v>
      </c>
      <c r="AQ771" s="5">
        <v>31636</v>
      </c>
      <c r="AR771" t="s">
        <v>128</v>
      </c>
      <c r="AT771" s="4">
        <v>12295596879</v>
      </c>
      <c r="AV771" t="s">
        <v>4137</v>
      </c>
      <c r="AW771" t="s">
        <v>4138</v>
      </c>
      <c r="AX771" t="s">
        <v>131</v>
      </c>
      <c r="AY771" t="s">
        <v>131</v>
      </c>
      <c r="AZ771" t="s">
        <v>131</v>
      </c>
      <c r="BA771" t="s">
        <v>131</v>
      </c>
      <c r="BB771" t="s">
        <v>131</v>
      </c>
      <c r="BC771" t="s">
        <v>131</v>
      </c>
      <c r="BD771" t="s">
        <v>131</v>
      </c>
      <c r="BE771" t="s">
        <v>132</v>
      </c>
      <c r="BH771" t="s">
        <v>5367</v>
      </c>
      <c r="BI771" t="s">
        <v>131</v>
      </c>
      <c r="BL771" t="s">
        <v>167</v>
      </c>
      <c r="BO771" t="s">
        <v>131</v>
      </c>
      <c r="BP771" t="s">
        <v>134</v>
      </c>
      <c r="BQ771" t="s">
        <v>131</v>
      </c>
      <c r="BS771" t="str">
        <f t="shared" si="55"/>
        <v>N/A</v>
      </c>
      <c r="BT771" t="s">
        <v>131</v>
      </c>
      <c r="BV771" t="str">
        <f>""</f>
        <v/>
      </c>
      <c r="BW771" t="s">
        <v>135</v>
      </c>
      <c r="BX771" t="str">
        <f>""</f>
        <v/>
      </c>
      <c r="BY771" t="str">
        <f>""</f>
        <v/>
      </c>
      <c r="BZ771" t="str">
        <f>""</f>
        <v/>
      </c>
      <c r="CA771" t="s">
        <v>9482</v>
      </c>
      <c r="CB771" t="s">
        <v>131</v>
      </c>
      <c r="CF771" t="s">
        <v>131</v>
      </c>
      <c r="CH771" t="str">
        <f>""</f>
        <v/>
      </c>
      <c r="CI771" t="s">
        <v>131</v>
      </c>
      <c r="CK771" t="s">
        <v>131</v>
      </c>
      <c r="CL771" t="str">
        <f>""</f>
        <v/>
      </c>
      <c r="CM771" t="str">
        <f>""</f>
        <v/>
      </c>
      <c r="CN771" t="str">
        <f>""</f>
        <v/>
      </c>
      <c r="CO771" t="str">
        <f>""</f>
        <v/>
      </c>
      <c r="CP771" t="str">
        <f>"51-3022.00"</f>
        <v>51-3022.00</v>
      </c>
      <c r="CQ771" t="s">
        <v>1114</v>
      </c>
      <c r="CS771" t="s">
        <v>131</v>
      </c>
      <c r="CU771" t="s">
        <v>9477</v>
      </c>
      <c r="CW771" t="s">
        <v>9479</v>
      </c>
      <c r="CX771" t="s">
        <v>195</v>
      </c>
      <c r="CZ771" s="3" t="str">
        <f>"32320"</f>
        <v>32320</v>
      </c>
      <c r="DA771" t="s">
        <v>131</v>
      </c>
      <c r="DB771" t="str">
        <f>"51-3022"</f>
        <v>51-3022</v>
      </c>
      <c r="DC771" t="s">
        <v>1114</v>
      </c>
      <c r="DD771" t="s">
        <v>134</v>
      </c>
      <c r="DE771" t="s">
        <v>134</v>
      </c>
      <c r="DF771" t="str">
        <f>""</f>
        <v/>
      </c>
      <c r="DH771" s="6">
        <v>12.36</v>
      </c>
      <c r="DI771" t="s">
        <v>344</v>
      </c>
      <c r="DK771" t="s">
        <v>345</v>
      </c>
      <c r="DS771" s="6">
        <v>12.36</v>
      </c>
      <c r="DT771" t="s">
        <v>424</v>
      </c>
      <c r="DU771" s="1">
        <v>44369</v>
      </c>
      <c r="DV771" s="1">
        <v>44458</v>
      </c>
    </row>
    <row r="772" spans="1:126" ht="15" customHeight="1" x14ac:dyDescent="0.35">
      <c r="A772" t="s">
        <v>14743</v>
      </c>
      <c r="B772" t="s">
        <v>318</v>
      </c>
      <c r="C772" s="1">
        <v>44341</v>
      </c>
      <c r="D772" s="1">
        <v>44369</v>
      </c>
      <c r="H772" t="s">
        <v>319</v>
      </c>
      <c r="I772" t="s">
        <v>14744</v>
      </c>
      <c r="J772" t="s">
        <v>6509</v>
      </c>
      <c r="L772" t="s">
        <v>349</v>
      </c>
      <c r="M772" t="s">
        <v>14745</v>
      </c>
      <c r="O772" t="s">
        <v>14746</v>
      </c>
      <c r="P772" t="s">
        <v>248</v>
      </c>
      <c r="Q772" s="3">
        <v>55120</v>
      </c>
      <c r="R772" t="s">
        <v>128</v>
      </c>
      <c r="T772" s="4">
        <v>16512033025</v>
      </c>
      <c r="V772" t="s">
        <v>14747</v>
      </c>
      <c r="W772" t="s">
        <v>14748</v>
      </c>
      <c r="Y772" t="s">
        <v>14745</v>
      </c>
      <c r="AA772" t="s">
        <v>14746</v>
      </c>
      <c r="AB772" t="s">
        <v>249</v>
      </c>
      <c r="AC772" s="3" t="str">
        <f>"55120"</f>
        <v>55120</v>
      </c>
      <c r="AD772" t="s">
        <v>128</v>
      </c>
      <c r="AF772" s="4">
        <v>16512033025</v>
      </c>
      <c r="AH772" t="str">
        <f>"5617"</f>
        <v>5617</v>
      </c>
      <c r="AI772" t="s">
        <v>130</v>
      </c>
      <c r="AJ772" t="s">
        <v>2442</v>
      </c>
      <c r="AK772" t="s">
        <v>2443</v>
      </c>
      <c r="AL772" t="s">
        <v>2444</v>
      </c>
      <c r="AM772" t="s">
        <v>2445</v>
      </c>
      <c r="AN772" t="s">
        <v>1169</v>
      </c>
      <c r="AO772" t="s">
        <v>707</v>
      </c>
      <c r="AP772" t="s">
        <v>249</v>
      </c>
      <c r="AQ772" s="5">
        <v>55402</v>
      </c>
      <c r="AR772" t="s">
        <v>128</v>
      </c>
      <c r="AT772" s="4">
        <v>16124927165</v>
      </c>
      <c r="AV772" t="s">
        <v>2446</v>
      </c>
      <c r="AW772" t="s">
        <v>2447</v>
      </c>
      <c r="AX772" t="s">
        <v>131</v>
      </c>
      <c r="AY772" t="s">
        <v>131</v>
      </c>
      <c r="AZ772" t="s">
        <v>131</v>
      </c>
      <c r="BA772" t="s">
        <v>131</v>
      </c>
      <c r="BB772" t="s">
        <v>131</v>
      </c>
      <c r="BC772" t="s">
        <v>131</v>
      </c>
      <c r="BD772" t="s">
        <v>131</v>
      </c>
      <c r="BE772" t="s">
        <v>132</v>
      </c>
      <c r="BH772" t="s">
        <v>14749</v>
      </c>
      <c r="BI772" t="s">
        <v>131</v>
      </c>
      <c r="BL772" t="s">
        <v>167</v>
      </c>
      <c r="BO772" t="s">
        <v>131</v>
      </c>
      <c r="BP772" t="s">
        <v>134</v>
      </c>
      <c r="BQ772" t="s">
        <v>131</v>
      </c>
      <c r="BS772" t="str">
        <f t="shared" si="55"/>
        <v>N/A</v>
      </c>
      <c r="BT772" t="s">
        <v>135</v>
      </c>
      <c r="BU772">
        <v>3</v>
      </c>
      <c r="BV772" t="str">
        <f>"Landscaping"</f>
        <v>Landscaping</v>
      </c>
      <c r="BW772" t="s">
        <v>135</v>
      </c>
      <c r="BX772" t="str">
        <f>""</f>
        <v/>
      </c>
      <c r="BY772" t="str">
        <f>""</f>
        <v/>
      </c>
      <c r="BZ772" t="str">
        <f>""</f>
        <v/>
      </c>
      <c r="CA772" t="str">
        <f>"3 months’ experience working with landscaping tools or equipment"</f>
        <v>3 months’ experience working with landscaping tools or equipment</v>
      </c>
      <c r="CB772" t="s">
        <v>131</v>
      </c>
      <c r="CF772" t="s">
        <v>131</v>
      </c>
      <c r="CH772" t="str">
        <f>""</f>
        <v/>
      </c>
      <c r="CI772" t="s">
        <v>131</v>
      </c>
      <c r="CK772" t="s">
        <v>131</v>
      </c>
      <c r="CL772" t="str">
        <f>""</f>
        <v/>
      </c>
      <c r="CM772" t="str">
        <f>""</f>
        <v/>
      </c>
      <c r="CN772" t="str">
        <f>""</f>
        <v/>
      </c>
      <c r="CO772" t="str">
        <f>""</f>
        <v/>
      </c>
      <c r="CP772" t="str">
        <f>"49-3053.00"</f>
        <v>49-3053.00</v>
      </c>
      <c r="CQ772" t="s">
        <v>14750</v>
      </c>
      <c r="CR772" t="s">
        <v>14751</v>
      </c>
      <c r="CS772" t="s">
        <v>131</v>
      </c>
      <c r="CU772" t="s">
        <v>14745</v>
      </c>
      <c r="CW772" t="s">
        <v>14746</v>
      </c>
      <c r="CX772" t="s">
        <v>249</v>
      </c>
      <c r="CZ772" s="3" t="str">
        <f>"55120"</f>
        <v>55120</v>
      </c>
      <c r="DA772" t="s">
        <v>131</v>
      </c>
      <c r="DB772" t="str">
        <f>"49-3053"</f>
        <v>49-3053</v>
      </c>
      <c r="DC772" t="s">
        <v>14750</v>
      </c>
      <c r="DD772" t="s">
        <v>134</v>
      </c>
      <c r="DE772" t="s">
        <v>134</v>
      </c>
      <c r="DF772" t="str">
        <f>""</f>
        <v/>
      </c>
      <c r="DH772" s="6">
        <v>21.17</v>
      </c>
      <c r="DI772" t="s">
        <v>344</v>
      </c>
      <c r="DK772" t="s">
        <v>345</v>
      </c>
      <c r="DS772" s="6">
        <v>21.17</v>
      </c>
      <c r="DT772" t="s">
        <v>424</v>
      </c>
      <c r="DU772" s="1">
        <v>44369</v>
      </c>
      <c r="DV772" s="1">
        <v>44458</v>
      </c>
    </row>
    <row r="773" spans="1:126" ht="15" customHeight="1" x14ac:dyDescent="0.35">
      <c r="A773" t="s">
        <v>17201</v>
      </c>
      <c r="B773" t="s">
        <v>318</v>
      </c>
      <c r="C773" s="1">
        <v>44341</v>
      </c>
      <c r="D773" s="1">
        <v>44369</v>
      </c>
      <c r="H773" t="s">
        <v>319</v>
      </c>
      <c r="I773" t="s">
        <v>10032</v>
      </c>
      <c r="J773" t="s">
        <v>17202</v>
      </c>
      <c r="L773" t="s">
        <v>1105</v>
      </c>
      <c r="M773" t="s">
        <v>17203</v>
      </c>
      <c r="O773" t="s">
        <v>17204</v>
      </c>
      <c r="P773" t="s">
        <v>412</v>
      </c>
      <c r="Q773" s="3">
        <v>77656</v>
      </c>
      <c r="R773" t="s">
        <v>128</v>
      </c>
      <c r="T773" s="4">
        <v>14093734049</v>
      </c>
      <c r="V773" t="s">
        <v>17205</v>
      </c>
      <c r="W773" t="s">
        <v>17206</v>
      </c>
      <c r="X773" t="s">
        <v>17207</v>
      </c>
      <c r="Y773" t="s">
        <v>17203</v>
      </c>
      <c r="AA773" t="s">
        <v>17204</v>
      </c>
      <c r="AB773" t="s">
        <v>400</v>
      </c>
      <c r="AC773" s="3" t="str">
        <f>"77656"</f>
        <v>77656</v>
      </c>
      <c r="AD773" t="s">
        <v>128</v>
      </c>
      <c r="AF773" s="4">
        <v>14093734049</v>
      </c>
      <c r="AH773" t="str">
        <f>"111421"</f>
        <v>111421</v>
      </c>
      <c r="AI773" t="s">
        <v>287</v>
      </c>
      <c r="AJ773" t="s">
        <v>8995</v>
      </c>
      <c r="AK773" t="s">
        <v>9656</v>
      </c>
      <c r="AL773" t="s">
        <v>651</v>
      </c>
      <c r="AM773" t="s">
        <v>4714</v>
      </c>
      <c r="AN773" t="s">
        <v>2377</v>
      </c>
      <c r="AO773" t="s">
        <v>4815</v>
      </c>
      <c r="AP773" t="s">
        <v>1243</v>
      </c>
      <c r="AQ773" s="5">
        <v>83814</v>
      </c>
      <c r="AR773" t="s">
        <v>128</v>
      </c>
      <c r="AT773" s="4">
        <v>12087772654</v>
      </c>
      <c r="AV773" t="s">
        <v>9657</v>
      </c>
      <c r="AW773" t="s">
        <v>4715</v>
      </c>
      <c r="AX773" t="s">
        <v>131</v>
      </c>
      <c r="AY773" t="s">
        <v>131</v>
      </c>
      <c r="AZ773" t="s">
        <v>131</v>
      </c>
      <c r="BA773" t="s">
        <v>131</v>
      </c>
      <c r="BB773" t="s">
        <v>131</v>
      </c>
      <c r="BC773" t="s">
        <v>131</v>
      </c>
      <c r="BD773" t="s">
        <v>131</v>
      </c>
      <c r="BE773" t="s">
        <v>132</v>
      </c>
      <c r="BH773" t="s">
        <v>10405</v>
      </c>
      <c r="BI773" t="s">
        <v>131</v>
      </c>
      <c r="BL773" t="s">
        <v>167</v>
      </c>
      <c r="BO773" t="s">
        <v>131</v>
      </c>
      <c r="BP773" t="s">
        <v>134</v>
      </c>
      <c r="BQ773" t="s">
        <v>131</v>
      </c>
      <c r="BS773" t="str">
        <f t="shared" si="55"/>
        <v>N/A</v>
      </c>
      <c r="BT773" t="s">
        <v>131</v>
      </c>
      <c r="BV773" t="str">
        <f>""</f>
        <v/>
      </c>
      <c r="BW773" t="s">
        <v>135</v>
      </c>
      <c r="BX773" t="str">
        <f>""</f>
        <v/>
      </c>
      <c r="BY773" t="str">
        <f>""</f>
        <v/>
      </c>
      <c r="BZ773" t="str">
        <f>""</f>
        <v/>
      </c>
      <c r="CA773" t="s">
        <v>2054</v>
      </c>
      <c r="CB773" t="s">
        <v>131</v>
      </c>
      <c r="CF773" t="s">
        <v>131</v>
      </c>
      <c r="CH773" t="str">
        <f>""</f>
        <v/>
      </c>
      <c r="CI773" t="s">
        <v>131</v>
      </c>
      <c r="CK773" t="s">
        <v>131</v>
      </c>
      <c r="CL773" t="str">
        <f>""</f>
        <v/>
      </c>
      <c r="CM773" t="str">
        <f>""</f>
        <v/>
      </c>
      <c r="CN773" t="str">
        <f>""</f>
        <v/>
      </c>
      <c r="CO773" t="str">
        <f>""</f>
        <v/>
      </c>
      <c r="CP773" t="str">
        <f>"45-2092.01"</f>
        <v>45-2092.01</v>
      </c>
      <c r="CQ773" t="s">
        <v>3197</v>
      </c>
      <c r="CR773" t="s">
        <v>10405</v>
      </c>
      <c r="CS773" t="s">
        <v>131</v>
      </c>
      <c r="CU773" t="s">
        <v>17208</v>
      </c>
      <c r="CW773" t="s">
        <v>13098</v>
      </c>
      <c r="CX773" t="s">
        <v>925</v>
      </c>
      <c r="CZ773" s="3" t="str">
        <f>"04643"</f>
        <v>04643</v>
      </c>
      <c r="DA773" t="s">
        <v>131</v>
      </c>
      <c r="DB773" t="str">
        <f>"45-2092"</f>
        <v>45-2092</v>
      </c>
      <c r="DC773" t="s">
        <v>3820</v>
      </c>
      <c r="DD773" t="s">
        <v>10470</v>
      </c>
      <c r="DE773" t="s">
        <v>3197</v>
      </c>
      <c r="DF773" t="str">
        <f>""</f>
        <v/>
      </c>
      <c r="DH773" s="6">
        <v>15.18</v>
      </c>
      <c r="DI773" t="s">
        <v>344</v>
      </c>
      <c r="DK773" t="s">
        <v>345</v>
      </c>
      <c r="DS773" s="6">
        <v>15.18</v>
      </c>
      <c r="DT773" t="s">
        <v>424</v>
      </c>
      <c r="DU773" s="1">
        <v>44369</v>
      </c>
      <c r="DV773" s="1">
        <v>44458</v>
      </c>
    </row>
    <row r="774" spans="1:126" ht="15" customHeight="1" x14ac:dyDescent="0.35">
      <c r="A774" t="s">
        <v>18012</v>
      </c>
      <c r="B774" t="s">
        <v>318</v>
      </c>
      <c r="C774" s="1">
        <v>44341</v>
      </c>
      <c r="D774" s="1">
        <v>44369</v>
      </c>
      <c r="H774" t="s">
        <v>319</v>
      </c>
      <c r="I774" t="s">
        <v>7131</v>
      </c>
      <c r="J774" t="s">
        <v>5173</v>
      </c>
      <c r="L774" t="s">
        <v>774</v>
      </c>
      <c r="M774" t="s">
        <v>18013</v>
      </c>
      <c r="O774" t="s">
        <v>18014</v>
      </c>
      <c r="P774" t="s">
        <v>311</v>
      </c>
      <c r="Q774" s="3">
        <v>19013</v>
      </c>
      <c r="R774" t="s">
        <v>128</v>
      </c>
      <c r="T774" s="4">
        <v>16105054263</v>
      </c>
      <c r="V774" t="s">
        <v>18015</v>
      </c>
      <c r="W774" t="s">
        <v>18016</v>
      </c>
      <c r="Y774" t="s">
        <v>18013</v>
      </c>
      <c r="AA774" t="s">
        <v>18014</v>
      </c>
      <c r="AB774" t="s">
        <v>312</v>
      </c>
      <c r="AC774" s="3" t="str">
        <f>"19013"</f>
        <v>19013</v>
      </c>
      <c r="AD774" t="s">
        <v>128</v>
      </c>
      <c r="AF774" s="4">
        <v>16105054263</v>
      </c>
      <c r="AH774" t="str">
        <f>"56173"</f>
        <v>56173</v>
      </c>
      <c r="AI774" t="s">
        <v>287</v>
      </c>
      <c r="AJ774" t="s">
        <v>8995</v>
      </c>
      <c r="AK774" t="s">
        <v>9656</v>
      </c>
      <c r="AL774" t="s">
        <v>651</v>
      </c>
      <c r="AM774" t="s">
        <v>4714</v>
      </c>
      <c r="AN774" t="s">
        <v>2377</v>
      </c>
      <c r="AO774" t="s">
        <v>4815</v>
      </c>
      <c r="AP774" t="s">
        <v>1243</v>
      </c>
      <c r="AQ774" s="5">
        <v>83814</v>
      </c>
      <c r="AR774" t="s">
        <v>128</v>
      </c>
      <c r="AT774" s="4">
        <v>12087772654</v>
      </c>
      <c r="AV774" t="s">
        <v>9657</v>
      </c>
      <c r="AW774" t="s">
        <v>4715</v>
      </c>
      <c r="AX774" t="s">
        <v>131</v>
      </c>
      <c r="AY774" t="s">
        <v>131</v>
      </c>
      <c r="AZ774" t="s">
        <v>131</v>
      </c>
      <c r="BA774" t="s">
        <v>131</v>
      </c>
      <c r="BB774" t="s">
        <v>131</v>
      </c>
      <c r="BC774" t="s">
        <v>131</v>
      </c>
      <c r="BD774" t="s">
        <v>131</v>
      </c>
      <c r="BE774" t="s">
        <v>132</v>
      </c>
      <c r="BH774" t="s">
        <v>2215</v>
      </c>
      <c r="BI774" t="s">
        <v>131</v>
      </c>
      <c r="BL774" t="s">
        <v>167</v>
      </c>
      <c r="BO774" t="s">
        <v>131</v>
      </c>
      <c r="BP774" t="s">
        <v>134</v>
      </c>
      <c r="BQ774" t="s">
        <v>131</v>
      </c>
      <c r="BS774" t="str">
        <f t="shared" ref="BS774:BS805" si="56">"N/A"</f>
        <v>N/A</v>
      </c>
      <c r="BT774" t="s">
        <v>131</v>
      </c>
      <c r="BV774" t="str">
        <f>""</f>
        <v/>
      </c>
      <c r="BW774" t="s">
        <v>135</v>
      </c>
      <c r="BX774" t="str">
        <f>""</f>
        <v/>
      </c>
      <c r="BY774" t="str">
        <f>""</f>
        <v/>
      </c>
      <c r="BZ774" t="str">
        <f>""</f>
        <v/>
      </c>
      <c r="CA774" t="s">
        <v>10062</v>
      </c>
      <c r="CB774" t="s">
        <v>131</v>
      </c>
      <c r="CF774" t="s">
        <v>131</v>
      </c>
      <c r="CH774" t="str">
        <f>""</f>
        <v/>
      </c>
      <c r="CI774" t="s">
        <v>131</v>
      </c>
      <c r="CK774" t="s">
        <v>131</v>
      </c>
      <c r="CL774" t="str">
        <f>""</f>
        <v/>
      </c>
      <c r="CM774" t="str">
        <f>""</f>
        <v/>
      </c>
      <c r="CN774" t="str">
        <f>""</f>
        <v/>
      </c>
      <c r="CO774" t="str">
        <f>""</f>
        <v/>
      </c>
      <c r="CP774" t="str">
        <f>"37-3011.00"</f>
        <v>37-3011.00</v>
      </c>
      <c r="CQ774" t="s">
        <v>920</v>
      </c>
      <c r="CR774" t="s">
        <v>2215</v>
      </c>
      <c r="CS774" t="s">
        <v>135</v>
      </c>
      <c r="CT774" t="s">
        <v>18017</v>
      </c>
      <c r="CU774" t="s">
        <v>18018</v>
      </c>
      <c r="CW774" t="s">
        <v>10447</v>
      </c>
      <c r="CX774" t="s">
        <v>312</v>
      </c>
      <c r="CZ774" s="3" t="str">
        <f>"19013"</f>
        <v>19013</v>
      </c>
      <c r="DA774" t="s">
        <v>135</v>
      </c>
      <c r="DB774" t="str">
        <f>"37-3011"</f>
        <v>37-3011</v>
      </c>
      <c r="DC774" t="s">
        <v>920</v>
      </c>
      <c r="DD774" t="s">
        <v>134</v>
      </c>
      <c r="DE774" t="s">
        <v>134</v>
      </c>
      <c r="DF774" t="str">
        <f>""</f>
        <v/>
      </c>
      <c r="DH774" s="6">
        <v>16.600000000000001</v>
      </c>
      <c r="DI774" t="s">
        <v>344</v>
      </c>
      <c r="DK774" t="s">
        <v>345</v>
      </c>
      <c r="DS774" s="6">
        <v>16.600000000000001</v>
      </c>
      <c r="DT774" s="2" t="s">
        <v>347</v>
      </c>
      <c r="DU774" s="1">
        <v>44369</v>
      </c>
      <c r="DV774" s="1">
        <v>44458</v>
      </c>
    </row>
    <row r="775" spans="1:126" ht="15" customHeight="1" x14ac:dyDescent="0.35">
      <c r="A775" t="s">
        <v>18358</v>
      </c>
      <c r="B775" t="s">
        <v>318</v>
      </c>
      <c r="C775" s="1">
        <v>44341</v>
      </c>
      <c r="D775" s="1">
        <v>44369</v>
      </c>
      <c r="H775" t="s">
        <v>319</v>
      </c>
      <c r="I775" t="s">
        <v>5096</v>
      </c>
      <c r="J775" t="s">
        <v>18359</v>
      </c>
      <c r="L775" t="s">
        <v>1105</v>
      </c>
      <c r="M775" t="s">
        <v>18360</v>
      </c>
      <c r="O775" t="s">
        <v>928</v>
      </c>
      <c r="P775" t="s">
        <v>1174</v>
      </c>
      <c r="Q775" s="3">
        <v>97216</v>
      </c>
      <c r="R775" t="s">
        <v>128</v>
      </c>
      <c r="T775" s="4">
        <v>19714096240</v>
      </c>
      <c r="V775" t="s">
        <v>18361</v>
      </c>
      <c r="W775" t="s">
        <v>18362</v>
      </c>
      <c r="X775" t="s">
        <v>18363</v>
      </c>
      <c r="Y775" t="s">
        <v>18360</v>
      </c>
      <c r="Z775" t="s">
        <v>928</v>
      </c>
      <c r="AA775" t="s">
        <v>928</v>
      </c>
      <c r="AB775" t="s">
        <v>1512</v>
      </c>
      <c r="AC775" s="3" t="str">
        <f>"97216"</f>
        <v>97216</v>
      </c>
      <c r="AD775" t="s">
        <v>128</v>
      </c>
      <c r="AF775" s="4">
        <v>19714096240</v>
      </c>
      <c r="AH775" t="str">
        <f>"722511"</f>
        <v>722511</v>
      </c>
      <c r="AI775" t="s">
        <v>287</v>
      </c>
      <c r="AJ775" t="s">
        <v>8995</v>
      </c>
      <c r="AK775" t="s">
        <v>9656</v>
      </c>
      <c r="AL775" t="s">
        <v>651</v>
      </c>
      <c r="AM775" t="s">
        <v>4714</v>
      </c>
      <c r="AN775" t="s">
        <v>2377</v>
      </c>
      <c r="AO775" t="s">
        <v>4815</v>
      </c>
      <c r="AP775" t="s">
        <v>1243</v>
      </c>
      <c r="AQ775" s="5">
        <v>83814</v>
      </c>
      <c r="AR775" t="s">
        <v>128</v>
      </c>
      <c r="AT775" s="4">
        <v>12087772654</v>
      </c>
      <c r="AV775" t="s">
        <v>9657</v>
      </c>
      <c r="AW775" t="s">
        <v>4715</v>
      </c>
      <c r="AX775" t="s">
        <v>131</v>
      </c>
      <c r="AY775" t="s">
        <v>131</v>
      </c>
      <c r="AZ775" t="s">
        <v>131</v>
      </c>
      <c r="BA775" t="s">
        <v>131</v>
      </c>
      <c r="BB775" t="s">
        <v>131</v>
      </c>
      <c r="BC775" t="s">
        <v>131</v>
      </c>
      <c r="BD775" t="s">
        <v>131</v>
      </c>
      <c r="BE775" t="s">
        <v>132</v>
      </c>
      <c r="BH775" t="s">
        <v>2198</v>
      </c>
      <c r="BI775" t="s">
        <v>131</v>
      </c>
      <c r="BL775" t="s">
        <v>167</v>
      </c>
      <c r="BO775" t="s">
        <v>131</v>
      </c>
      <c r="BP775" t="s">
        <v>134</v>
      </c>
      <c r="BQ775" t="s">
        <v>131</v>
      </c>
      <c r="BS775" t="str">
        <f t="shared" si="56"/>
        <v>N/A</v>
      </c>
      <c r="BT775" t="s">
        <v>135</v>
      </c>
      <c r="BU775">
        <v>3</v>
      </c>
      <c r="BV775" t="str">
        <f>"Restaurant Cooking"</f>
        <v>Restaurant Cooking</v>
      </c>
      <c r="BW775" t="s">
        <v>135</v>
      </c>
      <c r="BX775" t="str">
        <f>""</f>
        <v/>
      </c>
      <c r="BY775" t="str">
        <f>""</f>
        <v/>
      </c>
      <c r="BZ775" t="str">
        <f>""</f>
        <v/>
      </c>
      <c r="CA775" t="s">
        <v>4817</v>
      </c>
      <c r="CB775" t="s">
        <v>131</v>
      </c>
      <c r="CF775" t="s">
        <v>131</v>
      </c>
      <c r="CH775" t="str">
        <f>""</f>
        <v/>
      </c>
      <c r="CI775" t="s">
        <v>131</v>
      </c>
      <c r="CK775" t="s">
        <v>131</v>
      </c>
      <c r="CL775" t="str">
        <f>""</f>
        <v/>
      </c>
      <c r="CM775" t="str">
        <f>""</f>
        <v/>
      </c>
      <c r="CN775" t="str">
        <f>""</f>
        <v/>
      </c>
      <c r="CO775" t="str">
        <f>""</f>
        <v/>
      </c>
      <c r="CP775" t="str">
        <f>"35-2021.00"</f>
        <v>35-2021.00</v>
      </c>
      <c r="CQ775" t="s">
        <v>1749</v>
      </c>
      <c r="CR775" t="s">
        <v>2198</v>
      </c>
      <c r="CS775" t="s">
        <v>135</v>
      </c>
      <c r="CT775" t="s">
        <v>18364</v>
      </c>
      <c r="CU775" t="s">
        <v>18365</v>
      </c>
      <c r="CW775" t="s">
        <v>928</v>
      </c>
      <c r="CX775" t="s">
        <v>1512</v>
      </c>
      <c r="CZ775" s="3" t="str">
        <f>"97216"</f>
        <v>97216</v>
      </c>
      <c r="DA775" t="s">
        <v>135</v>
      </c>
      <c r="DB775" t="str">
        <f>"35-2021"</f>
        <v>35-2021</v>
      </c>
      <c r="DC775" t="s">
        <v>1749</v>
      </c>
      <c r="DD775" t="s">
        <v>134</v>
      </c>
      <c r="DE775" t="s">
        <v>134</v>
      </c>
      <c r="DF775" t="str">
        <f>""</f>
        <v/>
      </c>
      <c r="DH775" s="6">
        <v>14.27</v>
      </c>
      <c r="DI775" t="s">
        <v>344</v>
      </c>
      <c r="DK775" t="s">
        <v>345</v>
      </c>
      <c r="DS775" s="6">
        <v>14.27</v>
      </c>
      <c r="DT775" s="2" t="s">
        <v>347</v>
      </c>
      <c r="DU775" s="1">
        <v>44369</v>
      </c>
      <c r="DV775" s="1">
        <v>44458</v>
      </c>
    </row>
    <row r="776" spans="1:126" ht="15" customHeight="1" x14ac:dyDescent="0.35">
      <c r="A776" t="s">
        <v>19226</v>
      </c>
      <c r="B776" t="s">
        <v>318</v>
      </c>
      <c r="C776" s="1">
        <v>44341</v>
      </c>
      <c r="D776" s="1">
        <v>44369</v>
      </c>
      <c r="H776" t="s">
        <v>319</v>
      </c>
      <c r="I776" t="s">
        <v>19227</v>
      </c>
      <c r="J776" t="s">
        <v>13457</v>
      </c>
      <c r="L776" t="s">
        <v>395</v>
      </c>
      <c r="M776" t="s">
        <v>19228</v>
      </c>
      <c r="O776" t="s">
        <v>8343</v>
      </c>
      <c r="P776" t="s">
        <v>3075</v>
      </c>
      <c r="Q776" s="3">
        <v>83687</v>
      </c>
      <c r="R776" t="s">
        <v>128</v>
      </c>
      <c r="T776" s="4">
        <v>12088530808</v>
      </c>
      <c r="V776" t="s">
        <v>19229</v>
      </c>
      <c r="W776" t="s">
        <v>19230</v>
      </c>
      <c r="Y776" t="s">
        <v>19228</v>
      </c>
      <c r="AA776" t="s">
        <v>8343</v>
      </c>
      <c r="AB776" t="s">
        <v>1243</v>
      </c>
      <c r="AC776" s="3" t="str">
        <f>"83687"</f>
        <v>83687</v>
      </c>
      <c r="AD776" t="s">
        <v>128</v>
      </c>
      <c r="AF776" s="4">
        <v>12088530808</v>
      </c>
      <c r="AH776" t="str">
        <f>"56173"</f>
        <v>56173</v>
      </c>
      <c r="AI776" t="s">
        <v>287</v>
      </c>
      <c r="AJ776" t="s">
        <v>8995</v>
      </c>
      <c r="AK776" t="s">
        <v>9656</v>
      </c>
      <c r="AL776" t="s">
        <v>651</v>
      </c>
      <c r="AM776" t="s">
        <v>4714</v>
      </c>
      <c r="AN776" t="s">
        <v>2377</v>
      </c>
      <c r="AO776" t="s">
        <v>4815</v>
      </c>
      <c r="AP776" t="s">
        <v>1243</v>
      </c>
      <c r="AQ776" s="5">
        <v>83814</v>
      </c>
      <c r="AR776" t="s">
        <v>128</v>
      </c>
      <c r="AT776" s="4">
        <v>12087772654</v>
      </c>
      <c r="AV776" t="s">
        <v>9657</v>
      </c>
      <c r="AW776" t="s">
        <v>4715</v>
      </c>
      <c r="AX776" t="s">
        <v>131</v>
      </c>
      <c r="AY776" t="s">
        <v>131</v>
      </c>
      <c r="AZ776" t="s">
        <v>131</v>
      </c>
      <c r="BA776" t="s">
        <v>131</v>
      </c>
      <c r="BB776" t="s">
        <v>131</v>
      </c>
      <c r="BC776" t="s">
        <v>131</v>
      </c>
      <c r="BD776" t="s">
        <v>131</v>
      </c>
      <c r="BE776" t="s">
        <v>132</v>
      </c>
      <c r="BH776" t="s">
        <v>2215</v>
      </c>
      <c r="BI776" t="s">
        <v>131</v>
      </c>
      <c r="BL776" t="s">
        <v>167</v>
      </c>
      <c r="BO776" t="s">
        <v>131</v>
      </c>
      <c r="BP776" t="s">
        <v>134</v>
      </c>
      <c r="BQ776" t="s">
        <v>131</v>
      </c>
      <c r="BS776" t="str">
        <f t="shared" si="56"/>
        <v>N/A</v>
      </c>
      <c r="BT776" t="s">
        <v>131</v>
      </c>
      <c r="BV776" t="str">
        <f>""</f>
        <v/>
      </c>
      <c r="BW776" t="s">
        <v>135</v>
      </c>
      <c r="BX776" t="str">
        <f>""</f>
        <v/>
      </c>
      <c r="BY776" t="str">
        <f>""</f>
        <v/>
      </c>
      <c r="BZ776" t="str">
        <f>""</f>
        <v/>
      </c>
      <c r="CA776" t="s">
        <v>2054</v>
      </c>
      <c r="CB776" t="s">
        <v>131</v>
      </c>
      <c r="CF776" t="s">
        <v>131</v>
      </c>
      <c r="CH776" t="str">
        <f>""</f>
        <v/>
      </c>
      <c r="CI776" t="s">
        <v>131</v>
      </c>
      <c r="CK776" t="s">
        <v>131</v>
      </c>
      <c r="CL776" t="str">
        <f>""</f>
        <v/>
      </c>
      <c r="CM776" t="str">
        <f>""</f>
        <v/>
      </c>
      <c r="CN776" t="str">
        <f>""</f>
        <v/>
      </c>
      <c r="CO776" t="str">
        <f>""</f>
        <v/>
      </c>
      <c r="CP776" t="str">
        <f>"37-3011.00"</f>
        <v>37-3011.00</v>
      </c>
      <c r="CQ776" t="s">
        <v>920</v>
      </c>
      <c r="CR776" t="s">
        <v>2215</v>
      </c>
      <c r="CS776" t="s">
        <v>135</v>
      </c>
      <c r="CT776" t="s">
        <v>19231</v>
      </c>
      <c r="CU776" t="s">
        <v>19232</v>
      </c>
      <c r="CW776" t="s">
        <v>8343</v>
      </c>
      <c r="CX776" t="s">
        <v>1243</v>
      </c>
      <c r="CZ776" s="3" t="str">
        <f>"83687"</f>
        <v>83687</v>
      </c>
      <c r="DA776" t="s">
        <v>135</v>
      </c>
      <c r="DB776" t="str">
        <f>"37-3011"</f>
        <v>37-3011</v>
      </c>
      <c r="DC776" t="s">
        <v>920</v>
      </c>
      <c r="DD776" t="s">
        <v>134</v>
      </c>
      <c r="DE776" t="s">
        <v>134</v>
      </c>
      <c r="DF776" t="str">
        <f>""</f>
        <v/>
      </c>
      <c r="DH776" s="6">
        <v>15.53</v>
      </c>
      <c r="DI776" t="s">
        <v>344</v>
      </c>
      <c r="DK776" t="s">
        <v>345</v>
      </c>
      <c r="DS776" s="6">
        <v>17.03</v>
      </c>
      <c r="DT776" s="2" t="s">
        <v>347</v>
      </c>
      <c r="DU776" s="1">
        <v>44369</v>
      </c>
      <c r="DV776" s="1">
        <v>44458</v>
      </c>
    </row>
    <row r="777" spans="1:126" ht="15" customHeight="1" x14ac:dyDescent="0.35">
      <c r="A777" t="s">
        <v>16953</v>
      </c>
      <c r="B777" t="s">
        <v>318</v>
      </c>
      <c r="C777" s="1">
        <v>44341</v>
      </c>
      <c r="D777" s="1">
        <v>44369</v>
      </c>
      <c r="H777" t="s">
        <v>319</v>
      </c>
      <c r="I777" t="s">
        <v>16954</v>
      </c>
      <c r="J777" t="s">
        <v>1623</v>
      </c>
      <c r="L777" t="s">
        <v>2754</v>
      </c>
      <c r="M777" t="s">
        <v>16955</v>
      </c>
      <c r="O777" t="s">
        <v>16956</v>
      </c>
      <c r="P777" t="s">
        <v>629</v>
      </c>
      <c r="Q777" s="3">
        <v>39120</v>
      </c>
      <c r="R777" t="s">
        <v>128</v>
      </c>
      <c r="T777" s="4">
        <v>16014450004</v>
      </c>
      <c r="V777" t="s">
        <v>16957</v>
      </c>
      <c r="W777" t="s">
        <v>16958</v>
      </c>
      <c r="X777" t="s">
        <v>16959</v>
      </c>
      <c r="Y777" t="s">
        <v>16955</v>
      </c>
      <c r="AA777" t="s">
        <v>16956</v>
      </c>
      <c r="AB777" t="s">
        <v>630</v>
      </c>
      <c r="AC777" s="3" t="str">
        <f>"39120"</f>
        <v>39120</v>
      </c>
      <c r="AD777" t="s">
        <v>128</v>
      </c>
      <c r="AF777" s="4">
        <v>16014450004</v>
      </c>
      <c r="AH777" t="str">
        <f>"722511"</f>
        <v>722511</v>
      </c>
      <c r="AI777" t="s">
        <v>287</v>
      </c>
      <c r="AJ777" t="s">
        <v>8995</v>
      </c>
      <c r="AK777" t="s">
        <v>9656</v>
      </c>
      <c r="AL777" t="s">
        <v>651</v>
      </c>
      <c r="AM777" t="s">
        <v>4714</v>
      </c>
      <c r="AN777" t="s">
        <v>2377</v>
      </c>
      <c r="AO777" t="s">
        <v>4815</v>
      </c>
      <c r="AP777" t="s">
        <v>1243</v>
      </c>
      <c r="AQ777" s="5">
        <v>83814</v>
      </c>
      <c r="AR777" t="s">
        <v>128</v>
      </c>
      <c r="AT777" s="4">
        <v>12087772654</v>
      </c>
      <c r="AV777" t="s">
        <v>9657</v>
      </c>
      <c r="AW777" t="s">
        <v>4715</v>
      </c>
      <c r="AX777" t="s">
        <v>131</v>
      </c>
      <c r="AY777" t="s">
        <v>131</v>
      </c>
      <c r="AZ777" t="s">
        <v>131</v>
      </c>
      <c r="BA777" t="s">
        <v>131</v>
      </c>
      <c r="BB777" t="s">
        <v>131</v>
      </c>
      <c r="BC777" t="s">
        <v>131</v>
      </c>
      <c r="BD777" t="s">
        <v>131</v>
      </c>
      <c r="BE777" t="s">
        <v>132</v>
      </c>
      <c r="BH777" t="s">
        <v>1749</v>
      </c>
      <c r="BI777" t="s">
        <v>131</v>
      </c>
      <c r="BL777" t="s">
        <v>167</v>
      </c>
      <c r="BO777" t="s">
        <v>131</v>
      </c>
      <c r="BP777" t="s">
        <v>134</v>
      </c>
      <c r="BQ777" t="s">
        <v>131</v>
      </c>
      <c r="BS777" t="str">
        <f t="shared" si="56"/>
        <v>N/A</v>
      </c>
      <c r="BT777" t="s">
        <v>135</v>
      </c>
      <c r="BU777">
        <v>3</v>
      </c>
      <c r="BV777" t="str">
        <f>"Restaurant "</f>
        <v xml:space="preserve">Restaurant </v>
      </c>
      <c r="BW777" t="s">
        <v>135</v>
      </c>
      <c r="BX777" t="str">
        <f>""</f>
        <v/>
      </c>
      <c r="BY777" t="str">
        <f>""</f>
        <v/>
      </c>
      <c r="BZ777" t="str">
        <f>""</f>
        <v/>
      </c>
      <c r="CA777" t="s">
        <v>13661</v>
      </c>
      <c r="CB777" t="s">
        <v>131</v>
      </c>
      <c r="CF777" t="s">
        <v>131</v>
      </c>
      <c r="CH777" t="str">
        <f>""</f>
        <v/>
      </c>
      <c r="CI777" t="s">
        <v>131</v>
      </c>
      <c r="CK777" t="s">
        <v>131</v>
      </c>
      <c r="CL777" t="str">
        <f>""</f>
        <v/>
      </c>
      <c r="CM777" t="str">
        <f>""</f>
        <v/>
      </c>
      <c r="CN777" t="str">
        <f>""</f>
        <v/>
      </c>
      <c r="CO777" t="str">
        <f>""</f>
        <v/>
      </c>
      <c r="CP777" t="str">
        <f>"35-2021.00"</f>
        <v>35-2021.00</v>
      </c>
      <c r="CQ777" t="s">
        <v>1749</v>
      </c>
      <c r="CR777" t="s">
        <v>1749</v>
      </c>
      <c r="CS777" t="s">
        <v>131</v>
      </c>
      <c r="CU777" t="s">
        <v>16955</v>
      </c>
      <c r="CW777" t="s">
        <v>16956</v>
      </c>
      <c r="CX777" t="s">
        <v>630</v>
      </c>
      <c r="CZ777" s="3" t="str">
        <f>"39120"</f>
        <v>39120</v>
      </c>
      <c r="DA777" t="s">
        <v>131</v>
      </c>
      <c r="DB777" t="str">
        <f>"35-2021"</f>
        <v>35-2021</v>
      </c>
      <c r="DC777" t="s">
        <v>1749</v>
      </c>
      <c r="DD777" t="s">
        <v>134</v>
      </c>
      <c r="DE777" t="s">
        <v>134</v>
      </c>
      <c r="DF777" t="str">
        <f>""</f>
        <v/>
      </c>
      <c r="DH777" s="6">
        <v>9.44</v>
      </c>
      <c r="DI777" t="s">
        <v>344</v>
      </c>
      <c r="DK777" t="s">
        <v>345</v>
      </c>
      <c r="DR777" t="s">
        <v>16960</v>
      </c>
      <c r="DS777" s="6">
        <v>9.44</v>
      </c>
      <c r="DT777" t="s">
        <v>424</v>
      </c>
      <c r="DU777" s="1">
        <v>44369</v>
      </c>
      <c r="DV777" s="1">
        <v>44458</v>
      </c>
    </row>
    <row r="778" spans="1:126" ht="15" customHeight="1" x14ac:dyDescent="0.35">
      <c r="A778" t="s">
        <v>16391</v>
      </c>
      <c r="B778" t="s">
        <v>318</v>
      </c>
      <c r="C778" s="1">
        <v>44341</v>
      </c>
      <c r="D778" s="1">
        <v>44369</v>
      </c>
      <c r="H778" t="s">
        <v>319</v>
      </c>
      <c r="I778" t="s">
        <v>8132</v>
      </c>
      <c r="J778" t="s">
        <v>2703</v>
      </c>
      <c r="L778" t="s">
        <v>5805</v>
      </c>
      <c r="M778" t="s">
        <v>16392</v>
      </c>
      <c r="N778" t="s">
        <v>5378</v>
      </c>
      <c r="O778" t="s">
        <v>9167</v>
      </c>
      <c r="P778" t="s">
        <v>826</v>
      </c>
      <c r="Q778" s="3">
        <v>20707</v>
      </c>
      <c r="R778" t="s">
        <v>128</v>
      </c>
      <c r="T778" s="4">
        <v>13016042334</v>
      </c>
      <c r="V778" t="s">
        <v>16393</v>
      </c>
      <c r="W778" t="s">
        <v>16394</v>
      </c>
      <c r="Y778" t="s">
        <v>16392</v>
      </c>
      <c r="Z778" t="s">
        <v>5378</v>
      </c>
      <c r="AA778" t="s">
        <v>9167</v>
      </c>
      <c r="AB778" t="s">
        <v>382</v>
      </c>
      <c r="AC778" s="3" t="str">
        <f>"20707"</f>
        <v>20707</v>
      </c>
      <c r="AD778" t="s">
        <v>128</v>
      </c>
      <c r="AF778" s="4">
        <v>13016042334</v>
      </c>
      <c r="AH778" t="str">
        <f>"532289"</f>
        <v>532289</v>
      </c>
      <c r="AI778" t="s">
        <v>287</v>
      </c>
      <c r="AJ778" t="s">
        <v>8995</v>
      </c>
      <c r="AK778" t="s">
        <v>9656</v>
      </c>
      <c r="AL778" t="s">
        <v>651</v>
      </c>
      <c r="AM778" t="s">
        <v>4714</v>
      </c>
      <c r="AN778" t="s">
        <v>2377</v>
      </c>
      <c r="AO778" t="s">
        <v>4815</v>
      </c>
      <c r="AP778" t="s">
        <v>1243</v>
      </c>
      <c r="AQ778" s="5">
        <v>83814</v>
      </c>
      <c r="AR778" t="s">
        <v>128</v>
      </c>
      <c r="AT778" s="4">
        <v>12087772654</v>
      </c>
      <c r="AV778" t="s">
        <v>9657</v>
      </c>
      <c r="AW778" t="s">
        <v>4715</v>
      </c>
      <c r="AX778" t="s">
        <v>131</v>
      </c>
      <c r="AY778" t="s">
        <v>131</v>
      </c>
      <c r="AZ778" t="s">
        <v>131</v>
      </c>
      <c r="BA778" t="s">
        <v>131</v>
      </c>
      <c r="BB778" t="s">
        <v>131</v>
      </c>
      <c r="BC778" t="s">
        <v>131</v>
      </c>
      <c r="BD778" t="s">
        <v>131</v>
      </c>
      <c r="BE778" t="s">
        <v>132</v>
      </c>
      <c r="BH778" t="s">
        <v>16395</v>
      </c>
      <c r="BI778" t="s">
        <v>131</v>
      </c>
      <c r="BL778" t="s">
        <v>167</v>
      </c>
      <c r="BO778" t="s">
        <v>131</v>
      </c>
      <c r="BP778" t="s">
        <v>134</v>
      </c>
      <c r="BQ778" t="s">
        <v>131</v>
      </c>
      <c r="BS778" t="str">
        <f t="shared" si="56"/>
        <v>N/A</v>
      </c>
      <c r="BT778" t="s">
        <v>131</v>
      </c>
      <c r="BV778" t="str">
        <f>""</f>
        <v/>
      </c>
      <c r="BW778" t="s">
        <v>135</v>
      </c>
      <c r="BX778" t="str">
        <f>""</f>
        <v/>
      </c>
      <c r="BY778" t="str">
        <f>""</f>
        <v/>
      </c>
      <c r="BZ778" t="str">
        <f>""</f>
        <v/>
      </c>
      <c r="CA778" t="s">
        <v>2054</v>
      </c>
      <c r="CB778" t="s">
        <v>131</v>
      </c>
      <c r="CF778" t="s">
        <v>131</v>
      </c>
      <c r="CH778" t="str">
        <f>""</f>
        <v/>
      </c>
      <c r="CI778" t="s">
        <v>131</v>
      </c>
      <c r="CK778" t="s">
        <v>131</v>
      </c>
      <c r="CL778" t="str">
        <f>""</f>
        <v/>
      </c>
      <c r="CM778" t="str">
        <f>""</f>
        <v/>
      </c>
      <c r="CN778" t="str">
        <f>""</f>
        <v/>
      </c>
      <c r="CO778" t="str">
        <f>""</f>
        <v/>
      </c>
      <c r="CP778" t="str">
        <f>"39-3091.00"</f>
        <v>39-3091.00</v>
      </c>
      <c r="CQ778" t="s">
        <v>1374</v>
      </c>
      <c r="CR778" t="s">
        <v>16395</v>
      </c>
      <c r="CS778" t="s">
        <v>135</v>
      </c>
      <c r="CT778" t="s">
        <v>16396</v>
      </c>
      <c r="CU778" t="s">
        <v>16397</v>
      </c>
      <c r="CV778" t="s">
        <v>5378</v>
      </c>
      <c r="CW778" t="s">
        <v>9167</v>
      </c>
      <c r="CX778" t="s">
        <v>382</v>
      </c>
      <c r="CZ778" s="3" t="str">
        <f>"20707"</f>
        <v>20707</v>
      </c>
      <c r="DA778" t="s">
        <v>135</v>
      </c>
      <c r="DB778" t="str">
        <f>"39-3091"</f>
        <v>39-3091</v>
      </c>
      <c r="DC778" t="s">
        <v>1374</v>
      </c>
      <c r="DD778" t="s">
        <v>134</v>
      </c>
      <c r="DE778" t="s">
        <v>134</v>
      </c>
      <c r="DF778" t="str">
        <f>""</f>
        <v/>
      </c>
      <c r="DH778" s="6">
        <v>11.46</v>
      </c>
      <c r="DI778" t="s">
        <v>344</v>
      </c>
      <c r="DK778" t="s">
        <v>345</v>
      </c>
      <c r="DS778" s="6">
        <v>13.25</v>
      </c>
      <c r="DT778" s="2" t="s">
        <v>347</v>
      </c>
      <c r="DU778" s="1">
        <v>44369</v>
      </c>
      <c r="DV778" s="1">
        <v>44458</v>
      </c>
    </row>
    <row r="779" spans="1:126" ht="15" customHeight="1" x14ac:dyDescent="0.35">
      <c r="A779" t="s">
        <v>13023</v>
      </c>
      <c r="B779" t="s">
        <v>318</v>
      </c>
      <c r="C779" s="1">
        <v>44341</v>
      </c>
      <c r="D779" s="1">
        <v>44369</v>
      </c>
      <c r="H779" t="s">
        <v>319</v>
      </c>
      <c r="I779" t="s">
        <v>4633</v>
      </c>
      <c r="J779" t="s">
        <v>13024</v>
      </c>
      <c r="L779" t="s">
        <v>587</v>
      </c>
      <c r="M779" t="s">
        <v>13025</v>
      </c>
      <c r="N779" t="s">
        <v>13026</v>
      </c>
      <c r="O779" t="s">
        <v>13027</v>
      </c>
      <c r="P779" t="s">
        <v>826</v>
      </c>
      <c r="Q779" s="3">
        <v>21793</v>
      </c>
      <c r="R779" t="s">
        <v>128</v>
      </c>
      <c r="T779" s="4">
        <v>13016847018</v>
      </c>
      <c r="V779" t="s">
        <v>13028</v>
      </c>
      <c r="W779" t="s">
        <v>13029</v>
      </c>
      <c r="Y779" t="s">
        <v>13025</v>
      </c>
      <c r="Z779" t="s">
        <v>13026</v>
      </c>
      <c r="AA779" t="s">
        <v>13027</v>
      </c>
      <c r="AB779" t="s">
        <v>382</v>
      </c>
      <c r="AC779" s="3" t="str">
        <f>"21793"</f>
        <v>21793</v>
      </c>
      <c r="AD779" t="s">
        <v>128</v>
      </c>
      <c r="AF779" s="4">
        <v>13016847018</v>
      </c>
      <c r="AH779" t="str">
        <f>"532289"</f>
        <v>532289</v>
      </c>
      <c r="AI779" t="s">
        <v>287</v>
      </c>
      <c r="AJ779" t="s">
        <v>8995</v>
      </c>
      <c r="AK779" t="s">
        <v>9656</v>
      </c>
      <c r="AL779" t="s">
        <v>651</v>
      </c>
      <c r="AM779" t="s">
        <v>4714</v>
      </c>
      <c r="AN779" t="s">
        <v>2377</v>
      </c>
      <c r="AO779" t="s">
        <v>4815</v>
      </c>
      <c r="AP779" t="s">
        <v>1243</v>
      </c>
      <c r="AQ779" s="5">
        <v>83814</v>
      </c>
      <c r="AR779" t="s">
        <v>128</v>
      </c>
      <c r="AT779" s="4">
        <v>12087772654</v>
      </c>
      <c r="AV779" t="s">
        <v>9657</v>
      </c>
      <c r="AW779" t="s">
        <v>4715</v>
      </c>
      <c r="AX779" t="s">
        <v>131</v>
      </c>
      <c r="AY779" t="s">
        <v>131</v>
      </c>
      <c r="AZ779" t="s">
        <v>131</v>
      </c>
      <c r="BA779" t="s">
        <v>131</v>
      </c>
      <c r="BB779" t="s">
        <v>131</v>
      </c>
      <c r="BC779" t="s">
        <v>131</v>
      </c>
      <c r="BD779" t="s">
        <v>131</v>
      </c>
      <c r="BE779" t="s">
        <v>132</v>
      </c>
      <c r="BH779" t="s">
        <v>13030</v>
      </c>
      <c r="BI779" t="s">
        <v>131</v>
      </c>
      <c r="BL779" t="s">
        <v>167</v>
      </c>
      <c r="BO779" t="s">
        <v>131</v>
      </c>
      <c r="BP779" t="s">
        <v>134</v>
      </c>
      <c r="BQ779" t="s">
        <v>131</v>
      </c>
      <c r="BS779" t="str">
        <f t="shared" si="56"/>
        <v>N/A</v>
      </c>
      <c r="BT779" t="s">
        <v>131</v>
      </c>
      <c r="BV779" t="str">
        <f>""</f>
        <v/>
      </c>
      <c r="BW779" t="s">
        <v>135</v>
      </c>
      <c r="BX779" t="str">
        <f>""</f>
        <v/>
      </c>
      <c r="BY779" t="str">
        <f>""</f>
        <v/>
      </c>
      <c r="BZ779" t="str">
        <f>""</f>
        <v/>
      </c>
      <c r="CA779" t="s">
        <v>10062</v>
      </c>
      <c r="CB779" t="s">
        <v>131</v>
      </c>
      <c r="CF779" t="s">
        <v>131</v>
      </c>
      <c r="CH779" t="str">
        <f>""</f>
        <v/>
      </c>
      <c r="CI779" t="s">
        <v>131</v>
      </c>
      <c r="CK779" t="s">
        <v>131</v>
      </c>
      <c r="CL779" t="str">
        <f>""</f>
        <v/>
      </c>
      <c r="CM779" t="str">
        <f>""</f>
        <v/>
      </c>
      <c r="CN779" t="str">
        <f>""</f>
        <v/>
      </c>
      <c r="CO779" t="str">
        <f>""</f>
        <v/>
      </c>
      <c r="CP779" t="str">
        <f>"53-7062.00"</f>
        <v>53-7062.00</v>
      </c>
      <c r="CQ779" t="s">
        <v>1030</v>
      </c>
      <c r="CR779" t="s">
        <v>13030</v>
      </c>
      <c r="CS779" t="s">
        <v>135</v>
      </c>
      <c r="CT779" t="s">
        <v>13031</v>
      </c>
      <c r="CU779" t="s">
        <v>13032</v>
      </c>
      <c r="CV779" t="s">
        <v>2136</v>
      </c>
      <c r="CW779" t="s">
        <v>13033</v>
      </c>
      <c r="CX779" t="s">
        <v>382</v>
      </c>
      <c r="CZ779" s="3" t="str">
        <f>"21793"</f>
        <v>21793</v>
      </c>
      <c r="DA779" t="s">
        <v>135</v>
      </c>
      <c r="DB779" t="str">
        <f>"53-7062"</f>
        <v>53-7062</v>
      </c>
      <c r="DC779" t="s">
        <v>1030</v>
      </c>
      <c r="DD779" t="s">
        <v>134</v>
      </c>
      <c r="DE779" t="s">
        <v>134</v>
      </c>
      <c r="DF779" t="str">
        <f>""</f>
        <v/>
      </c>
      <c r="DH779" s="6">
        <v>15.21</v>
      </c>
      <c r="DI779" t="s">
        <v>344</v>
      </c>
      <c r="DK779" t="s">
        <v>345</v>
      </c>
      <c r="DS779" s="6">
        <v>16.48</v>
      </c>
      <c r="DT779" s="2" t="s">
        <v>347</v>
      </c>
      <c r="DU779" s="1">
        <v>44369</v>
      </c>
      <c r="DV779" s="1">
        <v>44458</v>
      </c>
    </row>
    <row r="780" spans="1:126" ht="15" customHeight="1" x14ac:dyDescent="0.35">
      <c r="A780" t="s">
        <v>20160</v>
      </c>
      <c r="B780" t="s">
        <v>318</v>
      </c>
      <c r="C780" s="1">
        <v>44341</v>
      </c>
      <c r="D780" s="1">
        <v>44369</v>
      </c>
      <c r="H780" t="s">
        <v>319</v>
      </c>
      <c r="I780" t="s">
        <v>7011</v>
      </c>
      <c r="J780" t="s">
        <v>5893</v>
      </c>
      <c r="L780" t="s">
        <v>1031</v>
      </c>
      <c r="M780" t="s">
        <v>20161</v>
      </c>
      <c r="O780" t="s">
        <v>1513</v>
      </c>
      <c r="P780" t="s">
        <v>1174</v>
      </c>
      <c r="Q780" s="3">
        <v>97338</v>
      </c>
      <c r="R780" t="s">
        <v>128</v>
      </c>
      <c r="T780" s="4">
        <v>15039495755</v>
      </c>
      <c r="V780" t="s">
        <v>20162</v>
      </c>
      <c r="W780" t="s">
        <v>20163</v>
      </c>
      <c r="Y780" t="s">
        <v>20161</v>
      </c>
      <c r="AA780" t="s">
        <v>1513</v>
      </c>
      <c r="AB780" t="s">
        <v>1512</v>
      </c>
      <c r="AC780" s="3" t="str">
        <f>"97338"</f>
        <v>97338</v>
      </c>
      <c r="AD780" t="s">
        <v>128</v>
      </c>
      <c r="AF780" s="4">
        <v>15039495755</v>
      </c>
      <c r="AH780" t="str">
        <f>"11531"</f>
        <v>11531</v>
      </c>
      <c r="AI780" t="s">
        <v>287</v>
      </c>
      <c r="AJ780" t="s">
        <v>5987</v>
      </c>
      <c r="AK780" t="s">
        <v>1756</v>
      </c>
      <c r="AM780" t="s">
        <v>5933</v>
      </c>
      <c r="AO780" t="s">
        <v>10230</v>
      </c>
      <c r="AP780" t="s">
        <v>1243</v>
      </c>
      <c r="AQ780" s="5">
        <v>83815</v>
      </c>
      <c r="AR780" t="s">
        <v>128</v>
      </c>
      <c r="AT780" s="4">
        <v>12089303246</v>
      </c>
      <c r="AV780" t="s">
        <v>5935</v>
      </c>
      <c r="AW780" t="s">
        <v>5936</v>
      </c>
      <c r="AX780" t="s">
        <v>131</v>
      </c>
      <c r="AY780" t="s">
        <v>131</v>
      </c>
      <c r="AZ780" t="s">
        <v>131</v>
      </c>
      <c r="BA780" t="s">
        <v>131</v>
      </c>
      <c r="BB780" t="s">
        <v>131</v>
      </c>
      <c r="BC780" t="s">
        <v>131</v>
      </c>
      <c r="BD780" t="s">
        <v>131</v>
      </c>
      <c r="BE780" t="s">
        <v>132</v>
      </c>
      <c r="BH780" t="s">
        <v>5937</v>
      </c>
      <c r="BI780" t="s">
        <v>131</v>
      </c>
      <c r="BL780" t="s">
        <v>167</v>
      </c>
      <c r="BO780" t="s">
        <v>131</v>
      </c>
      <c r="BP780" t="s">
        <v>134</v>
      </c>
      <c r="BQ780" t="s">
        <v>131</v>
      </c>
      <c r="BS780" t="str">
        <f t="shared" si="56"/>
        <v>N/A</v>
      </c>
      <c r="BT780" t="s">
        <v>131</v>
      </c>
      <c r="BV780" t="str">
        <f>""</f>
        <v/>
      </c>
      <c r="BW780" t="s">
        <v>131</v>
      </c>
      <c r="BX780" t="str">
        <f>""</f>
        <v/>
      </c>
      <c r="BY780" t="str">
        <f>""</f>
        <v/>
      </c>
      <c r="BZ780" t="str">
        <f>""</f>
        <v/>
      </c>
      <c r="CA780" t="str">
        <f>""</f>
        <v/>
      </c>
      <c r="CB780" t="s">
        <v>131</v>
      </c>
      <c r="CF780" t="s">
        <v>131</v>
      </c>
      <c r="CH780" t="str">
        <f>""</f>
        <v/>
      </c>
      <c r="CI780" t="s">
        <v>131</v>
      </c>
      <c r="CK780" t="s">
        <v>131</v>
      </c>
      <c r="CL780" t="str">
        <f>""</f>
        <v/>
      </c>
      <c r="CM780" t="str">
        <f>""</f>
        <v/>
      </c>
      <c r="CN780" t="str">
        <f>""</f>
        <v/>
      </c>
      <c r="CO780" t="str">
        <f>""</f>
        <v/>
      </c>
      <c r="CP780" t="str">
        <f>"45-4011.00"</f>
        <v>45-4011.00</v>
      </c>
      <c r="CQ780" t="s">
        <v>4310</v>
      </c>
      <c r="CR780" t="s">
        <v>5068</v>
      </c>
      <c r="CS780" t="s">
        <v>135</v>
      </c>
      <c r="CT780" t="s">
        <v>20164</v>
      </c>
      <c r="CU780" t="s">
        <v>20165</v>
      </c>
      <c r="CW780" t="s">
        <v>1513</v>
      </c>
      <c r="CX780" t="s">
        <v>1512</v>
      </c>
      <c r="CZ780" s="3" t="str">
        <f>"97338"</f>
        <v>97338</v>
      </c>
      <c r="DA780" t="s">
        <v>135</v>
      </c>
      <c r="DB780" t="str">
        <f>"45-4011"</f>
        <v>45-4011</v>
      </c>
      <c r="DC780" t="s">
        <v>4310</v>
      </c>
      <c r="DD780" t="s">
        <v>134</v>
      </c>
      <c r="DE780" t="s">
        <v>134</v>
      </c>
      <c r="DF780" t="str">
        <f>""</f>
        <v/>
      </c>
      <c r="DH780" s="6">
        <v>16.8</v>
      </c>
      <c r="DI780" t="s">
        <v>344</v>
      </c>
      <c r="DK780" t="s">
        <v>345</v>
      </c>
      <c r="DS780" s="6">
        <v>18.899999999999999</v>
      </c>
      <c r="DT780" s="2" t="s">
        <v>347</v>
      </c>
      <c r="DU780" s="1">
        <v>44369</v>
      </c>
      <c r="DV780" s="1">
        <v>44458</v>
      </c>
    </row>
    <row r="781" spans="1:126" ht="15" customHeight="1" x14ac:dyDescent="0.35">
      <c r="A781" t="s">
        <v>9832</v>
      </c>
      <c r="B781" t="s">
        <v>318</v>
      </c>
      <c r="C781" s="1">
        <v>44341</v>
      </c>
      <c r="D781" s="1">
        <v>44369</v>
      </c>
      <c r="H781" t="s">
        <v>319</v>
      </c>
      <c r="I781" t="s">
        <v>9833</v>
      </c>
      <c r="J781" t="s">
        <v>9834</v>
      </c>
      <c r="L781" t="s">
        <v>287</v>
      </c>
      <c r="M781" t="s">
        <v>9835</v>
      </c>
      <c r="N781" t="s">
        <v>1072</v>
      </c>
      <c r="O781" t="s">
        <v>817</v>
      </c>
      <c r="P781" t="s">
        <v>818</v>
      </c>
      <c r="Q781" s="3">
        <v>30093</v>
      </c>
      <c r="R781" t="s">
        <v>128</v>
      </c>
      <c r="T781" s="4">
        <v>16783361260</v>
      </c>
      <c r="V781" t="s">
        <v>9836</v>
      </c>
      <c r="W781" t="s">
        <v>9837</v>
      </c>
      <c r="X781" t="s">
        <v>9838</v>
      </c>
      <c r="Y781" t="s">
        <v>9839</v>
      </c>
      <c r="AA781" t="s">
        <v>642</v>
      </c>
      <c r="AB781" t="s">
        <v>643</v>
      </c>
      <c r="AC781" s="3" t="str">
        <f>"30340"</f>
        <v>30340</v>
      </c>
      <c r="AD781" t="s">
        <v>128</v>
      </c>
      <c r="AF781" s="4">
        <v>17704091515</v>
      </c>
      <c r="AH781" t="str">
        <f>"561730"</f>
        <v>561730</v>
      </c>
      <c r="AI781" t="s">
        <v>167</v>
      </c>
      <c r="AX781" t="s">
        <v>131</v>
      </c>
      <c r="AY781" t="s">
        <v>131</v>
      </c>
      <c r="AZ781" t="s">
        <v>131</v>
      </c>
      <c r="BA781" t="s">
        <v>131</v>
      </c>
      <c r="BB781" t="s">
        <v>131</v>
      </c>
      <c r="BC781" t="s">
        <v>131</v>
      </c>
      <c r="BD781" t="s">
        <v>131</v>
      </c>
      <c r="BE781" t="s">
        <v>132</v>
      </c>
      <c r="BH781" t="s">
        <v>920</v>
      </c>
      <c r="BI781" t="s">
        <v>131</v>
      </c>
      <c r="BL781" t="s">
        <v>167</v>
      </c>
      <c r="BO781" t="s">
        <v>131</v>
      </c>
      <c r="BP781" t="s">
        <v>134</v>
      </c>
      <c r="BQ781" t="s">
        <v>131</v>
      </c>
      <c r="BS781" t="str">
        <f t="shared" si="56"/>
        <v>N/A</v>
      </c>
      <c r="BT781" t="s">
        <v>131</v>
      </c>
      <c r="BV781" t="str">
        <f>""</f>
        <v/>
      </c>
      <c r="BW781" t="s">
        <v>135</v>
      </c>
      <c r="BX781" t="str">
        <f>""</f>
        <v/>
      </c>
      <c r="BY781" t="str">
        <f>""</f>
        <v/>
      </c>
      <c r="BZ781" t="str">
        <f>""</f>
        <v/>
      </c>
      <c r="CA781" t="str">
        <f>"Must be able to work in fluctuating weather conditions"</f>
        <v>Must be able to work in fluctuating weather conditions</v>
      </c>
      <c r="CB781" t="s">
        <v>131</v>
      </c>
      <c r="CF781" t="s">
        <v>131</v>
      </c>
      <c r="CH781" t="str">
        <f>""</f>
        <v/>
      </c>
      <c r="CI781" t="s">
        <v>131</v>
      </c>
      <c r="CK781" t="s">
        <v>131</v>
      </c>
      <c r="CL781" t="str">
        <f>""</f>
        <v/>
      </c>
      <c r="CM781" t="str">
        <f>""</f>
        <v/>
      </c>
      <c r="CN781" t="str">
        <f>""</f>
        <v/>
      </c>
      <c r="CO781" t="str">
        <f>""</f>
        <v/>
      </c>
      <c r="CP781" t="str">
        <f>"37-3011.00"</f>
        <v>37-3011.00</v>
      </c>
      <c r="CQ781" t="s">
        <v>920</v>
      </c>
      <c r="CR781" t="s">
        <v>918</v>
      </c>
      <c r="CS781" t="s">
        <v>135</v>
      </c>
      <c r="CT781" t="s">
        <v>9840</v>
      </c>
      <c r="CU781" t="s">
        <v>9839</v>
      </c>
      <c r="CW781" t="s">
        <v>642</v>
      </c>
      <c r="CX781" t="s">
        <v>643</v>
      </c>
      <c r="CZ781" s="3" t="str">
        <f>"30040"</f>
        <v>30040</v>
      </c>
      <c r="DA781" t="s">
        <v>135</v>
      </c>
      <c r="DB781" t="str">
        <f>"37-3011"</f>
        <v>37-3011</v>
      </c>
      <c r="DC781" t="s">
        <v>920</v>
      </c>
      <c r="DD781" t="s">
        <v>134</v>
      </c>
      <c r="DE781" t="s">
        <v>134</v>
      </c>
      <c r="DF781" t="str">
        <f>""</f>
        <v/>
      </c>
      <c r="DH781" s="6">
        <v>14.72</v>
      </c>
      <c r="DI781" t="s">
        <v>344</v>
      </c>
      <c r="DK781" t="s">
        <v>345</v>
      </c>
      <c r="DS781" s="6">
        <v>14.85</v>
      </c>
      <c r="DT781" s="2" t="s">
        <v>347</v>
      </c>
      <c r="DU781" s="1">
        <v>44369</v>
      </c>
      <c r="DV781" s="1">
        <v>44458</v>
      </c>
    </row>
    <row r="782" spans="1:126" ht="15" customHeight="1" x14ac:dyDescent="0.35">
      <c r="A782" t="s">
        <v>18132</v>
      </c>
      <c r="B782" t="s">
        <v>318</v>
      </c>
      <c r="C782" s="1">
        <v>44342</v>
      </c>
      <c r="D782" s="1">
        <v>44369</v>
      </c>
      <c r="H782" t="s">
        <v>319</v>
      </c>
      <c r="I782" t="s">
        <v>15134</v>
      </c>
      <c r="J782" t="s">
        <v>926</v>
      </c>
      <c r="K782" t="s">
        <v>354</v>
      </c>
      <c r="L782" t="s">
        <v>7750</v>
      </c>
      <c r="M782" t="s">
        <v>1002</v>
      </c>
      <c r="O782" t="s">
        <v>1003</v>
      </c>
      <c r="P782" t="s">
        <v>1004</v>
      </c>
      <c r="Q782" s="3">
        <v>84092</v>
      </c>
      <c r="R782" t="s">
        <v>128</v>
      </c>
      <c r="S782" t="s">
        <v>134</v>
      </c>
      <c r="T782" s="4">
        <v>18019478245</v>
      </c>
      <c r="V782" t="s">
        <v>1005</v>
      </c>
      <c r="W782" t="s">
        <v>1006</v>
      </c>
      <c r="X782" t="s">
        <v>15135</v>
      </c>
      <c r="Y782" t="s">
        <v>18133</v>
      </c>
      <c r="AA782" t="s">
        <v>1003</v>
      </c>
      <c r="AB782" t="s">
        <v>1008</v>
      </c>
      <c r="AC782" s="3" t="str">
        <f>"84092"</f>
        <v>84092</v>
      </c>
      <c r="AD782" t="s">
        <v>128</v>
      </c>
      <c r="AE782" t="s">
        <v>134</v>
      </c>
      <c r="AF782" s="4">
        <v>18019332222</v>
      </c>
      <c r="AH782" t="str">
        <f>"721110"</f>
        <v>721110</v>
      </c>
      <c r="AI782" t="s">
        <v>130</v>
      </c>
      <c r="AJ782" t="s">
        <v>1009</v>
      </c>
      <c r="AK782" t="s">
        <v>1010</v>
      </c>
      <c r="AM782" t="s">
        <v>1011</v>
      </c>
      <c r="AN782" t="s">
        <v>16553</v>
      </c>
      <c r="AO782" t="s">
        <v>1012</v>
      </c>
      <c r="AP782" t="s">
        <v>1008</v>
      </c>
      <c r="AQ782" s="5">
        <v>84111</v>
      </c>
      <c r="AR782" t="s">
        <v>128</v>
      </c>
      <c r="AT782" s="4">
        <v>18015312015</v>
      </c>
      <c r="AV782" t="s">
        <v>1013</v>
      </c>
      <c r="AW782" t="s">
        <v>18134</v>
      </c>
      <c r="AX782" t="s">
        <v>131</v>
      </c>
      <c r="AY782" t="s">
        <v>131</v>
      </c>
      <c r="AZ782" t="s">
        <v>131</v>
      </c>
      <c r="BA782" t="s">
        <v>131</v>
      </c>
      <c r="BB782" t="s">
        <v>131</v>
      </c>
      <c r="BC782" t="s">
        <v>131</v>
      </c>
      <c r="BD782" t="s">
        <v>131</v>
      </c>
      <c r="BE782" t="s">
        <v>132</v>
      </c>
      <c r="BH782" t="s">
        <v>1639</v>
      </c>
      <c r="BI782" t="s">
        <v>131</v>
      </c>
      <c r="BL782" t="s">
        <v>167</v>
      </c>
      <c r="BO782" t="s">
        <v>131</v>
      </c>
      <c r="BP782" t="s">
        <v>134</v>
      </c>
      <c r="BQ782" t="s">
        <v>131</v>
      </c>
      <c r="BS782" t="str">
        <f t="shared" si="56"/>
        <v>N/A</v>
      </c>
      <c r="BT782" t="s">
        <v>131</v>
      </c>
      <c r="BV782" t="str">
        <f>""</f>
        <v/>
      </c>
      <c r="BW782" t="s">
        <v>131</v>
      </c>
      <c r="BX782" t="str">
        <f>""</f>
        <v/>
      </c>
      <c r="BY782" t="str">
        <f>""</f>
        <v/>
      </c>
      <c r="BZ782" t="str">
        <f>""</f>
        <v/>
      </c>
      <c r="CA782" t="str">
        <f>""</f>
        <v/>
      </c>
      <c r="CB782" t="s">
        <v>131</v>
      </c>
      <c r="CF782" t="s">
        <v>131</v>
      </c>
      <c r="CH782" t="str">
        <f>""</f>
        <v/>
      </c>
      <c r="CI782" t="s">
        <v>131</v>
      </c>
      <c r="CK782" t="s">
        <v>131</v>
      </c>
      <c r="CL782" t="str">
        <f>""</f>
        <v/>
      </c>
      <c r="CM782" t="str">
        <f>""</f>
        <v/>
      </c>
      <c r="CN782" t="str">
        <f>""</f>
        <v/>
      </c>
      <c r="CO782" t="str">
        <f>""</f>
        <v/>
      </c>
      <c r="CP782" t="str">
        <f>"37-2012.00"</f>
        <v>37-2012.00</v>
      </c>
      <c r="CQ782" t="s">
        <v>479</v>
      </c>
      <c r="CR782" t="s">
        <v>1639</v>
      </c>
      <c r="CS782" t="s">
        <v>131</v>
      </c>
      <c r="CU782" t="s">
        <v>1002</v>
      </c>
      <c r="CW782" t="s">
        <v>1003</v>
      </c>
      <c r="CX782" t="s">
        <v>1008</v>
      </c>
      <c r="CZ782" s="3" t="str">
        <f>"84092"</f>
        <v>84092</v>
      </c>
      <c r="DA782" t="s">
        <v>131</v>
      </c>
      <c r="DB782" t="str">
        <f>"37-2012"</f>
        <v>37-2012</v>
      </c>
      <c r="DC782" t="s">
        <v>479</v>
      </c>
      <c r="DD782" t="s">
        <v>134</v>
      </c>
      <c r="DE782" t="s">
        <v>134</v>
      </c>
      <c r="DF782" t="str">
        <f>""</f>
        <v/>
      </c>
      <c r="DH782" s="6">
        <v>12.61</v>
      </c>
      <c r="DI782" t="s">
        <v>344</v>
      </c>
      <c r="DK782" t="s">
        <v>345</v>
      </c>
      <c r="DR782" t="s">
        <v>15138</v>
      </c>
      <c r="DS782" s="6">
        <v>12.61</v>
      </c>
      <c r="DT782" t="s">
        <v>424</v>
      </c>
      <c r="DU782" s="1">
        <v>44369</v>
      </c>
      <c r="DV782" s="1">
        <v>44458</v>
      </c>
    </row>
    <row r="783" spans="1:126" ht="15" customHeight="1" x14ac:dyDescent="0.35">
      <c r="A783" t="s">
        <v>999</v>
      </c>
      <c r="B783" t="s">
        <v>318</v>
      </c>
      <c r="C783" s="1">
        <v>44342</v>
      </c>
      <c r="D783" s="1">
        <v>44369</v>
      </c>
      <c r="H783" t="s">
        <v>319</v>
      </c>
      <c r="I783" t="s">
        <v>1000</v>
      </c>
      <c r="J783" t="s">
        <v>926</v>
      </c>
      <c r="K783" t="s">
        <v>354</v>
      </c>
      <c r="L783" t="s">
        <v>1001</v>
      </c>
      <c r="M783" t="s">
        <v>1002</v>
      </c>
      <c r="O783" t="s">
        <v>1003</v>
      </c>
      <c r="P783" t="s">
        <v>1004</v>
      </c>
      <c r="Q783" s="3">
        <v>84092</v>
      </c>
      <c r="R783" t="s">
        <v>128</v>
      </c>
      <c r="S783" t="s">
        <v>134</v>
      </c>
      <c r="T783" s="4">
        <v>18019478245</v>
      </c>
      <c r="V783" t="s">
        <v>1005</v>
      </c>
      <c r="W783" t="s">
        <v>1006</v>
      </c>
      <c r="X783" t="s">
        <v>1007</v>
      </c>
      <c r="Y783" t="s">
        <v>1002</v>
      </c>
      <c r="AA783" t="s">
        <v>1003</v>
      </c>
      <c r="AB783" t="s">
        <v>1008</v>
      </c>
      <c r="AC783" s="3" t="str">
        <f>"84092"</f>
        <v>84092</v>
      </c>
      <c r="AD783" t="s">
        <v>128</v>
      </c>
      <c r="AE783" t="s">
        <v>134</v>
      </c>
      <c r="AF783" s="4">
        <v>18019332222</v>
      </c>
      <c r="AH783" t="str">
        <f>"721110"</f>
        <v>721110</v>
      </c>
      <c r="AI783" t="s">
        <v>130</v>
      </c>
      <c r="AJ783" t="s">
        <v>1009</v>
      </c>
      <c r="AK783" t="s">
        <v>1010</v>
      </c>
      <c r="AM783" t="s">
        <v>1011</v>
      </c>
      <c r="AO783" t="s">
        <v>1012</v>
      </c>
      <c r="AP783" t="s">
        <v>1008</v>
      </c>
      <c r="AQ783" s="5">
        <v>84111</v>
      </c>
      <c r="AR783" t="s">
        <v>128</v>
      </c>
      <c r="AT783" s="4">
        <v>18015312015</v>
      </c>
      <c r="AV783" t="s">
        <v>1013</v>
      </c>
      <c r="AW783" t="s">
        <v>1014</v>
      </c>
      <c r="AX783" t="s">
        <v>131</v>
      </c>
      <c r="AY783" t="s">
        <v>131</v>
      </c>
      <c r="AZ783" t="s">
        <v>131</v>
      </c>
      <c r="BA783" t="s">
        <v>131</v>
      </c>
      <c r="BB783" t="s">
        <v>131</v>
      </c>
      <c r="BC783" t="s">
        <v>131</v>
      </c>
      <c r="BD783" t="s">
        <v>131</v>
      </c>
      <c r="BE783" t="s">
        <v>132</v>
      </c>
      <c r="BH783" t="s">
        <v>1015</v>
      </c>
      <c r="BI783" t="s">
        <v>131</v>
      </c>
      <c r="BL783" t="s">
        <v>167</v>
      </c>
      <c r="BO783" t="s">
        <v>131</v>
      </c>
      <c r="BP783" t="s">
        <v>134</v>
      </c>
      <c r="BQ783" t="s">
        <v>131</v>
      </c>
      <c r="BS783" t="str">
        <f t="shared" si="56"/>
        <v>N/A</v>
      </c>
      <c r="BT783" t="s">
        <v>131</v>
      </c>
      <c r="BV783" t="str">
        <f>""</f>
        <v/>
      </c>
      <c r="BW783" t="s">
        <v>131</v>
      </c>
      <c r="BX783" t="str">
        <f>""</f>
        <v/>
      </c>
      <c r="BY783" t="str">
        <f>""</f>
        <v/>
      </c>
      <c r="BZ783" t="str">
        <f>""</f>
        <v/>
      </c>
      <c r="CA783" t="str">
        <f>""</f>
        <v/>
      </c>
      <c r="CB783" t="s">
        <v>131</v>
      </c>
      <c r="CF783" t="s">
        <v>131</v>
      </c>
      <c r="CH783" t="str">
        <f>""</f>
        <v/>
      </c>
      <c r="CI783" t="s">
        <v>131</v>
      </c>
      <c r="CK783" t="s">
        <v>131</v>
      </c>
      <c r="CL783" t="str">
        <f>""</f>
        <v/>
      </c>
      <c r="CM783" t="str">
        <f>""</f>
        <v/>
      </c>
      <c r="CN783" t="str">
        <f>""</f>
        <v/>
      </c>
      <c r="CO783" t="str">
        <f>""</f>
        <v/>
      </c>
      <c r="CP783" t="str">
        <f>"35-9011.00"</f>
        <v>35-9011.00</v>
      </c>
      <c r="CQ783" t="s">
        <v>1016</v>
      </c>
      <c r="CR783" t="s">
        <v>1015</v>
      </c>
      <c r="CS783" t="s">
        <v>131</v>
      </c>
      <c r="CU783" t="s">
        <v>1002</v>
      </c>
      <c r="CW783" t="s">
        <v>1003</v>
      </c>
      <c r="CX783" t="s">
        <v>1008</v>
      </c>
      <c r="CZ783" s="3" t="str">
        <f>"84092"</f>
        <v>84092</v>
      </c>
      <c r="DA783" t="s">
        <v>131</v>
      </c>
      <c r="DB783" t="str">
        <f>"35-9011"</f>
        <v>35-9011</v>
      </c>
      <c r="DC783" t="s">
        <v>1016</v>
      </c>
      <c r="DD783" t="s">
        <v>134</v>
      </c>
      <c r="DE783" t="s">
        <v>134</v>
      </c>
      <c r="DF783" t="str">
        <f>""</f>
        <v/>
      </c>
      <c r="DH783" s="6">
        <v>10.15</v>
      </c>
      <c r="DI783" t="s">
        <v>344</v>
      </c>
      <c r="DK783" t="s">
        <v>345</v>
      </c>
      <c r="DS783" s="6">
        <v>10.15</v>
      </c>
      <c r="DT783" t="s">
        <v>424</v>
      </c>
      <c r="DU783" s="1">
        <v>44369</v>
      </c>
      <c r="DV783" s="1">
        <v>44458</v>
      </c>
    </row>
    <row r="784" spans="1:126" ht="15" customHeight="1" x14ac:dyDescent="0.35">
      <c r="A784" t="s">
        <v>15133</v>
      </c>
      <c r="B784" t="s">
        <v>318</v>
      </c>
      <c r="C784" s="1">
        <v>44342</v>
      </c>
      <c r="D784" s="1">
        <v>44369</v>
      </c>
      <c r="H784" t="s">
        <v>319</v>
      </c>
      <c r="I784" t="s">
        <v>15134</v>
      </c>
      <c r="J784" t="s">
        <v>926</v>
      </c>
      <c r="K784" t="s">
        <v>6162</v>
      </c>
      <c r="L784" t="s">
        <v>1001</v>
      </c>
      <c r="M784" t="s">
        <v>1002</v>
      </c>
      <c r="O784" t="s">
        <v>1003</v>
      </c>
      <c r="P784" t="s">
        <v>1004</v>
      </c>
      <c r="Q784" s="3">
        <v>84092</v>
      </c>
      <c r="R784" t="s">
        <v>128</v>
      </c>
      <c r="S784" t="s">
        <v>134</v>
      </c>
      <c r="T784" s="4">
        <v>18019478245</v>
      </c>
      <c r="V784" t="s">
        <v>1005</v>
      </c>
      <c r="W784" t="s">
        <v>1006</v>
      </c>
      <c r="X784" t="s">
        <v>15135</v>
      </c>
      <c r="Y784" t="s">
        <v>1002</v>
      </c>
      <c r="AA784" t="s">
        <v>1003</v>
      </c>
      <c r="AB784" t="s">
        <v>1008</v>
      </c>
      <c r="AC784" s="3" t="str">
        <f>"84092"</f>
        <v>84092</v>
      </c>
      <c r="AD784" t="s">
        <v>128</v>
      </c>
      <c r="AE784" t="s">
        <v>134</v>
      </c>
      <c r="AF784" s="4">
        <v>18019332222</v>
      </c>
      <c r="AH784" t="str">
        <f>"721110"</f>
        <v>721110</v>
      </c>
      <c r="AI784" t="s">
        <v>130</v>
      </c>
      <c r="AJ784" t="s">
        <v>1009</v>
      </c>
      <c r="AK784" t="s">
        <v>1010</v>
      </c>
      <c r="AM784" t="s">
        <v>1011</v>
      </c>
      <c r="AN784" t="s">
        <v>997</v>
      </c>
      <c r="AO784" t="s">
        <v>1012</v>
      </c>
      <c r="AP784" t="s">
        <v>1008</v>
      </c>
      <c r="AQ784" s="5">
        <v>84111</v>
      </c>
      <c r="AR784" t="s">
        <v>128</v>
      </c>
      <c r="AT784" s="4">
        <v>18015312015</v>
      </c>
      <c r="AV784" t="s">
        <v>1013</v>
      </c>
      <c r="AW784" t="s">
        <v>1014</v>
      </c>
      <c r="AX784" t="s">
        <v>131</v>
      </c>
      <c r="AY784" t="s">
        <v>131</v>
      </c>
      <c r="AZ784" t="s">
        <v>131</v>
      </c>
      <c r="BA784" t="s">
        <v>131</v>
      </c>
      <c r="BB784" t="s">
        <v>131</v>
      </c>
      <c r="BC784" t="s">
        <v>131</v>
      </c>
      <c r="BD784" t="s">
        <v>131</v>
      </c>
      <c r="BE784" t="s">
        <v>132</v>
      </c>
      <c r="BH784" t="s">
        <v>15136</v>
      </c>
      <c r="BI784" t="s">
        <v>131</v>
      </c>
      <c r="BL784" t="s">
        <v>167</v>
      </c>
      <c r="BO784" t="s">
        <v>131</v>
      </c>
      <c r="BP784" t="s">
        <v>134</v>
      </c>
      <c r="BQ784" t="s">
        <v>131</v>
      </c>
      <c r="BS784" t="str">
        <f t="shared" si="56"/>
        <v>N/A</v>
      </c>
      <c r="BT784" t="s">
        <v>131</v>
      </c>
      <c r="BV784" t="str">
        <f>""</f>
        <v/>
      </c>
      <c r="BW784" t="s">
        <v>131</v>
      </c>
      <c r="BX784" t="str">
        <f>""</f>
        <v/>
      </c>
      <c r="BY784" t="str">
        <f>""</f>
        <v/>
      </c>
      <c r="BZ784" t="str">
        <f>""</f>
        <v/>
      </c>
      <c r="CA784" t="str">
        <f>""</f>
        <v/>
      </c>
      <c r="CB784" t="s">
        <v>131</v>
      </c>
      <c r="CF784" t="s">
        <v>131</v>
      </c>
      <c r="CH784" t="str">
        <f>""</f>
        <v/>
      </c>
      <c r="CI784" t="s">
        <v>131</v>
      </c>
      <c r="CK784" t="s">
        <v>131</v>
      </c>
      <c r="CL784" t="str">
        <f>""</f>
        <v/>
      </c>
      <c r="CM784" t="str">
        <f>""</f>
        <v/>
      </c>
      <c r="CN784" t="str">
        <f>""</f>
        <v/>
      </c>
      <c r="CO784" t="str">
        <f>""</f>
        <v/>
      </c>
      <c r="CP784" t="str">
        <f>"35-2021.00"</f>
        <v>35-2021.00</v>
      </c>
      <c r="CQ784" t="s">
        <v>1749</v>
      </c>
      <c r="CR784" t="s">
        <v>15137</v>
      </c>
      <c r="CS784" t="s">
        <v>131</v>
      </c>
      <c r="CU784" t="s">
        <v>1002</v>
      </c>
      <c r="CW784" t="s">
        <v>1003</v>
      </c>
      <c r="CX784" t="s">
        <v>1008</v>
      </c>
      <c r="CZ784" s="3" t="str">
        <f>"84092"</f>
        <v>84092</v>
      </c>
      <c r="DA784" t="s">
        <v>131</v>
      </c>
      <c r="DB784" t="str">
        <f>"35-2021"</f>
        <v>35-2021</v>
      </c>
      <c r="DC784" t="s">
        <v>1749</v>
      </c>
      <c r="DD784" t="s">
        <v>134</v>
      </c>
      <c r="DE784" t="s">
        <v>134</v>
      </c>
      <c r="DF784" t="str">
        <f>""</f>
        <v/>
      </c>
      <c r="DH784" s="6">
        <v>12.63</v>
      </c>
      <c r="DI784" t="s">
        <v>344</v>
      </c>
      <c r="DK784" t="s">
        <v>345</v>
      </c>
      <c r="DR784" t="s">
        <v>15138</v>
      </c>
      <c r="DS784" s="6">
        <v>12.63</v>
      </c>
      <c r="DT784" t="s">
        <v>424</v>
      </c>
      <c r="DU784" s="1">
        <v>44369</v>
      </c>
      <c r="DV784" s="1">
        <v>44458</v>
      </c>
    </row>
    <row r="785" spans="1:126" ht="15" customHeight="1" x14ac:dyDescent="0.35">
      <c r="A785" t="s">
        <v>18474</v>
      </c>
      <c r="B785" t="s">
        <v>318</v>
      </c>
      <c r="C785" s="1">
        <v>44342</v>
      </c>
      <c r="D785" s="1">
        <v>44369</v>
      </c>
      <c r="H785" t="s">
        <v>319</v>
      </c>
      <c r="I785" t="s">
        <v>18475</v>
      </c>
      <c r="J785" t="s">
        <v>18476</v>
      </c>
      <c r="K785" t="s">
        <v>10154</v>
      </c>
      <c r="L785" t="s">
        <v>18477</v>
      </c>
      <c r="M785" t="s">
        <v>18478</v>
      </c>
      <c r="O785" t="s">
        <v>4312</v>
      </c>
      <c r="P785" t="s">
        <v>194</v>
      </c>
      <c r="Q785" s="3">
        <v>32703</v>
      </c>
      <c r="R785" t="s">
        <v>128</v>
      </c>
      <c r="T785" s="4">
        <v>14075905717</v>
      </c>
      <c r="V785" t="s">
        <v>18479</v>
      </c>
      <c r="W785" t="s">
        <v>18480</v>
      </c>
      <c r="Y785" t="s">
        <v>18478</v>
      </c>
      <c r="AA785" t="s">
        <v>4312</v>
      </c>
      <c r="AB785" t="s">
        <v>195</v>
      </c>
      <c r="AC785" s="3" t="str">
        <f>"32703"</f>
        <v>32703</v>
      </c>
      <c r="AD785" t="s">
        <v>128</v>
      </c>
      <c r="AF785" s="4">
        <v>14075905717</v>
      </c>
      <c r="AH785" t="str">
        <f>"238350"</f>
        <v>238350</v>
      </c>
      <c r="AI785" t="s">
        <v>130</v>
      </c>
      <c r="AJ785" t="s">
        <v>15507</v>
      </c>
      <c r="AK785" t="s">
        <v>1961</v>
      </c>
      <c r="AL785" t="s">
        <v>1198</v>
      </c>
      <c r="AM785" t="s">
        <v>15508</v>
      </c>
      <c r="AO785" t="s">
        <v>8315</v>
      </c>
      <c r="AP785" t="s">
        <v>195</v>
      </c>
      <c r="AQ785" s="5">
        <v>32308</v>
      </c>
      <c r="AR785" t="s">
        <v>128</v>
      </c>
      <c r="AT785" s="4">
        <v>18502220720</v>
      </c>
      <c r="AV785" t="s">
        <v>15509</v>
      </c>
      <c r="AW785" t="s">
        <v>15510</v>
      </c>
      <c r="AX785" t="s">
        <v>131</v>
      </c>
      <c r="AY785" t="s">
        <v>131</v>
      </c>
      <c r="AZ785" t="s">
        <v>131</v>
      </c>
      <c r="BA785" t="s">
        <v>131</v>
      </c>
      <c r="BB785" t="s">
        <v>131</v>
      </c>
      <c r="BC785" t="s">
        <v>131</v>
      </c>
      <c r="BD785" t="s">
        <v>131</v>
      </c>
      <c r="BE785" t="s">
        <v>132</v>
      </c>
      <c r="BH785" t="s">
        <v>18481</v>
      </c>
      <c r="BI785" t="s">
        <v>131</v>
      </c>
      <c r="BL785" t="s">
        <v>167</v>
      </c>
      <c r="BO785" t="s">
        <v>131</v>
      </c>
      <c r="BP785" t="s">
        <v>134</v>
      </c>
      <c r="BQ785" t="s">
        <v>131</v>
      </c>
      <c r="BS785" t="str">
        <f t="shared" si="56"/>
        <v>N/A</v>
      </c>
      <c r="BT785" t="s">
        <v>135</v>
      </c>
      <c r="BU785">
        <v>1</v>
      </c>
      <c r="BV785" t="str">
        <f>"1 Month Experience in Carpentry Work"</f>
        <v>1 Month Experience in Carpentry Work</v>
      </c>
      <c r="BW785" t="s">
        <v>135</v>
      </c>
      <c r="BX785" t="str">
        <f>""</f>
        <v/>
      </c>
      <c r="BY785" t="str">
        <f>""</f>
        <v/>
      </c>
      <c r="BZ785" t="str">
        <f>""</f>
        <v/>
      </c>
      <c r="CA785" t="str">
        <f>"Must be able to operate equipment such as: nail guns, saws, drills, and other tools as required; maintain a clean and safe work environment; and be able to lift 50+ lbs of material repeatedly."</f>
        <v>Must be able to operate equipment such as: nail guns, saws, drills, and other tools as required; maintain a clean and safe work environment; and be able to lift 50+ lbs of material repeatedly.</v>
      </c>
      <c r="CB785" t="s">
        <v>131</v>
      </c>
      <c r="CF785" t="s">
        <v>131</v>
      </c>
      <c r="CH785" t="str">
        <f>""</f>
        <v/>
      </c>
      <c r="CI785" t="s">
        <v>131</v>
      </c>
      <c r="CK785" t="s">
        <v>131</v>
      </c>
      <c r="CL785" t="str">
        <f>""</f>
        <v/>
      </c>
      <c r="CM785" t="str">
        <f>""</f>
        <v/>
      </c>
      <c r="CN785" t="str">
        <f>""</f>
        <v/>
      </c>
      <c r="CO785" t="str">
        <f>""</f>
        <v/>
      </c>
      <c r="CP785" t="str">
        <f>"47-3012.00"</f>
        <v>47-3012.00</v>
      </c>
      <c r="CQ785" t="s">
        <v>3194</v>
      </c>
      <c r="CR785" t="s">
        <v>1265</v>
      </c>
      <c r="CS785" t="s">
        <v>135</v>
      </c>
      <c r="CT785" t="s">
        <v>18482</v>
      </c>
      <c r="CU785" t="s">
        <v>18478</v>
      </c>
      <c r="CW785" t="s">
        <v>4312</v>
      </c>
      <c r="CX785" t="s">
        <v>195</v>
      </c>
      <c r="CZ785" s="3" t="str">
        <f>"32703"</f>
        <v>32703</v>
      </c>
      <c r="DA785" t="s">
        <v>135</v>
      </c>
      <c r="DB785" t="str">
        <f>"47-3012"</f>
        <v>47-3012</v>
      </c>
      <c r="DC785" t="s">
        <v>3194</v>
      </c>
      <c r="DD785" t="s">
        <v>134</v>
      </c>
      <c r="DE785" t="s">
        <v>134</v>
      </c>
      <c r="DF785" t="str">
        <f>""</f>
        <v/>
      </c>
      <c r="DH785" s="6">
        <v>13.79</v>
      </c>
      <c r="DI785" t="s">
        <v>344</v>
      </c>
      <c r="DK785" t="s">
        <v>345</v>
      </c>
      <c r="DS785" s="6">
        <v>17.05</v>
      </c>
      <c r="DT785" s="2" t="s">
        <v>347</v>
      </c>
      <c r="DU785" s="1">
        <v>44369</v>
      </c>
      <c r="DV785" s="1">
        <v>44458</v>
      </c>
    </row>
    <row r="786" spans="1:126" ht="15" customHeight="1" x14ac:dyDescent="0.35">
      <c r="A786" t="s">
        <v>13146</v>
      </c>
      <c r="B786" t="s">
        <v>318</v>
      </c>
      <c r="C786" s="1">
        <v>44342</v>
      </c>
      <c r="D786" s="1">
        <v>44369</v>
      </c>
      <c r="H786" t="s">
        <v>319</v>
      </c>
      <c r="I786" t="s">
        <v>7913</v>
      </c>
      <c r="J786" t="s">
        <v>8418</v>
      </c>
      <c r="L786" t="s">
        <v>2076</v>
      </c>
      <c r="M786" t="s">
        <v>13147</v>
      </c>
      <c r="O786" t="s">
        <v>200</v>
      </c>
      <c r="P786" t="s">
        <v>194</v>
      </c>
      <c r="Q786" s="3">
        <v>33406</v>
      </c>
      <c r="R786" t="s">
        <v>128</v>
      </c>
      <c r="T786" s="4">
        <v>15616820700</v>
      </c>
      <c r="V786" t="s">
        <v>1253</v>
      </c>
      <c r="W786" t="s">
        <v>13148</v>
      </c>
      <c r="Y786" t="s">
        <v>13147</v>
      </c>
      <c r="AA786" t="s">
        <v>200</v>
      </c>
      <c r="AB786" t="s">
        <v>195</v>
      </c>
      <c r="AC786" s="3" t="str">
        <f>"33406"</f>
        <v>33406</v>
      </c>
      <c r="AD786" t="s">
        <v>128</v>
      </c>
      <c r="AF786" s="4">
        <v>15616820700</v>
      </c>
      <c r="AH786" t="str">
        <f>"71391"</f>
        <v>71391</v>
      </c>
      <c r="AI786" t="s">
        <v>287</v>
      </c>
      <c r="AJ786" t="s">
        <v>573</v>
      </c>
      <c r="AK786" t="s">
        <v>574</v>
      </c>
      <c r="AM786" t="s">
        <v>575</v>
      </c>
      <c r="AO786" t="s">
        <v>576</v>
      </c>
      <c r="AP786" t="s">
        <v>129</v>
      </c>
      <c r="AQ786" s="5">
        <v>14850</v>
      </c>
      <c r="AR786" t="s">
        <v>128</v>
      </c>
      <c r="AT786" s="4">
        <v>18777387462</v>
      </c>
      <c r="AV786" t="s">
        <v>577</v>
      </c>
      <c r="AW786" t="s">
        <v>578</v>
      </c>
      <c r="AX786" t="s">
        <v>131</v>
      </c>
      <c r="AY786" t="s">
        <v>131</v>
      </c>
      <c r="AZ786" t="s">
        <v>131</v>
      </c>
      <c r="BA786" t="s">
        <v>131</v>
      </c>
      <c r="BB786" t="s">
        <v>131</v>
      </c>
      <c r="BC786" t="s">
        <v>131</v>
      </c>
      <c r="BD786" t="s">
        <v>131</v>
      </c>
      <c r="BE786" t="s">
        <v>132</v>
      </c>
      <c r="BH786" t="s">
        <v>7905</v>
      </c>
      <c r="BI786" t="s">
        <v>131</v>
      </c>
      <c r="BL786" t="s">
        <v>167</v>
      </c>
      <c r="BO786" t="s">
        <v>131</v>
      </c>
      <c r="BP786" t="s">
        <v>134</v>
      </c>
      <c r="BQ786" t="s">
        <v>131</v>
      </c>
      <c r="BS786" t="str">
        <f t="shared" si="56"/>
        <v>N/A</v>
      </c>
      <c r="BT786" t="s">
        <v>135</v>
      </c>
      <c r="BU786">
        <v>3</v>
      </c>
      <c r="BV786" t="str">
        <f>"fine dining service "</f>
        <v xml:space="preserve">fine dining service </v>
      </c>
      <c r="BW786" t="s">
        <v>135</v>
      </c>
      <c r="BX786" t="str">
        <f>""</f>
        <v/>
      </c>
      <c r="BY786" t="str">
        <f>""</f>
        <v/>
      </c>
      <c r="BZ786" t="str">
        <f>""</f>
        <v/>
      </c>
      <c r="CA786" s="2" t="s">
        <v>13149</v>
      </c>
      <c r="CB786" t="s">
        <v>131</v>
      </c>
      <c r="CF786" t="s">
        <v>131</v>
      </c>
      <c r="CH786" t="str">
        <f>""</f>
        <v/>
      </c>
      <c r="CI786" t="s">
        <v>131</v>
      </c>
      <c r="CK786" t="s">
        <v>131</v>
      </c>
      <c r="CL786" t="str">
        <f>""</f>
        <v/>
      </c>
      <c r="CM786" t="str">
        <f>""</f>
        <v/>
      </c>
      <c r="CN786" t="str">
        <f>""</f>
        <v/>
      </c>
      <c r="CO786" t="str">
        <f>""</f>
        <v/>
      </c>
      <c r="CP786" t="str">
        <f>"35-3031.00"</f>
        <v>35-3031.00</v>
      </c>
      <c r="CQ786" t="s">
        <v>1214</v>
      </c>
      <c r="CS786" t="s">
        <v>131</v>
      </c>
      <c r="CU786" t="s">
        <v>13147</v>
      </c>
      <c r="CW786" t="s">
        <v>200</v>
      </c>
      <c r="CX786" t="s">
        <v>195</v>
      </c>
      <c r="CZ786" s="3" t="str">
        <f>"33406"</f>
        <v>33406</v>
      </c>
      <c r="DA786" t="s">
        <v>131</v>
      </c>
      <c r="DB786" t="str">
        <f>"35-3031"</f>
        <v>35-3031</v>
      </c>
      <c r="DC786" t="s">
        <v>1214</v>
      </c>
      <c r="DD786" t="s">
        <v>134</v>
      </c>
      <c r="DE786" t="s">
        <v>134</v>
      </c>
      <c r="DF786" t="str">
        <f>""</f>
        <v/>
      </c>
      <c r="DH786" s="6">
        <v>12.55</v>
      </c>
      <c r="DI786" t="s">
        <v>344</v>
      </c>
      <c r="DK786" t="s">
        <v>345</v>
      </c>
      <c r="DS786" s="6">
        <v>12.55</v>
      </c>
      <c r="DT786" t="s">
        <v>424</v>
      </c>
      <c r="DU786" s="1">
        <v>44369</v>
      </c>
      <c r="DV786" s="1">
        <v>44458</v>
      </c>
    </row>
    <row r="787" spans="1:126" ht="15" customHeight="1" x14ac:dyDescent="0.35">
      <c r="A787" t="s">
        <v>17617</v>
      </c>
      <c r="B787" t="s">
        <v>318</v>
      </c>
      <c r="C787" s="1">
        <v>44342</v>
      </c>
      <c r="D787" s="1">
        <v>44369</v>
      </c>
      <c r="H787" t="s">
        <v>319</v>
      </c>
      <c r="I787" t="s">
        <v>17618</v>
      </c>
      <c r="J787" t="s">
        <v>17619</v>
      </c>
      <c r="L787" t="s">
        <v>17620</v>
      </c>
      <c r="M787" t="s">
        <v>17621</v>
      </c>
      <c r="O787" t="s">
        <v>3512</v>
      </c>
      <c r="P787" t="s">
        <v>194</v>
      </c>
      <c r="Q787" s="3">
        <v>33483</v>
      </c>
      <c r="R787" t="s">
        <v>128</v>
      </c>
      <c r="T787" s="4">
        <v>15612665707</v>
      </c>
      <c r="V787" t="s">
        <v>134</v>
      </c>
      <c r="W787" t="s">
        <v>17622</v>
      </c>
      <c r="Y787" t="s">
        <v>17621</v>
      </c>
      <c r="AA787" t="s">
        <v>3512</v>
      </c>
      <c r="AB787" t="s">
        <v>195</v>
      </c>
      <c r="AC787" s="3" t="str">
        <f>"33483"</f>
        <v>33483</v>
      </c>
      <c r="AD787" t="s">
        <v>128</v>
      </c>
      <c r="AF787" s="4">
        <v>15612665707</v>
      </c>
      <c r="AH787" t="str">
        <f>"71391"</f>
        <v>71391</v>
      </c>
      <c r="AI787" t="s">
        <v>287</v>
      </c>
      <c r="AJ787" t="s">
        <v>573</v>
      </c>
      <c r="AK787" t="s">
        <v>574</v>
      </c>
      <c r="AM787" t="s">
        <v>575</v>
      </c>
      <c r="AO787" t="s">
        <v>576</v>
      </c>
      <c r="AP787" t="s">
        <v>129</v>
      </c>
      <c r="AQ787" s="5">
        <v>14850</v>
      </c>
      <c r="AR787" t="s">
        <v>128</v>
      </c>
      <c r="AT787" s="4">
        <v>18777387462</v>
      </c>
      <c r="AV787" t="s">
        <v>577</v>
      </c>
      <c r="AW787" t="s">
        <v>578</v>
      </c>
      <c r="AX787" t="s">
        <v>131</v>
      </c>
      <c r="AY787" t="s">
        <v>131</v>
      </c>
      <c r="AZ787" t="s">
        <v>131</v>
      </c>
      <c r="BA787" t="s">
        <v>131</v>
      </c>
      <c r="BB787" t="s">
        <v>131</v>
      </c>
      <c r="BC787" t="s">
        <v>131</v>
      </c>
      <c r="BD787" t="s">
        <v>131</v>
      </c>
      <c r="BE787" t="s">
        <v>132</v>
      </c>
      <c r="BH787" t="s">
        <v>7905</v>
      </c>
      <c r="BI787" t="s">
        <v>131</v>
      </c>
      <c r="BL787" t="s">
        <v>167</v>
      </c>
      <c r="BO787" t="s">
        <v>131</v>
      </c>
      <c r="BP787" t="s">
        <v>134</v>
      </c>
      <c r="BQ787" t="s">
        <v>131</v>
      </c>
      <c r="BS787" t="str">
        <f t="shared" si="56"/>
        <v>N/A</v>
      </c>
      <c r="BT787" t="s">
        <v>135</v>
      </c>
      <c r="BU787">
        <v>3</v>
      </c>
      <c r="BV787" t="str">
        <f>"fine dining service "</f>
        <v xml:space="preserve">fine dining service </v>
      </c>
      <c r="BW787" t="s">
        <v>135</v>
      </c>
      <c r="BX787" t="str">
        <f>""</f>
        <v/>
      </c>
      <c r="BY787" t="str">
        <f>""</f>
        <v/>
      </c>
      <c r="BZ787" t="str">
        <f>""</f>
        <v/>
      </c>
      <c r="CA787" s="2" t="s">
        <v>15386</v>
      </c>
      <c r="CB787" t="s">
        <v>131</v>
      </c>
      <c r="CF787" t="s">
        <v>131</v>
      </c>
      <c r="CH787" t="str">
        <f>""</f>
        <v/>
      </c>
      <c r="CI787" t="s">
        <v>131</v>
      </c>
      <c r="CK787" t="s">
        <v>131</v>
      </c>
      <c r="CL787" t="str">
        <f>""</f>
        <v/>
      </c>
      <c r="CM787" t="str">
        <f>""</f>
        <v/>
      </c>
      <c r="CN787" t="str">
        <f>""</f>
        <v/>
      </c>
      <c r="CO787" t="str">
        <f>""</f>
        <v/>
      </c>
      <c r="CP787" t="str">
        <f>"35-3031.00"</f>
        <v>35-3031.00</v>
      </c>
      <c r="CQ787" t="s">
        <v>1214</v>
      </c>
      <c r="CS787" t="s">
        <v>131</v>
      </c>
      <c r="CU787" t="s">
        <v>17621</v>
      </c>
      <c r="CW787" t="s">
        <v>3512</v>
      </c>
      <c r="CX787" t="s">
        <v>195</v>
      </c>
      <c r="CZ787" s="3" t="str">
        <f>"33483"</f>
        <v>33483</v>
      </c>
      <c r="DA787" t="s">
        <v>131</v>
      </c>
      <c r="DB787" t="str">
        <f>"35-3031"</f>
        <v>35-3031</v>
      </c>
      <c r="DC787" t="s">
        <v>1214</v>
      </c>
      <c r="DD787" t="s">
        <v>134</v>
      </c>
      <c r="DE787" t="s">
        <v>134</v>
      </c>
      <c r="DF787" t="str">
        <f>""</f>
        <v/>
      </c>
      <c r="DH787" s="6">
        <v>12.55</v>
      </c>
      <c r="DI787" t="s">
        <v>344</v>
      </c>
      <c r="DK787" t="s">
        <v>345</v>
      </c>
      <c r="DS787" s="6">
        <v>12.55</v>
      </c>
      <c r="DT787" t="s">
        <v>424</v>
      </c>
      <c r="DU787" s="1">
        <v>44369</v>
      </c>
      <c r="DV787" s="1">
        <v>44458</v>
      </c>
    </row>
    <row r="788" spans="1:126" ht="15" customHeight="1" x14ac:dyDescent="0.35">
      <c r="A788" t="s">
        <v>17938</v>
      </c>
      <c r="B788" t="s">
        <v>318</v>
      </c>
      <c r="C788" s="1">
        <v>44342</v>
      </c>
      <c r="D788" s="1">
        <v>44369</v>
      </c>
      <c r="H788" t="s">
        <v>319</v>
      </c>
      <c r="I788" t="s">
        <v>7313</v>
      </c>
      <c r="J788" t="s">
        <v>7314</v>
      </c>
      <c r="L788" t="s">
        <v>2076</v>
      </c>
      <c r="M788" t="s">
        <v>7315</v>
      </c>
      <c r="O788" t="s">
        <v>1812</v>
      </c>
      <c r="P788" t="s">
        <v>194</v>
      </c>
      <c r="Q788" s="3">
        <v>33432</v>
      </c>
      <c r="R788" t="s">
        <v>128</v>
      </c>
      <c r="T788" s="4">
        <v>15612108117</v>
      </c>
      <c r="V788" t="s">
        <v>134</v>
      </c>
      <c r="W788" t="s">
        <v>7317</v>
      </c>
      <c r="Y788" t="s">
        <v>7315</v>
      </c>
      <c r="AA788" t="s">
        <v>1812</v>
      </c>
      <c r="AB788" t="s">
        <v>195</v>
      </c>
      <c r="AC788" s="3" t="str">
        <f>"33432"</f>
        <v>33432</v>
      </c>
      <c r="AD788" t="s">
        <v>128</v>
      </c>
      <c r="AF788" s="4">
        <v>15612108117</v>
      </c>
      <c r="AH788" t="str">
        <f>"71391"</f>
        <v>71391</v>
      </c>
      <c r="AI788" t="s">
        <v>287</v>
      </c>
      <c r="AJ788" t="s">
        <v>573</v>
      </c>
      <c r="AK788" t="s">
        <v>574</v>
      </c>
      <c r="AM788" t="s">
        <v>575</v>
      </c>
      <c r="AO788" t="s">
        <v>576</v>
      </c>
      <c r="AP788" t="s">
        <v>129</v>
      </c>
      <c r="AQ788" s="5">
        <v>14850</v>
      </c>
      <c r="AR788" t="s">
        <v>128</v>
      </c>
      <c r="AT788" s="4">
        <v>18777387462</v>
      </c>
      <c r="AV788" t="s">
        <v>577</v>
      </c>
      <c r="AW788" t="s">
        <v>17939</v>
      </c>
      <c r="AX788" t="s">
        <v>131</v>
      </c>
      <c r="AY788" t="s">
        <v>131</v>
      </c>
      <c r="AZ788" t="s">
        <v>131</v>
      </c>
      <c r="BA788" t="s">
        <v>131</v>
      </c>
      <c r="BB788" t="s">
        <v>131</v>
      </c>
      <c r="BC788" t="s">
        <v>131</v>
      </c>
      <c r="BD788" t="s">
        <v>131</v>
      </c>
      <c r="BE788" t="s">
        <v>132</v>
      </c>
      <c r="BH788" t="s">
        <v>7905</v>
      </c>
      <c r="BI788" t="s">
        <v>131</v>
      </c>
      <c r="BL788" t="s">
        <v>167</v>
      </c>
      <c r="BO788" t="s">
        <v>131</v>
      </c>
      <c r="BP788" t="s">
        <v>134</v>
      </c>
      <c r="BQ788" t="s">
        <v>131</v>
      </c>
      <c r="BS788" t="str">
        <f t="shared" si="56"/>
        <v>N/A</v>
      </c>
      <c r="BT788" t="s">
        <v>135</v>
      </c>
      <c r="BU788">
        <v>3</v>
      </c>
      <c r="BV788" t="str">
        <f>"fine dining service "</f>
        <v xml:space="preserve">fine dining service </v>
      </c>
      <c r="BW788" t="s">
        <v>135</v>
      </c>
      <c r="BX788" t="str">
        <f>""</f>
        <v/>
      </c>
      <c r="BY788" t="str">
        <f>""</f>
        <v/>
      </c>
      <c r="BZ788" t="str">
        <f>""</f>
        <v/>
      </c>
      <c r="CA788" s="2" t="s">
        <v>15386</v>
      </c>
      <c r="CB788" t="s">
        <v>131</v>
      </c>
      <c r="CF788" t="s">
        <v>131</v>
      </c>
      <c r="CH788" t="str">
        <f>""</f>
        <v/>
      </c>
      <c r="CI788" t="s">
        <v>131</v>
      </c>
      <c r="CK788" t="s">
        <v>131</v>
      </c>
      <c r="CL788" t="str">
        <f>""</f>
        <v/>
      </c>
      <c r="CM788" t="str">
        <f>""</f>
        <v/>
      </c>
      <c r="CN788" t="str">
        <f>""</f>
        <v/>
      </c>
      <c r="CO788" t="str">
        <f>""</f>
        <v/>
      </c>
      <c r="CP788" t="str">
        <f>"35-3031.00"</f>
        <v>35-3031.00</v>
      </c>
      <c r="CQ788" t="s">
        <v>1214</v>
      </c>
      <c r="CS788" t="s">
        <v>131</v>
      </c>
      <c r="CU788" t="s">
        <v>7315</v>
      </c>
      <c r="CW788" t="s">
        <v>1812</v>
      </c>
      <c r="CX788" t="s">
        <v>195</v>
      </c>
      <c r="CZ788" s="3" t="str">
        <f>"33432"</f>
        <v>33432</v>
      </c>
      <c r="DA788" t="s">
        <v>131</v>
      </c>
      <c r="DB788" t="str">
        <f>"35-3031"</f>
        <v>35-3031</v>
      </c>
      <c r="DC788" t="s">
        <v>1214</v>
      </c>
      <c r="DD788" t="s">
        <v>134</v>
      </c>
      <c r="DE788" t="s">
        <v>134</v>
      </c>
      <c r="DF788" t="str">
        <f>""</f>
        <v/>
      </c>
      <c r="DH788" s="6">
        <v>12.55</v>
      </c>
      <c r="DI788" t="s">
        <v>344</v>
      </c>
      <c r="DK788" t="s">
        <v>345</v>
      </c>
      <c r="DS788" s="6">
        <v>12.55</v>
      </c>
      <c r="DT788" t="s">
        <v>424</v>
      </c>
      <c r="DU788" s="1">
        <v>44369</v>
      </c>
      <c r="DV788" s="1">
        <v>44458</v>
      </c>
    </row>
    <row r="789" spans="1:126" ht="15" customHeight="1" x14ac:dyDescent="0.35">
      <c r="A789" t="s">
        <v>15384</v>
      </c>
      <c r="B789" t="s">
        <v>318</v>
      </c>
      <c r="C789" s="1">
        <v>44342</v>
      </c>
      <c r="D789" s="1">
        <v>44369</v>
      </c>
      <c r="H789" t="s">
        <v>319</v>
      </c>
      <c r="I789" t="s">
        <v>7313</v>
      </c>
      <c r="J789" t="s">
        <v>7314</v>
      </c>
      <c r="L789" t="s">
        <v>2076</v>
      </c>
      <c r="M789" t="s">
        <v>7315</v>
      </c>
      <c r="O789" t="s">
        <v>1812</v>
      </c>
      <c r="P789" t="s">
        <v>194</v>
      </c>
      <c r="Q789" s="3">
        <v>33432</v>
      </c>
      <c r="R789" t="s">
        <v>128</v>
      </c>
      <c r="T789" s="4">
        <v>15612108117</v>
      </c>
      <c r="V789" t="s">
        <v>134</v>
      </c>
      <c r="W789" t="s">
        <v>7317</v>
      </c>
      <c r="Y789" t="s">
        <v>7315</v>
      </c>
      <c r="AA789" t="s">
        <v>1812</v>
      </c>
      <c r="AB789" t="s">
        <v>195</v>
      </c>
      <c r="AC789" s="3" t="str">
        <f>"33432"</f>
        <v>33432</v>
      </c>
      <c r="AD789" t="s">
        <v>128</v>
      </c>
      <c r="AF789" s="4">
        <v>15612108117</v>
      </c>
      <c r="AH789" t="str">
        <f>"71391"</f>
        <v>71391</v>
      </c>
      <c r="AI789" t="s">
        <v>287</v>
      </c>
      <c r="AJ789" t="s">
        <v>573</v>
      </c>
      <c r="AK789" t="s">
        <v>574</v>
      </c>
      <c r="AM789" t="s">
        <v>575</v>
      </c>
      <c r="AO789" t="s">
        <v>576</v>
      </c>
      <c r="AP789" t="s">
        <v>129</v>
      </c>
      <c r="AQ789" s="5">
        <v>14850</v>
      </c>
      <c r="AR789" t="s">
        <v>128</v>
      </c>
      <c r="AT789" s="4">
        <v>18777387462</v>
      </c>
      <c r="AV789" t="s">
        <v>577</v>
      </c>
      <c r="AW789" t="s">
        <v>578</v>
      </c>
      <c r="AX789" t="s">
        <v>131</v>
      </c>
      <c r="AY789" t="s">
        <v>131</v>
      </c>
      <c r="AZ789" t="s">
        <v>131</v>
      </c>
      <c r="BA789" t="s">
        <v>131</v>
      </c>
      <c r="BB789" t="s">
        <v>131</v>
      </c>
      <c r="BC789" t="s">
        <v>131</v>
      </c>
      <c r="BD789" t="s">
        <v>131</v>
      </c>
      <c r="BE789" t="s">
        <v>132</v>
      </c>
      <c r="BH789" t="s">
        <v>15385</v>
      </c>
      <c r="BI789" t="s">
        <v>131</v>
      </c>
      <c r="BL789" t="s">
        <v>167</v>
      </c>
      <c r="BO789" t="s">
        <v>131</v>
      </c>
      <c r="BP789" t="s">
        <v>134</v>
      </c>
      <c r="BQ789" t="s">
        <v>131</v>
      </c>
      <c r="BS789" t="str">
        <f t="shared" si="56"/>
        <v>N/A</v>
      </c>
      <c r="BT789" t="s">
        <v>135</v>
      </c>
      <c r="BU789">
        <v>2</v>
      </c>
      <c r="BV789" t="str">
        <f>"golf environment at private club"</f>
        <v>golf environment at private club</v>
      </c>
      <c r="BW789" t="s">
        <v>135</v>
      </c>
      <c r="BX789" t="str">
        <f>""</f>
        <v/>
      </c>
      <c r="BY789" t="str">
        <f>""</f>
        <v/>
      </c>
      <c r="BZ789" t="str">
        <f>""</f>
        <v/>
      </c>
      <c r="CA789" s="2" t="s">
        <v>15386</v>
      </c>
      <c r="CB789" t="s">
        <v>131</v>
      </c>
      <c r="CF789" t="s">
        <v>131</v>
      </c>
      <c r="CH789" t="str">
        <f>""</f>
        <v/>
      </c>
      <c r="CI789" t="s">
        <v>131</v>
      </c>
      <c r="CK789" t="s">
        <v>131</v>
      </c>
      <c r="CL789" t="str">
        <f>""</f>
        <v/>
      </c>
      <c r="CM789" t="str">
        <f>""</f>
        <v/>
      </c>
      <c r="CN789" t="str">
        <f>""</f>
        <v/>
      </c>
      <c r="CO789" t="str">
        <f>""</f>
        <v/>
      </c>
      <c r="CP789" t="str">
        <f>"37-3011.00"</f>
        <v>37-3011.00</v>
      </c>
      <c r="CQ789" t="s">
        <v>920</v>
      </c>
      <c r="CS789" t="s">
        <v>131</v>
      </c>
      <c r="CU789" t="s">
        <v>7315</v>
      </c>
      <c r="CW789" t="s">
        <v>1812</v>
      </c>
      <c r="CX789" t="s">
        <v>195</v>
      </c>
      <c r="CZ789" s="3" t="str">
        <f>"33432"</f>
        <v>33432</v>
      </c>
      <c r="DA789" t="s">
        <v>131</v>
      </c>
      <c r="DB789" t="str">
        <f>"37-3011"</f>
        <v>37-3011</v>
      </c>
      <c r="DC789" t="s">
        <v>920</v>
      </c>
      <c r="DD789" t="s">
        <v>134</v>
      </c>
      <c r="DE789" t="s">
        <v>134</v>
      </c>
      <c r="DF789" t="str">
        <f>""</f>
        <v/>
      </c>
      <c r="DH789" s="6">
        <v>14.2</v>
      </c>
      <c r="DI789" t="s">
        <v>344</v>
      </c>
      <c r="DK789" t="s">
        <v>345</v>
      </c>
      <c r="DS789" s="6">
        <v>14.2</v>
      </c>
      <c r="DT789" t="s">
        <v>424</v>
      </c>
      <c r="DU789" s="1">
        <v>44369</v>
      </c>
      <c r="DV789" s="1">
        <v>44458</v>
      </c>
    </row>
    <row r="790" spans="1:126" ht="15" customHeight="1" x14ac:dyDescent="0.35">
      <c r="A790" t="s">
        <v>7312</v>
      </c>
      <c r="B790" t="s">
        <v>318</v>
      </c>
      <c r="C790" s="1">
        <v>44342</v>
      </c>
      <c r="D790" s="1">
        <v>44369</v>
      </c>
      <c r="H790" t="s">
        <v>319</v>
      </c>
      <c r="I790" t="s">
        <v>7313</v>
      </c>
      <c r="J790" t="s">
        <v>7314</v>
      </c>
      <c r="L790" t="s">
        <v>2076</v>
      </c>
      <c r="M790" t="s">
        <v>7315</v>
      </c>
      <c r="O790" t="s">
        <v>7316</v>
      </c>
      <c r="P790" t="s">
        <v>194</v>
      </c>
      <c r="Q790" s="3">
        <v>33432</v>
      </c>
      <c r="R790" t="s">
        <v>128</v>
      </c>
      <c r="T790" s="4">
        <v>15612108117</v>
      </c>
      <c r="V790" t="s">
        <v>134</v>
      </c>
      <c r="W790" t="s">
        <v>7317</v>
      </c>
      <c r="Y790" t="s">
        <v>7315</v>
      </c>
      <c r="AA790" t="s">
        <v>1812</v>
      </c>
      <c r="AB790" t="s">
        <v>195</v>
      </c>
      <c r="AC790" s="3" t="str">
        <f>"33432"</f>
        <v>33432</v>
      </c>
      <c r="AD790" t="s">
        <v>128</v>
      </c>
      <c r="AF790" s="4">
        <v>15612108117</v>
      </c>
      <c r="AH790" t="str">
        <f>"71391"</f>
        <v>71391</v>
      </c>
      <c r="AI790" t="s">
        <v>287</v>
      </c>
      <c r="AJ790" t="s">
        <v>573</v>
      </c>
      <c r="AK790" t="s">
        <v>574</v>
      </c>
      <c r="AM790" t="s">
        <v>575</v>
      </c>
      <c r="AO790" t="s">
        <v>576</v>
      </c>
      <c r="AP790" t="s">
        <v>129</v>
      </c>
      <c r="AQ790" s="5">
        <v>14850</v>
      </c>
      <c r="AR790" t="s">
        <v>128</v>
      </c>
      <c r="AT790" s="4">
        <v>18777387462</v>
      </c>
      <c r="AV790" t="s">
        <v>577</v>
      </c>
      <c r="AW790" t="s">
        <v>578</v>
      </c>
      <c r="AX790" t="s">
        <v>131</v>
      </c>
      <c r="AY790" t="s">
        <v>131</v>
      </c>
      <c r="AZ790" t="s">
        <v>131</v>
      </c>
      <c r="BA790" t="s">
        <v>131</v>
      </c>
      <c r="BB790" t="s">
        <v>131</v>
      </c>
      <c r="BC790" t="s">
        <v>131</v>
      </c>
      <c r="BD790" t="s">
        <v>131</v>
      </c>
      <c r="BE790" t="s">
        <v>132</v>
      </c>
      <c r="BH790" t="s">
        <v>579</v>
      </c>
      <c r="BI790" t="s">
        <v>131</v>
      </c>
      <c r="BL790" t="s">
        <v>167</v>
      </c>
      <c r="BO790" t="s">
        <v>131</v>
      </c>
      <c r="BP790" t="s">
        <v>134</v>
      </c>
      <c r="BQ790" t="s">
        <v>131</v>
      </c>
      <c r="BS790" t="str">
        <f t="shared" si="56"/>
        <v>N/A</v>
      </c>
      <c r="BT790" t="s">
        <v>135</v>
      </c>
      <c r="BU790">
        <v>6</v>
      </c>
      <c r="BV790" t="str">
        <f>"Restaurant Cook preparing foods from scratch "</f>
        <v xml:space="preserve">Restaurant Cook preparing foods from scratch </v>
      </c>
      <c r="BW790" t="s">
        <v>135</v>
      </c>
      <c r="BX790" t="str">
        <f>""</f>
        <v/>
      </c>
      <c r="BY790" t="str">
        <f>""</f>
        <v/>
      </c>
      <c r="BZ790" t="str">
        <f>""</f>
        <v/>
      </c>
      <c r="CA790" s="2" t="s">
        <v>7318</v>
      </c>
      <c r="CB790" t="s">
        <v>131</v>
      </c>
      <c r="CF790" t="s">
        <v>131</v>
      </c>
      <c r="CH790" t="str">
        <f>""</f>
        <v/>
      </c>
      <c r="CI790" t="s">
        <v>131</v>
      </c>
      <c r="CK790" t="s">
        <v>131</v>
      </c>
      <c r="CL790" t="str">
        <f>""</f>
        <v/>
      </c>
      <c r="CM790" t="str">
        <f>""</f>
        <v/>
      </c>
      <c r="CN790" t="str">
        <f>""</f>
        <v/>
      </c>
      <c r="CO790" t="str">
        <f>""</f>
        <v/>
      </c>
      <c r="CP790" t="str">
        <f>"35-2014.00"</f>
        <v>35-2014.00</v>
      </c>
      <c r="CQ790" t="s">
        <v>581</v>
      </c>
      <c r="CS790" t="s">
        <v>131</v>
      </c>
      <c r="CU790" t="s">
        <v>7315</v>
      </c>
      <c r="CW790" t="s">
        <v>1812</v>
      </c>
      <c r="CX790" t="s">
        <v>195</v>
      </c>
      <c r="CZ790" s="3" t="str">
        <f>"33432"</f>
        <v>33432</v>
      </c>
      <c r="DA790" t="s">
        <v>131</v>
      </c>
      <c r="DB790" t="str">
        <f>"35-2014"</f>
        <v>35-2014</v>
      </c>
      <c r="DC790" t="s">
        <v>581</v>
      </c>
      <c r="DD790" t="s">
        <v>134</v>
      </c>
      <c r="DE790" t="s">
        <v>134</v>
      </c>
      <c r="DF790" t="str">
        <f>""</f>
        <v/>
      </c>
      <c r="DH790" s="6">
        <v>14.63</v>
      </c>
      <c r="DI790" t="s">
        <v>344</v>
      </c>
      <c r="DK790" t="s">
        <v>345</v>
      </c>
      <c r="DS790" s="6">
        <v>14.63</v>
      </c>
      <c r="DT790" t="s">
        <v>424</v>
      </c>
      <c r="DU790" s="1">
        <v>44369</v>
      </c>
      <c r="DV790" s="1">
        <v>44458</v>
      </c>
    </row>
    <row r="791" spans="1:126" ht="15" customHeight="1" x14ac:dyDescent="0.35">
      <c r="A791" t="s">
        <v>14899</v>
      </c>
      <c r="B791" t="s">
        <v>318</v>
      </c>
      <c r="C791" s="1">
        <v>44342</v>
      </c>
      <c r="D791" s="1">
        <v>44369</v>
      </c>
      <c r="H791" t="s">
        <v>319</v>
      </c>
      <c r="I791" t="s">
        <v>7897</v>
      </c>
      <c r="J791" t="s">
        <v>14900</v>
      </c>
      <c r="L791" t="s">
        <v>7899</v>
      </c>
      <c r="M791" t="s">
        <v>7900</v>
      </c>
      <c r="O791" t="s">
        <v>7901</v>
      </c>
      <c r="P791" t="s">
        <v>194</v>
      </c>
      <c r="Q791" s="3">
        <v>33931</v>
      </c>
      <c r="R791" t="s">
        <v>128</v>
      </c>
      <c r="T791" s="4">
        <v>12394638630</v>
      </c>
      <c r="V791" t="s">
        <v>134</v>
      </c>
      <c r="W791" t="s">
        <v>14901</v>
      </c>
      <c r="X791" t="s">
        <v>7903</v>
      </c>
      <c r="Y791" t="s">
        <v>7900</v>
      </c>
      <c r="AA791" t="s">
        <v>7901</v>
      </c>
      <c r="AB791" t="s">
        <v>195</v>
      </c>
      <c r="AC791" s="3" t="str">
        <f>"33931"</f>
        <v>33931</v>
      </c>
      <c r="AD791" t="s">
        <v>128</v>
      </c>
      <c r="AF791" s="4">
        <v>12394638630</v>
      </c>
      <c r="AH791" t="str">
        <f>"72111"</f>
        <v>72111</v>
      </c>
      <c r="AI791" t="s">
        <v>287</v>
      </c>
      <c r="AJ791" t="s">
        <v>573</v>
      </c>
      <c r="AK791" t="s">
        <v>574</v>
      </c>
      <c r="AM791" t="s">
        <v>575</v>
      </c>
      <c r="AO791" t="s">
        <v>576</v>
      </c>
      <c r="AP791" t="s">
        <v>129</v>
      </c>
      <c r="AQ791" s="5">
        <v>14850</v>
      </c>
      <c r="AR791" t="s">
        <v>128</v>
      </c>
      <c r="AT791" s="4">
        <v>18777387462</v>
      </c>
      <c r="AV791" t="s">
        <v>577</v>
      </c>
      <c r="AW791" t="s">
        <v>578</v>
      </c>
      <c r="AX791" t="s">
        <v>131</v>
      </c>
      <c r="AY791" t="s">
        <v>131</v>
      </c>
      <c r="AZ791" t="s">
        <v>131</v>
      </c>
      <c r="BA791" t="s">
        <v>131</v>
      </c>
      <c r="BB791" t="s">
        <v>131</v>
      </c>
      <c r="BC791" t="s">
        <v>131</v>
      </c>
      <c r="BD791" t="s">
        <v>131</v>
      </c>
      <c r="BE791" t="s">
        <v>132</v>
      </c>
      <c r="BH791" t="s">
        <v>579</v>
      </c>
      <c r="BI791" t="s">
        <v>131</v>
      </c>
      <c r="BL791" t="s">
        <v>167</v>
      </c>
      <c r="BO791" t="s">
        <v>131</v>
      </c>
      <c r="BP791" t="s">
        <v>134</v>
      </c>
      <c r="BQ791" t="s">
        <v>131</v>
      </c>
      <c r="BS791" t="str">
        <f t="shared" si="56"/>
        <v>N/A</v>
      </c>
      <c r="BT791" t="s">
        <v>135</v>
      </c>
      <c r="BU791">
        <v>6</v>
      </c>
      <c r="BV791" t="str">
        <f>"Restaurant Cook preparing foods from scratch "</f>
        <v xml:space="preserve">Restaurant Cook preparing foods from scratch </v>
      </c>
      <c r="BW791" t="s">
        <v>135</v>
      </c>
      <c r="BX791" t="str">
        <f>""</f>
        <v/>
      </c>
      <c r="BY791" t="str">
        <f>""</f>
        <v/>
      </c>
      <c r="BZ791" t="str">
        <f>""</f>
        <v/>
      </c>
      <c r="CA791" s="2" t="s">
        <v>7906</v>
      </c>
      <c r="CB791" t="s">
        <v>131</v>
      </c>
      <c r="CF791" t="s">
        <v>131</v>
      </c>
      <c r="CH791" t="str">
        <f>""</f>
        <v/>
      </c>
      <c r="CI791" t="s">
        <v>131</v>
      </c>
      <c r="CK791" t="s">
        <v>131</v>
      </c>
      <c r="CL791" t="str">
        <f>""</f>
        <v/>
      </c>
      <c r="CM791" t="str">
        <f>""</f>
        <v/>
      </c>
      <c r="CN791" t="str">
        <f>""</f>
        <v/>
      </c>
      <c r="CO791" t="str">
        <f>""</f>
        <v/>
      </c>
      <c r="CP791" t="str">
        <f>"35-2014.00"</f>
        <v>35-2014.00</v>
      </c>
      <c r="CQ791" t="s">
        <v>581</v>
      </c>
      <c r="CS791" t="s">
        <v>131</v>
      </c>
      <c r="CU791" t="s">
        <v>7900</v>
      </c>
      <c r="CW791" t="s">
        <v>7901</v>
      </c>
      <c r="CX791" t="s">
        <v>195</v>
      </c>
      <c r="CZ791" s="3" t="str">
        <f>"33931"</f>
        <v>33931</v>
      </c>
      <c r="DA791" t="s">
        <v>131</v>
      </c>
      <c r="DB791" t="str">
        <f>"35-2014"</f>
        <v>35-2014</v>
      </c>
      <c r="DC791" t="s">
        <v>581</v>
      </c>
      <c r="DD791" t="s">
        <v>134</v>
      </c>
      <c r="DE791" t="s">
        <v>134</v>
      </c>
      <c r="DF791" t="str">
        <f>""</f>
        <v/>
      </c>
      <c r="DH791" s="6">
        <v>14.08</v>
      </c>
      <c r="DI791" t="s">
        <v>344</v>
      </c>
      <c r="DK791" t="s">
        <v>345</v>
      </c>
      <c r="DS791" s="6">
        <v>14.08</v>
      </c>
      <c r="DT791" t="s">
        <v>424</v>
      </c>
      <c r="DU791" s="1">
        <v>44369</v>
      </c>
      <c r="DV791" s="1">
        <v>44458</v>
      </c>
    </row>
    <row r="792" spans="1:126" ht="15" customHeight="1" x14ac:dyDescent="0.35">
      <c r="A792" t="s">
        <v>7896</v>
      </c>
      <c r="B792" t="s">
        <v>318</v>
      </c>
      <c r="C792" s="1">
        <v>44342</v>
      </c>
      <c r="D792" s="1">
        <v>44369</v>
      </c>
      <c r="H792" t="s">
        <v>319</v>
      </c>
      <c r="I792" t="s">
        <v>7897</v>
      </c>
      <c r="J792" t="s">
        <v>7898</v>
      </c>
      <c r="L792" t="s">
        <v>7899</v>
      </c>
      <c r="M792" t="s">
        <v>7900</v>
      </c>
      <c r="O792" t="s">
        <v>7901</v>
      </c>
      <c r="P792" t="s">
        <v>194</v>
      </c>
      <c r="Q792" s="3">
        <v>33931</v>
      </c>
      <c r="R792" t="s">
        <v>128</v>
      </c>
      <c r="T792" s="4">
        <v>12394638630</v>
      </c>
      <c r="V792" t="s">
        <v>134</v>
      </c>
      <c r="W792" t="s">
        <v>7902</v>
      </c>
      <c r="X792" t="s">
        <v>7903</v>
      </c>
      <c r="Y792" t="s">
        <v>7904</v>
      </c>
      <c r="AA792" t="s">
        <v>7901</v>
      </c>
      <c r="AB792" t="s">
        <v>195</v>
      </c>
      <c r="AC792" s="3" t="str">
        <f>"33931"</f>
        <v>33931</v>
      </c>
      <c r="AD792" t="s">
        <v>128</v>
      </c>
      <c r="AF792" s="4">
        <v>12394638630</v>
      </c>
      <c r="AH792" t="str">
        <f>"72111"</f>
        <v>72111</v>
      </c>
      <c r="AI792" t="s">
        <v>287</v>
      </c>
      <c r="AJ792" t="s">
        <v>573</v>
      </c>
      <c r="AK792" t="s">
        <v>574</v>
      </c>
      <c r="AM792" t="s">
        <v>575</v>
      </c>
      <c r="AO792" t="s">
        <v>576</v>
      </c>
      <c r="AP792" t="s">
        <v>129</v>
      </c>
      <c r="AQ792" s="5">
        <v>14850</v>
      </c>
      <c r="AR792" t="s">
        <v>128</v>
      </c>
      <c r="AT792" s="4">
        <v>18777387462</v>
      </c>
      <c r="AV792" t="s">
        <v>577</v>
      </c>
      <c r="AW792" t="s">
        <v>578</v>
      </c>
      <c r="AX792" t="s">
        <v>131</v>
      </c>
      <c r="AY792" t="s">
        <v>131</v>
      </c>
      <c r="AZ792" t="s">
        <v>131</v>
      </c>
      <c r="BA792" t="s">
        <v>131</v>
      </c>
      <c r="BB792" t="s">
        <v>131</v>
      </c>
      <c r="BC792" t="s">
        <v>131</v>
      </c>
      <c r="BD792" t="s">
        <v>131</v>
      </c>
      <c r="BE792" t="s">
        <v>132</v>
      </c>
      <c r="BH792" t="s">
        <v>7905</v>
      </c>
      <c r="BI792" t="s">
        <v>131</v>
      </c>
      <c r="BL792" t="s">
        <v>167</v>
      </c>
      <c r="BO792" t="s">
        <v>131</v>
      </c>
      <c r="BP792" t="s">
        <v>134</v>
      </c>
      <c r="BQ792" t="s">
        <v>131</v>
      </c>
      <c r="BS792" t="str">
        <f t="shared" si="56"/>
        <v>N/A</v>
      </c>
      <c r="BT792" t="s">
        <v>135</v>
      </c>
      <c r="BU792">
        <v>3</v>
      </c>
      <c r="BV792" t="str">
        <f>"fine dining service "</f>
        <v xml:space="preserve">fine dining service </v>
      </c>
      <c r="BW792" t="s">
        <v>135</v>
      </c>
      <c r="BX792" t="str">
        <f>""</f>
        <v/>
      </c>
      <c r="BY792" t="str">
        <f>""</f>
        <v/>
      </c>
      <c r="BZ792" t="str">
        <f>""</f>
        <v/>
      </c>
      <c r="CA792" s="2" t="s">
        <v>7906</v>
      </c>
      <c r="CB792" t="s">
        <v>131</v>
      </c>
      <c r="CF792" t="s">
        <v>131</v>
      </c>
      <c r="CH792" t="str">
        <f>""</f>
        <v/>
      </c>
      <c r="CI792" t="s">
        <v>131</v>
      </c>
      <c r="CK792" t="s">
        <v>131</v>
      </c>
      <c r="CL792" t="str">
        <f>""</f>
        <v/>
      </c>
      <c r="CM792" t="str">
        <f>""</f>
        <v/>
      </c>
      <c r="CN792" t="str">
        <f>""</f>
        <v/>
      </c>
      <c r="CO792" t="str">
        <f>""</f>
        <v/>
      </c>
      <c r="CP792" t="str">
        <f>"35-3031.00"</f>
        <v>35-3031.00</v>
      </c>
      <c r="CQ792" t="s">
        <v>1214</v>
      </c>
      <c r="CS792" t="s">
        <v>131</v>
      </c>
      <c r="CU792" t="s">
        <v>7900</v>
      </c>
      <c r="CW792" t="s">
        <v>7901</v>
      </c>
      <c r="CX792" t="s">
        <v>195</v>
      </c>
      <c r="CZ792" s="3" t="str">
        <f>"33931"</f>
        <v>33931</v>
      </c>
      <c r="DA792" t="s">
        <v>131</v>
      </c>
      <c r="DB792" t="str">
        <f>"35-3031"</f>
        <v>35-3031</v>
      </c>
      <c r="DC792" t="s">
        <v>1214</v>
      </c>
      <c r="DD792" t="s">
        <v>134</v>
      </c>
      <c r="DE792" t="s">
        <v>134</v>
      </c>
      <c r="DF792" t="str">
        <f>""</f>
        <v/>
      </c>
      <c r="DH792" s="6">
        <v>11.29</v>
      </c>
      <c r="DI792" t="s">
        <v>344</v>
      </c>
      <c r="DK792" t="s">
        <v>345</v>
      </c>
      <c r="DS792" s="6">
        <v>11.29</v>
      </c>
      <c r="DT792" t="s">
        <v>424</v>
      </c>
      <c r="DU792" s="1">
        <v>44369</v>
      </c>
      <c r="DV792" s="1">
        <v>44458</v>
      </c>
    </row>
    <row r="793" spans="1:126" ht="15" customHeight="1" x14ac:dyDescent="0.35">
      <c r="A793" t="s">
        <v>19683</v>
      </c>
      <c r="B793" t="s">
        <v>318</v>
      </c>
      <c r="C793" s="1">
        <v>44342</v>
      </c>
      <c r="D793" s="1">
        <v>44369</v>
      </c>
      <c r="H793" t="s">
        <v>319</v>
      </c>
      <c r="I793" t="s">
        <v>567</v>
      </c>
      <c r="J793" t="s">
        <v>568</v>
      </c>
      <c r="L793" t="s">
        <v>569</v>
      </c>
      <c r="M793" t="s">
        <v>570</v>
      </c>
      <c r="O793" t="s">
        <v>19684</v>
      </c>
      <c r="P793" t="s">
        <v>194</v>
      </c>
      <c r="Q793" s="3">
        <v>33436</v>
      </c>
      <c r="R793" t="s">
        <v>128</v>
      </c>
      <c r="T793" s="4">
        <v>15617326404</v>
      </c>
      <c r="V793" t="s">
        <v>134</v>
      </c>
      <c r="W793" t="s">
        <v>572</v>
      </c>
      <c r="Y793" t="s">
        <v>570</v>
      </c>
      <c r="AA793" t="s">
        <v>571</v>
      </c>
      <c r="AB793" t="s">
        <v>195</v>
      </c>
      <c r="AC793" s="3" t="str">
        <f>"33436"</f>
        <v>33436</v>
      </c>
      <c r="AD793" t="s">
        <v>128</v>
      </c>
      <c r="AF793" s="4">
        <v>15617326404</v>
      </c>
      <c r="AH793" t="str">
        <f t="shared" ref="AH793:AH817" si="57">"71391"</f>
        <v>71391</v>
      </c>
      <c r="AI793" t="s">
        <v>287</v>
      </c>
      <c r="AJ793" t="s">
        <v>573</v>
      </c>
      <c r="AK793" t="s">
        <v>574</v>
      </c>
      <c r="AM793" t="s">
        <v>575</v>
      </c>
      <c r="AO793" t="s">
        <v>576</v>
      </c>
      <c r="AP793" t="s">
        <v>129</v>
      </c>
      <c r="AQ793" s="5">
        <v>14850</v>
      </c>
      <c r="AR793" t="s">
        <v>128</v>
      </c>
      <c r="AT793" s="4">
        <v>18777387462</v>
      </c>
      <c r="AV793" t="s">
        <v>577</v>
      </c>
      <c r="AW793" t="s">
        <v>578</v>
      </c>
      <c r="AX793" t="s">
        <v>131</v>
      </c>
      <c r="AY793" t="s">
        <v>131</v>
      </c>
      <c r="AZ793" t="s">
        <v>131</v>
      </c>
      <c r="BA793" t="s">
        <v>131</v>
      </c>
      <c r="BB793" t="s">
        <v>131</v>
      </c>
      <c r="BC793" t="s">
        <v>131</v>
      </c>
      <c r="BD793" t="s">
        <v>131</v>
      </c>
      <c r="BE793" t="s">
        <v>132</v>
      </c>
      <c r="BH793" t="s">
        <v>7905</v>
      </c>
      <c r="BI793" t="s">
        <v>131</v>
      </c>
      <c r="BL793" t="s">
        <v>167</v>
      </c>
      <c r="BO793" t="s">
        <v>131</v>
      </c>
      <c r="BP793" t="s">
        <v>134</v>
      </c>
      <c r="BQ793" t="s">
        <v>131</v>
      </c>
      <c r="BS793" t="str">
        <f t="shared" si="56"/>
        <v>N/A</v>
      </c>
      <c r="BT793" t="s">
        <v>135</v>
      </c>
      <c r="BU793">
        <v>3</v>
      </c>
      <c r="BV793" t="str">
        <f>"fine dining service "</f>
        <v xml:space="preserve">fine dining service </v>
      </c>
      <c r="BW793" t="s">
        <v>135</v>
      </c>
      <c r="BX793" t="str">
        <f>""</f>
        <v/>
      </c>
      <c r="BY793" t="str">
        <f>""</f>
        <v/>
      </c>
      <c r="BZ793" t="str">
        <f>""</f>
        <v/>
      </c>
      <c r="CA793" s="2" t="s">
        <v>580</v>
      </c>
      <c r="CB793" t="s">
        <v>131</v>
      </c>
      <c r="CF793" t="s">
        <v>131</v>
      </c>
      <c r="CH793" t="str">
        <f>""</f>
        <v/>
      </c>
      <c r="CI793" t="s">
        <v>131</v>
      </c>
      <c r="CK793" t="s">
        <v>131</v>
      </c>
      <c r="CL793" t="str">
        <f>""</f>
        <v/>
      </c>
      <c r="CM793" t="str">
        <f>""</f>
        <v/>
      </c>
      <c r="CN793" t="str">
        <f>""</f>
        <v/>
      </c>
      <c r="CO793" t="str">
        <f>""</f>
        <v/>
      </c>
      <c r="CP793" t="str">
        <f>"35-3031.00"</f>
        <v>35-3031.00</v>
      </c>
      <c r="CQ793" t="s">
        <v>1214</v>
      </c>
      <c r="CS793" t="s">
        <v>131</v>
      </c>
      <c r="CU793" t="s">
        <v>570</v>
      </c>
      <c r="CW793" t="s">
        <v>571</v>
      </c>
      <c r="CX793" t="s">
        <v>195</v>
      </c>
      <c r="CZ793" s="3" t="str">
        <f>"33436"</f>
        <v>33436</v>
      </c>
      <c r="DA793" t="s">
        <v>131</v>
      </c>
      <c r="DB793" t="str">
        <f>"35-3031"</f>
        <v>35-3031</v>
      </c>
      <c r="DC793" t="s">
        <v>1214</v>
      </c>
      <c r="DD793" t="s">
        <v>134</v>
      </c>
      <c r="DE793" t="s">
        <v>134</v>
      </c>
      <c r="DF793" t="str">
        <f>""</f>
        <v/>
      </c>
      <c r="DH793" s="6">
        <v>12.55</v>
      </c>
      <c r="DI793" t="s">
        <v>344</v>
      </c>
      <c r="DK793" t="s">
        <v>345</v>
      </c>
      <c r="DS793" s="6">
        <v>12.55</v>
      </c>
      <c r="DT793" t="s">
        <v>424</v>
      </c>
      <c r="DU793" s="1">
        <v>44369</v>
      </c>
      <c r="DV793" s="1">
        <v>44458</v>
      </c>
    </row>
    <row r="794" spans="1:126" ht="15" customHeight="1" x14ac:dyDescent="0.35">
      <c r="A794" t="s">
        <v>566</v>
      </c>
      <c r="B794" t="s">
        <v>318</v>
      </c>
      <c r="C794" s="1">
        <v>44342</v>
      </c>
      <c r="D794" s="1">
        <v>44369</v>
      </c>
      <c r="H794" t="s">
        <v>319</v>
      </c>
      <c r="I794" t="s">
        <v>567</v>
      </c>
      <c r="J794" t="s">
        <v>568</v>
      </c>
      <c r="L794" t="s">
        <v>569</v>
      </c>
      <c r="M794" t="s">
        <v>570</v>
      </c>
      <c r="O794" t="s">
        <v>571</v>
      </c>
      <c r="P794" t="s">
        <v>194</v>
      </c>
      <c r="Q794" s="3">
        <v>33436</v>
      </c>
      <c r="R794" t="s">
        <v>128</v>
      </c>
      <c r="T794" s="4">
        <v>15617326404</v>
      </c>
      <c r="V794" t="s">
        <v>134</v>
      </c>
      <c r="W794" t="s">
        <v>572</v>
      </c>
      <c r="Y794" t="s">
        <v>570</v>
      </c>
      <c r="AA794" t="s">
        <v>571</v>
      </c>
      <c r="AB794" t="s">
        <v>195</v>
      </c>
      <c r="AC794" s="3" t="str">
        <f>"33436"</f>
        <v>33436</v>
      </c>
      <c r="AD794" t="s">
        <v>128</v>
      </c>
      <c r="AF794" s="4">
        <v>15617326404</v>
      </c>
      <c r="AH794" t="str">
        <f t="shared" si="57"/>
        <v>71391</v>
      </c>
      <c r="AI794" t="s">
        <v>287</v>
      </c>
      <c r="AJ794" t="s">
        <v>573</v>
      </c>
      <c r="AK794" t="s">
        <v>574</v>
      </c>
      <c r="AM794" t="s">
        <v>575</v>
      </c>
      <c r="AO794" t="s">
        <v>576</v>
      </c>
      <c r="AP794" t="s">
        <v>129</v>
      </c>
      <c r="AQ794" s="5">
        <v>14850</v>
      </c>
      <c r="AR794" t="s">
        <v>128</v>
      </c>
      <c r="AT794" s="4">
        <v>18777387462</v>
      </c>
      <c r="AV794" t="s">
        <v>577</v>
      </c>
      <c r="AW794" t="s">
        <v>578</v>
      </c>
      <c r="AX794" t="s">
        <v>131</v>
      </c>
      <c r="AY794" t="s">
        <v>131</v>
      </c>
      <c r="AZ794" t="s">
        <v>131</v>
      </c>
      <c r="BA794" t="s">
        <v>131</v>
      </c>
      <c r="BB794" t="s">
        <v>131</v>
      </c>
      <c r="BC794" t="s">
        <v>131</v>
      </c>
      <c r="BD794" t="s">
        <v>131</v>
      </c>
      <c r="BE794" t="s">
        <v>132</v>
      </c>
      <c r="BH794" t="s">
        <v>579</v>
      </c>
      <c r="BI794" t="s">
        <v>131</v>
      </c>
      <c r="BL794" t="s">
        <v>167</v>
      </c>
      <c r="BO794" t="s">
        <v>131</v>
      </c>
      <c r="BP794" t="s">
        <v>134</v>
      </c>
      <c r="BQ794" t="s">
        <v>131</v>
      </c>
      <c r="BS794" t="str">
        <f t="shared" si="56"/>
        <v>N/A</v>
      </c>
      <c r="BT794" t="s">
        <v>135</v>
      </c>
      <c r="BU794">
        <v>6</v>
      </c>
      <c r="BV794" t="str">
        <f>"Restaurant Cook preparing foods from scratch "</f>
        <v xml:space="preserve">Restaurant Cook preparing foods from scratch </v>
      </c>
      <c r="BW794" t="s">
        <v>135</v>
      </c>
      <c r="BX794" t="str">
        <f>""</f>
        <v/>
      </c>
      <c r="BY794" t="str">
        <f>""</f>
        <v/>
      </c>
      <c r="BZ794" t="str">
        <f>""</f>
        <v/>
      </c>
      <c r="CA794" s="2" t="s">
        <v>580</v>
      </c>
      <c r="CB794" t="s">
        <v>131</v>
      </c>
      <c r="CF794" t="s">
        <v>131</v>
      </c>
      <c r="CH794" t="str">
        <f>""</f>
        <v/>
      </c>
      <c r="CI794" t="s">
        <v>131</v>
      </c>
      <c r="CK794" t="s">
        <v>131</v>
      </c>
      <c r="CL794" t="str">
        <f>""</f>
        <v/>
      </c>
      <c r="CM794" t="str">
        <f>""</f>
        <v/>
      </c>
      <c r="CN794" t="str">
        <f>""</f>
        <v/>
      </c>
      <c r="CO794" t="str">
        <f>""</f>
        <v/>
      </c>
      <c r="CP794" t="str">
        <f>"35-2014.00"</f>
        <v>35-2014.00</v>
      </c>
      <c r="CQ794" t="s">
        <v>581</v>
      </c>
      <c r="CS794" t="s">
        <v>131</v>
      </c>
      <c r="CU794" t="s">
        <v>570</v>
      </c>
      <c r="CW794" t="s">
        <v>571</v>
      </c>
      <c r="CX794" t="s">
        <v>195</v>
      </c>
      <c r="CZ794" s="3" t="str">
        <f>"33436"</f>
        <v>33436</v>
      </c>
      <c r="DA794" t="s">
        <v>131</v>
      </c>
      <c r="DB794" t="str">
        <f>"35-2014"</f>
        <v>35-2014</v>
      </c>
      <c r="DC794" t="s">
        <v>581</v>
      </c>
      <c r="DD794" t="s">
        <v>134</v>
      </c>
      <c r="DE794" t="s">
        <v>134</v>
      </c>
      <c r="DF794" t="str">
        <f>""</f>
        <v/>
      </c>
      <c r="DH794" s="6">
        <v>14.63</v>
      </c>
      <c r="DI794" t="s">
        <v>344</v>
      </c>
      <c r="DK794" t="s">
        <v>345</v>
      </c>
      <c r="DS794" s="6">
        <v>14.63</v>
      </c>
      <c r="DT794" t="s">
        <v>424</v>
      </c>
      <c r="DU794" s="1">
        <v>44369</v>
      </c>
      <c r="DV794" s="1">
        <v>44458</v>
      </c>
    </row>
    <row r="795" spans="1:126" ht="15" customHeight="1" x14ac:dyDescent="0.35">
      <c r="A795" t="s">
        <v>19262</v>
      </c>
      <c r="B795" t="s">
        <v>318</v>
      </c>
      <c r="C795" s="1">
        <v>44342</v>
      </c>
      <c r="D795" s="1">
        <v>44369</v>
      </c>
      <c r="H795" t="s">
        <v>319</v>
      </c>
      <c r="I795" t="s">
        <v>7913</v>
      </c>
      <c r="J795" t="s">
        <v>17326</v>
      </c>
      <c r="L795" t="s">
        <v>2076</v>
      </c>
      <c r="M795" t="s">
        <v>8419</v>
      </c>
      <c r="O795" t="s">
        <v>2156</v>
      </c>
      <c r="P795" t="s">
        <v>194</v>
      </c>
      <c r="Q795" s="3">
        <v>33480</v>
      </c>
      <c r="R795" t="s">
        <v>128</v>
      </c>
      <c r="T795" s="4">
        <v>15618225055</v>
      </c>
      <c r="V795" t="s">
        <v>134</v>
      </c>
      <c r="W795" t="s">
        <v>8420</v>
      </c>
      <c r="Y795" t="s">
        <v>8419</v>
      </c>
      <c r="AA795" t="s">
        <v>2156</v>
      </c>
      <c r="AB795" t="s">
        <v>195</v>
      </c>
      <c r="AC795" s="3" t="str">
        <f>"33480"</f>
        <v>33480</v>
      </c>
      <c r="AD795" t="s">
        <v>128</v>
      </c>
      <c r="AF795" s="4">
        <v>15618225055</v>
      </c>
      <c r="AH795" t="str">
        <f t="shared" si="57"/>
        <v>71391</v>
      </c>
      <c r="AI795" t="s">
        <v>287</v>
      </c>
      <c r="AJ795" t="s">
        <v>573</v>
      </c>
      <c r="AK795" t="s">
        <v>574</v>
      </c>
      <c r="AM795" t="s">
        <v>575</v>
      </c>
      <c r="AO795" t="s">
        <v>576</v>
      </c>
      <c r="AP795" t="s">
        <v>129</v>
      </c>
      <c r="AQ795" s="5">
        <v>14850</v>
      </c>
      <c r="AR795" t="s">
        <v>128</v>
      </c>
      <c r="AT795" s="4">
        <v>18777387462</v>
      </c>
      <c r="AV795" t="s">
        <v>577</v>
      </c>
      <c r="AW795" t="s">
        <v>578</v>
      </c>
      <c r="AX795" t="s">
        <v>131</v>
      </c>
      <c r="AY795" t="s">
        <v>131</v>
      </c>
      <c r="AZ795" t="s">
        <v>131</v>
      </c>
      <c r="BA795" t="s">
        <v>131</v>
      </c>
      <c r="BB795" t="s">
        <v>131</v>
      </c>
      <c r="BC795" t="s">
        <v>131</v>
      </c>
      <c r="BD795" t="s">
        <v>131</v>
      </c>
      <c r="BE795" t="s">
        <v>132</v>
      </c>
      <c r="BH795" t="s">
        <v>19263</v>
      </c>
      <c r="BI795" t="s">
        <v>131</v>
      </c>
      <c r="BL795" t="s">
        <v>167</v>
      </c>
      <c r="BO795" t="s">
        <v>131</v>
      </c>
      <c r="BP795" t="s">
        <v>134</v>
      </c>
      <c r="BQ795" t="s">
        <v>131</v>
      </c>
      <c r="BS795" t="str">
        <f t="shared" si="56"/>
        <v>N/A</v>
      </c>
      <c r="BT795" t="s">
        <v>135</v>
      </c>
      <c r="BU795">
        <v>3</v>
      </c>
      <c r="BV795" t="str">
        <f>"Housekeeper in luxury hospitality setting"</f>
        <v>Housekeeper in luxury hospitality setting</v>
      </c>
      <c r="BW795" t="s">
        <v>135</v>
      </c>
      <c r="BX795" t="str">
        <f>""</f>
        <v/>
      </c>
      <c r="BY795" t="str">
        <f>""</f>
        <v/>
      </c>
      <c r="BZ795" t="str">
        <f>""</f>
        <v/>
      </c>
      <c r="CA795" s="2" t="s">
        <v>8421</v>
      </c>
      <c r="CB795" t="s">
        <v>131</v>
      </c>
      <c r="CF795" t="s">
        <v>131</v>
      </c>
      <c r="CH795" t="str">
        <f>""</f>
        <v/>
      </c>
      <c r="CI795" t="s">
        <v>131</v>
      </c>
      <c r="CK795" t="s">
        <v>131</v>
      </c>
      <c r="CL795" t="str">
        <f>""</f>
        <v/>
      </c>
      <c r="CM795" t="str">
        <f>""</f>
        <v/>
      </c>
      <c r="CN795" t="str">
        <f>""</f>
        <v/>
      </c>
      <c r="CO795" t="str">
        <f>""</f>
        <v/>
      </c>
      <c r="CP795" t="str">
        <f>"37-2012.00"</f>
        <v>37-2012.00</v>
      </c>
      <c r="CQ795" t="s">
        <v>479</v>
      </c>
      <c r="CS795" t="s">
        <v>131</v>
      </c>
      <c r="CU795" t="s">
        <v>8419</v>
      </c>
      <c r="CW795" t="s">
        <v>2156</v>
      </c>
      <c r="CX795" t="s">
        <v>195</v>
      </c>
      <c r="CZ795" s="3" t="str">
        <f>"33480"</f>
        <v>33480</v>
      </c>
      <c r="DA795" t="s">
        <v>131</v>
      </c>
      <c r="DB795" t="str">
        <f>"37-2012"</f>
        <v>37-2012</v>
      </c>
      <c r="DC795" t="s">
        <v>479</v>
      </c>
      <c r="DD795" t="s">
        <v>134</v>
      </c>
      <c r="DE795" t="s">
        <v>134</v>
      </c>
      <c r="DF795" t="str">
        <f>""</f>
        <v/>
      </c>
      <c r="DH795" s="6">
        <v>11.7</v>
      </c>
      <c r="DI795" t="s">
        <v>344</v>
      </c>
      <c r="DK795" t="s">
        <v>345</v>
      </c>
      <c r="DS795" s="6">
        <v>11.7</v>
      </c>
      <c r="DT795" t="s">
        <v>424</v>
      </c>
      <c r="DU795" s="1">
        <v>44369</v>
      </c>
      <c r="DV795" s="1">
        <v>44458</v>
      </c>
    </row>
    <row r="796" spans="1:126" ht="15" customHeight="1" x14ac:dyDescent="0.35">
      <c r="A796" t="s">
        <v>13614</v>
      </c>
      <c r="B796" t="s">
        <v>318</v>
      </c>
      <c r="C796" s="1">
        <v>44342</v>
      </c>
      <c r="D796" s="1">
        <v>44369</v>
      </c>
      <c r="H796" t="s">
        <v>319</v>
      </c>
      <c r="I796" t="s">
        <v>7913</v>
      </c>
      <c r="J796" t="s">
        <v>8418</v>
      </c>
      <c r="L796" t="s">
        <v>2076</v>
      </c>
      <c r="M796" t="s">
        <v>8419</v>
      </c>
      <c r="O796" t="s">
        <v>2156</v>
      </c>
      <c r="P796" t="s">
        <v>194</v>
      </c>
      <c r="Q796" s="3">
        <v>33480</v>
      </c>
      <c r="R796" t="s">
        <v>128</v>
      </c>
      <c r="T796" s="4">
        <v>15618225055</v>
      </c>
      <c r="V796" t="s">
        <v>134</v>
      </c>
      <c r="W796" t="s">
        <v>8420</v>
      </c>
      <c r="Y796" t="s">
        <v>8419</v>
      </c>
      <c r="AA796" t="s">
        <v>2156</v>
      </c>
      <c r="AB796" t="s">
        <v>195</v>
      </c>
      <c r="AC796" s="3" t="str">
        <f>"33480"</f>
        <v>33480</v>
      </c>
      <c r="AD796" t="s">
        <v>128</v>
      </c>
      <c r="AF796" s="4">
        <v>15618225055</v>
      </c>
      <c r="AH796" t="str">
        <f t="shared" si="57"/>
        <v>71391</v>
      </c>
      <c r="AI796" t="s">
        <v>287</v>
      </c>
      <c r="AJ796" t="s">
        <v>573</v>
      </c>
      <c r="AK796" t="s">
        <v>574</v>
      </c>
      <c r="AM796" t="s">
        <v>575</v>
      </c>
      <c r="AO796" t="s">
        <v>576</v>
      </c>
      <c r="AP796" t="s">
        <v>129</v>
      </c>
      <c r="AQ796" s="5">
        <v>14850</v>
      </c>
      <c r="AR796" t="s">
        <v>128</v>
      </c>
      <c r="AT796" s="4">
        <v>18777387462</v>
      </c>
      <c r="AV796" t="s">
        <v>577</v>
      </c>
      <c r="AW796" t="s">
        <v>7184</v>
      </c>
      <c r="AX796" t="s">
        <v>131</v>
      </c>
      <c r="AY796" t="s">
        <v>131</v>
      </c>
      <c r="AZ796" t="s">
        <v>131</v>
      </c>
      <c r="BA796" t="s">
        <v>131</v>
      </c>
      <c r="BB796" t="s">
        <v>131</v>
      </c>
      <c r="BC796" t="s">
        <v>131</v>
      </c>
      <c r="BD796" t="s">
        <v>131</v>
      </c>
      <c r="BE796" t="s">
        <v>132</v>
      </c>
      <c r="BH796" t="s">
        <v>579</v>
      </c>
      <c r="BI796" t="s">
        <v>131</v>
      </c>
      <c r="BL796" t="s">
        <v>167</v>
      </c>
      <c r="BO796" t="s">
        <v>131</v>
      </c>
      <c r="BP796" t="s">
        <v>134</v>
      </c>
      <c r="BQ796" t="s">
        <v>131</v>
      </c>
      <c r="BS796" t="str">
        <f t="shared" si="56"/>
        <v>N/A</v>
      </c>
      <c r="BT796" t="s">
        <v>135</v>
      </c>
      <c r="BU796">
        <v>6</v>
      </c>
      <c r="BV796" t="str">
        <f>"Restaurant Cook preparing foods from scratch "</f>
        <v xml:space="preserve">Restaurant Cook preparing foods from scratch </v>
      </c>
      <c r="BW796" t="s">
        <v>135</v>
      </c>
      <c r="BX796" t="str">
        <f>""</f>
        <v/>
      </c>
      <c r="BY796" t="str">
        <f>""</f>
        <v/>
      </c>
      <c r="BZ796" t="str">
        <f>""</f>
        <v/>
      </c>
      <c r="CA796" s="2" t="s">
        <v>8421</v>
      </c>
      <c r="CB796" t="s">
        <v>131</v>
      </c>
      <c r="CF796" t="s">
        <v>131</v>
      </c>
      <c r="CH796" t="str">
        <f>""</f>
        <v/>
      </c>
      <c r="CI796" t="s">
        <v>131</v>
      </c>
      <c r="CK796" t="s">
        <v>131</v>
      </c>
      <c r="CL796" t="str">
        <f>""</f>
        <v/>
      </c>
      <c r="CM796" t="str">
        <f>""</f>
        <v/>
      </c>
      <c r="CN796" t="str">
        <f>""</f>
        <v/>
      </c>
      <c r="CO796" t="str">
        <f>""</f>
        <v/>
      </c>
      <c r="CP796" t="str">
        <f>"35-2014.00"</f>
        <v>35-2014.00</v>
      </c>
      <c r="CQ796" t="s">
        <v>581</v>
      </c>
      <c r="CS796" t="s">
        <v>131</v>
      </c>
      <c r="CU796" t="s">
        <v>8419</v>
      </c>
      <c r="CW796" t="s">
        <v>2156</v>
      </c>
      <c r="CX796" t="s">
        <v>195</v>
      </c>
      <c r="CZ796" s="3" t="str">
        <f>"33480"</f>
        <v>33480</v>
      </c>
      <c r="DA796" t="s">
        <v>131</v>
      </c>
      <c r="DB796" t="str">
        <f>"35-2014"</f>
        <v>35-2014</v>
      </c>
      <c r="DC796" t="s">
        <v>581</v>
      </c>
      <c r="DD796" t="s">
        <v>134</v>
      </c>
      <c r="DE796" t="s">
        <v>134</v>
      </c>
      <c r="DF796" t="str">
        <f>""</f>
        <v/>
      </c>
      <c r="DH796" s="6">
        <v>14.63</v>
      </c>
      <c r="DI796" t="s">
        <v>344</v>
      </c>
      <c r="DK796" t="s">
        <v>345</v>
      </c>
      <c r="DS796" s="6">
        <v>14.63</v>
      </c>
      <c r="DT796" t="s">
        <v>424</v>
      </c>
      <c r="DU796" s="1">
        <v>44369</v>
      </c>
      <c r="DV796" s="1">
        <v>44458</v>
      </c>
    </row>
    <row r="797" spans="1:126" ht="15" customHeight="1" x14ac:dyDescent="0.35">
      <c r="A797" t="s">
        <v>8417</v>
      </c>
      <c r="B797" t="s">
        <v>318</v>
      </c>
      <c r="C797" s="1">
        <v>44342</v>
      </c>
      <c r="D797" s="1">
        <v>44369</v>
      </c>
      <c r="H797" t="s">
        <v>319</v>
      </c>
      <c r="I797" t="s">
        <v>7913</v>
      </c>
      <c r="J797" t="s">
        <v>8418</v>
      </c>
      <c r="L797" t="s">
        <v>2076</v>
      </c>
      <c r="M797" t="s">
        <v>8419</v>
      </c>
      <c r="O797" t="s">
        <v>2156</v>
      </c>
      <c r="P797" t="s">
        <v>194</v>
      </c>
      <c r="Q797" s="3">
        <v>33480</v>
      </c>
      <c r="R797" t="s">
        <v>128</v>
      </c>
      <c r="T797" s="4">
        <v>15618225055</v>
      </c>
      <c r="V797" t="s">
        <v>134</v>
      </c>
      <c r="W797" t="s">
        <v>8420</v>
      </c>
      <c r="Y797" t="s">
        <v>8419</v>
      </c>
      <c r="AA797" t="s">
        <v>2156</v>
      </c>
      <c r="AB797" t="s">
        <v>195</v>
      </c>
      <c r="AC797" s="3" t="str">
        <f>"33480"</f>
        <v>33480</v>
      </c>
      <c r="AD797" t="s">
        <v>128</v>
      </c>
      <c r="AF797" s="4">
        <v>15618225055</v>
      </c>
      <c r="AH797" t="str">
        <f t="shared" si="57"/>
        <v>71391</v>
      </c>
      <c r="AI797" t="s">
        <v>287</v>
      </c>
      <c r="AJ797" t="s">
        <v>573</v>
      </c>
      <c r="AK797" t="s">
        <v>574</v>
      </c>
      <c r="AM797" t="s">
        <v>575</v>
      </c>
      <c r="AO797" t="s">
        <v>576</v>
      </c>
      <c r="AP797" t="s">
        <v>129</v>
      </c>
      <c r="AQ797" s="5">
        <v>14850</v>
      </c>
      <c r="AR797" t="s">
        <v>128</v>
      </c>
      <c r="AT797" s="4">
        <v>18777387462</v>
      </c>
      <c r="AV797" t="s">
        <v>577</v>
      </c>
      <c r="AW797" t="s">
        <v>578</v>
      </c>
      <c r="AX797" t="s">
        <v>131</v>
      </c>
      <c r="AY797" t="s">
        <v>131</v>
      </c>
      <c r="AZ797" t="s">
        <v>131</v>
      </c>
      <c r="BA797" t="s">
        <v>131</v>
      </c>
      <c r="BB797" t="s">
        <v>131</v>
      </c>
      <c r="BC797" t="s">
        <v>131</v>
      </c>
      <c r="BD797" t="s">
        <v>131</v>
      </c>
      <c r="BE797" t="s">
        <v>132</v>
      </c>
      <c r="BH797" t="s">
        <v>7905</v>
      </c>
      <c r="BI797" t="s">
        <v>131</v>
      </c>
      <c r="BL797" t="s">
        <v>167</v>
      </c>
      <c r="BO797" t="s">
        <v>131</v>
      </c>
      <c r="BP797" t="s">
        <v>134</v>
      </c>
      <c r="BQ797" t="s">
        <v>131</v>
      </c>
      <c r="BS797" t="str">
        <f t="shared" si="56"/>
        <v>N/A</v>
      </c>
      <c r="BT797" t="s">
        <v>135</v>
      </c>
      <c r="BU797">
        <v>3</v>
      </c>
      <c r="BV797" t="str">
        <f>"fine dining service "</f>
        <v xml:space="preserve">fine dining service </v>
      </c>
      <c r="BW797" t="s">
        <v>135</v>
      </c>
      <c r="BX797" t="str">
        <f>""</f>
        <v/>
      </c>
      <c r="BY797" t="str">
        <f>""</f>
        <v/>
      </c>
      <c r="BZ797" t="str">
        <f>""</f>
        <v/>
      </c>
      <c r="CA797" s="2" t="s">
        <v>8421</v>
      </c>
      <c r="CB797" t="s">
        <v>131</v>
      </c>
      <c r="CF797" t="s">
        <v>131</v>
      </c>
      <c r="CH797" t="str">
        <f>""</f>
        <v/>
      </c>
      <c r="CI797" t="s">
        <v>131</v>
      </c>
      <c r="CK797" t="s">
        <v>131</v>
      </c>
      <c r="CL797" t="str">
        <f>""</f>
        <v/>
      </c>
      <c r="CM797" t="str">
        <f>""</f>
        <v/>
      </c>
      <c r="CN797" t="str">
        <f>""</f>
        <v/>
      </c>
      <c r="CO797" t="str">
        <f>""</f>
        <v/>
      </c>
      <c r="CP797" t="str">
        <f>"35-3031.00"</f>
        <v>35-3031.00</v>
      </c>
      <c r="CQ797" t="s">
        <v>1214</v>
      </c>
      <c r="CS797" t="s">
        <v>131</v>
      </c>
      <c r="CU797" t="s">
        <v>8419</v>
      </c>
      <c r="CW797" t="s">
        <v>2156</v>
      </c>
      <c r="CX797" t="s">
        <v>195</v>
      </c>
      <c r="CZ797" s="3" t="str">
        <f>"33480"</f>
        <v>33480</v>
      </c>
      <c r="DA797" t="s">
        <v>131</v>
      </c>
      <c r="DB797" t="str">
        <f>"35-3031"</f>
        <v>35-3031</v>
      </c>
      <c r="DC797" t="s">
        <v>1214</v>
      </c>
      <c r="DD797" t="s">
        <v>134</v>
      </c>
      <c r="DE797" t="s">
        <v>134</v>
      </c>
      <c r="DF797" t="str">
        <f>""</f>
        <v/>
      </c>
      <c r="DH797" s="6">
        <v>12.55</v>
      </c>
      <c r="DI797" t="s">
        <v>344</v>
      </c>
      <c r="DK797" t="s">
        <v>345</v>
      </c>
      <c r="DS797" s="6">
        <v>12.55</v>
      </c>
      <c r="DT797" t="s">
        <v>424</v>
      </c>
      <c r="DU797" s="1">
        <v>44369</v>
      </c>
      <c r="DV797" s="1">
        <v>44458</v>
      </c>
    </row>
    <row r="798" spans="1:126" ht="15" customHeight="1" x14ac:dyDescent="0.35">
      <c r="A798" t="s">
        <v>18922</v>
      </c>
      <c r="B798" t="s">
        <v>318</v>
      </c>
      <c r="C798" s="1">
        <v>44342</v>
      </c>
      <c r="D798" s="1">
        <v>44369</v>
      </c>
      <c r="H798" t="s">
        <v>319</v>
      </c>
      <c r="I798" t="s">
        <v>16863</v>
      </c>
      <c r="J798" t="s">
        <v>18923</v>
      </c>
      <c r="L798" t="s">
        <v>16864</v>
      </c>
      <c r="M798" t="s">
        <v>16865</v>
      </c>
      <c r="O798" t="s">
        <v>4738</v>
      </c>
      <c r="P798" t="s">
        <v>194</v>
      </c>
      <c r="Q798" s="3">
        <v>33455</v>
      </c>
      <c r="R798" t="s">
        <v>128</v>
      </c>
      <c r="T798" s="4">
        <v>17725452541</v>
      </c>
      <c r="V798" t="s">
        <v>134</v>
      </c>
      <c r="W798" t="s">
        <v>18924</v>
      </c>
      <c r="Y798" t="s">
        <v>16865</v>
      </c>
      <c r="AA798" t="s">
        <v>18925</v>
      </c>
      <c r="AB798" t="s">
        <v>195</v>
      </c>
      <c r="AC798" s="3" t="str">
        <f>"33455"</f>
        <v>33455</v>
      </c>
      <c r="AD798" t="s">
        <v>128</v>
      </c>
      <c r="AF798" s="4">
        <v>17725452541</v>
      </c>
      <c r="AH798" t="str">
        <f t="shared" si="57"/>
        <v>71391</v>
      </c>
      <c r="AI798" t="s">
        <v>287</v>
      </c>
      <c r="AJ798" t="s">
        <v>573</v>
      </c>
      <c r="AK798" t="s">
        <v>574</v>
      </c>
      <c r="AM798" t="s">
        <v>575</v>
      </c>
      <c r="AO798" t="s">
        <v>576</v>
      </c>
      <c r="AP798" t="s">
        <v>129</v>
      </c>
      <c r="AQ798" s="5">
        <v>14850</v>
      </c>
      <c r="AR798" t="s">
        <v>128</v>
      </c>
      <c r="AT798" s="4">
        <v>18777387462</v>
      </c>
      <c r="AV798" t="s">
        <v>577</v>
      </c>
      <c r="AW798" t="s">
        <v>578</v>
      </c>
      <c r="AX798" t="s">
        <v>131</v>
      </c>
      <c r="AY798" t="s">
        <v>131</v>
      </c>
      <c r="AZ798" t="s">
        <v>131</v>
      </c>
      <c r="BA798" t="s">
        <v>131</v>
      </c>
      <c r="BB798" t="s">
        <v>131</v>
      </c>
      <c r="BC798" t="s">
        <v>131</v>
      </c>
      <c r="BD798" t="s">
        <v>131</v>
      </c>
      <c r="BE798" t="s">
        <v>132</v>
      </c>
      <c r="BH798" t="s">
        <v>579</v>
      </c>
      <c r="BI798" t="s">
        <v>131</v>
      </c>
      <c r="BL798" t="s">
        <v>167</v>
      </c>
      <c r="BO798" t="s">
        <v>131</v>
      </c>
      <c r="BP798" t="s">
        <v>134</v>
      </c>
      <c r="BQ798" t="s">
        <v>131</v>
      </c>
      <c r="BS798" t="str">
        <f t="shared" si="56"/>
        <v>N/A</v>
      </c>
      <c r="BT798" t="s">
        <v>135</v>
      </c>
      <c r="BU798">
        <v>6</v>
      </c>
      <c r="BV798" t="str">
        <f>"Restaurant Cook preparing foods from scratch "</f>
        <v xml:space="preserve">Restaurant Cook preparing foods from scratch </v>
      </c>
      <c r="BW798" t="s">
        <v>135</v>
      </c>
      <c r="BX798" t="str">
        <f>""</f>
        <v/>
      </c>
      <c r="BY798" t="str">
        <f>""</f>
        <v/>
      </c>
      <c r="BZ798" t="str">
        <f>""</f>
        <v/>
      </c>
      <c r="CA798" s="2" t="s">
        <v>16867</v>
      </c>
      <c r="CB798" t="s">
        <v>131</v>
      </c>
      <c r="CF798" t="s">
        <v>131</v>
      </c>
      <c r="CH798" t="str">
        <f>""</f>
        <v/>
      </c>
      <c r="CI798" t="s">
        <v>131</v>
      </c>
      <c r="CK798" t="s">
        <v>131</v>
      </c>
      <c r="CL798" t="str">
        <f>""</f>
        <v/>
      </c>
      <c r="CM798" t="str">
        <f>""</f>
        <v/>
      </c>
      <c r="CN798" t="str">
        <f>""</f>
        <v/>
      </c>
      <c r="CO798" t="str">
        <f>""</f>
        <v/>
      </c>
      <c r="CP798" t="str">
        <f>"35-2014.00"</f>
        <v>35-2014.00</v>
      </c>
      <c r="CQ798" t="s">
        <v>581</v>
      </c>
      <c r="CS798" t="s">
        <v>131</v>
      </c>
      <c r="CU798" t="s">
        <v>16865</v>
      </c>
      <c r="CW798" t="s">
        <v>4738</v>
      </c>
      <c r="CX798" t="s">
        <v>195</v>
      </c>
      <c r="CZ798" s="3" t="str">
        <f>"33455"</f>
        <v>33455</v>
      </c>
      <c r="DA798" t="s">
        <v>131</v>
      </c>
      <c r="DB798" t="str">
        <f>"35-2014"</f>
        <v>35-2014</v>
      </c>
      <c r="DC798" t="s">
        <v>581</v>
      </c>
      <c r="DD798" t="s">
        <v>134</v>
      </c>
      <c r="DE798" t="s">
        <v>134</v>
      </c>
      <c r="DF798" t="str">
        <f>""</f>
        <v/>
      </c>
      <c r="DH798" s="6">
        <v>13.22</v>
      </c>
      <c r="DI798" t="s">
        <v>344</v>
      </c>
      <c r="DK798" t="s">
        <v>345</v>
      </c>
      <c r="DS798" s="6">
        <v>13.22</v>
      </c>
      <c r="DT798" t="s">
        <v>424</v>
      </c>
      <c r="DU798" s="1">
        <v>44369</v>
      </c>
      <c r="DV798" s="1">
        <v>44458</v>
      </c>
    </row>
    <row r="799" spans="1:126" ht="15" customHeight="1" x14ac:dyDescent="0.35">
      <c r="A799" t="s">
        <v>16862</v>
      </c>
      <c r="B799" t="s">
        <v>318</v>
      </c>
      <c r="C799" s="1">
        <v>44342</v>
      </c>
      <c r="D799" s="1">
        <v>44369</v>
      </c>
      <c r="H799" t="s">
        <v>319</v>
      </c>
      <c r="I799" t="s">
        <v>16863</v>
      </c>
      <c r="J799" t="s">
        <v>3022</v>
      </c>
      <c r="L799" t="s">
        <v>16864</v>
      </c>
      <c r="M799" t="s">
        <v>16865</v>
      </c>
      <c r="O799" t="s">
        <v>4738</v>
      </c>
      <c r="P799" t="s">
        <v>194</v>
      </c>
      <c r="Q799" s="3">
        <v>33455</v>
      </c>
      <c r="R799" t="s">
        <v>128</v>
      </c>
      <c r="T799" s="4">
        <v>17725452541</v>
      </c>
      <c r="V799" t="s">
        <v>134</v>
      </c>
      <c r="W799" t="s">
        <v>16866</v>
      </c>
      <c r="Y799" t="s">
        <v>16865</v>
      </c>
      <c r="AA799" t="s">
        <v>4738</v>
      </c>
      <c r="AB799" t="s">
        <v>195</v>
      </c>
      <c r="AC799" s="3" t="str">
        <f>"33455"</f>
        <v>33455</v>
      </c>
      <c r="AD799" t="s">
        <v>128</v>
      </c>
      <c r="AF799" s="4">
        <v>17725452541</v>
      </c>
      <c r="AH799" t="str">
        <f t="shared" si="57"/>
        <v>71391</v>
      </c>
      <c r="AI799" t="s">
        <v>287</v>
      </c>
      <c r="AJ799" t="s">
        <v>573</v>
      </c>
      <c r="AK799" t="s">
        <v>574</v>
      </c>
      <c r="AM799" t="s">
        <v>575</v>
      </c>
      <c r="AO799" t="s">
        <v>576</v>
      </c>
      <c r="AP799" t="s">
        <v>129</v>
      </c>
      <c r="AQ799" s="5">
        <v>14850</v>
      </c>
      <c r="AR799" t="s">
        <v>128</v>
      </c>
      <c r="AT799" s="4">
        <v>18777387462</v>
      </c>
      <c r="AV799" t="s">
        <v>577</v>
      </c>
      <c r="AW799" t="s">
        <v>7184</v>
      </c>
      <c r="AX799" t="s">
        <v>131</v>
      </c>
      <c r="AY799" t="s">
        <v>131</v>
      </c>
      <c r="AZ799" t="s">
        <v>131</v>
      </c>
      <c r="BA799" t="s">
        <v>131</v>
      </c>
      <c r="BB799" t="s">
        <v>131</v>
      </c>
      <c r="BC799" t="s">
        <v>131</v>
      </c>
      <c r="BD799" t="s">
        <v>131</v>
      </c>
      <c r="BE799" t="s">
        <v>132</v>
      </c>
      <c r="BH799" t="s">
        <v>7905</v>
      </c>
      <c r="BI799" t="s">
        <v>131</v>
      </c>
      <c r="BL799" t="s">
        <v>167</v>
      </c>
      <c r="BO799" t="s">
        <v>131</v>
      </c>
      <c r="BP799" t="s">
        <v>134</v>
      </c>
      <c r="BQ799" t="s">
        <v>131</v>
      </c>
      <c r="BS799" t="str">
        <f t="shared" si="56"/>
        <v>N/A</v>
      </c>
      <c r="BT799" t="s">
        <v>135</v>
      </c>
      <c r="BU799">
        <v>3</v>
      </c>
      <c r="BV799" t="str">
        <f>"fine dining service "</f>
        <v xml:space="preserve">fine dining service </v>
      </c>
      <c r="BW799" t="s">
        <v>135</v>
      </c>
      <c r="BX799" t="str">
        <f>""</f>
        <v/>
      </c>
      <c r="BY799" t="str">
        <f>""</f>
        <v/>
      </c>
      <c r="BZ799" t="str">
        <f>""</f>
        <v/>
      </c>
      <c r="CA799" s="2" t="s">
        <v>16867</v>
      </c>
      <c r="CB799" t="s">
        <v>131</v>
      </c>
      <c r="CF799" t="s">
        <v>131</v>
      </c>
      <c r="CH799" t="str">
        <f>""</f>
        <v/>
      </c>
      <c r="CI799" t="s">
        <v>131</v>
      </c>
      <c r="CK799" t="s">
        <v>131</v>
      </c>
      <c r="CL799" t="str">
        <f>""</f>
        <v/>
      </c>
      <c r="CM799" t="str">
        <f>""</f>
        <v/>
      </c>
      <c r="CN799" t="str">
        <f>""</f>
        <v/>
      </c>
      <c r="CO799" t="str">
        <f>""</f>
        <v/>
      </c>
      <c r="CP799" t="str">
        <f>"35-3031.00"</f>
        <v>35-3031.00</v>
      </c>
      <c r="CQ799" t="s">
        <v>1214</v>
      </c>
      <c r="CS799" t="s">
        <v>131</v>
      </c>
      <c r="CU799" t="s">
        <v>16865</v>
      </c>
      <c r="CW799" t="s">
        <v>4738</v>
      </c>
      <c r="CX799" t="s">
        <v>195</v>
      </c>
      <c r="CZ799" s="3" t="str">
        <f>"33455"</f>
        <v>33455</v>
      </c>
      <c r="DA799" t="s">
        <v>131</v>
      </c>
      <c r="DB799" t="str">
        <f>"35-3031"</f>
        <v>35-3031</v>
      </c>
      <c r="DC799" t="s">
        <v>1214</v>
      </c>
      <c r="DD799" t="s">
        <v>134</v>
      </c>
      <c r="DE799" t="s">
        <v>134</v>
      </c>
      <c r="DF799" t="str">
        <f>""</f>
        <v/>
      </c>
      <c r="DH799" s="6">
        <v>11.85</v>
      </c>
      <c r="DI799" t="s">
        <v>344</v>
      </c>
      <c r="DK799" t="s">
        <v>345</v>
      </c>
      <c r="DS799" s="6">
        <v>11.85</v>
      </c>
      <c r="DT799" t="s">
        <v>424</v>
      </c>
      <c r="DU799" s="1">
        <v>44369</v>
      </c>
      <c r="DV799" s="1">
        <v>44458</v>
      </c>
    </row>
    <row r="800" spans="1:126" ht="15" customHeight="1" x14ac:dyDescent="0.35">
      <c r="A800" t="s">
        <v>17325</v>
      </c>
      <c r="B800" t="s">
        <v>318</v>
      </c>
      <c r="C800" s="1">
        <v>44342</v>
      </c>
      <c r="D800" s="1">
        <v>44369</v>
      </c>
      <c r="H800" t="s">
        <v>319</v>
      </c>
      <c r="I800" t="s">
        <v>7913</v>
      </c>
      <c r="J800" t="s">
        <v>17326</v>
      </c>
      <c r="L800" t="s">
        <v>2076</v>
      </c>
      <c r="M800" t="s">
        <v>11268</v>
      </c>
      <c r="O800" t="s">
        <v>11269</v>
      </c>
      <c r="P800" t="s">
        <v>194</v>
      </c>
      <c r="Q800" s="3">
        <v>33477</v>
      </c>
      <c r="R800" t="s">
        <v>128</v>
      </c>
      <c r="T800" s="4">
        <v>15616918700</v>
      </c>
      <c r="V800" t="s">
        <v>134</v>
      </c>
      <c r="W800" t="s">
        <v>11270</v>
      </c>
      <c r="Y800" t="s">
        <v>11268</v>
      </c>
      <c r="AA800" t="s">
        <v>11269</v>
      </c>
      <c r="AB800" t="s">
        <v>195</v>
      </c>
      <c r="AC800" s="3" t="str">
        <f>"33477"</f>
        <v>33477</v>
      </c>
      <c r="AD800" t="s">
        <v>128</v>
      </c>
      <c r="AF800" s="4">
        <v>15616918700</v>
      </c>
      <c r="AH800" t="str">
        <f t="shared" si="57"/>
        <v>71391</v>
      </c>
      <c r="AI800" t="s">
        <v>287</v>
      </c>
      <c r="AJ800" t="s">
        <v>573</v>
      </c>
      <c r="AK800" t="s">
        <v>574</v>
      </c>
      <c r="AM800" t="s">
        <v>575</v>
      </c>
      <c r="AO800" t="s">
        <v>576</v>
      </c>
      <c r="AP800" t="s">
        <v>129</v>
      </c>
      <c r="AQ800" s="5">
        <v>14850</v>
      </c>
      <c r="AR800" t="s">
        <v>128</v>
      </c>
      <c r="AT800" s="4">
        <v>18777387462</v>
      </c>
      <c r="AV800" t="s">
        <v>577</v>
      </c>
      <c r="AW800" t="s">
        <v>578</v>
      </c>
      <c r="AX800" t="s">
        <v>131</v>
      </c>
      <c r="AY800" t="s">
        <v>131</v>
      </c>
      <c r="AZ800" t="s">
        <v>131</v>
      </c>
      <c r="BA800" t="s">
        <v>131</v>
      </c>
      <c r="BB800" t="s">
        <v>131</v>
      </c>
      <c r="BC800" t="s">
        <v>131</v>
      </c>
      <c r="BD800" t="s">
        <v>131</v>
      </c>
      <c r="BE800" t="s">
        <v>132</v>
      </c>
      <c r="BH800" t="s">
        <v>7905</v>
      </c>
      <c r="BI800" t="s">
        <v>131</v>
      </c>
      <c r="BL800" t="s">
        <v>167</v>
      </c>
      <c r="BO800" t="s">
        <v>131</v>
      </c>
      <c r="BP800" t="s">
        <v>134</v>
      </c>
      <c r="BQ800" t="s">
        <v>131</v>
      </c>
      <c r="BS800" t="str">
        <f t="shared" si="56"/>
        <v>N/A</v>
      </c>
      <c r="BT800" t="s">
        <v>135</v>
      </c>
      <c r="BU800">
        <v>3</v>
      </c>
      <c r="BV800" t="str">
        <f>"fine dining service "</f>
        <v xml:space="preserve">fine dining service </v>
      </c>
      <c r="BW800" t="s">
        <v>135</v>
      </c>
      <c r="BX800" t="str">
        <f>""</f>
        <v/>
      </c>
      <c r="BY800" t="str">
        <f>""</f>
        <v/>
      </c>
      <c r="BZ800" t="str">
        <f>""</f>
        <v/>
      </c>
      <c r="CA800" s="2" t="s">
        <v>13149</v>
      </c>
      <c r="CB800" t="s">
        <v>131</v>
      </c>
      <c r="CF800" t="s">
        <v>131</v>
      </c>
      <c r="CH800" t="str">
        <f>""</f>
        <v/>
      </c>
      <c r="CI800" t="s">
        <v>131</v>
      </c>
      <c r="CK800" t="s">
        <v>131</v>
      </c>
      <c r="CL800" t="str">
        <f>""</f>
        <v/>
      </c>
      <c r="CM800" t="str">
        <f>""</f>
        <v/>
      </c>
      <c r="CN800" t="str">
        <f>""</f>
        <v/>
      </c>
      <c r="CO800" t="str">
        <f>""</f>
        <v/>
      </c>
      <c r="CP800" t="str">
        <f>"35-3031.00"</f>
        <v>35-3031.00</v>
      </c>
      <c r="CQ800" t="s">
        <v>1214</v>
      </c>
      <c r="CS800" t="s">
        <v>131</v>
      </c>
      <c r="CU800" t="s">
        <v>11268</v>
      </c>
      <c r="CW800" t="s">
        <v>11269</v>
      </c>
      <c r="CX800" t="s">
        <v>195</v>
      </c>
      <c r="CZ800" s="3" t="str">
        <f>"33477"</f>
        <v>33477</v>
      </c>
      <c r="DA800" t="s">
        <v>131</v>
      </c>
      <c r="DB800" t="str">
        <f>"35-3031"</f>
        <v>35-3031</v>
      </c>
      <c r="DC800" t="s">
        <v>1214</v>
      </c>
      <c r="DD800" t="s">
        <v>134</v>
      </c>
      <c r="DE800" t="s">
        <v>134</v>
      </c>
      <c r="DF800" t="str">
        <f>""</f>
        <v/>
      </c>
      <c r="DH800" s="6">
        <v>12.55</v>
      </c>
      <c r="DI800" t="s">
        <v>344</v>
      </c>
      <c r="DK800" t="s">
        <v>345</v>
      </c>
      <c r="DS800" s="6">
        <v>12.55</v>
      </c>
      <c r="DT800" t="s">
        <v>424</v>
      </c>
      <c r="DU800" s="1">
        <v>44369</v>
      </c>
      <c r="DV800" s="1">
        <v>44458</v>
      </c>
    </row>
    <row r="801" spans="1:126" ht="15" customHeight="1" x14ac:dyDescent="0.35">
      <c r="A801" t="s">
        <v>11266</v>
      </c>
      <c r="B801" t="s">
        <v>318</v>
      </c>
      <c r="C801" s="1">
        <v>44342</v>
      </c>
      <c r="D801" s="1">
        <v>44369</v>
      </c>
      <c r="H801" t="s">
        <v>319</v>
      </c>
      <c r="I801" t="s">
        <v>11267</v>
      </c>
      <c r="J801" t="s">
        <v>8418</v>
      </c>
      <c r="L801" t="s">
        <v>2076</v>
      </c>
      <c r="M801" t="s">
        <v>11268</v>
      </c>
      <c r="O801" t="s">
        <v>11269</v>
      </c>
      <c r="P801" t="s">
        <v>194</v>
      </c>
      <c r="Q801" s="3">
        <v>33477</v>
      </c>
      <c r="R801" t="s">
        <v>128</v>
      </c>
      <c r="T801" s="4">
        <v>15616918700</v>
      </c>
      <c r="V801" t="s">
        <v>1253</v>
      </c>
      <c r="W801" t="s">
        <v>11270</v>
      </c>
      <c r="Y801" t="s">
        <v>11268</v>
      </c>
      <c r="AA801" t="s">
        <v>11269</v>
      </c>
      <c r="AB801" t="s">
        <v>195</v>
      </c>
      <c r="AC801" s="3" t="str">
        <f>"33477"</f>
        <v>33477</v>
      </c>
      <c r="AD801" t="s">
        <v>128</v>
      </c>
      <c r="AF801" s="4">
        <v>15616918700</v>
      </c>
      <c r="AH801" t="str">
        <f t="shared" si="57"/>
        <v>71391</v>
      </c>
      <c r="AI801" t="s">
        <v>287</v>
      </c>
      <c r="AJ801" t="s">
        <v>573</v>
      </c>
      <c r="AK801" t="s">
        <v>574</v>
      </c>
      <c r="AM801" t="s">
        <v>575</v>
      </c>
      <c r="AO801" t="s">
        <v>576</v>
      </c>
      <c r="AP801" t="s">
        <v>129</v>
      </c>
      <c r="AQ801" s="5">
        <v>14850</v>
      </c>
      <c r="AR801" t="s">
        <v>128</v>
      </c>
      <c r="AT801" s="4">
        <v>18777387462</v>
      </c>
      <c r="AV801" t="s">
        <v>577</v>
      </c>
      <c r="AW801" t="s">
        <v>578</v>
      </c>
      <c r="AX801" t="s">
        <v>131</v>
      </c>
      <c r="AY801" t="s">
        <v>131</v>
      </c>
      <c r="AZ801" t="s">
        <v>131</v>
      </c>
      <c r="BA801" t="s">
        <v>131</v>
      </c>
      <c r="BB801" t="s">
        <v>131</v>
      </c>
      <c r="BC801" t="s">
        <v>131</v>
      </c>
      <c r="BD801" t="s">
        <v>131</v>
      </c>
      <c r="BE801" t="s">
        <v>132</v>
      </c>
      <c r="BH801" t="s">
        <v>579</v>
      </c>
      <c r="BI801" t="s">
        <v>131</v>
      </c>
      <c r="BL801" t="s">
        <v>167</v>
      </c>
      <c r="BO801" t="s">
        <v>131</v>
      </c>
      <c r="BP801" t="s">
        <v>134</v>
      </c>
      <c r="BQ801" t="s">
        <v>131</v>
      </c>
      <c r="BS801" t="str">
        <f t="shared" si="56"/>
        <v>N/A</v>
      </c>
      <c r="BT801" t="s">
        <v>135</v>
      </c>
      <c r="BU801">
        <v>6</v>
      </c>
      <c r="BV801" t="str">
        <f>"Restaurant Cook preparing foods from scratch"</f>
        <v>Restaurant Cook preparing foods from scratch</v>
      </c>
      <c r="BW801" t="s">
        <v>135</v>
      </c>
      <c r="BX801" t="str">
        <f>""</f>
        <v/>
      </c>
      <c r="BY801" t="str">
        <f>""</f>
        <v/>
      </c>
      <c r="BZ801" t="str">
        <f>""</f>
        <v/>
      </c>
      <c r="CA801" s="2" t="s">
        <v>11271</v>
      </c>
      <c r="CB801" t="s">
        <v>131</v>
      </c>
      <c r="CF801" t="s">
        <v>131</v>
      </c>
      <c r="CH801" t="str">
        <f>""</f>
        <v/>
      </c>
      <c r="CI801" t="s">
        <v>131</v>
      </c>
      <c r="CK801" t="s">
        <v>131</v>
      </c>
      <c r="CL801" t="str">
        <f>""</f>
        <v/>
      </c>
      <c r="CM801" t="str">
        <f>""</f>
        <v/>
      </c>
      <c r="CN801" t="str">
        <f>""</f>
        <v/>
      </c>
      <c r="CO801" t="str">
        <f>""</f>
        <v/>
      </c>
      <c r="CP801" t="str">
        <f>"35-2014.00"</f>
        <v>35-2014.00</v>
      </c>
      <c r="CQ801" t="s">
        <v>581</v>
      </c>
      <c r="CS801" t="s">
        <v>131</v>
      </c>
      <c r="CU801" t="s">
        <v>11268</v>
      </c>
      <c r="CW801" t="s">
        <v>11269</v>
      </c>
      <c r="CX801" t="s">
        <v>195</v>
      </c>
      <c r="CZ801" s="3" t="str">
        <f>"33477"</f>
        <v>33477</v>
      </c>
      <c r="DA801" t="s">
        <v>131</v>
      </c>
      <c r="DB801" t="str">
        <f>"35-2014"</f>
        <v>35-2014</v>
      </c>
      <c r="DC801" t="s">
        <v>581</v>
      </c>
      <c r="DD801" t="s">
        <v>134</v>
      </c>
      <c r="DE801" t="s">
        <v>134</v>
      </c>
      <c r="DF801" t="str">
        <f>""</f>
        <v/>
      </c>
      <c r="DH801" s="6">
        <v>14.63</v>
      </c>
      <c r="DI801" t="s">
        <v>344</v>
      </c>
      <c r="DK801" t="s">
        <v>345</v>
      </c>
      <c r="DS801" s="6">
        <v>14.63</v>
      </c>
      <c r="DT801" t="s">
        <v>424</v>
      </c>
      <c r="DU801" s="1">
        <v>44369</v>
      </c>
      <c r="DV801" s="1">
        <v>44458</v>
      </c>
    </row>
    <row r="802" spans="1:126" ht="15" customHeight="1" x14ac:dyDescent="0.35">
      <c r="A802" t="s">
        <v>15023</v>
      </c>
      <c r="B802" t="s">
        <v>318</v>
      </c>
      <c r="C802" s="1">
        <v>44342</v>
      </c>
      <c r="D802" s="1">
        <v>44369</v>
      </c>
      <c r="H802" t="s">
        <v>319</v>
      </c>
      <c r="I802" t="s">
        <v>15024</v>
      </c>
      <c r="J802" t="s">
        <v>15025</v>
      </c>
      <c r="L802" t="s">
        <v>569</v>
      </c>
      <c r="M802" t="s">
        <v>15026</v>
      </c>
      <c r="O802" t="s">
        <v>11269</v>
      </c>
      <c r="P802" t="s">
        <v>194</v>
      </c>
      <c r="Q802" s="3">
        <v>33477</v>
      </c>
      <c r="R802" t="s">
        <v>128</v>
      </c>
      <c r="T802" s="4">
        <v>15617477600</v>
      </c>
      <c r="V802" t="s">
        <v>134</v>
      </c>
      <c r="W802" t="s">
        <v>15027</v>
      </c>
      <c r="Y802" t="s">
        <v>15026</v>
      </c>
      <c r="AA802" t="s">
        <v>11269</v>
      </c>
      <c r="AB802" t="s">
        <v>195</v>
      </c>
      <c r="AC802" s="3" t="str">
        <f>"33477"</f>
        <v>33477</v>
      </c>
      <c r="AD802" t="s">
        <v>128</v>
      </c>
      <c r="AF802" s="4">
        <v>15617477600</v>
      </c>
      <c r="AH802" t="str">
        <f t="shared" si="57"/>
        <v>71391</v>
      </c>
      <c r="AI802" t="s">
        <v>287</v>
      </c>
      <c r="AJ802" t="s">
        <v>573</v>
      </c>
      <c r="AK802" t="s">
        <v>574</v>
      </c>
      <c r="AM802" t="s">
        <v>575</v>
      </c>
      <c r="AO802" t="s">
        <v>576</v>
      </c>
      <c r="AP802" t="s">
        <v>129</v>
      </c>
      <c r="AQ802" s="5">
        <v>14850</v>
      </c>
      <c r="AR802" t="s">
        <v>128</v>
      </c>
      <c r="AT802" s="4">
        <v>18777387462</v>
      </c>
      <c r="AV802" t="s">
        <v>577</v>
      </c>
      <c r="AW802" t="s">
        <v>7184</v>
      </c>
      <c r="AX802" t="s">
        <v>131</v>
      </c>
      <c r="AY802" t="s">
        <v>131</v>
      </c>
      <c r="AZ802" t="s">
        <v>131</v>
      </c>
      <c r="BA802" t="s">
        <v>131</v>
      </c>
      <c r="BB802" t="s">
        <v>131</v>
      </c>
      <c r="BC802" t="s">
        <v>131</v>
      </c>
      <c r="BD802" t="s">
        <v>131</v>
      </c>
      <c r="BE802" t="s">
        <v>132</v>
      </c>
      <c r="BH802" t="s">
        <v>7905</v>
      </c>
      <c r="BI802" t="s">
        <v>131</v>
      </c>
      <c r="BL802" t="s">
        <v>167</v>
      </c>
      <c r="BO802" t="s">
        <v>131</v>
      </c>
      <c r="BP802" t="s">
        <v>134</v>
      </c>
      <c r="BQ802" t="s">
        <v>131</v>
      </c>
      <c r="BS802" t="str">
        <f t="shared" si="56"/>
        <v>N/A</v>
      </c>
      <c r="BT802" t="s">
        <v>135</v>
      </c>
      <c r="BU802">
        <v>3</v>
      </c>
      <c r="BV802" t="str">
        <f>"fine dining service "</f>
        <v xml:space="preserve">fine dining service </v>
      </c>
      <c r="BW802" t="s">
        <v>135</v>
      </c>
      <c r="BX802" t="str">
        <f>""</f>
        <v/>
      </c>
      <c r="BY802" t="str">
        <f>""</f>
        <v/>
      </c>
      <c r="BZ802" t="str">
        <f>""</f>
        <v/>
      </c>
      <c r="CA802" s="2" t="s">
        <v>15028</v>
      </c>
      <c r="CB802" t="s">
        <v>131</v>
      </c>
      <c r="CF802" t="s">
        <v>131</v>
      </c>
      <c r="CH802" t="str">
        <f>""</f>
        <v/>
      </c>
      <c r="CI802" t="s">
        <v>131</v>
      </c>
      <c r="CK802" t="s">
        <v>131</v>
      </c>
      <c r="CL802" t="str">
        <f>""</f>
        <v/>
      </c>
      <c r="CM802" t="str">
        <f>""</f>
        <v/>
      </c>
      <c r="CN802" t="str">
        <f>""</f>
        <v/>
      </c>
      <c r="CO802" t="str">
        <f>""</f>
        <v/>
      </c>
      <c r="CP802" t="str">
        <f>"35-3031.00"</f>
        <v>35-3031.00</v>
      </c>
      <c r="CQ802" t="s">
        <v>1214</v>
      </c>
      <c r="CS802" t="s">
        <v>131</v>
      </c>
      <c r="CU802" t="s">
        <v>15026</v>
      </c>
      <c r="CW802" t="s">
        <v>11269</v>
      </c>
      <c r="CX802" t="s">
        <v>195</v>
      </c>
      <c r="CZ802" s="3" t="str">
        <f>"33477"</f>
        <v>33477</v>
      </c>
      <c r="DA802" t="s">
        <v>131</v>
      </c>
      <c r="DB802" t="str">
        <f>"35-3031"</f>
        <v>35-3031</v>
      </c>
      <c r="DC802" t="s">
        <v>1214</v>
      </c>
      <c r="DD802" t="s">
        <v>134</v>
      </c>
      <c r="DE802" t="s">
        <v>134</v>
      </c>
      <c r="DF802" t="str">
        <f>""</f>
        <v/>
      </c>
      <c r="DH802" s="6">
        <v>12.55</v>
      </c>
      <c r="DI802" t="s">
        <v>344</v>
      </c>
      <c r="DK802" t="s">
        <v>345</v>
      </c>
      <c r="DS802" s="6">
        <v>12.55</v>
      </c>
      <c r="DT802" t="s">
        <v>424</v>
      </c>
      <c r="DU802" s="1">
        <v>44369</v>
      </c>
      <c r="DV802" s="1">
        <v>44458</v>
      </c>
    </row>
    <row r="803" spans="1:126" ht="15" customHeight="1" x14ac:dyDescent="0.35">
      <c r="A803" t="s">
        <v>15961</v>
      </c>
      <c r="B803" t="s">
        <v>318</v>
      </c>
      <c r="C803" s="1">
        <v>44342</v>
      </c>
      <c r="D803" s="1">
        <v>44369</v>
      </c>
      <c r="H803" t="s">
        <v>319</v>
      </c>
      <c r="I803" t="s">
        <v>10684</v>
      </c>
      <c r="J803" t="s">
        <v>15962</v>
      </c>
      <c r="L803" t="s">
        <v>15963</v>
      </c>
      <c r="M803" t="s">
        <v>10687</v>
      </c>
      <c r="O803" t="s">
        <v>4905</v>
      </c>
      <c r="P803" t="s">
        <v>194</v>
      </c>
      <c r="Q803" s="3">
        <v>32967</v>
      </c>
      <c r="R803" t="s">
        <v>128</v>
      </c>
      <c r="T803" s="4">
        <v>17727789000</v>
      </c>
      <c r="V803" t="s">
        <v>134</v>
      </c>
      <c r="W803" t="s">
        <v>10688</v>
      </c>
      <c r="Y803" t="s">
        <v>10687</v>
      </c>
      <c r="AA803" t="s">
        <v>4905</v>
      </c>
      <c r="AB803" t="s">
        <v>195</v>
      </c>
      <c r="AC803" s="3" t="str">
        <f>"32967"</f>
        <v>32967</v>
      </c>
      <c r="AD803" t="s">
        <v>128</v>
      </c>
      <c r="AF803" s="4">
        <v>17727789000</v>
      </c>
      <c r="AH803" t="str">
        <f t="shared" si="57"/>
        <v>71391</v>
      </c>
      <c r="AI803" t="s">
        <v>287</v>
      </c>
      <c r="AJ803" t="s">
        <v>573</v>
      </c>
      <c r="AK803" t="s">
        <v>574</v>
      </c>
      <c r="AM803" t="s">
        <v>575</v>
      </c>
      <c r="AO803" t="s">
        <v>576</v>
      </c>
      <c r="AP803" t="s">
        <v>129</v>
      </c>
      <c r="AQ803" s="5">
        <v>14850</v>
      </c>
      <c r="AR803" t="s">
        <v>128</v>
      </c>
      <c r="AT803" s="4">
        <v>18777387462</v>
      </c>
      <c r="AV803" t="s">
        <v>577</v>
      </c>
      <c r="AW803" t="s">
        <v>578</v>
      </c>
      <c r="AX803" t="s">
        <v>131</v>
      </c>
      <c r="AY803" t="s">
        <v>131</v>
      </c>
      <c r="AZ803" t="s">
        <v>131</v>
      </c>
      <c r="BA803" t="s">
        <v>131</v>
      </c>
      <c r="BB803" t="s">
        <v>131</v>
      </c>
      <c r="BC803" t="s">
        <v>131</v>
      </c>
      <c r="BD803" t="s">
        <v>131</v>
      </c>
      <c r="BE803" t="s">
        <v>132</v>
      </c>
      <c r="BH803" t="s">
        <v>7905</v>
      </c>
      <c r="BI803" t="s">
        <v>131</v>
      </c>
      <c r="BL803" t="s">
        <v>167</v>
      </c>
      <c r="BO803" t="s">
        <v>131</v>
      </c>
      <c r="BP803" t="s">
        <v>134</v>
      </c>
      <c r="BQ803" t="s">
        <v>131</v>
      </c>
      <c r="BS803" t="str">
        <f t="shared" si="56"/>
        <v>N/A</v>
      </c>
      <c r="BT803" t="s">
        <v>135</v>
      </c>
      <c r="BU803">
        <v>3</v>
      </c>
      <c r="BV803" t="str">
        <f>"fine dining service "</f>
        <v xml:space="preserve">fine dining service </v>
      </c>
      <c r="BW803" t="s">
        <v>135</v>
      </c>
      <c r="BX803" t="str">
        <f>""</f>
        <v/>
      </c>
      <c r="BY803" t="str">
        <f>""</f>
        <v/>
      </c>
      <c r="BZ803" t="str">
        <f>""</f>
        <v/>
      </c>
      <c r="CA803" s="2" t="s">
        <v>10689</v>
      </c>
      <c r="CB803" t="s">
        <v>131</v>
      </c>
      <c r="CF803" t="s">
        <v>131</v>
      </c>
      <c r="CH803" t="str">
        <f>""</f>
        <v/>
      </c>
      <c r="CI803" t="s">
        <v>131</v>
      </c>
      <c r="CK803" t="s">
        <v>131</v>
      </c>
      <c r="CL803" t="str">
        <f>""</f>
        <v/>
      </c>
      <c r="CM803" t="str">
        <f>""</f>
        <v/>
      </c>
      <c r="CN803" t="str">
        <f>""</f>
        <v/>
      </c>
      <c r="CO803" t="str">
        <f>""</f>
        <v/>
      </c>
      <c r="CP803" t="str">
        <f>"35-3031.00"</f>
        <v>35-3031.00</v>
      </c>
      <c r="CQ803" t="s">
        <v>1214</v>
      </c>
      <c r="CS803" t="s">
        <v>131</v>
      </c>
      <c r="CU803" t="s">
        <v>10687</v>
      </c>
      <c r="CW803" t="s">
        <v>4905</v>
      </c>
      <c r="CX803" t="s">
        <v>195</v>
      </c>
      <c r="CZ803" s="3" t="str">
        <f>"32967"</f>
        <v>32967</v>
      </c>
      <c r="DA803" t="s">
        <v>131</v>
      </c>
      <c r="DB803" t="str">
        <f>"35-3031"</f>
        <v>35-3031</v>
      </c>
      <c r="DC803" t="s">
        <v>1214</v>
      </c>
      <c r="DD803" t="s">
        <v>134</v>
      </c>
      <c r="DE803" t="s">
        <v>134</v>
      </c>
      <c r="DF803" t="str">
        <f>""</f>
        <v/>
      </c>
      <c r="DH803" s="6">
        <v>11.78</v>
      </c>
      <c r="DI803" t="s">
        <v>344</v>
      </c>
      <c r="DK803" t="s">
        <v>345</v>
      </c>
      <c r="DS803" s="6">
        <v>11.78</v>
      </c>
      <c r="DT803" t="s">
        <v>424</v>
      </c>
      <c r="DU803" s="1">
        <v>44369</v>
      </c>
      <c r="DV803" s="1">
        <v>44458</v>
      </c>
    </row>
    <row r="804" spans="1:126" ht="15" customHeight="1" x14ac:dyDescent="0.35">
      <c r="A804" t="s">
        <v>17320</v>
      </c>
      <c r="B804" t="s">
        <v>318</v>
      </c>
      <c r="C804" s="1">
        <v>44342</v>
      </c>
      <c r="D804" s="1">
        <v>44369</v>
      </c>
      <c r="H804" t="s">
        <v>319</v>
      </c>
      <c r="I804" t="s">
        <v>15024</v>
      </c>
      <c r="J804" t="s">
        <v>15024</v>
      </c>
      <c r="L804" t="s">
        <v>569</v>
      </c>
      <c r="M804" t="s">
        <v>15026</v>
      </c>
      <c r="O804" t="s">
        <v>11269</v>
      </c>
      <c r="P804" t="s">
        <v>194</v>
      </c>
      <c r="Q804" s="3">
        <v>33477</v>
      </c>
      <c r="R804" t="s">
        <v>128</v>
      </c>
      <c r="T804" s="4">
        <v>15617477600</v>
      </c>
      <c r="V804" t="s">
        <v>134</v>
      </c>
      <c r="W804" t="s">
        <v>17321</v>
      </c>
      <c r="Y804" t="s">
        <v>15026</v>
      </c>
      <c r="AA804" t="s">
        <v>11269</v>
      </c>
      <c r="AB804" t="s">
        <v>195</v>
      </c>
      <c r="AC804" s="3" t="str">
        <f>"33477"</f>
        <v>33477</v>
      </c>
      <c r="AD804" t="s">
        <v>128</v>
      </c>
      <c r="AF804" s="4">
        <v>15617477600</v>
      </c>
      <c r="AH804" t="str">
        <f t="shared" si="57"/>
        <v>71391</v>
      </c>
      <c r="AI804" t="s">
        <v>287</v>
      </c>
      <c r="AJ804" t="s">
        <v>573</v>
      </c>
      <c r="AK804" t="s">
        <v>574</v>
      </c>
      <c r="AM804" t="s">
        <v>575</v>
      </c>
      <c r="AO804" t="s">
        <v>576</v>
      </c>
      <c r="AP804" t="s">
        <v>129</v>
      </c>
      <c r="AQ804" s="5">
        <v>14850</v>
      </c>
      <c r="AR804" t="s">
        <v>128</v>
      </c>
      <c r="AT804" s="4">
        <v>18777387462</v>
      </c>
      <c r="AV804" t="s">
        <v>577</v>
      </c>
      <c r="AW804" t="s">
        <v>578</v>
      </c>
      <c r="AX804" t="s">
        <v>131</v>
      </c>
      <c r="AY804" t="s">
        <v>131</v>
      </c>
      <c r="AZ804" t="s">
        <v>131</v>
      </c>
      <c r="BA804" t="s">
        <v>131</v>
      </c>
      <c r="BB804" t="s">
        <v>131</v>
      </c>
      <c r="BC804" t="s">
        <v>131</v>
      </c>
      <c r="BD804" t="s">
        <v>131</v>
      </c>
      <c r="BE804" t="s">
        <v>132</v>
      </c>
      <c r="BH804" t="s">
        <v>579</v>
      </c>
      <c r="BI804" t="s">
        <v>131</v>
      </c>
      <c r="BL804" t="s">
        <v>167</v>
      </c>
      <c r="BO804" t="s">
        <v>131</v>
      </c>
      <c r="BP804" t="s">
        <v>134</v>
      </c>
      <c r="BQ804" t="s">
        <v>131</v>
      </c>
      <c r="BS804" t="str">
        <f t="shared" si="56"/>
        <v>N/A</v>
      </c>
      <c r="BT804" t="s">
        <v>135</v>
      </c>
      <c r="BU804">
        <v>6</v>
      </c>
      <c r="BV804" t="str">
        <f>"Restaurant Cook preparing foods from scratch "</f>
        <v xml:space="preserve">Restaurant Cook preparing foods from scratch </v>
      </c>
      <c r="BW804" t="s">
        <v>135</v>
      </c>
      <c r="BX804" t="str">
        <f>""</f>
        <v/>
      </c>
      <c r="BY804" t="str">
        <f>""</f>
        <v/>
      </c>
      <c r="BZ804" t="str">
        <f>""</f>
        <v/>
      </c>
      <c r="CA804" s="2" t="s">
        <v>15028</v>
      </c>
      <c r="CB804" t="s">
        <v>131</v>
      </c>
      <c r="CF804" t="s">
        <v>131</v>
      </c>
      <c r="CH804" t="str">
        <f>""</f>
        <v/>
      </c>
      <c r="CI804" t="s">
        <v>131</v>
      </c>
      <c r="CK804" t="s">
        <v>131</v>
      </c>
      <c r="CL804" t="str">
        <f>""</f>
        <v/>
      </c>
      <c r="CM804" t="str">
        <f>""</f>
        <v/>
      </c>
      <c r="CN804" t="str">
        <f>""</f>
        <v/>
      </c>
      <c r="CO804" t="str">
        <f>""</f>
        <v/>
      </c>
      <c r="CP804" t="str">
        <f>"35-2014.00"</f>
        <v>35-2014.00</v>
      </c>
      <c r="CQ804" t="s">
        <v>581</v>
      </c>
      <c r="CS804" t="s">
        <v>131</v>
      </c>
      <c r="CU804" t="s">
        <v>15026</v>
      </c>
      <c r="CW804" t="s">
        <v>11269</v>
      </c>
      <c r="CX804" t="s">
        <v>195</v>
      </c>
      <c r="CZ804" s="3" t="str">
        <f>"33477"</f>
        <v>33477</v>
      </c>
      <c r="DA804" t="s">
        <v>131</v>
      </c>
      <c r="DB804" t="str">
        <f>"35-2014"</f>
        <v>35-2014</v>
      </c>
      <c r="DC804" t="s">
        <v>581</v>
      </c>
      <c r="DD804" t="s">
        <v>134</v>
      </c>
      <c r="DE804" t="s">
        <v>134</v>
      </c>
      <c r="DF804" t="str">
        <f>""</f>
        <v/>
      </c>
      <c r="DH804" s="6">
        <v>14.63</v>
      </c>
      <c r="DI804" t="s">
        <v>344</v>
      </c>
      <c r="DK804" t="s">
        <v>345</v>
      </c>
      <c r="DS804" s="6">
        <v>14.63</v>
      </c>
      <c r="DT804" t="s">
        <v>424</v>
      </c>
      <c r="DU804" s="1">
        <v>44369</v>
      </c>
      <c r="DV804" s="1">
        <v>44458</v>
      </c>
    </row>
    <row r="805" spans="1:126" ht="15" customHeight="1" x14ac:dyDescent="0.35">
      <c r="A805" t="s">
        <v>10683</v>
      </c>
      <c r="B805" t="s">
        <v>318</v>
      </c>
      <c r="C805" s="1">
        <v>44342</v>
      </c>
      <c r="D805" s="1">
        <v>44369</v>
      </c>
      <c r="H805" t="s">
        <v>319</v>
      </c>
      <c r="I805" t="s">
        <v>10684</v>
      </c>
      <c r="J805" t="s">
        <v>10685</v>
      </c>
      <c r="L805" t="s">
        <v>10686</v>
      </c>
      <c r="M805" t="s">
        <v>10687</v>
      </c>
      <c r="O805" t="s">
        <v>4905</v>
      </c>
      <c r="P805" t="s">
        <v>194</v>
      </c>
      <c r="Q805" s="3">
        <v>32967</v>
      </c>
      <c r="R805" t="s">
        <v>128</v>
      </c>
      <c r="T805" s="4">
        <v>17727789000</v>
      </c>
      <c r="V805" t="s">
        <v>134</v>
      </c>
      <c r="W805" t="s">
        <v>10688</v>
      </c>
      <c r="Y805" t="s">
        <v>10687</v>
      </c>
      <c r="AA805" t="s">
        <v>4905</v>
      </c>
      <c r="AB805" t="s">
        <v>195</v>
      </c>
      <c r="AC805" s="3" t="str">
        <f>"32967"</f>
        <v>32967</v>
      </c>
      <c r="AD805" t="s">
        <v>128</v>
      </c>
      <c r="AF805" s="4">
        <v>17727789000</v>
      </c>
      <c r="AH805" t="str">
        <f t="shared" si="57"/>
        <v>71391</v>
      </c>
      <c r="AI805" t="s">
        <v>287</v>
      </c>
      <c r="AJ805" t="s">
        <v>573</v>
      </c>
      <c r="AK805" t="s">
        <v>574</v>
      </c>
      <c r="AM805" t="s">
        <v>575</v>
      </c>
      <c r="AO805" t="s">
        <v>576</v>
      </c>
      <c r="AP805" t="s">
        <v>129</v>
      </c>
      <c r="AQ805" s="5">
        <v>14850</v>
      </c>
      <c r="AR805" t="s">
        <v>128</v>
      </c>
      <c r="AT805" s="4">
        <v>18777387462</v>
      </c>
      <c r="AV805" t="s">
        <v>577</v>
      </c>
      <c r="AW805" t="s">
        <v>578</v>
      </c>
      <c r="AX805" t="s">
        <v>131</v>
      </c>
      <c r="AY805" t="s">
        <v>131</v>
      </c>
      <c r="AZ805" t="s">
        <v>131</v>
      </c>
      <c r="BA805" t="s">
        <v>131</v>
      </c>
      <c r="BB805" t="s">
        <v>131</v>
      </c>
      <c r="BC805" t="s">
        <v>131</v>
      </c>
      <c r="BD805" t="s">
        <v>131</v>
      </c>
      <c r="BE805" t="s">
        <v>132</v>
      </c>
      <c r="BH805" t="s">
        <v>579</v>
      </c>
      <c r="BI805" t="s">
        <v>131</v>
      </c>
      <c r="BL805" t="s">
        <v>167</v>
      </c>
      <c r="BO805" t="s">
        <v>131</v>
      </c>
      <c r="BP805" t="s">
        <v>134</v>
      </c>
      <c r="BQ805" t="s">
        <v>131</v>
      </c>
      <c r="BS805" t="str">
        <f t="shared" si="56"/>
        <v>N/A</v>
      </c>
      <c r="BT805" t="s">
        <v>135</v>
      </c>
      <c r="BU805">
        <v>6</v>
      </c>
      <c r="BV805" t="str">
        <f>"Line Cook in hospitality setting"</f>
        <v>Line Cook in hospitality setting</v>
      </c>
      <c r="BW805" t="s">
        <v>135</v>
      </c>
      <c r="BX805" t="str">
        <f>""</f>
        <v/>
      </c>
      <c r="BY805" t="str">
        <f>""</f>
        <v/>
      </c>
      <c r="BZ805" t="str">
        <f>""</f>
        <v/>
      </c>
      <c r="CA805" s="2" t="s">
        <v>10689</v>
      </c>
      <c r="CB805" t="s">
        <v>131</v>
      </c>
      <c r="CF805" t="s">
        <v>131</v>
      </c>
      <c r="CH805" t="str">
        <f>""</f>
        <v/>
      </c>
      <c r="CI805" t="s">
        <v>131</v>
      </c>
      <c r="CK805" t="s">
        <v>131</v>
      </c>
      <c r="CL805" t="str">
        <f>""</f>
        <v/>
      </c>
      <c r="CM805" t="str">
        <f>""</f>
        <v/>
      </c>
      <c r="CN805" t="str">
        <f>""</f>
        <v/>
      </c>
      <c r="CO805" t="str">
        <f>""</f>
        <v/>
      </c>
      <c r="CP805" t="str">
        <f>"35-2014.00"</f>
        <v>35-2014.00</v>
      </c>
      <c r="CQ805" t="s">
        <v>581</v>
      </c>
      <c r="CS805" t="s">
        <v>131</v>
      </c>
      <c r="CU805" t="s">
        <v>10687</v>
      </c>
      <c r="CW805" t="s">
        <v>4905</v>
      </c>
      <c r="CX805" t="s">
        <v>195</v>
      </c>
      <c r="CZ805" s="3" t="str">
        <f>"32967"</f>
        <v>32967</v>
      </c>
      <c r="DA805" t="s">
        <v>131</v>
      </c>
      <c r="DB805" t="str">
        <f>"35-2014"</f>
        <v>35-2014</v>
      </c>
      <c r="DC805" t="s">
        <v>581</v>
      </c>
      <c r="DD805" t="s">
        <v>134</v>
      </c>
      <c r="DE805" t="s">
        <v>134</v>
      </c>
      <c r="DF805" t="str">
        <f>""</f>
        <v/>
      </c>
      <c r="DH805" s="6">
        <v>15.32</v>
      </c>
      <c r="DI805" t="s">
        <v>344</v>
      </c>
      <c r="DK805" t="s">
        <v>345</v>
      </c>
      <c r="DS805" s="6">
        <v>15.32</v>
      </c>
      <c r="DT805" t="s">
        <v>424</v>
      </c>
      <c r="DU805" s="1">
        <v>44369</v>
      </c>
      <c r="DV805" s="1">
        <v>44458</v>
      </c>
    </row>
    <row r="806" spans="1:126" ht="15" customHeight="1" x14ac:dyDescent="0.35">
      <c r="A806" t="s">
        <v>4655</v>
      </c>
      <c r="B806" t="s">
        <v>318</v>
      </c>
      <c r="C806" s="1">
        <v>44342</v>
      </c>
      <c r="D806" s="1">
        <v>44369</v>
      </c>
      <c r="H806" t="s">
        <v>319</v>
      </c>
      <c r="I806" t="s">
        <v>4656</v>
      </c>
      <c r="J806" t="s">
        <v>4657</v>
      </c>
      <c r="L806" t="s">
        <v>4195</v>
      </c>
      <c r="M806" t="s">
        <v>4658</v>
      </c>
      <c r="O806" t="s">
        <v>3512</v>
      </c>
      <c r="P806" t="s">
        <v>194</v>
      </c>
      <c r="Q806" s="3">
        <v>33446</v>
      </c>
      <c r="R806" t="s">
        <v>128</v>
      </c>
      <c r="T806" s="4">
        <v>15614956336</v>
      </c>
      <c r="V806" t="s">
        <v>134</v>
      </c>
      <c r="W806" t="s">
        <v>4659</v>
      </c>
      <c r="Y806" t="s">
        <v>4658</v>
      </c>
      <c r="AA806" t="s">
        <v>3512</v>
      </c>
      <c r="AB806" t="s">
        <v>195</v>
      </c>
      <c r="AC806" s="3" t="str">
        <f>"33446"</f>
        <v>33446</v>
      </c>
      <c r="AD806" t="s">
        <v>128</v>
      </c>
      <c r="AF806" s="4">
        <v>15614956336</v>
      </c>
      <c r="AH806" t="str">
        <f t="shared" si="57"/>
        <v>71391</v>
      </c>
      <c r="AI806" t="s">
        <v>287</v>
      </c>
      <c r="AJ806" t="s">
        <v>573</v>
      </c>
      <c r="AK806" t="s">
        <v>574</v>
      </c>
      <c r="AM806" t="s">
        <v>575</v>
      </c>
      <c r="AO806" t="s">
        <v>576</v>
      </c>
      <c r="AP806" t="s">
        <v>129</v>
      </c>
      <c r="AQ806" s="5">
        <v>14850</v>
      </c>
      <c r="AR806" t="s">
        <v>128</v>
      </c>
      <c r="AT806" s="4">
        <v>18777387462</v>
      </c>
      <c r="AV806" t="s">
        <v>577</v>
      </c>
      <c r="AW806" t="s">
        <v>578</v>
      </c>
      <c r="AX806" t="s">
        <v>131</v>
      </c>
      <c r="AY806" t="s">
        <v>131</v>
      </c>
      <c r="AZ806" t="s">
        <v>131</v>
      </c>
      <c r="BA806" t="s">
        <v>131</v>
      </c>
      <c r="BB806" t="s">
        <v>131</v>
      </c>
      <c r="BC806" t="s">
        <v>131</v>
      </c>
      <c r="BD806" t="s">
        <v>131</v>
      </c>
      <c r="BE806" t="s">
        <v>132</v>
      </c>
      <c r="BH806" t="s">
        <v>4660</v>
      </c>
      <c r="BI806" t="s">
        <v>135</v>
      </c>
      <c r="BJ806" t="s">
        <v>4661</v>
      </c>
      <c r="BK806" t="s">
        <v>1214</v>
      </c>
      <c r="BL806" t="s">
        <v>167</v>
      </c>
      <c r="BO806" t="s">
        <v>131</v>
      </c>
      <c r="BP806" t="s">
        <v>134</v>
      </c>
      <c r="BQ806" t="s">
        <v>131</v>
      </c>
      <c r="BS806" t="str">
        <f t="shared" ref="BS806:BS831" si="58">"N/A"</f>
        <v>N/A</v>
      </c>
      <c r="BT806" t="s">
        <v>135</v>
      </c>
      <c r="BU806">
        <v>6</v>
      </c>
      <c r="BV806" t="str">
        <f>"fine dining service"</f>
        <v>fine dining service</v>
      </c>
      <c r="BW806" t="s">
        <v>135</v>
      </c>
      <c r="BX806" t="str">
        <f>""</f>
        <v/>
      </c>
      <c r="BY806" t="str">
        <f>""</f>
        <v/>
      </c>
      <c r="BZ806" t="str">
        <f>""</f>
        <v/>
      </c>
      <c r="CA806" s="2" t="s">
        <v>4662</v>
      </c>
      <c r="CB806" t="s">
        <v>131</v>
      </c>
      <c r="CF806" t="s">
        <v>131</v>
      </c>
      <c r="CH806" t="str">
        <f>""</f>
        <v/>
      </c>
      <c r="CI806" t="s">
        <v>131</v>
      </c>
      <c r="CK806" t="s">
        <v>131</v>
      </c>
      <c r="CL806" t="str">
        <f>""</f>
        <v/>
      </c>
      <c r="CM806" t="str">
        <f>""</f>
        <v/>
      </c>
      <c r="CN806" t="str">
        <f>""</f>
        <v/>
      </c>
      <c r="CO806" t="str">
        <f>""</f>
        <v/>
      </c>
      <c r="CP806" t="str">
        <f>"35-1012.00"</f>
        <v>35-1012.00</v>
      </c>
      <c r="CQ806" t="s">
        <v>1132</v>
      </c>
      <c r="CS806" t="s">
        <v>131</v>
      </c>
      <c r="CU806" t="s">
        <v>4658</v>
      </c>
      <c r="CW806" t="s">
        <v>3512</v>
      </c>
      <c r="CX806" t="s">
        <v>195</v>
      </c>
      <c r="CZ806" s="3" t="str">
        <f>"33446"</f>
        <v>33446</v>
      </c>
      <c r="DA806" t="s">
        <v>131</v>
      </c>
      <c r="DB806" t="str">
        <f>"35-1012"</f>
        <v>35-1012</v>
      </c>
      <c r="DC806" t="s">
        <v>1132</v>
      </c>
      <c r="DD806" t="s">
        <v>134</v>
      </c>
      <c r="DE806" t="s">
        <v>134</v>
      </c>
      <c r="DF806" t="str">
        <f>""</f>
        <v/>
      </c>
      <c r="DH806" s="6">
        <v>18.559999999999999</v>
      </c>
      <c r="DI806" t="s">
        <v>344</v>
      </c>
      <c r="DK806" t="s">
        <v>345</v>
      </c>
      <c r="DS806" s="6">
        <v>18.559999999999999</v>
      </c>
      <c r="DT806" t="s">
        <v>424</v>
      </c>
      <c r="DU806" s="1">
        <v>44369</v>
      </c>
      <c r="DV806" s="1">
        <v>44458</v>
      </c>
    </row>
    <row r="807" spans="1:126" ht="15" customHeight="1" x14ac:dyDescent="0.35">
      <c r="A807" t="s">
        <v>16508</v>
      </c>
      <c r="B807" t="s">
        <v>318</v>
      </c>
      <c r="C807" s="1">
        <v>44342</v>
      </c>
      <c r="D807" s="1">
        <v>44369</v>
      </c>
      <c r="H807" t="s">
        <v>319</v>
      </c>
      <c r="I807" t="s">
        <v>4656</v>
      </c>
      <c r="J807" t="s">
        <v>6627</v>
      </c>
      <c r="L807" t="s">
        <v>4195</v>
      </c>
      <c r="M807" t="s">
        <v>4658</v>
      </c>
      <c r="O807" t="s">
        <v>3512</v>
      </c>
      <c r="P807" t="s">
        <v>194</v>
      </c>
      <c r="Q807" s="3">
        <v>33446</v>
      </c>
      <c r="R807" t="s">
        <v>128</v>
      </c>
      <c r="T807" s="4">
        <v>15614956336</v>
      </c>
      <c r="V807" t="s">
        <v>134</v>
      </c>
      <c r="W807" t="s">
        <v>4659</v>
      </c>
      <c r="Y807" t="s">
        <v>4658</v>
      </c>
      <c r="AA807" t="s">
        <v>3512</v>
      </c>
      <c r="AB807" t="s">
        <v>195</v>
      </c>
      <c r="AC807" s="3" t="str">
        <f>"33446"</f>
        <v>33446</v>
      </c>
      <c r="AD807" t="s">
        <v>128</v>
      </c>
      <c r="AF807" s="4">
        <v>15614956336</v>
      </c>
      <c r="AH807" t="str">
        <f t="shared" si="57"/>
        <v>71391</v>
      </c>
      <c r="AI807" t="s">
        <v>287</v>
      </c>
      <c r="AJ807" t="s">
        <v>573</v>
      </c>
      <c r="AK807" t="s">
        <v>574</v>
      </c>
      <c r="AM807" t="s">
        <v>575</v>
      </c>
      <c r="AO807" t="s">
        <v>576</v>
      </c>
      <c r="AP807" t="s">
        <v>129</v>
      </c>
      <c r="AQ807" s="5">
        <v>14850</v>
      </c>
      <c r="AR807" t="s">
        <v>128</v>
      </c>
      <c r="AT807" s="4">
        <v>18777387462</v>
      </c>
      <c r="AV807" t="s">
        <v>577</v>
      </c>
      <c r="AW807" t="s">
        <v>578</v>
      </c>
      <c r="AX807" t="s">
        <v>131</v>
      </c>
      <c r="AY807" t="s">
        <v>131</v>
      </c>
      <c r="AZ807" t="s">
        <v>131</v>
      </c>
      <c r="BA807" t="s">
        <v>131</v>
      </c>
      <c r="BB807" t="s">
        <v>131</v>
      </c>
      <c r="BC807" t="s">
        <v>131</v>
      </c>
      <c r="BD807" t="s">
        <v>131</v>
      </c>
      <c r="BE807" t="s">
        <v>132</v>
      </c>
      <c r="BH807" t="s">
        <v>7905</v>
      </c>
      <c r="BI807" t="s">
        <v>131</v>
      </c>
      <c r="BL807" t="s">
        <v>167</v>
      </c>
      <c r="BO807" t="s">
        <v>131</v>
      </c>
      <c r="BP807" t="s">
        <v>134</v>
      </c>
      <c r="BQ807" t="s">
        <v>131</v>
      </c>
      <c r="BS807" t="str">
        <f t="shared" si="58"/>
        <v>N/A</v>
      </c>
      <c r="BT807" t="s">
        <v>135</v>
      </c>
      <c r="BU807">
        <v>3</v>
      </c>
      <c r="BV807" t="str">
        <f>"fine dining service "</f>
        <v xml:space="preserve">fine dining service </v>
      </c>
      <c r="BW807" t="s">
        <v>135</v>
      </c>
      <c r="BX807" t="str">
        <f>""</f>
        <v/>
      </c>
      <c r="BY807" t="str">
        <f>""</f>
        <v/>
      </c>
      <c r="BZ807" t="str">
        <f>""</f>
        <v/>
      </c>
      <c r="CA807" s="2" t="s">
        <v>4662</v>
      </c>
      <c r="CB807" t="s">
        <v>131</v>
      </c>
      <c r="CF807" t="s">
        <v>131</v>
      </c>
      <c r="CH807" t="str">
        <f>""</f>
        <v/>
      </c>
      <c r="CI807" t="s">
        <v>131</v>
      </c>
      <c r="CK807" t="s">
        <v>131</v>
      </c>
      <c r="CL807" t="str">
        <f>""</f>
        <v/>
      </c>
      <c r="CM807" t="str">
        <f>""</f>
        <v/>
      </c>
      <c r="CN807" t="str">
        <f>""</f>
        <v/>
      </c>
      <c r="CO807" t="str">
        <f>""</f>
        <v/>
      </c>
      <c r="CP807" t="str">
        <f>"35-3031.00"</f>
        <v>35-3031.00</v>
      </c>
      <c r="CQ807" t="s">
        <v>1214</v>
      </c>
      <c r="CS807" t="s">
        <v>131</v>
      </c>
      <c r="CU807" t="s">
        <v>4658</v>
      </c>
      <c r="CW807" t="s">
        <v>3512</v>
      </c>
      <c r="CX807" t="s">
        <v>195</v>
      </c>
      <c r="CZ807" s="3" t="str">
        <f>"33446"</f>
        <v>33446</v>
      </c>
      <c r="DA807" t="s">
        <v>131</v>
      </c>
      <c r="DB807" t="str">
        <f>"35-3031"</f>
        <v>35-3031</v>
      </c>
      <c r="DC807" t="s">
        <v>1214</v>
      </c>
      <c r="DD807" t="s">
        <v>134</v>
      </c>
      <c r="DE807" t="s">
        <v>134</v>
      </c>
      <c r="DF807" t="str">
        <f>""</f>
        <v/>
      </c>
      <c r="DH807" s="6">
        <v>12.55</v>
      </c>
      <c r="DI807" t="s">
        <v>344</v>
      </c>
      <c r="DK807" t="s">
        <v>345</v>
      </c>
      <c r="DS807" s="6">
        <v>12.55</v>
      </c>
      <c r="DT807" t="s">
        <v>424</v>
      </c>
      <c r="DU807" s="1">
        <v>44369</v>
      </c>
      <c r="DV807" s="1">
        <v>44458</v>
      </c>
    </row>
    <row r="808" spans="1:126" ht="15" customHeight="1" x14ac:dyDescent="0.35">
      <c r="A808" t="s">
        <v>8678</v>
      </c>
      <c r="B808" t="s">
        <v>318</v>
      </c>
      <c r="C808" s="1">
        <v>44342</v>
      </c>
      <c r="D808" s="1">
        <v>44369</v>
      </c>
      <c r="H808" t="s">
        <v>319</v>
      </c>
      <c r="I808" t="s">
        <v>4656</v>
      </c>
      <c r="J808" t="s">
        <v>6627</v>
      </c>
      <c r="L808" t="s">
        <v>4195</v>
      </c>
      <c r="M808" t="s">
        <v>4658</v>
      </c>
      <c r="O808" t="s">
        <v>3512</v>
      </c>
      <c r="P808" t="s">
        <v>194</v>
      </c>
      <c r="Q808" s="3">
        <v>33446</v>
      </c>
      <c r="R808" t="s">
        <v>128</v>
      </c>
      <c r="T808" s="4">
        <v>15614956336</v>
      </c>
      <c r="V808" t="s">
        <v>134</v>
      </c>
      <c r="W808" t="s">
        <v>4659</v>
      </c>
      <c r="Y808" t="s">
        <v>4658</v>
      </c>
      <c r="AA808" t="s">
        <v>3512</v>
      </c>
      <c r="AB808" t="s">
        <v>195</v>
      </c>
      <c r="AC808" s="3" t="str">
        <f>"33446"</f>
        <v>33446</v>
      </c>
      <c r="AD808" t="s">
        <v>128</v>
      </c>
      <c r="AF808" s="4">
        <v>15614956336</v>
      </c>
      <c r="AH808" t="str">
        <f t="shared" si="57"/>
        <v>71391</v>
      </c>
      <c r="AI808" t="s">
        <v>287</v>
      </c>
      <c r="AJ808" t="s">
        <v>573</v>
      </c>
      <c r="AK808" t="s">
        <v>574</v>
      </c>
      <c r="AM808" t="s">
        <v>575</v>
      </c>
      <c r="AO808" t="s">
        <v>576</v>
      </c>
      <c r="AP808" t="s">
        <v>129</v>
      </c>
      <c r="AQ808" s="5">
        <v>14850</v>
      </c>
      <c r="AR808" t="s">
        <v>128</v>
      </c>
      <c r="AT808" s="4">
        <v>18777387462</v>
      </c>
      <c r="AV808" t="s">
        <v>577</v>
      </c>
      <c r="AW808" t="s">
        <v>7184</v>
      </c>
      <c r="AX808" t="s">
        <v>131</v>
      </c>
      <c r="AY808" t="s">
        <v>131</v>
      </c>
      <c r="AZ808" t="s">
        <v>131</v>
      </c>
      <c r="BA808" t="s">
        <v>131</v>
      </c>
      <c r="BB808" t="s">
        <v>131</v>
      </c>
      <c r="BC808" t="s">
        <v>131</v>
      </c>
      <c r="BD808" t="s">
        <v>131</v>
      </c>
      <c r="BE808" t="s">
        <v>132</v>
      </c>
      <c r="BH808" t="s">
        <v>8679</v>
      </c>
      <c r="BI808" t="s">
        <v>131</v>
      </c>
      <c r="BL808" t="s">
        <v>167</v>
      </c>
      <c r="BO808" t="s">
        <v>131</v>
      </c>
      <c r="BP808" t="s">
        <v>134</v>
      </c>
      <c r="BQ808" t="s">
        <v>131</v>
      </c>
      <c r="BS808" t="str">
        <f t="shared" si="58"/>
        <v>N/A</v>
      </c>
      <c r="BT808" t="s">
        <v>135</v>
      </c>
      <c r="BU808">
        <v>6</v>
      </c>
      <c r="BV808" t="str">
        <f>"Restaurant Cook preparing foods from scratch "</f>
        <v xml:space="preserve">Restaurant Cook preparing foods from scratch </v>
      </c>
      <c r="BW808" t="s">
        <v>135</v>
      </c>
      <c r="BX808" t="str">
        <f>""</f>
        <v/>
      </c>
      <c r="BY808" t="str">
        <f>""</f>
        <v/>
      </c>
      <c r="BZ808" t="str">
        <f>""</f>
        <v/>
      </c>
      <c r="CA808" s="2" t="s">
        <v>4662</v>
      </c>
      <c r="CB808" t="s">
        <v>131</v>
      </c>
      <c r="CF808" t="s">
        <v>131</v>
      </c>
      <c r="CH808" t="str">
        <f>""</f>
        <v/>
      </c>
      <c r="CI808" t="s">
        <v>131</v>
      </c>
      <c r="CK808" t="s">
        <v>131</v>
      </c>
      <c r="CL808" t="str">
        <f>""</f>
        <v/>
      </c>
      <c r="CM808" t="str">
        <f>""</f>
        <v/>
      </c>
      <c r="CN808" t="str">
        <f>""</f>
        <v/>
      </c>
      <c r="CO808" t="str">
        <f>""</f>
        <v/>
      </c>
      <c r="CP808" t="str">
        <f>"35-2014.00"</f>
        <v>35-2014.00</v>
      </c>
      <c r="CQ808" t="s">
        <v>581</v>
      </c>
      <c r="CS808" t="s">
        <v>131</v>
      </c>
      <c r="CU808" t="s">
        <v>4658</v>
      </c>
      <c r="CW808" t="s">
        <v>3512</v>
      </c>
      <c r="CX808" t="s">
        <v>195</v>
      </c>
      <c r="CZ808" s="3" t="str">
        <f>"33446"</f>
        <v>33446</v>
      </c>
      <c r="DA808" t="s">
        <v>131</v>
      </c>
      <c r="DB808" t="str">
        <f>"35-2014"</f>
        <v>35-2014</v>
      </c>
      <c r="DC808" t="s">
        <v>581</v>
      </c>
      <c r="DD808" t="s">
        <v>134</v>
      </c>
      <c r="DE808" t="s">
        <v>134</v>
      </c>
      <c r="DF808" t="str">
        <f>""</f>
        <v/>
      </c>
      <c r="DH808" s="6">
        <v>14.63</v>
      </c>
      <c r="DI808" t="s">
        <v>344</v>
      </c>
      <c r="DK808" t="s">
        <v>345</v>
      </c>
      <c r="DS808" s="6">
        <v>14.63</v>
      </c>
      <c r="DT808" t="s">
        <v>424</v>
      </c>
      <c r="DU808" s="1">
        <v>44369</v>
      </c>
      <c r="DV808" s="1">
        <v>44458</v>
      </c>
    </row>
    <row r="809" spans="1:126" ht="15" customHeight="1" x14ac:dyDescent="0.35">
      <c r="A809" t="s">
        <v>18180</v>
      </c>
      <c r="B809" t="s">
        <v>318</v>
      </c>
      <c r="C809" s="1">
        <v>44342</v>
      </c>
      <c r="D809" s="1">
        <v>44369</v>
      </c>
      <c r="H809" t="s">
        <v>319</v>
      </c>
      <c r="I809" t="s">
        <v>10177</v>
      </c>
      <c r="J809" t="s">
        <v>18181</v>
      </c>
      <c r="L809" t="s">
        <v>10178</v>
      </c>
      <c r="M809" t="s">
        <v>10179</v>
      </c>
      <c r="O809" t="s">
        <v>18182</v>
      </c>
      <c r="P809" t="s">
        <v>194</v>
      </c>
      <c r="Q809" s="3">
        <v>33410</v>
      </c>
      <c r="R809" t="s">
        <v>128</v>
      </c>
      <c r="T809" s="4">
        <v>15616300333</v>
      </c>
      <c r="V809" t="s">
        <v>134</v>
      </c>
      <c r="W809" t="s">
        <v>18183</v>
      </c>
      <c r="Y809" t="s">
        <v>10179</v>
      </c>
      <c r="AA809" t="s">
        <v>2737</v>
      </c>
      <c r="AB809" t="s">
        <v>195</v>
      </c>
      <c r="AC809" s="3" t="str">
        <f>"33410"</f>
        <v>33410</v>
      </c>
      <c r="AD809" t="s">
        <v>128</v>
      </c>
      <c r="AF809" s="4">
        <v>15616300333</v>
      </c>
      <c r="AH809" t="str">
        <f t="shared" si="57"/>
        <v>71391</v>
      </c>
      <c r="AI809" t="s">
        <v>287</v>
      </c>
      <c r="AJ809" t="s">
        <v>573</v>
      </c>
      <c r="AK809" t="s">
        <v>574</v>
      </c>
      <c r="AM809" t="s">
        <v>575</v>
      </c>
      <c r="AO809" t="s">
        <v>576</v>
      </c>
      <c r="AP809" t="s">
        <v>129</v>
      </c>
      <c r="AQ809" s="5">
        <v>14850</v>
      </c>
      <c r="AR809" t="s">
        <v>128</v>
      </c>
      <c r="AT809" s="4">
        <v>18777387462</v>
      </c>
      <c r="AV809" t="s">
        <v>577</v>
      </c>
      <c r="AW809" t="s">
        <v>578</v>
      </c>
      <c r="AX809" t="s">
        <v>131</v>
      </c>
      <c r="AY809" t="s">
        <v>131</v>
      </c>
      <c r="AZ809" t="s">
        <v>131</v>
      </c>
      <c r="BA809" t="s">
        <v>131</v>
      </c>
      <c r="BB809" t="s">
        <v>131</v>
      </c>
      <c r="BC809" t="s">
        <v>131</v>
      </c>
      <c r="BD809" t="s">
        <v>131</v>
      </c>
      <c r="BE809" t="s">
        <v>132</v>
      </c>
      <c r="BH809" t="s">
        <v>7905</v>
      </c>
      <c r="BI809" t="s">
        <v>131</v>
      </c>
      <c r="BL809" t="s">
        <v>167</v>
      </c>
      <c r="BO809" t="s">
        <v>131</v>
      </c>
      <c r="BP809" t="s">
        <v>134</v>
      </c>
      <c r="BQ809" t="s">
        <v>131</v>
      </c>
      <c r="BS809" t="str">
        <f t="shared" si="58"/>
        <v>N/A</v>
      </c>
      <c r="BT809" t="s">
        <v>135</v>
      </c>
      <c r="BU809">
        <v>3</v>
      </c>
      <c r="BV809" t="str">
        <f>"Server in hospitality setting "</f>
        <v xml:space="preserve">Server in hospitality setting </v>
      </c>
      <c r="BW809" t="s">
        <v>135</v>
      </c>
      <c r="BX809" t="str">
        <f>""</f>
        <v/>
      </c>
      <c r="BY809" t="str">
        <f>""</f>
        <v/>
      </c>
      <c r="BZ809" t="str">
        <f>""</f>
        <v/>
      </c>
      <c r="CA809" s="2" t="s">
        <v>10182</v>
      </c>
      <c r="CB809" t="s">
        <v>131</v>
      </c>
      <c r="CF809" t="s">
        <v>131</v>
      </c>
      <c r="CH809" t="str">
        <f>""</f>
        <v/>
      </c>
      <c r="CI809" t="s">
        <v>131</v>
      </c>
      <c r="CK809" t="s">
        <v>131</v>
      </c>
      <c r="CL809" t="str">
        <f>""</f>
        <v/>
      </c>
      <c r="CM809" t="str">
        <f>""</f>
        <v/>
      </c>
      <c r="CN809" t="str">
        <f>""</f>
        <v/>
      </c>
      <c r="CO809" t="str">
        <f>""</f>
        <v/>
      </c>
      <c r="CP809" t="str">
        <f>"35-3031.00"</f>
        <v>35-3031.00</v>
      </c>
      <c r="CQ809" t="s">
        <v>1214</v>
      </c>
      <c r="CS809" t="s">
        <v>131</v>
      </c>
      <c r="CU809" t="s">
        <v>10179</v>
      </c>
      <c r="CW809" t="s">
        <v>2737</v>
      </c>
      <c r="CX809" t="s">
        <v>195</v>
      </c>
      <c r="CZ809" s="3" t="str">
        <f>"33410"</f>
        <v>33410</v>
      </c>
      <c r="DA809" t="s">
        <v>131</v>
      </c>
      <c r="DB809" t="str">
        <f>"35-3031"</f>
        <v>35-3031</v>
      </c>
      <c r="DC809" t="s">
        <v>1214</v>
      </c>
      <c r="DD809" t="s">
        <v>134</v>
      </c>
      <c r="DE809" t="s">
        <v>134</v>
      </c>
      <c r="DF809" t="str">
        <f>""</f>
        <v/>
      </c>
      <c r="DH809" s="6">
        <v>12.55</v>
      </c>
      <c r="DI809" t="s">
        <v>344</v>
      </c>
      <c r="DK809" t="s">
        <v>345</v>
      </c>
      <c r="DS809" s="6">
        <v>12.55</v>
      </c>
      <c r="DT809" t="s">
        <v>424</v>
      </c>
      <c r="DU809" s="1">
        <v>44369</v>
      </c>
      <c r="DV809" s="1">
        <v>44458</v>
      </c>
    </row>
    <row r="810" spans="1:126" ht="15" customHeight="1" x14ac:dyDescent="0.35">
      <c r="A810" t="s">
        <v>10176</v>
      </c>
      <c r="B810" t="s">
        <v>318</v>
      </c>
      <c r="C810" s="1">
        <v>44342</v>
      </c>
      <c r="D810" s="1">
        <v>44369</v>
      </c>
      <c r="H810" t="s">
        <v>319</v>
      </c>
      <c r="I810" t="s">
        <v>10177</v>
      </c>
      <c r="J810" t="s">
        <v>6841</v>
      </c>
      <c r="L810" t="s">
        <v>10178</v>
      </c>
      <c r="M810" t="s">
        <v>10179</v>
      </c>
      <c r="O810" t="s">
        <v>2737</v>
      </c>
      <c r="P810" t="s">
        <v>194</v>
      </c>
      <c r="Q810" s="3">
        <v>33410</v>
      </c>
      <c r="R810" t="s">
        <v>128</v>
      </c>
      <c r="T810" s="4">
        <v>15616300333</v>
      </c>
      <c r="V810" t="s">
        <v>134</v>
      </c>
      <c r="W810" t="s">
        <v>10180</v>
      </c>
      <c r="Y810" t="s">
        <v>10179</v>
      </c>
      <c r="AA810" t="s">
        <v>2737</v>
      </c>
      <c r="AB810" t="s">
        <v>195</v>
      </c>
      <c r="AC810" s="3" t="str">
        <f>"33410"</f>
        <v>33410</v>
      </c>
      <c r="AD810" t="s">
        <v>128</v>
      </c>
      <c r="AF810" s="4">
        <v>15616300333</v>
      </c>
      <c r="AH810" t="str">
        <f t="shared" si="57"/>
        <v>71391</v>
      </c>
      <c r="AI810" t="s">
        <v>287</v>
      </c>
      <c r="AJ810" t="s">
        <v>573</v>
      </c>
      <c r="AK810" t="s">
        <v>574</v>
      </c>
      <c r="AM810" t="s">
        <v>575</v>
      </c>
      <c r="AO810" t="s">
        <v>576</v>
      </c>
      <c r="AP810" t="s">
        <v>129</v>
      </c>
      <c r="AQ810" s="5">
        <v>14850</v>
      </c>
      <c r="AR810" t="s">
        <v>128</v>
      </c>
      <c r="AT810" s="4">
        <v>18777387462</v>
      </c>
      <c r="AV810" t="s">
        <v>577</v>
      </c>
      <c r="AW810" t="s">
        <v>10181</v>
      </c>
      <c r="AX810" t="s">
        <v>131</v>
      </c>
      <c r="AY810" t="s">
        <v>131</v>
      </c>
      <c r="AZ810" t="s">
        <v>131</v>
      </c>
      <c r="BA810" t="s">
        <v>131</v>
      </c>
      <c r="BB810" t="s">
        <v>131</v>
      </c>
      <c r="BC810" t="s">
        <v>131</v>
      </c>
      <c r="BD810" t="s">
        <v>131</v>
      </c>
      <c r="BE810" t="s">
        <v>132</v>
      </c>
      <c r="BH810" t="s">
        <v>579</v>
      </c>
      <c r="BI810" t="s">
        <v>131</v>
      </c>
      <c r="BL810" t="s">
        <v>167</v>
      </c>
      <c r="BO810" t="s">
        <v>131</v>
      </c>
      <c r="BP810" t="s">
        <v>134</v>
      </c>
      <c r="BQ810" t="s">
        <v>131</v>
      </c>
      <c r="BS810" t="str">
        <f t="shared" si="58"/>
        <v>N/A</v>
      </c>
      <c r="BT810" t="s">
        <v>135</v>
      </c>
      <c r="BU810">
        <v>6</v>
      </c>
      <c r="BV810" t="str">
        <f>"Line Cook in hospitality setting"</f>
        <v>Line Cook in hospitality setting</v>
      </c>
      <c r="BW810" t="s">
        <v>135</v>
      </c>
      <c r="BX810" t="str">
        <f>""</f>
        <v/>
      </c>
      <c r="BY810" t="str">
        <f>""</f>
        <v/>
      </c>
      <c r="BZ810" t="str">
        <f>""</f>
        <v/>
      </c>
      <c r="CA810" s="2" t="s">
        <v>10182</v>
      </c>
      <c r="CB810" t="s">
        <v>131</v>
      </c>
      <c r="CF810" t="s">
        <v>131</v>
      </c>
      <c r="CH810" t="str">
        <f>""</f>
        <v/>
      </c>
      <c r="CI810" t="s">
        <v>131</v>
      </c>
      <c r="CK810" t="s">
        <v>131</v>
      </c>
      <c r="CL810" t="str">
        <f>""</f>
        <v/>
      </c>
      <c r="CM810" t="str">
        <f>""</f>
        <v/>
      </c>
      <c r="CN810" t="str">
        <f>""</f>
        <v/>
      </c>
      <c r="CO810" t="str">
        <f>""</f>
        <v/>
      </c>
      <c r="CP810" t="str">
        <f>"35-2014.00"</f>
        <v>35-2014.00</v>
      </c>
      <c r="CQ810" t="s">
        <v>581</v>
      </c>
      <c r="CS810" t="s">
        <v>131</v>
      </c>
      <c r="CU810" t="s">
        <v>10179</v>
      </c>
      <c r="CW810" t="s">
        <v>2737</v>
      </c>
      <c r="CX810" t="s">
        <v>195</v>
      </c>
      <c r="CZ810" s="3" t="str">
        <f>"33410"</f>
        <v>33410</v>
      </c>
      <c r="DA810" t="s">
        <v>131</v>
      </c>
      <c r="DB810" t="str">
        <f>"35-2014"</f>
        <v>35-2014</v>
      </c>
      <c r="DC810" t="s">
        <v>581</v>
      </c>
      <c r="DD810" t="s">
        <v>134</v>
      </c>
      <c r="DE810" t="s">
        <v>134</v>
      </c>
      <c r="DF810" t="str">
        <f>""</f>
        <v/>
      </c>
      <c r="DH810" s="6">
        <v>14.63</v>
      </c>
      <c r="DI810" t="s">
        <v>344</v>
      </c>
      <c r="DK810" t="s">
        <v>345</v>
      </c>
      <c r="DS810" s="6">
        <v>14.63</v>
      </c>
      <c r="DT810" t="s">
        <v>424</v>
      </c>
      <c r="DU810" s="1">
        <v>44369</v>
      </c>
      <c r="DV810" s="1">
        <v>44458</v>
      </c>
    </row>
    <row r="811" spans="1:126" ht="15" customHeight="1" x14ac:dyDescent="0.35">
      <c r="A811" t="s">
        <v>19448</v>
      </c>
      <c r="B811" t="s">
        <v>318</v>
      </c>
      <c r="C811" s="1">
        <v>44342</v>
      </c>
      <c r="D811" s="1">
        <v>44369</v>
      </c>
      <c r="H811" t="s">
        <v>319</v>
      </c>
      <c r="I811" t="s">
        <v>13126</v>
      </c>
      <c r="J811" t="s">
        <v>13127</v>
      </c>
      <c r="L811" t="s">
        <v>832</v>
      </c>
      <c r="M811" t="s">
        <v>13128</v>
      </c>
      <c r="O811" t="s">
        <v>3512</v>
      </c>
      <c r="P811" t="s">
        <v>194</v>
      </c>
      <c r="Q811" s="3">
        <v>33483</v>
      </c>
      <c r="R811" t="s">
        <v>128</v>
      </c>
      <c r="T811" s="4">
        <v>15618196931</v>
      </c>
      <c r="V811" t="s">
        <v>134</v>
      </c>
      <c r="W811" t="s">
        <v>13129</v>
      </c>
      <c r="Y811" t="s">
        <v>13128</v>
      </c>
      <c r="AA811" t="s">
        <v>3512</v>
      </c>
      <c r="AB811" t="s">
        <v>195</v>
      </c>
      <c r="AC811" s="3" t="str">
        <f>"33483"</f>
        <v>33483</v>
      </c>
      <c r="AD811" t="s">
        <v>128</v>
      </c>
      <c r="AF811" s="4">
        <v>15618196931</v>
      </c>
      <c r="AH811" t="str">
        <f t="shared" si="57"/>
        <v>71391</v>
      </c>
      <c r="AI811" t="s">
        <v>287</v>
      </c>
      <c r="AJ811" t="s">
        <v>573</v>
      </c>
      <c r="AK811" t="s">
        <v>574</v>
      </c>
      <c r="AM811" t="s">
        <v>575</v>
      </c>
      <c r="AO811" t="s">
        <v>576</v>
      </c>
      <c r="AP811" t="s">
        <v>129</v>
      </c>
      <c r="AQ811" s="5">
        <v>14850</v>
      </c>
      <c r="AR811" t="s">
        <v>128</v>
      </c>
      <c r="AT811" s="4">
        <v>18777387462</v>
      </c>
      <c r="AV811" t="s">
        <v>577</v>
      </c>
      <c r="AW811" t="s">
        <v>7184</v>
      </c>
      <c r="AX811" t="s">
        <v>131</v>
      </c>
      <c r="AY811" t="s">
        <v>131</v>
      </c>
      <c r="AZ811" t="s">
        <v>131</v>
      </c>
      <c r="BA811" t="s">
        <v>131</v>
      </c>
      <c r="BB811" t="s">
        <v>131</v>
      </c>
      <c r="BC811" t="s">
        <v>131</v>
      </c>
      <c r="BD811" t="s">
        <v>131</v>
      </c>
      <c r="BE811" t="s">
        <v>132</v>
      </c>
      <c r="BH811" t="s">
        <v>7905</v>
      </c>
      <c r="BI811" t="s">
        <v>131</v>
      </c>
      <c r="BL811" t="s">
        <v>167</v>
      </c>
      <c r="BO811" t="s">
        <v>131</v>
      </c>
      <c r="BP811" t="s">
        <v>134</v>
      </c>
      <c r="BQ811" t="s">
        <v>131</v>
      </c>
      <c r="BS811" t="str">
        <f t="shared" si="58"/>
        <v>N/A</v>
      </c>
      <c r="BT811" t="s">
        <v>135</v>
      </c>
      <c r="BU811">
        <v>3</v>
      </c>
      <c r="BV811" t="str">
        <f>"fine dining service "</f>
        <v xml:space="preserve">fine dining service </v>
      </c>
      <c r="BW811" t="s">
        <v>135</v>
      </c>
      <c r="BX811" t="str">
        <f>""</f>
        <v/>
      </c>
      <c r="BY811" t="str">
        <f>""</f>
        <v/>
      </c>
      <c r="BZ811" t="str">
        <f>""</f>
        <v/>
      </c>
      <c r="CA811" s="2" t="s">
        <v>19449</v>
      </c>
      <c r="CB811" t="s">
        <v>131</v>
      </c>
      <c r="CF811" t="s">
        <v>131</v>
      </c>
      <c r="CH811" t="str">
        <f>""</f>
        <v/>
      </c>
      <c r="CI811" t="s">
        <v>131</v>
      </c>
      <c r="CK811" t="s">
        <v>131</v>
      </c>
      <c r="CL811" t="str">
        <f>""</f>
        <v/>
      </c>
      <c r="CM811" t="str">
        <f>""</f>
        <v/>
      </c>
      <c r="CN811" t="str">
        <f>""</f>
        <v/>
      </c>
      <c r="CO811" t="str">
        <f>""</f>
        <v/>
      </c>
      <c r="CP811" t="str">
        <f>"35-3031.00"</f>
        <v>35-3031.00</v>
      </c>
      <c r="CQ811" t="s">
        <v>1214</v>
      </c>
      <c r="CS811" t="s">
        <v>131</v>
      </c>
      <c r="CU811" t="s">
        <v>13128</v>
      </c>
      <c r="CW811" t="s">
        <v>3512</v>
      </c>
      <c r="CX811" t="s">
        <v>195</v>
      </c>
      <c r="CZ811" s="3" t="str">
        <f>"33483"</f>
        <v>33483</v>
      </c>
      <c r="DA811" t="s">
        <v>131</v>
      </c>
      <c r="DB811" t="str">
        <f>"35-3031"</f>
        <v>35-3031</v>
      </c>
      <c r="DC811" t="s">
        <v>1214</v>
      </c>
      <c r="DD811" t="s">
        <v>134</v>
      </c>
      <c r="DE811" t="s">
        <v>134</v>
      </c>
      <c r="DF811" t="str">
        <f>""</f>
        <v/>
      </c>
      <c r="DH811" s="6">
        <v>12.55</v>
      </c>
      <c r="DI811" t="s">
        <v>344</v>
      </c>
      <c r="DK811" t="s">
        <v>345</v>
      </c>
      <c r="DS811" s="6">
        <v>12.55</v>
      </c>
      <c r="DT811" t="s">
        <v>424</v>
      </c>
      <c r="DU811" s="1">
        <v>44369</v>
      </c>
      <c r="DV811" s="1">
        <v>44458</v>
      </c>
    </row>
    <row r="812" spans="1:126" ht="15" customHeight="1" x14ac:dyDescent="0.35">
      <c r="A812" t="s">
        <v>13125</v>
      </c>
      <c r="B812" t="s">
        <v>318</v>
      </c>
      <c r="C812" s="1">
        <v>44342</v>
      </c>
      <c r="D812" s="1">
        <v>44369</v>
      </c>
      <c r="H812" t="s">
        <v>319</v>
      </c>
      <c r="I812" t="s">
        <v>13126</v>
      </c>
      <c r="J812" t="s">
        <v>13127</v>
      </c>
      <c r="L812" t="s">
        <v>832</v>
      </c>
      <c r="M812" t="s">
        <v>13128</v>
      </c>
      <c r="O812" t="s">
        <v>3512</v>
      </c>
      <c r="P812" t="s">
        <v>194</v>
      </c>
      <c r="Q812" s="3">
        <v>33483</v>
      </c>
      <c r="R812" t="s">
        <v>128</v>
      </c>
      <c r="T812" s="4">
        <v>15618196931</v>
      </c>
      <c r="V812" t="s">
        <v>134</v>
      </c>
      <c r="W812" t="s">
        <v>13129</v>
      </c>
      <c r="Y812" t="s">
        <v>13128</v>
      </c>
      <c r="AA812" t="s">
        <v>3512</v>
      </c>
      <c r="AB812" t="s">
        <v>195</v>
      </c>
      <c r="AC812" s="3" t="str">
        <f>"33483"</f>
        <v>33483</v>
      </c>
      <c r="AD812" t="s">
        <v>128</v>
      </c>
      <c r="AF812" s="4">
        <v>15618196931</v>
      </c>
      <c r="AH812" t="str">
        <f t="shared" si="57"/>
        <v>71391</v>
      </c>
      <c r="AI812" t="s">
        <v>287</v>
      </c>
      <c r="AJ812" t="s">
        <v>573</v>
      </c>
      <c r="AK812" t="s">
        <v>574</v>
      </c>
      <c r="AM812" t="s">
        <v>575</v>
      </c>
      <c r="AO812" t="s">
        <v>576</v>
      </c>
      <c r="AP812" t="s">
        <v>129</v>
      </c>
      <c r="AQ812" s="5">
        <v>14850</v>
      </c>
      <c r="AR812" t="s">
        <v>128</v>
      </c>
      <c r="AT812" s="4">
        <v>18777387462</v>
      </c>
      <c r="AV812" t="s">
        <v>577</v>
      </c>
      <c r="AW812" t="s">
        <v>578</v>
      </c>
      <c r="AX812" t="s">
        <v>131</v>
      </c>
      <c r="AY812" t="s">
        <v>131</v>
      </c>
      <c r="AZ812" t="s">
        <v>131</v>
      </c>
      <c r="BA812" t="s">
        <v>131</v>
      </c>
      <c r="BB812" t="s">
        <v>131</v>
      </c>
      <c r="BC812" t="s">
        <v>131</v>
      </c>
      <c r="BD812" t="s">
        <v>131</v>
      </c>
      <c r="BE812" t="s">
        <v>132</v>
      </c>
      <c r="BH812" t="s">
        <v>579</v>
      </c>
      <c r="BI812" t="s">
        <v>131</v>
      </c>
      <c r="BL812" t="s">
        <v>167</v>
      </c>
      <c r="BO812" t="s">
        <v>131</v>
      </c>
      <c r="BP812" t="s">
        <v>134</v>
      </c>
      <c r="BQ812" t="s">
        <v>131</v>
      </c>
      <c r="BS812" t="str">
        <f t="shared" si="58"/>
        <v>N/A</v>
      </c>
      <c r="BT812" t="s">
        <v>135</v>
      </c>
      <c r="BU812">
        <v>6</v>
      </c>
      <c r="BV812" t="str">
        <f>"Restaurant Cook preparing foods from scratch "</f>
        <v xml:space="preserve">Restaurant Cook preparing foods from scratch </v>
      </c>
      <c r="BW812" t="s">
        <v>135</v>
      </c>
      <c r="BX812" t="str">
        <f>""</f>
        <v/>
      </c>
      <c r="BY812" t="str">
        <f>""</f>
        <v/>
      </c>
      <c r="BZ812" t="str">
        <f>""</f>
        <v/>
      </c>
      <c r="CA812" s="2" t="s">
        <v>13130</v>
      </c>
      <c r="CB812" t="s">
        <v>131</v>
      </c>
      <c r="CF812" t="s">
        <v>131</v>
      </c>
      <c r="CH812" t="str">
        <f>""</f>
        <v/>
      </c>
      <c r="CI812" t="s">
        <v>131</v>
      </c>
      <c r="CK812" t="s">
        <v>131</v>
      </c>
      <c r="CL812" t="str">
        <f>""</f>
        <v/>
      </c>
      <c r="CM812" t="str">
        <f>""</f>
        <v/>
      </c>
      <c r="CN812" t="str">
        <f>""</f>
        <v/>
      </c>
      <c r="CO812" t="str">
        <f>""</f>
        <v/>
      </c>
      <c r="CP812" t="str">
        <f>"35-2014.00"</f>
        <v>35-2014.00</v>
      </c>
      <c r="CQ812" t="s">
        <v>581</v>
      </c>
      <c r="CS812" t="s">
        <v>131</v>
      </c>
      <c r="CU812" t="s">
        <v>13128</v>
      </c>
      <c r="CW812" t="s">
        <v>3512</v>
      </c>
      <c r="CX812" t="s">
        <v>195</v>
      </c>
      <c r="CZ812" s="3" t="str">
        <f>"33483"</f>
        <v>33483</v>
      </c>
      <c r="DA812" t="s">
        <v>131</v>
      </c>
      <c r="DB812" t="str">
        <f>"35-2014"</f>
        <v>35-2014</v>
      </c>
      <c r="DC812" t="s">
        <v>581</v>
      </c>
      <c r="DD812" t="s">
        <v>134</v>
      </c>
      <c r="DE812" t="s">
        <v>134</v>
      </c>
      <c r="DF812" t="str">
        <f>""</f>
        <v/>
      </c>
      <c r="DH812" s="6">
        <v>14.63</v>
      </c>
      <c r="DI812" t="s">
        <v>344</v>
      </c>
      <c r="DK812" t="s">
        <v>345</v>
      </c>
      <c r="DS812" s="6">
        <v>14.63</v>
      </c>
      <c r="DT812" t="s">
        <v>424</v>
      </c>
      <c r="DU812" s="1">
        <v>44369</v>
      </c>
      <c r="DV812" s="1">
        <v>44458</v>
      </c>
    </row>
    <row r="813" spans="1:126" ht="15" customHeight="1" x14ac:dyDescent="0.35">
      <c r="A813" t="s">
        <v>8484</v>
      </c>
      <c r="B813" t="s">
        <v>318</v>
      </c>
      <c r="C813" s="1">
        <v>44342</v>
      </c>
      <c r="D813" s="1">
        <v>44369</v>
      </c>
      <c r="H813" t="s">
        <v>319</v>
      </c>
      <c r="I813" t="s">
        <v>8485</v>
      </c>
      <c r="J813" t="s">
        <v>8486</v>
      </c>
      <c r="L813" t="s">
        <v>8487</v>
      </c>
      <c r="M813" t="s">
        <v>8488</v>
      </c>
      <c r="O813" t="s">
        <v>1812</v>
      </c>
      <c r="P813" t="s">
        <v>194</v>
      </c>
      <c r="Q813" s="3">
        <v>33433</v>
      </c>
      <c r="R813" t="s">
        <v>128</v>
      </c>
      <c r="T813" s="4">
        <v>15614823300</v>
      </c>
      <c r="V813" t="s">
        <v>134</v>
      </c>
      <c r="W813" t="s">
        <v>8489</v>
      </c>
      <c r="Y813" t="s">
        <v>8488</v>
      </c>
      <c r="AA813" t="s">
        <v>1812</v>
      </c>
      <c r="AB813" t="s">
        <v>195</v>
      </c>
      <c r="AC813" s="3" t="str">
        <f>"33433"</f>
        <v>33433</v>
      </c>
      <c r="AD813" t="s">
        <v>128</v>
      </c>
      <c r="AF813" s="4">
        <v>15614823300</v>
      </c>
      <c r="AH813" t="str">
        <f t="shared" si="57"/>
        <v>71391</v>
      </c>
      <c r="AI813" t="s">
        <v>287</v>
      </c>
      <c r="AJ813" t="s">
        <v>573</v>
      </c>
      <c r="AK813" t="s">
        <v>574</v>
      </c>
      <c r="AM813" t="s">
        <v>575</v>
      </c>
      <c r="AO813" t="s">
        <v>576</v>
      </c>
      <c r="AP813" t="s">
        <v>129</v>
      </c>
      <c r="AQ813" s="5">
        <v>14850</v>
      </c>
      <c r="AR813" t="s">
        <v>128</v>
      </c>
      <c r="AT813" s="4">
        <v>18777387462</v>
      </c>
      <c r="AV813" t="s">
        <v>577</v>
      </c>
      <c r="AW813" t="s">
        <v>578</v>
      </c>
      <c r="AX813" t="s">
        <v>131</v>
      </c>
      <c r="AY813" t="s">
        <v>131</v>
      </c>
      <c r="AZ813" t="s">
        <v>131</v>
      </c>
      <c r="BA813" t="s">
        <v>131</v>
      </c>
      <c r="BB813" t="s">
        <v>131</v>
      </c>
      <c r="BC813" t="s">
        <v>131</v>
      </c>
      <c r="BD813" t="s">
        <v>131</v>
      </c>
      <c r="BE813" t="s">
        <v>132</v>
      </c>
      <c r="BH813" t="s">
        <v>579</v>
      </c>
      <c r="BI813" t="s">
        <v>131</v>
      </c>
      <c r="BL813" t="s">
        <v>167</v>
      </c>
      <c r="BO813" t="s">
        <v>131</v>
      </c>
      <c r="BP813" t="s">
        <v>134</v>
      </c>
      <c r="BQ813" t="s">
        <v>131</v>
      </c>
      <c r="BS813" t="str">
        <f t="shared" si="58"/>
        <v>N/A</v>
      </c>
      <c r="BT813" t="s">
        <v>135</v>
      </c>
      <c r="BU813">
        <v>6</v>
      </c>
      <c r="BV813" t="str">
        <f>"Restaurant Cook preparing foods from scratch "</f>
        <v xml:space="preserve">Restaurant Cook preparing foods from scratch </v>
      </c>
      <c r="BW813" t="s">
        <v>135</v>
      </c>
      <c r="BX813" t="str">
        <f>""</f>
        <v/>
      </c>
      <c r="BY813" t="str">
        <f>""</f>
        <v/>
      </c>
      <c r="BZ813" t="str">
        <f>""</f>
        <v/>
      </c>
      <c r="CA813" s="2" t="s">
        <v>8490</v>
      </c>
      <c r="CB813" t="s">
        <v>131</v>
      </c>
      <c r="CF813" t="s">
        <v>131</v>
      </c>
      <c r="CH813" t="str">
        <f>""</f>
        <v/>
      </c>
      <c r="CI813" t="s">
        <v>131</v>
      </c>
      <c r="CK813" t="s">
        <v>131</v>
      </c>
      <c r="CL813" t="str">
        <f>""</f>
        <v/>
      </c>
      <c r="CM813" t="str">
        <f>""</f>
        <v/>
      </c>
      <c r="CN813" t="str">
        <f>""</f>
        <v/>
      </c>
      <c r="CO813" t="str">
        <f>""</f>
        <v/>
      </c>
      <c r="CP813" t="str">
        <f>"35-2014.00"</f>
        <v>35-2014.00</v>
      </c>
      <c r="CQ813" t="s">
        <v>581</v>
      </c>
      <c r="CS813" t="s">
        <v>131</v>
      </c>
      <c r="CU813" t="s">
        <v>8488</v>
      </c>
      <c r="CW813" t="s">
        <v>1812</v>
      </c>
      <c r="CX813" t="s">
        <v>195</v>
      </c>
      <c r="CZ813" s="3" t="str">
        <f>"33433"</f>
        <v>33433</v>
      </c>
      <c r="DA813" t="s">
        <v>131</v>
      </c>
      <c r="DB813" t="str">
        <f>"35-2014"</f>
        <v>35-2014</v>
      </c>
      <c r="DC813" t="s">
        <v>581</v>
      </c>
      <c r="DD813" t="s">
        <v>134</v>
      </c>
      <c r="DE813" t="s">
        <v>134</v>
      </c>
      <c r="DF813" t="str">
        <f>""</f>
        <v/>
      </c>
      <c r="DH813" s="6">
        <v>14.63</v>
      </c>
      <c r="DI813" t="s">
        <v>344</v>
      </c>
      <c r="DK813" t="s">
        <v>345</v>
      </c>
      <c r="DS813" s="6">
        <v>14.63</v>
      </c>
      <c r="DT813" t="s">
        <v>424</v>
      </c>
      <c r="DU813" s="1">
        <v>44369</v>
      </c>
      <c r="DV813" s="1">
        <v>44458</v>
      </c>
    </row>
    <row r="814" spans="1:126" ht="15" customHeight="1" x14ac:dyDescent="0.35">
      <c r="A814" t="s">
        <v>16440</v>
      </c>
      <c r="B814" t="s">
        <v>318</v>
      </c>
      <c r="C814" s="1">
        <v>44342</v>
      </c>
      <c r="D814" s="1">
        <v>44369</v>
      </c>
      <c r="H814" t="s">
        <v>319</v>
      </c>
      <c r="I814" t="s">
        <v>16219</v>
      </c>
      <c r="J814" t="s">
        <v>9129</v>
      </c>
      <c r="L814" t="s">
        <v>16220</v>
      </c>
      <c r="M814" t="s">
        <v>16221</v>
      </c>
      <c r="O814" t="s">
        <v>1812</v>
      </c>
      <c r="P814" t="s">
        <v>194</v>
      </c>
      <c r="Q814" s="3">
        <v>33428</v>
      </c>
      <c r="R814" t="s">
        <v>128</v>
      </c>
      <c r="T814" s="4">
        <v>15614872800</v>
      </c>
      <c r="V814" t="s">
        <v>134</v>
      </c>
      <c r="W814" t="s">
        <v>16222</v>
      </c>
      <c r="Y814" t="s">
        <v>16221</v>
      </c>
      <c r="AA814" t="s">
        <v>1812</v>
      </c>
      <c r="AB814" t="s">
        <v>195</v>
      </c>
      <c r="AC814" s="3" t="str">
        <f>"33428"</f>
        <v>33428</v>
      </c>
      <c r="AD814" t="s">
        <v>128</v>
      </c>
      <c r="AF814" s="4">
        <v>15614872800</v>
      </c>
      <c r="AH814" t="str">
        <f t="shared" si="57"/>
        <v>71391</v>
      </c>
      <c r="AI814" t="s">
        <v>287</v>
      </c>
      <c r="AJ814" t="s">
        <v>573</v>
      </c>
      <c r="AK814" t="s">
        <v>574</v>
      </c>
      <c r="AM814" t="s">
        <v>575</v>
      </c>
      <c r="AO814" t="s">
        <v>576</v>
      </c>
      <c r="AP814" t="s">
        <v>129</v>
      </c>
      <c r="AQ814" s="5">
        <v>14850</v>
      </c>
      <c r="AR814" t="s">
        <v>128</v>
      </c>
      <c r="AT814" s="4">
        <v>18777387462</v>
      </c>
      <c r="AV814" t="s">
        <v>577</v>
      </c>
      <c r="AW814" t="s">
        <v>578</v>
      </c>
      <c r="AX814" t="s">
        <v>131</v>
      </c>
      <c r="AY814" t="s">
        <v>131</v>
      </c>
      <c r="AZ814" t="s">
        <v>131</v>
      </c>
      <c r="BA814" t="s">
        <v>131</v>
      </c>
      <c r="BB814" t="s">
        <v>131</v>
      </c>
      <c r="BC814" t="s">
        <v>131</v>
      </c>
      <c r="BD814" t="s">
        <v>131</v>
      </c>
      <c r="BE814" t="s">
        <v>132</v>
      </c>
      <c r="BH814" t="s">
        <v>579</v>
      </c>
      <c r="BI814" t="s">
        <v>131</v>
      </c>
      <c r="BL814" t="s">
        <v>167</v>
      </c>
      <c r="BO814" t="s">
        <v>131</v>
      </c>
      <c r="BP814" t="s">
        <v>134</v>
      </c>
      <c r="BQ814" t="s">
        <v>131</v>
      </c>
      <c r="BS814" t="str">
        <f t="shared" si="58"/>
        <v>N/A</v>
      </c>
      <c r="BT814" t="s">
        <v>135</v>
      </c>
      <c r="BU814">
        <v>6</v>
      </c>
      <c r="BV814" t="str">
        <f>"Restaurant Cook preparing foods from scratch "</f>
        <v xml:space="preserve">Restaurant Cook preparing foods from scratch </v>
      </c>
      <c r="BW814" t="s">
        <v>135</v>
      </c>
      <c r="BX814" t="str">
        <f>""</f>
        <v/>
      </c>
      <c r="BY814" t="str">
        <f>""</f>
        <v/>
      </c>
      <c r="BZ814" t="str">
        <f>""</f>
        <v/>
      </c>
      <c r="CA814" s="2" t="s">
        <v>13130</v>
      </c>
      <c r="CB814" t="s">
        <v>131</v>
      </c>
      <c r="CF814" t="s">
        <v>131</v>
      </c>
      <c r="CH814" t="str">
        <f>""</f>
        <v/>
      </c>
      <c r="CI814" t="s">
        <v>131</v>
      </c>
      <c r="CK814" t="s">
        <v>131</v>
      </c>
      <c r="CL814" t="str">
        <f>""</f>
        <v/>
      </c>
      <c r="CM814" t="str">
        <f>""</f>
        <v/>
      </c>
      <c r="CN814" t="str">
        <f>""</f>
        <v/>
      </c>
      <c r="CO814" t="str">
        <f>""</f>
        <v/>
      </c>
      <c r="CP814" t="str">
        <f>"35-2014.00"</f>
        <v>35-2014.00</v>
      </c>
      <c r="CQ814" t="s">
        <v>581</v>
      </c>
      <c r="CS814" t="s">
        <v>131</v>
      </c>
      <c r="CU814" t="s">
        <v>16221</v>
      </c>
      <c r="CW814" t="s">
        <v>1812</v>
      </c>
      <c r="CX814" t="s">
        <v>195</v>
      </c>
      <c r="CZ814" s="3" t="str">
        <f>"33428"</f>
        <v>33428</v>
      </c>
      <c r="DA814" t="s">
        <v>131</v>
      </c>
      <c r="DB814" t="str">
        <f>"35-2014"</f>
        <v>35-2014</v>
      </c>
      <c r="DC814" t="s">
        <v>581</v>
      </c>
      <c r="DD814" t="s">
        <v>134</v>
      </c>
      <c r="DE814" t="s">
        <v>134</v>
      </c>
      <c r="DF814" t="str">
        <f>""</f>
        <v/>
      </c>
      <c r="DH814" s="6">
        <v>14.63</v>
      </c>
      <c r="DI814" t="s">
        <v>344</v>
      </c>
      <c r="DK814" t="s">
        <v>345</v>
      </c>
      <c r="DS814" s="6">
        <v>14.63</v>
      </c>
      <c r="DT814" t="s">
        <v>424</v>
      </c>
      <c r="DU814" s="1">
        <v>44369</v>
      </c>
      <c r="DV814" s="1">
        <v>44458</v>
      </c>
    </row>
    <row r="815" spans="1:126" ht="15" customHeight="1" x14ac:dyDescent="0.35">
      <c r="A815" t="s">
        <v>16218</v>
      </c>
      <c r="B815" t="s">
        <v>318</v>
      </c>
      <c r="C815" s="1">
        <v>44342</v>
      </c>
      <c r="D815" s="1">
        <v>44369</v>
      </c>
      <c r="H815" t="s">
        <v>319</v>
      </c>
      <c r="I815" t="s">
        <v>16219</v>
      </c>
      <c r="J815" t="s">
        <v>9129</v>
      </c>
      <c r="L815" t="s">
        <v>16220</v>
      </c>
      <c r="M815" t="s">
        <v>16221</v>
      </c>
      <c r="O815" t="s">
        <v>1812</v>
      </c>
      <c r="P815" t="s">
        <v>194</v>
      </c>
      <c r="Q815" s="3">
        <v>33428</v>
      </c>
      <c r="R815" t="s">
        <v>128</v>
      </c>
      <c r="T815" s="4">
        <v>15614872800</v>
      </c>
      <c r="V815" t="s">
        <v>134</v>
      </c>
      <c r="W815" t="s">
        <v>16222</v>
      </c>
      <c r="Y815" t="s">
        <v>16221</v>
      </c>
      <c r="AA815" t="s">
        <v>1812</v>
      </c>
      <c r="AB815" t="s">
        <v>195</v>
      </c>
      <c r="AC815" s="3" t="str">
        <f>"33428"</f>
        <v>33428</v>
      </c>
      <c r="AD815" t="s">
        <v>128</v>
      </c>
      <c r="AF815" s="4">
        <v>15614872800</v>
      </c>
      <c r="AH815" t="str">
        <f t="shared" si="57"/>
        <v>71391</v>
      </c>
      <c r="AI815" t="s">
        <v>287</v>
      </c>
      <c r="AJ815" t="s">
        <v>573</v>
      </c>
      <c r="AK815" t="s">
        <v>574</v>
      </c>
      <c r="AM815" t="s">
        <v>575</v>
      </c>
      <c r="AO815" t="s">
        <v>576</v>
      </c>
      <c r="AP815" t="s">
        <v>129</v>
      </c>
      <c r="AQ815" s="5">
        <v>14850</v>
      </c>
      <c r="AR815" t="s">
        <v>128</v>
      </c>
      <c r="AT815" s="4">
        <v>18777387462</v>
      </c>
      <c r="AV815" t="s">
        <v>577</v>
      </c>
      <c r="AW815" t="s">
        <v>7184</v>
      </c>
      <c r="AX815" t="s">
        <v>131</v>
      </c>
      <c r="AY815" t="s">
        <v>131</v>
      </c>
      <c r="AZ815" t="s">
        <v>131</v>
      </c>
      <c r="BA815" t="s">
        <v>131</v>
      </c>
      <c r="BB815" t="s">
        <v>131</v>
      </c>
      <c r="BC815" t="s">
        <v>131</v>
      </c>
      <c r="BD815" t="s">
        <v>131</v>
      </c>
      <c r="BE815" t="s">
        <v>132</v>
      </c>
      <c r="BH815" t="s">
        <v>7905</v>
      </c>
      <c r="BI815" t="s">
        <v>131</v>
      </c>
      <c r="BL815" t="s">
        <v>167</v>
      </c>
      <c r="BO815" t="s">
        <v>131</v>
      </c>
      <c r="BP815" t="s">
        <v>134</v>
      </c>
      <c r="BQ815" t="s">
        <v>131</v>
      </c>
      <c r="BS815" t="str">
        <f t="shared" si="58"/>
        <v>N/A</v>
      </c>
      <c r="BT815" t="s">
        <v>135</v>
      </c>
      <c r="BU815">
        <v>3</v>
      </c>
      <c r="BV815" t="str">
        <f>"fine dining service "</f>
        <v xml:space="preserve">fine dining service </v>
      </c>
      <c r="BW815" t="s">
        <v>135</v>
      </c>
      <c r="BX815" t="str">
        <f>""</f>
        <v/>
      </c>
      <c r="BY815" t="str">
        <f>""</f>
        <v/>
      </c>
      <c r="BZ815" t="str">
        <f>""</f>
        <v/>
      </c>
      <c r="CA815" s="2" t="s">
        <v>16223</v>
      </c>
      <c r="CB815" t="s">
        <v>131</v>
      </c>
      <c r="CF815" t="s">
        <v>131</v>
      </c>
      <c r="CH815" t="str">
        <f>""</f>
        <v/>
      </c>
      <c r="CI815" t="s">
        <v>131</v>
      </c>
      <c r="CK815" t="s">
        <v>131</v>
      </c>
      <c r="CL815" t="str">
        <f>""</f>
        <v/>
      </c>
      <c r="CM815" t="str">
        <f>""</f>
        <v/>
      </c>
      <c r="CN815" t="str">
        <f>""</f>
        <v/>
      </c>
      <c r="CO815" t="str">
        <f>""</f>
        <v/>
      </c>
      <c r="CP815" t="str">
        <f>"35-3031.00"</f>
        <v>35-3031.00</v>
      </c>
      <c r="CQ815" t="s">
        <v>1214</v>
      </c>
      <c r="CS815" t="s">
        <v>131</v>
      </c>
      <c r="CU815" t="s">
        <v>16221</v>
      </c>
      <c r="CW815" t="s">
        <v>1812</v>
      </c>
      <c r="CX815" t="s">
        <v>195</v>
      </c>
      <c r="CZ815" s="3" t="str">
        <f>"33428"</f>
        <v>33428</v>
      </c>
      <c r="DA815" t="s">
        <v>131</v>
      </c>
      <c r="DB815" t="str">
        <f>"35-3031"</f>
        <v>35-3031</v>
      </c>
      <c r="DC815" t="s">
        <v>1214</v>
      </c>
      <c r="DD815" t="s">
        <v>134</v>
      </c>
      <c r="DE815" t="s">
        <v>134</v>
      </c>
      <c r="DF815" t="str">
        <f>""</f>
        <v/>
      </c>
      <c r="DH815" s="6">
        <v>12.55</v>
      </c>
      <c r="DI815" t="s">
        <v>344</v>
      </c>
      <c r="DK815" t="s">
        <v>345</v>
      </c>
      <c r="DS815" s="6">
        <v>12.55</v>
      </c>
      <c r="DT815" t="s">
        <v>424</v>
      </c>
      <c r="DU815" s="1">
        <v>44369</v>
      </c>
      <c r="DV815" s="1">
        <v>44458</v>
      </c>
    </row>
    <row r="816" spans="1:126" ht="15" customHeight="1" x14ac:dyDescent="0.35">
      <c r="A816" t="s">
        <v>13953</v>
      </c>
      <c r="B816" t="s">
        <v>318</v>
      </c>
      <c r="C816" s="1">
        <v>44342</v>
      </c>
      <c r="D816" s="1">
        <v>44372</v>
      </c>
      <c r="H816" t="s">
        <v>319</v>
      </c>
      <c r="I816" t="s">
        <v>8485</v>
      </c>
      <c r="J816" t="s">
        <v>8486</v>
      </c>
      <c r="L816" t="s">
        <v>8487</v>
      </c>
      <c r="M816" t="s">
        <v>8488</v>
      </c>
      <c r="O816" t="s">
        <v>1812</v>
      </c>
      <c r="P816" t="s">
        <v>194</v>
      </c>
      <c r="Q816" s="3">
        <v>33433</v>
      </c>
      <c r="R816" t="s">
        <v>128</v>
      </c>
      <c r="T816" s="4">
        <v>15614823300</v>
      </c>
      <c r="V816" t="s">
        <v>134</v>
      </c>
      <c r="W816" t="s">
        <v>8489</v>
      </c>
      <c r="Y816" t="s">
        <v>8488</v>
      </c>
      <c r="AA816" t="s">
        <v>1812</v>
      </c>
      <c r="AB816" t="s">
        <v>195</v>
      </c>
      <c r="AC816" s="3" t="str">
        <f>"33433"</f>
        <v>33433</v>
      </c>
      <c r="AD816" t="s">
        <v>128</v>
      </c>
      <c r="AF816" s="4">
        <v>15614823300</v>
      </c>
      <c r="AH816" t="str">
        <f t="shared" si="57"/>
        <v>71391</v>
      </c>
      <c r="AI816" t="s">
        <v>287</v>
      </c>
      <c r="AJ816" t="s">
        <v>573</v>
      </c>
      <c r="AK816" t="s">
        <v>574</v>
      </c>
      <c r="AM816" t="s">
        <v>575</v>
      </c>
      <c r="AO816" t="s">
        <v>576</v>
      </c>
      <c r="AP816" t="s">
        <v>129</v>
      </c>
      <c r="AQ816" s="5">
        <v>14850</v>
      </c>
      <c r="AR816" t="s">
        <v>128</v>
      </c>
      <c r="AT816" s="4">
        <v>18777387462</v>
      </c>
      <c r="AV816" t="s">
        <v>577</v>
      </c>
      <c r="AW816" t="s">
        <v>578</v>
      </c>
      <c r="AX816" t="s">
        <v>131</v>
      </c>
      <c r="AY816" t="s">
        <v>131</v>
      </c>
      <c r="AZ816" t="s">
        <v>131</v>
      </c>
      <c r="BA816" t="s">
        <v>131</v>
      </c>
      <c r="BB816" t="s">
        <v>131</v>
      </c>
      <c r="BC816" t="s">
        <v>131</v>
      </c>
      <c r="BD816" t="s">
        <v>131</v>
      </c>
      <c r="BE816" t="s">
        <v>132</v>
      </c>
      <c r="BH816" t="s">
        <v>13954</v>
      </c>
      <c r="BI816" t="s">
        <v>131</v>
      </c>
      <c r="BL816" t="s">
        <v>167</v>
      </c>
      <c r="BO816" t="s">
        <v>131</v>
      </c>
      <c r="BP816" t="s">
        <v>134</v>
      </c>
      <c r="BQ816" t="s">
        <v>131</v>
      </c>
      <c r="BS816" t="str">
        <f t="shared" si="58"/>
        <v>N/A</v>
      </c>
      <c r="BT816" t="s">
        <v>135</v>
      </c>
      <c r="BU816">
        <v>2</v>
      </c>
      <c r="BV816" t="str">
        <f>"Golf or recreation environment at resort or private golf club. "</f>
        <v xml:space="preserve">Golf or recreation environment at resort or private golf club. </v>
      </c>
      <c r="BW816" t="s">
        <v>135</v>
      </c>
      <c r="BX816" t="str">
        <f>""</f>
        <v/>
      </c>
      <c r="BY816" t="str">
        <f>""</f>
        <v/>
      </c>
      <c r="BZ816" t="str">
        <f>""</f>
        <v/>
      </c>
      <c r="CA816" s="2" t="s">
        <v>13955</v>
      </c>
      <c r="CB816" t="s">
        <v>131</v>
      </c>
      <c r="CF816" t="s">
        <v>131</v>
      </c>
      <c r="CH816" t="str">
        <f>""</f>
        <v/>
      </c>
      <c r="CI816" t="s">
        <v>131</v>
      </c>
      <c r="CK816" t="s">
        <v>131</v>
      </c>
      <c r="CL816" t="str">
        <f>""</f>
        <v/>
      </c>
      <c r="CM816" t="str">
        <f>""</f>
        <v/>
      </c>
      <c r="CN816" t="str">
        <f>""</f>
        <v/>
      </c>
      <c r="CO816" t="str">
        <f>""</f>
        <v/>
      </c>
      <c r="CP816" t="str">
        <f>"39-3091.00"</f>
        <v>39-3091.00</v>
      </c>
      <c r="CQ816" t="s">
        <v>1374</v>
      </c>
      <c r="CS816" t="s">
        <v>131</v>
      </c>
      <c r="CU816" t="s">
        <v>8488</v>
      </c>
      <c r="CW816" t="s">
        <v>1812</v>
      </c>
      <c r="CX816" t="s">
        <v>195</v>
      </c>
      <c r="CZ816" s="3" t="str">
        <f>"33433"</f>
        <v>33433</v>
      </c>
      <c r="DA816" t="s">
        <v>131</v>
      </c>
      <c r="DB816" t="str">
        <f>"53-6021"</f>
        <v>53-6021</v>
      </c>
      <c r="DC816" t="s">
        <v>13956</v>
      </c>
      <c r="DD816" t="s">
        <v>134</v>
      </c>
      <c r="DE816" t="s">
        <v>134</v>
      </c>
      <c r="DF816" t="str">
        <f>"53-6021.00"</f>
        <v>53-6021.00</v>
      </c>
      <c r="DG816" t="s">
        <v>13956</v>
      </c>
      <c r="DH816" s="6">
        <v>11.4</v>
      </c>
      <c r="DI816" t="s">
        <v>344</v>
      </c>
      <c r="DK816" t="s">
        <v>345</v>
      </c>
      <c r="DS816" s="6">
        <v>11.4</v>
      </c>
      <c r="DT816" t="s">
        <v>424</v>
      </c>
      <c r="DU816" s="1">
        <v>44372</v>
      </c>
      <c r="DV816" s="1">
        <v>44461</v>
      </c>
    </row>
    <row r="817" spans="1:126" ht="15" customHeight="1" x14ac:dyDescent="0.35">
      <c r="A817" t="s">
        <v>14327</v>
      </c>
      <c r="B817" t="s">
        <v>318</v>
      </c>
      <c r="C817" s="1">
        <v>44342</v>
      </c>
      <c r="D817" s="1">
        <v>44369</v>
      </c>
      <c r="H817" t="s">
        <v>319</v>
      </c>
      <c r="I817" t="s">
        <v>8485</v>
      </c>
      <c r="J817" t="s">
        <v>8486</v>
      </c>
      <c r="L817" t="s">
        <v>8487</v>
      </c>
      <c r="M817" t="s">
        <v>8488</v>
      </c>
      <c r="O817" t="s">
        <v>1812</v>
      </c>
      <c r="P817" t="s">
        <v>194</v>
      </c>
      <c r="Q817" s="3">
        <v>33433</v>
      </c>
      <c r="R817" t="s">
        <v>128</v>
      </c>
      <c r="T817" s="4">
        <v>15614823300</v>
      </c>
      <c r="V817" t="s">
        <v>134</v>
      </c>
      <c r="W817" t="s">
        <v>8489</v>
      </c>
      <c r="Y817" t="s">
        <v>8488</v>
      </c>
      <c r="AA817" t="s">
        <v>1812</v>
      </c>
      <c r="AB817" t="s">
        <v>195</v>
      </c>
      <c r="AC817" s="3" t="str">
        <f>"33433"</f>
        <v>33433</v>
      </c>
      <c r="AD817" t="s">
        <v>128</v>
      </c>
      <c r="AF817" s="4">
        <v>15614823300</v>
      </c>
      <c r="AH817" t="str">
        <f t="shared" si="57"/>
        <v>71391</v>
      </c>
      <c r="AI817" t="s">
        <v>287</v>
      </c>
      <c r="AJ817" t="s">
        <v>573</v>
      </c>
      <c r="AK817" t="s">
        <v>574</v>
      </c>
      <c r="AM817" t="s">
        <v>575</v>
      </c>
      <c r="AO817" t="s">
        <v>576</v>
      </c>
      <c r="AP817" t="s">
        <v>129</v>
      </c>
      <c r="AQ817" s="5">
        <v>14850</v>
      </c>
      <c r="AR817" t="s">
        <v>128</v>
      </c>
      <c r="AT817" s="4">
        <v>18777387462</v>
      </c>
      <c r="AV817" t="s">
        <v>577</v>
      </c>
      <c r="AW817" t="s">
        <v>578</v>
      </c>
      <c r="AX817" t="s">
        <v>131</v>
      </c>
      <c r="AY817" t="s">
        <v>131</v>
      </c>
      <c r="AZ817" t="s">
        <v>131</v>
      </c>
      <c r="BA817" t="s">
        <v>131</v>
      </c>
      <c r="BB817" t="s">
        <v>131</v>
      </c>
      <c r="BC817" t="s">
        <v>131</v>
      </c>
      <c r="BD817" t="s">
        <v>131</v>
      </c>
      <c r="BE817" t="s">
        <v>132</v>
      </c>
      <c r="BH817" t="s">
        <v>7905</v>
      </c>
      <c r="BI817" t="s">
        <v>131</v>
      </c>
      <c r="BL817" t="s">
        <v>167</v>
      </c>
      <c r="BO817" t="s">
        <v>131</v>
      </c>
      <c r="BP817" t="s">
        <v>134</v>
      </c>
      <c r="BQ817" t="s">
        <v>131</v>
      </c>
      <c r="BS817" t="str">
        <f t="shared" si="58"/>
        <v>N/A</v>
      </c>
      <c r="BT817" t="s">
        <v>135</v>
      </c>
      <c r="BU817">
        <v>3</v>
      </c>
      <c r="BV817" t="str">
        <f>"fine dining service "</f>
        <v xml:space="preserve">fine dining service </v>
      </c>
      <c r="BW817" t="s">
        <v>135</v>
      </c>
      <c r="BX817" t="str">
        <f>""</f>
        <v/>
      </c>
      <c r="BY817" t="str">
        <f>""</f>
        <v/>
      </c>
      <c r="BZ817" t="str">
        <f>""</f>
        <v/>
      </c>
      <c r="CA817" s="2" t="s">
        <v>14328</v>
      </c>
      <c r="CB817" t="s">
        <v>131</v>
      </c>
      <c r="CF817" t="s">
        <v>131</v>
      </c>
      <c r="CH817" t="str">
        <f>""</f>
        <v/>
      </c>
      <c r="CI817" t="s">
        <v>131</v>
      </c>
      <c r="CK817" t="s">
        <v>131</v>
      </c>
      <c r="CL817" t="str">
        <f>""</f>
        <v/>
      </c>
      <c r="CM817" t="str">
        <f>""</f>
        <v/>
      </c>
      <c r="CN817" t="str">
        <f>""</f>
        <v/>
      </c>
      <c r="CO817" t="str">
        <f>""</f>
        <v/>
      </c>
      <c r="CP817" t="str">
        <f>"35-3031.00"</f>
        <v>35-3031.00</v>
      </c>
      <c r="CQ817" t="s">
        <v>1214</v>
      </c>
      <c r="CS817" t="s">
        <v>131</v>
      </c>
      <c r="CU817" t="s">
        <v>8488</v>
      </c>
      <c r="CW817" t="s">
        <v>1812</v>
      </c>
      <c r="CX817" t="s">
        <v>195</v>
      </c>
      <c r="CZ817" s="3" t="str">
        <f>"33433"</f>
        <v>33433</v>
      </c>
      <c r="DA817" t="s">
        <v>131</v>
      </c>
      <c r="DB817" t="str">
        <f>"35-3031"</f>
        <v>35-3031</v>
      </c>
      <c r="DC817" t="s">
        <v>1214</v>
      </c>
      <c r="DD817" t="s">
        <v>134</v>
      </c>
      <c r="DE817" t="s">
        <v>134</v>
      </c>
      <c r="DF817" t="str">
        <f>""</f>
        <v/>
      </c>
      <c r="DH817" s="6">
        <v>12.55</v>
      </c>
      <c r="DI817" t="s">
        <v>344</v>
      </c>
      <c r="DK817" t="s">
        <v>345</v>
      </c>
      <c r="DS817" s="6">
        <v>12.55</v>
      </c>
      <c r="DT817" t="s">
        <v>424</v>
      </c>
      <c r="DU817" s="1">
        <v>44369</v>
      </c>
      <c r="DV817" s="1">
        <v>44458</v>
      </c>
    </row>
    <row r="818" spans="1:126" ht="15" customHeight="1" x14ac:dyDescent="0.35">
      <c r="A818" t="s">
        <v>19542</v>
      </c>
      <c r="B818" t="s">
        <v>318</v>
      </c>
      <c r="C818" s="1">
        <v>44342</v>
      </c>
      <c r="D818" s="1">
        <v>44369</v>
      </c>
      <c r="H818" t="s">
        <v>319</v>
      </c>
      <c r="I818" t="s">
        <v>905</v>
      </c>
      <c r="J818" t="s">
        <v>19543</v>
      </c>
      <c r="L818" t="s">
        <v>199</v>
      </c>
      <c r="M818" t="s">
        <v>19544</v>
      </c>
      <c r="N818" t="s">
        <v>19545</v>
      </c>
      <c r="O818" t="s">
        <v>19546</v>
      </c>
      <c r="P818" t="s">
        <v>248</v>
      </c>
      <c r="Q818" s="3">
        <v>55612</v>
      </c>
      <c r="R818" t="s">
        <v>128</v>
      </c>
      <c r="T818" s="4">
        <v>12182640061</v>
      </c>
      <c r="V818" t="s">
        <v>19547</v>
      </c>
      <c r="W818" t="s">
        <v>19548</v>
      </c>
      <c r="Y818" t="s">
        <v>19549</v>
      </c>
      <c r="AA818" t="s">
        <v>19546</v>
      </c>
      <c r="AB818" t="s">
        <v>249</v>
      </c>
      <c r="AC818" s="3" t="str">
        <f>"55612"</f>
        <v>55612</v>
      </c>
      <c r="AD818" t="s">
        <v>128</v>
      </c>
      <c r="AF818" s="4">
        <v>12186637971</v>
      </c>
      <c r="AH818" t="str">
        <f>"7211"</f>
        <v>7211</v>
      </c>
      <c r="AI818" t="s">
        <v>130</v>
      </c>
      <c r="AJ818" t="s">
        <v>2430</v>
      </c>
      <c r="AK818" t="s">
        <v>2431</v>
      </c>
      <c r="AL818" t="s">
        <v>314</v>
      </c>
      <c r="AM818" t="s">
        <v>2432</v>
      </c>
      <c r="AO818" t="s">
        <v>2433</v>
      </c>
      <c r="AP818" t="s">
        <v>249</v>
      </c>
      <c r="AQ818" s="5">
        <v>55402</v>
      </c>
      <c r="AR818" t="s">
        <v>128</v>
      </c>
      <c r="AT818" s="4">
        <v>16124927214</v>
      </c>
      <c r="AV818" t="s">
        <v>2434</v>
      </c>
      <c r="AW818" t="s">
        <v>2435</v>
      </c>
      <c r="AX818" t="s">
        <v>131</v>
      </c>
      <c r="AY818" t="s">
        <v>131</v>
      </c>
      <c r="AZ818" t="s">
        <v>131</v>
      </c>
      <c r="BA818" t="s">
        <v>131</v>
      </c>
      <c r="BB818" t="s">
        <v>131</v>
      </c>
      <c r="BC818" t="s">
        <v>131</v>
      </c>
      <c r="BD818" t="s">
        <v>131</v>
      </c>
      <c r="BE818" t="s">
        <v>132</v>
      </c>
      <c r="BH818" t="s">
        <v>1639</v>
      </c>
      <c r="BI818" t="s">
        <v>131</v>
      </c>
      <c r="BL818" t="s">
        <v>167</v>
      </c>
      <c r="BO818" t="s">
        <v>131</v>
      </c>
      <c r="BP818" t="s">
        <v>134</v>
      </c>
      <c r="BQ818" t="s">
        <v>131</v>
      </c>
      <c r="BS818" t="str">
        <f t="shared" si="58"/>
        <v>N/A</v>
      </c>
      <c r="BT818" t="s">
        <v>131</v>
      </c>
      <c r="BV818" t="str">
        <f>""</f>
        <v/>
      </c>
      <c r="BW818" t="s">
        <v>135</v>
      </c>
      <c r="BX818" t="str">
        <f>""</f>
        <v/>
      </c>
      <c r="BY818" t="str">
        <f>""</f>
        <v/>
      </c>
      <c r="BZ818" t="str">
        <f>""</f>
        <v/>
      </c>
      <c r="CA818" t="str">
        <f>"Must be able to lift 30 lbs.  Must be able to obtain a valid driver’s license and have a clean driving record.   No formal education or experience required.  On-the-job training provided."</f>
        <v>Must be able to lift 30 lbs.  Must be able to obtain a valid driver’s license and have a clean driving record.   No formal education or experience required.  On-the-job training provided.</v>
      </c>
      <c r="CB818" t="s">
        <v>131</v>
      </c>
      <c r="CF818" t="s">
        <v>131</v>
      </c>
      <c r="CH818" t="str">
        <f>""</f>
        <v/>
      </c>
      <c r="CI818" t="s">
        <v>131</v>
      </c>
      <c r="CK818" t="s">
        <v>131</v>
      </c>
      <c r="CL818" t="str">
        <f>""</f>
        <v/>
      </c>
      <c r="CM818" t="str">
        <f>""</f>
        <v/>
      </c>
      <c r="CN818" t="str">
        <f>""</f>
        <v/>
      </c>
      <c r="CO818" t="str">
        <f>""</f>
        <v/>
      </c>
      <c r="CP818" t="str">
        <f>"37-2012.00"</f>
        <v>37-2012.00</v>
      </c>
      <c r="CQ818" t="s">
        <v>479</v>
      </c>
      <c r="CR818" t="s">
        <v>19550</v>
      </c>
      <c r="CS818" t="s">
        <v>135</v>
      </c>
      <c r="CT818" s="2" t="s">
        <v>19551</v>
      </c>
      <c r="CU818" t="s">
        <v>19549</v>
      </c>
      <c r="CW818" t="s">
        <v>19546</v>
      </c>
      <c r="CX818" t="s">
        <v>249</v>
      </c>
      <c r="CZ818" s="3" t="str">
        <f>"55612"</f>
        <v>55612</v>
      </c>
      <c r="DA818" t="s">
        <v>135</v>
      </c>
      <c r="DB818" t="str">
        <f>"37-2012"</f>
        <v>37-2012</v>
      </c>
      <c r="DC818" t="s">
        <v>479</v>
      </c>
      <c r="DD818" t="s">
        <v>134</v>
      </c>
      <c r="DE818" t="s">
        <v>134</v>
      </c>
      <c r="DF818" t="str">
        <f>""</f>
        <v/>
      </c>
      <c r="DH818" s="6">
        <v>15.66</v>
      </c>
      <c r="DI818" t="s">
        <v>344</v>
      </c>
      <c r="DK818" t="s">
        <v>345</v>
      </c>
      <c r="DS818" s="6">
        <v>15.66</v>
      </c>
      <c r="DT818" s="2" t="s">
        <v>347</v>
      </c>
      <c r="DU818" s="1">
        <v>44369</v>
      </c>
      <c r="DV818" s="1">
        <v>44458</v>
      </c>
    </row>
    <row r="819" spans="1:126" ht="15" customHeight="1" x14ac:dyDescent="0.35">
      <c r="A819" t="s">
        <v>18231</v>
      </c>
      <c r="B819" t="s">
        <v>318</v>
      </c>
      <c r="C819" s="1">
        <v>44342</v>
      </c>
      <c r="D819" s="1">
        <v>44369</v>
      </c>
      <c r="H819" t="s">
        <v>319</v>
      </c>
      <c r="I819" t="s">
        <v>18232</v>
      </c>
      <c r="J819" t="s">
        <v>1157</v>
      </c>
      <c r="L819" t="s">
        <v>907</v>
      </c>
      <c r="M819" t="s">
        <v>18233</v>
      </c>
      <c r="O819" t="s">
        <v>8833</v>
      </c>
      <c r="P819" t="s">
        <v>676</v>
      </c>
      <c r="Q819" s="3">
        <v>50313</v>
      </c>
      <c r="R819" t="s">
        <v>128</v>
      </c>
      <c r="T819" s="4">
        <v>15152651440</v>
      </c>
      <c r="V819" t="s">
        <v>18234</v>
      </c>
      <c r="W819" t="s">
        <v>18235</v>
      </c>
      <c r="Y819" t="s">
        <v>18233</v>
      </c>
      <c r="AA819" t="s">
        <v>8833</v>
      </c>
      <c r="AB819" t="s">
        <v>605</v>
      </c>
      <c r="AC819" s="3" t="str">
        <f>"50313"</f>
        <v>50313</v>
      </c>
      <c r="AD819" t="s">
        <v>128</v>
      </c>
      <c r="AF819" s="4">
        <v>15152651440</v>
      </c>
      <c r="AH819" t="str">
        <f>"23811"</f>
        <v>23811</v>
      </c>
      <c r="AI819" t="s">
        <v>130</v>
      </c>
      <c r="AJ819" t="s">
        <v>2442</v>
      </c>
      <c r="AK819" t="s">
        <v>2443</v>
      </c>
      <c r="AL819" t="s">
        <v>2444</v>
      </c>
      <c r="AM819" t="s">
        <v>2445</v>
      </c>
      <c r="AN819" t="s">
        <v>1169</v>
      </c>
      <c r="AO819" t="s">
        <v>707</v>
      </c>
      <c r="AP819" t="s">
        <v>249</v>
      </c>
      <c r="AQ819" s="5">
        <v>55402</v>
      </c>
      <c r="AR819" t="s">
        <v>128</v>
      </c>
      <c r="AT819" s="4">
        <v>16124927165</v>
      </c>
      <c r="AV819" t="s">
        <v>2446</v>
      </c>
      <c r="AW819" t="s">
        <v>2447</v>
      </c>
      <c r="AX819" t="s">
        <v>131</v>
      </c>
      <c r="AY819" t="s">
        <v>131</v>
      </c>
      <c r="AZ819" t="s">
        <v>131</v>
      </c>
      <c r="BA819" t="s">
        <v>131</v>
      </c>
      <c r="BB819" t="s">
        <v>131</v>
      </c>
      <c r="BC819" t="s">
        <v>131</v>
      </c>
      <c r="BD819" t="s">
        <v>131</v>
      </c>
      <c r="BE819" t="s">
        <v>132</v>
      </c>
      <c r="BH819" t="s">
        <v>18236</v>
      </c>
      <c r="BI819" t="s">
        <v>131</v>
      </c>
      <c r="BL819" t="s">
        <v>167</v>
      </c>
      <c r="BO819" t="s">
        <v>131</v>
      </c>
      <c r="BP819" t="s">
        <v>134</v>
      </c>
      <c r="BQ819" t="s">
        <v>131</v>
      </c>
      <c r="BS819" t="str">
        <f t="shared" si="58"/>
        <v>N/A</v>
      </c>
      <c r="BT819" t="s">
        <v>131</v>
      </c>
      <c r="BV819" t="str">
        <f>""</f>
        <v/>
      </c>
      <c r="BW819" t="s">
        <v>131</v>
      </c>
      <c r="BX819" t="str">
        <f>""</f>
        <v/>
      </c>
      <c r="BY819" t="str">
        <f>""</f>
        <v/>
      </c>
      <c r="BZ819" t="str">
        <f>""</f>
        <v/>
      </c>
      <c r="CA819" t="str">
        <f>""</f>
        <v/>
      </c>
      <c r="CB819" t="s">
        <v>131</v>
      </c>
      <c r="CF819" t="s">
        <v>131</v>
      </c>
      <c r="CH819" t="str">
        <f>""</f>
        <v/>
      </c>
      <c r="CI819" t="s">
        <v>131</v>
      </c>
      <c r="CK819" t="s">
        <v>131</v>
      </c>
      <c r="CL819" t="str">
        <f>""</f>
        <v/>
      </c>
      <c r="CM819" t="str">
        <f>""</f>
        <v/>
      </c>
      <c r="CN819" t="str">
        <f>""</f>
        <v/>
      </c>
      <c r="CO819" t="str">
        <f>""</f>
        <v/>
      </c>
      <c r="CP819" t="str">
        <f>"47-2061.00"</f>
        <v>47-2061.00</v>
      </c>
      <c r="CQ819" t="s">
        <v>393</v>
      </c>
      <c r="CR819" t="s">
        <v>3086</v>
      </c>
      <c r="CS819" t="s">
        <v>135</v>
      </c>
      <c r="CT819" s="2" t="s">
        <v>18237</v>
      </c>
      <c r="CU819" t="s">
        <v>18233</v>
      </c>
      <c r="CW819" t="s">
        <v>8833</v>
      </c>
      <c r="CX819" t="s">
        <v>605</v>
      </c>
      <c r="CZ819" s="3" t="str">
        <f>"50313"</f>
        <v>50313</v>
      </c>
      <c r="DA819" t="s">
        <v>135</v>
      </c>
      <c r="DB819" t="str">
        <f>"47-2061"</f>
        <v>47-2061</v>
      </c>
      <c r="DC819" t="s">
        <v>393</v>
      </c>
      <c r="DD819" t="s">
        <v>134</v>
      </c>
      <c r="DE819" t="s">
        <v>134</v>
      </c>
      <c r="DF819" t="str">
        <f>""</f>
        <v/>
      </c>
      <c r="DH819" s="6">
        <v>17.850000000000001</v>
      </c>
      <c r="DI819" t="s">
        <v>344</v>
      </c>
      <c r="DK819" t="s">
        <v>345</v>
      </c>
      <c r="DS819" s="6">
        <v>18.670000000000002</v>
      </c>
      <c r="DT819" s="2" t="s">
        <v>347</v>
      </c>
      <c r="DU819" s="1">
        <v>44369</v>
      </c>
      <c r="DV819" s="1">
        <v>44458</v>
      </c>
    </row>
    <row r="820" spans="1:126" ht="15" customHeight="1" x14ac:dyDescent="0.35">
      <c r="A820" t="s">
        <v>17921</v>
      </c>
      <c r="B820" t="s">
        <v>318</v>
      </c>
      <c r="C820" s="1">
        <v>44342</v>
      </c>
      <c r="D820" s="1">
        <v>44369</v>
      </c>
      <c r="H820" t="s">
        <v>319</v>
      </c>
      <c r="I820" t="s">
        <v>17922</v>
      </c>
      <c r="J820" t="s">
        <v>9186</v>
      </c>
      <c r="L820" t="s">
        <v>1105</v>
      </c>
      <c r="M820" t="s">
        <v>17923</v>
      </c>
      <c r="O820" t="s">
        <v>1447</v>
      </c>
      <c r="P820" t="s">
        <v>412</v>
      </c>
      <c r="Q820" s="3">
        <v>75093</v>
      </c>
      <c r="R820" t="s">
        <v>128</v>
      </c>
      <c r="T820" s="4">
        <v>19725965976</v>
      </c>
      <c r="V820" t="s">
        <v>17924</v>
      </c>
      <c r="W820" t="s">
        <v>17925</v>
      </c>
      <c r="X820" t="s">
        <v>17926</v>
      </c>
      <c r="Y820" t="s">
        <v>17923</v>
      </c>
      <c r="AA820" t="s">
        <v>1447</v>
      </c>
      <c r="AB820" t="s">
        <v>400</v>
      </c>
      <c r="AC820" s="3" t="str">
        <f>"75093"</f>
        <v>75093</v>
      </c>
      <c r="AD820" t="s">
        <v>128</v>
      </c>
      <c r="AF820" s="4">
        <v>19725965976</v>
      </c>
      <c r="AH820" t="str">
        <f>"812910"</f>
        <v>812910</v>
      </c>
      <c r="AI820" t="s">
        <v>130</v>
      </c>
      <c r="AJ820" t="s">
        <v>17927</v>
      </c>
      <c r="AK820" t="s">
        <v>2004</v>
      </c>
      <c r="AL820" t="s">
        <v>8303</v>
      </c>
      <c r="AM820" t="s">
        <v>17928</v>
      </c>
      <c r="AO820" t="s">
        <v>899</v>
      </c>
      <c r="AP820" t="s">
        <v>400</v>
      </c>
      <c r="AQ820" s="5">
        <v>76012</v>
      </c>
      <c r="AR820" t="s">
        <v>128</v>
      </c>
      <c r="AT820" s="4">
        <v>14697085800</v>
      </c>
      <c r="AV820" t="s">
        <v>17929</v>
      </c>
      <c r="AW820" t="s">
        <v>17930</v>
      </c>
      <c r="AX820" t="s">
        <v>131</v>
      </c>
      <c r="AY820" t="s">
        <v>131</v>
      </c>
      <c r="AZ820" t="s">
        <v>131</v>
      </c>
      <c r="BA820" t="s">
        <v>131</v>
      </c>
      <c r="BB820" t="s">
        <v>131</v>
      </c>
      <c r="BC820" t="s">
        <v>131</v>
      </c>
      <c r="BD820" t="s">
        <v>131</v>
      </c>
      <c r="BE820" t="s">
        <v>132</v>
      </c>
      <c r="BH820" t="s">
        <v>17931</v>
      </c>
      <c r="BI820" t="s">
        <v>131</v>
      </c>
      <c r="BL820" t="s">
        <v>401</v>
      </c>
      <c r="BO820" t="s">
        <v>131</v>
      </c>
      <c r="BP820" t="s">
        <v>134</v>
      </c>
      <c r="BQ820" t="s">
        <v>131</v>
      </c>
      <c r="BS820" t="str">
        <f t="shared" si="58"/>
        <v>N/A</v>
      </c>
      <c r="BT820" t="s">
        <v>135</v>
      </c>
      <c r="BU820">
        <v>18</v>
      </c>
      <c r="BV820" t="str">
        <f>"Must have at least 18 months experience in canine training to develop or maintain desired canine behavior for advanced obedience competition, tracking, and protection. "</f>
        <v xml:space="preserve">Must have at least 18 months experience in canine training to develop or maintain desired canine behavior for advanced obedience competition, tracking, and protection. </v>
      </c>
      <c r="BW820" t="s">
        <v>131</v>
      </c>
      <c r="BX820" t="str">
        <f>""</f>
        <v/>
      </c>
      <c r="BY820" t="str">
        <f>""</f>
        <v/>
      </c>
      <c r="BZ820" t="str">
        <f>""</f>
        <v/>
      </c>
      <c r="CA820" t="str">
        <f>""</f>
        <v/>
      </c>
      <c r="CB820" t="s">
        <v>131</v>
      </c>
      <c r="CF820" t="s">
        <v>131</v>
      </c>
      <c r="CH820" t="str">
        <f>""</f>
        <v/>
      </c>
      <c r="CI820" t="s">
        <v>131</v>
      </c>
      <c r="CK820" t="s">
        <v>131</v>
      </c>
      <c r="CL820" t="str">
        <f>""</f>
        <v/>
      </c>
      <c r="CM820" t="str">
        <f>""</f>
        <v/>
      </c>
      <c r="CN820" t="str">
        <f>""</f>
        <v/>
      </c>
      <c r="CO820" t="str">
        <f>""</f>
        <v/>
      </c>
      <c r="CP820" t="str">
        <f>"39-2011.00"</f>
        <v>39-2011.00</v>
      </c>
      <c r="CQ820" t="s">
        <v>2880</v>
      </c>
      <c r="CR820" t="s">
        <v>1105</v>
      </c>
      <c r="CS820" t="s">
        <v>131</v>
      </c>
      <c r="CU820" t="s">
        <v>17923</v>
      </c>
      <c r="CW820" t="s">
        <v>1447</v>
      </c>
      <c r="CX820" t="s">
        <v>400</v>
      </c>
      <c r="CZ820" s="3" t="str">
        <f>"75093"</f>
        <v>75093</v>
      </c>
      <c r="DA820" t="s">
        <v>131</v>
      </c>
      <c r="DB820" t="str">
        <f>"39-2011"</f>
        <v>39-2011</v>
      </c>
      <c r="DC820" t="s">
        <v>2880</v>
      </c>
      <c r="DD820" t="s">
        <v>134</v>
      </c>
      <c r="DE820" t="s">
        <v>134</v>
      </c>
      <c r="DF820" t="str">
        <f>""</f>
        <v/>
      </c>
      <c r="DH820" s="6">
        <v>15.9</v>
      </c>
      <c r="DI820" t="s">
        <v>344</v>
      </c>
      <c r="DK820" t="s">
        <v>345</v>
      </c>
      <c r="DR820" t="s">
        <v>423</v>
      </c>
      <c r="DS820" s="6">
        <v>15.9</v>
      </c>
      <c r="DT820" t="s">
        <v>424</v>
      </c>
      <c r="DU820" s="1">
        <v>44369</v>
      </c>
      <c r="DV820" s="1">
        <v>44458</v>
      </c>
    </row>
    <row r="821" spans="1:126" ht="15" customHeight="1" x14ac:dyDescent="0.35">
      <c r="A821" t="s">
        <v>13655</v>
      </c>
      <c r="B821" t="s">
        <v>318</v>
      </c>
      <c r="C821" s="1">
        <v>44342</v>
      </c>
      <c r="D821" s="1">
        <v>44369</v>
      </c>
      <c r="H821" t="s">
        <v>319</v>
      </c>
      <c r="I821" t="s">
        <v>13656</v>
      </c>
      <c r="J821" t="s">
        <v>12408</v>
      </c>
      <c r="K821" t="s">
        <v>1253</v>
      </c>
      <c r="L821" t="s">
        <v>3767</v>
      </c>
      <c r="M821" t="s">
        <v>13657</v>
      </c>
      <c r="O821" t="s">
        <v>8748</v>
      </c>
      <c r="P821" t="s">
        <v>593</v>
      </c>
      <c r="Q821" s="3">
        <v>28079</v>
      </c>
      <c r="R821" t="s">
        <v>128</v>
      </c>
      <c r="T821" s="4">
        <v>17048212407</v>
      </c>
      <c r="V821" t="s">
        <v>13658</v>
      </c>
      <c r="W821" t="s">
        <v>13659</v>
      </c>
      <c r="Y821" t="s">
        <v>13657</v>
      </c>
      <c r="AA821" t="s">
        <v>8748</v>
      </c>
      <c r="AB821" t="s">
        <v>594</v>
      </c>
      <c r="AC821" s="3" t="str">
        <f>"28079"</f>
        <v>28079</v>
      </c>
      <c r="AD821" t="s">
        <v>128</v>
      </c>
      <c r="AF821" s="4">
        <v>17048212407</v>
      </c>
      <c r="AH821" t="str">
        <f>"56173"</f>
        <v>56173</v>
      </c>
      <c r="AI821" t="s">
        <v>287</v>
      </c>
      <c r="AJ821" t="s">
        <v>2046</v>
      </c>
      <c r="AK821" t="s">
        <v>2047</v>
      </c>
      <c r="AL821" t="s">
        <v>134</v>
      </c>
      <c r="AM821" t="s">
        <v>2048</v>
      </c>
      <c r="AN821" t="s">
        <v>2049</v>
      </c>
      <c r="AO821" t="s">
        <v>2050</v>
      </c>
      <c r="AP821" t="s">
        <v>1243</v>
      </c>
      <c r="AQ821" s="5">
        <v>83814</v>
      </c>
      <c r="AR821" t="s">
        <v>128</v>
      </c>
      <c r="AT821" s="4">
        <v>12087772654</v>
      </c>
      <c r="AV821" t="s">
        <v>2051</v>
      </c>
      <c r="AW821" t="s">
        <v>2052</v>
      </c>
      <c r="AX821" t="s">
        <v>131</v>
      </c>
      <c r="AY821" t="s">
        <v>131</v>
      </c>
      <c r="AZ821" t="s">
        <v>131</v>
      </c>
      <c r="BA821" t="s">
        <v>131</v>
      </c>
      <c r="BB821" t="s">
        <v>131</v>
      </c>
      <c r="BC821" t="s">
        <v>131</v>
      </c>
      <c r="BD821" t="s">
        <v>131</v>
      </c>
      <c r="BE821" t="s">
        <v>132</v>
      </c>
      <c r="BH821" t="s">
        <v>13660</v>
      </c>
      <c r="BI821" t="s">
        <v>131</v>
      </c>
      <c r="BL821" t="s">
        <v>167</v>
      </c>
      <c r="BO821" t="s">
        <v>131</v>
      </c>
      <c r="BP821" t="s">
        <v>134</v>
      </c>
      <c r="BQ821" t="s">
        <v>131</v>
      </c>
      <c r="BS821" t="str">
        <f t="shared" si="58"/>
        <v>N/A</v>
      </c>
      <c r="BT821" t="s">
        <v>131</v>
      </c>
      <c r="BV821" t="str">
        <f>""</f>
        <v/>
      </c>
      <c r="BW821" t="s">
        <v>135</v>
      </c>
      <c r="BX821" t="str">
        <f>""</f>
        <v/>
      </c>
      <c r="BY821" t="str">
        <f>""</f>
        <v/>
      </c>
      <c r="BZ821" t="str">
        <f>""</f>
        <v/>
      </c>
      <c r="CA821" t="s">
        <v>13661</v>
      </c>
      <c r="CB821" t="s">
        <v>131</v>
      </c>
      <c r="CF821" t="s">
        <v>131</v>
      </c>
      <c r="CH821" t="str">
        <f>""</f>
        <v/>
      </c>
      <c r="CI821" t="s">
        <v>131</v>
      </c>
      <c r="CK821" t="s">
        <v>131</v>
      </c>
      <c r="CL821" t="str">
        <f>""</f>
        <v/>
      </c>
      <c r="CM821" t="str">
        <f>""</f>
        <v/>
      </c>
      <c r="CN821" t="str">
        <f>""</f>
        <v/>
      </c>
      <c r="CO821" t="str">
        <f>""</f>
        <v/>
      </c>
      <c r="CP821" t="str">
        <f>"37-3011.00"</f>
        <v>37-3011.00</v>
      </c>
      <c r="CQ821" t="s">
        <v>920</v>
      </c>
      <c r="CS821" t="s">
        <v>135</v>
      </c>
      <c r="CT821" t="s">
        <v>13662</v>
      </c>
      <c r="CU821" t="s">
        <v>13663</v>
      </c>
      <c r="CW821" t="s">
        <v>975</v>
      </c>
      <c r="CX821" t="s">
        <v>594</v>
      </c>
      <c r="CZ821" s="3" t="str">
        <f>"27617"</f>
        <v>27617</v>
      </c>
      <c r="DA821" t="s">
        <v>135</v>
      </c>
      <c r="DB821" t="str">
        <f>"37-3011"</f>
        <v>37-3011</v>
      </c>
      <c r="DC821" t="s">
        <v>920</v>
      </c>
      <c r="DD821" t="s">
        <v>134</v>
      </c>
      <c r="DE821" t="s">
        <v>134</v>
      </c>
      <c r="DF821" t="str">
        <f>""</f>
        <v/>
      </c>
      <c r="DH821" s="6">
        <v>15.18</v>
      </c>
      <c r="DI821" t="s">
        <v>344</v>
      </c>
      <c r="DK821" t="s">
        <v>345</v>
      </c>
      <c r="DS821" s="6">
        <v>15.18</v>
      </c>
      <c r="DT821" s="2" t="s">
        <v>347</v>
      </c>
      <c r="DU821" s="1">
        <v>44369</v>
      </c>
      <c r="DV821" s="1">
        <v>44458</v>
      </c>
    </row>
    <row r="822" spans="1:126" ht="15" customHeight="1" x14ac:dyDescent="0.35">
      <c r="A822" t="s">
        <v>15111</v>
      </c>
      <c r="B822" t="s">
        <v>318</v>
      </c>
      <c r="C822" s="1">
        <v>44342</v>
      </c>
      <c r="D822" s="1">
        <v>44369</v>
      </c>
      <c r="H822" t="s">
        <v>319</v>
      </c>
      <c r="I822" t="s">
        <v>3494</v>
      </c>
      <c r="J822" t="s">
        <v>12408</v>
      </c>
      <c r="K822" t="s">
        <v>1253</v>
      </c>
      <c r="L822" t="s">
        <v>3767</v>
      </c>
      <c r="M822" t="s">
        <v>13657</v>
      </c>
      <c r="O822" t="s">
        <v>8748</v>
      </c>
      <c r="P822" t="s">
        <v>593</v>
      </c>
      <c r="Q822" s="3">
        <v>28079</v>
      </c>
      <c r="R822" t="s">
        <v>128</v>
      </c>
      <c r="T822" s="4">
        <v>17048212407</v>
      </c>
      <c r="V822" t="s">
        <v>13658</v>
      </c>
      <c r="W822" t="s">
        <v>13659</v>
      </c>
      <c r="Y822" t="s">
        <v>13657</v>
      </c>
      <c r="AA822" t="s">
        <v>8748</v>
      </c>
      <c r="AB822" t="s">
        <v>594</v>
      </c>
      <c r="AC822" s="3" t="str">
        <f>"28079"</f>
        <v>28079</v>
      </c>
      <c r="AD822" t="s">
        <v>128</v>
      </c>
      <c r="AF822" s="4">
        <v>17048212407</v>
      </c>
      <c r="AH822" t="str">
        <f>"56173"</f>
        <v>56173</v>
      </c>
      <c r="AI822" t="s">
        <v>287</v>
      </c>
      <c r="AJ822" t="s">
        <v>2046</v>
      </c>
      <c r="AK822" t="s">
        <v>2047</v>
      </c>
      <c r="AL822" t="s">
        <v>134</v>
      </c>
      <c r="AM822" t="s">
        <v>2048</v>
      </c>
      <c r="AN822" t="s">
        <v>2049</v>
      </c>
      <c r="AO822" t="s">
        <v>2050</v>
      </c>
      <c r="AP822" t="s">
        <v>1243</v>
      </c>
      <c r="AQ822" s="5">
        <v>83814</v>
      </c>
      <c r="AR822" t="s">
        <v>128</v>
      </c>
      <c r="AT822" s="4">
        <v>12087772654</v>
      </c>
      <c r="AV822" t="s">
        <v>2051</v>
      </c>
      <c r="AW822" t="s">
        <v>2052</v>
      </c>
      <c r="AX822" t="s">
        <v>131</v>
      </c>
      <c r="AY822" t="s">
        <v>131</v>
      </c>
      <c r="AZ822" t="s">
        <v>131</v>
      </c>
      <c r="BA822" t="s">
        <v>131</v>
      </c>
      <c r="BB822" t="s">
        <v>131</v>
      </c>
      <c r="BC822" t="s">
        <v>131</v>
      </c>
      <c r="BD822" t="s">
        <v>131</v>
      </c>
      <c r="BE822" t="s">
        <v>132</v>
      </c>
      <c r="BH822" t="s">
        <v>13660</v>
      </c>
      <c r="BI822" t="s">
        <v>131</v>
      </c>
      <c r="BL822" t="s">
        <v>167</v>
      </c>
      <c r="BO822" t="s">
        <v>131</v>
      </c>
      <c r="BP822" t="s">
        <v>134</v>
      </c>
      <c r="BQ822" t="s">
        <v>131</v>
      </c>
      <c r="BS822" t="str">
        <f t="shared" si="58"/>
        <v>N/A</v>
      </c>
      <c r="BT822" t="s">
        <v>131</v>
      </c>
      <c r="BV822" t="str">
        <f>""</f>
        <v/>
      </c>
      <c r="BW822" t="s">
        <v>135</v>
      </c>
      <c r="BX822" t="str">
        <f>""</f>
        <v/>
      </c>
      <c r="BY822" t="str">
        <f>""</f>
        <v/>
      </c>
      <c r="BZ822" t="str">
        <f>""</f>
        <v/>
      </c>
      <c r="CA822" t="s">
        <v>13661</v>
      </c>
      <c r="CB822" t="s">
        <v>131</v>
      </c>
      <c r="CF822" t="s">
        <v>131</v>
      </c>
      <c r="CH822" t="str">
        <f>""</f>
        <v/>
      </c>
      <c r="CI822" t="s">
        <v>131</v>
      </c>
      <c r="CK822" t="s">
        <v>131</v>
      </c>
      <c r="CL822" t="str">
        <f>""</f>
        <v/>
      </c>
      <c r="CM822" t="str">
        <f>""</f>
        <v/>
      </c>
      <c r="CN822" t="str">
        <f>""</f>
        <v/>
      </c>
      <c r="CO822" t="str">
        <f>""</f>
        <v/>
      </c>
      <c r="CP822" t="str">
        <f>"37-3011.00"</f>
        <v>37-3011.00</v>
      </c>
      <c r="CQ822" t="s">
        <v>920</v>
      </c>
      <c r="CS822" t="s">
        <v>135</v>
      </c>
      <c r="CT822" t="s">
        <v>15112</v>
      </c>
      <c r="CU822" t="s">
        <v>15113</v>
      </c>
      <c r="CW822" t="s">
        <v>8748</v>
      </c>
      <c r="CX822" t="s">
        <v>594</v>
      </c>
      <c r="CZ822" s="3" t="str">
        <f>"28079"</f>
        <v>28079</v>
      </c>
      <c r="DA822" t="s">
        <v>135</v>
      </c>
      <c r="DB822" t="str">
        <f>"37-3011"</f>
        <v>37-3011</v>
      </c>
      <c r="DC822" t="s">
        <v>920</v>
      </c>
      <c r="DD822" t="s">
        <v>134</v>
      </c>
      <c r="DE822" t="s">
        <v>134</v>
      </c>
      <c r="DF822" t="str">
        <f>""</f>
        <v/>
      </c>
      <c r="DH822" s="6">
        <v>14.31</v>
      </c>
      <c r="DI822" t="s">
        <v>344</v>
      </c>
      <c r="DK822" t="s">
        <v>345</v>
      </c>
      <c r="DS822" s="6">
        <v>14.31</v>
      </c>
      <c r="DT822" s="2" t="s">
        <v>347</v>
      </c>
      <c r="DU822" s="1">
        <v>44369</v>
      </c>
      <c r="DV822" s="1">
        <v>44458</v>
      </c>
    </row>
    <row r="823" spans="1:126" ht="15" customHeight="1" x14ac:dyDescent="0.35">
      <c r="A823" t="s">
        <v>9228</v>
      </c>
      <c r="B823" t="s">
        <v>318</v>
      </c>
      <c r="C823" s="1">
        <v>44342</v>
      </c>
      <c r="D823" s="1">
        <v>44369</v>
      </c>
      <c r="H823" t="s">
        <v>319</v>
      </c>
      <c r="I823" t="s">
        <v>9229</v>
      </c>
      <c r="J823" t="s">
        <v>5028</v>
      </c>
      <c r="K823" t="s">
        <v>1253</v>
      </c>
      <c r="L823" t="s">
        <v>3922</v>
      </c>
      <c r="M823" t="s">
        <v>9230</v>
      </c>
      <c r="O823" t="s">
        <v>4815</v>
      </c>
      <c r="P823" t="s">
        <v>3075</v>
      </c>
      <c r="Q823" s="3">
        <v>83815</v>
      </c>
      <c r="R823" t="s">
        <v>128</v>
      </c>
      <c r="T823" s="4">
        <v>12086605701</v>
      </c>
      <c r="V823" t="s">
        <v>9231</v>
      </c>
      <c r="W823" t="s">
        <v>9232</v>
      </c>
      <c r="Y823" t="s">
        <v>9230</v>
      </c>
      <c r="AA823" t="s">
        <v>4815</v>
      </c>
      <c r="AB823" t="s">
        <v>1243</v>
      </c>
      <c r="AC823" s="3" t="str">
        <f>"83815"</f>
        <v>83815</v>
      </c>
      <c r="AD823" t="s">
        <v>128</v>
      </c>
      <c r="AF823" s="4">
        <v>12086605701</v>
      </c>
      <c r="AH823" t="str">
        <f>"56173"</f>
        <v>56173</v>
      </c>
      <c r="AI823" t="s">
        <v>287</v>
      </c>
      <c r="AJ823" t="s">
        <v>2046</v>
      </c>
      <c r="AK823" t="s">
        <v>2047</v>
      </c>
      <c r="AL823" t="s">
        <v>134</v>
      </c>
      <c r="AM823" t="s">
        <v>2048</v>
      </c>
      <c r="AN823" t="s">
        <v>2049</v>
      </c>
      <c r="AO823" t="s">
        <v>2050</v>
      </c>
      <c r="AP823" t="s">
        <v>1243</v>
      </c>
      <c r="AQ823" s="5">
        <v>83814</v>
      </c>
      <c r="AR823" t="s">
        <v>128</v>
      </c>
      <c r="AT823" s="4">
        <v>12087772654</v>
      </c>
      <c r="AV823" t="s">
        <v>2051</v>
      </c>
      <c r="AW823" t="s">
        <v>2052</v>
      </c>
      <c r="AX823" t="s">
        <v>131</v>
      </c>
      <c r="AY823" t="s">
        <v>131</v>
      </c>
      <c r="AZ823" t="s">
        <v>131</v>
      </c>
      <c r="BA823" t="s">
        <v>131</v>
      </c>
      <c r="BB823" t="s">
        <v>131</v>
      </c>
      <c r="BC823" t="s">
        <v>131</v>
      </c>
      <c r="BD823" t="s">
        <v>131</v>
      </c>
      <c r="BE823" t="s">
        <v>132</v>
      </c>
      <c r="BH823" t="s">
        <v>9233</v>
      </c>
      <c r="BI823" t="s">
        <v>131</v>
      </c>
      <c r="BL823" t="s">
        <v>167</v>
      </c>
      <c r="BO823" t="s">
        <v>131</v>
      </c>
      <c r="BP823" t="s">
        <v>134</v>
      </c>
      <c r="BQ823" t="s">
        <v>131</v>
      </c>
      <c r="BS823" t="str">
        <f t="shared" si="58"/>
        <v>N/A</v>
      </c>
      <c r="BT823" t="s">
        <v>135</v>
      </c>
      <c r="BU823">
        <v>3</v>
      </c>
      <c r="BV823" t="str">
        <f>"Landscape/Pinestraw"</f>
        <v>Landscape/Pinestraw</v>
      </c>
      <c r="BW823" t="s">
        <v>135</v>
      </c>
      <c r="BX823" t="str">
        <f>""</f>
        <v/>
      </c>
      <c r="BY823" t="str">
        <f>""</f>
        <v/>
      </c>
      <c r="BZ823" t="str">
        <f>""</f>
        <v/>
      </c>
      <c r="CA823" t="s">
        <v>2054</v>
      </c>
      <c r="CB823" t="s">
        <v>131</v>
      </c>
      <c r="CF823" t="s">
        <v>131</v>
      </c>
      <c r="CH823" t="str">
        <f>""</f>
        <v/>
      </c>
      <c r="CI823" t="s">
        <v>131</v>
      </c>
      <c r="CK823" t="s">
        <v>131</v>
      </c>
      <c r="CL823" t="str">
        <f>""</f>
        <v/>
      </c>
      <c r="CM823" t="str">
        <f>""</f>
        <v/>
      </c>
      <c r="CN823" t="str">
        <f>""</f>
        <v/>
      </c>
      <c r="CO823" t="str">
        <f>""</f>
        <v/>
      </c>
      <c r="CP823" t="str">
        <f>"37-3011.00"</f>
        <v>37-3011.00</v>
      </c>
      <c r="CQ823" t="s">
        <v>920</v>
      </c>
      <c r="CS823" t="s">
        <v>135</v>
      </c>
      <c r="CT823" t="s">
        <v>9234</v>
      </c>
      <c r="CU823" t="s">
        <v>9235</v>
      </c>
      <c r="CW823" t="s">
        <v>2120</v>
      </c>
      <c r="CX823" t="s">
        <v>812</v>
      </c>
      <c r="CZ823" s="3" t="str">
        <f>"29584"</f>
        <v>29584</v>
      </c>
      <c r="DA823" t="s">
        <v>135</v>
      </c>
      <c r="DB823" t="str">
        <f>"37-3011"</f>
        <v>37-3011</v>
      </c>
      <c r="DC823" t="s">
        <v>920</v>
      </c>
      <c r="DD823" t="s">
        <v>134</v>
      </c>
      <c r="DE823" t="s">
        <v>134</v>
      </c>
      <c r="DF823" t="str">
        <f>""</f>
        <v/>
      </c>
      <c r="DH823" s="6">
        <v>12.6</v>
      </c>
      <c r="DI823" t="s">
        <v>344</v>
      </c>
      <c r="DK823" t="s">
        <v>345</v>
      </c>
      <c r="DS823" s="6">
        <v>12.6</v>
      </c>
      <c r="DT823" s="2" t="s">
        <v>347</v>
      </c>
      <c r="DU823" s="1">
        <v>44369</v>
      </c>
      <c r="DV823" s="1">
        <v>44458</v>
      </c>
    </row>
    <row r="824" spans="1:126" ht="15" customHeight="1" x14ac:dyDescent="0.35">
      <c r="A824" t="s">
        <v>14608</v>
      </c>
      <c r="B824" t="s">
        <v>318</v>
      </c>
      <c r="C824" s="1">
        <v>44342</v>
      </c>
      <c r="D824" s="1">
        <v>44369</v>
      </c>
      <c r="H824" t="s">
        <v>319</v>
      </c>
      <c r="I824" t="s">
        <v>14609</v>
      </c>
      <c r="J824" t="s">
        <v>7352</v>
      </c>
      <c r="L824" t="s">
        <v>1031</v>
      </c>
      <c r="M824" t="s">
        <v>14610</v>
      </c>
      <c r="O824" t="s">
        <v>14611</v>
      </c>
      <c r="P824" t="s">
        <v>127</v>
      </c>
      <c r="Q824" s="3">
        <v>11971</v>
      </c>
      <c r="R824" t="s">
        <v>128</v>
      </c>
      <c r="T824" s="4">
        <v>16317659377</v>
      </c>
      <c r="V824" t="s">
        <v>1021</v>
      </c>
      <c r="W824" t="s">
        <v>14612</v>
      </c>
      <c r="Y824" t="s">
        <v>14610</v>
      </c>
      <c r="AA824" t="s">
        <v>14611</v>
      </c>
      <c r="AB824" t="s">
        <v>129</v>
      </c>
      <c r="AC824" s="3" t="str">
        <f>"11971"</f>
        <v>11971</v>
      </c>
      <c r="AD824" t="s">
        <v>128</v>
      </c>
      <c r="AF824" s="4">
        <v>16317659377</v>
      </c>
      <c r="AH824" t="str">
        <f>"56173"</f>
        <v>56173</v>
      </c>
      <c r="AI824" t="s">
        <v>287</v>
      </c>
      <c r="AJ824" t="s">
        <v>1024</v>
      </c>
      <c r="AK824" t="s">
        <v>1025</v>
      </c>
      <c r="AM824" t="s">
        <v>1026</v>
      </c>
      <c r="AO824" t="s">
        <v>1027</v>
      </c>
      <c r="AP824" t="s">
        <v>129</v>
      </c>
      <c r="AQ824" s="5">
        <v>11590</v>
      </c>
      <c r="AR824" t="s">
        <v>128</v>
      </c>
      <c r="AT824" s="4">
        <v>15163307168</v>
      </c>
      <c r="AV824" t="s">
        <v>1021</v>
      </c>
      <c r="AW824" t="s">
        <v>1028</v>
      </c>
      <c r="AX824" t="s">
        <v>131</v>
      </c>
      <c r="AY824" t="s">
        <v>131</v>
      </c>
      <c r="AZ824" t="s">
        <v>131</v>
      </c>
      <c r="BA824" t="s">
        <v>131</v>
      </c>
      <c r="BB824" t="s">
        <v>131</v>
      </c>
      <c r="BC824" t="s">
        <v>131</v>
      </c>
      <c r="BD824" t="s">
        <v>131</v>
      </c>
      <c r="BE824" t="s">
        <v>132</v>
      </c>
      <c r="BH824" t="s">
        <v>5067</v>
      </c>
      <c r="BI824" t="s">
        <v>131</v>
      </c>
      <c r="BL824" t="s">
        <v>167</v>
      </c>
      <c r="BO824" t="s">
        <v>131</v>
      </c>
      <c r="BP824" t="s">
        <v>134</v>
      </c>
      <c r="BQ824" t="s">
        <v>131</v>
      </c>
      <c r="BS824" t="str">
        <f t="shared" si="58"/>
        <v>N/A</v>
      </c>
      <c r="BT824" t="s">
        <v>131</v>
      </c>
      <c r="BV824" t="str">
        <f>""</f>
        <v/>
      </c>
      <c r="BW824" t="s">
        <v>131</v>
      </c>
      <c r="BX824" t="str">
        <f>""</f>
        <v/>
      </c>
      <c r="BY824" t="str">
        <f>""</f>
        <v/>
      </c>
      <c r="BZ824" t="str">
        <f>""</f>
        <v/>
      </c>
      <c r="CA824" t="str">
        <f>""</f>
        <v/>
      </c>
      <c r="CB824" t="s">
        <v>131</v>
      </c>
      <c r="CF824" t="s">
        <v>131</v>
      </c>
      <c r="CH824" t="str">
        <f>""</f>
        <v/>
      </c>
      <c r="CI824" t="s">
        <v>131</v>
      </c>
      <c r="CK824" t="s">
        <v>131</v>
      </c>
      <c r="CL824" t="str">
        <f>""</f>
        <v/>
      </c>
      <c r="CM824" t="str">
        <f>""</f>
        <v/>
      </c>
      <c r="CN824" t="str">
        <f>""</f>
        <v/>
      </c>
      <c r="CO824" t="str">
        <f>""</f>
        <v/>
      </c>
      <c r="CP824" t="str">
        <f>"37-3011.00"</f>
        <v>37-3011.00</v>
      </c>
      <c r="CQ824" t="s">
        <v>920</v>
      </c>
      <c r="CR824" t="s">
        <v>5068</v>
      </c>
      <c r="CS824" t="s">
        <v>135</v>
      </c>
      <c r="CT824" t="s">
        <v>13354</v>
      </c>
      <c r="CU824" t="s">
        <v>14610</v>
      </c>
      <c r="CW824" t="s">
        <v>14611</v>
      </c>
      <c r="CX824" t="s">
        <v>129</v>
      </c>
      <c r="CZ824" s="3" t="str">
        <f>"11971"</f>
        <v>11971</v>
      </c>
      <c r="DA824" t="s">
        <v>135</v>
      </c>
      <c r="DB824" t="str">
        <f>"37-3011"</f>
        <v>37-3011</v>
      </c>
      <c r="DC824" t="s">
        <v>920</v>
      </c>
      <c r="DD824" t="s">
        <v>134</v>
      </c>
      <c r="DE824" t="s">
        <v>134</v>
      </c>
      <c r="DF824" t="str">
        <f>""</f>
        <v/>
      </c>
      <c r="DH824" s="6">
        <v>17.75</v>
      </c>
      <c r="DI824" t="s">
        <v>344</v>
      </c>
      <c r="DK824" t="s">
        <v>345</v>
      </c>
      <c r="DR824" t="s">
        <v>346</v>
      </c>
      <c r="DS824" s="6">
        <v>17.75</v>
      </c>
      <c r="DT824" s="2" t="s">
        <v>347</v>
      </c>
      <c r="DU824" s="1">
        <v>44369</v>
      </c>
      <c r="DV824" s="1">
        <v>44458</v>
      </c>
    </row>
    <row r="825" spans="1:126" ht="15" customHeight="1" x14ac:dyDescent="0.35">
      <c r="A825" t="s">
        <v>18051</v>
      </c>
      <c r="B825" t="s">
        <v>318</v>
      </c>
      <c r="C825" s="1">
        <v>44342</v>
      </c>
      <c r="D825" s="1">
        <v>44369</v>
      </c>
      <c r="H825" t="s">
        <v>319</v>
      </c>
      <c r="I825" t="s">
        <v>13637</v>
      </c>
      <c r="J825" t="s">
        <v>5952</v>
      </c>
      <c r="L825" t="s">
        <v>2076</v>
      </c>
      <c r="M825" t="s">
        <v>13638</v>
      </c>
      <c r="O825" t="s">
        <v>13639</v>
      </c>
      <c r="P825" t="s">
        <v>194</v>
      </c>
      <c r="Q825" s="3">
        <v>33469</v>
      </c>
      <c r="R825" t="s">
        <v>128</v>
      </c>
      <c r="T825" s="4">
        <v>15617454703</v>
      </c>
      <c r="V825" t="s">
        <v>134</v>
      </c>
      <c r="W825" t="s">
        <v>13640</v>
      </c>
      <c r="Y825" t="s">
        <v>13638</v>
      </c>
      <c r="AA825" t="s">
        <v>13639</v>
      </c>
      <c r="AB825" t="s">
        <v>195</v>
      </c>
      <c r="AC825" s="3" t="str">
        <f>"33469"</f>
        <v>33469</v>
      </c>
      <c r="AD825" t="s">
        <v>128</v>
      </c>
      <c r="AF825" s="4">
        <v>15617454703</v>
      </c>
      <c r="AH825" t="str">
        <f>"71391"</f>
        <v>71391</v>
      </c>
      <c r="AI825" t="s">
        <v>287</v>
      </c>
      <c r="AJ825" t="s">
        <v>573</v>
      </c>
      <c r="AK825" t="s">
        <v>574</v>
      </c>
      <c r="AM825" t="s">
        <v>575</v>
      </c>
      <c r="AO825" t="s">
        <v>576</v>
      </c>
      <c r="AP825" t="s">
        <v>129</v>
      </c>
      <c r="AQ825" s="5">
        <v>14850</v>
      </c>
      <c r="AR825" t="s">
        <v>128</v>
      </c>
      <c r="AT825" s="4">
        <v>18777387462</v>
      </c>
      <c r="AV825" t="s">
        <v>577</v>
      </c>
      <c r="AW825" t="s">
        <v>7184</v>
      </c>
      <c r="AX825" t="s">
        <v>131</v>
      </c>
      <c r="AY825" t="s">
        <v>131</v>
      </c>
      <c r="AZ825" t="s">
        <v>131</v>
      </c>
      <c r="BA825" t="s">
        <v>131</v>
      </c>
      <c r="BB825" t="s">
        <v>131</v>
      </c>
      <c r="BC825" t="s">
        <v>131</v>
      </c>
      <c r="BD825" t="s">
        <v>131</v>
      </c>
      <c r="BE825" t="s">
        <v>132</v>
      </c>
      <c r="BH825" t="s">
        <v>8679</v>
      </c>
      <c r="BI825" t="s">
        <v>131</v>
      </c>
      <c r="BL825" t="s">
        <v>167</v>
      </c>
      <c r="BO825" t="s">
        <v>131</v>
      </c>
      <c r="BP825" t="s">
        <v>134</v>
      </c>
      <c r="BQ825" t="s">
        <v>131</v>
      </c>
      <c r="BS825" t="str">
        <f t="shared" si="58"/>
        <v>N/A</v>
      </c>
      <c r="BT825" t="s">
        <v>135</v>
      </c>
      <c r="BU825">
        <v>6</v>
      </c>
      <c r="BV825" t="str">
        <f>"Restaurant Cook preparing foods from scratch "</f>
        <v xml:space="preserve">Restaurant Cook preparing foods from scratch </v>
      </c>
      <c r="BW825" t="s">
        <v>135</v>
      </c>
      <c r="BX825" t="str">
        <f>""</f>
        <v/>
      </c>
      <c r="BY825" t="str">
        <f>""</f>
        <v/>
      </c>
      <c r="BZ825" t="str">
        <f>""</f>
        <v/>
      </c>
      <c r="CA825" s="2" t="s">
        <v>13641</v>
      </c>
      <c r="CB825" t="s">
        <v>131</v>
      </c>
      <c r="CF825" t="s">
        <v>131</v>
      </c>
      <c r="CH825" t="str">
        <f>""</f>
        <v/>
      </c>
      <c r="CI825" t="s">
        <v>131</v>
      </c>
      <c r="CK825" t="s">
        <v>131</v>
      </c>
      <c r="CL825" t="str">
        <f>""</f>
        <v/>
      </c>
      <c r="CM825" t="str">
        <f>""</f>
        <v/>
      </c>
      <c r="CN825" t="str">
        <f>""</f>
        <v/>
      </c>
      <c r="CO825" t="str">
        <f>""</f>
        <v/>
      </c>
      <c r="CP825" t="str">
        <f>"35-2014.00"</f>
        <v>35-2014.00</v>
      </c>
      <c r="CQ825" t="s">
        <v>581</v>
      </c>
      <c r="CS825" t="s">
        <v>131</v>
      </c>
      <c r="CU825" t="s">
        <v>18052</v>
      </c>
      <c r="CW825" t="s">
        <v>13639</v>
      </c>
      <c r="CX825" t="s">
        <v>195</v>
      </c>
      <c r="CZ825" s="3" t="str">
        <f>"33469"</f>
        <v>33469</v>
      </c>
      <c r="DA825" t="s">
        <v>131</v>
      </c>
      <c r="DB825" t="str">
        <f>"35-2014"</f>
        <v>35-2014</v>
      </c>
      <c r="DC825" t="s">
        <v>581</v>
      </c>
      <c r="DD825" t="s">
        <v>134</v>
      </c>
      <c r="DE825" t="s">
        <v>134</v>
      </c>
      <c r="DF825" t="str">
        <f>""</f>
        <v/>
      </c>
      <c r="DH825" s="6">
        <v>14.63</v>
      </c>
      <c r="DI825" t="s">
        <v>344</v>
      </c>
      <c r="DK825" t="s">
        <v>345</v>
      </c>
      <c r="DS825" s="6">
        <v>14.63</v>
      </c>
      <c r="DT825" t="s">
        <v>424</v>
      </c>
      <c r="DU825" s="1">
        <v>44369</v>
      </c>
      <c r="DV825" s="1">
        <v>44458</v>
      </c>
    </row>
    <row r="826" spans="1:126" ht="15" customHeight="1" x14ac:dyDescent="0.35">
      <c r="A826" t="s">
        <v>13710</v>
      </c>
      <c r="B826" t="s">
        <v>318</v>
      </c>
      <c r="C826" s="1">
        <v>44342</v>
      </c>
      <c r="D826" s="1">
        <v>44369</v>
      </c>
      <c r="H826" t="s">
        <v>319</v>
      </c>
      <c r="I826" t="s">
        <v>7271</v>
      </c>
      <c r="J826" t="s">
        <v>7272</v>
      </c>
      <c r="L826" t="s">
        <v>3278</v>
      </c>
      <c r="M826" t="s">
        <v>13711</v>
      </c>
      <c r="O826" t="s">
        <v>7274</v>
      </c>
      <c r="P826" t="s">
        <v>818</v>
      </c>
      <c r="Q826" s="3">
        <v>30248</v>
      </c>
      <c r="R826" t="s">
        <v>128</v>
      </c>
      <c r="T826" s="4">
        <v>17709573338</v>
      </c>
      <c r="V826" t="s">
        <v>7275</v>
      </c>
      <c r="W826" t="s">
        <v>13712</v>
      </c>
      <c r="X826" t="s">
        <v>8845</v>
      </c>
      <c r="Y826" t="s">
        <v>7273</v>
      </c>
      <c r="AA826" t="s">
        <v>7274</v>
      </c>
      <c r="AB826" t="s">
        <v>643</v>
      </c>
      <c r="AC826" s="3" t="str">
        <f>"30248"</f>
        <v>30248</v>
      </c>
      <c r="AD826" t="s">
        <v>128</v>
      </c>
      <c r="AF826" s="4">
        <v>17709573338</v>
      </c>
      <c r="AH826" t="str">
        <f>"72251"</f>
        <v>72251</v>
      </c>
      <c r="AI826" t="s">
        <v>287</v>
      </c>
      <c r="AJ826" t="s">
        <v>7144</v>
      </c>
      <c r="AK826" t="s">
        <v>12101</v>
      </c>
      <c r="AM826" t="s">
        <v>7147</v>
      </c>
      <c r="AN826" t="s">
        <v>3185</v>
      </c>
      <c r="AO826" t="s">
        <v>7148</v>
      </c>
      <c r="AP826" t="s">
        <v>643</v>
      </c>
      <c r="AQ826" s="5">
        <v>30097</v>
      </c>
      <c r="AR826" t="s">
        <v>128</v>
      </c>
      <c r="AT826" s="4">
        <v>14704266748</v>
      </c>
      <c r="AV826" t="s">
        <v>7149</v>
      </c>
      <c r="AW826" t="s">
        <v>7152</v>
      </c>
      <c r="AX826" t="s">
        <v>131</v>
      </c>
      <c r="AY826" t="s">
        <v>131</v>
      </c>
      <c r="AZ826" t="s">
        <v>131</v>
      </c>
      <c r="BA826" t="s">
        <v>131</v>
      </c>
      <c r="BB826" t="s">
        <v>131</v>
      </c>
      <c r="BC826" t="s">
        <v>131</v>
      </c>
      <c r="BD826" t="s">
        <v>131</v>
      </c>
      <c r="BE826" t="s">
        <v>132</v>
      </c>
      <c r="BH826" t="s">
        <v>13713</v>
      </c>
      <c r="BI826" t="s">
        <v>131</v>
      </c>
      <c r="BL826" t="s">
        <v>167</v>
      </c>
      <c r="BO826" t="s">
        <v>131</v>
      </c>
      <c r="BP826" t="s">
        <v>134</v>
      </c>
      <c r="BQ826" t="s">
        <v>131</v>
      </c>
      <c r="BS826" t="str">
        <f t="shared" si="58"/>
        <v>N/A</v>
      </c>
      <c r="BT826" t="s">
        <v>131</v>
      </c>
      <c r="BV826" t="str">
        <f>""</f>
        <v/>
      </c>
      <c r="BW826" t="s">
        <v>131</v>
      </c>
      <c r="BX826" t="str">
        <f>""</f>
        <v/>
      </c>
      <c r="BY826" t="str">
        <f>""</f>
        <v/>
      </c>
      <c r="BZ826" t="str">
        <f>""</f>
        <v/>
      </c>
      <c r="CA826" t="str">
        <f>""</f>
        <v/>
      </c>
      <c r="CB826" t="s">
        <v>131</v>
      </c>
      <c r="CF826" t="s">
        <v>131</v>
      </c>
      <c r="CH826" t="str">
        <f>""</f>
        <v/>
      </c>
      <c r="CI826" t="s">
        <v>131</v>
      </c>
      <c r="CK826" t="s">
        <v>131</v>
      </c>
      <c r="CL826" t="str">
        <f>""</f>
        <v/>
      </c>
      <c r="CM826" t="str">
        <f>""</f>
        <v/>
      </c>
      <c r="CN826" t="str">
        <f>""</f>
        <v/>
      </c>
      <c r="CO826" t="str">
        <f>""</f>
        <v/>
      </c>
      <c r="CP826" t="str">
        <f>"35-2021.00"</f>
        <v>35-2021.00</v>
      </c>
      <c r="CQ826" t="s">
        <v>1749</v>
      </c>
      <c r="CR826" t="s">
        <v>12233</v>
      </c>
      <c r="CS826" t="s">
        <v>131</v>
      </c>
      <c r="CU826" t="s">
        <v>13714</v>
      </c>
      <c r="CW826" t="s">
        <v>13715</v>
      </c>
      <c r="CX826" t="s">
        <v>643</v>
      </c>
      <c r="CZ826" s="3" t="str">
        <f>"30248"</f>
        <v>30248</v>
      </c>
      <c r="DA826" t="s">
        <v>131</v>
      </c>
      <c r="DB826" t="str">
        <f>"35-2021"</f>
        <v>35-2021</v>
      </c>
      <c r="DC826" t="s">
        <v>1749</v>
      </c>
      <c r="DD826" t="s">
        <v>134</v>
      </c>
      <c r="DE826" t="s">
        <v>134</v>
      </c>
      <c r="DF826" t="str">
        <f>""</f>
        <v/>
      </c>
      <c r="DH826" s="6">
        <v>11.03</v>
      </c>
      <c r="DI826" t="s">
        <v>344</v>
      </c>
      <c r="DK826" t="s">
        <v>345</v>
      </c>
      <c r="DR826" t="s">
        <v>2218</v>
      </c>
      <c r="DS826" s="6">
        <v>11.03</v>
      </c>
      <c r="DT826" t="s">
        <v>424</v>
      </c>
      <c r="DU826" s="1">
        <v>44369</v>
      </c>
      <c r="DV826" s="1">
        <v>44458</v>
      </c>
    </row>
    <row r="827" spans="1:126" ht="15" customHeight="1" x14ac:dyDescent="0.35">
      <c r="A827" t="s">
        <v>317</v>
      </c>
      <c r="B827" t="s">
        <v>318</v>
      </c>
      <c r="C827" s="1">
        <v>44342</v>
      </c>
      <c r="D827" s="1">
        <v>44369</v>
      </c>
      <c r="H827" t="s">
        <v>319</v>
      </c>
      <c r="I827" t="s">
        <v>320</v>
      </c>
      <c r="J827" t="s">
        <v>321</v>
      </c>
      <c r="L827" t="s">
        <v>322</v>
      </c>
      <c r="M827" t="s">
        <v>323</v>
      </c>
      <c r="N827" t="s">
        <v>324</v>
      </c>
      <c r="O827" t="s">
        <v>325</v>
      </c>
      <c r="P827" t="s">
        <v>127</v>
      </c>
      <c r="Q827" s="3">
        <v>10583</v>
      </c>
      <c r="R827" t="s">
        <v>128</v>
      </c>
      <c r="T827" s="4">
        <v>16465286671</v>
      </c>
      <c r="V827" t="s">
        <v>326</v>
      </c>
      <c r="W827" t="s">
        <v>327</v>
      </c>
      <c r="X827" t="s">
        <v>328</v>
      </c>
      <c r="Y827" t="s">
        <v>329</v>
      </c>
      <c r="Z827" t="s">
        <v>324</v>
      </c>
      <c r="AA827" t="s">
        <v>325</v>
      </c>
      <c r="AB827" t="s">
        <v>129</v>
      </c>
      <c r="AC827" s="3" t="str">
        <f>"10538"</f>
        <v>10538</v>
      </c>
      <c r="AD827" t="s">
        <v>128</v>
      </c>
      <c r="AF827" s="4">
        <v>16465286671</v>
      </c>
      <c r="AH827" t="str">
        <f>"54151"</f>
        <v>54151</v>
      </c>
      <c r="AI827" t="s">
        <v>130</v>
      </c>
      <c r="AJ827" t="s">
        <v>330</v>
      </c>
      <c r="AK827" t="s">
        <v>331</v>
      </c>
      <c r="AL827" t="s">
        <v>332</v>
      </c>
      <c r="AM827" t="s">
        <v>333</v>
      </c>
      <c r="AN827" t="s">
        <v>334</v>
      </c>
      <c r="AO827" t="s">
        <v>335</v>
      </c>
      <c r="AP827" t="s">
        <v>129</v>
      </c>
      <c r="AQ827" s="5">
        <v>10301</v>
      </c>
      <c r="AR827" t="s">
        <v>128</v>
      </c>
      <c r="AT827" s="4">
        <v>16468298805</v>
      </c>
      <c r="AV827" t="s">
        <v>336</v>
      </c>
      <c r="AW827" t="s">
        <v>337</v>
      </c>
      <c r="AX827" t="s">
        <v>131</v>
      </c>
      <c r="AY827" t="s">
        <v>131</v>
      </c>
      <c r="AZ827" t="s">
        <v>131</v>
      </c>
      <c r="BA827" t="s">
        <v>131</v>
      </c>
      <c r="BB827" t="s">
        <v>131</v>
      </c>
      <c r="BC827" t="s">
        <v>131</v>
      </c>
      <c r="BD827" t="s">
        <v>131</v>
      </c>
      <c r="BE827" t="s">
        <v>132</v>
      </c>
      <c r="BH827" t="s">
        <v>338</v>
      </c>
      <c r="BI827" t="s">
        <v>131</v>
      </c>
      <c r="BL827" t="s">
        <v>167</v>
      </c>
      <c r="BO827" t="s">
        <v>131</v>
      </c>
      <c r="BP827" t="s">
        <v>134</v>
      </c>
      <c r="BQ827" t="s">
        <v>131</v>
      </c>
      <c r="BS827" t="str">
        <f t="shared" si="58"/>
        <v>N/A</v>
      </c>
      <c r="BT827" t="s">
        <v>131</v>
      </c>
      <c r="BV827" t="str">
        <f>""</f>
        <v/>
      </c>
      <c r="BW827" t="s">
        <v>135</v>
      </c>
      <c r="BX827" t="str">
        <f>""</f>
        <v/>
      </c>
      <c r="BY827" t="str">
        <f>"Italian and Albanian"</f>
        <v>Italian and Albanian</v>
      </c>
      <c r="BZ827" t="str">
        <f>""</f>
        <v/>
      </c>
      <c r="CA827" t="str">
        <f>"Live-in position."</f>
        <v>Live-in position.</v>
      </c>
      <c r="CB827" t="s">
        <v>131</v>
      </c>
      <c r="CF827" t="s">
        <v>131</v>
      </c>
      <c r="CH827" t="str">
        <f>""</f>
        <v/>
      </c>
      <c r="CI827" t="s">
        <v>131</v>
      </c>
      <c r="CK827" t="s">
        <v>131</v>
      </c>
      <c r="CL827" t="str">
        <f>""</f>
        <v/>
      </c>
      <c r="CM827" t="str">
        <f>""</f>
        <v/>
      </c>
      <c r="CN827" t="str">
        <f>""</f>
        <v/>
      </c>
      <c r="CO827" t="str">
        <f>""</f>
        <v/>
      </c>
      <c r="CP827" t="str">
        <f>"39-9011.01"</f>
        <v>39-9011.01</v>
      </c>
      <c r="CQ827" t="s">
        <v>339</v>
      </c>
      <c r="CS827" t="s">
        <v>135</v>
      </c>
      <c r="CT827" t="s">
        <v>340</v>
      </c>
      <c r="CU827" t="s">
        <v>329</v>
      </c>
      <c r="CV827" t="s">
        <v>341</v>
      </c>
      <c r="CW827" t="s">
        <v>325</v>
      </c>
      <c r="CX827" t="s">
        <v>129</v>
      </c>
      <c r="CZ827" s="3" t="str">
        <f>"10538"</f>
        <v>10538</v>
      </c>
      <c r="DA827" t="s">
        <v>131</v>
      </c>
      <c r="DB827" t="str">
        <f>"39-9011"</f>
        <v>39-9011</v>
      </c>
      <c r="DC827" t="s">
        <v>342</v>
      </c>
      <c r="DD827" t="s">
        <v>343</v>
      </c>
      <c r="DE827" t="s">
        <v>339</v>
      </c>
      <c r="DF827" t="str">
        <f>""</f>
        <v/>
      </c>
      <c r="DH827" s="6">
        <v>14.45</v>
      </c>
      <c r="DI827" t="s">
        <v>344</v>
      </c>
      <c r="DK827" t="s">
        <v>345</v>
      </c>
      <c r="DR827" t="s">
        <v>346</v>
      </c>
      <c r="DS827" s="6">
        <v>14.45</v>
      </c>
      <c r="DT827" s="2" t="s">
        <v>347</v>
      </c>
      <c r="DU827" s="1">
        <v>44369</v>
      </c>
      <c r="DV827" s="1">
        <v>44458</v>
      </c>
    </row>
    <row r="828" spans="1:126" ht="15" customHeight="1" x14ac:dyDescent="0.35">
      <c r="A828" t="s">
        <v>18221</v>
      </c>
      <c r="B828" t="s">
        <v>318</v>
      </c>
      <c r="C828" s="1">
        <v>44342</v>
      </c>
      <c r="D828" s="1">
        <v>44369</v>
      </c>
      <c r="H828" t="s">
        <v>319</v>
      </c>
      <c r="I828" t="s">
        <v>12097</v>
      </c>
      <c r="J828" t="s">
        <v>18222</v>
      </c>
      <c r="L828" t="s">
        <v>3278</v>
      </c>
      <c r="M828" t="s">
        <v>18223</v>
      </c>
      <c r="O828" t="s">
        <v>18224</v>
      </c>
      <c r="P828" t="s">
        <v>778</v>
      </c>
      <c r="Q828" s="3">
        <v>37323</v>
      </c>
      <c r="R828" t="s">
        <v>128</v>
      </c>
      <c r="T828" s="4">
        <v>14234886591</v>
      </c>
      <c r="V828" t="s">
        <v>12099</v>
      </c>
      <c r="W828" t="s">
        <v>12100</v>
      </c>
      <c r="X828" t="s">
        <v>134</v>
      </c>
      <c r="Y828" t="s">
        <v>12098</v>
      </c>
      <c r="AA828" t="s">
        <v>607</v>
      </c>
      <c r="AB828" t="s">
        <v>779</v>
      </c>
      <c r="AC828" s="3" t="str">
        <f>"37323"</f>
        <v>37323</v>
      </c>
      <c r="AD828" t="s">
        <v>128</v>
      </c>
      <c r="AF828" s="4">
        <v>14238446591</v>
      </c>
      <c r="AH828" t="str">
        <f>"337121"</f>
        <v>337121</v>
      </c>
      <c r="AI828" t="s">
        <v>287</v>
      </c>
      <c r="AJ828" t="s">
        <v>8846</v>
      </c>
      <c r="AK828" t="s">
        <v>12101</v>
      </c>
      <c r="AL828" t="s">
        <v>134</v>
      </c>
      <c r="AM828" t="s">
        <v>7147</v>
      </c>
      <c r="AN828" t="s">
        <v>2415</v>
      </c>
      <c r="AO828" t="s">
        <v>4871</v>
      </c>
      <c r="AP828" t="s">
        <v>643</v>
      </c>
      <c r="AQ828" s="5">
        <v>30097</v>
      </c>
      <c r="AR828" t="s">
        <v>128</v>
      </c>
      <c r="AT828" s="4">
        <v>14704266748</v>
      </c>
      <c r="AV828" t="s">
        <v>7149</v>
      </c>
      <c r="AW828" t="s">
        <v>7404</v>
      </c>
      <c r="AX828" t="s">
        <v>131</v>
      </c>
      <c r="AY828" t="s">
        <v>131</v>
      </c>
      <c r="AZ828" t="s">
        <v>131</v>
      </c>
      <c r="BA828" t="s">
        <v>131</v>
      </c>
      <c r="BB828" t="s">
        <v>131</v>
      </c>
      <c r="BC828" t="s">
        <v>131</v>
      </c>
      <c r="BD828" t="s">
        <v>131</v>
      </c>
      <c r="BE828" t="s">
        <v>132</v>
      </c>
      <c r="BH828" t="s">
        <v>7153</v>
      </c>
      <c r="BI828" t="s">
        <v>131</v>
      </c>
      <c r="BL828" t="s">
        <v>167</v>
      </c>
      <c r="BO828" t="s">
        <v>131</v>
      </c>
      <c r="BP828" t="s">
        <v>134</v>
      </c>
      <c r="BQ828" t="s">
        <v>131</v>
      </c>
      <c r="BS828" t="str">
        <f t="shared" si="58"/>
        <v>N/A</v>
      </c>
      <c r="BT828" t="s">
        <v>131</v>
      </c>
      <c r="BV828" t="str">
        <f>""</f>
        <v/>
      </c>
      <c r="BW828" t="s">
        <v>131</v>
      </c>
      <c r="BX828" t="str">
        <f>""</f>
        <v/>
      </c>
      <c r="BY828" t="str">
        <f>""</f>
        <v/>
      </c>
      <c r="BZ828" t="str">
        <f>""</f>
        <v/>
      </c>
      <c r="CA828" t="str">
        <f>""</f>
        <v/>
      </c>
      <c r="CB828" t="s">
        <v>131</v>
      </c>
      <c r="CF828" t="s">
        <v>131</v>
      </c>
      <c r="CH828" t="str">
        <f>""</f>
        <v/>
      </c>
      <c r="CI828" t="s">
        <v>131</v>
      </c>
      <c r="CK828" t="s">
        <v>131</v>
      </c>
      <c r="CL828" t="str">
        <f>""</f>
        <v/>
      </c>
      <c r="CM828" t="str">
        <f>""</f>
        <v/>
      </c>
      <c r="CN828" t="str">
        <f>""</f>
        <v/>
      </c>
      <c r="CO828" t="str">
        <f>""</f>
        <v/>
      </c>
      <c r="CP828" t="str">
        <f>"51-2092.00"</f>
        <v>51-2092.00</v>
      </c>
      <c r="CQ828" t="s">
        <v>3007</v>
      </c>
      <c r="CR828" t="s">
        <v>233</v>
      </c>
      <c r="CS828" t="s">
        <v>131</v>
      </c>
      <c r="CU828" t="s">
        <v>7155</v>
      </c>
      <c r="CW828" t="s">
        <v>7156</v>
      </c>
      <c r="CX828" t="s">
        <v>643</v>
      </c>
      <c r="CZ828" s="3" t="str">
        <f>"30705"</f>
        <v>30705</v>
      </c>
      <c r="DA828" t="s">
        <v>131</v>
      </c>
      <c r="DB828" t="str">
        <f>"51-2092"</f>
        <v>51-2092</v>
      </c>
      <c r="DC828" t="s">
        <v>3007</v>
      </c>
      <c r="DD828" t="s">
        <v>134</v>
      </c>
      <c r="DE828" t="s">
        <v>134</v>
      </c>
      <c r="DF828" t="str">
        <f>""</f>
        <v/>
      </c>
      <c r="DH828" s="6">
        <v>14.22</v>
      </c>
      <c r="DI828" t="s">
        <v>344</v>
      </c>
      <c r="DK828" t="s">
        <v>345</v>
      </c>
      <c r="DR828" t="s">
        <v>18225</v>
      </c>
      <c r="DS828" s="6">
        <v>14.22</v>
      </c>
      <c r="DT828" t="s">
        <v>424</v>
      </c>
      <c r="DU828" s="1">
        <v>44369</v>
      </c>
      <c r="DV828" s="1">
        <v>44458</v>
      </c>
    </row>
    <row r="829" spans="1:126" ht="15" customHeight="1" x14ac:dyDescent="0.35">
      <c r="A829" t="s">
        <v>15689</v>
      </c>
      <c r="B829" t="s">
        <v>318</v>
      </c>
      <c r="C829" s="1">
        <v>44342</v>
      </c>
      <c r="D829" s="1">
        <v>44369</v>
      </c>
      <c r="H829" t="s">
        <v>319</v>
      </c>
      <c r="I829" t="s">
        <v>15690</v>
      </c>
      <c r="J829" t="s">
        <v>15691</v>
      </c>
      <c r="L829" t="s">
        <v>569</v>
      </c>
      <c r="M829" t="s">
        <v>15692</v>
      </c>
      <c r="O829" t="s">
        <v>6215</v>
      </c>
      <c r="P829" t="s">
        <v>194</v>
      </c>
      <c r="Q829" s="3">
        <v>34145</v>
      </c>
      <c r="R829" t="s">
        <v>128</v>
      </c>
      <c r="T829" s="4">
        <v>12393946661</v>
      </c>
      <c r="V829" t="s">
        <v>1021</v>
      </c>
      <c r="W829" t="s">
        <v>15693</v>
      </c>
      <c r="Y829" t="s">
        <v>15692</v>
      </c>
      <c r="AA829" t="s">
        <v>6215</v>
      </c>
      <c r="AB829" t="s">
        <v>195</v>
      </c>
      <c r="AC829" s="3" t="str">
        <f>"34145"</f>
        <v>34145</v>
      </c>
      <c r="AD829" t="s">
        <v>128</v>
      </c>
      <c r="AF829" s="4">
        <v>12393946661</v>
      </c>
      <c r="AH829" t="str">
        <f>"713910"</f>
        <v>713910</v>
      </c>
      <c r="AI829" t="s">
        <v>287</v>
      </c>
      <c r="AJ829" t="s">
        <v>1024</v>
      </c>
      <c r="AK829" t="s">
        <v>1025</v>
      </c>
      <c r="AM829" t="s">
        <v>1026</v>
      </c>
      <c r="AO829" t="s">
        <v>1027</v>
      </c>
      <c r="AP829" t="s">
        <v>129</v>
      </c>
      <c r="AQ829" s="5">
        <v>11590</v>
      </c>
      <c r="AR829" t="s">
        <v>128</v>
      </c>
      <c r="AT829" s="4">
        <v>15163307168</v>
      </c>
      <c r="AV829" t="s">
        <v>1021</v>
      </c>
      <c r="AW829" t="s">
        <v>1028</v>
      </c>
      <c r="AX829" t="s">
        <v>131</v>
      </c>
      <c r="AY829" t="s">
        <v>131</v>
      </c>
      <c r="AZ829" t="s">
        <v>131</v>
      </c>
      <c r="BA829" t="s">
        <v>131</v>
      </c>
      <c r="BB829" t="s">
        <v>131</v>
      </c>
      <c r="BC829" t="s">
        <v>131</v>
      </c>
      <c r="BD829" t="s">
        <v>131</v>
      </c>
      <c r="BE829" t="s">
        <v>132</v>
      </c>
      <c r="BH829" t="s">
        <v>10277</v>
      </c>
      <c r="BI829" t="s">
        <v>131</v>
      </c>
      <c r="BL829" t="s">
        <v>167</v>
      </c>
      <c r="BO829" t="s">
        <v>131</v>
      </c>
      <c r="BP829" t="s">
        <v>134</v>
      </c>
      <c r="BQ829" t="s">
        <v>131</v>
      </c>
      <c r="BS829" t="str">
        <f t="shared" si="58"/>
        <v>N/A</v>
      </c>
      <c r="BT829" t="s">
        <v>131</v>
      </c>
      <c r="BV829" t="str">
        <f>""</f>
        <v/>
      </c>
      <c r="BW829" t="s">
        <v>131</v>
      </c>
      <c r="BX829" t="str">
        <f>""</f>
        <v/>
      </c>
      <c r="BY829" t="str">
        <f>""</f>
        <v/>
      </c>
      <c r="BZ829" t="str">
        <f>""</f>
        <v/>
      </c>
      <c r="CA829" t="str">
        <f>""</f>
        <v/>
      </c>
      <c r="CB829" t="s">
        <v>131</v>
      </c>
      <c r="CF829" t="s">
        <v>131</v>
      </c>
      <c r="CH829" t="str">
        <f>""</f>
        <v/>
      </c>
      <c r="CI829" t="s">
        <v>131</v>
      </c>
      <c r="CK829" t="s">
        <v>131</v>
      </c>
      <c r="CL829" t="str">
        <f>""</f>
        <v/>
      </c>
      <c r="CM829" t="str">
        <f>""</f>
        <v/>
      </c>
      <c r="CN829" t="str">
        <f>""</f>
        <v/>
      </c>
      <c r="CO829" t="str">
        <f>""</f>
        <v/>
      </c>
      <c r="CP829" t="str">
        <f>"37-2012.00"</f>
        <v>37-2012.00</v>
      </c>
      <c r="CQ829" t="s">
        <v>479</v>
      </c>
      <c r="CR829" t="s">
        <v>392</v>
      </c>
      <c r="CS829" t="s">
        <v>131</v>
      </c>
      <c r="CU829" t="s">
        <v>15692</v>
      </c>
      <c r="CW829" t="s">
        <v>6215</v>
      </c>
      <c r="CX829" t="s">
        <v>195</v>
      </c>
      <c r="CZ829" s="3" t="str">
        <f>"34145"</f>
        <v>34145</v>
      </c>
      <c r="DA829" t="s">
        <v>131</v>
      </c>
      <c r="DB829" t="str">
        <f>"37-2012"</f>
        <v>37-2012</v>
      </c>
      <c r="DC829" t="s">
        <v>479</v>
      </c>
      <c r="DD829" t="s">
        <v>134</v>
      </c>
      <c r="DE829" t="s">
        <v>134</v>
      </c>
      <c r="DF829" t="str">
        <f>""</f>
        <v/>
      </c>
      <c r="DH829" s="6">
        <v>13.06</v>
      </c>
      <c r="DI829" t="s">
        <v>344</v>
      </c>
      <c r="DK829" t="s">
        <v>345</v>
      </c>
      <c r="DR829" t="s">
        <v>5543</v>
      </c>
      <c r="DS829" s="6">
        <v>13.06</v>
      </c>
      <c r="DT829" t="s">
        <v>424</v>
      </c>
      <c r="DU829" s="1">
        <v>44369</v>
      </c>
      <c r="DV829" s="1">
        <v>44458</v>
      </c>
    </row>
    <row r="830" spans="1:126" ht="15" customHeight="1" x14ac:dyDescent="0.35">
      <c r="A830" t="s">
        <v>7270</v>
      </c>
      <c r="B830" t="s">
        <v>318</v>
      </c>
      <c r="C830" s="1">
        <v>44342</v>
      </c>
      <c r="D830" s="1">
        <v>44369</v>
      </c>
      <c r="H830" t="s">
        <v>319</v>
      </c>
      <c r="I830" t="s">
        <v>7271</v>
      </c>
      <c r="J830" t="s">
        <v>7272</v>
      </c>
      <c r="L830" t="s">
        <v>3278</v>
      </c>
      <c r="M830" t="s">
        <v>7273</v>
      </c>
      <c r="N830" t="s">
        <v>134</v>
      </c>
      <c r="O830" t="s">
        <v>7274</v>
      </c>
      <c r="P830" t="s">
        <v>818</v>
      </c>
      <c r="Q830" s="3">
        <v>30248</v>
      </c>
      <c r="R830" t="s">
        <v>128</v>
      </c>
      <c r="T830" s="4">
        <v>17709573338</v>
      </c>
      <c r="V830" t="s">
        <v>7275</v>
      </c>
      <c r="W830" t="s">
        <v>7276</v>
      </c>
      <c r="X830" t="s">
        <v>7277</v>
      </c>
      <c r="Y830" t="s">
        <v>7273</v>
      </c>
      <c r="Z830" t="s">
        <v>134</v>
      </c>
      <c r="AA830" t="s">
        <v>7012</v>
      </c>
      <c r="AB830" t="s">
        <v>643</v>
      </c>
      <c r="AC830" s="3" t="str">
        <f>"30248"</f>
        <v>30248</v>
      </c>
      <c r="AD830" t="s">
        <v>128</v>
      </c>
      <c r="AF830" s="4">
        <v>17709573338</v>
      </c>
      <c r="AH830" t="str">
        <f>"72251"</f>
        <v>72251</v>
      </c>
      <c r="AI830" t="s">
        <v>287</v>
      </c>
      <c r="AJ830" t="s">
        <v>7144</v>
      </c>
      <c r="AK830" t="s">
        <v>7145</v>
      </c>
      <c r="AM830" t="s">
        <v>7147</v>
      </c>
      <c r="AN830" t="s">
        <v>2415</v>
      </c>
      <c r="AO830" t="s">
        <v>7148</v>
      </c>
      <c r="AP830" t="s">
        <v>643</v>
      </c>
      <c r="AQ830" s="5">
        <v>30097</v>
      </c>
      <c r="AR830" t="s">
        <v>128</v>
      </c>
      <c r="AT830" s="4">
        <v>14704266748</v>
      </c>
      <c r="AV830" t="s">
        <v>7149</v>
      </c>
      <c r="AW830" t="s">
        <v>7278</v>
      </c>
      <c r="AX830" t="s">
        <v>131</v>
      </c>
      <c r="AY830" t="s">
        <v>131</v>
      </c>
      <c r="AZ830" t="s">
        <v>131</v>
      </c>
      <c r="BA830" t="s">
        <v>131</v>
      </c>
      <c r="BB830" t="s">
        <v>131</v>
      </c>
      <c r="BC830" t="s">
        <v>131</v>
      </c>
      <c r="BD830" t="s">
        <v>131</v>
      </c>
      <c r="BE830" t="s">
        <v>132</v>
      </c>
      <c r="BH830" t="s">
        <v>4855</v>
      </c>
      <c r="BI830" t="s">
        <v>131</v>
      </c>
      <c r="BL830" t="s">
        <v>167</v>
      </c>
      <c r="BO830" t="s">
        <v>131</v>
      </c>
      <c r="BP830" t="s">
        <v>134</v>
      </c>
      <c r="BQ830" t="s">
        <v>131</v>
      </c>
      <c r="BS830" t="str">
        <f t="shared" si="58"/>
        <v>N/A</v>
      </c>
      <c r="BT830" t="s">
        <v>131</v>
      </c>
      <c r="BV830" t="str">
        <f>""</f>
        <v/>
      </c>
      <c r="BW830" t="s">
        <v>131</v>
      </c>
      <c r="BX830" t="str">
        <f>""</f>
        <v/>
      </c>
      <c r="BY830" t="str">
        <f>""</f>
        <v/>
      </c>
      <c r="BZ830" t="str">
        <f>""</f>
        <v/>
      </c>
      <c r="CA830" t="str">
        <f>""</f>
        <v/>
      </c>
      <c r="CB830" t="s">
        <v>131</v>
      </c>
      <c r="CF830" t="s">
        <v>131</v>
      </c>
      <c r="CH830" t="str">
        <f>""</f>
        <v/>
      </c>
      <c r="CI830" t="s">
        <v>131</v>
      </c>
      <c r="CK830" t="s">
        <v>131</v>
      </c>
      <c r="CL830" t="str">
        <f>""</f>
        <v/>
      </c>
      <c r="CM830" t="str">
        <f>""</f>
        <v/>
      </c>
      <c r="CN830" t="str">
        <f>""</f>
        <v/>
      </c>
      <c r="CO830" t="str">
        <f>""</f>
        <v/>
      </c>
      <c r="CP830" t="str">
        <f>"35-9021.00"</f>
        <v>35-9021.00</v>
      </c>
      <c r="CQ830" t="s">
        <v>2552</v>
      </c>
      <c r="CR830" t="s">
        <v>233</v>
      </c>
      <c r="CS830" t="s">
        <v>131</v>
      </c>
      <c r="CU830" t="s">
        <v>7273</v>
      </c>
      <c r="CV830" t="s">
        <v>134</v>
      </c>
      <c r="CW830" t="s">
        <v>7274</v>
      </c>
      <c r="CX830" t="s">
        <v>643</v>
      </c>
      <c r="CZ830" s="3" t="str">
        <f>"30248"</f>
        <v>30248</v>
      </c>
      <c r="DA830" t="s">
        <v>131</v>
      </c>
      <c r="DB830" t="str">
        <f>"35-9021"</f>
        <v>35-9021</v>
      </c>
      <c r="DC830" t="s">
        <v>2552</v>
      </c>
      <c r="DD830" t="s">
        <v>134</v>
      </c>
      <c r="DE830" t="s">
        <v>134</v>
      </c>
      <c r="DF830" t="str">
        <f>""</f>
        <v/>
      </c>
      <c r="DH830" s="6">
        <v>10.09</v>
      </c>
      <c r="DI830" t="s">
        <v>344</v>
      </c>
      <c r="DK830" t="s">
        <v>345</v>
      </c>
      <c r="DR830" t="s">
        <v>2218</v>
      </c>
      <c r="DS830" s="6">
        <v>10.09</v>
      </c>
      <c r="DT830" t="s">
        <v>424</v>
      </c>
      <c r="DU830" s="1">
        <v>44369</v>
      </c>
      <c r="DV830" s="1">
        <v>44458</v>
      </c>
    </row>
    <row r="831" spans="1:126" ht="15" customHeight="1" x14ac:dyDescent="0.35">
      <c r="A831" t="s">
        <v>19726</v>
      </c>
      <c r="B831" t="s">
        <v>318</v>
      </c>
      <c r="C831" s="1">
        <v>44342</v>
      </c>
      <c r="D831" s="1">
        <v>44369</v>
      </c>
      <c r="H831" t="s">
        <v>319</v>
      </c>
      <c r="I831" t="s">
        <v>7897</v>
      </c>
      <c r="J831" t="s">
        <v>7898</v>
      </c>
      <c r="L831" t="s">
        <v>7899</v>
      </c>
      <c r="M831" t="s">
        <v>7900</v>
      </c>
      <c r="O831" t="s">
        <v>7901</v>
      </c>
      <c r="P831" t="s">
        <v>194</v>
      </c>
      <c r="Q831" s="3">
        <v>33931</v>
      </c>
      <c r="R831" t="s">
        <v>128</v>
      </c>
      <c r="T831" s="4">
        <v>12394638630</v>
      </c>
      <c r="V831" t="s">
        <v>134</v>
      </c>
      <c r="W831" t="s">
        <v>14901</v>
      </c>
      <c r="X831" t="s">
        <v>7903</v>
      </c>
      <c r="Y831" t="s">
        <v>7900</v>
      </c>
      <c r="AA831" t="s">
        <v>7901</v>
      </c>
      <c r="AB831" t="s">
        <v>195</v>
      </c>
      <c r="AC831" s="3" t="str">
        <f>"33931"</f>
        <v>33931</v>
      </c>
      <c r="AD831" t="s">
        <v>128</v>
      </c>
      <c r="AF831" s="4">
        <v>12394638630</v>
      </c>
      <c r="AH831" t="str">
        <f>"72111"</f>
        <v>72111</v>
      </c>
      <c r="AI831" t="s">
        <v>287</v>
      </c>
      <c r="AJ831" t="s">
        <v>573</v>
      </c>
      <c r="AK831" t="s">
        <v>574</v>
      </c>
      <c r="AM831" t="s">
        <v>575</v>
      </c>
      <c r="AO831" t="s">
        <v>576</v>
      </c>
      <c r="AP831" t="s">
        <v>129</v>
      </c>
      <c r="AQ831" s="5">
        <v>14850</v>
      </c>
      <c r="AR831" t="s">
        <v>128</v>
      </c>
      <c r="AT831" s="4">
        <v>18777387462</v>
      </c>
      <c r="AV831" t="s">
        <v>577</v>
      </c>
      <c r="AW831" t="s">
        <v>578</v>
      </c>
      <c r="AX831" t="s">
        <v>131</v>
      </c>
      <c r="AY831" t="s">
        <v>131</v>
      </c>
      <c r="AZ831" t="s">
        <v>131</v>
      </c>
      <c r="BA831" t="s">
        <v>131</v>
      </c>
      <c r="BB831" t="s">
        <v>131</v>
      </c>
      <c r="BC831" t="s">
        <v>131</v>
      </c>
      <c r="BD831" t="s">
        <v>131</v>
      </c>
      <c r="BE831" t="s">
        <v>132</v>
      </c>
      <c r="BH831" t="s">
        <v>13954</v>
      </c>
      <c r="BI831" t="s">
        <v>131</v>
      </c>
      <c r="BL831" t="s">
        <v>167</v>
      </c>
      <c r="BO831" t="s">
        <v>131</v>
      </c>
      <c r="BP831" t="s">
        <v>134</v>
      </c>
      <c r="BQ831" t="s">
        <v>131</v>
      </c>
      <c r="BS831" t="str">
        <f t="shared" si="58"/>
        <v>N/A</v>
      </c>
      <c r="BT831" t="s">
        <v>135</v>
      </c>
      <c r="BU831">
        <v>2</v>
      </c>
      <c r="BV831" t="str">
        <f>"recreation environment at resort or private club "</f>
        <v xml:space="preserve">recreation environment at resort or private club </v>
      </c>
      <c r="BW831" t="s">
        <v>135</v>
      </c>
      <c r="BX831" t="str">
        <f>""</f>
        <v/>
      </c>
      <c r="BY831" t="str">
        <f>""</f>
        <v/>
      </c>
      <c r="BZ831" t="str">
        <f>""</f>
        <v/>
      </c>
      <c r="CA831" s="2" t="s">
        <v>7906</v>
      </c>
      <c r="CB831" t="s">
        <v>131</v>
      </c>
      <c r="CF831" t="s">
        <v>131</v>
      </c>
      <c r="CH831" t="str">
        <f>""</f>
        <v/>
      </c>
      <c r="CI831" t="s">
        <v>131</v>
      </c>
      <c r="CK831" t="s">
        <v>131</v>
      </c>
      <c r="CL831" t="str">
        <f>""</f>
        <v/>
      </c>
      <c r="CM831" t="str">
        <f>""</f>
        <v/>
      </c>
      <c r="CN831" t="str">
        <f>""</f>
        <v/>
      </c>
      <c r="CO831" t="str">
        <f>""</f>
        <v/>
      </c>
      <c r="CP831" t="str">
        <f>"39-3091.00"</f>
        <v>39-3091.00</v>
      </c>
      <c r="CQ831" t="s">
        <v>1374</v>
      </c>
      <c r="CS831" t="s">
        <v>131</v>
      </c>
      <c r="CU831" t="s">
        <v>7900</v>
      </c>
      <c r="CW831" t="s">
        <v>7901</v>
      </c>
      <c r="CX831" t="s">
        <v>195</v>
      </c>
      <c r="CZ831" s="3" t="str">
        <f>"33931"</f>
        <v>33931</v>
      </c>
      <c r="DA831" t="s">
        <v>131</v>
      </c>
      <c r="DB831" t="str">
        <f>"39-3091"</f>
        <v>39-3091</v>
      </c>
      <c r="DC831" t="s">
        <v>1374</v>
      </c>
      <c r="DD831" t="s">
        <v>134</v>
      </c>
      <c r="DE831" t="s">
        <v>134</v>
      </c>
      <c r="DF831" t="str">
        <f>""</f>
        <v/>
      </c>
      <c r="DH831" s="6">
        <v>11.55</v>
      </c>
      <c r="DI831" t="s">
        <v>344</v>
      </c>
      <c r="DK831" t="s">
        <v>345</v>
      </c>
      <c r="DS831" s="6">
        <v>11.55</v>
      </c>
      <c r="DT831" t="s">
        <v>424</v>
      </c>
      <c r="DU831" s="1">
        <v>44369</v>
      </c>
      <c r="DV831" s="1">
        <v>44458</v>
      </c>
    </row>
    <row r="832" spans="1:126" ht="15" customHeight="1" x14ac:dyDescent="0.35">
      <c r="A832" t="s">
        <v>19134</v>
      </c>
      <c r="B832" t="s">
        <v>318</v>
      </c>
      <c r="C832" s="1">
        <v>44342</v>
      </c>
      <c r="D832" s="1">
        <v>44369</v>
      </c>
      <c r="H832" t="s">
        <v>319</v>
      </c>
      <c r="I832" t="s">
        <v>19135</v>
      </c>
      <c r="J832" t="s">
        <v>3157</v>
      </c>
      <c r="L832" t="s">
        <v>1105</v>
      </c>
      <c r="M832" t="s">
        <v>19136</v>
      </c>
      <c r="O832" t="s">
        <v>19137</v>
      </c>
      <c r="P832" t="s">
        <v>178</v>
      </c>
      <c r="Q832" s="3">
        <v>90241</v>
      </c>
      <c r="R832" t="s">
        <v>128</v>
      </c>
      <c r="T832" s="4">
        <v>16266286151</v>
      </c>
      <c r="V832" t="s">
        <v>19138</v>
      </c>
      <c r="W832" t="s">
        <v>19139</v>
      </c>
      <c r="X832" t="s">
        <v>19139</v>
      </c>
      <c r="Y832" t="s">
        <v>19140</v>
      </c>
      <c r="AA832" t="s">
        <v>19137</v>
      </c>
      <c r="AB832" t="s">
        <v>172</v>
      </c>
      <c r="AC832" s="3" t="str">
        <f>"90241"</f>
        <v>90241</v>
      </c>
      <c r="AD832" t="s">
        <v>128</v>
      </c>
      <c r="AF832" s="4">
        <v>16266286151</v>
      </c>
      <c r="AH832" t="str">
        <f>"814110"</f>
        <v>814110</v>
      </c>
      <c r="AI832" t="s">
        <v>130</v>
      </c>
      <c r="AJ832" t="s">
        <v>3808</v>
      </c>
      <c r="AK832" t="s">
        <v>313</v>
      </c>
      <c r="AL832" t="s">
        <v>2673</v>
      </c>
      <c r="AM832" t="s">
        <v>19141</v>
      </c>
      <c r="AN832" t="s">
        <v>3486</v>
      </c>
      <c r="AO832" t="s">
        <v>885</v>
      </c>
      <c r="AP832" t="s">
        <v>400</v>
      </c>
      <c r="AQ832" s="5">
        <v>77040</v>
      </c>
      <c r="AR832" t="s">
        <v>128</v>
      </c>
      <c r="AT832" s="4">
        <v>17134854079</v>
      </c>
      <c r="AV832" t="s">
        <v>19142</v>
      </c>
      <c r="AW832" t="s">
        <v>19143</v>
      </c>
      <c r="AX832" t="s">
        <v>131</v>
      </c>
      <c r="AY832" t="s">
        <v>131</v>
      </c>
      <c r="AZ832" t="s">
        <v>131</v>
      </c>
      <c r="BA832" t="s">
        <v>131</v>
      </c>
      <c r="BB832" t="s">
        <v>131</v>
      </c>
      <c r="BC832" t="s">
        <v>131</v>
      </c>
      <c r="BD832" t="s">
        <v>131</v>
      </c>
      <c r="BE832" t="s">
        <v>132</v>
      </c>
      <c r="BH832" t="s">
        <v>2109</v>
      </c>
      <c r="BI832" t="s">
        <v>131</v>
      </c>
      <c r="BL832" t="s">
        <v>401</v>
      </c>
      <c r="BO832" t="s">
        <v>131</v>
      </c>
      <c r="BP832" t="s">
        <v>134</v>
      </c>
      <c r="BQ832" t="s">
        <v>135</v>
      </c>
      <c r="BR832">
        <v>60</v>
      </c>
      <c r="BS832" t="str">
        <f>"Childcare"</f>
        <v>Childcare</v>
      </c>
      <c r="BT832" t="s">
        <v>135</v>
      </c>
      <c r="BU832">
        <v>120</v>
      </c>
      <c r="BV832" t="str">
        <f>"Nanny"</f>
        <v>Nanny</v>
      </c>
      <c r="BW832" t="s">
        <v>135</v>
      </c>
      <c r="BX832" t="str">
        <f>""</f>
        <v/>
      </c>
      <c r="BY832" t="str">
        <f>"Native Colombian Spanish speaker"</f>
        <v>Native Colombian Spanish speaker</v>
      </c>
      <c r="BZ832" t="str">
        <f>""</f>
        <v/>
      </c>
      <c r="CA832" s="2" t="s">
        <v>19144</v>
      </c>
      <c r="CB832" t="s">
        <v>131</v>
      </c>
      <c r="CF832" t="s">
        <v>131</v>
      </c>
      <c r="CH832" t="str">
        <f>""</f>
        <v/>
      </c>
      <c r="CI832" t="s">
        <v>131</v>
      </c>
      <c r="CK832" t="s">
        <v>131</v>
      </c>
      <c r="CL832" t="str">
        <f>""</f>
        <v/>
      </c>
      <c r="CM832" t="str">
        <f>""</f>
        <v/>
      </c>
      <c r="CN832" t="str">
        <f>""</f>
        <v/>
      </c>
      <c r="CO832" t="str">
        <f>""</f>
        <v/>
      </c>
      <c r="CP832" t="str">
        <f>"39-9011.01"</f>
        <v>39-9011.01</v>
      </c>
      <c r="CQ832" t="s">
        <v>339</v>
      </c>
      <c r="CS832" t="s">
        <v>131</v>
      </c>
      <c r="CU832" t="s">
        <v>19140</v>
      </c>
      <c r="CW832" t="s">
        <v>19145</v>
      </c>
      <c r="CX832" t="s">
        <v>172</v>
      </c>
      <c r="CZ832" s="3" t="str">
        <f>"90241"</f>
        <v>90241</v>
      </c>
      <c r="DA832" t="s">
        <v>131</v>
      </c>
      <c r="DB832" t="str">
        <f>"39-9011"</f>
        <v>39-9011</v>
      </c>
      <c r="DC832" t="s">
        <v>342</v>
      </c>
      <c r="DD832" t="s">
        <v>343</v>
      </c>
      <c r="DE832" t="s">
        <v>339</v>
      </c>
      <c r="DF832" t="str">
        <f>""</f>
        <v/>
      </c>
      <c r="DH832" s="6">
        <v>13.79</v>
      </c>
      <c r="DI832" t="s">
        <v>344</v>
      </c>
      <c r="DK832" t="s">
        <v>345</v>
      </c>
      <c r="DS832" s="6">
        <v>13.79</v>
      </c>
      <c r="DT832" t="s">
        <v>424</v>
      </c>
      <c r="DU832" s="1">
        <v>44369</v>
      </c>
      <c r="DV832" s="1">
        <v>44458</v>
      </c>
    </row>
    <row r="833" spans="1:126" ht="15" customHeight="1" x14ac:dyDescent="0.35">
      <c r="A833" t="s">
        <v>13790</v>
      </c>
      <c r="B833" t="s">
        <v>318</v>
      </c>
      <c r="C833" s="1">
        <v>44342</v>
      </c>
      <c r="D833" s="1">
        <v>44369</v>
      </c>
      <c r="H833" t="s">
        <v>319</v>
      </c>
      <c r="I833" t="s">
        <v>409</v>
      </c>
      <c r="J833" t="s">
        <v>13791</v>
      </c>
      <c r="L833" t="s">
        <v>1031</v>
      </c>
      <c r="M833" t="s">
        <v>13666</v>
      </c>
      <c r="O833" t="s">
        <v>6251</v>
      </c>
      <c r="P833" t="s">
        <v>194</v>
      </c>
      <c r="Q833" s="3">
        <v>34102</v>
      </c>
      <c r="R833" t="s">
        <v>128</v>
      </c>
      <c r="T833" s="4">
        <v>12393602000</v>
      </c>
      <c r="V833" t="s">
        <v>1021</v>
      </c>
      <c r="W833" t="s">
        <v>13667</v>
      </c>
      <c r="X833" t="s">
        <v>13792</v>
      </c>
      <c r="Y833" t="s">
        <v>13666</v>
      </c>
      <c r="AA833" t="s">
        <v>5674</v>
      </c>
      <c r="AB833" t="s">
        <v>195</v>
      </c>
      <c r="AC833" s="3" t="str">
        <f>"34102"</f>
        <v>34102</v>
      </c>
      <c r="AD833" t="s">
        <v>128</v>
      </c>
      <c r="AF833" s="4">
        <v>12393602000</v>
      </c>
      <c r="AH833" t="str">
        <f>"722513"</f>
        <v>722513</v>
      </c>
      <c r="AI833" t="s">
        <v>287</v>
      </c>
      <c r="AJ833" t="s">
        <v>1024</v>
      </c>
      <c r="AK833" t="s">
        <v>1025</v>
      </c>
      <c r="AM833" t="s">
        <v>1026</v>
      </c>
      <c r="AO833" t="s">
        <v>1027</v>
      </c>
      <c r="AP833" t="s">
        <v>129</v>
      </c>
      <c r="AQ833" s="5">
        <v>11590</v>
      </c>
      <c r="AR833" t="s">
        <v>128</v>
      </c>
      <c r="AT833" s="4">
        <v>15163307168</v>
      </c>
      <c r="AV833" t="s">
        <v>1021</v>
      </c>
      <c r="AW833" t="s">
        <v>1028</v>
      </c>
      <c r="AX833" t="s">
        <v>131</v>
      </c>
      <c r="AY833" t="s">
        <v>131</v>
      </c>
      <c r="AZ833" t="s">
        <v>131</v>
      </c>
      <c r="BA833" t="s">
        <v>131</v>
      </c>
      <c r="BB833" t="s">
        <v>131</v>
      </c>
      <c r="BC833" t="s">
        <v>131</v>
      </c>
      <c r="BD833" t="s">
        <v>131</v>
      </c>
      <c r="BE833" t="s">
        <v>132</v>
      </c>
      <c r="BH833" t="s">
        <v>11988</v>
      </c>
      <c r="BI833" t="s">
        <v>131</v>
      </c>
      <c r="BL833" t="s">
        <v>167</v>
      </c>
      <c r="BO833" t="s">
        <v>131</v>
      </c>
      <c r="BP833" t="s">
        <v>134</v>
      </c>
      <c r="BQ833" t="s">
        <v>131</v>
      </c>
      <c r="BS833" t="str">
        <f t="shared" ref="BS833:BS864" si="59">"N/A"</f>
        <v>N/A</v>
      </c>
      <c r="BT833" t="s">
        <v>131</v>
      </c>
      <c r="BV833" t="str">
        <f>""</f>
        <v/>
      </c>
      <c r="BW833" t="s">
        <v>131</v>
      </c>
      <c r="BX833" t="str">
        <f>""</f>
        <v/>
      </c>
      <c r="BY833" t="str">
        <f>""</f>
        <v/>
      </c>
      <c r="BZ833" t="str">
        <f>""</f>
        <v/>
      </c>
      <c r="CA833" t="str">
        <f>""</f>
        <v/>
      </c>
      <c r="CB833" t="s">
        <v>131</v>
      </c>
      <c r="CF833" t="s">
        <v>131</v>
      </c>
      <c r="CH833" t="str">
        <f>""</f>
        <v/>
      </c>
      <c r="CI833" t="s">
        <v>131</v>
      </c>
      <c r="CK833" t="s">
        <v>131</v>
      </c>
      <c r="CL833" t="str">
        <f>""</f>
        <v/>
      </c>
      <c r="CM833" t="str">
        <f>""</f>
        <v/>
      </c>
      <c r="CN833" t="str">
        <f>""</f>
        <v/>
      </c>
      <c r="CO833" t="str">
        <f>""</f>
        <v/>
      </c>
      <c r="CP833" t="str">
        <f>"35-9011.00"</f>
        <v>35-9011.00</v>
      </c>
      <c r="CQ833" t="s">
        <v>1016</v>
      </c>
      <c r="CR833" t="s">
        <v>392</v>
      </c>
      <c r="CS833" t="s">
        <v>131</v>
      </c>
      <c r="CU833" t="s">
        <v>13668</v>
      </c>
      <c r="CW833" t="s">
        <v>6251</v>
      </c>
      <c r="CX833" t="s">
        <v>195</v>
      </c>
      <c r="CZ833" s="3" t="str">
        <f>"34102"</f>
        <v>34102</v>
      </c>
      <c r="DA833" t="s">
        <v>131</v>
      </c>
      <c r="DB833" t="str">
        <f>"35-9011"</f>
        <v>35-9011</v>
      </c>
      <c r="DC833" t="s">
        <v>1016</v>
      </c>
      <c r="DD833" t="s">
        <v>134</v>
      </c>
      <c r="DE833" t="s">
        <v>134</v>
      </c>
      <c r="DF833" t="str">
        <f>""</f>
        <v/>
      </c>
      <c r="DH833" s="6">
        <v>11.41</v>
      </c>
      <c r="DI833" t="s">
        <v>344</v>
      </c>
      <c r="DK833" t="s">
        <v>345</v>
      </c>
      <c r="DR833" t="s">
        <v>5543</v>
      </c>
      <c r="DS833" s="6">
        <v>11.41</v>
      </c>
      <c r="DT833" t="s">
        <v>424</v>
      </c>
      <c r="DU833" s="1">
        <v>44369</v>
      </c>
      <c r="DV833" s="1">
        <v>44458</v>
      </c>
    </row>
    <row r="834" spans="1:126" ht="15" customHeight="1" x14ac:dyDescent="0.35">
      <c r="A834" t="s">
        <v>12027</v>
      </c>
      <c r="B834" t="s">
        <v>318</v>
      </c>
      <c r="C834" s="1">
        <v>44342</v>
      </c>
      <c r="D834" s="1">
        <v>44369</v>
      </c>
      <c r="H834" t="s">
        <v>319</v>
      </c>
      <c r="I834" t="s">
        <v>5341</v>
      </c>
      <c r="J834" t="s">
        <v>1274</v>
      </c>
      <c r="K834" t="s">
        <v>5342</v>
      </c>
      <c r="L834" t="s">
        <v>6404</v>
      </c>
      <c r="M834" t="s">
        <v>5343</v>
      </c>
      <c r="N834" t="s">
        <v>788</v>
      </c>
      <c r="O834" t="s">
        <v>1282</v>
      </c>
      <c r="P834" t="s">
        <v>178</v>
      </c>
      <c r="Q834" s="3">
        <v>91361</v>
      </c>
      <c r="R834" t="s">
        <v>128</v>
      </c>
      <c r="T834" s="4">
        <v>18052611393</v>
      </c>
      <c r="V834" t="s">
        <v>5344</v>
      </c>
      <c r="W834" t="s">
        <v>11479</v>
      </c>
      <c r="Y834" t="s">
        <v>8369</v>
      </c>
      <c r="AA834" t="s">
        <v>4408</v>
      </c>
      <c r="AB834" t="s">
        <v>195</v>
      </c>
      <c r="AC834" s="3" t="str">
        <f>"34114"</f>
        <v>34114</v>
      </c>
      <c r="AD834" t="s">
        <v>128</v>
      </c>
      <c r="AF834" s="4">
        <v>12397329400</v>
      </c>
      <c r="AH834" t="str">
        <f>"7139"</f>
        <v>7139</v>
      </c>
      <c r="AI834" t="s">
        <v>130</v>
      </c>
      <c r="AJ834" t="s">
        <v>5341</v>
      </c>
      <c r="AK834" t="s">
        <v>1274</v>
      </c>
      <c r="AL834" t="s">
        <v>5342</v>
      </c>
      <c r="AM834" t="s">
        <v>5343</v>
      </c>
      <c r="AN834" t="s">
        <v>788</v>
      </c>
      <c r="AO834" t="s">
        <v>1282</v>
      </c>
      <c r="AP834" t="s">
        <v>172</v>
      </c>
      <c r="AQ834" s="5">
        <v>91361</v>
      </c>
      <c r="AR834" t="s">
        <v>128</v>
      </c>
      <c r="AS834" t="s">
        <v>134</v>
      </c>
      <c r="AT834" s="4">
        <v>18052611393</v>
      </c>
      <c r="AV834" t="s">
        <v>5344</v>
      </c>
      <c r="AW834" t="s">
        <v>5345</v>
      </c>
      <c r="AX834" t="s">
        <v>131</v>
      </c>
      <c r="AY834" t="s">
        <v>131</v>
      </c>
      <c r="AZ834" t="s">
        <v>131</v>
      </c>
      <c r="BA834" t="s">
        <v>131</v>
      </c>
      <c r="BB834" t="s">
        <v>131</v>
      </c>
      <c r="BC834" t="s">
        <v>131</v>
      </c>
      <c r="BD834" t="s">
        <v>131</v>
      </c>
      <c r="BE834" t="s">
        <v>132</v>
      </c>
      <c r="BH834" t="s">
        <v>7224</v>
      </c>
      <c r="BI834" t="s">
        <v>131</v>
      </c>
      <c r="BL834" t="s">
        <v>167</v>
      </c>
      <c r="BO834" t="s">
        <v>131</v>
      </c>
      <c r="BP834" t="s">
        <v>134</v>
      </c>
      <c r="BQ834" t="s">
        <v>131</v>
      </c>
      <c r="BS834" t="str">
        <f t="shared" si="59"/>
        <v>N/A</v>
      </c>
      <c r="BT834" t="s">
        <v>135</v>
      </c>
      <c r="BU834">
        <v>6</v>
      </c>
      <c r="BV834" t="str">
        <f>"Waiter/Waitress in full-service fine dining restaurant"</f>
        <v>Waiter/Waitress in full-service fine dining restaurant</v>
      </c>
      <c r="BW834" t="s">
        <v>135</v>
      </c>
      <c r="BX834" t="str">
        <f>""</f>
        <v/>
      </c>
      <c r="BY834" t="str">
        <f>""</f>
        <v/>
      </c>
      <c r="BZ834" t="str">
        <f>""</f>
        <v/>
      </c>
      <c r="CA834" t="str">
        <f>"Must speak, read and write in English.  Must pass a pre-hire criminal background check and drug test."</f>
        <v>Must speak, read and write in English.  Must pass a pre-hire criminal background check and drug test.</v>
      </c>
      <c r="CB834" t="s">
        <v>131</v>
      </c>
      <c r="CF834" t="s">
        <v>131</v>
      </c>
      <c r="CH834" t="str">
        <f>""</f>
        <v/>
      </c>
      <c r="CI834" t="s">
        <v>131</v>
      </c>
      <c r="CK834" t="s">
        <v>131</v>
      </c>
      <c r="CL834" t="str">
        <f>""</f>
        <v/>
      </c>
      <c r="CM834" t="str">
        <f>""</f>
        <v/>
      </c>
      <c r="CN834" t="str">
        <f>""</f>
        <v/>
      </c>
      <c r="CO834" t="str">
        <f>""</f>
        <v/>
      </c>
      <c r="CP834" t="str">
        <f>"35-3031.00"</f>
        <v>35-3031.00</v>
      </c>
      <c r="CQ834" t="s">
        <v>1214</v>
      </c>
      <c r="CR834" t="s">
        <v>8370</v>
      </c>
      <c r="CS834" t="s">
        <v>131</v>
      </c>
      <c r="CU834" t="s">
        <v>11480</v>
      </c>
      <c r="CW834" t="s">
        <v>4408</v>
      </c>
      <c r="CX834" t="s">
        <v>195</v>
      </c>
      <c r="CZ834" s="3" t="str">
        <f>"34114"</f>
        <v>34114</v>
      </c>
      <c r="DA834" t="s">
        <v>135</v>
      </c>
      <c r="DB834" t="str">
        <f>"35-3031"</f>
        <v>35-3031</v>
      </c>
      <c r="DC834" t="s">
        <v>1214</v>
      </c>
      <c r="DD834" t="s">
        <v>134</v>
      </c>
      <c r="DE834" t="s">
        <v>134</v>
      </c>
      <c r="DF834" t="str">
        <f>""</f>
        <v/>
      </c>
      <c r="DH834" s="6">
        <v>15.48</v>
      </c>
      <c r="DI834" t="s">
        <v>344</v>
      </c>
      <c r="DK834" t="s">
        <v>345</v>
      </c>
      <c r="DS834" s="6">
        <v>15.48</v>
      </c>
      <c r="DT834" t="s">
        <v>424</v>
      </c>
      <c r="DU834" s="1">
        <v>44369</v>
      </c>
      <c r="DV834" s="1">
        <v>44458</v>
      </c>
    </row>
    <row r="835" spans="1:126" ht="15" customHeight="1" x14ac:dyDescent="0.35">
      <c r="A835" t="s">
        <v>11478</v>
      </c>
      <c r="B835" t="s">
        <v>318</v>
      </c>
      <c r="C835" s="1">
        <v>44342</v>
      </c>
      <c r="D835" s="1">
        <v>44369</v>
      </c>
      <c r="H835" t="s">
        <v>319</v>
      </c>
      <c r="I835" t="s">
        <v>5341</v>
      </c>
      <c r="J835" t="s">
        <v>1274</v>
      </c>
      <c r="K835" t="s">
        <v>5342</v>
      </c>
      <c r="L835" t="s">
        <v>6404</v>
      </c>
      <c r="M835" t="s">
        <v>5343</v>
      </c>
      <c r="N835" t="s">
        <v>788</v>
      </c>
      <c r="O835" t="s">
        <v>1282</v>
      </c>
      <c r="P835" t="s">
        <v>178</v>
      </c>
      <c r="Q835" s="3">
        <v>91361</v>
      </c>
      <c r="R835" t="s">
        <v>128</v>
      </c>
      <c r="T835" s="4">
        <v>18052611393</v>
      </c>
      <c r="V835" t="s">
        <v>5344</v>
      </c>
      <c r="W835" t="s">
        <v>11479</v>
      </c>
      <c r="Y835" t="s">
        <v>8369</v>
      </c>
      <c r="AA835" t="s">
        <v>4408</v>
      </c>
      <c r="AB835" t="s">
        <v>195</v>
      </c>
      <c r="AC835" s="3" t="str">
        <f>"34114"</f>
        <v>34114</v>
      </c>
      <c r="AD835" t="s">
        <v>128</v>
      </c>
      <c r="AF835" s="4">
        <v>12397329400</v>
      </c>
      <c r="AH835" t="str">
        <f>"7139"</f>
        <v>7139</v>
      </c>
      <c r="AI835" t="s">
        <v>130</v>
      </c>
      <c r="AJ835" t="s">
        <v>5341</v>
      </c>
      <c r="AK835" t="s">
        <v>1274</v>
      </c>
      <c r="AL835" t="s">
        <v>5342</v>
      </c>
      <c r="AM835" t="s">
        <v>5343</v>
      </c>
      <c r="AN835" t="s">
        <v>788</v>
      </c>
      <c r="AO835" t="s">
        <v>1282</v>
      </c>
      <c r="AP835" t="s">
        <v>172</v>
      </c>
      <c r="AQ835" s="5">
        <v>91361</v>
      </c>
      <c r="AR835" t="s">
        <v>128</v>
      </c>
      <c r="AS835" t="s">
        <v>134</v>
      </c>
      <c r="AT835" s="4">
        <v>18052611393</v>
      </c>
      <c r="AV835" t="s">
        <v>5344</v>
      </c>
      <c r="AW835" t="s">
        <v>5345</v>
      </c>
      <c r="AX835" t="s">
        <v>131</v>
      </c>
      <c r="AY835" t="s">
        <v>131</v>
      </c>
      <c r="AZ835" t="s">
        <v>131</v>
      </c>
      <c r="BA835" t="s">
        <v>131</v>
      </c>
      <c r="BB835" t="s">
        <v>131</v>
      </c>
      <c r="BC835" t="s">
        <v>131</v>
      </c>
      <c r="BD835" t="s">
        <v>131</v>
      </c>
      <c r="BE835" t="s">
        <v>132</v>
      </c>
      <c r="BH835" t="s">
        <v>4816</v>
      </c>
      <c r="BI835" t="s">
        <v>131</v>
      </c>
      <c r="BL835" t="s">
        <v>167</v>
      </c>
      <c r="BO835" t="s">
        <v>131</v>
      </c>
      <c r="BP835" t="s">
        <v>134</v>
      </c>
      <c r="BQ835" t="s">
        <v>131</v>
      </c>
      <c r="BS835" t="str">
        <f t="shared" si="59"/>
        <v>N/A</v>
      </c>
      <c r="BT835" t="s">
        <v>135</v>
      </c>
      <c r="BU835">
        <v>12</v>
      </c>
      <c r="BV835" t="str">
        <f>"Cook in full-service fine dining restaurant"</f>
        <v>Cook in full-service fine dining restaurant</v>
      </c>
      <c r="BW835" t="s">
        <v>135</v>
      </c>
      <c r="BX835" t="str">
        <f>""</f>
        <v/>
      </c>
      <c r="BY835" t="str">
        <f>""</f>
        <v/>
      </c>
      <c r="BZ835" t="str">
        <f>""</f>
        <v/>
      </c>
      <c r="CA835" t="str">
        <f>"Must speak, read and write in English.  Must pass a pre-hire criminal background check and drug test."</f>
        <v>Must speak, read and write in English.  Must pass a pre-hire criminal background check and drug test.</v>
      </c>
      <c r="CB835" t="s">
        <v>131</v>
      </c>
      <c r="CF835" t="s">
        <v>131</v>
      </c>
      <c r="CH835" t="str">
        <f>""</f>
        <v/>
      </c>
      <c r="CI835" t="s">
        <v>131</v>
      </c>
      <c r="CK835" t="s">
        <v>131</v>
      </c>
      <c r="CL835" t="str">
        <f>""</f>
        <v/>
      </c>
      <c r="CM835" t="str">
        <f>""</f>
        <v/>
      </c>
      <c r="CN835" t="str">
        <f>""</f>
        <v/>
      </c>
      <c r="CO835" t="str">
        <f>""</f>
        <v/>
      </c>
      <c r="CP835" t="str">
        <f>"35-2014.00"</f>
        <v>35-2014.00</v>
      </c>
      <c r="CQ835" t="s">
        <v>581</v>
      </c>
      <c r="CR835" t="s">
        <v>11246</v>
      </c>
      <c r="CS835" t="s">
        <v>131</v>
      </c>
      <c r="CU835" t="s">
        <v>11480</v>
      </c>
      <c r="CW835" t="s">
        <v>4408</v>
      </c>
      <c r="CX835" t="s">
        <v>195</v>
      </c>
      <c r="CZ835" s="3" t="str">
        <f>"34114"</f>
        <v>34114</v>
      </c>
      <c r="DA835" t="s">
        <v>135</v>
      </c>
      <c r="DB835" t="str">
        <f>"35-2014"</f>
        <v>35-2014</v>
      </c>
      <c r="DC835" t="s">
        <v>581</v>
      </c>
      <c r="DD835" t="s">
        <v>134</v>
      </c>
      <c r="DE835" t="s">
        <v>134</v>
      </c>
      <c r="DF835" t="str">
        <f>""</f>
        <v/>
      </c>
      <c r="DH835" s="6">
        <v>15.46</v>
      </c>
      <c r="DI835" t="s">
        <v>344</v>
      </c>
      <c r="DK835" t="s">
        <v>345</v>
      </c>
      <c r="DS835" s="6">
        <v>15.46</v>
      </c>
      <c r="DT835" t="s">
        <v>424</v>
      </c>
      <c r="DU835" s="1">
        <v>44369</v>
      </c>
      <c r="DV835" s="1">
        <v>44458</v>
      </c>
    </row>
    <row r="836" spans="1:126" ht="15" customHeight="1" x14ac:dyDescent="0.35">
      <c r="A836" t="s">
        <v>8367</v>
      </c>
      <c r="B836" t="s">
        <v>318</v>
      </c>
      <c r="C836" s="1">
        <v>44342</v>
      </c>
      <c r="D836" s="1">
        <v>44369</v>
      </c>
      <c r="H836" t="s">
        <v>319</v>
      </c>
      <c r="I836" t="s">
        <v>5341</v>
      </c>
      <c r="J836" t="s">
        <v>1274</v>
      </c>
      <c r="K836" t="s">
        <v>5342</v>
      </c>
      <c r="L836" t="s">
        <v>6404</v>
      </c>
      <c r="M836" t="s">
        <v>5343</v>
      </c>
      <c r="N836" t="s">
        <v>788</v>
      </c>
      <c r="O836" t="s">
        <v>1282</v>
      </c>
      <c r="P836" t="s">
        <v>178</v>
      </c>
      <c r="Q836" s="3">
        <v>91361</v>
      </c>
      <c r="R836" t="s">
        <v>128</v>
      </c>
      <c r="T836" s="4">
        <v>18052611393</v>
      </c>
      <c r="V836" t="s">
        <v>5344</v>
      </c>
      <c r="W836" t="s">
        <v>8368</v>
      </c>
      <c r="Y836" t="s">
        <v>8369</v>
      </c>
      <c r="AA836" t="s">
        <v>4408</v>
      </c>
      <c r="AB836" t="s">
        <v>195</v>
      </c>
      <c r="AC836" s="3" t="str">
        <f>"34114"</f>
        <v>34114</v>
      </c>
      <c r="AD836" t="s">
        <v>128</v>
      </c>
      <c r="AF836" s="4">
        <v>12395302801</v>
      </c>
      <c r="AG836">
        <v>0</v>
      </c>
      <c r="AH836" t="str">
        <f>"72111"</f>
        <v>72111</v>
      </c>
      <c r="AI836" t="s">
        <v>130</v>
      </c>
      <c r="AJ836" t="s">
        <v>5341</v>
      </c>
      <c r="AK836" t="s">
        <v>1274</v>
      </c>
      <c r="AL836" t="s">
        <v>5342</v>
      </c>
      <c r="AM836" t="s">
        <v>5343</v>
      </c>
      <c r="AN836" t="s">
        <v>788</v>
      </c>
      <c r="AO836" t="s">
        <v>1282</v>
      </c>
      <c r="AP836" t="s">
        <v>172</v>
      </c>
      <c r="AQ836" s="5">
        <v>91361</v>
      </c>
      <c r="AR836" t="s">
        <v>128</v>
      </c>
      <c r="AS836" t="s">
        <v>134</v>
      </c>
      <c r="AT836" s="4">
        <v>18052611393</v>
      </c>
      <c r="AV836" t="s">
        <v>5344</v>
      </c>
      <c r="AW836" t="s">
        <v>5345</v>
      </c>
      <c r="AX836" t="s">
        <v>131</v>
      </c>
      <c r="AY836" t="s">
        <v>131</v>
      </c>
      <c r="AZ836" t="s">
        <v>131</v>
      </c>
      <c r="BA836" t="s">
        <v>131</v>
      </c>
      <c r="BB836" t="s">
        <v>131</v>
      </c>
      <c r="BC836" t="s">
        <v>131</v>
      </c>
      <c r="BD836" t="s">
        <v>131</v>
      </c>
      <c r="BE836" t="s">
        <v>132</v>
      </c>
      <c r="BH836" t="s">
        <v>7224</v>
      </c>
      <c r="BI836" t="s">
        <v>131</v>
      </c>
      <c r="BL836" t="s">
        <v>167</v>
      </c>
      <c r="BO836" t="s">
        <v>131</v>
      </c>
      <c r="BP836" t="s">
        <v>134</v>
      </c>
      <c r="BQ836" t="s">
        <v>131</v>
      </c>
      <c r="BS836" t="str">
        <f t="shared" si="59"/>
        <v>N/A</v>
      </c>
      <c r="BT836" t="s">
        <v>135</v>
      </c>
      <c r="BU836">
        <v>6</v>
      </c>
      <c r="BV836" t="str">
        <f>"Waiter/Waitress in full-service fine dining restaurant"</f>
        <v>Waiter/Waitress in full-service fine dining restaurant</v>
      </c>
      <c r="BW836" t="s">
        <v>135</v>
      </c>
      <c r="BX836" t="str">
        <f>""</f>
        <v/>
      </c>
      <c r="BY836" t="str">
        <f>""</f>
        <v/>
      </c>
      <c r="BZ836" t="str">
        <f>""</f>
        <v/>
      </c>
      <c r="CA836" t="str">
        <f>"Must speak, read and write in English.  Must pass a pre-hire criminal background check and drug test."</f>
        <v>Must speak, read and write in English.  Must pass a pre-hire criminal background check and drug test.</v>
      </c>
      <c r="CB836" t="s">
        <v>131</v>
      </c>
      <c r="CF836" t="s">
        <v>131</v>
      </c>
      <c r="CH836" t="str">
        <f>""</f>
        <v/>
      </c>
      <c r="CI836" t="s">
        <v>131</v>
      </c>
      <c r="CK836" t="s">
        <v>131</v>
      </c>
      <c r="CL836" t="str">
        <f>""</f>
        <v/>
      </c>
      <c r="CM836" t="str">
        <f>""</f>
        <v/>
      </c>
      <c r="CN836" t="str">
        <f>""</f>
        <v/>
      </c>
      <c r="CO836" t="str">
        <f>""</f>
        <v/>
      </c>
      <c r="CP836" t="str">
        <f>"35-3031.00"</f>
        <v>35-3031.00</v>
      </c>
      <c r="CQ836" t="s">
        <v>1214</v>
      </c>
      <c r="CR836" t="s">
        <v>8370</v>
      </c>
      <c r="CS836" t="s">
        <v>131</v>
      </c>
      <c r="CU836" t="s">
        <v>8371</v>
      </c>
      <c r="CW836" t="s">
        <v>5523</v>
      </c>
      <c r="CX836" t="s">
        <v>195</v>
      </c>
      <c r="CZ836" s="3" t="str">
        <f>"34145"</f>
        <v>34145</v>
      </c>
      <c r="DA836" t="s">
        <v>135</v>
      </c>
      <c r="DB836" t="str">
        <f>"35-3031"</f>
        <v>35-3031</v>
      </c>
      <c r="DC836" t="s">
        <v>1214</v>
      </c>
      <c r="DD836" t="s">
        <v>134</v>
      </c>
      <c r="DE836" t="s">
        <v>134</v>
      </c>
      <c r="DF836" t="str">
        <f>""</f>
        <v/>
      </c>
      <c r="DH836" s="6">
        <v>15.48</v>
      </c>
      <c r="DI836" t="s">
        <v>344</v>
      </c>
      <c r="DK836" t="s">
        <v>345</v>
      </c>
      <c r="DS836" s="6">
        <v>15.48</v>
      </c>
      <c r="DT836" t="s">
        <v>424</v>
      </c>
      <c r="DU836" s="1">
        <v>44369</v>
      </c>
      <c r="DV836" s="1">
        <v>44458</v>
      </c>
    </row>
    <row r="837" spans="1:126" ht="15" customHeight="1" x14ac:dyDescent="0.35">
      <c r="A837" t="s">
        <v>19068</v>
      </c>
      <c r="B837" t="s">
        <v>318</v>
      </c>
      <c r="C837" s="1">
        <v>44342</v>
      </c>
      <c r="D837" s="1">
        <v>44369</v>
      </c>
      <c r="H837" t="s">
        <v>319</v>
      </c>
      <c r="I837" t="s">
        <v>5341</v>
      </c>
      <c r="J837" t="s">
        <v>1274</v>
      </c>
      <c r="K837" t="s">
        <v>5342</v>
      </c>
      <c r="L837" t="s">
        <v>6404</v>
      </c>
      <c r="M837" t="s">
        <v>5343</v>
      </c>
      <c r="N837" t="s">
        <v>788</v>
      </c>
      <c r="O837" t="s">
        <v>1282</v>
      </c>
      <c r="P837" t="s">
        <v>178</v>
      </c>
      <c r="Q837" s="3">
        <v>91361</v>
      </c>
      <c r="R837" t="s">
        <v>128</v>
      </c>
      <c r="T837" s="4">
        <v>12402827231</v>
      </c>
      <c r="V837" t="s">
        <v>5344</v>
      </c>
      <c r="W837" t="s">
        <v>8368</v>
      </c>
      <c r="Y837" t="s">
        <v>19069</v>
      </c>
      <c r="AA837" t="s">
        <v>4408</v>
      </c>
      <c r="AB837" t="s">
        <v>195</v>
      </c>
      <c r="AC837" s="3" t="str">
        <f>"34114"</f>
        <v>34114</v>
      </c>
      <c r="AD837" t="s">
        <v>128</v>
      </c>
      <c r="AF837" s="4">
        <v>12395302801</v>
      </c>
      <c r="AG837">
        <v>0</v>
      </c>
      <c r="AH837" t="str">
        <f>"72111"</f>
        <v>72111</v>
      </c>
      <c r="AI837" t="s">
        <v>130</v>
      </c>
      <c r="AJ837" t="s">
        <v>5341</v>
      </c>
      <c r="AK837" t="s">
        <v>1274</v>
      </c>
      <c r="AL837" t="s">
        <v>5342</v>
      </c>
      <c r="AM837" t="s">
        <v>5343</v>
      </c>
      <c r="AN837" t="s">
        <v>788</v>
      </c>
      <c r="AO837" t="s">
        <v>1282</v>
      </c>
      <c r="AP837" t="s">
        <v>172</v>
      </c>
      <c r="AQ837" s="5">
        <v>91361</v>
      </c>
      <c r="AR837" t="s">
        <v>128</v>
      </c>
      <c r="AS837" t="s">
        <v>134</v>
      </c>
      <c r="AT837" s="4">
        <v>18052611393</v>
      </c>
      <c r="AV837" t="s">
        <v>5344</v>
      </c>
      <c r="AW837" t="s">
        <v>5345</v>
      </c>
      <c r="AX837" t="s">
        <v>131</v>
      </c>
      <c r="AY837" t="s">
        <v>131</v>
      </c>
      <c r="AZ837" t="s">
        <v>131</v>
      </c>
      <c r="BA837" t="s">
        <v>131</v>
      </c>
      <c r="BB837" t="s">
        <v>131</v>
      </c>
      <c r="BC837" t="s">
        <v>131</v>
      </c>
      <c r="BD837" t="s">
        <v>131</v>
      </c>
      <c r="BE837" t="s">
        <v>132</v>
      </c>
      <c r="BH837" t="s">
        <v>1080</v>
      </c>
      <c r="BI837" t="s">
        <v>131</v>
      </c>
      <c r="BL837" t="s">
        <v>167</v>
      </c>
      <c r="BO837" t="s">
        <v>131</v>
      </c>
      <c r="BP837" t="s">
        <v>134</v>
      </c>
      <c r="BQ837" t="s">
        <v>131</v>
      </c>
      <c r="BS837" t="str">
        <f t="shared" si="59"/>
        <v>N/A</v>
      </c>
      <c r="BT837" t="s">
        <v>135</v>
      </c>
      <c r="BU837">
        <v>12</v>
      </c>
      <c r="BV837" t="str">
        <f>"Cook in full-service fine dining restaurant"</f>
        <v>Cook in full-service fine dining restaurant</v>
      </c>
      <c r="BW837" t="s">
        <v>135</v>
      </c>
      <c r="BX837" t="str">
        <f>""</f>
        <v/>
      </c>
      <c r="BY837" t="str">
        <f>""</f>
        <v/>
      </c>
      <c r="BZ837" t="str">
        <f>""</f>
        <v/>
      </c>
      <c r="CA837" t="str">
        <f>"Must speak, read and write in English.  Must pass a pre-hire criminal background check and drug test."</f>
        <v>Must speak, read and write in English.  Must pass a pre-hire criminal background check and drug test.</v>
      </c>
      <c r="CB837" t="s">
        <v>131</v>
      </c>
      <c r="CF837" t="s">
        <v>131</v>
      </c>
      <c r="CH837" t="str">
        <f>""</f>
        <v/>
      </c>
      <c r="CI837" t="s">
        <v>131</v>
      </c>
      <c r="CK837" t="s">
        <v>131</v>
      </c>
      <c r="CL837" t="str">
        <f>""</f>
        <v/>
      </c>
      <c r="CM837" t="str">
        <f>""</f>
        <v/>
      </c>
      <c r="CN837" t="str">
        <f>""</f>
        <v/>
      </c>
      <c r="CO837" t="str">
        <f>""</f>
        <v/>
      </c>
      <c r="CP837" t="str">
        <f>"35-2014.00"</f>
        <v>35-2014.00</v>
      </c>
      <c r="CQ837" t="s">
        <v>581</v>
      </c>
      <c r="CR837" t="s">
        <v>11246</v>
      </c>
      <c r="CS837" t="s">
        <v>131</v>
      </c>
      <c r="CU837" t="s">
        <v>8371</v>
      </c>
      <c r="CW837" t="s">
        <v>5523</v>
      </c>
      <c r="CX837" t="s">
        <v>195</v>
      </c>
      <c r="CZ837" s="3" t="str">
        <f>"34145"</f>
        <v>34145</v>
      </c>
      <c r="DA837" t="s">
        <v>135</v>
      </c>
      <c r="DB837" t="str">
        <f>"35-2014"</f>
        <v>35-2014</v>
      </c>
      <c r="DC837" t="s">
        <v>581</v>
      </c>
      <c r="DD837" t="s">
        <v>134</v>
      </c>
      <c r="DE837" t="s">
        <v>134</v>
      </c>
      <c r="DF837" t="str">
        <f>""</f>
        <v/>
      </c>
      <c r="DH837" s="6">
        <v>15.46</v>
      </c>
      <c r="DI837" t="s">
        <v>344</v>
      </c>
      <c r="DK837" t="s">
        <v>345</v>
      </c>
      <c r="DS837" s="6">
        <v>15.46</v>
      </c>
      <c r="DT837" t="s">
        <v>424</v>
      </c>
      <c r="DU837" s="1">
        <v>44369</v>
      </c>
      <c r="DV837" s="1">
        <v>44458</v>
      </c>
    </row>
    <row r="838" spans="1:126" ht="15" customHeight="1" x14ac:dyDescent="0.35">
      <c r="A838" t="s">
        <v>17723</v>
      </c>
      <c r="B838" t="s">
        <v>318</v>
      </c>
      <c r="C838" s="1">
        <v>44342</v>
      </c>
      <c r="D838" s="1">
        <v>44369</v>
      </c>
      <c r="H838" t="s">
        <v>319</v>
      </c>
      <c r="I838" t="s">
        <v>9587</v>
      </c>
      <c r="J838" t="s">
        <v>2362</v>
      </c>
      <c r="L838" t="s">
        <v>5110</v>
      </c>
      <c r="M838" t="s">
        <v>9588</v>
      </c>
      <c r="O838" t="s">
        <v>647</v>
      </c>
      <c r="P838" t="s">
        <v>1675</v>
      </c>
      <c r="Q838" s="3">
        <v>68025</v>
      </c>
      <c r="R838" t="s">
        <v>128</v>
      </c>
      <c r="T838" s="4">
        <v>16613093173</v>
      </c>
      <c r="V838" t="s">
        <v>9589</v>
      </c>
      <c r="W838" t="s">
        <v>9590</v>
      </c>
      <c r="Y838" t="s">
        <v>9588</v>
      </c>
      <c r="AA838" t="s">
        <v>647</v>
      </c>
      <c r="AB838" t="s">
        <v>1176</v>
      </c>
      <c r="AC838" s="3" t="str">
        <f>"68025"</f>
        <v>68025</v>
      </c>
      <c r="AD838" t="s">
        <v>128</v>
      </c>
      <c r="AF838" s="4">
        <v>14026490223</v>
      </c>
      <c r="AH838" t="str">
        <f>"236220"</f>
        <v>236220</v>
      </c>
      <c r="AI838" t="s">
        <v>130</v>
      </c>
      <c r="AJ838" t="s">
        <v>4018</v>
      </c>
      <c r="AK838" t="s">
        <v>2069</v>
      </c>
      <c r="AM838" t="s">
        <v>4019</v>
      </c>
      <c r="AO838" t="s">
        <v>1040</v>
      </c>
      <c r="AP838" t="s">
        <v>400</v>
      </c>
      <c r="AQ838" s="5">
        <v>78737</v>
      </c>
      <c r="AR838" t="s">
        <v>128</v>
      </c>
      <c r="AT838" s="4">
        <v>15128942128</v>
      </c>
      <c r="AV838" t="s">
        <v>4020</v>
      </c>
      <c r="AW838" t="s">
        <v>4021</v>
      </c>
      <c r="AX838" t="s">
        <v>131</v>
      </c>
      <c r="AY838" t="s">
        <v>131</v>
      </c>
      <c r="AZ838" t="s">
        <v>131</v>
      </c>
      <c r="BA838" t="s">
        <v>131</v>
      </c>
      <c r="BB838" t="s">
        <v>131</v>
      </c>
      <c r="BC838" t="s">
        <v>131</v>
      </c>
      <c r="BD838" t="s">
        <v>131</v>
      </c>
      <c r="BE838" t="s">
        <v>132</v>
      </c>
      <c r="BH838" t="s">
        <v>9591</v>
      </c>
      <c r="BI838" t="s">
        <v>131</v>
      </c>
      <c r="BL838" t="s">
        <v>167</v>
      </c>
      <c r="BO838" t="s">
        <v>131</v>
      </c>
      <c r="BP838" t="s">
        <v>134</v>
      </c>
      <c r="BQ838" t="s">
        <v>131</v>
      </c>
      <c r="BS838" t="str">
        <f t="shared" si="59"/>
        <v>N/A</v>
      </c>
      <c r="BT838" t="s">
        <v>131</v>
      </c>
      <c r="BV838" t="str">
        <f>""</f>
        <v/>
      </c>
      <c r="BW838" t="s">
        <v>135</v>
      </c>
      <c r="BX838" t="str">
        <f>""</f>
        <v/>
      </c>
      <c r="BY838" t="str">
        <f>""</f>
        <v/>
      </c>
      <c r="BZ838" t="str">
        <f>""</f>
        <v/>
      </c>
      <c r="CA838" t="s">
        <v>9592</v>
      </c>
      <c r="CB838" t="s">
        <v>131</v>
      </c>
      <c r="CF838" t="s">
        <v>131</v>
      </c>
      <c r="CH838" t="str">
        <f>""</f>
        <v/>
      </c>
      <c r="CI838" t="s">
        <v>131</v>
      </c>
      <c r="CK838" t="s">
        <v>131</v>
      </c>
      <c r="CL838" t="str">
        <f>""</f>
        <v/>
      </c>
      <c r="CM838" t="str">
        <f>""</f>
        <v/>
      </c>
      <c r="CN838" t="str">
        <f>""</f>
        <v/>
      </c>
      <c r="CO838" t="str">
        <f>""</f>
        <v/>
      </c>
      <c r="CP838" t="str">
        <f>"49-9098.00"</f>
        <v>49-9098.00</v>
      </c>
      <c r="CQ838" t="s">
        <v>1503</v>
      </c>
      <c r="CR838" t="s">
        <v>5117</v>
      </c>
      <c r="CS838" t="s">
        <v>135</v>
      </c>
      <c r="CT838" t="s">
        <v>9593</v>
      </c>
      <c r="CU838" t="s">
        <v>17724</v>
      </c>
      <c r="CW838" t="s">
        <v>17725</v>
      </c>
      <c r="CX838" t="s">
        <v>1176</v>
      </c>
      <c r="CZ838" s="3" t="str">
        <f>"68341"</f>
        <v>68341</v>
      </c>
      <c r="DA838" t="s">
        <v>135</v>
      </c>
      <c r="DB838" t="str">
        <f>"49-9098"</f>
        <v>49-9098</v>
      </c>
      <c r="DC838" t="s">
        <v>1503</v>
      </c>
      <c r="DD838" t="s">
        <v>134</v>
      </c>
      <c r="DE838" t="s">
        <v>134</v>
      </c>
      <c r="DF838" t="str">
        <f>""</f>
        <v/>
      </c>
      <c r="DH838" s="6">
        <v>13.75</v>
      </c>
      <c r="DI838" t="s">
        <v>344</v>
      </c>
      <c r="DK838" t="s">
        <v>345</v>
      </c>
      <c r="DS838" s="6">
        <v>13.75</v>
      </c>
      <c r="DT838" t="s">
        <v>424</v>
      </c>
      <c r="DU838" s="1">
        <v>44369</v>
      </c>
      <c r="DV838" s="1">
        <v>44458</v>
      </c>
    </row>
    <row r="839" spans="1:126" ht="15" customHeight="1" x14ac:dyDescent="0.35">
      <c r="A839" t="s">
        <v>17292</v>
      </c>
      <c r="B839" t="s">
        <v>318</v>
      </c>
      <c r="C839" s="1">
        <v>44342</v>
      </c>
      <c r="D839" s="1">
        <v>44369</v>
      </c>
      <c r="H839" t="s">
        <v>319</v>
      </c>
      <c r="I839" t="s">
        <v>9587</v>
      </c>
      <c r="J839" t="s">
        <v>2362</v>
      </c>
      <c r="L839" t="s">
        <v>5110</v>
      </c>
      <c r="M839" t="s">
        <v>9588</v>
      </c>
      <c r="O839" t="s">
        <v>647</v>
      </c>
      <c r="P839" t="s">
        <v>1675</v>
      </c>
      <c r="Q839" s="3">
        <v>68025</v>
      </c>
      <c r="R839" t="s">
        <v>128</v>
      </c>
      <c r="T839" s="4">
        <v>16613093173</v>
      </c>
      <c r="V839" t="s">
        <v>9589</v>
      </c>
      <c r="W839" t="s">
        <v>9590</v>
      </c>
      <c r="Y839" t="s">
        <v>9588</v>
      </c>
      <c r="AA839" t="s">
        <v>647</v>
      </c>
      <c r="AB839" t="s">
        <v>1176</v>
      </c>
      <c r="AC839" s="3" t="str">
        <f>"68025"</f>
        <v>68025</v>
      </c>
      <c r="AD839" t="s">
        <v>128</v>
      </c>
      <c r="AF839" s="4">
        <v>14026490223</v>
      </c>
      <c r="AH839" t="str">
        <f>"236220"</f>
        <v>236220</v>
      </c>
      <c r="AI839" t="s">
        <v>130</v>
      </c>
      <c r="AJ839" t="s">
        <v>4018</v>
      </c>
      <c r="AK839" t="s">
        <v>2069</v>
      </c>
      <c r="AM839" t="s">
        <v>4019</v>
      </c>
      <c r="AO839" t="s">
        <v>1040</v>
      </c>
      <c r="AP839" t="s">
        <v>400</v>
      </c>
      <c r="AQ839" s="5">
        <v>78737</v>
      </c>
      <c r="AR839" t="s">
        <v>128</v>
      </c>
      <c r="AT839" s="4">
        <v>15128942128</v>
      </c>
      <c r="AV839" t="s">
        <v>4020</v>
      </c>
      <c r="AW839" t="s">
        <v>4021</v>
      </c>
      <c r="AX839" t="s">
        <v>131</v>
      </c>
      <c r="AY839" t="s">
        <v>131</v>
      </c>
      <c r="AZ839" t="s">
        <v>131</v>
      </c>
      <c r="BA839" t="s">
        <v>131</v>
      </c>
      <c r="BB839" t="s">
        <v>131</v>
      </c>
      <c r="BC839" t="s">
        <v>131</v>
      </c>
      <c r="BD839" t="s">
        <v>131</v>
      </c>
      <c r="BE839" t="s">
        <v>132</v>
      </c>
      <c r="BH839" t="s">
        <v>9591</v>
      </c>
      <c r="BI839" t="s">
        <v>131</v>
      </c>
      <c r="BL839" t="s">
        <v>167</v>
      </c>
      <c r="BO839" t="s">
        <v>131</v>
      </c>
      <c r="BP839" t="s">
        <v>134</v>
      </c>
      <c r="BQ839" t="s">
        <v>131</v>
      </c>
      <c r="BS839" t="str">
        <f t="shared" si="59"/>
        <v>N/A</v>
      </c>
      <c r="BT839" t="s">
        <v>131</v>
      </c>
      <c r="BV839" t="str">
        <f>""</f>
        <v/>
      </c>
      <c r="BW839" t="s">
        <v>135</v>
      </c>
      <c r="BX839" t="str">
        <f>""</f>
        <v/>
      </c>
      <c r="BY839" t="str">
        <f>""</f>
        <v/>
      </c>
      <c r="BZ839" t="str">
        <f>""</f>
        <v/>
      </c>
      <c r="CA839" t="s">
        <v>9592</v>
      </c>
      <c r="CB839" t="s">
        <v>131</v>
      </c>
      <c r="CF839" t="s">
        <v>131</v>
      </c>
      <c r="CH839" t="str">
        <f>""</f>
        <v/>
      </c>
      <c r="CI839" t="s">
        <v>131</v>
      </c>
      <c r="CK839" t="s">
        <v>131</v>
      </c>
      <c r="CL839" t="str">
        <f>""</f>
        <v/>
      </c>
      <c r="CM839" t="str">
        <f>""</f>
        <v/>
      </c>
      <c r="CN839" t="str">
        <f>""</f>
        <v/>
      </c>
      <c r="CO839" t="str">
        <f>""</f>
        <v/>
      </c>
      <c r="CP839" t="str">
        <f>"49-9098.00"</f>
        <v>49-9098.00</v>
      </c>
      <c r="CQ839" t="s">
        <v>1503</v>
      </c>
      <c r="CR839" t="s">
        <v>5117</v>
      </c>
      <c r="CS839" t="s">
        <v>135</v>
      </c>
      <c r="CT839" t="s">
        <v>17293</v>
      </c>
      <c r="CU839" t="s">
        <v>17294</v>
      </c>
      <c r="CW839" t="s">
        <v>17295</v>
      </c>
      <c r="CX839" t="s">
        <v>1176</v>
      </c>
      <c r="CZ839" s="3" t="str">
        <f>"68641"</f>
        <v>68641</v>
      </c>
      <c r="DA839" t="s">
        <v>135</v>
      </c>
      <c r="DB839" t="str">
        <f>"49-9098"</f>
        <v>49-9098</v>
      </c>
      <c r="DC839" t="s">
        <v>1503</v>
      </c>
      <c r="DD839" t="s">
        <v>134</v>
      </c>
      <c r="DE839" t="s">
        <v>134</v>
      </c>
      <c r="DF839" t="str">
        <f>""</f>
        <v/>
      </c>
      <c r="DH839" s="6">
        <v>13.19</v>
      </c>
      <c r="DI839" t="s">
        <v>344</v>
      </c>
      <c r="DK839" t="s">
        <v>345</v>
      </c>
      <c r="DS839" s="6">
        <v>13.75</v>
      </c>
      <c r="DT839" s="2" t="s">
        <v>347</v>
      </c>
      <c r="DU839" s="1">
        <v>44369</v>
      </c>
      <c r="DV839" s="1">
        <v>44458</v>
      </c>
    </row>
    <row r="840" spans="1:126" ht="15" customHeight="1" x14ac:dyDescent="0.35">
      <c r="A840" t="s">
        <v>9600</v>
      </c>
      <c r="B840" t="s">
        <v>318</v>
      </c>
      <c r="C840" s="1">
        <v>44342</v>
      </c>
      <c r="D840" s="1">
        <v>44369</v>
      </c>
      <c r="H840" t="s">
        <v>319</v>
      </c>
      <c r="I840" t="s">
        <v>2541</v>
      </c>
      <c r="J840" t="s">
        <v>3519</v>
      </c>
      <c r="L840" t="s">
        <v>395</v>
      </c>
      <c r="M840" t="s">
        <v>9601</v>
      </c>
      <c r="O840" t="s">
        <v>2688</v>
      </c>
      <c r="P840" t="s">
        <v>602</v>
      </c>
      <c r="Q840" s="3">
        <v>57201</v>
      </c>
      <c r="R840" t="s">
        <v>128</v>
      </c>
      <c r="T840" s="4">
        <v>16057535022</v>
      </c>
      <c r="V840" t="s">
        <v>9602</v>
      </c>
      <c r="W840" t="s">
        <v>9603</v>
      </c>
      <c r="Y840" t="s">
        <v>9601</v>
      </c>
      <c r="AA840" t="s">
        <v>2688</v>
      </c>
      <c r="AB840" t="s">
        <v>603</v>
      </c>
      <c r="AC840" s="3" t="str">
        <f>"57201"</f>
        <v>57201</v>
      </c>
      <c r="AD840" t="s">
        <v>128</v>
      </c>
      <c r="AF840" s="4">
        <v>16057535022</v>
      </c>
      <c r="AH840" t="str">
        <f>"336214"</f>
        <v>336214</v>
      </c>
      <c r="AI840" t="s">
        <v>130</v>
      </c>
      <c r="AJ840" t="s">
        <v>4018</v>
      </c>
      <c r="AK840" t="s">
        <v>2069</v>
      </c>
      <c r="AM840" t="s">
        <v>4019</v>
      </c>
      <c r="AO840" t="s">
        <v>1040</v>
      </c>
      <c r="AP840" t="s">
        <v>400</v>
      </c>
      <c r="AQ840" s="5">
        <v>78737</v>
      </c>
      <c r="AR840" t="s">
        <v>128</v>
      </c>
      <c r="AT840" s="4">
        <v>15128942128</v>
      </c>
      <c r="AV840" t="s">
        <v>4020</v>
      </c>
      <c r="AW840" t="s">
        <v>4021</v>
      </c>
      <c r="AX840" t="s">
        <v>131</v>
      </c>
      <c r="AY840" t="s">
        <v>131</v>
      </c>
      <c r="AZ840" t="s">
        <v>131</v>
      </c>
      <c r="BA840" t="s">
        <v>131</v>
      </c>
      <c r="BB840" t="s">
        <v>131</v>
      </c>
      <c r="BC840" t="s">
        <v>131</v>
      </c>
      <c r="BD840" t="s">
        <v>131</v>
      </c>
      <c r="BE840" t="s">
        <v>132</v>
      </c>
      <c r="BH840" t="s">
        <v>8920</v>
      </c>
      <c r="BI840" t="s">
        <v>131</v>
      </c>
      <c r="BL840" t="s">
        <v>167</v>
      </c>
      <c r="BO840" t="s">
        <v>131</v>
      </c>
      <c r="BP840" t="s">
        <v>134</v>
      </c>
      <c r="BQ840" t="s">
        <v>131</v>
      </c>
      <c r="BS840" t="str">
        <f t="shared" si="59"/>
        <v>N/A</v>
      </c>
      <c r="BT840" t="s">
        <v>131</v>
      </c>
      <c r="BV840" t="str">
        <f>""</f>
        <v/>
      </c>
      <c r="BW840" t="s">
        <v>135</v>
      </c>
      <c r="BX840" t="str">
        <f>""</f>
        <v/>
      </c>
      <c r="BY840" t="str">
        <f>""</f>
        <v/>
      </c>
      <c r="BZ840" t="str">
        <f>""</f>
        <v/>
      </c>
      <c r="CA840" t="str">
        <f>"Must be able to work with hand and power tools. Must be able to work on Saturdays, as needed. Employee reviews at 30 and 60 days of starting. "</f>
        <v xml:space="preserve">Must be able to work with hand and power tools. Must be able to work on Saturdays, as needed. Employee reviews at 30 and 60 days of starting. </v>
      </c>
      <c r="CB840" t="s">
        <v>131</v>
      </c>
      <c r="CF840" t="s">
        <v>131</v>
      </c>
      <c r="CH840" t="str">
        <f>""</f>
        <v/>
      </c>
      <c r="CI840" t="s">
        <v>131</v>
      </c>
      <c r="CK840" t="s">
        <v>131</v>
      </c>
      <c r="CL840" t="str">
        <f>""</f>
        <v/>
      </c>
      <c r="CM840" t="str">
        <f>""</f>
        <v/>
      </c>
      <c r="CN840" t="str">
        <f>""</f>
        <v/>
      </c>
      <c r="CO840" t="str">
        <f>""</f>
        <v/>
      </c>
      <c r="CP840" t="str">
        <f>"51-2092.00"</f>
        <v>51-2092.00</v>
      </c>
      <c r="CQ840" t="s">
        <v>3007</v>
      </c>
      <c r="CR840" t="s">
        <v>9604</v>
      </c>
      <c r="CS840" t="s">
        <v>131</v>
      </c>
      <c r="CU840" t="s">
        <v>9605</v>
      </c>
      <c r="CW840" t="s">
        <v>2688</v>
      </c>
      <c r="CX840" t="s">
        <v>603</v>
      </c>
      <c r="CZ840" s="3" t="str">
        <f>"57201"</f>
        <v>57201</v>
      </c>
      <c r="DA840" t="s">
        <v>131</v>
      </c>
      <c r="DB840" t="str">
        <f>"51-2092"</f>
        <v>51-2092</v>
      </c>
      <c r="DC840" t="s">
        <v>3007</v>
      </c>
      <c r="DD840" t="s">
        <v>134</v>
      </c>
      <c r="DE840" t="s">
        <v>134</v>
      </c>
      <c r="DF840" t="str">
        <f>""</f>
        <v/>
      </c>
      <c r="DH840" s="6">
        <v>14.93</v>
      </c>
      <c r="DI840" t="s">
        <v>344</v>
      </c>
      <c r="DK840" t="s">
        <v>345</v>
      </c>
      <c r="DS840" s="6">
        <v>14.93</v>
      </c>
      <c r="DT840" t="s">
        <v>424</v>
      </c>
      <c r="DU840" s="1">
        <v>44369</v>
      </c>
      <c r="DV840" s="1">
        <v>44458</v>
      </c>
    </row>
    <row r="841" spans="1:126" ht="15" customHeight="1" x14ac:dyDescent="0.35">
      <c r="A841" t="s">
        <v>11079</v>
      </c>
      <c r="B841" t="s">
        <v>318</v>
      </c>
      <c r="C841" s="1">
        <v>44342</v>
      </c>
      <c r="D841" s="1">
        <v>44369</v>
      </c>
      <c r="H841" t="s">
        <v>319</v>
      </c>
      <c r="I841" t="s">
        <v>8612</v>
      </c>
      <c r="J841" t="s">
        <v>8613</v>
      </c>
      <c r="L841" t="s">
        <v>1177</v>
      </c>
      <c r="M841" t="s">
        <v>11080</v>
      </c>
      <c r="O841" t="s">
        <v>616</v>
      </c>
      <c r="P841" t="s">
        <v>194</v>
      </c>
      <c r="Q841" s="3">
        <v>33133</v>
      </c>
      <c r="R841" t="s">
        <v>128</v>
      </c>
      <c r="T841" s="4">
        <v>13056073104</v>
      </c>
      <c r="V841" t="s">
        <v>8615</v>
      </c>
      <c r="W841" t="s">
        <v>11081</v>
      </c>
      <c r="Y841" t="s">
        <v>11080</v>
      </c>
      <c r="AA841" t="s">
        <v>616</v>
      </c>
      <c r="AB841" t="s">
        <v>195</v>
      </c>
      <c r="AC841" s="3" t="str">
        <f>"33133"</f>
        <v>33133</v>
      </c>
      <c r="AD841" t="s">
        <v>128</v>
      </c>
      <c r="AF841" s="4">
        <v>13056073104</v>
      </c>
      <c r="AH841" t="str">
        <f>"236117"</f>
        <v>236117</v>
      </c>
      <c r="AI841" t="s">
        <v>130</v>
      </c>
      <c r="AJ841" t="s">
        <v>8617</v>
      </c>
      <c r="AK841" t="s">
        <v>745</v>
      </c>
      <c r="AL841" t="s">
        <v>8618</v>
      </c>
      <c r="AM841" t="s">
        <v>8619</v>
      </c>
      <c r="AN841" t="s">
        <v>439</v>
      </c>
      <c r="AO841" t="s">
        <v>799</v>
      </c>
      <c r="AP841" t="s">
        <v>595</v>
      </c>
      <c r="AQ841" s="5">
        <v>20036</v>
      </c>
      <c r="AR841" t="s">
        <v>128</v>
      </c>
      <c r="AT841" s="4">
        <v>12026507415</v>
      </c>
      <c r="AV841" t="s">
        <v>8620</v>
      </c>
      <c r="AW841" t="s">
        <v>8621</v>
      </c>
      <c r="AX841" t="s">
        <v>131</v>
      </c>
      <c r="AY841" t="s">
        <v>131</v>
      </c>
      <c r="AZ841" t="s">
        <v>131</v>
      </c>
      <c r="BA841" t="s">
        <v>131</v>
      </c>
      <c r="BB841" t="s">
        <v>131</v>
      </c>
      <c r="BC841" t="s">
        <v>131</v>
      </c>
      <c r="BD841" t="s">
        <v>131</v>
      </c>
      <c r="BE841" t="s">
        <v>132</v>
      </c>
      <c r="BH841" t="s">
        <v>11082</v>
      </c>
      <c r="BI841" t="s">
        <v>131</v>
      </c>
      <c r="BL841" t="s">
        <v>167</v>
      </c>
      <c r="BO841" t="s">
        <v>131</v>
      </c>
      <c r="BP841" t="s">
        <v>134</v>
      </c>
      <c r="BQ841" t="s">
        <v>131</v>
      </c>
      <c r="BS841" t="str">
        <f t="shared" si="59"/>
        <v>N/A</v>
      </c>
      <c r="BT841" t="s">
        <v>135</v>
      </c>
      <c r="BU841">
        <v>24</v>
      </c>
      <c r="BV841" t="str">
        <f>"Assistant stonemason"</f>
        <v>Assistant stonemason</v>
      </c>
      <c r="BW841" t="s">
        <v>131</v>
      </c>
      <c r="BX841" t="str">
        <f>""</f>
        <v/>
      </c>
      <c r="BY841" t="str">
        <f>""</f>
        <v/>
      </c>
      <c r="BZ841" t="str">
        <f>""</f>
        <v/>
      </c>
      <c r="CA841" t="str">
        <f>""</f>
        <v/>
      </c>
      <c r="CB841" t="s">
        <v>131</v>
      </c>
      <c r="CF841" t="s">
        <v>131</v>
      </c>
      <c r="CH841" t="str">
        <f>""</f>
        <v/>
      </c>
      <c r="CI841" t="s">
        <v>131</v>
      </c>
      <c r="CK841" t="s">
        <v>131</v>
      </c>
      <c r="CL841" t="str">
        <f>""</f>
        <v/>
      </c>
      <c r="CM841" t="str">
        <f>""</f>
        <v/>
      </c>
      <c r="CN841" t="str">
        <f>""</f>
        <v/>
      </c>
      <c r="CO841" t="str">
        <f>""</f>
        <v/>
      </c>
      <c r="CP841" t="str">
        <f>"47-3011.00"</f>
        <v>47-3011.00</v>
      </c>
      <c r="CQ841" t="s">
        <v>4519</v>
      </c>
      <c r="CS841" t="s">
        <v>131</v>
      </c>
      <c r="CU841" t="s">
        <v>8624</v>
      </c>
      <c r="CW841" t="s">
        <v>8625</v>
      </c>
      <c r="CX841" t="s">
        <v>195</v>
      </c>
      <c r="CZ841" s="3" t="str">
        <f>"33149"</f>
        <v>33149</v>
      </c>
      <c r="DA841" t="s">
        <v>135</v>
      </c>
      <c r="DB841" t="str">
        <f>"47-3011"</f>
        <v>47-3011</v>
      </c>
      <c r="DC841" t="s">
        <v>4519</v>
      </c>
      <c r="DD841" t="s">
        <v>134</v>
      </c>
      <c r="DE841" t="s">
        <v>134</v>
      </c>
      <c r="DF841" t="str">
        <f>""</f>
        <v/>
      </c>
      <c r="DH841" s="6">
        <v>13.91</v>
      </c>
      <c r="DI841" t="s">
        <v>344</v>
      </c>
      <c r="DK841" t="s">
        <v>345</v>
      </c>
      <c r="DR841" t="s">
        <v>2160</v>
      </c>
      <c r="DS841" s="6">
        <v>13.91</v>
      </c>
      <c r="DT841" t="s">
        <v>424</v>
      </c>
      <c r="DU841" s="1">
        <v>44369</v>
      </c>
      <c r="DV841" s="1">
        <v>44458</v>
      </c>
    </row>
    <row r="842" spans="1:126" ht="15" customHeight="1" x14ac:dyDescent="0.35">
      <c r="A842" t="s">
        <v>12485</v>
      </c>
      <c r="B842" t="s">
        <v>318</v>
      </c>
      <c r="C842" s="1">
        <v>44342</v>
      </c>
      <c r="D842" s="1">
        <v>44369</v>
      </c>
      <c r="H842" t="s">
        <v>319</v>
      </c>
      <c r="I842" t="s">
        <v>12486</v>
      </c>
      <c r="J842" t="s">
        <v>5224</v>
      </c>
      <c r="L842" t="s">
        <v>2403</v>
      </c>
      <c r="M842" t="s">
        <v>12487</v>
      </c>
      <c r="O842" t="s">
        <v>2462</v>
      </c>
      <c r="P842" t="s">
        <v>539</v>
      </c>
      <c r="Q842" s="3">
        <v>60045</v>
      </c>
      <c r="R842" t="s">
        <v>128</v>
      </c>
      <c r="T842" s="4">
        <v>12245434800</v>
      </c>
      <c r="V842" t="s">
        <v>12488</v>
      </c>
      <c r="W842" t="s">
        <v>12489</v>
      </c>
      <c r="Y842" t="s">
        <v>12487</v>
      </c>
      <c r="AA842" t="s">
        <v>2462</v>
      </c>
      <c r="AB842" t="s">
        <v>263</v>
      </c>
      <c r="AC842" s="3" t="str">
        <f>"60045"</f>
        <v>60045</v>
      </c>
      <c r="AD842" t="s">
        <v>128</v>
      </c>
      <c r="AF842" s="4">
        <v>12245434800</v>
      </c>
      <c r="AH842" t="str">
        <f>"33999"</f>
        <v>33999</v>
      </c>
      <c r="AI842" t="s">
        <v>130</v>
      </c>
      <c r="AJ842" t="s">
        <v>4899</v>
      </c>
      <c r="AK842" t="s">
        <v>684</v>
      </c>
      <c r="AL842" t="s">
        <v>645</v>
      </c>
      <c r="AM842" t="s">
        <v>4900</v>
      </c>
      <c r="AN842" t="s">
        <v>4901</v>
      </c>
      <c r="AO842" t="s">
        <v>262</v>
      </c>
      <c r="AP842" t="s">
        <v>263</v>
      </c>
      <c r="AQ842" s="5">
        <v>60606</v>
      </c>
      <c r="AR842" t="s">
        <v>128</v>
      </c>
      <c r="AT842" s="4">
        <v>13123322550</v>
      </c>
      <c r="AV842" t="s">
        <v>4902</v>
      </c>
      <c r="AW842" t="s">
        <v>4903</v>
      </c>
      <c r="AX842" t="s">
        <v>131</v>
      </c>
      <c r="AY842" t="s">
        <v>131</v>
      </c>
      <c r="AZ842" t="s">
        <v>131</v>
      </c>
      <c r="BA842" t="s">
        <v>131</v>
      </c>
      <c r="BB842" t="s">
        <v>131</v>
      </c>
      <c r="BC842" t="s">
        <v>131</v>
      </c>
      <c r="BD842" t="s">
        <v>131</v>
      </c>
      <c r="BE842" t="s">
        <v>132</v>
      </c>
      <c r="BH842" t="s">
        <v>8920</v>
      </c>
      <c r="BI842" t="s">
        <v>131</v>
      </c>
      <c r="BL842" t="s">
        <v>167</v>
      </c>
      <c r="BO842" t="s">
        <v>131</v>
      </c>
      <c r="BP842" t="s">
        <v>134</v>
      </c>
      <c r="BQ842" t="s">
        <v>131</v>
      </c>
      <c r="BS842" t="str">
        <f t="shared" si="59"/>
        <v>N/A</v>
      </c>
      <c r="BT842" t="s">
        <v>131</v>
      </c>
      <c r="BV842" t="str">
        <f>""</f>
        <v/>
      </c>
      <c r="BW842" t="s">
        <v>131</v>
      </c>
      <c r="BX842" t="str">
        <f>""</f>
        <v/>
      </c>
      <c r="BY842" t="str">
        <f>""</f>
        <v/>
      </c>
      <c r="BZ842" t="str">
        <f>""</f>
        <v/>
      </c>
      <c r="CA842" t="str">
        <f>""</f>
        <v/>
      </c>
      <c r="CB842" t="s">
        <v>131</v>
      </c>
      <c r="CF842" t="s">
        <v>131</v>
      </c>
      <c r="CH842" t="str">
        <f>""</f>
        <v/>
      </c>
      <c r="CI842" t="s">
        <v>131</v>
      </c>
      <c r="CK842" t="s">
        <v>131</v>
      </c>
      <c r="CL842" t="str">
        <f>""</f>
        <v/>
      </c>
      <c r="CM842" t="str">
        <f>""</f>
        <v/>
      </c>
      <c r="CN842" t="str">
        <f>""</f>
        <v/>
      </c>
      <c r="CO842" t="str">
        <f>""</f>
        <v/>
      </c>
      <c r="CP842" t="str">
        <f>"51-2092.00"</f>
        <v>51-2092.00</v>
      </c>
      <c r="CQ842" t="s">
        <v>3007</v>
      </c>
      <c r="CR842" t="s">
        <v>2403</v>
      </c>
      <c r="CS842" t="s">
        <v>131</v>
      </c>
      <c r="CU842" t="s">
        <v>12490</v>
      </c>
      <c r="CW842" t="s">
        <v>2462</v>
      </c>
      <c r="CX842" t="s">
        <v>263</v>
      </c>
      <c r="CZ842" s="3" t="str">
        <f>"60045"</f>
        <v>60045</v>
      </c>
      <c r="DA842" t="s">
        <v>131</v>
      </c>
      <c r="DB842" t="str">
        <f>"51-2092"</f>
        <v>51-2092</v>
      </c>
      <c r="DC842" t="s">
        <v>3007</v>
      </c>
      <c r="DD842" t="s">
        <v>134</v>
      </c>
      <c r="DE842" t="s">
        <v>134</v>
      </c>
      <c r="DF842" t="str">
        <f>""</f>
        <v/>
      </c>
      <c r="DH842" s="6">
        <v>16.059999999999999</v>
      </c>
      <c r="DI842" t="s">
        <v>344</v>
      </c>
      <c r="DK842" t="s">
        <v>345</v>
      </c>
      <c r="DR842" t="s">
        <v>8471</v>
      </c>
      <c r="DS842" s="6">
        <v>16.059999999999999</v>
      </c>
      <c r="DT842" t="s">
        <v>424</v>
      </c>
      <c r="DU842" s="1">
        <v>44369</v>
      </c>
      <c r="DV842" s="1">
        <v>44458</v>
      </c>
    </row>
    <row r="843" spans="1:126" ht="15" customHeight="1" x14ac:dyDescent="0.35">
      <c r="A843" t="s">
        <v>3141</v>
      </c>
      <c r="B843" t="s">
        <v>318</v>
      </c>
      <c r="C843" s="1">
        <v>44342</v>
      </c>
      <c r="D843" s="1">
        <v>44369</v>
      </c>
      <c r="H843" t="s">
        <v>319</v>
      </c>
      <c r="I843" t="s">
        <v>3142</v>
      </c>
      <c r="J843" t="s">
        <v>3143</v>
      </c>
      <c r="K843" t="s">
        <v>134</v>
      </c>
      <c r="L843" t="s">
        <v>1105</v>
      </c>
      <c r="M843" t="s">
        <v>3144</v>
      </c>
      <c r="N843" t="s">
        <v>3145</v>
      </c>
      <c r="O843" t="s">
        <v>3146</v>
      </c>
      <c r="P843" t="s">
        <v>412</v>
      </c>
      <c r="Q843" s="3">
        <v>76571</v>
      </c>
      <c r="R843" t="s">
        <v>128</v>
      </c>
      <c r="S843" t="s">
        <v>134</v>
      </c>
      <c r="T843" s="4">
        <v>12544109921</v>
      </c>
      <c r="V843" t="s">
        <v>3147</v>
      </c>
      <c r="W843" t="s">
        <v>3148</v>
      </c>
      <c r="Y843" t="s">
        <v>3144</v>
      </c>
      <c r="Z843" t="s">
        <v>3149</v>
      </c>
      <c r="AA843" t="s">
        <v>3146</v>
      </c>
      <c r="AB843" t="s">
        <v>400</v>
      </c>
      <c r="AC843" s="3" t="str">
        <f>"76571"</f>
        <v>76571</v>
      </c>
      <c r="AD843" t="s">
        <v>128</v>
      </c>
      <c r="AE843" t="s">
        <v>134</v>
      </c>
      <c r="AF843" s="4">
        <v>12544109921</v>
      </c>
      <c r="AH843" t="str">
        <f>"561730"</f>
        <v>561730</v>
      </c>
      <c r="AI843" t="s">
        <v>287</v>
      </c>
      <c r="AJ843" t="s">
        <v>3150</v>
      </c>
      <c r="AK843" t="s">
        <v>934</v>
      </c>
      <c r="AL843" t="s">
        <v>474</v>
      </c>
      <c r="AM843" t="s">
        <v>3151</v>
      </c>
      <c r="AN843" t="s">
        <v>134</v>
      </c>
      <c r="AO843" t="s">
        <v>3152</v>
      </c>
      <c r="AP843" t="s">
        <v>400</v>
      </c>
      <c r="AQ843" s="5">
        <v>77414</v>
      </c>
      <c r="AR843" t="s">
        <v>128</v>
      </c>
      <c r="AT843" s="4">
        <v>19792457577</v>
      </c>
      <c r="AU843">
        <v>105</v>
      </c>
      <c r="AV843" t="s">
        <v>3153</v>
      </c>
      <c r="AW843" t="s">
        <v>3154</v>
      </c>
      <c r="AX843" t="s">
        <v>131</v>
      </c>
      <c r="AY843" t="s">
        <v>131</v>
      </c>
      <c r="AZ843" t="s">
        <v>131</v>
      </c>
      <c r="BA843" t="s">
        <v>131</v>
      </c>
      <c r="BB843" t="s">
        <v>131</v>
      </c>
      <c r="BC843" t="s">
        <v>131</v>
      </c>
      <c r="BD843" t="s">
        <v>131</v>
      </c>
      <c r="BE843" t="s">
        <v>132</v>
      </c>
      <c r="BH843" t="s">
        <v>2215</v>
      </c>
      <c r="BI843" t="s">
        <v>131</v>
      </c>
      <c r="BL843" t="s">
        <v>167</v>
      </c>
      <c r="BO843" t="s">
        <v>131</v>
      </c>
      <c r="BP843" t="s">
        <v>134</v>
      </c>
      <c r="BQ843" t="s">
        <v>131</v>
      </c>
      <c r="BS843" t="str">
        <f t="shared" si="59"/>
        <v>N/A</v>
      </c>
      <c r="BT843" t="s">
        <v>131</v>
      </c>
      <c r="BV843" t="str">
        <f>""</f>
        <v/>
      </c>
      <c r="BW843" t="s">
        <v>135</v>
      </c>
      <c r="BX843" t="str">
        <f>""</f>
        <v/>
      </c>
      <c r="BY843" t="str">
        <f>""</f>
        <v/>
      </c>
      <c r="BZ843" t="str">
        <f>""</f>
        <v/>
      </c>
      <c r="CA843" t="str">
        <f>"Overtime varies. Able to lift 50lbs. Must be able to stand for extended periods of time and be able to bend and stoop  to pick things up."</f>
        <v>Overtime varies. Able to lift 50lbs. Must be able to stand for extended periods of time and be able to bend and stoop  to pick things up.</v>
      </c>
      <c r="CB843" t="s">
        <v>131</v>
      </c>
      <c r="CF843" t="s">
        <v>131</v>
      </c>
      <c r="CH843" t="str">
        <f>""</f>
        <v/>
      </c>
      <c r="CI843" t="s">
        <v>131</v>
      </c>
      <c r="CK843" t="s">
        <v>131</v>
      </c>
      <c r="CL843" t="str">
        <f>""</f>
        <v/>
      </c>
      <c r="CM843" t="str">
        <f>""</f>
        <v/>
      </c>
      <c r="CN843" t="str">
        <f>""</f>
        <v/>
      </c>
      <c r="CO843" t="str">
        <f>""</f>
        <v/>
      </c>
      <c r="CP843" t="str">
        <f>"37-3011.00"</f>
        <v>37-3011.00</v>
      </c>
      <c r="CQ843" t="s">
        <v>920</v>
      </c>
      <c r="CS843" t="s">
        <v>135</v>
      </c>
      <c r="CT843" t="s">
        <v>3155</v>
      </c>
      <c r="CU843" t="s">
        <v>3144</v>
      </c>
      <c r="CV843" t="s">
        <v>134</v>
      </c>
      <c r="CW843" t="s">
        <v>3146</v>
      </c>
      <c r="CX843" t="s">
        <v>400</v>
      </c>
      <c r="CZ843" s="3" t="str">
        <f>"76571"</f>
        <v>76571</v>
      </c>
      <c r="DA843" t="s">
        <v>135</v>
      </c>
      <c r="DB843" t="str">
        <f>"37-3011"</f>
        <v>37-3011</v>
      </c>
      <c r="DC843" t="s">
        <v>920</v>
      </c>
      <c r="DD843" t="s">
        <v>134</v>
      </c>
      <c r="DE843" t="s">
        <v>134</v>
      </c>
      <c r="DF843" t="str">
        <f>""</f>
        <v/>
      </c>
      <c r="DH843" s="6">
        <v>13.86</v>
      </c>
      <c r="DI843" t="s">
        <v>344</v>
      </c>
      <c r="DK843" t="s">
        <v>345</v>
      </c>
      <c r="DS843" s="6">
        <v>13.86</v>
      </c>
      <c r="DT843" s="2" t="s">
        <v>347</v>
      </c>
      <c r="DU843" s="1">
        <v>44369</v>
      </c>
      <c r="DV843" s="1">
        <v>44458</v>
      </c>
    </row>
    <row r="844" spans="1:126" ht="15" customHeight="1" x14ac:dyDescent="0.35">
      <c r="A844" t="s">
        <v>16665</v>
      </c>
      <c r="B844" t="s">
        <v>318</v>
      </c>
      <c r="C844" s="1">
        <v>44342</v>
      </c>
      <c r="D844" s="1">
        <v>44369</v>
      </c>
      <c r="H844" t="s">
        <v>319</v>
      </c>
      <c r="I844" t="s">
        <v>8612</v>
      </c>
      <c r="J844" t="s">
        <v>8613</v>
      </c>
      <c r="L844" t="s">
        <v>1177</v>
      </c>
      <c r="M844" t="s">
        <v>8614</v>
      </c>
      <c r="O844" t="s">
        <v>616</v>
      </c>
      <c r="P844" t="s">
        <v>194</v>
      </c>
      <c r="Q844" s="3">
        <v>33133</v>
      </c>
      <c r="R844" t="s">
        <v>128</v>
      </c>
      <c r="T844" s="4">
        <v>13056073104</v>
      </c>
      <c r="V844" t="s">
        <v>8615</v>
      </c>
      <c r="W844" t="s">
        <v>8616</v>
      </c>
      <c r="Y844" t="s">
        <v>8614</v>
      </c>
      <c r="AA844" t="s">
        <v>616</v>
      </c>
      <c r="AB844" t="s">
        <v>195</v>
      </c>
      <c r="AC844" s="3" t="str">
        <f>"33133"</f>
        <v>33133</v>
      </c>
      <c r="AD844" t="s">
        <v>128</v>
      </c>
      <c r="AF844" s="4">
        <v>13056073104</v>
      </c>
      <c r="AH844" t="str">
        <f>"236117"</f>
        <v>236117</v>
      </c>
      <c r="AI844" t="s">
        <v>130</v>
      </c>
      <c r="AJ844" t="s">
        <v>8617</v>
      </c>
      <c r="AK844" t="s">
        <v>745</v>
      </c>
      <c r="AL844" t="s">
        <v>8618</v>
      </c>
      <c r="AM844" t="s">
        <v>8619</v>
      </c>
      <c r="AN844" t="s">
        <v>439</v>
      </c>
      <c r="AO844" t="s">
        <v>799</v>
      </c>
      <c r="AP844" t="s">
        <v>595</v>
      </c>
      <c r="AQ844" s="5">
        <v>20036</v>
      </c>
      <c r="AR844" t="s">
        <v>128</v>
      </c>
      <c r="AT844" s="4">
        <v>12026507415</v>
      </c>
      <c r="AV844" t="s">
        <v>8620</v>
      </c>
      <c r="AW844" t="s">
        <v>8621</v>
      </c>
      <c r="AX844" t="s">
        <v>131</v>
      </c>
      <c r="AY844" t="s">
        <v>131</v>
      </c>
      <c r="AZ844" t="s">
        <v>131</v>
      </c>
      <c r="BA844" t="s">
        <v>131</v>
      </c>
      <c r="BB844" t="s">
        <v>131</v>
      </c>
      <c r="BC844" t="s">
        <v>131</v>
      </c>
      <c r="BD844" t="s">
        <v>131</v>
      </c>
      <c r="BE844" t="s">
        <v>132</v>
      </c>
      <c r="BH844" t="s">
        <v>11373</v>
      </c>
      <c r="BI844" t="s">
        <v>135</v>
      </c>
      <c r="BJ844" t="s">
        <v>16536</v>
      </c>
      <c r="BK844" t="s">
        <v>4519</v>
      </c>
      <c r="BL844" t="s">
        <v>167</v>
      </c>
      <c r="BO844" t="s">
        <v>131</v>
      </c>
      <c r="BP844" t="s">
        <v>134</v>
      </c>
      <c r="BQ844" t="s">
        <v>131</v>
      </c>
      <c r="BS844" t="str">
        <f t="shared" si="59"/>
        <v>N/A</v>
      </c>
      <c r="BT844" t="s">
        <v>135</v>
      </c>
      <c r="BU844">
        <v>72</v>
      </c>
      <c r="BV844" t="str">
        <f>"Stonemason"</f>
        <v>Stonemason</v>
      </c>
      <c r="BW844" t="s">
        <v>131</v>
      </c>
      <c r="BX844" t="str">
        <f>""</f>
        <v/>
      </c>
      <c r="BY844" t="str">
        <f>""</f>
        <v/>
      </c>
      <c r="BZ844" t="str">
        <f>""</f>
        <v/>
      </c>
      <c r="CA844" t="str">
        <f>""</f>
        <v/>
      </c>
      <c r="CB844" t="s">
        <v>131</v>
      </c>
      <c r="CF844" t="s">
        <v>131</v>
      </c>
      <c r="CH844" t="str">
        <f>""</f>
        <v/>
      </c>
      <c r="CI844" t="s">
        <v>131</v>
      </c>
      <c r="CK844" t="s">
        <v>131</v>
      </c>
      <c r="CL844" t="str">
        <f>""</f>
        <v/>
      </c>
      <c r="CM844" t="str">
        <f>""</f>
        <v/>
      </c>
      <c r="CN844" t="str">
        <f>""</f>
        <v/>
      </c>
      <c r="CO844" t="str">
        <f>""</f>
        <v/>
      </c>
      <c r="CP844" t="str">
        <f>"47-2022.00"</f>
        <v>47-2022.00</v>
      </c>
      <c r="CQ844" t="s">
        <v>5319</v>
      </c>
      <c r="CS844" t="s">
        <v>131</v>
      </c>
      <c r="CU844" t="s">
        <v>8624</v>
      </c>
      <c r="CW844" t="s">
        <v>8625</v>
      </c>
      <c r="CX844" t="s">
        <v>195</v>
      </c>
      <c r="CZ844" s="3" t="str">
        <f>"33149"</f>
        <v>33149</v>
      </c>
      <c r="DA844" t="s">
        <v>135</v>
      </c>
      <c r="DB844" t="str">
        <f>"47-2022"</f>
        <v>47-2022</v>
      </c>
      <c r="DC844" t="s">
        <v>5319</v>
      </c>
      <c r="DD844" t="s">
        <v>134</v>
      </c>
      <c r="DE844" t="s">
        <v>134</v>
      </c>
      <c r="DF844" t="str">
        <f>""</f>
        <v/>
      </c>
      <c r="DH844" s="6">
        <v>20.100000000000001</v>
      </c>
      <c r="DI844" t="s">
        <v>344</v>
      </c>
      <c r="DK844" t="s">
        <v>345</v>
      </c>
      <c r="DR844" t="s">
        <v>2160</v>
      </c>
      <c r="DS844" s="6">
        <v>20.100000000000001</v>
      </c>
      <c r="DT844" t="s">
        <v>424</v>
      </c>
      <c r="DU844" s="1">
        <v>44369</v>
      </c>
      <c r="DV844" s="1">
        <v>44458</v>
      </c>
    </row>
    <row r="845" spans="1:126" ht="15" customHeight="1" x14ac:dyDescent="0.35">
      <c r="A845" t="s">
        <v>16989</v>
      </c>
      <c r="B845" t="s">
        <v>318</v>
      </c>
      <c r="C845" s="1">
        <v>44342</v>
      </c>
      <c r="D845" s="1">
        <v>44369</v>
      </c>
      <c r="H845" t="s">
        <v>319</v>
      </c>
      <c r="I845" t="s">
        <v>13132</v>
      </c>
      <c r="J845" t="s">
        <v>16990</v>
      </c>
      <c r="K845" t="s">
        <v>332</v>
      </c>
      <c r="L845" t="s">
        <v>395</v>
      </c>
      <c r="M845" t="s">
        <v>16991</v>
      </c>
      <c r="O845" t="s">
        <v>9495</v>
      </c>
      <c r="P845" t="s">
        <v>2675</v>
      </c>
      <c r="Q845" s="3">
        <v>89431</v>
      </c>
      <c r="R845" t="s">
        <v>128</v>
      </c>
      <c r="T845" s="4">
        <v>17752258677</v>
      </c>
      <c r="V845" t="s">
        <v>16992</v>
      </c>
      <c r="W845" t="s">
        <v>16993</v>
      </c>
      <c r="Y845" t="s">
        <v>16991</v>
      </c>
      <c r="AA845" t="s">
        <v>9495</v>
      </c>
      <c r="AB845" t="s">
        <v>1073</v>
      </c>
      <c r="AC845" s="3" t="str">
        <f>"89431"</f>
        <v>89431</v>
      </c>
      <c r="AD845" t="s">
        <v>128</v>
      </c>
      <c r="AF845" s="4">
        <v>17752258677</v>
      </c>
      <c r="AH845" t="str">
        <f>"561720"</f>
        <v>561720</v>
      </c>
      <c r="AI845" t="s">
        <v>130</v>
      </c>
      <c r="AJ845" t="s">
        <v>3027</v>
      </c>
      <c r="AK845" t="s">
        <v>313</v>
      </c>
      <c r="AL845" t="s">
        <v>15763</v>
      </c>
      <c r="AM845" t="s">
        <v>15764</v>
      </c>
      <c r="AO845" t="s">
        <v>1040</v>
      </c>
      <c r="AP845" t="s">
        <v>400</v>
      </c>
      <c r="AQ845" s="5">
        <v>78752</v>
      </c>
      <c r="AR845" t="s">
        <v>128</v>
      </c>
      <c r="AT845" s="4">
        <v>15123232333</v>
      </c>
      <c r="AV845" t="s">
        <v>15765</v>
      </c>
      <c r="AW845" t="s">
        <v>16994</v>
      </c>
      <c r="AX845" t="s">
        <v>131</v>
      </c>
      <c r="AY845" t="s">
        <v>131</v>
      </c>
      <c r="AZ845" t="s">
        <v>131</v>
      </c>
      <c r="BA845" t="s">
        <v>131</v>
      </c>
      <c r="BB845" t="s">
        <v>131</v>
      </c>
      <c r="BC845" t="s">
        <v>131</v>
      </c>
      <c r="BD845" t="s">
        <v>131</v>
      </c>
      <c r="BE845" t="s">
        <v>132</v>
      </c>
      <c r="BH845" t="s">
        <v>12179</v>
      </c>
      <c r="BI845" t="s">
        <v>131</v>
      </c>
      <c r="BL845" t="s">
        <v>167</v>
      </c>
      <c r="BO845" t="s">
        <v>131</v>
      </c>
      <c r="BP845" t="s">
        <v>134</v>
      </c>
      <c r="BQ845" t="s">
        <v>131</v>
      </c>
      <c r="BS845" t="str">
        <f t="shared" si="59"/>
        <v>N/A</v>
      </c>
      <c r="BT845" t="s">
        <v>131</v>
      </c>
      <c r="BV845" t="str">
        <f>""</f>
        <v/>
      </c>
      <c r="BW845" t="s">
        <v>135</v>
      </c>
      <c r="BX845" t="str">
        <f>""</f>
        <v/>
      </c>
      <c r="BY845" t="str">
        <f>""</f>
        <v/>
      </c>
      <c r="BZ845" t="str">
        <f>""</f>
        <v/>
      </c>
      <c r="CA845" t="str">
        <f>"Willingness to work weekends on a rotating schedule. "</f>
        <v xml:space="preserve">Willingness to work weekends on a rotating schedule. </v>
      </c>
      <c r="CB845" t="s">
        <v>131</v>
      </c>
      <c r="CF845" t="s">
        <v>131</v>
      </c>
      <c r="CH845" t="str">
        <f>""</f>
        <v/>
      </c>
      <c r="CI845" t="s">
        <v>131</v>
      </c>
      <c r="CK845" t="s">
        <v>131</v>
      </c>
      <c r="CL845" t="str">
        <f>""</f>
        <v/>
      </c>
      <c r="CM845" t="str">
        <f>""</f>
        <v/>
      </c>
      <c r="CN845" t="str">
        <f>""</f>
        <v/>
      </c>
      <c r="CO845" t="str">
        <f>""</f>
        <v/>
      </c>
      <c r="CP845" t="str">
        <f>"37-2012.00"</f>
        <v>37-2012.00</v>
      </c>
      <c r="CQ845" t="s">
        <v>479</v>
      </c>
      <c r="CR845" t="s">
        <v>395</v>
      </c>
      <c r="CS845" t="s">
        <v>131</v>
      </c>
      <c r="CU845" t="s">
        <v>16991</v>
      </c>
      <c r="CW845" t="s">
        <v>9495</v>
      </c>
      <c r="CX845" t="s">
        <v>1073</v>
      </c>
      <c r="CZ845" s="3" t="str">
        <f>"89431"</f>
        <v>89431</v>
      </c>
      <c r="DA845" t="s">
        <v>135</v>
      </c>
      <c r="DB845" t="str">
        <f>"37-2012"</f>
        <v>37-2012</v>
      </c>
      <c r="DC845" t="s">
        <v>479</v>
      </c>
      <c r="DD845" t="s">
        <v>134</v>
      </c>
      <c r="DE845" t="s">
        <v>134</v>
      </c>
      <c r="DF845" t="str">
        <f>""</f>
        <v/>
      </c>
      <c r="DH845" s="6">
        <v>12.83</v>
      </c>
      <c r="DI845" t="s">
        <v>344</v>
      </c>
      <c r="DK845" t="s">
        <v>345</v>
      </c>
      <c r="DR845" t="s">
        <v>11612</v>
      </c>
      <c r="DS845" s="6">
        <v>12.83</v>
      </c>
      <c r="DT845" t="s">
        <v>424</v>
      </c>
      <c r="DU845" s="1">
        <v>44369</v>
      </c>
      <c r="DV845" s="1">
        <v>44458</v>
      </c>
    </row>
    <row r="846" spans="1:126" ht="15" customHeight="1" x14ac:dyDescent="0.35">
      <c r="A846" t="s">
        <v>15243</v>
      </c>
      <c r="B846" t="s">
        <v>318</v>
      </c>
      <c r="C846" s="1">
        <v>44342</v>
      </c>
      <c r="D846" s="1">
        <v>44369</v>
      </c>
      <c r="H846" t="s">
        <v>319</v>
      </c>
      <c r="I846" t="s">
        <v>8612</v>
      </c>
      <c r="J846" t="s">
        <v>8613</v>
      </c>
      <c r="L846" t="s">
        <v>1177</v>
      </c>
      <c r="M846" t="s">
        <v>8614</v>
      </c>
      <c r="O846" t="s">
        <v>616</v>
      </c>
      <c r="P846" t="s">
        <v>194</v>
      </c>
      <c r="Q846" s="3">
        <v>33133</v>
      </c>
      <c r="R846" t="s">
        <v>128</v>
      </c>
      <c r="T846" s="4">
        <v>13056073104</v>
      </c>
      <c r="V846" t="s">
        <v>8615</v>
      </c>
      <c r="W846" t="s">
        <v>8616</v>
      </c>
      <c r="Y846" t="s">
        <v>8614</v>
      </c>
      <c r="AA846" t="s">
        <v>616</v>
      </c>
      <c r="AB846" t="s">
        <v>195</v>
      </c>
      <c r="AC846" s="3" t="str">
        <f>"33133"</f>
        <v>33133</v>
      </c>
      <c r="AD846" t="s">
        <v>128</v>
      </c>
      <c r="AF846" s="4">
        <v>13056073104</v>
      </c>
      <c r="AH846" t="str">
        <f>"236117"</f>
        <v>236117</v>
      </c>
      <c r="AI846" t="s">
        <v>130</v>
      </c>
      <c r="AJ846" t="s">
        <v>8617</v>
      </c>
      <c r="AK846" t="s">
        <v>745</v>
      </c>
      <c r="AL846" t="s">
        <v>8618</v>
      </c>
      <c r="AM846" t="s">
        <v>8619</v>
      </c>
      <c r="AN846" t="s">
        <v>439</v>
      </c>
      <c r="AO846" t="s">
        <v>799</v>
      </c>
      <c r="AP846" t="s">
        <v>595</v>
      </c>
      <c r="AQ846" s="5">
        <v>20036</v>
      </c>
      <c r="AR846" t="s">
        <v>128</v>
      </c>
      <c r="AT846" s="4">
        <v>12026507411</v>
      </c>
      <c r="AV846" t="s">
        <v>8620</v>
      </c>
      <c r="AW846" t="s">
        <v>8621</v>
      </c>
      <c r="AX846" t="s">
        <v>131</v>
      </c>
      <c r="AY846" t="s">
        <v>131</v>
      </c>
      <c r="AZ846" t="s">
        <v>131</v>
      </c>
      <c r="BA846" t="s">
        <v>131</v>
      </c>
      <c r="BB846" t="s">
        <v>131</v>
      </c>
      <c r="BC846" t="s">
        <v>131</v>
      </c>
      <c r="BD846" t="s">
        <v>131</v>
      </c>
      <c r="BE846" t="s">
        <v>132</v>
      </c>
      <c r="BH846" t="s">
        <v>6294</v>
      </c>
      <c r="BI846" t="s">
        <v>131</v>
      </c>
      <c r="BL846" t="s">
        <v>167</v>
      </c>
      <c r="BO846" t="s">
        <v>131</v>
      </c>
      <c r="BP846" t="s">
        <v>134</v>
      </c>
      <c r="BQ846" t="s">
        <v>131</v>
      </c>
      <c r="BS846" t="str">
        <f t="shared" si="59"/>
        <v>N/A</v>
      </c>
      <c r="BT846" t="s">
        <v>135</v>
      </c>
      <c r="BU846">
        <v>72</v>
      </c>
      <c r="BV846" t="str">
        <f>"Concrete finisher"</f>
        <v>Concrete finisher</v>
      </c>
      <c r="BW846" t="s">
        <v>131</v>
      </c>
      <c r="BX846" t="str">
        <f>""</f>
        <v/>
      </c>
      <c r="BY846" t="str">
        <f>""</f>
        <v/>
      </c>
      <c r="BZ846" t="str">
        <f>""</f>
        <v/>
      </c>
      <c r="CA846" t="str">
        <f>""</f>
        <v/>
      </c>
      <c r="CB846" t="s">
        <v>131</v>
      </c>
      <c r="CF846" t="s">
        <v>131</v>
      </c>
      <c r="CH846" t="str">
        <f>""</f>
        <v/>
      </c>
      <c r="CI846" t="s">
        <v>131</v>
      </c>
      <c r="CK846" t="s">
        <v>131</v>
      </c>
      <c r="CL846" t="str">
        <f>""</f>
        <v/>
      </c>
      <c r="CM846" t="str">
        <f>""</f>
        <v/>
      </c>
      <c r="CN846" t="str">
        <f>""</f>
        <v/>
      </c>
      <c r="CO846" t="str">
        <f>""</f>
        <v/>
      </c>
      <c r="CP846" t="str">
        <f>"47-2051.00"</f>
        <v>47-2051.00</v>
      </c>
      <c r="CQ846" t="s">
        <v>5057</v>
      </c>
      <c r="CS846" t="s">
        <v>131</v>
      </c>
      <c r="CU846" t="s">
        <v>8624</v>
      </c>
      <c r="CW846" t="s">
        <v>8625</v>
      </c>
      <c r="CX846" t="s">
        <v>195</v>
      </c>
      <c r="CZ846" s="3" t="str">
        <f>"33149"</f>
        <v>33149</v>
      </c>
      <c r="DA846" t="s">
        <v>135</v>
      </c>
      <c r="DB846" t="str">
        <f>"47-2051"</f>
        <v>47-2051</v>
      </c>
      <c r="DC846" t="s">
        <v>5057</v>
      </c>
      <c r="DD846" t="s">
        <v>134</v>
      </c>
      <c r="DE846" t="s">
        <v>134</v>
      </c>
      <c r="DF846" t="str">
        <f>""</f>
        <v/>
      </c>
      <c r="DH846" s="6">
        <v>19.309999999999999</v>
      </c>
      <c r="DI846" t="s">
        <v>344</v>
      </c>
      <c r="DK846" t="s">
        <v>345</v>
      </c>
      <c r="DR846" t="s">
        <v>2160</v>
      </c>
      <c r="DS846" s="6">
        <v>19.309999999999999</v>
      </c>
      <c r="DT846" t="s">
        <v>424</v>
      </c>
      <c r="DU846" s="1">
        <v>44369</v>
      </c>
      <c r="DV846" s="1">
        <v>44458</v>
      </c>
    </row>
    <row r="847" spans="1:126" ht="15" customHeight="1" x14ac:dyDescent="0.35">
      <c r="A847" t="s">
        <v>8611</v>
      </c>
      <c r="B847" t="s">
        <v>318</v>
      </c>
      <c r="C847" s="1">
        <v>44342</v>
      </c>
      <c r="D847" s="1">
        <v>44369</v>
      </c>
      <c r="H847" t="s">
        <v>319</v>
      </c>
      <c r="I847" t="s">
        <v>8612</v>
      </c>
      <c r="J847" t="s">
        <v>8613</v>
      </c>
      <c r="L847" t="s">
        <v>1177</v>
      </c>
      <c r="M847" t="s">
        <v>8614</v>
      </c>
      <c r="O847" t="s">
        <v>616</v>
      </c>
      <c r="P847" t="s">
        <v>194</v>
      </c>
      <c r="Q847" s="3">
        <v>33133</v>
      </c>
      <c r="R847" t="s">
        <v>128</v>
      </c>
      <c r="T847" s="4">
        <v>13056073104</v>
      </c>
      <c r="V847" t="s">
        <v>8615</v>
      </c>
      <c r="W847" t="s">
        <v>8616</v>
      </c>
      <c r="Y847" t="s">
        <v>8614</v>
      </c>
      <c r="AA847" t="s">
        <v>616</v>
      </c>
      <c r="AB847" t="s">
        <v>195</v>
      </c>
      <c r="AC847" s="3" t="str">
        <f>"33133"</f>
        <v>33133</v>
      </c>
      <c r="AD847" t="s">
        <v>128</v>
      </c>
      <c r="AF847" s="4">
        <v>13056073104</v>
      </c>
      <c r="AH847" t="str">
        <f>"236117"</f>
        <v>236117</v>
      </c>
      <c r="AI847" t="s">
        <v>130</v>
      </c>
      <c r="AJ847" t="s">
        <v>8617</v>
      </c>
      <c r="AK847" t="s">
        <v>745</v>
      </c>
      <c r="AL847" t="s">
        <v>8618</v>
      </c>
      <c r="AM847" t="s">
        <v>8619</v>
      </c>
      <c r="AN847" t="s">
        <v>439</v>
      </c>
      <c r="AO847" t="s">
        <v>799</v>
      </c>
      <c r="AP847" t="s">
        <v>595</v>
      </c>
      <c r="AQ847" s="5">
        <v>20036</v>
      </c>
      <c r="AR847" t="s">
        <v>128</v>
      </c>
      <c r="AT847" s="4">
        <v>12026507415</v>
      </c>
      <c r="AV847" t="s">
        <v>8620</v>
      </c>
      <c r="AW847" t="s">
        <v>8621</v>
      </c>
      <c r="AX847" t="s">
        <v>131</v>
      </c>
      <c r="AY847" t="s">
        <v>131</v>
      </c>
      <c r="AZ847" t="s">
        <v>131</v>
      </c>
      <c r="BA847" t="s">
        <v>131</v>
      </c>
      <c r="BB847" t="s">
        <v>131</v>
      </c>
      <c r="BC847" t="s">
        <v>131</v>
      </c>
      <c r="BD847" t="s">
        <v>131</v>
      </c>
      <c r="BE847" t="s">
        <v>132</v>
      </c>
      <c r="BH847" t="s">
        <v>8622</v>
      </c>
      <c r="BI847" t="s">
        <v>131</v>
      </c>
      <c r="BL847" t="s">
        <v>167</v>
      </c>
      <c r="BO847" t="s">
        <v>131</v>
      </c>
      <c r="BP847" t="s">
        <v>134</v>
      </c>
      <c r="BQ847" t="s">
        <v>131</v>
      </c>
      <c r="BS847" t="str">
        <f t="shared" si="59"/>
        <v>N/A</v>
      </c>
      <c r="BT847" t="s">
        <v>135</v>
      </c>
      <c r="BU847">
        <v>60</v>
      </c>
      <c r="BV847" t="str">
        <f>"Mold mechanic"</f>
        <v>Mold mechanic</v>
      </c>
      <c r="BW847" t="s">
        <v>131</v>
      </c>
      <c r="BX847" t="str">
        <f>""</f>
        <v/>
      </c>
      <c r="BY847" t="str">
        <f>""</f>
        <v/>
      </c>
      <c r="BZ847" t="str">
        <f>""</f>
        <v/>
      </c>
      <c r="CA847" t="str">
        <f>""</f>
        <v/>
      </c>
      <c r="CB847" t="s">
        <v>131</v>
      </c>
      <c r="CF847" t="s">
        <v>131</v>
      </c>
      <c r="CH847" t="str">
        <f>""</f>
        <v/>
      </c>
      <c r="CI847" t="s">
        <v>131</v>
      </c>
      <c r="CK847" t="s">
        <v>131</v>
      </c>
      <c r="CL847" t="str">
        <f>""</f>
        <v/>
      </c>
      <c r="CM847" t="str">
        <f>""</f>
        <v/>
      </c>
      <c r="CN847" t="str">
        <f>""</f>
        <v/>
      </c>
      <c r="CO847" t="str">
        <f>""</f>
        <v/>
      </c>
      <c r="CP847" t="str">
        <f>"51-9195.00"</f>
        <v>51-9195.00</v>
      </c>
      <c r="CQ847" t="s">
        <v>8623</v>
      </c>
      <c r="CS847" t="s">
        <v>131</v>
      </c>
      <c r="CU847" t="s">
        <v>8624</v>
      </c>
      <c r="CW847" t="s">
        <v>8625</v>
      </c>
      <c r="CX847" t="s">
        <v>195</v>
      </c>
      <c r="CZ847" s="3" t="str">
        <f>"33149"</f>
        <v>33149</v>
      </c>
      <c r="DA847" t="s">
        <v>135</v>
      </c>
      <c r="DB847" t="str">
        <f>"51-9195"</f>
        <v>51-9195</v>
      </c>
      <c r="DC847" t="s">
        <v>8623</v>
      </c>
      <c r="DD847" t="s">
        <v>134</v>
      </c>
      <c r="DE847" t="s">
        <v>134</v>
      </c>
      <c r="DF847" t="str">
        <f>""</f>
        <v/>
      </c>
      <c r="DH847" s="6">
        <v>15.76</v>
      </c>
      <c r="DI847" t="s">
        <v>344</v>
      </c>
      <c r="DK847" t="s">
        <v>345</v>
      </c>
      <c r="DR847" t="s">
        <v>2160</v>
      </c>
      <c r="DS847" s="6">
        <v>15.76</v>
      </c>
      <c r="DT847" t="s">
        <v>424</v>
      </c>
      <c r="DU847" s="1">
        <v>44369</v>
      </c>
      <c r="DV847" s="1">
        <v>44458</v>
      </c>
    </row>
    <row r="848" spans="1:126" ht="15" customHeight="1" x14ac:dyDescent="0.35">
      <c r="A848" t="s">
        <v>20026</v>
      </c>
      <c r="B848" t="s">
        <v>318</v>
      </c>
      <c r="C848" s="1">
        <v>44342</v>
      </c>
      <c r="D848" s="1">
        <v>44369</v>
      </c>
      <c r="H848" t="s">
        <v>319</v>
      </c>
      <c r="I848" t="s">
        <v>8612</v>
      </c>
      <c r="J848" t="s">
        <v>8613</v>
      </c>
      <c r="L848" t="s">
        <v>1177</v>
      </c>
      <c r="M848" t="s">
        <v>8614</v>
      </c>
      <c r="O848" t="s">
        <v>616</v>
      </c>
      <c r="P848" t="s">
        <v>194</v>
      </c>
      <c r="Q848" s="3">
        <v>33133</v>
      </c>
      <c r="R848" t="s">
        <v>128</v>
      </c>
      <c r="T848" s="4">
        <v>13056073104</v>
      </c>
      <c r="V848" t="s">
        <v>8615</v>
      </c>
      <c r="W848" t="s">
        <v>8616</v>
      </c>
      <c r="Y848" t="s">
        <v>8614</v>
      </c>
      <c r="AA848" t="s">
        <v>616</v>
      </c>
      <c r="AB848" t="s">
        <v>195</v>
      </c>
      <c r="AC848" s="3" t="str">
        <f>"33133"</f>
        <v>33133</v>
      </c>
      <c r="AD848" t="s">
        <v>128</v>
      </c>
      <c r="AF848" s="4">
        <v>13056073104</v>
      </c>
      <c r="AH848" t="str">
        <f>"236117"</f>
        <v>236117</v>
      </c>
      <c r="AI848" t="s">
        <v>130</v>
      </c>
      <c r="AJ848" t="s">
        <v>8617</v>
      </c>
      <c r="AK848" t="s">
        <v>745</v>
      </c>
      <c r="AL848" t="s">
        <v>8618</v>
      </c>
      <c r="AM848" t="s">
        <v>8619</v>
      </c>
      <c r="AN848" t="s">
        <v>439</v>
      </c>
      <c r="AO848" t="s">
        <v>799</v>
      </c>
      <c r="AP848" t="s">
        <v>595</v>
      </c>
      <c r="AQ848" s="5">
        <v>20036</v>
      </c>
      <c r="AR848" t="s">
        <v>128</v>
      </c>
      <c r="AT848" s="4">
        <v>12026507415</v>
      </c>
      <c r="AV848" t="s">
        <v>8620</v>
      </c>
      <c r="AW848" t="s">
        <v>8621</v>
      </c>
      <c r="AX848" t="s">
        <v>131</v>
      </c>
      <c r="AY848" t="s">
        <v>131</v>
      </c>
      <c r="AZ848" t="s">
        <v>131</v>
      </c>
      <c r="BA848" t="s">
        <v>131</v>
      </c>
      <c r="BB848" t="s">
        <v>131</v>
      </c>
      <c r="BC848" t="s">
        <v>131</v>
      </c>
      <c r="BD848" t="s">
        <v>131</v>
      </c>
      <c r="BE848" t="s">
        <v>132</v>
      </c>
      <c r="BH848" t="s">
        <v>20027</v>
      </c>
      <c r="BI848" t="s">
        <v>131</v>
      </c>
      <c r="BL848" t="s">
        <v>167</v>
      </c>
      <c r="BO848" t="s">
        <v>131</v>
      </c>
      <c r="BP848" t="s">
        <v>134</v>
      </c>
      <c r="BQ848" t="s">
        <v>131</v>
      </c>
      <c r="BS848" t="str">
        <f t="shared" si="59"/>
        <v>N/A</v>
      </c>
      <c r="BT848" t="s">
        <v>135</v>
      </c>
      <c r="BU848">
        <v>60</v>
      </c>
      <c r="BV848" t="str">
        <f>"Iron installer"</f>
        <v>Iron installer</v>
      </c>
      <c r="BW848" t="s">
        <v>131</v>
      </c>
      <c r="BX848" t="str">
        <f>""</f>
        <v/>
      </c>
      <c r="BY848" t="str">
        <f>""</f>
        <v/>
      </c>
      <c r="BZ848" t="str">
        <f>""</f>
        <v/>
      </c>
      <c r="CA848" t="str">
        <f>""</f>
        <v/>
      </c>
      <c r="CB848" t="s">
        <v>131</v>
      </c>
      <c r="CF848" t="s">
        <v>131</v>
      </c>
      <c r="CH848" t="str">
        <f>""</f>
        <v/>
      </c>
      <c r="CI848" t="s">
        <v>131</v>
      </c>
      <c r="CK848" t="s">
        <v>131</v>
      </c>
      <c r="CL848" t="str">
        <f>""</f>
        <v/>
      </c>
      <c r="CM848" t="str">
        <f>""</f>
        <v/>
      </c>
      <c r="CN848" t="str">
        <f>""</f>
        <v/>
      </c>
      <c r="CO848" t="str">
        <f>""</f>
        <v/>
      </c>
      <c r="CP848" t="str">
        <f>"47-2171.00"</f>
        <v>47-2171.00</v>
      </c>
      <c r="CQ848" t="s">
        <v>10954</v>
      </c>
      <c r="CR848" t="s">
        <v>20027</v>
      </c>
      <c r="CS848" t="s">
        <v>131</v>
      </c>
      <c r="CU848" t="s">
        <v>8624</v>
      </c>
      <c r="CW848" t="s">
        <v>8625</v>
      </c>
      <c r="CX848" t="s">
        <v>195</v>
      </c>
      <c r="CZ848" s="3" t="str">
        <f>"33149"</f>
        <v>33149</v>
      </c>
      <c r="DA848" t="s">
        <v>135</v>
      </c>
      <c r="DB848" t="str">
        <f>"47-2171"</f>
        <v>47-2171</v>
      </c>
      <c r="DC848" t="s">
        <v>10954</v>
      </c>
      <c r="DD848" t="s">
        <v>134</v>
      </c>
      <c r="DE848" t="s">
        <v>134</v>
      </c>
      <c r="DF848" t="str">
        <f>""</f>
        <v/>
      </c>
      <c r="DH848" s="6">
        <v>19.88</v>
      </c>
      <c r="DI848" t="s">
        <v>344</v>
      </c>
      <c r="DK848" t="s">
        <v>345</v>
      </c>
      <c r="DR848" t="s">
        <v>2160</v>
      </c>
      <c r="DS848" s="6">
        <v>19.88</v>
      </c>
      <c r="DT848" t="s">
        <v>424</v>
      </c>
      <c r="DU848" s="1">
        <v>44369</v>
      </c>
      <c r="DV848" s="1">
        <v>44458</v>
      </c>
    </row>
    <row r="849" spans="1:126" ht="15" customHeight="1" x14ac:dyDescent="0.35">
      <c r="A849" t="s">
        <v>17147</v>
      </c>
      <c r="B849" t="s">
        <v>318</v>
      </c>
      <c r="C849" s="1">
        <v>44342</v>
      </c>
      <c r="D849" s="1">
        <v>44369</v>
      </c>
      <c r="H849" t="s">
        <v>319</v>
      </c>
      <c r="I849" t="s">
        <v>8612</v>
      </c>
      <c r="J849" t="s">
        <v>8613</v>
      </c>
      <c r="L849" t="s">
        <v>1177</v>
      </c>
      <c r="M849" t="s">
        <v>8614</v>
      </c>
      <c r="O849" t="s">
        <v>616</v>
      </c>
      <c r="P849" t="s">
        <v>194</v>
      </c>
      <c r="Q849" s="3">
        <v>33133</v>
      </c>
      <c r="R849" t="s">
        <v>128</v>
      </c>
      <c r="T849" s="4">
        <v>13056073104</v>
      </c>
      <c r="V849" t="s">
        <v>8615</v>
      </c>
      <c r="W849" t="s">
        <v>8616</v>
      </c>
      <c r="Y849" t="s">
        <v>17148</v>
      </c>
      <c r="AA849" t="s">
        <v>616</v>
      </c>
      <c r="AB849" t="s">
        <v>195</v>
      </c>
      <c r="AC849" s="3" t="str">
        <f>"33133"</f>
        <v>33133</v>
      </c>
      <c r="AD849" t="s">
        <v>128</v>
      </c>
      <c r="AF849" s="4">
        <v>13056073104</v>
      </c>
      <c r="AH849" t="str">
        <f>"236117"</f>
        <v>236117</v>
      </c>
      <c r="AI849" t="s">
        <v>130</v>
      </c>
      <c r="AJ849" t="s">
        <v>8617</v>
      </c>
      <c r="AK849" t="s">
        <v>745</v>
      </c>
      <c r="AL849" t="s">
        <v>8618</v>
      </c>
      <c r="AM849" t="s">
        <v>8619</v>
      </c>
      <c r="AN849" t="s">
        <v>439</v>
      </c>
      <c r="AO849" t="s">
        <v>799</v>
      </c>
      <c r="AP849" t="s">
        <v>595</v>
      </c>
      <c r="AQ849" s="5">
        <v>20036</v>
      </c>
      <c r="AR849" t="s">
        <v>128</v>
      </c>
      <c r="AT849" s="4">
        <v>12026507415</v>
      </c>
      <c r="AV849" t="s">
        <v>8620</v>
      </c>
      <c r="AW849" t="s">
        <v>8621</v>
      </c>
      <c r="AX849" t="s">
        <v>131</v>
      </c>
      <c r="AY849" t="s">
        <v>131</v>
      </c>
      <c r="AZ849" t="s">
        <v>131</v>
      </c>
      <c r="BA849" t="s">
        <v>131</v>
      </c>
      <c r="BB849" t="s">
        <v>131</v>
      </c>
      <c r="BC849" t="s">
        <v>131</v>
      </c>
      <c r="BD849" t="s">
        <v>131</v>
      </c>
      <c r="BE849" t="s">
        <v>132</v>
      </c>
      <c r="BH849" t="s">
        <v>10393</v>
      </c>
      <c r="BI849" t="s">
        <v>131</v>
      </c>
      <c r="BL849" t="s">
        <v>167</v>
      </c>
      <c r="BO849" t="s">
        <v>131</v>
      </c>
      <c r="BP849" t="s">
        <v>134</v>
      </c>
      <c r="BQ849" t="s">
        <v>131</v>
      </c>
      <c r="BS849" t="str">
        <f t="shared" si="59"/>
        <v>N/A</v>
      </c>
      <c r="BT849" t="s">
        <v>135</v>
      </c>
      <c r="BU849">
        <v>60</v>
      </c>
      <c r="BV849" t="str">
        <f>"Plumber"</f>
        <v>Plumber</v>
      </c>
      <c r="BW849" t="s">
        <v>131</v>
      </c>
      <c r="BX849" t="str">
        <f>""</f>
        <v/>
      </c>
      <c r="BY849" t="str">
        <f>""</f>
        <v/>
      </c>
      <c r="BZ849" t="str">
        <f>""</f>
        <v/>
      </c>
      <c r="CA849" t="str">
        <f>""</f>
        <v/>
      </c>
      <c r="CB849" t="s">
        <v>131</v>
      </c>
      <c r="CF849" t="s">
        <v>131</v>
      </c>
      <c r="CH849" t="str">
        <f>""</f>
        <v/>
      </c>
      <c r="CI849" t="s">
        <v>131</v>
      </c>
      <c r="CK849" t="s">
        <v>131</v>
      </c>
      <c r="CL849" t="str">
        <f>""</f>
        <v/>
      </c>
      <c r="CM849" t="str">
        <f>""</f>
        <v/>
      </c>
      <c r="CN849" t="str">
        <f>""</f>
        <v/>
      </c>
      <c r="CO849" t="str">
        <f>""</f>
        <v/>
      </c>
      <c r="CP849" t="str">
        <f>"47-2152.00"</f>
        <v>47-2152.00</v>
      </c>
      <c r="CQ849" t="s">
        <v>4043</v>
      </c>
      <c r="CS849" t="s">
        <v>131</v>
      </c>
      <c r="CU849" t="s">
        <v>8624</v>
      </c>
      <c r="CW849" t="s">
        <v>8625</v>
      </c>
      <c r="CX849" t="s">
        <v>195</v>
      </c>
      <c r="CZ849" s="3" t="str">
        <f>"33149"</f>
        <v>33149</v>
      </c>
      <c r="DA849" t="s">
        <v>135</v>
      </c>
      <c r="DB849" t="str">
        <f>"47-2152"</f>
        <v>47-2152</v>
      </c>
      <c r="DC849" t="s">
        <v>4043</v>
      </c>
      <c r="DD849" t="s">
        <v>10002</v>
      </c>
      <c r="DE849" t="s">
        <v>7078</v>
      </c>
      <c r="DF849" t="str">
        <f>""</f>
        <v/>
      </c>
      <c r="DH849" s="6">
        <v>21.99</v>
      </c>
      <c r="DI849" t="s">
        <v>344</v>
      </c>
      <c r="DK849" t="s">
        <v>345</v>
      </c>
      <c r="DR849" t="s">
        <v>2160</v>
      </c>
      <c r="DS849" s="6">
        <v>21.99</v>
      </c>
      <c r="DT849" t="s">
        <v>424</v>
      </c>
      <c r="DU849" s="1">
        <v>44369</v>
      </c>
      <c r="DV849" s="1">
        <v>44458</v>
      </c>
    </row>
    <row r="850" spans="1:126" ht="15" customHeight="1" x14ac:dyDescent="0.35">
      <c r="A850" t="s">
        <v>12825</v>
      </c>
      <c r="B850" t="s">
        <v>318</v>
      </c>
      <c r="C850" s="1">
        <v>44342</v>
      </c>
      <c r="D850" s="1">
        <v>44369</v>
      </c>
      <c r="H850" t="s">
        <v>319</v>
      </c>
      <c r="I850" t="s">
        <v>8935</v>
      </c>
      <c r="J850" t="s">
        <v>8550</v>
      </c>
      <c r="L850" t="s">
        <v>868</v>
      </c>
      <c r="M850" t="s">
        <v>8936</v>
      </c>
      <c r="O850" t="s">
        <v>5747</v>
      </c>
      <c r="P850" t="s">
        <v>388</v>
      </c>
      <c r="Q850" s="3">
        <v>53222</v>
      </c>
      <c r="R850" t="s">
        <v>128</v>
      </c>
      <c r="T850" s="4">
        <v>14145101011</v>
      </c>
      <c r="V850" t="s">
        <v>8937</v>
      </c>
      <c r="W850" t="s">
        <v>12133</v>
      </c>
      <c r="Y850" t="s">
        <v>8936</v>
      </c>
      <c r="AA850" t="s">
        <v>5747</v>
      </c>
      <c r="AB850" t="s">
        <v>389</v>
      </c>
      <c r="AC850" s="3" t="str">
        <f>"53222"</f>
        <v>53222</v>
      </c>
      <c r="AD850" t="s">
        <v>128</v>
      </c>
      <c r="AF850" s="4">
        <v>14144798105</v>
      </c>
      <c r="AH850" t="str">
        <f>"336310"</f>
        <v>336310</v>
      </c>
      <c r="AI850" t="s">
        <v>130</v>
      </c>
      <c r="AJ850" t="s">
        <v>8939</v>
      </c>
      <c r="AK850" t="s">
        <v>8940</v>
      </c>
      <c r="AL850" t="s">
        <v>3946</v>
      </c>
      <c r="AM850" t="s">
        <v>8941</v>
      </c>
      <c r="AN850" t="s">
        <v>565</v>
      </c>
      <c r="AO850" t="s">
        <v>1040</v>
      </c>
      <c r="AP850" t="s">
        <v>400</v>
      </c>
      <c r="AQ850" s="5">
        <v>78701</v>
      </c>
      <c r="AR850" t="s">
        <v>128</v>
      </c>
      <c r="AT850" s="4">
        <v>15124993649</v>
      </c>
      <c r="AV850" t="s">
        <v>8942</v>
      </c>
      <c r="AW850" t="s">
        <v>2701</v>
      </c>
      <c r="AX850" t="s">
        <v>131</v>
      </c>
      <c r="AY850" t="s">
        <v>131</v>
      </c>
      <c r="AZ850" t="s">
        <v>131</v>
      </c>
      <c r="BA850" t="s">
        <v>131</v>
      </c>
      <c r="BB850" t="s">
        <v>131</v>
      </c>
      <c r="BC850" t="s">
        <v>131</v>
      </c>
      <c r="BD850" t="s">
        <v>131</v>
      </c>
      <c r="BE850" t="s">
        <v>132</v>
      </c>
      <c r="BH850" t="s">
        <v>12826</v>
      </c>
      <c r="BI850" t="s">
        <v>131</v>
      </c>
      <c r="BL850" t="s">
        <v>401</v>
      </c>
      <c r="BO850" t="s">
        <v>131</v>
      </c>
      <c r="BP850" t="s">
        <v>134</v>
      </c>
      <c r="BQ850" t="s">
        <v>131</v>
      </c>
      <c r="BS850" t="str">
        <f t="shared" si="59"/>
        <v>N/A</v>
      </c>
      <c r="BT850" t="s">
        <v>131</v>
      </c>
      <c r="BV850" t="str">
        <f>""</f>
        <v/>
      </c>
      <c r="BW850" t="s">
        <v>135</v>
      </c>
      <c r="BX850" t="str">
        <f>""</f>
        <v/>
      </c>
      <c r="BY850" t="str">
        <f>""</f>
        <v/>
      </c>
      <c r="BZ850" t="str">
        <f>""</f>
        <v/>
      </c>
      <c r="CA850" t="str">
        <f>"Must be able to lift/carry up to 50 pounds and operate foot controls for full work shift. Previous assembly and/or engine experience. "</f>
        <v xml:space="preserve">Must be able to lift/carry up to 50 pounds and operate foot controls for full work shift. Previous assembly and/or engine experience. </v>
      </c>
      <c r="CB850" t="s">
        <v>131</v>
      </c>
      <c r="CF850" t="s">
        <v>131</v>
      </c>
      <c r="CH850" t="str">
        <f>""</f>
        <v/>
      </c>
      <c r="CI850" t="s">
        <v>131</v>
      </c>
      <c r="CK850" t="s">
        <v>131</v>
      </c>
      <c r="CL850" t="str">
        <f>""</f>
        <v/>
      </c>
      <c r="CM850" t="str">
        <f>""</f>
        <v/>
      </c>
      <c r="CN850" t="str">
        <f>""</f>
        <v/>
      </c>
      <c r="CO850" t="str">
        <f>""</f>
        <v/>
      </c>
      <c r="CP850" t="str">
        <f>"51-2092.00"</f>
        <v>51-2092.00</v>
      </c>
      <c r="CQ850" t="s">
        <v>3007</v>
      </c>
      <c r="CS850" t="s">
        <v>131</v>
      </c>
      <c r="CU850" t="s">
        <v>8944</v>
      </c>
      <c r="CW850" t="s">
        <v>1602</v>
      </c>
      <c r="CX850" t="s">
        <v>1218</v>
      </c>
      <c r="CZ850" s="3" t="str">
        <f>"36830"</f>
        <v>36830</v>
      </c>
      <c r="DA850" t="s">
        <v>131</v>
      </c>
      <c r="DB850" t="str">
        <f>"51-2092"</f>
        <v>51-2092</v>
      </c>
      <c r="DC850" t="s">
        <v>3007</v>
      </c>
      <c r="DD850" t="s">
        <v>134</v>
      </c>
      <c r="DE850" t="s">
        <v>134</v>
      </c>
      <c r="DF850" t="str">
        <f>""</f>
        <v/>
      </c>
      <c r="DH850" s="6">
        <v>12.66</v>
      </c>
      <c r="DI850" t="s">
        <v>344</v>
      </c>
      <c r="DK850" t="s">
        <v>345</v>
      </c>
      <c r="DS850" s="6">
        <v>12.66</v>
      </c>
      <c r="DT850" t="s">
        <v>424</v>
      </c>
      <c r="DU850" s="1">
        <v>44369</v>
      </c>
      <c r="DV850" s="1">
        <v>44458</v>
      </c>
    </row>
    <row r="851" spans="1:126" ht="15" customHeight="1" x14ac:dyDescent="0.35">
      <c r="A851" t="s">
        <v>8934</v>
      </c>
      <c r="B851" t="s">
        <v>318</v>
      </c>
      <c r="C851" s="1">
        <v>44342</v>
      </c>
      <c r="D851" s="1">
        <v>44369</v>
      </c>
      <c r="H851" t="s">
        <v>319</v>
      </c>
      <c r="I851" t="s">
        <v>8935</v>
      </c>
      <c r="J851" t="s">
        <v>8550</v>
      </c>
      <c r="L851" t="s">
        <v>868</v>
      </c>
      <c r="M851" t="s">
        <v>8936</v>
      </c>
      <c r="O851" t="s">
        <v>5747</v>
      </c>
      <c r="P851" t="s">
        <v>388</v>
      </c>
      <c r="Q851" s="3">
        <v>53222</v>
      </c>
      <c r="R851" t="s">
        <v>128</v>
      </c>
      <c r="T851" s="4">
        <v>14145101011</v>
      </c>
      <c r="V851" t="s">
        <v>8937</v>
      </c>
      <c r="W851" t="s">
        <v>8938</v>
      </c>
      <c r="Y851" t="s">
        <v>8936</v>
      </c>
      <c r="AA851" t="s">
        <v>5747</v>
      </c>
      <c r="AB851" t="s">
        <v>389</v>
      </c>
      <c r="AC851" s="3" t="str">
        <f>"53222"</f>
        <v>53222</v>
      </c>
      <c r="AD851" t="s">
        <v>128</v>
      </c>
      <c r="AF851" s="4">
        <v>14144798105</v>
      </c>
      <c r="AH851" t="str">
        <f>"336310"</f>
        <v>336310</v>
      </c>
      <c r="AI851" t="s">
        <v>130</v>
      </c>
      <c r="AJ851" t="s">
        <v>8939</v>
      </c>
      <c r="AK851" t="s">
        <v>8940</v>
      </c>
      <c r="AL851" t="s">
        <v>3946</v>
      </c>
      <c r="AM851" t="s">
        <v>8941</v>
      </c>
      <c r="AN851" t="s">
        <v>565</v>
      </c>
      <c r="AO851" t="s">
        <v>608</v>
      </c>
      <c r="AP851" t="s">
        <v>400</v>
      </c>
      <c r="AQ851" s="5">
        <v>78701</v>
      </c>
      <c r="AR851" t="s">
        <v>128</v>
      </c>
      <c r="AT851" s="4">
        <v>15124993649</v>
      </c>
      <c r="AV851" t="s">
        <v>8942</v>
      </c>
      <c r="AW851" t="s">
        <v>2701</v>
      </c>
      <c r="AX851" t="s">
        <v>131</v>
      </c>
      <c r="AY851" t="s">
        <v>131</v>
      </c>
      <c r="AZ851" t="s">
        <v>131</v>
      </c>
      <c r="BA851" t="s">
        <v>131</v>
      </c>
      <c r="BB851" t="s">
        <v>131</v>
      </c>
      <c r="BC851" t="s">
        <v>131</v>
      </c>
      <c r="BD851" t="s">
        <v>131</v>
      </c>
      <c r="BE851" t="s">
        <v>132</v>
      </c>
      <c r="BH851" t="s">
        <v>8943</v>
      </c>
      <c r="BI851" t="s">
        <v>131</v>
      </c>
      <c r="BL851" t="s">
        <v>401</v>
      </c>
      <c r="BO851" t="s">
        <v>131</v>
      </c>
      <c r="BP851" t="s">
        <v>134</v>
      </c>
      <c r="BQ851" t="s">
        <v>131</v>
      </c>
      <c r="BS851" t="str">
        <f t="shared" si="59"/>
        <v>N/A</v>
      </c>
      <c r="BT851" t="s">
        <v>131</v>
      </c>
      <c r="BV851" t="str">
        <f>""</f>
        <v/>
      </c>
      <c r="BW851" t="s">
        <v>135</v>
      </c>
      <c r="BX851" t="str">
        <f>""</f>
        <v/>
      </c>
      <c r="BY851" t="str">
        <f>""</f>
        <v/>
      </c>
      <c r="BZ851" t="str">
        <f>""</f>
        <v/>
      </c>
      <c r="CA851" t="str">
        <f>"Must be able to lift/carry up to 50 pounds and operate foot controls for full work shift."</f>
        <v>Must be able to lift/carry up to 50 pounds and operate foot controls for full work shift.</v>
      </c>
      <c r="CB851" t="s">
        <v>131</v>
      </c>
      <c r="CF851" t="s">
        <v>131</v>
      </c>
      <c r="CH851" t="str">
        <f>""</f>
        <v/>
      </c>
      <c r="CI851" t="s">
        <v>131</v>
      </c>
      <c r="CK851" t="s">
        <v>131</v>
      </c>
      <c r="CL851" t="str">
        <f>""</f>
        <v/>
      </c>
      <c r="CM851" t="str">
        <f>""</f>
        <v/>
      </c>
      <c r="CN851" t="str">
        <f>""</f>
        <v/>
      </c>
      <c r="CO851" t="str">
        <f>""</f>
        <v/>
      </c>
      <c r="CP851" t="str">
        <f>"51-2092.00"</f>
        <v>51-2092.00</v>
      </c>
      <c r="CQ851" t="s">
        <v>3007</v>
      </c>
      <c r="CS851" t="s">
        <v>131</v>
      </c>
      <c r="CU851" t="s">
        <v>8944</v>
      </c>
      <c r="CW851" t="s">
        <v>1602</v>
      </c>
      <c r="CX851" t="s">
        <v>1218</v>
      </c>
      <c r="CZ851" s="3" t="str">
        <f>"36830"</f>
        <v>36830</v>
      </c>
      <c r="DA851" t="s">
        <v>131</v>
      </c>
      <c r="DB851" t="str">
        <f>"51-2092"</f>
        <v>51-2092</v>
      </c>
      <c r="DC851" t="s">
        <v>3007</v>
      </c>
      <c r="DD851" t="s">
        <v>134</v>
      </c>
      <c r="DE851" t="s">
        <v>134</v>
      </c>
      <c r="DF851" t="str">
        <f>""</f>
        <v/>
      </c>
      <c r="DH851" s="6">
        <v>12.66</v>
      </c>
      <c r="DI851" t="s">
        <v>344</v>
      </c>
      <c r="DK851" t="s">
        <v>345</v>
      </c>
      <c r="DS851" s="6">
        <v>12.66</v>
      </c>
      <c r="DT851" t="s">
        <v>424</v>
      </c>
      <c r="DU851" s="1">
        <v>44369</v>
      </c>
      <c r="DV851" s="1">
        <v>44458</v>
      </c>
    </row>
    <row r="852" spans="1:126" ht="15" customHeight="1" x14ac:dyDescent="0.35">
      <c r="A852" t="s">
        <v>12132</v>
      </c>
      <c r="B852" t="s">
        <v>318</v>
      </c>
      <c r="C852" s="1">
        <v>44342</v>
      </c>
      <c r="D852" s="1">
        <v>44369</v>
      </c>
      <c r="H852" t="s">
        <v>319</v>
      </c>
      <c r="I852" t="s">
        <v>8935</v>
      </c>
      <c r="J852" t="s">
        <v>8550</v>
      </c>
      <c r="L852" t="s">
        <v>868</v>
      </c>
      <c r="M852" t="s">
        <v>8936</v>
      </c>
      <c r="O852" t="s">
        <v>5747</v>
      </c>
      <c r="P852" t="s">
        <v>388</v>
      </c>
      <c r="Q852" s="3">
        <v>53222</v>
      </c>
      <c r="R852" t="s">
        <v>128</v>
      </c>
      <c r="T852" s="4">
        <v>14145101011</v>
      </c>
      <c r="V852" t="s">
        <v>8937</v>
      </c>
      <c r="W852" t="s">
        <v>12133</v>
      </c>
      <c r="Y852" t="s">
        <v>12134</v>
      </c>
      <c r="AA852" t="s">
        <v>5747</v>
      </c>
      <c r="AB852" t="s">
        <v>389</v>
      </c>
      <c r="AC852" s="3" t="str">
        <f>"53222"</f>
        <v>53222</v>
      </c>
      <c r="AD852" t="s">
        <v>128</v>
      </c>
      <c r="AF852" s="4">
        <v>14144798105</v>
      </c>
      <c r="AH852" t="str">
        <f>"336310"</f>
        <v>336310</v>
      </c>
      <c r="AI852" t="s">
        <v>130</v>
      </c>
      <c r="AJ852" t="s">
        <v>8939</v>
      </c>
      <c r="AK852" t="s">
        <v>8940</v>
      </c>
      <c r="AL852" t="s">
        <v>3946</v>
      </c>
      <c r="AM852" t="s">
        <v>8941</v>
      </c>
      <c r="AN852" t="s">
        <v>565</v>
      </c>
      <c r="AO852" t="s">
        <v>1040</v>
      </c>
      <c r="AP852" t="s">
        <v>400</v>
      </c>
      <c r="AQ852" s="5">
        <v>78701</v>
      </c>
      <c r="AR852" t="s">
        <v>128</v>
      </c>
      <c r="AT852" s="4">
        <v>15124993649</v>
      </c>
      <c r="AV852" t="s">
        <v>8942</v>
      </c>
      <c r="AW852" t="s">
        <v>2701</v>
      </c>
      <c r="AX852" t="s">
        <v>131</v>
      </c>
      <c r="AY852" t="s">
        <v>131</v>
      </c>
      <c r="AZ852" t="s">
        <v>131</v>
      </c>
      <c r="BA852" t="s">
        <v>131</v>
      </c>
      <c r="BB852" t="s">
        <v>131</v>
      </c>
      <c r="BC852" t="s">
        <v>131</v>
      </c>
      <c r="BD852" t="s">
        <v>131</v>
      </c>
      <c r="BE852" t="s">
        <v>132</v>
      </c>
      <c r="BH852" t="s">
        <v>8943</v>
      </c>
      <c r="BI852" t="s">
        <v>131</v>
      </c>
      <c r="BL852" t="s">
        <v>401</v>
      </c>
      <c r="BO852" t="s">
        <v>131</v>
      </c>
      <c r="BP852" t="s">
        <v>134</v>
      </c>
      <c r="BQ852" t="s">
        <v>131</v>
      </c>
      <c r="BS852" t="str">
        <f t="shared" si="59"/>
        <v>N/A</v>
      </c>
      <c r="BT852" t="s">
        <v>131</v>
      </c>
      <c r="BV852" t="str">
        <f>""</f>
        <v/>
      </c>
      <c r="BW852" t="s">
        <v>135</v>
      </c>
      <c r="BX852" t="str">
        <f>""</f>
        <v/>
      </c>
      <c r="BY852" t="str">
        <f>""</f>
        <v/>
      </c>
      <c r="BZ852" t="str">
        <f>""</f>
        <v/>
      </c>
      <c r="CA852" t="str">
        <f>"Must be able to lift/carry up to 50 pounds and operate foot controls for full work shift."</f>
        <v>Must be able to lift/carry up to 50 pounds and operate foot controls for full work shift.</v>
      </c>
      <c r="CB852" t="s">
        <v>131</v>
      </c>
      <c r="CF852" t="s">
        <v>131</v>
      </c>
      <c r="CH852" t="str">
        <f>""</f>
        <v/>
      </c>
      <c r="CI852" t="s">
        <v>131</v>
      </c>
      <c r="CK852" t="s">
        <v>131</v>
      </c>
      <c r="CL852" t="str">
        <f>""</f>
        <v/>
      </c>
      <c r="CM852" t="str">
        <f>""</f>
        <v/>
      </c>
      <c r="CN852" t="str">
        <f>""</f>
        <v/>
      </c>
      <c r="CO852" t="str">
        <f>""</f>
        <v/>
      </c>
      <c r="CP852" t="str">
        <f>"51-2092.00"</f>
        <v>51-2092.00</v>
      </c>
      <c r="CQ852" t="s">
        <v>3007</v>
      </c>
      <c r="CS852" t="s">
        <v>131</v>
      </c>
      <c r="CU852" t="s">
        <v>12135</v>
      </c>
      <c r="CW852" t="s">
        <v>7340</v>
      </c>
      <c r="CX852" t="s">
        <v>258</v>
      </c>
      <c r="CZ852" s="3" t="str">
        <f>"63901"</f>
        <v>63901</v>
      </c>
      <c r="DA852" t="s">
        <v>131</v>
      </c>
      <c r="DB852" t="str">
        <f>"51-2092"</f>
        <v>51-2092</v>
      </c>
      <c r="DC852" t="s">
        <v>3007</v>
      </c>
      <c r="DD852" t="s">
        <v>134</v>
      </c>
      <c r="DE852" t="s">
        <v>134</v>
      </c>
      <c r="DF852" t="str">
        <f>""</f>
        <v/>
      </c>
      <c r="DH852" s="6">
        <v>13.99</v>
      </c>
      <c r="DI852" t="s">
        <v>344</v>
      </c>
      <c r="DK852" t="s">
        <v>345</v>
      </c>
      <c r="DS852" s="6">
        <v>13.99</v>
      </c>
      <c r="DT852" t="s">
        <v>424</v>
      </c>
      <c r="DU852" s="1">
        <v>44369</v>
      </c>
      <c r="DV852" s="1">
        <v>44458</v>
      </c>
    </row>
    <row r="853" spans="1:126" ht="15" customHeight="1" x14ac:dyDescent="0.35">
      <c r="A853" t="s">
        <v>19000</v>
      </c>
      <c r="B853" t="s">
        <v>318</v>
      </c>
      <c r="C853" s="1">
        <v>44342</v>
      </c>
      <c r="D853" s="1">
        <v>44369</v>
      </c>
      <c r="H853" t="s">
        <v>319</v>
      </c>
      <c r="I853" t="s">
        <v>8612</v>
      </c>
      <c r="J853" t="s">
        <v>8613</v>
      </c>
      <c r="L853" t="s">
        <v>1177</v>
      </c>
      <c r="M853" t="s">
        <v>17148</v>
      </c>
      <c r="O853" t="s">
        <v>616</v>
      </c>
      <c r="P853" t="s">
        <v>194</v>
      </c>
      <c r="Q853" s="3">
        <v>33133</v>
      </c>
      <c r="R853" t="s">
        <v>128</v>
      </c>
      <c r="T853" s="4">
        <v>13056073104</v>
      </c>
      <c r="V853" t="s">
        <v>8615</v>
      </c>
      <c r="W853" t="s">
        <v>8616</v>
      </c>
      <c r="Y853" t="s">
        <v>17148</v>
      </c>
      <c r="AA853" t="s">
        <v>616</v>
      </c>
      <c r="AB853" t="s">
        <v>195</v>
      </c>
      <c r="AC853" s="3" t="str">
        <f>"33133"</f>
        <v>33133</v>
      </c>
      <c r="AD853" t="s">
        <v>128</v>
      </c>
      <c r="AF853" s="4">
        <v>13056073104</v>
      </c>
      <c r="AH853" t="str">
        <f>"236117"</f>
        <v>236117</v>
      </c>
      <c r="AI853" t="s">
        <v>130</v>
      </c>
      <c r="AJ853" t="s">
        <v>8617</v>
      </c>
      <c r="AK853" t="s">
        <v>745</v>
      </c>
      <c r="AL853" t="s">
        <v>8618</v>
      </c>
      <c r="AM853" t="s">
        <v>8619</v>
      </c>
      <c r="AN853" t="s">
        <v>439</v>
      </c>
      <c r="AO853" t="s">
        <v>799</v>
      </c>
      <c r="AP853" t="s">
        <v>595</v>
      </c>
      <c r="AQ853" s="5">
        <v>20036</v>
      </c>
      <c r="AR853" t="s">
        <v>128</v>
      </c>
      <c r="AT853" s="4">
        <v>12026507415</v>
      </c>
      <c r="AV853" t="s">
        <v>8620</v>
      </c>
      <c r="AW853" t="s">
        <v>8621</v>
      </c>
      <c r="AX853" t="s">
        <v>131</v>
      </c>
      <c r="AY853" t="s">
        <v>131</v>
      </c>
      <c r="AZ853" t="s">
        <v>131</v>
      </c>
      <c r="BA853" t="s">
        <v>131</v>
      </c>
      <c r="BB853" t="s">
        <v>131</v>
      </c>
      <c r="BC853" t="s">
        <v>131</v>
      </c>
      <c r="BD853" t="s">
        <v>131</v>
      </c>
      <c r="BE853" t="s">
        <v>132</v>
      </c>
      <c r="BH853" t="s">
        <v>19001</v>
      </c>
      <c r="BI853" t="s">
        <v>131</v>
      </c>
      <c r="BL853" t="s">
        <v>167</v>
      </c>
      <c r="BO853" t="s">
        <v>131</v>
      </c>
      <c r="BP853" t="s">
        <v>134</v>
      </c>
      <c r="BQ853" t="s">
        <v>131</v>
      </c>
      <c r="BS853" t="str">
        <f t="shared" si="59"/>
        <v>N/A</v>
      </c>
      <c r="BT853" t="s">
        <v>135</v>
      </c>
      <c r="BU853">
        <v>60</v>
      </c>
      <c r="BV853" t="str">
        <f>"Electrician"</f>
        <v>Electrician</v>
      </c>
      <c r="BW853" t="s">
        <v>131</v>
      </c>
      <c r="BX853" t="str">
        <f>""</f>
        <v/>
      </c>
      <c r="BY853" t="str">
        <f>""</f>
        <v/>
      </c>
      <c r="BZ853" t="str">
        <f>""</f>
        <v/>
      </c>
      <c r="CA853" t="str">
        <f>""</f>
        <v/>
      </c>
      <c r="CB853" t="s">
        <v>131</v>
      </c>
      <c r="CF853" t="s">
        <v>131</v>
      </c>
      <c r="CH853" t="str">
        <f>""</f>
        <v/>
      </c>
      <c r="CI853" t="s">
        <v>131</v>
      </c>
      <c r="CK853" t="s">
        <v>131</v>
      </c>
      <c r="CL853" t="str">
        <f>""</f>
        <v/>
      </c>
      <c r="CM853" t="str">
        <f>""</f>
        <v/>
      </c>
      <c r="CN853" t="str">
        <f>""</f>
        <v/>
      </c>
      <c r="CO853" t="str">
        <f>""</f>
        <v/>
      </c>
      <c r="CP853" t="str">
        <f>"47-2111.00"</f>
        <v>47-2111.00</v>
      </c>
      <c r="CQ853" t="s">
        <v>9441</v>
      </c>
      <c r="CS853" t="s">
        <v>131</v>
      </c>
      <c r="CU853" t="s">
        <v>8624</v>
      </c>
      <c r="CW853" t="s">
        <v>8625</v>
      </c>
      <c r="CX853" t="s">
        <v>195</v>
      </c>
      <c r="CZ853" s="3" t="str">
        <f>"33149"</f>
        <v>33149</v>
      </c>
      <c r="DA853" t="s">
        <v>135</v>
      </c>
      <c r="DB853" t="str">
        <f>"47-2111"</f>
        <v>47-2111</v>
      </c>
      <c r="DC853" t="s">
        <v>9441</v>
      </c>
      <c r="DD853" t="s">
        <v>134</v>
      </c>
      <c r="DE853" t="s">
        <v>134</v>
      </c>
      <c r="DF853" t="str">
        <f>""</f>
        <v/>
      </c>
      <c r="DH853" s="6">
        <v>22.25</v>
      </c>
      <c r="DI853" t="s">
        <v>344</v>
      </c>
      <c r="DK853" t="s">
        <v>345</v>
      </c>
      <c r="DR853" t="s">
        <v>2160</v>
      </c>
      <c r="DS853" s="6">
        <v>22.25</v>
      </c>
      <c r="DT853" t="s">
        <v>424</v>
      </c>
      <c r="DU853" s="1">
        <v>44369</v>
      </c>
      <c r="DV853" s="1">
        <v>44458</v>
      </c>
    </row>
    <row r="854" spans="1:126" ht="15" customHeight="1" x14ac:dyDescent="0.35">
      <c r="A854" t="s">
        <v>6387</v>
      </c>
      <c r="B854" t="s">
        <v>318</v>
      </c>
      <c r="C854" s="1">
        <v>44342</v>
      </c>
      <c r="D854" s="1">
        <v>44369</v>
      </c>
      <c r="H854" t="s">
        <v>319</v>
      </c>
      <c r="I854" t="s">
        <v>6388</v>
      </c>
      <c r="J854" t="s">
        <v>6389</v>
      </c>
      <c r="K854" t="s">
        <v>134</v>
      </c>
      <c r="L854" t="s">
        <v>1105</v>
      </c>
      <c r="M854" t="s">
        <v>6390</v>
      </c>
      <c r="O854" t="s">
        <v>6188</v>
      </c>
      <c r="P854" t="s">
        <v>256</v>
      </c>
      <c r="Q854" s="3">
        <v>63026</v>
      </c>
      <c r="R854" t="s">
        <v>128</v>
      </c>
      <c r="T854" s="4">
        <v>13145184937</v>
      </c>
      <c r="V854" t="s">
        <v>6391</v>
      </c>
      <c r="W854" t="s">
        <v>6392</v>
      </c>
      <c r="Y854" t="s">
        <v>6390</v>
      </c>
      <c r="AA854" t="s">
        <v>6188</v>
      </c>
      <c r="AB854" t="s">
        <v>258</v>
      </c>
      <c r="AC854" s="3" t="str">
        <f>"63026"</f>
        <v>63026</v>
      </c>
      <c r="AD854" t="s">
        <v>128</v>
      </c>
      <c r="AF854" s="4">
        <v>13145184937</v>
      </c>
      <c r="AH854" t="str">
        <f>"56173"</f>
        <v>56173</v>
      </c>
      <c r="AI854" t="s">
        <v>287</v>
      </c>
      <c r="AJ854" t="s">
        <v>5363</v>
      </c>
      <c r="AK854" t="s">
        <v>5364</v>
      </c>
      <c r="AL854" t="s">
        <v>134</v>
      </c>
      <c r="AM854" t="s">
        <v>5365</v>
      </c>
      <c r="AN854" t="s">
        <v>2377</v>
      </c>
      <c r="AO854" t="s">
        <v>4815</v>
      </c>
      <c r="AP854" t="s">
        <v>1243</v>
      </c>
      <c r="AQ854" s="5">
        <v>83814</v>
      </c>
      <c r="AR854" t="s">
        <v>128</v>
      </c>
      <c r="AT854" s="4">
        <v>12087772654</v>
      </c>
      <c r="AV854" t="s">
        <v>5366</v>
      </c>
      <c r="AW854" t="s">
        <v>4715</v>
      </c>
      <c r="AX854" t="s">
        <v>131</v>
      </c>
      <c r="AY854" t="s">
        <v>131</v>
      </c>
      <c r="AZ854" t="s">
        <v>131</v>
      </c>
      <c r="BA854" t="s">
        <v>131</v>
      </c>
      <c r="BB854" t="s">
        <v>131</v>
      </c>
      <c r="BC854" t="s">
        <v>131</v>
      </c>
      <c r="BD854" t="s">
        <v>131</v>
      </c>
      <c r="BE854" t="s">
        <v>132</v>
      </c>
      <c r="BH854" t="s">
        <v>2215</v>
      </c>
      <c r="BI854" t="s">
        <v>131</v>
      </c>
      <c r="BL854" t="s">
        <v>167</v>
      </c>
      <c r="BO854" t="s">
        <v>131</v>
      </c>
      <c r="BP854" t="s">
        <v>134</v>
      </c>
      <c r="BQ854" t="s">
        <v>131</v>
      </c>
      <c r="BS854" t="str">
        <f t="shared" si="59"/>
        <v>N/A</v>
      </c>
      <c r="BT854" t="s">
        <v>131</v>
      </c>
      <c r="BV854" t="str">
        <f>""</f>
        <v/>
      </c>
      <c r="BW854" t="s">
        <v>135</v>
      </c>
      <c r="BX854" t="str">
        <f>""</f>
        <v/>
      </c>
      <c r="BY854" t="str">
        <f>""</f>
        <v/>
      </c>
      <c r="BZ854" t="str">
        <f>""</f>
        <v/>
      </c>
      <c r="CA854" t="s">
        <v>6393</v>
      </c>
      <c r="CB854" t="s">
        <v>131</v>
      </c>
      <c r="CF854" t="s">
        <v>131</v>
      </c>
      <c r="CH854" t="str">
        <f>""</f>
        <v/>
      </c>
      <c r="CI854" t="s">
        <v>131</v>
      </c>
      <c r="CK854" t="s">
        <v>131</v>
      </c>
      <c r="CL854" t="str">
        <f>""</f>
        <v/>
      </c>
      <c r="CM854" t="str">
        <f>""</f>
        <v/>
      </c>
      <c r="CN854" t="str">
        <f>""</f>
        <v/>
      </c>
      <c r="CO854" t="str">
        <f>""</f>
        <v/>
      </c>
      <c r="CP854" t="str">
        <f>"37-3011.00"</f>
        <v>37-3011.00</v>
      </c>
      <c r="CQ854" t="s">
        <v>920</v>
      </c>
      <c r="CR854" t="s">
        <v>134</v>
      </c>
      <c r="CS854" t="s">
        <v>135</v>
      </c>
      <c r="CT854" t="s">
        <v>6394</v>
      </c>
      <c r="CU854" t="s">
        <v>6395</v>
      </c>
      <c r="CW854" t="s">
        <v>6188</v>
      </c>
      <c r="CX854" t="s">
        <v>258</v>
      </c>
      <c r="CZ854" s="3" t="str">
        <f>"63026"</f>
        <v>63026</v>
      </c>
      <c r="DA854" t="s">
        <v>135</v>
      </c>
      <c r="DB854" t="str">
        <f>"37-3011"</f>
        <v>37-3011</v>
      </c>
      <c r="DC854" t="s">
        <v>920</v>
      </c>
      <c r="DD854" t="s">
        <v>134</v>
      </c>
      <c r="DE854" t="s">
        <v>134</v>
      </c>
      <c r="DF854" t="str">
        <f>""</f>
        <v/>
      </c>
      <c r="DH854" s="6">
        <v>15.37</v>
      </c>
      <c r="DI854" t="s">
        <v>344</v>
      </c>
      <c r="DK854" t="s">
        <v>345</v>
      </c>
      <c r="DR854" t="s">
        <v>4139</v>
      </c>
      <c r="DS854" s="6">
        <v>15.37</v>
      </c>
      <c r="DT854" s="2" t="s">
        <v>347</v>
      </c>
      <c r="DU854" s="1">
        <v>44369</v>
      </c>
      <c r="DV854" s="1">
        <v>44458</v>
      </c>
    </row>
    <row r="855" spans="1:126" ht="15" customHeight="1" x14ac:dyDescent="0.35">
      <c r="A855" t="s">
        <v>12688</v>
      </c>
      <c r="B855" t="s">
        <v>318</v>
      </c>
      <c r="C855" s="1">
        <v>44342</v>
      </c>
      <c r="D855" s="1">
        <v>44369</v>
      </c>
      <c r="H855" t="s">
        <v>319</v>
      </c>
      <c r="I855" t="s">
        <v>2657</v>
      </c>
      <c r="J855" t="s">
        <v>1222</v>
      </c>
      <c r="K855" t="s">
        <v>1568</v>
      </c>
      <c r="L855" t="s">
        <v>395</v>
      </c>
      <c r="M855" t="s">
        <v>12689</v>
      </c>
      <c r="O855" t="s">
        <v>12690</v>
      </c>
      <c r="P855" t="s">
        <v>412</v>
      </c>
      <c r="Q855" s="3">
        <v>77573</v>
      </c>
      <c r="R855" t="s">
        <v>128</v>
      </c>
      <c r="T855" s="4">
        <v>12813337702</v>
      </c>
      <c r="V855" t="s">
        <v>12691</v>
      </c>
      <c r="W855" t="s">
        <v>12692</v>
      </c>
      <c r="Y855" t="s">
        <v>12689</v>
      </c>
      <c r="AA855" t="s">
        <v>12690</v>
      </c>
      <c r="AB855" t="s">
        <v>400</v>
      </c>
      <c r="AC855" s="3" t="str">
        <f>"77573"</f>
        <v>77573</v>
      </c>
      <c r="AD855" t="s">
        <v>128</v>
      </c>
      <c r="AF855" s="4">
        <v>12813337702</v>
      </c>
      <c r="AH855" t="str">
        <f>"333249"</f>
        <v>333249</v>
      </c>
      <c r="AI855" t="s">
        <v>130</v>
      </c>
      <c r="AJ855" t="s">
        <v>7865</v>
      </c>
      <c r="AK855" t="s">
        <v>7866</v>
      </c>
      <c r="AL855" t="s">
        <v>408</v>
      </c>
      <c r="AM855" t="s">
        <v>7867</v>
      </c>
      <c r="AN855" t="s">
        <v>554</v>
      </c>
      <c r="AO855" t="s">
        <v>1800</v>
      </c>
      <c r="AP855" t="s">
        <v>400</v>
      </c>
      <c r="AQ855" s="5">
        <v>77701</v>
      </c>
      <c r="AR855" t="s">
        <v>128</v>
      </c>
      <c r="AT855" s="4">
        <v>14098386412</v>
      </c>
      <c r="AV855" t="s">
        <v>7868</v>
      </c>
      <c r="AW855" t="s">
        <v>7869</v>
      </c>
      <c r="AX855" t="s">
        <v>131</v>
      </c>
      <c r="AY855" t="s">
        <v>131</v>
      </c>
      <c r="AZ855" t="s">
        <v>131</v>
      </c>
      <c r="BA855" t="s">
        <v>131</v>
      </c>
      <c r="BB855" t="s">
        <v>131</v>
      </c>
      <c r="BC855" t="s">
        <v>131</v>
      </c>
      <c r="BD855" t="s">
        <v>131</v>
      </c>
      <c r="BE855" t="s">
        <v>132</v>
      </c>
      <c r="BH855" t="s">
        <v>7077</v>
      </c>
      <c r="BI855" t="s">
        <v>131</v>
      </c>
      <c r="BL855" t="s">
        <v>167</v>
      </c>
      <c r="BO855" t="s">
        <v>131</v>
      </c>
      <c r="BP855" t="s">
        <v>134</v>
      </c>
      <c r="BQ855" t="s">
        <v>131</v>
      </c>
      <c r="BS855" t="str">
        <f t="shared" si="59"/>
        <v>N/A</v>
      </c>
      <c r="BT855" t="s">
        <v>135</v>
      </c>
      <c r="BU855">
        <v>24</v>
      </c>
      <c r="BV855" t="str">
        <f>"Pipe Fitter"</f>
        <v>Pipe Fitter</v>
      </c>
      <c r="BW855" t="s">
        <v>135</v>
      </c>
      <c r="BX855" t="str">
        <f>""</f>
        <v/>
      </c>
      <c r="BY855" t="str">
        <f>""</f>
        <v/>
      </c>
      <c r="BZ855" t="str">
        <f>""</f>
        <v/>
      </c>
      <c r="CA855" t="s">
        <v>12693</v>
      </c>
      <c r="CB855" t="s">
        <v>131</v>
      </c>
      <c r="CF855" t="s">
        <v>131</v>
      </c>
      <c r="CH855" t="str">
        <f>""</f>
        <v/>
      </c>
      <c r="CI855" t="s">
        <v>131</v>
      </c>
      <c r="CK855" t="s">
        <v>131</v>
      </c>
      <c r="CL855" t="str">
        <f>""</f>
        <v/>
      </c>
      <c r="CM855" t="str">
        <f>""</f>
        <v/>
      </c>
      <c r="CN855" t="str">
        <f>""</f>
        <v/>
      </c>
      <c r="CO855" t="str">
        <f>""</f>
        <v/>
      </c>
      <c r="CP855" t="str">
        <f>"47-2152.00"</f>
        <v>47-2152.00</v>
      </c>
      <c r="CQ855" t="s">
        <v>4043</v>
      </c>
      <c r="CR855" t="s">
        <v>7871</v>
      </c>
      <c r="CS855" t="s">
        <v>131</v>
      </c>
      <c r="CU855" t="s">
        <v>6506</v>
      </c>
      <c r="CW855" t="s">
        <v>6507</v>
      </c>
      <c r="CX855" t="s">
        <v>400</v>
      </c>
      <c r="CZ855" s="3" t="str">
        <f>"78362"</f>
        <v>78362</v>
      </c>
      <c r="DA855" t="s">
        <v>135</v>
      </c>
      <c r="DB855" t="str">
        <f>"47-2152"</f>
        <v>47-2152</v>
      </c>
      <c r="DC855" t="s">
        <v>4043</v>
      </c>
      <c r="DD855" t="s">
        <v>10002</v>
      </c>
      <c r="DE855" t="s">
        <v>7078</v>
      </c>
      <c r="DF855" t="str">
        <f>""</f>
        <v/>
      </c>
      <c r="DH855" s="6">
        <v>24.71</v>
      </c>
      <c r="DI855" t="s">
        <v>344</v>
      </c>
      <c r="DK855" t="s">
        <v>345</v>
      </c>
      <c r="DS855" s="6">
        <v>24.71</v>
      </c>
      <c r="DT855" t="s">
        <v>424</v>
      </c>
      <c r="DU855" s="1">
        <v>44369</v>
      </c>
      <c r="DV855" s="1">
        <v>44458</v>
      </c>
    </row>
    <row r="856" spans="1:126" ht="15" customHeight="1" x14ac:dyDescent="0.35">
      <c r="A856" t="s">
        <v>18208</v>
      </c>
      <c r="B856" t="s">
        <v>318</v>
      </c>
      <c r="C856" s="1">
        <v>44342</v>
      </c>
      <c r="D856" s="1">
        <v>44369</v>
      </c>
      <c r="H856" t="s">
        <v>319</v>
      </c>
      <c r="I856" t="s">
        <v>2657</v>
      </c>
      <c r="J856" t="s">
        <v>1222</v>
      </c>
      <c r="K856" t="s">
        <v>1568</v>
      </c>
      <c r="L856" t="s">
        <v>395</v>
      </c>
      <c r="M856" t="s">
        <v>12689</v>
      </c>
      <c r="O856" t="s">
        <v>12690</v>
      </c>
      <c r="P856" t="s">
        <v>412</v>
      </c>
      <c r="Q856" s="3">
        <v>77573</v>
      </c>
      <c r="R856" t="s">
        <v>128</v>
      </c>
      <c r="T856" s="4">
        <v>12813337702</v>
      </c>
      <c r="V856" t="s">
        <v>12691</v>
      </c>
      <c r="W856" t="s">
        <v>12692</v>
      </c>
      <c r="Y856" t="s">
        <v>12689</v>
      </c>
      <c r="AA856" t="s">
        <v>12690</v>
      </c>
      <c r="AB856" t="s">
        <v>400</v>
      </c>
      <c r="AC856" s="3" t="str">
        <f>"77573"</f>
        <v>77573</v>
      </c>
      <c r="AD856" t="s">
        <v>128</v>
      </c>
      <c r="AF856" s="4">
        <v>12813337702</v>
      </c>
      <c r="AH856" t="str">
        <f>"333249"</f>
        <v>333249</v>
      </c>
      <c r="AI856" t="s">
        <v>130</v>
      </c>
      <c r="AJ856" t="s">
        <v>7865</v>
      </c>
      <c r="AK856" t="s">
        <v>7866</v>
      </c>
      <c r="AL856" t="s">
        <v>408</v>
      </c>
      <c r="AM856" t="s">
        <v>7867</v>
      </c>
      <c r="AN856" t="s">
        <v>554</v>
      </c>
      <c r="AO856" t="s">
        <v>1800</v>
      </c>
      <c r="AP856" t="s">
        <v>400</v>
      </c>
      <c r="AQ856" s="5">
        <v>77701</v>
      </c>
      <c r="AR856" t="s">
        <v>128</v>
      </c>
      <c r="AT856" s="4">
        <v>14098386412</v>
      </c>
      <c r="AV856" t="s">
        <v>7868</v>
      </c>
      <c r="AW856" t="s">
        <v>7869</v>
      </c>
      <c r="AX856" t="s">
        <v>131</v>
      </c>
      <c r="AY856" t="s">
        <v>131</v>
      </c>
      <c r="AZ856" t="s">
        <v>131</v>
      </c>
      <c r="BA856" t="s">
        <v>131</v>
      </c>
      <c r="BB856" t="s">
        <v>131</v>
      </c>
      <c r="BC856" t="s">
        <v>131</v>
      </c>
      <c r="BD856" t="s">
        <v>131</v>
      </c>
      <c r="BE856" t="s">
        <v>132</v>
      </c>
      <c r="BH856" t="s">
        <v>7870</v>
      </c>
      <c r="BI856" t="s">
        <v>131</v>
      </c>
      <c r="BL856" t="s">
        <v>167</v>
      </c>
      <c r="BO856" t="s">
        <v>131</v>
      </c>
      <c r="BP856" t="s">
        <v>134</v>
      </c>
      <c r="BQ856" t="s">
        <v>131</v>
      </c>
      <c r="BS856" t="str">
        <f t="shared" si="59"/>
        <v>N/A</v>
      </c>
      <c r="BT856" t="s">
        <v>135</v>
      </c>
      <c r="BU856">
        <v>24</v>
      </c>
      <c r="BV856" t="str">
        <f>"Welder"</f>
        <v>Welder</v>
      </c>
      <c r="BW856" t="s">
        <v>135</v>
      </c>
      <c r="BX856" t="str">
        <f>""</f>
        <v/>
      </c>
      <c r="BY856" t="str">
        <f>""</f>
        <v/>
      </c>
      <c r="BZ856" t="str">
        <f>""</f>
        <v/>
      </c>
      <c r="CA856" t="s">
        <v>18209</v>
      </c>
      <c r="CB856" t="s">
        <v>131</v>
      </c>
      <c r="CF856" t="s">
        <v>131</v>
      </c>
      <c r="CH856" t="str">
        <f>""</f>
        <v/>
      </c>
      <c r="CI856" t="s">
        <v>131</v>
      </c>
      <c r="CK856" t="s">
        <v>131</v>
      </c>
      <c r="CL856" t="str">
        <f>""</f>
        <v/>
      </c>
      <c r="CM856" t="str">
        <f>""</f>
        <v/>
      </c>
      <c r="CN856" t="str">
        <f>""</f>
        <v/>
      </c>
      <c r="CO856" t="str">
        <f>""</f>
        <v/>
      </c>
      <c r="CP856" t="str">
        <f>"51-4121.06"</f>
        <v>51-4121.06</v>
      </c>
      <c r="CQ856" t="s">
        <v>3003</v>
      </c>
      <c r="CR856" t="s">
        <v>7871</v>
      </c>
      <c r="CS856" t="s">
        <v>131</v>
      </c>
      <c r="CU856" t="s">
        <v>6506</v>
      </c>
      <c r="CW856" t="s">
        <v>6507</v>
      </c>
      <c r="CX856" t="s">
        <v>400</v>
      </c>
      <c r="CZ856" s="3" t="str">
        <f>"78362"</f>
        <v>78362</v>
      </c>
      <c r="DA856" t="s">
        <v>135</v>
      </c>
      <c r="DB856" t="str">
        <f>"51-4121"</f>
        <v>51-4121</v>
      </c>
      <c r="DC856" t="s">
        <v>6508</v>
      </c>
      <c r="DD856" t="s">
        <v>18210</v>
      </c>
      <c r="DE856" t="s">
        <v>3003</v>
      </c>
      <c r="DF856" t="str">
        <f>""</f>
        <v/>
      </c>
      <c r="DH856" s="6">
        <v>24.95</v>
      </c>
      <c r="DI856" t="s">
        <v>344</v>
      </c>
      <c r="DK856" t="s">
        <v>345</v>
      </c>
      <c r="DS856" s="6">
        <v>24.95</v>
      </c>
      <c r="DT856" t="s">
        <v>424</v>
      </c>
      <c r="DU856" s="1">
        <v>44369</v>
      </c>
      <c r="DV856" s="1">
        <v>44458</v>
      </c>
    </row>
    <row r="857" spans="1:126" ht="15" customHeight="1" x14ac:dyDescent="0.35">
      <c r="A857" t="s">
        <v>18103</v>
      </c>
      <c r="B857" t="s">
        <v>318</v>
      </c>
      <c r="C857" s="1">
        <v>44342</v>
      </c>
      <c r="D857" s="1">
        <v>44369</v>
      </c>
      <c r="H857" t="s">
        <v>319</v>
      </c>
      <c r="I857" t="s">
        <v>13358</v>
      </c>
      <c r="J857" t="s">
        <v>254</v>
      </c>
      <c r="L857" t="s">
        <v>13359</v>
      </c>
      <c r="M857" t="s">
        <v>13360</v>
      </c>
      <c r="O857" t="s">
        <v>13361</v>
      </c>
      <c r="P857" t="s">
        <v>593</v>
      </c>
      <c r="Q857" s="3">
        <v>28801</v>
      </c>
      <c r="R857" t="s">
        <v>128</v>
      </c>
      <c r="T857" s="4">
        <v>18282256778</v>
      </c>
      <c r="V857" t="s">
        <v>13362</v>
      </c>
      <c r="W857" t="s">
        <v>13363</v>
      </c>
      <c r="Y857" t="s">
        <v>13360</v>
      </c>
      <c r="AA857" t="s">
        <v>677</v>
      </c>
      <c r="AB857" t="s">
        <v>594</v>
      </c>
      <c r="AC857" s="3" t="str">
        <f>"28801"</f>
        <v>28801</v>
      </c>
      <c r="AD857" t="s">
        <v>128</v>
      </c>
      <c r="AF857" s="4">
        <v>18282256778</v>
      </c>
      <c r="AH857" t="str">
        <f>"7211"</f>
        <v>7211</v>
      </c>
      <c r="AI857" t="s">
        <v>130</v>
      </c>
      <c r="AJ857" t="s">
        <v>1080</v>
      </c>
      <c r="AK857" t="s">
        <v>1278</v>
      </c>
      <c r="AL857" t="s">
        <v>2210</v>
      </c>
      <c r="AM857" t="s">
        <v>4475</v>
      </c>
      <c r="AN857" t="s">
        <v>1507</v>
      </c>
      <c r="AO857" t="s">
        <v>642</v>
      </c>
      <c r="AP857" t="s">
        <v>643</v>
      </c>
      <c r="AQ857" s="5">
        <v>30309</v>
      </c>
      <c r="AR857" t="s">
        <v>128</v>
      </c>
      <c r="AT857" s="4">
        <v>14042404151</v>
      </c>
      <c r="AV857" t="s">
        <v>4476</v>
      </c>
      <c r="AW857" t="s">
        <v>559</v>
      </c>
      <c r="AX857" t="s">
        <v>131</v>
      </c>
      <c r="AY857" t="s">
        <v>131</v>
      </c>
      <c r="AZ857" t="s">
        <v>131</v>
      </c>
      <c r="BA857" t="s">
        <v>131</v>
      </c>
      <c r="BB857" t="s">
        <v>131</v>
      </c>
      <c r="BC857" t="s">
        <v>131</v>
      </c>
      <c r="BD857" t="s">
        <v>131</v>
      </c>
      <c r="BE857" t="s">
        <v>132</v>
      </c>
      <c r="BH857" t="s">
        <v>6518</v>
      </c>
      <c r="BI857" t="s">
        <v>131</v>
      </c>
      <c r="BL857" t="s">
        <v>167</v>
      </c>
      <c r="BO857" t="s">
        <v>131</v>
      </c>
      <c r="BP857" t="s">
        <v>134</v>
      </c>
      <c r="BQ857" t="s">
        <v>131</v>
      </c>
      <c r="BS857" t="str">
        <f t="shared" si="59"/>
        <v>N/A</v>
      </c>
      <c r="BT857" t="s">
        <v>131</v>
      </c>
      <c r="BV857" t="str">
        <f>""</f>
        <v/>
      </c>
      <c r="BW857" t="s">
        <v>135</v>
      </c>
      <c r="BX857" t="str">
        <f>""</f>
        <v/>
      </c>
      <c r="BY857" t="str">
        <f>""</f>
        <v/>
      </c>
      <c r="BZ857" t="str">
        <f>""</f>
        <v/>
      </c>
      <c r="CA857" t="s">
        <v>18104</v>
      </c>
      <c r="CB857" t="s">
        <v>131</v>
      </c>
      <c r="CF857" t="s">
        <v>131</v>
      </c>
      <c r="CH857" t="str">
        <f>""</f>
        <v/>
      </c>
      <c r="CI857" t="s">
        <v>131</v>
      </c>
      <c r="CK857" t="s">
        <v>131</v>
      </c>
      <c r="CL857" t="str">
        <f>""</f>
        <v/>
      </c>
      <c r="CM857" t="str">
        <f>""</f>
        <v/>
      </c>
      <c r="CN857" t="str">
        <f>""</f>
        <v/>
      </c>
      <c r="CO857" t="str">
        <f>""</f>
        <v/>
      </c>
      <c r="CP857" t="str">
        <f>"35-9011.00"</f>
        <v>35-9011.00</v>
      </c>
      <c r="CQ857" t="s">
        <v>1016</v>
      </c>
      <c r="CS857" t="s">
        <v>131</v>
      </c>
      <c r="CU857" t="s">
        <v>18105</v>
      </c>
      <c r="CV857" t="s">
        <v>13367</v>
      </c>
      <c r="CW857" t="s">
        <v>677</v>
      </c>
      <c r="CX857" t="s">
        <v>594</v>
      </c>
      <c r="CZ857" s="3" t="str">
        <f>"28803"</f>
        <v>28803</v>
      </c>
      <c r="DA857" t="s">
        <v>131</v>
      </c>
      <c r="DB857" t="str">
        <f>"35-9011"</f>
        <v>35-9011</v>
      </c>
      <c r="DC857" t="s">
        <v>1016</v>
      </c>
      <c r="DD857" t="s">
        <v>134</v>
      </c>
      <c r="DE857" t="s">
        <v>134</v>
      </c>
      <c r="DF857" t="str">
        <f>""</f>
        <v/>
      </c>
      <c r="DH857" s="6">
        <v>10.68</v>
      </c>
      <c r="DI857" t="s">
        <v>344</v>
      </c>
      <c r="DK857" t="s">
        <v>345</v>
      </c>
      <c r="DR857" t="s">
        <v>13368</v>
      </c>
      <c r="DS857" s="6">
        <v>10.68</v>
      </c>
      <c r="DT857" t="s">
        <v>424</v>
      </c>
      <c r="DU857" s="1">
        <v>44369</v>
      </c>
      <c r="DV857" s="1">
        <v>44458</v>
      </c>
    </row>
    <row r="858" spans="1:126" ht="15" customHeight="1" x14ac:dyDescent="0.35">
      <c r="A858" t="s">
        <v>13694</v>
      </c>
      <c r="B858" t="s">
        <v>318</v>
      </c>
      <c r="C858" s="1">
        <v>44342</v>
      </c>
      <c r="D858" s="1">
        <v>44369</v>
      </c>
      <c r="H858" t="s">
        <v>319</v>
      </c>
      <c r="I858" t="s">
        <v>13358</v>
      </c>
      <c r="J858" t="s">
        <v>254</v>
      </c>
      <c r="L858" t="s">
        <v>13359</v>
      </c>
      <c r="M858" t="s">
        <v>13360</v>
      </c>
      <c r="O858" t="s">
        <v>13361</v>
      </c>
      <c r="P858" t="s">
        <v>593</v>
      </c>
      <c r="Q858" s="3">
        <v>28801</v>
      </c>
      <c r="R858" t="s">
        <v>128</v>
      </c>
      <c r="T858" s="4">
        <v>18282256778</v>
      </c>
      <c r="V858" t="s">
        <v>13362</v>
      </c>
      <c r="W858" t="s">
        <v>13363</v>
      </c>
      <c r="Y858" t="s">
        <v>13360</v>
      </c>
      <c r="AA858" t="s">
        <v>677</v>
      </c>
      <c r="AB858" t="s">
        <v>594</v>
      </c>
      <c r="AC858" s="3" t="str">
        <f>"28801"</f>
        <v>28801</v>
      </c>
      <c r="AD858" t="s">
        <v>128</v>
      </c>
      <c r="AF858" s="4">
        <v>18282256778</v>
      </c>
      <c r="AH858" t="str">
        <f>"7211"</f>
        <v>7211</v>
      </c>
      <c r="AI858" t="s">
        <v>130</v>
      </c>
      <c r="AJ858" t="s">
        <v>1080</v>
      </c>
      <c r="AK858" t="s">
        <v>1278</v>
      </c>
      <c r="AL858" t="s">
        <v>2210</v>
      </c>
      <c r="AM858" t="s">
        <v>4475</v>
      </c>
      <c r="AN858" t="s">
        <v>1507</v>
      </c>
      <c r="AO858" t="s">
        <v>642</v>
      </c>
      <c r="AP858" t="s">
        <v>643</v>
      </c>
      <c r="AQ858" s="5">
        <v>30309</v>
      </c>
      <c r="AR858" t="s">
        <v>128</v>
      </c>
      <c r="AT858" s="4">
        <v>14042404151</v>
      </c>
      <c r="AV858" t="s">
        <v>4476</v>
      </c>
      <c r="AW858" t="s">
        <v>559</v>
      </c>
      <c r="AX858" t="s">
        <v>131</v>
      </c>
      <c r="AY858" t="s">
        <v>131</v>
      </c>
      <c r="AZ858" t="s">
        <v>131</v>
      </c>
      <c r="BA858" t="s">
        <v>131</v>
      </c>
      <c r="BB858" t="s">
        <v>131</v>
      </c>
      <c r="BC858" t="s">
        <v>131</v>
      </c>
      <c r="BD858" t="s">
        <v>131</v>
      </c>
      <c r="BE858" t="s">
        <v>132</v>
      </c>
      <c r="BH858" t="s">
        <v>1639</v>
      </c>
      <c r="BI858" t="s">
        <v>131</v>
      </c>
      <c r="BL858" t="s">
        <v>167</v>
      </c>
      <c r="BO858" t="s">
        <v>131</v>
      </c>
      <c r="BP858" t="s">
        <v>134</v>
      </c>
      <c r="BQ858" t="s">
        <v>131</v>
      </c>
      <c r="BS858" t="str">
        <f t="shared" si="59"/>
        <v>N/A</v>
      </c>
      <c r="BT858" t="s">
        <v>131</v>
      </c>
      <c r="BV858" t="str">
        <f>""</f>
        <v/>
      </c>
      <c r="BW858" t="s">
        <v>135</v>
      </c>
      <c r="BX858" t="str">
        <f>""</f>
        <v/>
      </c>
      <c r="BY858" t="str">
        <f>""</f>
        <v/>
      </c>
      <c r="BZ858" t="str">
        <f>""</f>
        <v/>
      </c>
      <c r="CA858" t="s">
        <v>13695</v>
      </c>
      <c r="CB858" t="s">
        <v>131</v>
      </c>
      <c r="CF858" t="s">
        <v>131</v>
      </c>
      <c r="CH858" t="str">
        <f>""</f>
        <v/>
      </c>
      <c r="CI858" t="s">
        <v>131</v>
      </c>
      <c r="CK858" t="s">
        <v>131</v>
      </c>
      <c r="CL858" t="str">
        <f>""</f>
        <v/>
      </c>
      <c r="CM858" t="str">
        <f>""</f>
        <v/>
      </c>
      <c r="CN858" t="str">
        <f>""</f>
        <v/>
      </c>
      <c r="CO858" t="str">
        <f>""</f>
        <v/>
      </c>
      <c r="CP858" t="str">
        <f>"37-2012.00"</f>
        <v>37-2012.00</v>
      </c>
      <c r="CQ858" t="s">
        <v>479</v>
      </c>
      <c r="CS858" t="s">
        <v>131</v>
      </c>
      <c r="CU858" t="s">
        <v>13696</v>
      </c>
      <c r="CV858" t="s">
        <v>13367</v>
      </c>
      <c r="CW858" t="s">
        <v>677</v>
      </c>
      <c r="CX858" t="s">
        <v>594</v>
      </c>
      <c r="CZ858" s="3" t="str">
        <f>"28803"</f>
        <v>28803</v>
      </c>
      <c r="DA858" t="s">
        <v>131</v>
      </c>
      <c r="DB858" t="str">
        <f>"37-2012"</f>
        <v>37-2012</v>
      </c>
      <c r="DC858" t="s">
        <v>479</v>
      </c>
      <c r="DD858" t="s">
        <v>134</v>
      </c>
      <c r="DE858" t="s">
        <v>134</v>
      </c>
      <c r="DF858" t="str">
        <f>""</f>
        <v/>
      </c>
      <c r="DH858" s="6">
        <v>11.52</v>
      </c>
      <c r="DI858" t="s">
        <v>344</v>
      </c>
      <c r="DK858" t="s">
        <v>345</v>
      </c>
      <c r="DR858" t="s">
        <v>13368</v>
      </c>
      <c r="DS858" s="6">
        <v>11.52</v>
      </c>
      <c r="DT858" t="s">
        <v>424</v>
      </c>
      <c r="DU858" s="1">
        <v>44369</v>
      </c>
      <c r="DV858" s="1">
        <v>44458</v>
      </c>
    </row>
    <row r="859" spans="1:126" ht="15" customHeight="1" x14ac:dyDescent="0.35">
      <c r="A859" t="s">
        <v>19911</v>
      </c>
      <c r="B859" t="s">
        <v>318</v>
      </c>
      <c r="C859" s="1">
        <v>44342</v>
      </c>
      <c r="D859" s="1">
        <v>44369</v>
      </c>
      <c r="H859" t="s">
        <v>319</v>
      </c>
      <c r="I859" t="s">
        <v>13358</v>
      </c>
      <c r="J859" t="s">
        <v>254</v>
      </c>
      <c r="L859" t="s">
        <v>13359</v>
      </c>
      <c r="M859" t="s">
        <v>13360</v>
      </c>
      <c r="O859" t="s">
        <v>13361</v>
      </c>
      <c r="P859" t="s">
        <v>593</v>
      </c>
      <c r="Q859" s="3">
        <v>28801</v>
      </c>
      <c r="R859" t="s">
        <v>128</v>
      </c>
      <c r="T859" s="4">
        <v>18282256778</v>
      </c>
      <c r="V859" t="s">
        <v>13362</v>
      </c>
      <c r="W859" t="s">
        <v>13363</v>
      </c>
      <c r="Y859" t="s">
        <v>13360</v>
      </c>
      <c r="AA859" t="s">
        <v>677</v>
      </c>
      <c r="AB859" t="s">
        <v>594</v>
      </c>
      <c r="AC859" s="3" t="str">
        <f>"28801"</f>
        <v>28801</v>
      </c>
      <c r="AD859" t="s">
        <v>128</v>
      </c>
      <c r="AF859" s="4">
        <v>18282256778</v>
      </c>
      <c r="AH859" t="str">
        <f>"7211"</f>
        <v>7211</v>
      </c>
      <c r="AI859" t="s">
        <v>130</v>
      </c>
      <c r="AJ859" t="s">
        <v>1080</v>
      </c>
      <c r="AK859" t="s">
        <v>1278</v>
      </c>
      <c r="AL859" t="s">
        <v>2210</v>
      </c>
      <c r="AM859" t="s">
        <v>4475</v>
      </c>
      <c r="AN859" t="s">
        <v>1507</v>
      </c>
      <c r="AO859" t="s">
        <v>642</v>
      </c>
      <c r="AP859" t="s">
        <v>643</v>
      </c>
      <c r="AQ859" s="5">
        <v>30309</v>
      </c>
      <c r="AR859" t="s">
        <v>128</v>
      </c>
      <c r="AT859" s="4">
        <v>14042404151</v>
      </c>
      <c r="AV859" t="s">
        <v>4476</v>
      </c>
      <c r="AW859" t="s">
        <v>559</v>
      </c>
      <c r="AX859" t="s">
        <v>131</v>
      </c>
      <c r="AY859" t="s">
        <v>131</v>
      </c>
      <c r="AZ859" t="s">
        <v>131</v>
      </c>
      <c r="BA859" t="s">
        <v>131</v>
      </c>
      <c r="BB859" t="s">
        <v>131</v>
      </c>
      <c r="BC859" t="s">
        <v>131</v>
      </c>
      <c r="BD859" t="s">
        <v>131</v>
      </c>
      <c r="BE859" t="s">
        <v>132</v>
      </c>
      <c r="BH859" t="s">
        <v>11323</v>
      </c>
      <c r="BI859" t="s">
        <v>131</v>
      </c>
      <c r="BL859" t="s">
        <v>167</v>
      </c>
      <c r="BO859" t="s">
        <v>131</v>
      </c>
      <c r="BP859" t="s">
        <v>134</v>
      </c>
      <c r="BQ859" t="s">
        <v>131</v>
      </c>
      <c r="BS859" t="str">
        <f t="shared" si="59"/>
        <v>N/A</v>
      </c>
      <c r="BT859" t="s">
        <v>135</v>
      </c>
      <c r="BU859">
        <v>12</v>
      </c>
      <c r="BV859" t="str">
        <f>"Related culinary experience in a full-service restaurant "</f>
        <v xml:space="preserve">Related culinary experience in a full-service restaurant </v>
      </c>
      <c r="BW859" t="s">
        <v>135</v>
      </c>
      <c r="BX859" t="str">
        <f>""</f>
        <v/>
      </c>
      <c r="BY859" t="str">
        <f>""</f>
        <v/>
      </c>
      <c r="BZ859" t="str">
        <f>""</f>
        <v/>
      </c>
      <c r="CA859" t="s">
        <v>19912</v>
      </c>
      <c r="CB859" t="s">
        <v>131</v>
      </c>
      <c r="CF859" t="s">
        <v>131</v>
      </c>
      <c r="CH859" t="str">
        <f>""</f>
        <v/>
      </c>
      <c r="CI859" t="s">
        <v>131</v>
      </c>
      <c r="CK859" t="s">
        <v>131</v>
      </c>
      <c r="CL859" t="str">
        <f>""</f>
        <v/>
      </c>
      <c r="CM859" t="str">
        <f>""</f>
        <v/>
      </c>
      <c r="CN859" t="str">
        <f>""</f>
        <v/>
      </c>
      <c r="CO859" t="str">
        <f>""</f>
        <v/>
      </c>
      <c r="CP859" t="str">
        <f>"35-2014.00"</f>
        <v>35-2014.00</v>
      </c>
      <c r="CQ859" t="s">
        <v>581</v>
      </c>
      <c r="CS859" t="s">
        <v>131</v>
      </c>
      <c r="CU859" t="s">
        <v>13696</v>
      </c>
      <c r="CV859" t="s">
        <v>13367</v>
      </c>
      <c r="CW859" t="s">
        <v>677</v>
      </c>
      <c r="CX859" t="s">
        <v>594</v>
      </c>
      <c r="CZ859" s="3" t="str">
        <f>"28803"</f>
        <v>28803</v>
      </c>
      <c r="DA859" t="s">
        <v>131</v>
      </c>
      <c r="DB859" t="str">
        <f>"35-2014"</f>
        <v>35-2014</v>
      </c>
      <c r="DC859" t="s">
        <v>581</v>
      </c>
      <c r="DD859" t="s">
        <v>134</v>
      </c>
      <c r="DE859" t="s">
        <v>134</v>
      </c>
      <c r="DF859" t="str">
        <f>""</f>
        <v/>
      </c>
      <c r="DH859" s="6">
        <v>12.93</v>
      </c>
      <c r="DI859" t="s">
        <v>344</v>
      </c>
      <c r="DK859" t="s">
        <v>345</v>
      </c>
      <c r="DR859" t="s">
        <v>13368</v>
      </c>
      <c r="DS859" s="6">
        <v>12.93</v>
      </c>
      <c r="DT859" t="s">
        <v>424</v>
      </c>
      <c r="DU859" s="1">
        <v>44369</v>
      </c>
      <c r="DV859" s="1">
        <v>44458</v>
      </c>
    </row>
    <row r="860" spans="1:126" ht="15" customHeight="1" x14ac:dyDescent="0.35">
      <c r="A860" t="s">
        <v>13357</v>
      </c>
      <c r="B860" t="s">
        <v>318</v>
      </c>
      <c r="C860" s="1">
        <v>44342</v>
      </c>
      <c r="D860" s="1">
        <v>44369</v>
      </c>
      <c r="H860" t="s">
        <v>319</v>
      </c>
      <c r="I860" t="s">
        <v>13358</v>
      </c>
      <c r="J860" t="s">
        <v>254</v>
      </c>
      <c r="L860" t="s">
        <v>13359</v>
      </c>
      <c r="M860" t="s">
        <v>13360</v>
      </c>
      <c r="O860" t="s">
        <v>13361</v>
      </c>
      <c r="P860" t="s">
        <v>593</v>
      </c>
      <c r="Q860" s="3">
        <v>28801</v>
      </c>
      <c r="R860" t="s">
        <v>128</v>
      </c>
      <c r="T860" s="4">
        <v>18282256778</v>
      </c>
      <c r="V860" t="s">
        <v>13362</v>
      </c>
      <c r="W860" t="s">
        <v>13363</v>
      </c>
      <c r="Y860" t="s">
        <v>13360</v>
      </c>
      <c r="AA860" t="s">
        <v>677</v>
      </c>
      <c r="AB860" t="s">
        <v>594</v>
      </c>
      <c r="AC860" s="3" t="str">
        <f>"28801"</f>
        <v>28801</v>
      </c>
      <c r="AD860" t="s">
        <v>128</v>
      </c>
      <c r="AF860" s="4">
        <v>18282256778</v>
      </c>
      <c r="AH860" t="str">
        <f>"7211"</f>
        <v>7211</v>
      </c>
      <c r="AI860" t="s">
        <v>130</v>
      </c>
      <c r="AJ860" t="s">
        <v>1080</v>
      </c>
      <c r="AK860" t="s">
        <v>1278</v>
      </c>
      <c r="AL860" t="s">
        <v>2210</v>
      </c>
      <c r="AM860" t="s">
        <v>4475</v>
      </c>
      <c r="AN860" t="s">
        <v>1507</v>
      </c>
      <c r="AO860" t="s">
        <v>642</v>
      </c>
      <c r="AP860" t="s">
        <v>643</v>
      </c>
      <c r="AQ860" s="5">
        <v>30309</v>
      </c>
      <c r="AR860" t="s">
        <v>128</v>
      </c>
      <c r="AT860" s="4">
        <v>14042404151</v>
      </c>
      <c r="AV860" t="s">
        <v>4476</v>
      </c>
      <c r="AW860" t="s">
        <v>559</v>
      </c>
      <c r="AX860" t="s">
        <v>131</v>
      </c>
      <c r="AY860" t="s">
        <v>131</v>
      </c>
      <c r="AZ860" t="s">
        <v>131</v>
      </c>
      <c r="BA860" t="s">
        <v>131</v>
      </c>
      <c r="BB860" t="s">
        <v>131</v>
      </c>
      <c r="BC860" t="s">
        <v>131</v>
      </c>
      <c r="BD860" t="s">
        <v>131</v>
      </c>
      <c r="BE860" t="s">
        <v>132</v>
      </c>
      <c r="BH860" t="s">
        <v>13364</v>
      </c>
      <c r="BI860" t="s">
        <v>131</v>
      </c>
      <c r="BL860" t="s">
        <v>167</v>
      </c>
      <c r="BO860" t="s">
        <v>131</v>
      </c>
      <c r="BP860" t="s">
        <v>134</v>
      </c>
      <c r="BQ860" t="s">
        <v>131</v>
      </c>
      <c r="BS860" t="str">
        <f t="shared" si="59"/>
        <v>N/A</v>
      </c>
      <c r="BT860" t="s">
        <v>131</v>
      </c>
      <c r="BV860" t="str">
        <f>""</f>
        <v/>
      </c>
      <c r="BW860" t="s">
        <v>135</v>
      </c>
      <c r="BX860" t="str">
        <f>""</f>
        <v/>
      </c>
      <c r="BY860" t="str">
        <f>""</f>
        <v/>
      </c>
      <c r="BZ860" t="str">
        <f>""</f>
        <v/>
      </c>
      <c r="CA860" t="s">
        <v>13365</v>
      </c>
      <c r="CB860" t="s">
        <v>131</v>
      </c>
      <c r="CF860" t="s">
        <v>131</v>
      </c>
      <c r="CH860" t="str">
        <f>""</f>
        <v/>
      </c>
      <c r="CI860" t="s">
        <v>131</v>
      </c>
      <c r="CK860" t="s">
        <v>131</v>
      </c>
      <c r="CL860" t="str">
        <f>""</f>
        <v/>
      </c>
      <c r="CM860" t="str">
        <f>""</f>
        <v/>
      </c>
      <c r="CN860" t="str">
        <f>""</f>
        <v/>
      </c>
      <c r="CO860" t="str">
        <f>""</f>
        <v/>
      </c>
      <c r="CP860" t="str">
        <f>"35-2014.00"</f>
        <v>35-2014.00</v>
      </c>
      <c r="CQ860" t="s">
        <v>581</v>
      </c>
      <c r="CS860" t="s">
        <v>131</v>
      </c>
      <c r="CU860" t="s">
        <v>13366</v>
      </c>
      <c r="CV860" t="s">
        <v>13367</v>
      </c>
      <c r="CW860" t="s">
        <v>677</v>
      </c>
      <c r="CX860" t="s">
        <v>594</v>
      </c>
      <c r="CZ860" s="3" t="str">
        <f>"28803"</f>
        <v>28803</v>
      </c>
      <c r="DA860" t="s">
        <v>131</v>
      </c>
      <c r="DB860" t="str">
        <f>"35-2014"</f>
        <v>35-2014</v>
      </c>
      <c r="DC860" t="s">
        <v>581</v>
      </c>
      <c r="DD860" t="s">
        <v>134</v>
      </c>
      <c r="DE860" t="s">
        <v>134</v>
      </c>
      <c r="DF860" t="str">
        <f>""</f>
        <v/>
      </c>
      <c r="DH860" s="6">
        <v>12.93</v>
      </c>
      <c r="DI860" t="s">
        <v>344</v>
      </c>
      <c r="DK860" t="s">
        <v>345</v>
      </c>
      <c r="DR860" t="s">
        <v>13368</v>
      </c>
      <c r="DS860" s="6">
        <v>12.93</v>
      </c>
      <c r="DT860" t="s">
        <v>424</v>
      </c>
      <c r="DU860" s="1">
        <v>44369</v>
      </c>
      <c r="DV860" s="1">
        <v>44458</v>
      </c>
    </row>
    <row r="861" spans="1:126" ht="15" customHeight="1" x14ac:dyDescent="0.35">
      <c r="A861" t="s">
        <v>16250</v>
      </c>
      <c r="B861" t="s">
        <v>318</v>
      </c>
      <c r="C861" s="1">
        <v>44342</v>
      </c>
      <c r="D861" s="1">
        <v>44369</v>
      </c>
      <c r="H861" t="s">
        <v>319</v>
      </c>
      <c r="I861" t="s">
        <v>13358</v>
      </c>
      <c r="J861" t="s">
        <v>254</v>
      </c>
      <c r="L861" t="s">
        <v>13359</v>
      </c>
      <c r="M861" t="s">
        <v>13360</v>
      </c>
      <c r="O861" t="s">
        <v>13361</v>
      </c>
      <c r="P861" t="s">
        <v>593</v>
      </c>
      <c r="Q861" s="3">
        <v>28801</v>
      </c>
      <c r="R861" t="s">
        <v>128</v>
      </c>
      <c r="T861" s="4">
        <v>18282256778</v>
      </c>
      <c r="V861" t="s">
        <v>13362</v>
      </c>
      <c r="W861" t="s">
        <v>13363</v>
      </c>
      <c r="Y861" t="s">
        <v>13360</v>
      </c>
      <c r="AA861" t="s">
        <v>677</v>
      </c>
      <c r="AB861" t="s">
        <v>594</v>
      </c>
      <c r="AC861" s="3" t="str">
        <f>"28801"</f>
        <v>28801</v>
      </c>
      <c r="AD861" t="s">
        <v>128</v>
      </c>
      <c r="AF861" s="4">
        <v>18282256778</v>
      </c>
      <c r="AH861" t="str">
        <f>"7211"</f>
        <v>7211</v>
      </c>
      <c r="AI861" t="s">
        <v>130</v>
      </c>
      <c r="AJ861" t="s">
        <v>1080</v>
      </c>
      <c r="AK861" t="s">
        <v>1278</v>
      </c>
      <c r="AL861" t="s">
        <v>2210</v>
      </c>
      <c r="AM861" t="s">
        <v>4475</v>
      </c>
      <c r="AN861" t="s">
        <v>1507</v>
      </c>
      <c r="AO861" t="s">
        <v>642</v>
      </c>
      <c r="AP861" t="s">
        <v>643</v>
      </c>
      <c r="AQ861" s="5">
        <v>30309</v>
      </c>
      <c r="AR861" t="s">
        <v>128</v>
      </c>
      <c r="AT861" s="4">
        <v>14042404151</v>
      </c>
      <c r="AV861" t="s">
        <v>4476</v>
      </c>
      <c r="AW861" t="s">
        <v>559</v>
      </c>
      <c r="AX861" t="s">
        <v>131</v>
      </c>
      <c r="AY861" t="s">
        <v>131</v>
      </c>
      <c r="AZ861" t="s">
        <v>131</v>
      </c>
      <c r="BA861" t="s">
        <v>131</v>
      </c>
      <c r="BB861" t="s">
        <v>131</v>
      </c>
      <c r="BC861" t="s">
        <v>131</v>
      </c>
      <c r="BD861" t="s">
        <v>131</v>
      </c>
      <c r="BE861" t="s">
        <v>132</v>
      </c>
      <c r="BH861" t="s">
        <v>2550</v>
      </c>
      <c r="BI861" t="s">
        <v>131</v>
      </c>
      <c r="BL861" t="s">
        <v>167</v>
      </c>
      <c r="BO861" t="s">
        <v>131</v>
      </c>
      <c r="BP861" t="s">
        <v>134</v>
      </c>
      <c r="BQ861" t="s">
        <v>131</v>
      </c>
      <c r="BS861" t="str">
        <f t="shared" si="59"/>
        <v>N/A</v>
      </c>
      <c r="BT861" t="s">
        <v>131</v>
      </c>
      <c r="BV861" t="str">
        <f>""</f>
        <v/>
      </c>
      <c r="BW861" t="s">
        <v>135</v>
      </c>
      <c r="BX861" t="str">
        <f>""</f>
        <v/>
      </c>
      <c r="BY861" t="str">
        <f>""</f>
        <v/>
      </c>
      <c r="BZ861" t="str">
        <f>""</f>
        <v/>
      </c>
      <c r="CA861" t="s">
        <v>13365</v>
      </c>
      <c r="CB861" t="s">
        <v>131</v>
      </c>
      <c r="CF861" t="s">
        <v>131</v>
      </c>
      <c r="CH861" t="str">
        <f>""</f>
        <v/>
      </c>
      <c r="CI861" t="s">
        <v>131</v>
      </c>
      <c r="CK861" t="s">
        <v>131</v>
      </c>
      <c r="CL861" t="str">
        <f>""</f>
        <v/>
      </c>
      <c r="CM861" t="str">
        <f>""</f>
        <v/>
      </c>
      <c r="CN861" t="str">
        <f>""</f>
        <v/>
      </c>
      <c r="CO861" t="str">
        <f>""</f>
        <v/>
      </c>
      <c r="CP861" t="str">
        <f>"35-9021.00"</f>
        <v>35-9021.00</v>
      </c>
      <c r="CQ861" t="s">
        <v>2552</v>
      </c>
      <c r="CS861" t="s">
        <v>131</v>
      </c>
      <c r="CU861" t="s">
        <v>13696</v>
      </c>
      <c r="CV861" t="s">
        <v>13367</v>
      </c>
      <c r="CW861" t="s">
        <v>677</v>
      </c>
      <c r="CX861" t="s">
        <v>594</v>
      </c>
      <c r="CZ861" s="3" t="str">
        <f>"28803"</f>
        <v>28803</v>
      </c>
      <c r="DA861" t="s">
        <v>131</v>
      </c>
      <c r="DB861" t="str">
        <f>"35-9021"</f>
        <v>35-9021</v>
      </c>
      <c r="DC861" t="s">
        <v>2552</v>
      </c>
      <c r="DD861" t="s">
        <v>134</v>
      </c>
      <c r="DE861" t="s">
        <v>134</v>
      </c>
      <c r="DF861" t="str">
        <f>""</f>
        <v/>
      </c>
      <c r="DH861" s="6">
        <v>10.95</v>
      </c>
      <c r="DI861" t="s">
        <v>344</v>
      </c>
      <c r="DK861" t="s">
        <v>345</v>
      </c>
      <c r="DR861" t="s">
        <v>13368</v>
      </c>
      <c r="DS861" s="6">
        <v>10.95</v>
      </c>
      <c r="DT861" t="s">
        <v>424</v>
      </c>
      <c r="DU861" s="1">
        <v>44369</v>
      </c>
      <c r="DV861" s="1">
        <v>44458</v>
      </c>
    </row>
    <row r="862" spans="1:126" ht="15" customHeight="1" x14ac:dyDescent="0.35">
      <c r="A862" t="s">
        <v>18671</v>
      </c>
      <c r="B862" t="s">
        <v>318</v>
      </c>
      <c r="C862" s="1">
        <v>44342</v>
      </c>
      <c r="D862" s="1">
        <v>44369</v>
      </c>
      <c r="H862" t="s">
        <v>319</v>
      </c>
      <c r="I862" t="s">
        <v>15580</v>
      </c>
      <c r="J862" t="s">
        <v>6686</v>
      </c>
      <c r="L862" t="s">
        <v>15581</v>
      </c>
      <c r="M862" t="s">
        <v>15582</v>
      </c>
      <c r="O862" t="s">
        <v>4408</v>
      </c>
      <c r="P862" t="s">
        <v>194</v>
      </c>
      <c r="Q862" s="3">
        <v>34104</v>
      </c>
      <c r="R862" t="s">
        <v>128</v>
      </c>
      <c r="T862" s="4">
        <v>12393543167</v>
      </c>
      <c r="V862" t="s">
        <v>134</v>
      </c>
      <c r="W862" t="s">
        <v>15583</v>
      </c>
      <c r="Y862" t="s">
        <v>15582</v>
      </c>
      <c r="AA862" t="s">
        <v>4408</v>
      </c>
      <c r="AB862" t="s">
        <v>195</v>
      </c>
      <c r="AC862" s="3" t="str">
        <f>"34104"</f>
        <v>34104</v>
      </c>
      <c r="AD862" t="s">
        <v>128</v>
      </c>
      <c r="AF862" s="4">
        <v>12393543167</v>
      </c>
      <c r="AH862" t="str">
        <f>"71391"</f>
        <v>71391</v>
      </c>
      <c r="AI862" t="s">
        <v>287</v>
      </c>
      <c r="AJ862" t="s">
        <v>573</v>
      </c>
      <c r="AK862" t="s">
        <v>574</v>
      </c>
      <c r="AM862" t="s">
        <v>575</v>
      </c>
      <c r="AO862" t="s">
        <v>576</v>
      </c>
      <c r="AP862" t="s">
        <v>129</v>
      </c>
      <c r="AQ862" s="5">
        <v>14850</v>
      </c>
      <c r="AR862" t="s">
        <v>128</v>
      </c>
      <c r="AT862" s="4">
        <v>18777387462</v>
      </c>
      <c r="AV862" t="s">
        <v>577</v>
      </c>
      <c r="AW862" t="s">
        <v>578</v>
      </c>
      <c r="AX862" t="s">
        <v>131</v>
      </c>
      <c r="AY862" t="s">
        <v>131</v>
      </c>
      <c r="AZ862" t="s">
        <v>131</v>
      </c>
      <c r="BA862" t="s">
        <v>131</v>
      </c>
      <c r="BB862" t="s">
        <v>131</v>
      </c>
      <c r="BC862" t="s">
        <v>131</v>
      </c>
      <c r="BD862" t="s">
        <v>131</v>
      </c>
      <c r="BE862" t="s">
        <v>132</v>
      </c>
      <c r="BH862" t="s">
        <v>8679</v>
      </c>
      <c r="BI862" t="s">
        <v>131</v>
      </c>
      <c r="BL862" t="s">
        <v>167</v>
      </c>
      <c r="BO862" t="s">
        <v>131</v>
      </c>
      <c r="BP862" t="s">
        <v>134</v>
      </c>
      <c r="BQ862" t="s">
        <v>131</v>
      </c>
      <c r="BS862" t="str">
        <f t="shared" si="59"/>
        <v>N/A</v>
      </c>
      <c r="BT862" t="s">
        <v>135</v>
      </c>
      <c r="BU862">
        <v>6</v>
      </c>
      <c r="BV862" t="str">
        <f>"Restaurant Cook preparing foods from scratch "</f>
        <v xml:space="preserve">Restaurant Cook preparing foods from scratch </v>
      </c>
      <c r="BW862" t="s">
        <v>135</v>
      </c>
      <c r="BX862" t="str">
        <f>""</f>
        <v/>
      </c>
      <c r="BY862" t="str">
        <f>""</f>
        <v/>
      </c>
      <c r="BZ862" t="str">
        <f>""</f>
        <v/>
      </c>
      <c r="CA862" s="2" t="s">
        <v>15584</v>
      </c>
      <c r="CB862" t="s">
        <v>131</v>
      </c>
      <c r="CF862" t="s">
        <v>131</v>
      </c>
      <c r="CH862" t="str">
        <f>""</f>
        <v/>
      </c>
      <c r="CI862" t="s">
        <v>131</v>
      </c>
      <c r="CK862" t="s">
        <v>131</v>
      </c>
      <c r="CL862" t="str">
        <f>""</f>
        <v/>
      </c>
      <c r="CM862" t="str">
        <f>""</f>
        <v/>
      </c>
      <c r="CN862" t="str">
        <f>""</f>
        <v/>
      </c>
      <c r="CO862" t="str">
        <f>""</f>
        <v/>
      </c>
      <c r="CP862" t="str">
        <f>"35-2014.00"</f>
        <v>35-2014.00</v>
      </c>
      <c r="CQ862" t="s">
        <v>581</v>
      </c>
      <c r="CS862" t="s">
        <v>131</v>
      </c>
      <c r="CU862" t="s">
        <v>15582</v>
      </c>
      <c r="CW862" t="s">
        <v>4408</v>
      </c>
      <c r="CX862" t="s">
        <v>195</v>
      </c>
      <c r="CZ862" s="3" t="str">
        <f>"34104"</f>
        <v>34104</v>
      </c>
      <c r="DA862" t="s">
        <v>131</v>
      </c>
      <c r="DB862" t="str">
        <f>"35-2014"</f>
        <v>35-2014</v>
      </c>
      <c r="DC862" t="s">
        <v>581</v>
      </c>
      <c r="DD862" t="s">
        <v>134</v>
      </c>
      <c r="DE862" t="s">
        <v>134</v>
      </c>
      <c r="DF862" t="str">
        <f>""</f>
        <v/>
      </c>
      <c r="DH862" s="6">
        <v>15.46</v>
      </c>
      <c r="DI862" t="s">
        <v>344</v>
      </c>
      <c r="DK862" t="s">
        <v>345</v>
      </c>
      <c r="DS862" s="6">
        <v>15.46</v>
      </c>
      <c r="DT862" t="s">
        <v>424</v>
      </c>
      <c r="DU862" s="1">
        <v>44369</v>
      </c>
      <c r="DV862" s="1">
        <v>44458</v>
      </c>
    </row>
    <row r="863" spans="1:126" ht="15" customHeight="1" x14ac:dyDescent="0.35">
      <c r="A863" t="s">
        <v>15579</v>
      </c>
      <c r="B863" t="s">
        <v>318</v>
      </c>
      <c r="C863" s="1">
        <v>44342</v>
      </c>
      <c r="D863" s="1">
        <v>44369</v>
      </c>
      <c r="H863" t="s">
        <v>319</v>
      </c>
      <c r="I863" t="s">
        <v>15580</v>
      </c>
      <c r="J863" t="s">
        <v>6686</v>
      </c>
      <c r="L863" t="s">
        <v>15581</v>
      </c>
      <c r="M863" t="s">
        <v>15582</v>
      </c>
      <c r="O863" t="s">
        <v>4408</v>
      </c>
      <c r="P863" t="s">
        <v>194</v>
      </c>
      <c r="Q863" s="3">
        <v>34104</v>
      </c>
      <c r="R863" t="s">
        <v>128</v>
      </c>
      <c r="T863" s="4">
        <v>12393543167</v>
      </c>
      <c r="V863" t="s">
        <v>134</v>
      </c>
      <c r="W863" t="s">
        <v>15583</v>
      </c>
      <c r="Y863" t="s">
        <v>15582</v>
      </c>
      <c r="AA863" t="s">
        <v>4408</v>
      </c>
      <c r="AB863" t="s">
        <v>195</v>
      </c>
      <c r="AC863" s="3" t="str">
        <f>"34104"</f>
        <v>34104</v>
      </c>
      <c r="AD863" t="s">
        <v>128</v>
      </c>
      <c r="AF863" s="4">
        <v>12393543167</v>
      </c>
      <c r="AH863" t="str">
        <f>"71391"</f>
        <v>71391</v>
      </c>
      <c r="AI863" t="s">
        <v>287</v>
      </c>
      <c r="AJ863" t="s">
        <v>573</v>
      </c>
      <c r="AK863" t="s">
        <v>574</v>
      </c>
      <c r="AM863" t="s">
        <v>575</v>
      </c>
      <c r="AO863" t="s">
        <v>576</v>
      </c>
      <c r="AP863" t="s">
        <v>129</v>
      </c>
      <c r="AQ863" s="5">
        <v>14850</v>
      </c>
      <c r="AR863" t="s">
        <v>128</v>
      </c>
      <c r="AT863" s="4">
        <v>18777387462</v>
      </c>
      <c r="AV863" t="s">
        <v>577</v>
      </c>
      <c r="AW863" t="s">
        <v>578</v>
      </c>
      <c r="AX863" t="s">
        <v>131</v>
      </c>
      <c r="AY863" t="s">
        <v>131</v>
      </c>
      <c r="AZ863" t="s">
        <v>131</v>
      </c>
      <c r="BA863" t="s">
        <v>131</v>
      </c>
      <c r="BB863" t="s">
        <v>131</v>
      </c>
      <c r="BC863" t="s">
        <v>131</v>
      </c>
      <c r="BD863" t="s">
        <v>131</v>
      </c>
      <c r="BE863" t="s">
        <v>132</v>
      </c>
      <c r="BH863" t="s">
        <v>7905</v>
      </c>
      <c r="BI863" t="s">
        <v>131</v>
      </c>
      <c r="BL863" t="s">
        <v>167</v>
      </c>
      <c r="BO863" t="s">
        <v>131</v>
      </c>
      <c r="BP863" t="s">
        <v>134</v>
      </c>
      <c r="BQ863" t="s">
        <v>131</v>
      </c>
      <c r="BS863" t="str">
        <f t="shared" si="59"/>
        <v>N/A</v>
      </c>
      <c r="BT863" t="s">
        <v>135</v>
      </c>
      <c r="BU863">
        <v>3</v>
      </c>
      <c r="BV863" t="str">
        <f>"fine dining service "</f>
        <v xml:space="preserve">fine dining service </v>
      </c>
      <c r="BW863" t="s">
        <v>135</v>
      </c>
      <c r="BX863" t="str">
        <f>""</f>
        <v/>
      </c>
      <c r="BY863" t="str">
        <f>""</f>
        <v/>
      </c>
      <c r="BZ863" t="str">
        <f>""</f>
        <v/>
      </c>
      <c r="CA863" s="2" t="s">
        <v>15584</v>
      </c>
      <c r="CB863" t="s">
        <v>131</v>
      </c>
      <c r="CF863" t="s">
        <v>131</v>
      </c>
      <c r="CH863" t="str">
        <f>""</f>
        <v/>
      </c>
      <c r="CI863" t="s">
        <v>131</v>
      </c>
      <c r="CK863" t="s">
        <v>131</v>
      </c>
      <c r="CL863" t="str">
        <f>""</f>
        <v/>
      </c>
      <c r="CM863" t="str">
        <f>""</f>
        <v/>
      </c>
      <c r="CN863" t="str">
        <f>""</f>
        <v/>
      </c>
      <c r="CO863" t="str">
        <f>""</f>
        <v/>
      </c>
      <c r="CP863" t="str">
        <f>"35-3031.00"</f>
        <v>35-3031.00</v>
      </c>
      <c r="CQ863" t="s">
        <v>1214</v>
      </c>
      <c r="CS863" t="s">
        <v>131</v>
      </c>
      <c r="CU863" t="s">
        <v>15582</v>
      </c>
      <c r="CW863" t="s">
        <v>4408</v>
      </c>
      <c r="CX863" t="s">
        <v>195</v>
      </c>
      <c r="CZ863" s="3" t="str">
        <f>"34104"</f>
        <v>34104</v>
      </c>
      <c r="DA863" t="s">
        <v>131</v>
      </c>
      <c r="DB863" t="str">
        <f>"35-3031"</f>
        <v>35-3031</v>
      </c>
      <c r="DC863" t="s">
        <v>1214</v>
      </c>
      <c r="DD863" t="s">
        <v>134</v>
      </c>
      <c r="DE863" t="s">
        <v>134</v>
      </c>
      <c r="DF863" t="str">
        <f>""</f>
        <v/>
      </c>
      <c r="DH863" s="6">
        <v>15.48</v>
      </c>
      <c r="DI863" t="s">
        <v>344</v>
      </c>
      <c r="DK863" t="s">
        <v>345</v>
      </c>
      <c r="DS863" s="6">
        <v>15.48</v>
      </c>
      <c r="DT863" t="s">
        <v>424</v>
      </c>
      <c r="DU863" s="1">
        <v>44369</v>
      </c>
      <c r="DV863" s="1">
        <v>44458</v>
      </c>
    </row>
    <row r="864" spans="1:126" ht="15" customHeight="1" x14ac:dyDescent="0.35">
      <c r="A864" t="s">
        <v>12258</v>
      </c>
      <c r="B864" t="s">
        <v>318</v>
      </c>
      <c r="C864" s="1">
        <v>44342</v>
      </c>
      <c r="D864" s="1">
        <v>44369</v>
      </c>
      <c r="H864" t="s">
        <v>319</v>
      </c>
      <c r="I864" t="s">
        <v>12259</v>
      </c>
      <c r="J864" t="s">
        <v>12260</v>
      </c>
      <c r="K864" t="s">
        <v>10506</v>
      </c>
      <c r="L864" t="s">
        <v>395</v>
      </c>
      <c r="M864" t="s">
        <v>12261</v>
      </c>
      <c r="O864" t="s">
        <v>1206</v>
      </c>
      <c r="P864" t="s">
        <v>194</v>
      </c>
      <c r="Q864" s="3">
        <v>34243</v>
      </c>
      <c r="R864" t="s">
        <v>128</v>
      </c>
      <c r="T864" s="4">
        <v>12398958488</v>
      </c>
      <c r="V864" t="s">
        <v>12262</v>
      </c>
      <c r="W864" t="s">
        <v>12263</v>
      </c>
      <c r="X864" t="s">
        <v>12264</v>
      </c>
      <c r="Y864" t="s">
        <v>12261</v>
      </c>
      <c r="AA864" t="s">
        <v>1206</v>
      </c>
      <c r="AB864" t="s">
        <v>195</v>
      </c>
      <c r="AC864" s="3" t="str">
        <f>"34243"</f>
        <v>34243</v>
      </c>
      <c r="AD864" t="s">
        <v>128</v>
      </c>
      <c r="AF864" s="4">
        <v>12398958488</v>
      </c>
      <c r="AH864" t="str">
        <f>"238340"</f>
        <v>238340</v>
      </c>
      <c r="AI864" t="s">
        <v>167</v>
      </c>
      <c r="AX864" t="s">
        <v>131</v>
      </c>
      <c r="AY864" t="s">
        <v>131</v>
      </c>
      <c r="AZ864" t="s">
        <v>131</v>
      </c>
      <c r="BA864" t="s">
        <v>131</v>
      </c>
      <c r="BB864" t="s">
        <v>131</v>
      </c>
      <c r="BC864" t="s">
        <v>131</v>
      </c>
      <c r="BD864" t="s">
        <v>131</v>
      </c>
      <c r="BE864" t="s">
        <v>132</v>
      </c>
      <c r="BH864" t="s">
        <v>12265</v>
      </c>
      <c r="BI864" t="s">
        <v>135</v>
      </c>
      <c r="BJ864" t="s">
        <v>12266</v>
      </c>
      <c r="BK864" t="s">
        <v>12267</v>
      </c>
      <c r="BL864" t="s">
        <v>401</v>
      </c>
      <c r="BO864" t="s">
        <v>131</v>
      </c>
      <c r="BP864" t="s">
        <v>134</v>
      </c>
      <c r="BQ864" t="s">
        <v>131</v>
      </c>
      <c r="BS864" t="str">
        <f t="shared" si="59"/>
        <v>N/A</v>
      </c>
      <c r="BT864" t="s">
        <v>131</v>
      </c>
      <c r="BV864" t="str">
        <f>""</f>
        <v/>
      </c>
      <c r="BW864" t="s">
        <v>131</v>
      </c>
      <c r="BX864" t="str">
        <f>""</f>
        <v/>
      </c>
      <c r="BY864" t="str">
        <f>""</f>
        <v/>
      </c>
      <c r="BZ864" t="str">
        <f>""</f>
        <v/>
      </c>
      <c r="CA864" t="str">
        <f>""</f>
        <v/>
      </c>
      <c r="CB864" t="s">
        <v>131</v>
      </c>
      <c r="CF864" t="s">
        <v>131</v>
      </c>
      <c r="CH864" t="str">
        <f>""</f>
        <v/>
      </c>
      <c r="CI864" t="s">
        <v>131</v>
      </c>
      <c r="CK864" t="s">
        <v>131</v>
      </c>
      <c r="CL864" t="str">
        <f>""</f>
        <v/>
      </c>
      <c r="CM864" t="str">
        <f>""</f>
        <v/>
      </c>
      <c r="CN864" t="str">
        <f>""</f>
        <v/>
      </c>
      <c r="CO864" t="str">
        <f>""</f>
        <v/>
      </c>
      <c r="CP864" t="str">
        <f>"51-9022.00"</f>
        <v>51-9022.00</v>
      </c>
      <c r="CQ864" t="s">
        <v>12267</v>
      </c>
      <c r="CS864" t="s">
        <v>131</v>
      </c>
      <c r="CU864" t="s">
        <v>12261</v>
      </c>
      <c r="CW864" t="s">
        <v>1206</v>
      </c>
      <c r="CX864" t="s">
        <v>195</v>
      </c>
      <c r="CZ864" s="3" t="str">
        <f>"34243"</f>
        <v>34243</v>
      </c>
      <c r="DA864" t="s">
        <v>131</v>
      </c>
      <c r="DB864" t="str">
        <f>"47-2044"</f>
        <v>47-2044</v>
      </c>
      <c r="DC864" t="s">
        <v>9453</v>
      </c>
      <c r="DD864" t="s">
        <v>134</v>
      </c>
      <c r="DE864" t="s">
        <v>134</v>
      </c>
      <c r="DF864" t="str">
        <f>""</f>
        <v/>
      </c>
      <c r="DH864" s="6">
        <v>19.850000000000001</v>
      </c>
      <c r="DI864" t="s">
        <v>344</v>
      </c>
      <c r="DK864" t="s">
        <v>345</v>
      </c>
      <c r="DS864" s="6">
        <v>19.850000000000001</v>
      </c>
      <c r="DT864" t="s">
        <v>424</v>
      </c>
      <c r="DU864" s="1">
        <v>44369</v>
      </c>
      <c r="DV864" s="1">
        <v>44458</v>
      </c>
    </row>
    <row r="865" spans="1:126" ht="15" customHeight="1" x14ac:dyDescent="0.35">
      <c r="A865" t="s">
        <v>13987</v>
      </c>
      <c r="B865" t="s">
        <v>318</v>
      </c>
      <c r="C865" s="1">
        <v>44343</v>
      </c>
      <c r="D865" s="1">
        <v>44370</v>
      </c>
      <c r="H865" t="s">
        <v>319</v>
      </c>
      <c r="I865" t="s">
        <v>5174</v>
      </c>
      <c r="J865" t="s">
        <v>5400</v>
      </c>
      <c r="L865" t="s">
        <v>3922</v>
      </c>
      <c r="M865" t="s">
        <v>13988</v>
      </c>
      <c r="N865" t="s">
        <v>13989</v>
      </c>
      <c r="O865" t="s">
        <v>13990</v>
      </c>
      <c r="P865" t="s">
        <v>1760</v>
      </c>
      <c r="Q865" s="3">
        <v>70759</v>
      </c>
      <c r="R865" t="s">
        <v>128</v>
      </c>
      <c r="T865" s="4">
        <v>12257183095</v>
      </c>
      <c r="V865" t="s">
        <v>134</v>
      </c>
      <c r="W865" t="s">
        <v>13991</v>
      </c>
      <c r="Y865" t="s">
        <v>13988</v>
      </c>
      <c r="Z865" t="s">
        <v>13989</v>
      </c>
      <c r="AA865" t="s">
        <v>13990</v>
      </c>
      <c r="AB865" t="s">
        <v>1763</v>
      </c>
      <c r="AC865" s="3" t="str">
        <f>"70759"</f>
        <v>70759</v>
      </c>
      <c r="AD865" t="s">
        <v>128</v>
      </c>
      <c r="AF865" s="4">
        <v>12257183095</v>
      </c>
      <c r="AH865" t="str">
        <f>"4841"</f>
        <v>4841</v>
      </c>
      <c r="AI865" t="s">
        <v>287</v>
      </c>
      <c r="AJ865" t="s">
        <v>2917</v>
      </c>
      <c r="AK865" t="s">
        <v>2918</v>
      </c>
      <c r="AL865" t="s">
        <v>610</v>
      </c>
      <c r="AM865" t="s">
        <v>3772</v>
      </c>
      <c r="AO865" t="s">
        <v>3773</v>
      </c>
      <c r="AP865" t="s">
        <v>306</v>
      </c>
      <c r="AQ865" s="5">
        <v>22903</v>
      </c>
      <c r="AR865" t="s">
        <v>128</v>
      </c>
      <c r="AT865" s="4">
        <v>14342634300</v>
      </c>
      <c r="AV865" t="s">
        <v>5385</v>
      </c>
      <c r="AW865" t="s">
        <v>2923</v>
      </c>
      <c r="AX865" t="s">
        <v>131</v>
      </c>
      <c r="AY865" t="s">
        <v>131</v>
      </c>
      <c r="AZ865" t="s">
        <v>131</v>
      </c>
      <c r="BA865" t="s">
        <v>131</v>
      </c>
      <c r="BB865" t="s">
        <v>131</v>
      </c>
      <c r="BC865" t="s">
        <v>131</v>
      </c>
      <c r="BD865" t="s">
        <v>131</v>
      </c>
      <c r="BE865" t="s">
        <v>132</v>
      </c>
      <c r="BH865" t="s">
        <v>13992</v>
      </c>
      <c r="BI865" t="s">
        <v>131</v>
      </c>
      <c r="BL865" t="s">
        <v>167</v>
      </c>
      <c r="BO865" t="s">
        <v>131</v>
      </c>
      <c r="BP865" t="s">
        <v>134</v>
      </c>
      <c r="BQ865" t="s">
        <v>131</v>
      </c>
      <c r="BS865" t="str">
        <f t="shared" ref="BS865:BS896" si="60">"N/A"</f>
        <v>N/A</v>
      </c>
      <c r="BT865" t="s">
        <v>135</v>
      </c>
      <c r="BU865">
        <v>3</v>
      </c>
      <c r="BV865" t="str">
        <f>"Requires three months of CDL or equivalent truck driving experience."</f>
        <v>Requires three months of CDL or equivalent truck driving experience.</v>
      </c>
      <c r="BW865" t="s">
        <v>135</v>
      </c>
      <c r="BX865" t="str">
        <f>""</f>
        <v/>
      </c>
      <c r="BY865" t="str">
        <f>""</f>
        <v/>
      </c>
      <c r="BZ865" t="str">
        <f>""</f>
        <v/>
      </c>
      <c r="CA865" t="str">
        <f>"Saturday and Sunday work required, when necessary. Post-hire random drug testing required of foreign and domestic workers. Valid CDL or equivalent required."</f>
        <v>Saturday and Sunday work required, when necessary. Post-hire random drug testing required of foreign and domestic workers. Valid CDL or equivalent required.</v>
      </c>
      <c r="CB865" t="s">
        <v>131</v>
      </c>
      <c r="CF865" t="s">
        <v>131</v>
      </c>
      <c r="CH865" t="str">
        <f>""</f>
        <v/>
      </c>
      <c r="CI865" t="s">
        <v>131</v>
      </c>
      <c r="CK865" t="s">
        <v>131</v>
      </c>
      <c r="CL865" t="str">
        <f>""</f>
        <v/>
      </c>
      <c r="CM865" t="str">
        <f>""</f>
        <v/>
      </c>
      <c r="CN865" t="str">
        <f>""</f>
        <v/>
      </c>
      <c r="CO865" t="str">
        <f>""</f>
        <v/>
      </c>
      <c r="CP865" t="str">
        <f>"53-3032.00"</f>
        <v>53-3032.00</v>
      </c>
      <c r="CQ865" t="s">
        <v>1238</v>
      </c>
      <c r="CR865" t="s">
        <v>2924</v>
      </c>
      <c r="CS865" t="s">
        <v>135</v>
      </c>
      <c r="CT865" t="s">
        <v>13993</v>
      </c>
      <c r="CU865" t="s">
        <v>13994</v>
      </c>
      <c r="CW865" t="s">
        <v>13995</v>
      </c>
      <c r="CX865" t="s">
        <v>195</v>
      </c>
      <c r="CZ865" s="3" t="str">
        <f>"33430"</f>
        <v>33430</v>
      </c>
      <c r="DA865" t="s">
        <v>131</v>
      </c>
      <c r="DB865" t="str">
        <f>"53-3032"</f>
        <v>53-3032</v>
      </c>
      <c r="DC865" t="s">
        <v>1238</v>
      </c>
      <c r="DD865" t="s">
        <v>134</v>
      </c>
      <c r="DE865" t="s">
        <v>134</v>
      </c>
      <c r="DF865" t="str">
        <f>""</f>
        <v/>
      </c>
      <c r="DH865" s="6">
        <v>20</v>
      </c>
      <c r="DI865" t="s">
        <v>344</v>
      </c>
      <c r="DK865" t="s">
        <v>345</v>
      </c>
      <c r="DS865" s="6">
        <v>20</v>
      </c>
      <c r="DT865" s="2" t="s">
        <v>347</v>
      </c>
      <c r="DU865" s="1">
        <v>44370</v>
      </c>
      <c r="DV865" s="1">
        <v>44459</v>
      </c>
    </row>
    <row r="866" spans="1:126" ht="15" customHeight="1" x14ac:dyDescent="0.35">
      <c r="A866" t="s">
        <v>12907</v>
      </c>
      <c r="B866" t="s">
        <v>318</v>
      </c>
      <c r="C866" s="1">
        <v>44343</v>
      </c>
      <c r="D866" s="1">
        <v>44370</v>
      </c>
      <c r="H866" t="s">
        <v>319</v>
      </c>
      <c r="I866" t="s">
        <v>12908</v>
      </c>
      <c r="J866" t="s">
        <v>12909</v>
      </c>
      <c r="L866" t="s">
        <v>1105</v>
      </c>
      <c r="M866" t="s">
        <v>6306</v>
      </c>
      <c r="O866" t="s">
        <v>6307</v>
      </c>
      <c r="P866" t="s">
        <v>311</v>
      </c>
      <c r="Q866" s="3">
        <v>17522</v>
      </c>
      <c r="R866" t="s">
        <v>128</v>
      </c>
      <c r="T866" s="4">
        <v>17179470266</v>
      </c>
      <c r="V866" t="s">
        <v>6308</v>
      </c>
      <c r="W866" t="s">
        <v>6309</v>
      </c>
      <c r="X866" t="s">
        <v>6309</v>
      </c>
      <c r="Y866" t="s">
        <v>6306</v>
      </c>
      <c r="AA866" t="s">
        <v>6307</v>
      </c>
      <c r="AB866" t="s">
        <v>312</v>
      </c>
      <c r="AC866" s="3" t="str">
        <f>"17522"</f>
        <v>17522</v>
      </c>
      <c r="AD866" t="s">
        <v>128</v>
      </c>
      <c r="AF866" s="4">
        <v>17179470266</v>
      </c>
      <c r="AH866" t="str">
        <f>"311412"</f>
        <v>311412</v>
      </c>
      <c r="AI866" t="s">
        <v>167</v>
      </c>
      <c r="AX866" t="s">
        <v>131</v>
      </c>
      <c r="AY866" t="s">
        <v>131</v>
      </c>
      <c r="AZ866" t="s">
        <v>131</v>
      </c>
      <c r="BA866" t="s">
        <v>131</v>
      </c>
      <c r="BB866" t="s">
        <v>131</v>
      </c>
      <c r="BC866" t="s">
        <v>131</v>
      </c>
      <c r="BD866" t="s">
        <v>131</v>
      </c>
      <c r="BE866" t="s">
        <v>132</v>
      </c>
      <c r="BH866" t="s">
        <v>6311</v>
      </c>
      <c r="BI866" t="s">
        <v>131</v>
      </c>
      <c r="BL866" t="s">
        <v>167</v>
      </c>
      <c r="BO866" t="s">
        <v>131</v>
      </c>
      <c r="BP866" t="s">
        <v>134</v>
      </c>
      <c r="BQ866" t="s">
        <v>131</v>
      </c>
      <c r="BS866" t="str">
        <f t="shared" si="60"/>
        <v>N/A</v>
      </c>
      <c r="BT866" t="s">
        <v>131</v>
      </c>
      <c r="BV866" t="str">
        <f>""</f>
        <v/>
      </c>
      <c r="BW866" t="s">
        <v>131</v>
      </c>
      <c r="BX866" t="str">
        <f>""</f>
        <v/>
      </c>
      <c r="BY866" t="str">
        <f>""</f>
        <v/>
      </c>
      <c r="BZ866" t="str">
        <f>""</f>
        <v/>
      </c>
      <c r="CA866" t="str">
        <f>""</f>
        <v/>
      </c>
      <c r="CB866" t="s">
        <v>131</v>
      </c>
      <c r="CF866" t="s">
        <v>131</v>
      </c>
      <c r="CH866" t="str">
        <f>""</f>
        <v/>
      </c>
      <c r="CI866" t="s">
        <v>131</v>
      </c>
      <c r="CK866" t="s">
        <v>131</v>
      </c>
      <c r="CL866" t="str">
        <f>""</f>
        <v/>
      </c>
      <c r="CM866" t="str">
        <f>""</f>
        <v/>
      </c>
      <c r="CN866" t="str">
        <f>""</f>
        <v/>
      </c>
      <c r="CO866" t="str">
        <f>""</f>
        <v/>
      </c>
      <c r="CP866" t="str">
        <f>"51-3099.00"</f>
        <v>51-3099.00</v>
      </c>
      <c r="CQ866" t="s">
        <v>12787</v>
      </c>
      <c r="CR866" t="s">
        <v>6311</v>
      </c>
      <c r="CS866" t="s">
        <v>131</v>
      </c>
      <c r="CU866" t="s">
        <v>12910</v>
      </c>
      <c r="CW866" t="s">
        <v>6313</v>
      </c>
      <c r="CX866" t="s">
        <v>312</v>
      </c>
      <c r="CZ866" s="3" t="str">
        <f>"17543"</f>
        <v>17543</v>
      </c>
      <c r="DA866" t="s">
        <v>131</v>
      </c>
      <c r="DB866" t="str">
        <f>"51-3092"</f>
        <v>51-3092</v>
      </c>
      <c r="DC866" t="s">
        <v>2402</v>
      </c>
      <c r="DD866" t="s">
        <v>134</v>
      </c>
      <c r="DE866" t="s">
        <v>134</v>
      </c>
      <c r="DF866" t="str">
        <f>""</f>
        <v/>
      </c>
      <c r="DH866" s="6">
        <v>19.510000000000002</v>
      </c>
      <c r="DI866" t="s">
        <v>344</v>
      </c>
      <c r="DK866" t="s">
        <v>345</v>
      </c>
      <c r="DR866" t="s">
        <v>6314</v>
      </c>
      <c r="DS866" s="6">
        <v>19.510000000000002</v>
      </c>
      <c r="DT866" t="s">
        <v>424</v>
      </c>
      <c r="DU866" s="1">
        <v>44370</v>
      </c>
      <c r="DV866" s="1">
        <v>44459</v>
      </c>
    </row>
    <row r="867" spans="1:126" ht="15" customHeight="1" x14ac:dyDescent="0.35">
      <c r="A867" t="s">
        <v>13331</v>
      </c>
      <c r="B867" t="s">
        <v>318</v>
      </c>
      <c r="C867" s="1">
        <v>44343</v>
      </c>
      <c r="D867" s="1">
        <v>44375</v>
      </c>
      <c r="H867" t="s">
        <v>319</v>
      </c>
      <c r="I867" t="s">
        <v>13332</v>
      </c>
      <c r="J867" t="s">
        <v>12341</v>
      </c>
      <c r="L867" t="s">
        <v>4394</v>
      </c>
      <c r="M867" t="s">
        <v>13333</v>
      </c>
      <c r="O867" t="s">
        <v>262</v>
      </c>
      <c r="P867" t="s">
        <v>539</v>
      </c>
      <c r="Q867" s="3">
        <v>60607</v>
      </c>
      <c r="R867" t="s">
        <v>128</v>
      </c>
      <c r="T867" s="4">
        <v>13127318816</v>
      </c>
      <c r="V867" t="s">
        <v>13334</v>
      </c>
      <c r="W867" t="s">
        <v>13335</v>
      </c>
      <c r="Y867" t="s">
        <v>13333</v>
      </c>
      <c r="AA867" t="s">
        <v>262</v>
      </c>
      <c r="AB867" t="s">
        <v>263</v>
      </c>
      <c r="AC867" s="3" t="str">
        <f>"60607"</f>
        <v>60607</v>
      </c>
      <c r="AD867" t="s">
        <v>128</v>
      </c>
      <c r="AF867" s="4">
        <v>13127318816</v>
      </c>
      <c r="AH867" t="str">
        <f>"814110"</f>
        <v>814110</v>
      </c>
      <c r="AI867" t="s">
        <v>130</v>
      </c>
      <c r="AJ867" t="s">
        <v>651</v>
      </c>
      <c r="AK867" t="s">
        <v>13336</v>
      </c>
      <c r="AL867" t="s">
        <v>13337</v>
      </c>
      <c r="AM867" t="s">
        <v>13338</v>
      </c>
      <c r="AN867" t="s">
        <v>13339</v>
      </c>
      <c r="AO867" t="s">
        <v>476</v>
      </c>
      <c r="AP867" t="s">
        <v>172</v>
      </c>
      <c r="AQ867" s="5">
        <v>90034</v>
      </c>
      <c r="AR867" t="s">
        <v>128</v>
      </c>
      <c r="AS867" t="s">
        <v>1253</v>
      </c>
      <c r="AT867" s="4">
        <v>12133754084</v>
      </c>
      <c r="AV867" t="s">
        <v>13340</v>
      </c>
      <c r="AW867" t="s">
        <v>13341</v>
      </c>
      <c r="AX867" t="s">
        <v>131</v>
      </c>
      <c r="AY867" t="s">
        <v>131</v>
      </c>
      <c r="AZ867" t="s">
        <v>131</v>
      </c>
      <c r="BA867" t="s">
        <v>131</v>
      </c>
      <c r="BB867" t="s">
        <v>131</v>
      </c>
      <c r="BC867" t="s">
        <v>131</v>
      </c>
      <c r="BD867" t="s">
        <v>131</v>
      </c>
      <c r="BE867" t="s">
        <v>132</v>
      </c>
      <c r="BH867" t="s">
        <v>13342</v>
      </c>
      <c r="BI867" t="s">
        <v>131</v>
      </c>
      <c r="BL867" t="s">
        <v>167</v>
      </c>
      <c r="BO867" t="s">
        <v>131</v>
      </c>
      <c r="BP867" t="s">
        <v>134</v>
      </c>
      <c r="BQ867" t="s">
        <v>131</v>
      </c>
      <c r="BS867" t="str">
        <f t="shared" si="60"/>
        <v>N/A</v>
      </c>
      <c r="BT867" t="s">
        <v>135</v>
      </c>
      <c r="BU867">
        <v>12</v>
      </c>
      <c r="BV867" t="str">
        <f>"Nanny"</f>
        <v>Nanny</v>
      </c>
      <c r="BW867" t="s">
        <v>131</v>
      </c>
      <c r="BX867" t="str">
        <f>""</f>
        <v/>
      </c>
      <c r="BY867" t="str">
        <f>""</f>
        <v/>
      </c>
      <c r="BZ867" t="str">
        <f>""</f>
        <v/>
      </c>
      <c r="CA867" t="str">
        <f>""</f>
        <v/>
      </c>
      <c r="CB867" t="s">
        <v>131</v>
      </c>
      <c r="CF867" t="s">
        <v>131</v>
      </c>
      <c r="CH867" t="str">
        <f>""</f>
        <v/>
      </c>
      <c r="CI867" t="s">
        <v>131</v>
      </c>
      <c r="CK867" t="s">
        <v>131</v>
      </c>
      <c r="CL867" t="str">
        <f>""</f>
        <v/>
      </c>
      <c r="CM867" t="str">
        <f>""</f>
        <v/>
      </c>
      <c r="CN867" t="str">
        <f>""</f>
        <v/>
      </c>
      <c r="CO867" t="str">
        <f>""</f>
        <v/>
      </c>
      <c r="CP867" t="str">
        <f>"39-9011.00"</f>
        <v>39-9011.00</v>
      </c>
      <c r="CQ867" t="s">
        <v>342</v>
      </c>
      <c r="CR867" t="s">
        <v>4394</v>
      </c>
      <c r="CS867" t="s">
        <v>131</v>
      </c>
      <c r="CU867" t="s">
        <v>13333</v>
      </c>
      <c r="CW867" t="s">
        <v>262</v>
      </c>
      <c r="CX867" t="s">
        <v>263</v>
      </c>
      <c r="CZ867" s="3" t="str">
        <f>"60607"</f>
        <v>60607</v>
      </c>
      <c r="DA867" t="s">
        <v>131</v>
      </c>
      <c r="DB867" t="str">
        <f>"39-9011"</f>
        <v>39-9011</v>
      </c>
      <c r="DC867" t="s">
        <v>342</v>
      </c>
      <c r="DD867" t="s">
        <v>343</v>
      </c>
      <c r="DE867" t="s">
        <v>339</v>
      </c>
      <c r="DF867" t="str">
        <f>""</f>
        <v/>
      </c>
      <c r="DH867" s="6">
        <v>12.4</v>
      </c>
      <c r="DI867" t="s">
        <v>344</v>
      </c>
      <c r="DK867" t="s">
        <v>345</v>
      </c>
      <c r="DS867" s="6">
        <v>12.4</v>
      </c>
      <c r="DT867" t="s">
        <v>424</v>
      </c>
      <c r="DU867" s="1">
        <v>44375</v>
      </c>
      <c r="DV867" s="1">
        <v>44464</v>
      </c>
    </row>
    <row r="868" spans="1:126" ht="15" customHeight="1" x14ac:dyDescent="0.35">
      <c r="A868" t="s">
        <v>13664</v>
      </c>
      <c r="B868" t="s">
        <v>318</v>
      </c>
      <c r="C868" s="1">
        <v>44343</v>
      </c>
      <c r="D868" s="1">
        <v>44370</v>
      </c>
      <c r="H868" t="s">
        <v>319</v>
      </c>
      <c r="I868" t="s">
        <v>5398</v>
      </c>
      <c r="J868" t="s">
        <v>13665</v>
      </c>
      <c r="L868" t="s">
        <v>1031</v>
      </c>
      <c r="M868" t="s">
        <v>13666</v>
      </c>
      <c r="O868" t="s">
        <v>6251</v>
      </c>
      <c r="P868" t="s">
        <v>194</v>
      </c>
      <c r="Q868" s="3">
        <v>34102</v>
      </c>
      <c r="R868" t="s">
        <v>128</v>
      </c>
      <c r="T868" s="4">
        <v>12393602000</v>
      </c>
      <c r="V868" t="s">
        <v>1021</v>
      </c>
      <c r="W868" t="s">
        <v>13667</v>
      </c>
      <c r="Y868" t="s">
        <v>13666</v>
      </c>
      <c r="AA868" t="s">
        <v>6251</v>
      </c>
      <c r="AB868" t="s">
        <v>195</v>
      </c>
      <c r="AC868" s="3" t="str">
        <f>"34102"</f>
        <v>34102</v>
      </c>
      <c r="AD868" t="s">
        <v>128</v>
      </c>
      <c r="AF868" s="4">
        <v>12393602000</v>
      </c>
      <c r="AH868" t="str">
        <f>"722513"</f>
        <v>722513</v>
      </c>
      <c r="AI868" t="s">
        <v>287</v>
      </c>
      <c r="AJ868" t="s">
        <v>1024</v>
      </c>
      <c r="AK868" t="s">
        <v>1025</v>
      </c>
      <c r="AM868" t="s">
        <v>1026</v>
      </c>
      <c r="AO868" t="s">
        <v>1027</v>
      </c>
      <c r="AP868" t="s">
        <v>129</v>
      </c>
      <c r="AQ868" s="5">
        <v>11590</v>
      </c>
      <c r="AR868" t="s">
        <v>128</v>
      </c>
      <c r="AT868" s="4">
        <v>15163307168</v>
      </c>
      <c r="AV868" t="s">
        <v>1021</v>
      </c>
      <c r="AW868" t="s">
        <v>1028</v>
      </c>
      <c r="AX868" t="s">
        <v>131</v>
      </c>
      <c r="AY868" t="s">
        <v>131</v>
      </c>
      <c r="AZ868" t="s">
        <v>131</v>
      </c>
      <c r="BA868" t="s">
        <v>131</v>
      </c>
      <c r="BB868" t="s">
        <v>131</v>
      </c>
      <c r="BC868" t="s">
        <v>131</v>
      </c>
      <c r="BD868" t="s">
        <v>131</v>
      </c>
      <c r="BE868" t="s">
        <v>132</v>
      </c>
      <c r="BH868" t="s">
        <v>6218</v>
      </c>
      <c r="BI868" t="s">
        <v>131</v>
      </c>
      <c r="BL868" t="s">
        <v>167</v>
      </c>
      <c r="BO868" t="s">
        <v>131</v>
      </c>
      <c r="BP868" t="s">
        <v>134</v>
      </c>
      <c r="BQ868" t="s">
        <v>131</v>
      </c>
      <c r="BS868" t="str">
        <f t="shared" si="60"/>
        <v>N/A</v>
      </c>
      <c r="BT868" t="s">
        <v>135</v>
      </c>
      <c r="BU868">
        <v>6</v>
      </c>
      <c r="BV868" t="str">
        <f>"COOKS"</f>
        <v>COOKS</v>
      </c>
      <c r="BW868" t="s">
        <v>131</v>
      </c>
      <c r="BX868" t="str">
        <f>""</f>
        <v/>
      </c>
      <c r="BY868" t="str">
        <f>""</f>
        <v/>
      </c>
      <c r="BZ868" t="str">
        <f>""</f>
        <v/>
      </c>
      <c r="CA868" t="str">
        <f>""</f>
        <v/>
      </c>
      <c r="CB868" t="s">
        <v>131</v>
      </c>
      <c r="CF868" t="s">
        <v>131</v>
      </c>
      <c r="CH868" t="str">
        <f>""</f>
        <v/>
      </c>
      <c r="CI868" t="s">
        <v>131</v>
      </c>
      <c r="CK868" t="s">
        <v>131</v>
      </c>
      <c r="CL868" t="str">
        <f>""</f>
        <v/>
      </c>
      <c r="CM868" t="str">
        <f>""</f>
        <v/>
      </c>
      <c r="CN868" t="str">
        <f>""</f>
        <v/>
      </c>
      <c r="CO868" t="str">
        <f>""</f>
        <v/>
      </c>
      <c r="CP868" t="str">
        <f>"35-2014.00"</f>
        <v>35-2014.00</v>
      </c>
      <c r="CQ868" t="s">
        <v>581</v>
      </c>
      <c r="CR868" t="s">
        <v>6219</v>
      </c>
      <c r="CS868" t="s">
        <v>131</v>
      </c>
      <c r="CU868" t="s">
        <v>13668</v>
      </c>
      <c r="CW868" t="s">
        <v>6251</v>
      </c>
      <c r="CX868" t="s">
        <v>195</v>
      </c>
      <c r="CZ868" s="3" t="str">
        <f>"34102"</f>
        <v>34102</v>
      </c>
      <c r="DA868" t="s">
        <v>131</v>
      </c>
      <c r="DB868" t="str">
        <f>"35-2014"</f>
        <v>35-2014</v>
      </c>
      <c r="DC868" t="s">
        <v>581</v>
      </c>
      <c r="DD868" t="s">
        <v>134</v>
      </c>
      <c r="DE868" t="s">
        <v>134</v>
      </c>
      <c r="DF868" t="str">
        <f>""</f>
        <v/>
      </c>
      <c r="DH868" s="6">
        <v>15.46</v>
      </c>
      <c r="DI868" t="s">
        <v>344</v>
      </c>
      <c r="DK868" t="s">
        <v>345</v>
      </c>
      <c r="DR868" t="s">
        <v>5543</v>
      </c>
      <c r="DS868" s="6">
        <v>15.46</v>
      </c>
      <c r="DT868" t="s">
        <v>424</v>
      </c>
      <c r="DU868" s="1">
        <v>44370</v>
      </c>
      <c r="DV868" s="1">
        <v>44459</v>
      </c>
    </row>
    <row r="869" spans="1:126" ht="15" customHeight="1" x14ac:dyDescent="0.35">
      <c r="A869" t="s">
        <v>14361</v>
      </c>
      <c r="B869" t="s">
        <v>318</v>
      </c>
      <c r="C869" s="1">
        <v>44343</v>
      </c>
      <c r="D869" s="1">
        <v>44370</v>
      </c>
      <c r="H869" t="s">
        <v>319</v>
      </c>
      <c r="I869" t="s">
        <v>14362</v>
      </c>
      <c r="J869" t="s">
        <v>14363</v>
      </c>
      <c r="K869" t="s">
        <v>14364</v>
      </c>
      <c r="L869" t="s">
        <v>7781</v>
      </c>
      <c r="M869" t="s">
        <v>14365</v>
      </c>
      <c r="O869" t="s">
        <v>7916</v>
      </c>
      <c r="P869" t="s">
        <v>127</v>
      </c>
      <c r="Q869" s="3">
        <v>10956</v>
      </c>
      <c r="R869" t="s">
        <v>128</v>
      </c>
      <c r="T869" s="4">
        <v>18452705913</v>
      </c>
      <c r="V869" t="s">
        <v>14366</v>
      </c>
      <c r="W869" t="s">
        <v>14367</v>
      </c>
      <c r="X869" t="s">
        <v>14368</v>
      </c>
      <c r="Y869" t="s">
        <v>14365</v>
      </c>
      <c r="AA869" t="s">
        <v>7916</v>
      </c>
      <c r="AB869" t="s">
        <v>129</v>
      </c>
      <c r="AC869" s="3" t="str">
        <f>"10956"</f>
        <v>10956</v>
      </c>
      <c r="AD869" t="s">
        <v>128</v>
      </c>
      <c r="AF869" s="4">
        <v>18455951750</v>
      </c>
      <c r="AG869">
        <v>12</v>
      </c>
      <c r="AH869" t="str">
        <f>"621610"</f>
        <v>621610</v>
      </c>
      <c r="AI869" t="s">
        <v>287</v>
      </c>
      <c r="AJ869" t="s">
        <v>14364</v>
      </c>
      <c r="AK869" t="s">
        <v>14369</v>
      </c>
      <c r="AL869" t="s">
        <v>14370</v>
      </c>
      <c r="AM869" t="s">
        <v>14371</v>
      </c>
      <c r="AO869" t="s">
        <v>14372</v>
      </c>
      <c r="AP869" t="s">
        <v>129</v>
      </c>
      <c r="AQ869" s="5">
        <v>12550</v>
      </c>
      <c r="AR869" t="s">
        <v>128</v>
      </c>
      <c r="AT869" s="4">
        <v>18457640228</v>
      </c>
      <c r="AV869" t="s">
        <v>14373</v>
      </c>
      <c r="AW869" t="s">
        <v>14367</v>
      </c>
      <c r="AX869" t="s">
        <v>131</v>
      </c>
      <c r="AY869" t="s">
        <v>131</v>
      </c>
      <c r="AZ869" t="s">
        <v>131</v>
      </c>
      <c r="BA869" t="s">
        <v>131</v>
      </c>
      <c r="BB869" t="s">
        <v>131</v>
      </c>
      <c r="BC869" t="s">
        <v>131</v>
      </c>
      <c r="BD869" t="s">
        <v>131</v>
      </c>
      <c r="BE869" t="s">
        <v>160</v>
      </c>
      <c r="BF869" t="s">
        <v>14374</v>
      </c>
      <c r="BG869" s="1">
        <v>44335</v>
      </c>
      <c r="BH869" t="s">
        <v>14375</v>
      </c>
      <c r="BI869" t="s">
        <v>131</v>
      </c>
      <c r="BL869" t="s">
        <v>167</v>
      </c>
      <c r="BO869" t="s">
        <v>131</v>
      </c>
      <c r="BP869" t="s">
        <v>134</v>
      </c>
      <c r="BQ869" t="s">
        <v>131</v>
      </c>
      <c r="BS869" t="str">
        <f t="shared" si="60"/>
        <v>N/A</v>
      </c>
      <c r="BT869" t="s">
        <v>135</v>
      </c>
      <c r="BU869">
        <v>6</v>
      </c>
      <c r="BV869" t="str">
        <f>"caregiver, personal aide, home care of adults"</f>
        <v>caregiver, personal aide, home care of adults</v>
      </c>
      <c r="BW869" t="s">
        <v>135</v>
      </c>
      <c r="BX869" t="str">
        <f>""</f>
        <v/>
      </c>
      <c r="BY869" t="str">
        <f>""</f>
        <v/>
      </c>
      <c r="BZ869" t="str">
        <f>""</f>
        <v/>
      </c>
      <c r="CA869" t="str">
        <f>"nursing skills, caring in healthcare setting, home caring for adults"</f>
        <v>nursing skills, caring in healthcare setting, home caring for adults</v>
      </c>
      <c r="CB869" t="s">
        <v>131</v>
      </c>
      <c r="CF869" t="s">
        <v>131</v>
      </c>
      <c r="CH869" t="str">
        <f>""</f>
        <v/>
      </c>
      <c r="CI869" t="s">
        <v>131</v>
      </c>
      <c r="CK869" t="s">
        <v>131</v>
      </c>
      <c r="CL869" t="str">
        <f>""</f>
        <v/>
      </c>
      <c r="CM869" t="str">
        <f>""</f>
        <v/>
      </c>
      <c r="CN869" t="str">
        <f>""</f>
        <v/>
      </c>
      <c r="CO869" t="str">
        <f>""</f>
        <v/>
      </c>
      <c r="CP869" t="str">
        <f>"39-9021.00"</f>
        <v>39-9021.00</v>
      </c>
      <c r="CQ869" t="s">
        <v>2708</v>
      </c>
      <c r="CR869" t="s">
        <v>9393</v>
      </c>
      <c r="CS869" t="s">
        <v>135</v>
      </c>
      <c r="CT869" s="2" t="s">
        <v>14376</v>
      </c>
      <c r="CU869" t="s">
        <v>14377</v>
      </c>
      <c r="CV869" t="s">
        <v>1072</v>
      </c>
      <c r="CW869" t="s">
        <v>3989</v>
      </c>
      <c r="CX869" t="s">
        <v>129</v>
      </c>
      <c r="CZ869" s="3" t="str">
        <f>"10950"</f>
        <v>10950</v>
      </c>
      <c r="DA869" t="s">
        <v>131</v>
      </c>
      <c r="DB869" t="str">
        <f>"39-9021"</f>
        <v>39-9021</v>
      </c>
      <c r="DC869" t="s">
        <v>2708</v>
      </c>
      <c r="DD869" t="s">
        <v>134</v>
      </c>
      <c r="DE869" t="s">
        <v>134</v>
      </c>
      <c r="DF869" t="str">
        <f>""</f>
        <v/>
      </c>
      <c r="DH869" s="6">
        <v>13.93</v>
      </c>
      <c r="DI869" t="s">
        <v>344</v>
      </c>
      <c r="DK869" t="s">
        <v>345</v>
      </c>
      <c r="DS869" s="6">
        <v>13.93</v>
      </c>
      <c r="DT869" s="2" t="s">
        <v>11167</v>
      </c>
      <c r="DU869" s="1">
        <v>44370</v>
      </c>
      <c r="DV869" s="1">
        <v>44459</v>
      </c>
    </row>
    <row r="870" spans="1:126" ht="15" customHeight="1" x14ac:dyDescent="0.35">
      <c r="A870" t="s">
        <v>14667</v>
      </c>
      <c r="B870" t="s">
        <v>318</v>
      </c>
      <c r="C870" s="1">
        <v>44343</v>
      </c>
      <c r="D870" s="1">
        <v>44376</v>
      </c>
      <c r="H870" t="s">
        <v>319</v>
      </c>
      <c r="I870" t="s">
        <v>534</v>
      </c>
      <c r="J870" t="s">
        <v>3932</v>
      </c>
      <c r="L870" t="s">
        <v>6348</v>
      </c>
      <c r="M870" t="s">
        <v>10103</v>
      </c>
      <c r="O870" t="s">
        <v>687</v>
      </c>
      <c r="P870" t="s">
        <v>441</v>
      </c>
      <c r="Q870" s="3">
        <v>45202</v>
      </c>
      <c r="R870" t="s">
        <v>128</v>
      </c>
      <c r="T870" s="4">
        <v>15132503121</v>
      </c>
      <c r="V870" t="s">
        <v>10104</v>
      </c>
      <c r="W870" t="s">
        <v>10105</v>
      </c>
      <c r="Y870" t="s">
        <v>10103</v>
      </c>
      <c r="AA870" t="s">
        <v>687</v>
      </c>
      <c r="AB870" t="s">
        <v>444</v>
      </c>
      <c r="AC870" s="3" t="str">
        <f t="shared" ref="AC870:AC875" si="61">"45202"</f>
        <v>45202</v>
      </c>
      <c r="AD870" t="s">
        <v>128</v>
      </c>
      <c r="AF870" s="4">
        <v>15132503121</v>
      </c>
      <c r="AH870" t="str">
        <f t="shared" ref="AH870:AH875" si="62">"71321"</f>
        <v>71321</v>
      </c>
      <c r="AI870" t="s">
        <v>287</v>
      </c>
      <c r="AJ870" t="s">
        <v>2209</v>
      </c>
      <c r="AK870" t="s">
        <v>1459</v>
      </c>
      <c r="AL870" t="s">
        <v>2210</v>
      </c>
      <c r="AM870" t="s">
        <v>2211</v>
      </c>
      <c r="AN870" t="s">
        <v>788</v>
      </c>
      <c r="AO870" t="s">
        <v>2212</v>
      </c>
      <c r="AP870" t="s">
        <v>400</v>
      </c>
      <c r="AQ870" s="5">
        <v>75033</v>
      </c>
      <c r="AR870" t="s">
        <v>128</v>
      </c>
      <c r="AT870" s="4">
        <v>19727789690</v>
      </c>
      <c r="AV870" t="s">
        <v>2213</v>
      </c>
      <c r="AW870" t="s">
        <v>2214</v>
      </c>
      <c r="AX870" t="s">
        <v>131</v>
      </c>
      <c r="AY870" t="s">
        <v>131</v>
      </c>
      <c r="AZ870" t="s">
        <v>131</v>
      </c>
      <c r="BA870" t="s">
        <v>131</v>
      </c>
      <c r="BB870" t="s">
        <v>131</v>
      </c>
      <c r="BC870" t="s">
        <v>131</v>
      </c>
      <c r="BD870" t="s">
        <v>135</v>
      </c>
      <c r="BE870" t="s">
        <v>132</v>
      </c>
      <c r="BH870" t="s">
        <v>2095</v>
      </c>
      <c r="BI870" t="s">
        <v>131</v>
      </c>
      <c r="BL870" t="s">
        <v>167</v>
      </c>
      <c r="BO870" t="s">
        <v>131</v>
      </c>
      <c r="BP870" t="s">
        <v>134</v>
      </c>
      <c r="BQ870" t="s">
        <v>131</v>
      </c>
      <c r="BS870" t="str">
        <f t="shared" si="60"/>
        <v>N/A</v>
      </c>
      <c r="BT870" t="s">
        <v>135</v>
      </c>
      <c r="BU870">
        <v>3</v>
      </c>
      <c r="BV870" t="str">
        <f>"Groundskeeper"</f>
        <v>Groundskeeper</v>
      </c>
      <c r="BW870" t="s">
        <v>135</v>
      </c>
      <c r="BX870" t="str">
        <f>"Must obtain valid U.S. drivers license within 30 days of employment."</f>
        <v>Must obtain valid U.S. drivers license within 30 days of employment.</v>
      </c>
      <c r="BY870" t="str">
        <f>""</f>
        <v/>
      </c>
      <c r="BZ870" t="str">
        <f>""</f>
        <v/>
      </c>
      <c r="CA870" t="str">
        <f>"Must complete employment application. Must be able to lift 50 lbs. Must be able to work weekends and holidays as required. "</f>
        <v xml:space="preserve">Must complete employment application. Must be able to lift 50 lbs. Must be able to work weekends and holidays as required. </v>
      </c>
      <c r="CB870" t="s">
        <v>131</v>
      </c>
      <c r="CF870" t="s">
        <v>131</v>
      </c>
      <c r="CH870" t="str">
        <f>""</f>
        <v/>
      </c>
      <c r="CI870" t="s">
        <v>131</v>
      </c>
      <c r="CK870" t="s">
        <v>131</v>
      </c>
      <c r="CL870" t="str">
        <f>""</f>
        <v/>
      </c>
      <c r="CM870" t="str">
        <f>""</f>
        <v/>
      </c>
      <c r="CN870" t="str">
        <f>""</f>
        <v/>
      </c>
      <c r="CO870" t="str">
        <f>""</f>
        <v/>
      </c>
      <c r="CP870" t="str">
        <f>"37-3011.00"</f>
        <v>37-3011.00</v>
      </c>
      <c r="CQ870" t="s">
        <v>920</v>
      </c>
      <c r="CS870" t="s">
        <v>131</v>
      </c>
      <c r="CU870" t="s">
        <v>10103</v>
      </c>
      <c r="CW870" t="s">
        <v>687</v>
      </c>
      <c r="CX870" t="s">
        <v>444</v>
      </c>
      <c r="CZ870" s="3" t="str">
        <f t="shared" ref="CZ870:CZ875" si="63">"45202"</f>
        <v>45202</v>
      </c>
      <c r="DA870" t="s">
        <v>131</v>
      </c>
      <c r="DB870" t="str">
        <f>"37-3011"</f>
        <v>37-3011</v>
      </c>
      <c r="DC870" t="s">
        <v>920</v>
      </c>
      <c r="DD870" t="s">
        <v>134</v>
      </c>
      <c r="DE870" t="s">
        <v>134</v>
      </c>
      <c r="DF870" t="str">
        <f>""</f>
        <v/>
      </c>
      <c r="DH870" s="6">
        <v>14.88</v>
      </c>
      <c r="DI870" t="s">
        <v>344</v>
      </c>
      <c r="DK870" t="s">
        <v>345</v>
      </c>
      <c r="DS870" s="6">
        <v>14.88</v>
      </c>
      <c r="DT870" t="s">
        <v>424</v>
      </c>
      <c r="DU870" s="1">
        <v>44376</v>
      </c>
      <c r="DV870" s="1">
        <v>44465</v>
      </c>
    </row>
    <row r="871" spans="1:126" ht="15" customHeight="1" x14ac:dyDescent="0.35">
      <c r="A871" t="s">
        <v>20078</v>
      </c>
      <c r="B871" t="s">
        <v>318</v>
      </c>
      <c r="C871" s="1">
        <v>44343</v>
      </c>
      <c r="D871" s="1">
        <v>44376</v>
      </c>
      <c r="H871" t="s">
        <v>319</v>
      </c>
      <c r="I871" t="s">
        <v>534</v>
      </c>
      <c r="J871" t="s">
        <v>3932</v>
      </c>
      <c r="L871" t="s">
        <v>6348</v>
      </c>
      <c r="M871" t="s">
        <v>10103</v>
      </c>
      <c r="O871" t="s">
        <v>687</v>
      </c>
      <c r="P871" t="s">
        <v>441</v>
      </c>
      <c r="Q871" s="3">
        <v>45202</v>
      </c>
      <c r="R871" t="s">
        <v>128</v>
      </c>
      <c r="T871" s="4">
        <v>15132503121</v>
      </c>
      <c r="V871" t="s">
        <v>10104</v>
      </c>
      <c r="W871" t="s">
        <v>10105</v>
      </c>
      <c r="Y871" t="s">
        <v>10103</v>
      </c>
      <c r="AA871" t="s">
        <v>687</v>
      </c>
      <c r="AB871" t="s">
        <v>444</v>
      </c>
      <c r="AC871" s="3" t="str">
        <f t="shared" si="61"/>
        <v>45202</v>
      </c>
      <c r="AD871" t="s">
        <v>128</v>
      </c>
      <c r="AF871" s="4">
        <v>15132503121</v>
      </c>
      <c r="AH871" t="str">
        <f t="shared" si="62"/>
        <v>71321</v>
      </c>
      <c r="AI871" t="s">
        <v>287</v>
      </c>
      <c r="AJ871" t="s">
        <v>2209</v>
      </c>
      <c r="AK871" t="s">
        <v>1459</v>
      </c>
      <c r="AL871" t="s">
        <v>2210</v>
      </c>
      <c r="AM871" t="s">
        <v>2211</v>
      </c>
      <c r="AN871" t="s">
        <v>788</v>
      </c>
      <c r="AO871" t="s">
        <v>2212</v>
      </c>
      <c r="AP871" t="s">
        <v>400</v>
      </c>
      <c r="AQ871" s="5">
        <v>75033</v>
      </c>
      <c r="AR871" t="s">
        <v>128</v>
      </c>
      <c r="AT871" s="4">
        <v>19727789690</v>
      </c>
      <c r="AV871" t="s">
        <v>2213</v>
      </c>
      <c r="AW871" t="s">
        <v>2214</v>
      </c>
      <c r="AX871" t="s">
        <v>131</v>
      </c>
      <c r="AY871" t="s">
        <v>131</v>
      </c>
      <c r="AZ871" t="s">
        <v>131</v>
      </c>
      <c r="BA871" t="s">
        <v>131</v>
      </c>
      <c r="BB871" t="s">
        <v>131</v>
      </c>
      <c r="BC871" t="s">
        <v>131</v>
      </c>
      <c r="BD871" t="s">
        <v>135</v>
      </c>
      <c r="BE871" t="s">
        <v>132</v>
      </c>
      <c r="BH871" t="s">
        <v>20079</v>
      </c>
      <c r="BI871" t="s">
        <v>131</v>
      </c>
      <c r="BL871" t="s">
        <v>167</v>
      </c>
      <c r="BO871" t="s">
        <v>131</v>
      </c>
      <c r="BP871" t="s">
        <v>134</v>
      </c>
      <c r="BQ871" t="s">
        <v>131</v>
      </c>
      <c r="BS871" t="str">
        <f t="shared" si="60"/>
        <v>N/A</v>
      </c>
      <c r="BT871" t="s">
        <v>135</v>
      </c>
      <c r="BU871">
        <v>3</v>
      </c>
      <c r="BV871" t="str">
        <f>"Bar porter"</f>
        <v>Bar porter</v>
      </c>
      <c r="BW871" t="s">
        <v>135</v>
      </c>
      <c r="BX871" t="str">
        <f>""</f>
        <v/>
      </c>
      <c r="BY871" t="str">
        <f>""</f>
        <v/>
      </c>
      <c r="BZ871" t="str">
        <f>""</f>
        <v/>
      </c>
      <c r="CA871" t="str">
        <f>"Must complete employment application. Must be able to work weekends and holidays as required."</f>
        <v>Must complete employment application. Must be able to work weekends and holidays as required.</v>
      </c>
      <c r="CB871" t="s">
        <v>131</v>
      </c>
      <c r="CF871" t="s">
        <v>131</v>
      </c>
      <c r="CH871" t="str">
        <f>""</f>
        <v/>
      </c>
      <c r="CI871" t="s">
        <v>131</v>
      </c>
      <c r="CK871" t="s">
        <v>131</v>
      </c>
      <c r="CL871" t="str">
        <f>""</f>
        <v/>
      </c>
      <c r="CM871" t="str">
        <f>""</f>
        <v/>
      </c>
      <c r="CN871" t="str">
        <f>""</f>
        <v/>
      </c>
      <c r="CO871" t="str">
        <f>""</f>
        <v/>
      </c>
      <c r="CP871" t="str">
        <f>"35-3011.00"</f>
        <v>35-3011.00</v>
      </c>
      <c r="CQ871" t="s">
        <v>1859</v>
      </c>
      <c r="CS871" t="s">
        <v>131</v>
      </c>
      <c r="CU871" t="s">
        <v>10103</v>
      </c>
      <c r="CW871" t="s">
        <v>687</v>
      </c>
      <c r="CX871" t="s">
        <v>444</v>
      </c>
      <c r="CZ871" s="3" t="str">
        <f t="shared" si="63"/>
        <v>45202</v>
      </c>
      <c r="DA871" t="s">
        <v>131</v>
      </c>
      <c r="DB871" t="str">
        <f>"35-3011"</f>
        <v>35-3011</v>
      </c>
      <c r="DC871" t="s">
        <v>1859</v>
      </c>
      <c r="DD871" t="s">
        <v>134</v>
      </c>
      <c r="DE871" t="s">
        <v>134</v>
      </c>
      <c r="DF871" t="str">
        <f>""</f>
        <v/>
      </c>
      <c r="DH871" s="6">
        <v>11</v>
      </c>
      <c r="DI871" t="s">
        <v>344</v>
      </c>
      <c r="DK871" t="s">
        <v>345</v>
      </c>
      <c r="DR871" t="s">
        <v>7928</v>
      </c>
      <c r="DS871" s="6">
        <v>11</v>
      </c>
      <c r="DT871" s="2" t="s">
        <v>10106</v>
      </c>
      <c r="DU871" s="1">
        <v>44376</v>
      </c>
      <c r="DV871" s="1">
        <v>44465</v>
      </c>
    </row>
    <row r="872" spans="1:126" ht="15" customHeight="1" x14ac:dyDescent="0.35">
      <c r="A872" t="s">
        <v>10102</v>
      </c>
      <c r="B872" t="s">
        <v>318</v>
      </c>
      <c r="C872" s="1">
        <v>44343</v>
      </c>
      <c r="D872" s="1">
        <v>44376</v>
      </c>
      <c r="H872" t="s">
        <v>319</v>
      </c>
      <c r="I872" t="s">
        <v>534</v>
      </c>
      <c r="J872" t="s">
        <v>3932</v>
      </c>
      <c r="L872" t="s">
        <v>6348</v>
      </c>
      <c r="M872" t="s">
        <v>10103</v>
      </c>
      <c r="O872" t="s">
        <v>687</v>
      </c>
      <c r="P872" t="s">
        <v>441</v>
      </c>
      <c r="Q872" s="3">
        <v>45202</v>
      </c>
      <c r="R872" t="s">
        <v>128</v>
      </c>
      <c r="T872" s="4">
        <v>15132503121</v>
      </c>
      <c r="V872" t="s">
        <v>10104</v>
      </c>
      <c r="W872" t="s">
        <v>10105</v>
      </c>
      <c r="Y872" t="s">
        <v>10103</v>
      </c>
      <c r="AA872" t="s">
        <v>687</v>
      </c>
      <c r="AB872" t="s">
        <v>444</v>
      </c>
      <c r="AC872" s="3" t="str">
        <f t="shared" si="61"/>
        <v>45202</v>
      </c>
      <c r="AD872" t="s">
        <v>128</v>
      </c>
      <c r="AF872" s="4">
        <v>15132503121</v>
      </c>
      <c r="AH872" t="str">
        <f t="shared" si="62"/>
        <v>71321</v>
      </c>
      <c r="AI872" t="s">
        <v>287</v>
      </c>
      <c r="AJ872" t="s">
        <v>2209</v>
      </c>
      <c r="AK872" t="s">
        <v>1459</v>
      </c>
      <c r="AL872" t="s">
        <v>2210</v>
      </c>
      <c r="AM872" t="s">
        <v>2211</v>
      </c>
      <c r="AN872" t="s">
        <v>788</v>
      </c>
      <c r="AO872" t="s">
        <v>2212</v>
      </c>
      <c r="AP872" t="s">
        <v>400</v>
      </c>
      <c r="AQ872" s="5">
        <v>75033</v>
      </c>
      <c r="AR872" t="s">
        <v>128</v>
      </c>
      <c r="AT872" s="4">
        <v>19727789690</v>
      </c>
      <c r="AV872" t="s">
        <v>2213</v>
      </c>
      <c r="AW872" t="s">
        <v>2214</v>
      </c>
      <c r="AX872" t="s">
        <v>131</v>
      </c>
      <c r="AY872" t="s">
        <v>131</v>
      </c>
      <c r="AZ872" t="s">
        <v>131</v>
      </c>
      <c r="BA872" t="s">
        <v>131</v>
      </c>
      <c r="BB872" t="s">
        <v>131</v>
      </c>
      <c r="BC872" t="s">
        <v>131</v>
      </c>
      <c r="BD872" t="s">
        <v>135</v>
      </c>
      <c r="BE872" t="s">
        <v>132</v>
      </c>
      <c r="BH872" t="s">
        <v>4272</v>
      </c>
      <c r="BI872" t="s">
        <v>131</v>
      </c>
      <c r="BL872" t="s">
        <v>167</v>
      </c>
      <c r="BO872" t="s">
        <v>131</v>
      </c>
      <c r="BP872" t="s">
        <v>134</v>
      </c>
      <c r="BQ872" t="s">
        <v>131</v>
      </c>
      <c r="BS872" t="str">
        <f t="shared" si="60"/>
        <v>N/A</v>
      </c>
      <c r="BT872" t="s">
        <v>135</v>
      </c>
      <c r="BU872">
        <v>3</v>
      </c>
      <c r="BV872" t="str">
        <f>"Busser"</f>
        <v>Busser</v>
      </c>
      <c r="BW872" t="s">
        <v>135</v>
      </c>
      <c r="BX872" t="str">
        <f>""</f>
        <v/>
      </c>
      <c r="BY872" t="str">
        <f>""</f>
        <v/>
      </c>
      <c r="BZ872" t="str">
        <f>""</f>
        <v/>
      </c>
      <c r="CA872" t="str">
        <f>"Must complete employment application. Must be able to work weekends and holidays as required."</f>
        <v>Must complete employment application. Must be able to work weekends and holidays as required.</v>
      </c>
      <c r="CB872" t="s">
        <v>131</v>
      </c>
      <c r="CF872" t="s">
        <v>131</v>
      </c>
      <c r="CH872" t="str">
        <f>""</f>
        <v/>
      </c>
      <c r="CI872" t="s">
        <v>131</v>
      </c>
      <c r="CK872" t="s">
        <v>131</v>
      </c>
      <c r="CL872" t="str">
        <f>""</f>
        <v/>
      </c>
      <c r="CM872" t="str">
        <f>""</f>
        <v/>
      </c>
      <c r="CN872" t="str">
        <f>""</f>
        <v/>
      </c>
      <c r="CO872" t="str">
        <f>""</f>
        <v/>
      </c>
      <c r="CP872" t="str">
        <f>"35-9011.00"</f>
        <v>35-9011.00</v>
      </c>
      <c r="CQ872" t="s">
        <v>1016</v>
      </c>
      <c r="CS872" t="s">
        <v>131</v>
      </c>
      <c r="CU872" t="s">
        <v>10103</v>
      </c>
      <c r="CW872" t="s">
        <v>687</v>
      </c>
      <c r="CX872" t="s">
        <v>444</v>
      </c>
      <c r="CZ872" s="3" t="str">
        <f t="shared" si="63"/>
        <v>45202</v>
      </c>
      <c r="DA872" t="s">
        <v>131</v>
      </c>
      <c r="DB872" t="str">
        <f>"35-9011"</f>
        <v>35-9011</v>
      </c>
      <c r="DC872" t="s">
        <v>1016</v>
      </c>
      <c r="DD872" t="s">
        <v>134</v>
      </c>
      <c r="DE872" t="s">
        <v>134</v>
      </c>
      <c r="DF872" t="str">
        <f>""</f>
        <v/>
      </c>
      <c r="DH872" s="6">
        <v>10.59</v>
      </c>
      <c r="DI872" t="s">
        <v>344</v>
      </c>
      <c r="DK872" t="s">
        <v>345</v>
      </c>
      <c r="DR872" t="s">
        <v>7928</v>
      </c>
      <c r="DS872" s="6">
        <v>10.59</v>
      </c>
      <c r="DT872" s="2" t="s">
        <v>10106</v>
      </c>
      <c r="DU872" s="1">
        <v>44376</v>
      </c>
      <c r="DV872" s="1">
        <v>44465</v>
      </c>
    </row>
    <row r="873" spans="1:126" ht="15" customHeight="1" x14ac:dyDescent="0.35">
      <c r="A873" t="s">
        <v>19343</v>
      </c>
      <c r="B873" t="s">
        <v>318</v>
      </c>
      <c r="C873" s="1">
        <v>44343</v>
      </c>
      <c r="D873" s="1">
        <v>44376</v>
      </c>
      <c r="H873" t="s">
        <v>319</v>
      </c>
      <c r="I873" t="s">
        <v>534</v>
      </c>
      <c r="J873" t="s">
        <v>3932</v>
      </c>
      <c r="L873" t="s">
        <v>6348</v>
      </c>
      <c r="M873" t="s">
        <v>10103</v>
      </c>
      <c r="O873" t="s">
        <v>687</v>
      </c>
      <c r="P873" t="s">
        <v>441</v>
      </c>
      <c r="Q873" s="3">
        <v>45202</v>
      </c>
      <c r="R873" t="s">
        <v>128</v>
      </c>
      <c r="T873" s="4">
        <v>15132503121</v>
      </c>
      <c r="V873" t="s">
        <v>10104</v>
      </c>
      <c r="W873" t="s">
        <v>10105</v>
      </c>
      <c r="Y873" t="s">
        <v>10103</v>
      </c>
      <c r="AA873" t="s">
        <v>687</v>
      </c>
      <c r="AB873" t="s">
        <v>444</v>
      </c>
      <c r="AC873" s="3" t="str">
        <f t="shared" si="61"/>
        <v>45202</v>
      </c>
      <c r="AD873" t="s">
        <v>128</v>
      </c>
      <c r="AF873" s="4">
        <v>15132503121</v>
      </c>
      <c r="AH873" t="str">
        <f t="shared" si="62"/>
        <v>71321</v>
      </c>
      <c r="AI873" t="s">
        <v>287</v>
      </c>
      <c r="AJ873" t="s">
        <v>2209</v>
      </c>
      <c r="AK873" t="s">
        <v>1459</v>
      </c>
      <c r="AL873" t="s">
        <v>2210</v>
      </c>
      <c r="AM873" t="s">
        <v>2211</v>
      </c>
      <c r="AN873" t="s">
        <v>788</v>
      </c>
      <c r="AO873" t="s">
        <v>2212</v>
      </c>
      <c r="AP873" t="s">
        <v>400</v>
      </c>
      <c r="AQ873" s="5">
        <v>75033</v>
      </c>
      <c r="AR873" t="s">
        <v>128</v>
      </c>
      <c r="AT873" s="4">
        <v>19727789690</v>
      </c>
      <c r="AV873" t="s">
        <v>2213</v>
      </c>
      <c r="AW873" t="s">
        <v>2214</v>
      </c>
      <c r="AX873" t="s">
        <v>131</v>
      </c>
      <c r="AY873" t="s">
        <v>131</v>
      </c>
      <c r="AZ873" t="s">
        <v>131</v>
      </c>
      <c r="BA873" t="s">
        <v>131</v>
      </c>
      <c r="BB873" t="s">
        <v>131</v>
      </c>
      <c r="BC873" t="s">
        <v>131</v>
      </c>
      <c r="BD873" t="s">
        <v>135</v>
      </c>
      <c r="BE873" t="s">
        <v>132</v>
      </c>
      <c r="BH873" t="s">
        <v>19344</v>
      </c>
      <c r="BI873" t="s">
        <v>131</v>
      </c>
      <c r="BL873" t="s">
        <v>167</v>
      </c>
      <c r="BO873" t="s">
        <v>131</v>
      </c>
      <c r="BP873" t="s">
        <v>134</v>
      </c>
      <c r="BQ873" t="s">
        <v>131</v>
      </c>
      <c r="BS873" t="str">
        <f t="shared" si="60"/>
        <v>N/A</v>
      </c>
      <c r="BT873" t="s">
        <v>135</v>
      </c>
      <c r="BU873">
        <v>3</v>
      </c>
      <c r="BV873" t="str">
        <f>"Restaurant Cook (non-fast food)"</f>
        <v>Restaurant Cook (non-fast food)</v>
      </c>
      <c r="BW873" t="s">
        <v>135</v>
      </c>
      <c r="BX873" t="str">
        <f>""</f>
        <v/>
      </c>
      <c r="BY873" t="str">
        <f>""</f>
        <v/>
      </c>
      <c r="BZ873" t="str">
        <f>""</f>
        <v/>
      </c>
      <c r="CA873" t="str">
        <f>"Must complete employment application. Must be able to work weekends and holidays as required. Must be able to lift 50 lbs. "</f>
        <v xml:space="preserve">Must complete employment application. Must be able to work weekends and holidays as required. Must be able to lift 50 lbs. </v>
      </c>
      <c r="CB873" t="s">
        <v>131</v>
      </c>
      <c r="CF873" t="s">
        <v>131</v>
      </c>
      <c r="CH873" t="str">
        <f>""</f>
        <v/>
      </c>
      <c r="CI873" t="s">
        <v>131</v>
      </c>
      <c r="CK873" t="s">
        <v>131</v>
      </c>
      <c r="CL873" t="str">
        <f>""</f>
        <v/>
      </c>
      <c r="CM873" t="str">
        <f>""</f>
        <v/>
      </c>
      <c r="CN873" t="str">
        <f>""</f>
        <v/>
      </c>
      <c r="CO873" t="str">
        <f>""</f>
        <v/>
      </c>
      <c r="CP873" t="str">
        <f>"35-2014.00"</f>
        <v>35-2014.00</v>
      </c>
      <c r="CQ873" t="s">
        <v>581</v>
      </c>
      <c r="CS873" t="s">
        <v>131</v>
      </c>
      <c r="CU873" t="s">
        <v>10103</v>
      </c>
      <c r="CW873" t="s">
        <v>687</v>
      </c>
      <c r="CX873" t="s">
        <v>444</v>
      </c>
      <c r="CZ873" s="3" t="str">
        <f t="shared" si="63"/>
        <v>45202</v>
      </c>
      <c r="DA873" t="s">
        <v>131</v>
      </c>
      <c r="DB873" t="str">
        <f>"35-2014"</f>
        <v>35-2014</v>
      </c>
      <c r="DC873" t="s">
        <v>581</v>
      </c>
      <c r="DD873" t="s">
        <v>134</v>
      </c>
      <c r="DE873" t="s">
        <v>134</v>
      </c>
      <c r="DF873" t="str">
        <f>""</f>
        <v/>
      </c>
      <c r="DH873" s="6">
        <v>12.43</v>
      </c>
      <c r="DI873" t="s">
        <v>344</v>
      </c>
      <c r="DK873" t="s">
        <v>345</v>
      </c>
      <c r="DR873" t="s">
        <v>7928</v>
      </c>
      <c r="DS873" s="6">
        <v>12.43</v>
      </c>
      <c r="DT873" s="2" t="s">
        <v>10106</v>
      </c>
      <c r="DU873" s="1">
        <v>44376</v>
      </c>
      <c r="DV873" s="1">
        <v>44465</v>
      </c>
    </row>
    <row r="874" spans="1:126" ht="15" customHeight="1" x14ac:dyDescent="0.35">
      <c r="A874" t="s">
        <v>16441</v>
      </c>
      <c r="B874" t="s">
        <v>318</v>
      </c>
      <c r="C874" s="1">
        <v>44343</v>
      </c>
      <c r="D874" s="1">
        <v>44376</v>
      </c>
      <c r="H874" t="s">
        <v>319</v>
      </c>
      <c r="I874" t="s">
        <v>534</v>
      </c>
      <c r="J874" t="s">
        <v>3932</v>
      </c>
      <c r="L874" t="s">
        <v>6348</v>
      </c>
      <c r="M874" t="s">
        <v>10103</v>
      </c>
      <c r="O874" t="s">
        <v>687</v>
      </c>
      <c r="P874" t="s">
        <v>441</v>
      </c>
      <c r="Q874" s="3">
        <v>45202</v>
      </c>
      <c r="R874" t="s">
        <v>128</v>
      </c>
      <c r="T874" s="4">
        <v>15132503121</v>
      </c>
      <c r="V874" t="s">
        <v>10104</v>
      </c>
      <c r="W874" t="s">
        <v>10105</v>
      </c>
      <c r="Y874" t="s">
        <v>10103</v>
      </c>
      <c r="AA874" t="s">
        <v>687</v>
      </c>
      <c r="AB874" t="s">
        <v>444</v>
      </c>
      <c r="AC874" s="3" t="str">
        <f t="shared" si="61"/>
        <v>45202</v>
      </c>
      <c r="AD874" t="s">
        <v>128</v>
      </c>
      <c r="AF874" s="4">
        <v>15132503121</v>
      </c>
      <c r="AH874" t="str">
        <f t="shared" si="62"/>
        <v>71321</v>
      </c>
      <c r="AI874" t="s">
        <v>287</v>
      </c>
      <c r="AJ874" t="s">
        <v>2209</v>
      </c>
      <c r="AK874" t="s">
        <v>1459</v>
      </c>
      <c r="AL874" t="s">
        <v>2210</v>
      </c>
      <c r="AM874" t="s">
        <v>2211</v>
      </c>
      <c r="AN874" t="s">
        <v>788</v>
      </c>
      <c r="AO874" t="s">
        <v>2212</v>
      </c>
      <c r="AP874" t="s">
        <v>400</v>
      </c>
      <c r="AQ874" s="5">
        <v>75033</v>
      </c>
      <c r="AR874" t="s">
        <v>128</v>
      </c>
      <c r="AT874" s="4">
        <v>19727789690</v>
      </c>
      <c r="AV874" t="s">
        <v>2213</v>
      </c>
      <c r="AW874" t="s">
        <v>2214</v>
      </c>
      <c r="AX874" t="s">
        <v>131</v>
      </c>
      <c r="AY874" t="s">
        <v>131</v>
      </c>
      <c r="AZ874" t="s">
        <v>131</v>
      </c>
      <c r="BA874" t="s">
        <v>131</v>
      </c>
      <c r="BB874" t="s">
        <v>131</v>
      </c>
      <c r="BC874" t="s">
        <v>131</v>
      </c>
      <c r="BD874" t="s">
        <v>135</v>
      </c>
      <c r="BE874" t="s">
        <v>132</v>
      </c>
      <c r="BH874" t="s">
        <v>6385</v>
      </c>
      <c r="BI874" t="s">
        <v>131</v>
      </c>
      <c r="BL874" t="s">
        <v>167</v>
      </c>
      <c r="BO874" t="s">
        <v>131</v>
      </c>
      <c r="BP874" t="s">
        <v>134</v>
      </c>
      <c r="BQ874" t="s">
        <v>131</v>
      </c>
      <c r="BS874" t="str">
        <f t="shared" si="60"/>
        <v>N/A</v>
      </c>
      <c r="BT874" t="s">
        <v>135</v>
      </c>
      <c r="BU874">
        <v>3</v>
      </c>
      <c r="BV874" t="str">
        <f>"Steward"</f>
        <v>Steward</v>
      </c>
      <c r="BW874" t="s">
        <v>135</v>
      </c>
      <c r="BX874" t="str">
        <f>""</f>
        <v/>
      </c>
      <c r="BY874" t="str">
        <f>""</f>
        <v/>
      </c>
      <c r="BZ874" t="str">
        <f>""</f>
        <v/>
      </c>
      <c r="CA874" t="str">
        <f>"Must complete employment application. Must be able to work weekends and holidays as required. Must be 18 years of age."</f>
        <v>Must complete employment application. Must be able to work weekends and holidays as required. Must be 18 years of age.</v>
      </c>
      <c r="CB874" t="s">
        <v>131</v>
      </c>
      <c r="CF874" t="s">
        <v>131</v>
      </c>
      <c r="CH874" t="str">
        <f>""</f>
        <v/>
      </c>
      <c r="CI874" t="s">
        <v>131</v>
      </c>
      <c r="CK874" t="s">
        <v>131</v>
      </c>
      <c r="CL874" t="str">
        <f>""</f>
        <v/>
      </c>
      <c r="CM874" t="str">
        <f>""</f>
        <v/>
      </c>
      <c r="CN874" t="str">
        <f>""</f>
        <v/>
      </c>
      <c r="CO874" t="str">
        <f>""</f>
        <v/>
      </c>
      <c r="CP874" t="str">
        <f>"35-9021.00"</f>
        <v>35-9021.00</v>
      </c>
      <c r="CQ874" t="s">
        <v>2552</v>
      </c>
      <c r="CS874" t="s">
        <v>131</v>
      </c>
      <c r="CU874" t="s">
        <v>10103</v>
      </c>
      <c r="CW874" t="s">
        <v>687</v>
      </c>
      <c r="CX874" t="s">
        <v>444</v>
      </c>
      <c r="CZ874" s="3" t="str">
        <f t="shared" si="63"/>
        <v>45202</v>
      </c>
      <c r="DA874" t="s">
        <v>131</v>
      </c>
      <c r="DB874" t="str">
        <f>"35-9021"</f>
        <v>35-9021</v>
      </c>
      <c r="DC874" t="s">
        <v>2552</v>
      </c>
      <c r="DD874" t="s">
        <v>134</v>
      </c>
      <c r="DE874" t="s">
        <v>134</v>
      </c>
      <c r="DF874" t="str">
        <f>""</f>
        <v/>
      </c>
      <c r="DH874" s="6">
        <v>10.55</v>
      </c>
      <c r="DI874" t="s">
        <v>344</v>
      </c>
      <c r="DK874" t="s">
        <v>345</v>
      </c>
      <c r="DR874" t="s">
        <v>7928</v>
      </c>
      <c r="DS874" s="6">
        <v>10.55</v>
      </c>
      <c r="DT874" s="2" t="s">
        <v>10106</v>
      </c>
      <c r="DU874" s="1">
        <v>44376</v>
      </c>
      <c r="DV874" s="1">
        <v>44465</v>
      </c>
    </row>
    <row r="875" spans="1:126" ht="15" customHeight="1" x14ac:dyDescent="0.35">
      <c r="A875" t="s">
        <v>18326</v>
      </c>
      <c r="B875" t="s">
        <v>318</v>
      </c>
      <c r="C875" s="1">
        <v>44343</v>
      </c>
      <c r="D875" s="1">
        <v>44376</v>
      </c>
      <c r="H875" t="s">
        <v>319</v>
      </c>
      <c r="I875" t="s">
        <v>534</v>
      </c>
      <c r="J875" t="s">
        <v>3932</v>
      </c>
      <c r="L875" t="s">
        <v>6348</v>
      </c>
      <c r="M875" t="s">
        <v>10103</v>
      </c>
      <c r="O875" t="s">
        <v>687</v>
      </c>
      <c r="P875" t="s">
        <v>441</v>
      </c>
      <c r="Q875" s="3">
        <v>45202</v>
      </c>
      <c r="R875" t="s">
        <v>128</v>
      </c>
      <c r="T875" s="4">
        <v>15132503121</v>
      </c>
      <c r="V875" t="s">
        <v>10104</v>
      </c>
      <c r="W875" t="s">
        <v>10105</v>
      </c>
      <c r="Y875" t="s">
        <v>10103</v>
      </c>
      <c r="AA875" t="s">
        <v>687</v>
      </c>
      <c r="AB875" t="s">
        <v>444</v>
      </c>
      <c r="AC875" s="3" t="str">
        <f t="shared" si="61"/>
        <v>45202</v>
      </c>
      <c r="AD875" t="s">
        <v>128</v>
      </c>
      <c r="AF875" s="4">
        <v>15132503121</v>
      </c>
      <c r="AH875" t="str">
        <f t="shared" si="62"/>
        <v>71321</v>
      </c>
      <c r="AI875" t="s">
        <v>287</v>
      </c>
      <c r="AJ875" t="s">
        <v>2209</v>
      </c>
      <c r="AK875" t="s">
        <v>1459</v>
      </c>
      <c r="AL875" t="s">
        <v>2210</v>
      </c>
      <c r="AM875" t="s">
        <v>2211</v>
      </c>
      <c r="AN875" t="s">
        <v>788</v>
      </c>
      <c r="AO875" t="s">
        <v>2212</v>
      </c>
      <c r="AP875" t="s">
        <v>400</v>
      </c>
      <c r="AQ875" s="5">
        <v>75033</v>
      </c>
      <c r="AR875" t="s">
        <v>128</v>
      </c>
      <c r="AT875" s="4">
        <v>19727789690</v>
      </c>
      <c r="AV875" t="s">
        <v>2213</v>
      </c>
      <c r="AW875" t="s">
        <v>2214</v>
      </c>
      <c r="AX875" t="s">
        <v>131</v>
      </c>
      <c r="AY875" t="s">
        <v>131</v>
      </c>
      <c r="AZ875" t="s">
        <v>131</v>
      </c>
      <c r="BA875" t="s">
        <v>131</v>
      </c>
      <c r="BB875" t="s">
        <v>131</v>
      </c>
      <c r="BC875" t="s">
        <v>131</v>
      </c>
      <c r="BD875" t="s">
        <v>135</v>
      </c>
      <c r="BE875" t="s">
        <v>132</v>
      </c>
      <c r="BH875" t="s">
        <v>18327</v>
      </c>
      <c r="BI875" t="s">
        <v>131</v>
      </c>
      <c r="BL875" t="s">
        <v>167</v>
      </c>
      <c r="BO875" t="s">
        <v>131</v>
      </c>
      <c r="BP875" t="s">
        <v>134</v>
      </c>
      <c r="BQ875" t="s">
        <v>131</v>
      </c>
      <c r="BS875" t="str">
        <f t="shared" si="60"/>
        <v>N/A</v>
      </c>
      <c r="BT875" t="s">
        <v>131</v>
      </c>
      <c r="BV875" t="str">
        <f>""</f>
        <v/>
      </c>
      <c r="BW875" t="s">
        <v>135</v>
      </c>
      <c r="BX875" t="str">
        <f>""</f>
        <v/>
      </c>
      <c r="BY875" t="str">
        <f>""</f>
        <v/>
      </c>
      <c r="BZ875" t="str">
        <f>""</f>
        <v/>
      </c>
      <c r="CA875" t="str">
        <f>"Must complete employment application. Must be able to work weekends and holidays as required. "</f>
        <v xml:space="preserve">Must complete employment application. Must be able to work weekends and holidays as required. </v>
      </c>
      <c r="CB875" t="s">
        <v>131</v>
      </c>
      <c r="CF875" t="s">
        <v>131</v>
      </c>
      <c r="CH875" t="str">
        <f>""</f>
        <v/>
      </c>
      <c r="CI875" t="s">
        <v>131</v>
      </c>
      <c r="CK875" t="s">
        <v>131</v>
      </c>
      <c r="CL875" t="str">
        <f>""</f>
        <v/>
      </c>
      <c r="CM875" t="str">
        <f>""</f>
        <v/>
      </c>
      <c r="CN875" t="str">
        <f>""</f>
        <v/>
      </c>
      <c r="CO875" t="str">
        <f>""</f>
        <v/>
      </c>
      <c r="CP875" t="str">
        <f>"41-2011.00"</f>
        <v>41-2011.00</v>
      </c>
      <c r="CQ875" t="s">
        <v>5621</v>
      </c>
      <c r="CS875" t="s">
        <v>131</v>
      </c>
      <c r="CU875" t="s">
        <v>10103</v>
      </c>
      <c r="CW875" t="s">
        <v>687</v>
      </c>
      <c r="CX875" t="s">
        <v>444</v>
      </c>
      <c r="CZ875" s="3" t="str">
        <f t="shared" si="63"/>
        <v>45202</v>
      </c>
      <c r="DA875" t="s">
        <v>131</v>
      </c>
      <c r="DB875" t="str">
        <f>"41-2011"</f>
        <v>41-2011</v>
      </c>
      <c r="DC875" t="s">
        <v>5621</v>
      </c>
      <c r="DD875" t="s">
        <v>134</v>
      </c>
      <c r="DE875" t="s">
        <v>134</v>
      </c>
      <c r="DF875" t="str">
        <f>""</f>
        <v/>
      </c>
      <c r="DH875" s="6">
        <v>11.08</v>
      </c>
      <c r="DI875" t="s">
        <v>344</v>
      </c>
      <c r="DK875" t="s">
        <v>345</v>
      </c>
      <c r="DS875" s="6">
        <v>11.08</v>
      </c>
      <c r="DT875" s="2" t="s">
        <v>10106</v>
      </c>
      <c r="DU875" s="1">
        <v>44376</v>
      </c>
      <c r="DV875" s="1">
        <v>44465</v>
      </c>
    </row>
    <row r="876" spans="1:126" ht="15" customHeight="1" x14ac:dyDescent="0.35">
      <c r="A876" t="s">
        <v>17191</v>
      </c>
      <c r="B876" t="s">
        <v>318</v>
      </c>
      <c r="C876" s="1">
        <v>44343</v>
      </c>
      <c r="D876" s="1">
        <v>44370</v>
      </c>
      <c r="H876" t="s">
        <v>319</v>
      </c>
      <c r="I876" t="s">
        <v>9428</v>
      </c>
      <c r="J876" t="s">
        <v>17192</v>
      </c>
      <c r="L876" t="s">
        <v>1105</v>
      </c>
      <c r="M876" t="s">
        <v>17193</v>
      </c>
      <c r="O876" t="s">
        <v>17194</v>
      </c>
      <c r="P876" t="s">
        <v>273</v>
      </c>
      <c r="Q876" s="3">
        <v>7753</v>
      </c>
      <c r="R876" t="s">
        <v>128</v>
      </c>
      <c r="T876" s="4">
        <v>16093696313</v>
      </c>
      <c r="V876" t="s">
        <v>17195</v>
      </c>
      <c r="W876" t="s">
        <v>17196</v>
      </c>
      <c r="Y876" t="s">
        <v>17197</v>
      </c>
      <c r="AA876" t="s">
        <v>17194</v>
      </c>
      <c r="AB876" t="s">
        <v>276</v>
      </c>
      <c r="AC876" s="3" t="str">
        <f>"07753"</f>
        <v>07753</v>
      </c>
      <c r="AD876" t="s">
        <v>128</v>
      </c>
      <c r="AF876" s="4">
        <v>16093696313</v>
      </c>
      <c r="AH876" t="str">
        <f>"236118"</f>
        <v>236118</v>
      </c>
      <c r="AI876" t="s">
        <v>167</v>
      </c>
      <c r="AX876" t="s">
        <v>131</v>
      </c>
      <c r="AY876" t="s">
        <v>131</v>
      </c>
      <c r="AZ876" t="s">
        <v>131</v>
      </c>
      <c r="BA876" t="s">
        <v>131</v>
      </c>
      <c r="BB876" t="s">
        <v>131</v>
      </c>
      <c r="BC876" t="s">
        <v>131</v>
      </c>
      <c r="BD876" t="s">
        <v>131</v>
      </c>
      <c r="BE876" t="s">
        <v>132</v>
      </c>
      <c r="BH876" t="s">
        <v>17198</v>
      </c>
      <c r="BI876" t="s">
        <v>131</v>
      </c>
      <c r="BL876" t="s">
        <v>167</v>
      </c>
      <c r="BO876" t="s">
        <v>131</v>
      </c>
      <c r="BP876" t="s">
        <v>134</v>
      </c>
      <c r="BQ876" t="s">
        <v>131</v>
      </c>
      <c r="BS876" t="str">
        <f t="shared" si="60"/>
        <v>N/A</v>
      </c>
      <c r="BT876" t="s">
        <v>131</v>
      </c>
      <c r="BV876" t="str">
        <f>""</f>
        <v/>
      </c>
      <c r="BW876" t="s">
        <v>131</v>
      </c>
      <c r="BX876" t="str">
        <f>""</f>
        <v/>
      </c>
      <c r="BY876" t="str">
        <f>""</f>
        <v/>
      </c>
      <c r="BZ876" t="str">
        <f>""</f>
        <v/>
      </c>
      <c r="CA876" t="str">
        <f>""</f>
        <v/>
      </c>
      <c r="CB876" t="s">
        <v>131</v>
      </c>
      <c r="CF876" t="s">
        <v>131</v>
      </c>
      <c r="CH876" t="str">
        <f>""</f>
        <v/>
      </c>
      <c r="CI876" t="s">
        <v>131</v>
      </c>
      <c r="CK876" t="s">
        <v>131</v>
      </c>
      <c r="CL876" t="str">
        <f>""</f>
        <v/>
      </c>
      <c r="CM876" t="str">
        <f>""</f>
        <v/>
      </c>
      <c r="CN876" t="str">
        <f>""</f>
        <v/>
      </c>
      <c r="CO876" t="str">
        <f>""</f>
        <v/>
      </c>
      <c r="CP876" t="str">
        <f>"47-2061.00"</f>
        <v>47-2061.00</v>
      </c>
      <c r="CQ876" t="s">
        <v>393</v>
      </c>
      <c r="CR876" t="s">
        <v>1792</v>
      </c>
      <c r="CS876" t="s">
        <v>135</v>
      </c>
      <c r="CT876" t="s">
        <v>17199</v>
      </c>
      <c r="CU876" t="s">
        <v>17197</v>
      </c>
      <c r="CW876" t="s">
        <v>17200</v>
      </c>
      <c r="CX876" t="s">
        <v>276</v>
      </c>
      <c r="CZ876" s="3" t="str">
        <f>"07753"</f>
        <v>07753</v>
      </c>
      <c r="DA876" t="s">
        <v>131</v>
      </c>
      <c r="DB876" t="str">
        <f>"47-2061"</f>
        <v>47-2061</v>
      </c>
      <c r="DC876" t="s">
        <v>393</v>
      </c>
      <c r="DD876" t="s">
        <v>134</v>
      </c>
      <c r="DE876" t="s">
        <v>134</v>
      </c>
      <c r="DF876" t="str">
        <f>""</f>
        <v/>
      </c>
      <c r="DH876" s="6">
        <v>27.79</v>
      </c>
      <c r="DI876" t="s">
        <v>344</v>
      </c>
      <c r="DK876" t="s">
        <v>345</v>
      </c>
      <c r="DR876" t="s">
        <v>346</v>
      </c>
      <c r="DS876" s="6">
        <v>27.79</v>
      </c>
      <c r="DT876" s="2" t="s">
        <v>347</v>
      </c>
      <c r="DU876" s="1">
        <v>44370</v>
      </c>
      <c r="DV876" s="1">
        <v>44459</v>
      </c>
    </row>
    <row r="877" spans="1:126" ht="15" customHeight="1" x14ac:dyDescent="0.35">
      <c r="A877" t="s">
        <v>15055</v>
      </c>
      <c r="B877" t="s">
        <v>318</v>
      </c>
      <c r="C877" s="1">
        <v>44343</v>
      </c>
      <c r="D877" s="1">
        <v>44376</v>
      </c>
      <c r="H877" t="s">
        <v>319</v>
      </c>
      <c r="I877" t="s">
        <v>534</v>
      </c>
      <c r="J877" t="s">
        <v>3932</v>
      </c>
      <c r="L877" t="s">
        <v>6348</v>
      </c>
      <c r="M877" t="s">
        <v>10103</v>
      </c>
      <c r="O877" t="s">
        <v>687</v>
      </c>
      <c r="P877" t="s">
        <v>441</v>
      </c>
      <c r="Q877" s="3">
        <v>45202</v>
      </c>
      <c r="R877" t="s">
        <v>128</v>
      </c>
      <c r="T877" s="4">
        <v>15132503121</v>
      </c>
      <c r="V877" t="s">
        <v>10104</v>
      </c>
      <c r="W877" t="s">
        <v>10105</v>
      </c>
      <c r="Y877" t="s">
        <v>10103</v>
      </c>
      <c r="AA877" t="s">
        <v>687</v>
      </c>
      <c r="AB877" t="s">
        <v>444</v>
      </c>
      <c r="AC877" s="3" t="str">
        <f>"45202"</f>
        <v>45202</v>
      </c>
      <c r="AD877" t="s">
        <v>128</v>
      </c>
      <c r="AF877" s="4">
        <v>15132503121</v>
      </c>
      <c r="AH877" t="str">
        <f>"71321"</f>
        <v>71321</v>
      </c>
      <c r="AI877" t="s">
        <v>287</v>
      </c>
      <c r="AJ877" t="s">
        <v>2209</v>
      </c>
      <c r="AK877" t="s">
        <v>1459</v>
      </c>
      <c r="AL877" t="s">
        <v>2210</v>
      </c>
      <c r="AM877" t="s">
        <v>2211</v>
      </c>
      <c r="AN877" t="s">
        <v>788</v>
      </c>
      <c r="AO877" t="s">
        <v>2212</v>
      </c>
      <c r="AP877" t="s">
        <v>400</v>
      </c>
      <c r="AQ877" s="5">
        <v>75033</v>
      </c>
      <c r="AR877" t="s">
        <v>128</v>
      </c>
      <c r="AT877" s="4">
        <v>19727789690</v>
      </c>
      <c r="AV877" t="s">
        <v>2213</v>
      </c>
      <c r="AW877" t="s">
        <v>2214</v>
      </c>
      <c r="AX877" t="s">
        <v>131</v>
      </c>
      <c r="AY877" t="s">
        <v>131</v>
      </c>
      <c r="AZ877" t="s">
        <v>131</v>
      </c>
      <c r="BA877" t="s">
        <v>131</v>
      </c>
      <c r="BB877" t="s">
        <v>131</v>
      </c>
      <c r="BC877" t="s">
        <v>131</v>
      </c>
      <c r="BD877" t="s">
        <v>135</v>
      </c>
      <c r="BE877" t="s">
        <v>132</v>
      </c>
      <c r="BH877" t="s">
        <v>1213</v>
      </c>
      <c r="BI877" t="s">
        <v>131</v>
      </c>
      <c r="BL877" t="s">
        <v>167</v>
      </c>
      <c r="BO877" t="s">
        <v>131</v>
      </c>
      <c r="BP877" t="s">
        <v>134</v>
      </c>
      <c r="BQ877" t="s">
        <v>131</v>
      </c>
      <c r="BS877" t="str">
        <f t="shared" si="60"/>
        <v>N/A</v>
      </c>
      <c r="BT877" t="s">
        <v>135</v>
      </c>
      <c r="BU877">
        <v>3</v>
      </c>
      <c r="BV877" t="str">
        <f>"Restaurant Server "</f>
        <v xml:space="preserve">Restaurant Server </v>
      </c>
      <c r="BW877" t="s">
        <v>135</v>
      </c>
      <c r="BX877" t="str">
        <f>""</f>
        <v/>
      </c>
      <c r="BY877" t="str">
        <f>""</f>
        <v/>
      </c>
      <c r="BZ877" t="str">
        <f>""</f>
        <v/>
      </c>
      <c r="CA877" t="str">
        <f>"Must complete employment application. Must be able to work weekends and holidays as required. "</f>
        <v xml:space="preserve">Must complete employment application. Must be able to work weekends and holidays as required. </v>
      </c>
      <c r="CB877" t="s">
        <v>131</v>
      </c>
      <c r="CF877" t="s">
        <v>131</v>
      </c>
      <c r="CH877" t="str">
        <f>""</f>
        <v/>
      </c>
      <c r="CI877" t="s">
        <v>131</v>
      </c>
      <c r="CK877" t="s">
        <v>131</v>
      </c>
      <c r="CL877" t="str">
        <f>""</f>
        <v/>
      </c>
      <c r="CM877" t="str">
        <f>""</f>
        <v/>
      </c>
      <c r="CN877" t="str">
        <f>""</f>
        <v/>
      </c>
      <c r="CO877" t="str">
        <f>""</f>
        <v/>
      </c>
      <c r="CP877" t="str">
        <f>"35-3031.00"</f>
        <v>35-3031.00</v>
      </c>
      <c r="CQ877" t="s">
        <v>1214</v>
      </c>
      <c r="CS877" t="s">
        <v>131</v>
      </c>
      <c r="CU877" t="s">
        <v>10103</v>
      </c>
      <c r="CW877" t="s">
        <v>687</v>
      </c>
      <c r="CX877" t="s">
        <v>444</v>
      </c>
      <c r="CZ877" s="3" t="str">
        <f>"45202"</f>
        <v>45202</v>
      </c>
      <c r="DA877" t="s">
        <v>131</v>
      </c>
      <c r="DB877" t="str">
        <f>"35-3031"</f>
        <v>35-3031</v>
      </c>
      <c r="DC877" t="s">
        <v>1214</v>
      </c>
      <c r="DD877" t="s">
        <v>134</v>
      </c>
      <c r="DE877" t="s">
        <v>134</v>
      </c>
      <c r="DF877" t="str">
        <f>""</f>
        <v/>
      </c>
      <c r="DH877" s="6">
        <v>10.9</v>
      </c>
      <c r="DI877" t="s">
        <v>344</v>
      </c>
      <c r="DK877" t="s">
        <v>345</v>
      </c>
      <c r="DR877" t="s">
        <v>7928</v>
      </c>
      <c r="DS877" s="6">
        <v>10.9</v>
      </c>
      <c r="DT877" s="2" t="s">
        <v>10106</v>
      </c>
      <c r="DU877" s="1">
        <v>44376</v>
      </c>
      <c r="DV877" s="1">
        <v>44465</v>
      </c>
    </row>
    <row r="878" spans="1:126" ht="15" customHeight="1" x14ac:dyDescent="0.35">
      <c r="A878" t="s">
        <v>5356</v>
      </c>
      <c r="B878" t="s">
        <v>318</v>
      </c>
      <c r="C878" s="1">
        <v>44343</v>
      </c>
      <c r="D878" s="1">
        <v>44377</v>
      </c>
      <c r="H878" t="s">
        <v>319</v>
      </c>
      <c r="I878" t="s">
        <v>5357</v>
      </c>
      <c r="J878" t="s">
        <v>5358</v>
      </c>
      <c r="K878" t="s">
        <v>134</v>
      </c>
      <c r="L878" t="s">
        <v>1105</v>
      </c>
      <c r="M878" t="s">
        <v>5359</v>
      </c>
      <c r="O878" t="s">
        <v>5360</v>
      </c>
      <c r="P878" t="s">
        <v>1217</v>
      </c>
      <c r="Q878" s="3">
        <v>36509</v>
      </c>
      <c r="R878" t="s">
        <v>128</v>
      </c>
      <c r="T878" s="4">
        <v>12518247765</v>
      </c>
      <c r="V878" t="s">
        <v>5361</v>
      </c>
      <c r="W878" t="s">
        <v>5362</v>
      </c>
      <c r="Y878" t="s">
        <v>5359</v>
      </c>
      <c r="AA878" t="s">
        <v>5360</v>
      </c>
      <c r="AB878" t="s">
        <v>1218</v>
      </c>
      <c r="AC878" s="3" t="str">
        <f>"36509"</f>
        <v>36509</v>
      </c>
      <c r="AD878" t="s">
        <v>128</v>
      </c>
      <c r="AF878" s="4">
        <v>12518247765</v>
      </c>
      <c r="AH878" t="str">
        <f>"42446"</f>
        <v>42446</v>
      </c>
      <c r="AI878" t="s">
        <v>287</v>
      </c>
      <c r="AJ878" t="s">
        <v>5363</v>
      </c>
      <c r="AK878" t="s">
        <v>5364</v>
      </c>
      <c r="AL878" t="s">
        <v>134</v>
      </c>
      <c r="AM878" t="s">
        <v>5365</v>
      </c>
      <c r="AN878" t="s">
        <v>2377</v>
      </c>
      <c r="AO878" t="s">
        <v>4815</v>
      </c>
      <c r="AP878" t="s">
        <v>1243</v>
      </c>
      <c r="AQ878" s="5">
        <v>83814</v>
      </c>
      <c r="AR878" t="s">
        <v>128</v>
      </c>
      <c r="AT878" s="4">
        <v>12087772654</v>
      </c>
      <c r="AV878" t="s">
        <v>5366</v>
      </c>
      <c r="AW878" t="s">
        <v>4715</v>
      </c>
      <c r="AX878" t="s">
        <v>131</v>
      </c>
      <c r="AY878" t="s">
        <v>131</v>
      </c>
      <c r="AZ878" t="s">
        <v>131</v>
      </c>
      <c r="BA878" t="s">
        <v>131</v>
      </c>
      <c r="BB878" t="s">
        <v>131</v>
      </c>
      <c r="BC878" t="s">
        <v>131</v>
      </c>
      <c r="BD878" t="s">
        <v>131</v>
      </c>
      <c r="BE878" t="s">
        <v>132</v>
      </c>
      <c r="BH878" t="s">
        <v>5367</v>
      </c>
      <c r="BI878" t="s">
        <v>131</v>
      </c>
      <c r="BL878" t="s">
        <v>167</v>
      </c>
      <c r="BO878" t="s">
        <v>131</v>
      </c>
      <c r="BP878" t="s">
        <v>134</v>
      </c>
      <c r="BQ878" t="s">
        <v>131</v>
      </c>
      <c r="BS878" t="str">
        <f t="shared" si="60"/>
        <v>N/A</v>
      </c>
      <c r="BT878" t="s">
        <v>135</v>
      </c>
      <c r="BU878">
        <v>3</v>
      </c>
      <c r="BV878" t="str">
        <f>"Oyster Shucking"</f>
        <v>Oyster Shucking</v>
      </c>
      <c r="BW878" t="s">
        <v>135</v>
      </c>
      <c r="BX878" t="str">
        <f>""</f>
        <v/>
      </c>
      <c r="BY878" t="str">
        <f>""</f>
        <v/>
      </c>
      <c r="BZ878" t="str">
        <f>""</f>
        <v/>
      </c>
      <c r="CA878" t="s">
        <v>5368</v>
      </c>
      <c r="CB878" t="s">
        <v>131</v>
      </c>
      <c r="CF878" t="s">
        <v>131</v>
      </c>
      <c r="CH878" t="str">
        <f>""</f>
        <v/>
      </c>
      <c r="CI878" t="s">
        <v>131</v>
      </c>
      <c r="CK878" t="s">
        <v>131</v>
      </c>
      <c r="CL878" t="str">
        <f>""</f>
        <v/>
      </c>
      <c r="CM878" t="str">
        <f>""</f>
        <v/>
      </c>
      <c r="CN878" t="str">
        <f>""</f>
        <v/>
      </c>
      <c r="CO878" t="str">
        <f>""</f>
        <v/>
      </c>
      <c r="CP878" t="str">
        <f>"51-3022.00"</f>
        <v>51-3022.00</v>
      </c>
      <c r="CQ878" t="s">
        <v>1114</v>
      </c>
      <c r="CR878" t="s">
        <v>134</v>
      </c>
      <c r="CS878" t="s">
        <v>135</v>
      </c>
      <c r="CT878" t="s">
        <v>5369</v>
      </c>
      <c r="CU878" t="s">
        <v>5370</v>
      </c>
      <c r="CW878" t="s">
        <v>5360</v>
      </c>
      <c r="CX878" t="s">
        <v>1218</v>
      </c>
      <c r="CZ878" s="3" t="str">
        <f>"36509"</f>
        <v>36509</v>
      </c>
      <c r="DA878" t="s">
        <v>135</v>
      </c>
      <c r="DB878" t="str">
        <f>"51-3022"</f>
        <v>51-3022</v>
      </c>
      <c r="DC878" t="s">
        <v>1114</v>
      </c>
      <c r="DD878" t="s">
        <v>134</v>
      </c>
      <c r="DE878" t="s">
        <v>134</v>
      </c>
      <c r="DF878" t="str">
        <f>""</f>
        <v/>
      </c>
      <c r="DH878" s="6">
        <v>10.76</v>
      </c>
      <c r="DI878" t="s">
        <v>344</v>
      </c>
      <c r="DK878" t="s">
        <v>345</v>
      </c>
      <c r="DS878" s="6">
        <v>10.76</v>
      </c>
      <c r="DT878" s="2" t="s">
        <v>347</v>
      </c>
      <c r="DU878" s="1">
        <v>44377</v>
      </c>
      <c r="DV878" s="1">
        <v>44466</v>
      </c>
    </row>
    <row r="879" spans="1:126" ht="15" customHeight="1" x14ac:dyDescent="0.35">
      <c r="A879" t="s">
        <v>19350</v>
      </c>
      <c r="B879" t="s">
        <v>318</v>
      </c>
      <c r="C879" s="1">
        <v>44343</v>
      </c>
      <c r="D879" s="1">
        <v>44370</v>
      </c>
      <c r="H879" t="s">
        <v>319</v>
      </c>
      <c r="I879" t="s">
        <v>19351</v>
      </c>
      <c r="J879" t="s">
        <v>7263</v>
      </c>
      <c r="L879" t="s">
        <v>1031</v>
      </c>
      <c r="M879" t="s">
        <v>19352</v>
      </c>
      <c r="O879" t="s">
        <v>7015</v>
      </c>
      <c r="P879" t="s">
        <v>194</v>
      </c>
      <c r="Q879" s="3">
        <v>32205</v>
      </c>
      <c r="R879" t="s">
        <v>128</v>
      </c>
      <c r="T879" s="4">
        <v>19043814242</v>
      </c>
      <c r="V879" t="s">
        <v>1021</v>
      </c>
      <c r="W879" t="s">
        <v>19353</v>
      </c>
      <c r="Y879" t="s">
        <v>19352</v>
      </c>
      <c r="AA879" t="s">
        <v>7015</v>
      </c>
      <c r="AB879" t="s">
        <v>195</v>
      </c>
      <c r="AC879" s="3" t="str">
        <f>"32205"</f>
        <v>32205</v>
      </c>
      <c r="AD879" t="s">
        <v>128</v>
      </c>
      <c r="AF879" s="4">
        <v>19043814242</v>
      </c>
      <c r="AH879" t="str">
        <f>"722513"</f>
        <v>722513</v>
      </c>
      <c r="AI879" t="s">
        <v>287</v>
      </c>
      <c r="AJ879" t="s">
        <v>1024</v>
      </c>
      <c r="AK879" t="s">
        <v>1025</v>
      </c>
      <c r="AM879" t="s">
        <v>1026</v>
      </c>
      <c r="AO879" t="s">
        <v>1027</v>
      </c>
      <c r="AP879" t="s">
        <v>129</v>
      </c>
      <c r="AQ879" s="5">
        <v>11590</v>
      </c>
      <c r="AR879" t="s">
        <v>128</v>
      </c>
      <c r="AT879" s="4">
        <v>15163307168</v>
      </c>
      <c r="AV879" t="s">
        <v>1021</v>
      </c>
      <c r="AW879" t="s">
        <v>1028</v>
      </c>
      <c r="AX879" t="s">
        <v>131</v>
      </c>
      <c r="AY879" t="s">
        <v>131</v>
      </c>
      <c r="AZ879" t="s">
        <v>131</v>
      </c>
      <c r="BA879" t="s">
        <v>131</v>
      </c>
      <c r="BB879" t="s">
        <v>131</v>
      </c>
      <c r="BC879" t="s">
        <v>131</v>
      </c>
      <c r="BD879" t="s">
        <v>131</v>
      </c>
      <c r="BE879" t="s">
        <v>132</v>
      </c>
      <c r="BH879" t="s">
        <v>19354</v>
      </c>
      <c r="BI879" t="s">
        <v>131</v>
      </c>
      <c r="BL879" t="s">
        <v>167</v>
      </c>
      <c r="BO879" t="s">
        <v>131</v>
      </c>
      <c r="BP879" t="s">
        <v>134</v>
      </c>
      <c r="BQ879" t="s">
        <v>131</v>
      </c>
      <c r="BS879" t="str">
        <f t="shared" si="60"/>
        <v>N/A</v>
      </c>
      <c r="BT879" t="s">
        <v>131</v>
      </c>
      <c r="BV879" t="str">
        <f>""</f>
        <v/>
      </c>
      <c r="BW879" t="s">
        <v>131</v>
      </c>
      <c r="BX879" t="str">
        <f>""</f>
        <v/>
      </c>
      <c r="BY879" t="str">
        <f>""</f>
        <v/>
      </c>
      <c r="BZ879" t="str">
        <f>""</f>
        <v/>
      </c>
      <c r="CA879" t="str">
        <f>""</f>
        <v/>
      </c>
      <c r="CB879" t="s">
        <v>131</v>
      </c>
      <c r="CF879" t="s">
        <v>131</v>
      </c>
      <c r="CH879" t="str">
        <f>""</f>
        <v/>
      </c>
      <c r="CI879" t="s">
        <v>131</v>
      </c>
      <c r="CK879" t="s">
        <v>131</v>
      </c>
      <c r="CL879" t="str">
        <f>""</f>
        <v/>
      </c>
      <c r="CM879" t="str">
        <f>""</f>
        <v/>
      </c>
      <c r="CN879" t="str">
        <f>""</f>
        <v/>
      </c>
      <c r="CO879" t="str">
        <f>""</f>
        <v/>
      </c>
      <c r="CP879" t="str">
        <f>"35-2021.00"</f>
        <v>35-2021.00</v>
      </c>
      <c r="CQ879" t="s">
        <v>1749</v>
      </c>
      <c r="CR879" t="s">
        <v>392</v>
      </c>
      <c r="CS879" t="s">
        <v>131</v>
      </c>
      <c r="CU879" t="s">
        <v>19352</v>
      </c>
      <c r="CW879" t="s">
        <v>7015</v>
      </c>
      <c r="CX879" t="s">
        <v>195</v>
      </c>
      <c r="CZ879" s="3" t="str">
        <f>"32205"</f>
        <v>32205</v>
      </c>
      <c r="DA879" t="s">
        <v>131</v>
      </c>
      <c r="DB879" t="str">
        <f>"35-2021"</f>
        <v>35-2021</v>
      </c>
      <c r="DC879" t="s">
        <v>1749</v>
      </c>
      <c r="DD879" t="s">
        <v>134</v>
      </c>
      <c r="DE879" t="s">
        <v>134</v>
      </c>
      <c r="DF879" t="str">
        <f>""</f>
        <v/>
      </c>
      <c r="DH879" s="6">
        <v>12.14</v>
      </c>
      <c r="DI879" t="s">
        <v>344</v>
      </c>
      <c r="DK879" t="s">
        <v>345</v>
      </c>
      <c r="DR879" t="s">
        <v>6681</v>
      </c>
      <c r="DS879" s="6">
        <v>12.14</v>
      </c>
      <c r="DT879" t="s">
        <v>424</v>
      </c>
      <c r="DU879" s="1">
        <v>44370</v>
      </c>
      <c r="DV879" s="1">
        <v>44459</v>
      </c>
    </row>
    <row r="880" spans="1:126" ht="15" customHeight="1" x14ac:dyDescent="0.35">
      <c r="A880" t="s">
        <v>6628</v>
      </c>
      <c r="B880" t="s">
        <v>318</v>
      </c>
      <c r="C880" s="1">
        <v>44343</v>
      </c>
      <c r="D880" s="1">
        <v>44370</v>
      </c>
      <c r="H880" t="s">
        <v>319</v>
      </c>
      <c r="I880" t="s">
        <v>6629</v>
      </c>
      <c r="J880" t="s">
        <v>2124</v>
      </c>
      <c r="L880" t="s">
        <v>6630</v>
      </c>
      <c r="M880" t="s">
        <v>6631</v>
      </c>
      <c r="O880" t="s">
        <v>6632</v>
      </c>
      <c r="P880" t="s">
        <v>273</v>
      </c>
      <c r="Q880" s="3">
        <v>8204</v>
      </c>
      <c r="R880" t="s">
        <v>128</v>
      </c>
      <c r="T880" s="4">
        <v>16098277374</v>
      </c>
      <c r="V880" t="s">
        <v>6633</v>
      </c>
      <c r="W880" t="s">
        <v>6634</v>
      </c>
      <c r="Y880" t="s">
        <v>6631</v>
      </c>
      <c r="AA880" t="s">
        <v>6632</v>
      </c>
      <c r="AB880" t="s">
        <v>276</v>
      </c>
      <c r="AC880" s="3" t="str">
        <f>"08204"</f>
        <v>08204</v>
      </c>
      <c r="AD880" t="s">
        <v>128</v>
      </c>
      <c r="AF880" s="4">
        <v>16609600211</v>
      </c>
      <c r="AH880" t="str">
        <f>"445299"</f>
        <v>445299</v>
      </c>
      <c r="AI880" t="s">
        <v>167</v>
      </c>
      <c r="AX880" t="s">
        <v>131</v>
      </c>
      <c r="AY880" t="s">
        <v>131</v>
      </c>
      <c r="AZ880" t="s">
        <v>131</v>
      </c>
      <c r="BA880" t="s">
        <v>131</v>
      </c>
      <c r="BB880" t="s">
        <v>131</v>
      </c>
      <c r="BC880" t="s">
        <v>131</v>
      </c>
      <c r="BD880" t="s">
        <v>131</v>
      </c>
      <c r="BE880" t="s">
        <v>132</v>
      </c>
      <c r="BH880" t="s">
        <v>6635</v>
      </c>
      <c r="BI880" t="s">
        <v>131</v>
      </c>
      <c r="BL880" t="s">
        <v>167</v>
      </c>
      <c r="BO880" t="s">
        <v>131</v>
      </c>
      <c r="BP880" t="s">
        <v>134</v>
      </c>
      <c r="BQ880" t="s">
        <v>131</v>
      </c>
      <c r="BS880" t="str">
        <f t="shared" si="60"/>
        <v>N/A</v>
      </c>
      <c r="BT880" t="s">
        <v>131</v>
      </c>
      <c r="BV880" t="str">
        <f>""</f>
        <v/>
      </c>
      <c r="BW880" t="s">
        <v>131</v>
      </c>
      <c r="BX880" t="str">
        <f>""</f>
        <v/>
      </c>
      <c r="BY880" t="str">
        <f>""</f>
        <v/>
      </c>
      <c r="BZ880" t="str">
        <f>""</f>
        <v/>
      </c>
      <c r="CA880" t="str">
        <f>""</f>
        <v/>
      </c>
      <c r="CB880" t="s">
        <v>131</v>
      </c>
      <c r="CF880" t="s">
        <v>131</v>
      </c>
      <c r="CH880" t="str">
        <f>""</f>
        <v/>
      </c>
      <c r="CI880" t="s">
        <v>131</v>
      </c>
      <c r="CK880" t="s">
        <v>131</v>
      </c>
      <c r="CL880" t="str">
        <f>""</f>
        <v/>
      </c>
      <c r="CM880" t="str">
        <f>""</f>
        <v/>
      </c>
      <c r="CN880" t="str">
        <f>""</f>
        <v/>
      </c>
      <c r="CO880" t="str">
        <f>""</f>
        <v/>
      </c>
      <c r="CP880" t="str">
        <f>"35-9099.00"</f>
        <v>35-9099.00</v>
      </c>
      <c r="CQ880" t="s">
        <v>6636</v>
      </c>
      <c r="CR880" t="s">
        <v>1792</v>
      </c>
      <c r="CS880" t="s">
        <v>131</v>
      </c>
      <c r="CU880" t="s">
        <v>6631</v>
      </c>
      <c r="CW880" t="s">
        <v>6632</v>
      </c>
      <c r="CX880" t="s">
        <v>276</v>
      </c>
      <c r="CZ880" s="3" t="str">
        <f>"08204"</f>
        <v>08204</v>
      </c>
      <c r="DA880" t="s">
        <v>131</v>
      </c>
      <c r="DB880" t="str">
        <f>"35-2021"</f>
        <v>35-2021</v>
      </c>
      <c r="DC880" t="s">
        <v>1749</v>
      </c>
      <c r="DD880" t="s">
        <v>134</v>
      </c>
      <c r="DE880" t="s">
        <v>134</v>
      </c>
      <c r="DF880" t="str">
        <f>""</f>
        <v/>
      </c>
      <c r="DH880" s="6">
        <v>11.82</v>
      </c>
      <c r="DI880" t="s">
        <v>344</v>
      </c>
      <c r="DK880" t="s">
        <v>345</v>
      </c>
      <c r="DR880" t="s">
        <v>6637</v>
      </c>
      <c r="DS880" s="6">
        <v>11.82</v>
      </c>
      <c r="DT880" t="s">
        <v>424</v>
      </c>
      <c r="DU880" s="1">
        <v>44370</v>
      </c>
      <c r="DV880" s="1">
        <v>44459</v>
      </c>
    </row>
    <row r="881" spans="1:126" ht="15" customHeight="1" x14ac:dyDescent="0.35">
      <c r="A881" t="s">
        <v>17385</v>
      </c>
      <c r="B881" t="s">
        <v>318</v>
      </c>
      <c r="C881" s="1">
        <v>44343</v>
      </c>
      <c r="D881" s="1">
        <v>44370</v>
      </c>
      <c r="H881" t="s">
        <v>319</v>
      </c>
      <c r="I881" t="s">
        <v>11350</v>
      </c>
      <c r="J881" t="s">
        <v>14493</v>
      </c>
      <c r="L881" t="s">
        <v>1031</v>
      </c>
      <c r="M881" t="s">
        <v>17386</v>
      </c>
      <c r="O881" t="s">
        <v>17387</v>
      </c>
      <c r="P881" t="s">
        <v>127</v>
      </c>
      <c r="Q881" s="3">
        <v>11553</v>
      </c>
      <c r="R881" t="s">
        <v>128</v>
      </c>
      <c r="T881" s="4">
        <v>15165230010</v>
      </c>
      <c r="V881" t="s">
        <v>1021</v>
      </c>
      <c r="W881" t="s">
        <v>17388</v>
      </c>
      <c r="Y881" t="s">
        <v>17389</v>
      </c>
      <c r="AA881" t="s">
        <v>17387</v>
      </c>
      <c r="AB881" t="s">
        <v>129</v>
      </c>
      <c r="AC881" s="3" t="str">
        <f>"11553"</f>
        <v>11553</v>
      </c>
      <c r="AD881" t="s">
        <v>128</v>
      </c>
      <c r="AF881" s="4">
        <v>15165230010</v>
      </c>
      <c r="AH881" t="str">
        <f>"56173"</f>
        <v>56173</v>
      </c>
      <c r="AI881" t="s">
        <v>287</v>
      </c>
      <c r="AJ881" t="s">
        <v>1024</v>
      </c>
      <c r="AK881" t="s">
        <v>1025</v>
      </c>
      <c r="AM881" t="s">
        <v>1026</v>
      </c>
      <c r="AO881" t="s">
        <v>1027</v>
      </c>
      <c r="AP881" t="s">
        <v>129</v>
      </c>
      <c r="AQ881" s="5">
        <v>11590</v>
      </c>
      <c r="AR881" t="s">
        <v>128</v>
      </c>
      <c r="AT881" s="4">
        <v>15163307168</v>
      </c>
      <c r="AV881" t="s">
        <v>1021</v>
      </c>
      <c r="AW881" t="s">
        <v>1028</v>
      </c>
      <c r="AX881" t="s">
        <v>131</v>
      </c>
      <c r="AY881" t="s">
        <v>131</v>
      </c>
      <c r="AZ881" t="s">
        <v>131</v>
      </c>
      <c r="BA881" t="s">
        <v>131</v>
      </c>
      <c r="BB881" t="s">
        <v>131</v>
      </c>
      <c r="BC881" t="s">
        <v>131</v>
      </c>
      <c r="BD881" t="s">
        <v>131</v>
      </c>
      <c r="BE881" t="s">
        <v>132</v>
      </c>
      <c r="BH881" t="s">
        <v>5067</v>
      </c>
      <c r="BI881" t="s">
        <v>131</v>
      </c>
      <c r="BL881" t="s">
        <v>167</v>
      </c>
      <c r="BO881" t="s">
        <v>131</v>
      </c>
      <c r="BP881" t="s">
        <v>134</v>
      </c>
      <c r="BQ881" t="s">
        <v>131</v>
      </c>
      <c r="BS881" t="str">
        <f t="shared" si="60"/>
        <v>N/A</v>
      </c>
      <c r="BT881" t="s">
        <v>131</v>
      </c>
      <c r="BV881" t="str">
        <f>""</f>
        <v/>
      </c>
      <c r="BW881" t="s">
        <v>131</v>
      </c>
      <c r="BX881" t="str">
        <f>""</f>
        <v/>
      </c>
      <c r="BY881" t="str">
        <f>""</f>
        <v/>
      </c>
      <c r="BZ881" t="str">
        <f>""</f>
        <v/>
      </c>
      <c r="CA881" t="str">
        <f>""</f>
        <v/>
      </c>
      <c r="CB881" t="s">
        <v>131</v>
      </c>
      <c r="CF881" t="s">
        <v>131</v>
      </c>
      <c r="CH881" t="str">
        <f>""</f>
        <v/>
      </c>
      <c r="CI881" t="s">
        <v>131</v>
      </c>
      <c r="CK881" t="s">
        <v>131</v>
      </c>
      <c r="CL881" t="str">
        <f>""</f>
        <v/>
      </c>
      <c r="CM881" t="str">
        <f>""</f>
        <v/>
      </c>
      <c r="CN881" t="str">
        <f>""</f>
        <v/>
      </c>
      <c r="CO881" t="str">
        <f>""</f>
        <v/>
      </c>
      <c r="CP881" t="str">
        <f>"37-3011.00"</f>
        <v>37-3011.00</v>
      </c>
      <c r="CQ881" t="s">
        <v>920</v>
      </c>
      <c r="CR881" t="s">
        <v>5068</v>
      </c>
      <c r="CS881" t="s">
        <v>135</v>
      </c>
      <c r="CT881" t="s">
        <v>14606</v>
      </c>
      <c r="CU881" t="s">
        <v>17389</v>
      </c>
      <c r="CW881" t="s">
        <v>17387</v>
      </c>
      <c r="CX881" t="s">
        <v>129</v>
      </c>
      <c r="CZ881" s="3" t="str">
        <f>"11553"</f>
        <v>11553</v>
      </c>
      <c r="DA881" t="s">
        <v>135</v>
      </c>
      <c r="DB881" t="str">
        <f>"37-3011"</f>
        <v>37-3011</v>
      </c>
      <c r="DC881" t="s">
        <v>920</v>
      </c>
      <c r="DD881" t="s">
        <v>134</v>
      </c>
      <c r="DE881" t="s">
        <v>134</v>
      </c>
      <c r="DF881" t="str">
        <f>""</f>
        <v/>
      </c>
      <c r="DH881" s="6">
        <v>17.75</v>
      </c>
      <c r="DI881" t="s">
        <v>344</v>
      </c>
      <c r="DK881" t="s">
        <v>345</v>
      </c>
      <c r="DR881" t="s">
        <v>346</v>
      </c>
      <c r="DS881" s="6">
        <v>17.75</v>
      </c>
      <c r="DT881" s="2" t="s">
        <v>347</v>
      </c>
      <c r="DU881" s="1">
        <v>44370</v>
      </c>
      <c r="DV881" s="1">
        <v>44459</v>
      </c>
    </row>
    <row r="882" spans="1:126" ht="15" customHeight="1" x14ac:dyDescent="0.35">
      <c r="A882" t="s">
        <v>13844</v>
      </c>
      <c r="B882" t="s">
        <v>318</v>
      </c>
      <c r="C882" s="1">
        <v>44343</v>
      </c>
      <c r="D882" s="1">
        <v>44370</v>
      </c>
      <c r="H882" t="s">
        <v>319</v>
      </c>
      <c r="I882" t="s">
        <v>1732</v>
      </c>
      <c r="J882" t="s">
        <v>560</v>
      </c>
      <c r="K882" t="s">
        <v>803</v>
      </c>
      <c r="L882" t="s">
        <v>130</v>
      </c>
      <c r="M882" t="s">
        <v>13845</v>
      </c>
      <c r="N882" t="s">
        <v>3984</v>
      </c>
      <c r="O882" t="s">
        <v>1735</v>
      </c>
      <c r="P882" t="s">
        <v>467</v>
      </c>
      <c r="Q882" s="3">
        <v>81658</v>
      </c>
      <c r="R882" t="s">
        <v>128</v>
      </c>
      <c r="T882" s="4">
        <v>19703066476</v>
      </c>
      <c r="V882" t="s">
        <v>1736</v>
      </c>
      <c r="W882" t="s">
        <v>13846</v>
      </c>
      <c r="X882" t="s">
        <v>13847</v>
      </c>
      <c r="Y882" t="s">
        <v>13848</v>
      </c>
      <c r="Z882" t="s">
        <v>13849</v>
      </c>
      <c r="AA882" t="s">
        <v>915</v>
      </c>
      <c r="AB882" t="s">
        <v>471</v>
      </c>
      <c r="AC882" s="3" t="str">
        <f>"81620"</f>
        <v>81620</v>
      </c>
      <c r="AD882" t="s">
        <v>128</v>
      </c>
      <c r="AF882" s="4">
        <v>19707481156</v>
      </c>
      <c r="AH882" t="str">
        <f>"722511"</f>
        <v>722511</v>
      </c>
      <c r="AI882" t="s">
        <v>130</v>
      </c>
      <c r="AJ882" t="s">
        <v>1732</v>
      </c>
      <c r="AK882" t="s">
        <v>560</v>
      </c>
      <c r="AL882" t="s">
        <v>803</v>
      </c>
      <c r="AM882" t="s">
        <v>13850</v>
      </c>
      <c r="AN882" t="s">
        <v>3984</v>
      </c>
      <c r="AO882" t="s">
        <v>1735</v>
      </c>
      <c r="AP882" t="s">
        <v>471</v>
      </c>
      <c r="AQ882" s="5">
        <v>81658</v>
      </c>
      <c r="AR882" t="s">
        <v>128</v>
      </c>
      <c r="AT882" s="4">
        <v>19703066476</v>
      </c>
      <c r="AV882" t="s">
        <v>1736</v>
      </c>
      <c r="AW882" t="s">
        <v>130</v>
      </c>
      <c r="AX882" t="s">
        <v>131</v>
      </c>
      <c r="AY882" t="s">
        <v>131</v>
      </c>
      <c r="AZ882" t="s">
        <v>131</v>
      </c>
      <c r="BA882" t="s">
        <v>131</v>
      </c>
      <c r="BB882" t="s">
        <v>131</v>
      </c>
      <c r="BC882" t="s">
        <v>131</v>
      </c>
      <c r="BD882" t="s">
        <v>131</v>
      </c>
      <c r="BE882" t="s">
        <v>132</v>
      </c>
      <c r="BH882" t="s">
        <v>13851</v>
      </c>
      <c r="BI882" t="s">
        <v>131</v>
      </c>
      <c r="BL882" t="s">
        <v>167</v>
      </c>
      <c r="BO882" t="s">
        <v>131</v>
      </c>
      <c r="BP882" t="s">
        <v>134</v>
      </c>
      <c r="BQ882" t="s">
        <v>131</v>
      </c>
      <c r="BS882" t="str">
        <f t="shared" si="60"/>
        <v>N/A</v>
      </c>
      <c r="BT882" t="s">
        <v>135</v>
      </c>
      <c r="BU882">
        <v>3</v>
      </c>
      <c r="BV882" t="str">
        <f>"Food Preparation Worker"</f>
        <v>Food Preparation Worker</v>
      </c>
      <c r="BW882" t="s">
        <v>131</v>
      </c>
      <c r="BX882" t="str">
        <f>""</f>
        <v/>
      </c>
      <c r="BY882" t="str">
        <f>""</f>
        <v/>
      </c>
      <c r="BZ882" t="str">
        <f>""</f>
        <v/>
      </c>
      <c r="CA882" t="str">
        <f>""</f>
        <v/>
      </c>
      <c r="CB882" t="s">
        <v>131</v>
      </c>
      <c r="CF882" t="s">
        <v>131</v>
      </c>
      <c r="CH882" t="str">
        <f>""</f>
        <v/>
      </c>
      <c r="CI882" t="s">
        <v>131</v>
      </c>
      <c r="CK882" t="s">
        <v>131</v>
      </c>
      <c r="CL882" t="str">
        <f>""</f>
        <v/>
      </c>
      <c r="CM882" t="str">
        <f>""</f>
        <v/>
      </c>
      <c r="CN882" t="str">
        <f>""</f>
        <v/>
      </c>
      <c r="CO882" t="str">
        <f>""</f>
        <v/>
      </c>
      <c r="CP882" t="str">
        <f>"35-2021.00"</f>
        <v>35-2021.00</v>
      </c>
      <c r="CQ882" t="s">
        <v>1749</v>
      </c>
      <c r="CR882" t="s">
        <v>1745</v>
      </c>
      <c r="CS882" t="s">
        <v>131</v>
      </c>
      <c r="CU882" t="s">
        <v>13852</v>
      </c>
      <c r="CV882" t="s">
        <v>13853</v>
      </c>
      <c r="CW882" t="s">
        <v>915</v>
      </c>
      <c r="CX882" t="s">
        <v>471</v>
      </c>
      <c r="CZ882" s="3" t="str">
        <f>"81620"</f>
        <v>81620</v>
      </c>
      <c r="DA882" t="s">
        <v>131</v>
      </c>
      <c r="DB882" t="str">
        <f>"35-2021"</f>
        <v>35-2021</v>
      </c>
      <c r="DC882" t="s">
        <v>1749</v>
      </c>
      <c r="DD882" t="s">
        <v>134</v>
      </c>
      <c r="DE882" t="s">
        <v>134</v>
      </c>
      <c r="DF882" t="str">
        <f>""</f>
        <v/>
      </c>
      <c r="DH882" s="6">
        <v>16.23</v>
      </c>
      <c r="DI882" t="s">
        <v>344</v>
      </c>
      <c r="DK882" t="s">
        <v>345</v>
      </c>
      <c r="DR882" t="s">
        <v>1750</v>
      </c>
      <c r="DS882" s="6">
        <v>16.23</v>
      </c>
      <c r="DT882" t="s">
        <v>424</v>
      </c>
      <c r="DU882" s="1">
        <v>44370</v>
      </c>
      <c r="DV882" s="1">
        <v>44459</v>
      </c>
    </row>
    <row r="883" spans="1:126" ht="15" customHeight="1" x14ac:dyDescent="0.35">
      <c r="A883" t="s">
        <v>8432</v>
      </c>
      <c r="B883" t="s">
        <v>318</v>
      </c>
      <c r="C883" s="1">
        <v>44343</v>
      </c>
      <c r="D883" s="1">
        <v>44370</v>
      </c>
      <c r="H883" t="s">
        <v>319</v>
      </c>
      <c r="I883" t="s">
        <v>8433</v>
      </c>
      <c r="J883" t="s">
        <v>1538</v>
      </c>
      <c r="L883" t="s">
        <v>1031</v>
      </c>
      <c r="M883" t="s">
        <v>8434</v>
      </c>
      <c r="O883" t="s">
        <v>8435</v>
      </c>
      <c r="P883" t="s">
        <v>273</v>
      </c>
      <c r="Q883" s="3">
        <v>7762</v>
      </c>
      <c r="R883" t="s">
        <v>128</v>
      </c>
      <c r="T883" s="4">
        <v>17329628900</v>
      </c>
      <c r="V883" t="s">
        <v>8436</v>
      </c>
      <c r="W883" t="s">
        <v>8437</v>
      </c>
      <c r="Y883" t="s">
        <v>8438</v>
      </c>
      <c r="AA883" t="s">
        <v>8435</v>
      </c>
      <c r="AB883" t="s">
        <v>276</v>
      </c>
      <c r="AC883" s="3" t="str">
        <f>"07762"</f>
        <v>07762</v>
      </c>
      <c r="AD883" t="s">
        <v>128</v>
      </c>
      <c r="AF883" s="4">
        <v>17329628900</v>
      </c>
      <c r="AH883" t="str">
        <f>"72251"</f>
        <v>72251</v>
      </c>
      <c r="AI883" t="s">
        <v>167</v>
      </c>
      <c r="AX883" t="s">
        <v>131</v>
      </c>
      <c r="AY883" t="s">
        <v>131</v>
      </c>
      <c r="AZ883" t="s">
        <v>131</v>
      </c>
      <c r="BA883" t="s">
        <v>131</v>
      </c>
      <c r="BB883" t="s">
        <v>131</v>
      </c>
      <c r="BC883" t="s">
        <v>131</v>
      </c>
      <c r="BD883" t="s">
        <v>131</v>
      </c>
      <c r="BE883" t="s">
        <v>132</v>
      </c>
      <c r="BH883" t="s">
        <v>8439</v>
      </c>
      <c r="BI883" t="s">
        <v>131</v>
      </c>
      <c r="BL883" t="s">
        <v>167</v>
      </c>
      <c r="BO883" t="s">
        <v>131</v>
      </c>
      <c r="BP883" t="s">
        <v>134</v>
      </c>
      <c r="BQ883" t="s">
        <v>131</v>
      </c>
      <c r="BS883" t="str">
        <f t="shared" si="60"/>
        <v>N/A</v>
      </c>
      <c r="BT883" t="s">
        <v>131</v>
      </c>
      <c r="BV883" t="str">
        <f>""</f>
        <v/>
      </c>
      <c r="BW883" t="s">
        <v>131</v>
      </c>
      <c r="BX883" t="str">
        <f>""</f>
        <v/>
      </c>
      <c r="BY883" t="str">
        <f>""</f>
        <v/>
      </c>
      <c r="BZ883" t="str">
        <f>""</f>
        <v/>
      </c>
      <c r="CA883" t="str">
        <f>""</f>
        <v/>
      </c>
      <c r="CB883" t="s">
        <v>131</v>
      </c>
      <c r="CF883" t="s">
        <v>131</v>
      </c>
      <c r="CH883" t="str">
        <f>""</f>
        <v/>
      </c>
      <c r="CI883" t="s">
        <v>131</v>
      </c>
      <c r="CK883" t="s">
        <v>131</v>
      </c>
      <c r="CL883" t="str">
        <f>""</f>
        <v/>
      </c>
      <c r="CM883" t="str">
        <f>""</f>
        <v/>
      </c>
      <c r="CN883" t="str">
        <f>""</f>
        <v/>
      </c>
      <c r="CO883" t="str">
        <f>""</f>
        <v/>
      </c>
      <c r="CP883" t="str">
        <f>"35-3021.00"</f>
        <v>35-3021.00</v>
      </c>
      <c r="CQ883" t="s">
        <v>2581</v>
      </c>
      <c r="CR883" t="s">
        <v>392</v>
      </c>
      <c r="CS883" t="s">
        <v>131</v>
      </c>
      <c r="CU883" t="s">
        <v>8438</v>
      </c>
      <c r="CW883" t="s">
        <v>8435</v>
      </c>
      <c r="CX883" t="s">
        <v>276</v>
      </c>
      <c r="CZ883" s="3" t="str">
        <f>"07762"</f>
        <v>07762</v>
      </c>
      <c r="DA883" t="s">
        <v>131</v>
      </c>
      <c r="DB883" t="str">
        <f>"35-2014"</f>
        <v>35-2014</v>
      </c>
      <c r="DC883" t="s">
        <v>581</v>
      </c>
      <c r="DD883" t="s">
        <v>134</v>
      </c>
      <c r="DE883" t="s">
        <v>134</v>
      </c>
      <c r="DF883" t="str">
        <f>""</f>
        <v/>
      </c>
      <c r="DH883" s="6">
        <v>16.190000000000001</v>
      </c>
      <c r="DI883" t="s">
        <v>344</v>
      </c>
      <c r="DK883" t="s">
        <v>345</v>
      </c>
      <c r="DR883" t="s">
        <v>346</v>
      </c>
      <c r="DS883" s="6">
        <v>16.190000000000001</v>
      </c>
      <c r="DT883" t="s">
        <v>424</v>
      </c>
      <c r="DU883" s="1">
        <v>44370</v>
      </c>
      <c r="DV883" s="1">
        <v>44459</v>
      </c>
    </row>
    <row r="884" spans="1:126" ht="15" customHeight="1" x14ac:dyDescent="0.35">
      <c r="A884" t="s">
        <v>8900</v>
      </c>
      <c r="B884" t="s">
        <v>318</v>
      </c>
      <c r="C884" s="1">
        <v>44343</v>
      </c>
      <c r="D884" s="1">
        <v>44370</v>
      </c>
      <c r="H884" t="s">
        <v>319</v>
      </c>
      <c r="I884" t="s">
        <v>8901</v>
      </c>
      <c r="J884" t="s">
        <v>7337</v>
      </c>
      <c r="K884" t="s">
        <v>134</v>
      </c>
      <c r="L884" t="s">
        <v>395</v>
      </c>
      <c r="M884" t="s">
        <v>8902</v>
      </c>
      <c r="N884" t="s">
        <v>8903</v>
      </c>
      <c r="O884" t="s">
        <v>4293</v>
      </c>
      <c r="P884" t="s">
        <v>539</v>
      </c>
      <c r="Q884" s="3">
        <v>60016</v>
      </c>
      <c r="R884" t="s">
        <v>128</v>
      </c>
      <c r="T884" s="4">
        <v>18472985953</v>
      </c>
      <c r="V884" t="s">
        <v>8904</v>
      </c>
      <c r="W884" t="s">
        <v>8905</v>
      </c>
      <c r="Y884" t="s">
        <v>8902</v>
      </c>
      <c r="Z884" t="s">
        <v>8903</v>
      </c>
      <c r="AA884" t="s">
        <v>4293</v>
      </c>
      <c r="AB884" t="s">
        <v>263</v>
      </c>
      <c r="AC884" s="3" t="str">
        <f>"60016"</f>
        <v>60016</v>
      </c>
      <c r="AD884" t="s">
        <v>128</v>
      </c>
      <c r="AF884" s="4">
        <v>18472985953</v>
      </c>
      <c r="AH884" t="str">
        <f>"561720"</f>
        <v>561720</v>
      </c>
      <c r="AI884" t="s">
        <v>287</v>
      </c>
      <c r="AJ884" t="s">
        <v>776</v>
      </c>
      <c r="AK884" t="s">
        <v>2901</v>
      </c>
      <c r="AL884" t="s">
        <v>645</v>
      </c>
      <c r="AM884" t="s">
        <v>7932</v>
      </c>
      <c r="AN884" t="s">
        <v>2377</v>
      </c>
      <c r="AO884" t="s">
        <v>4815</v>
      </c>
      <c r="AP884" t="s">
        <v>1243</v>
      </c>
      <c r="AQ884" s="5">
        <v>83814</v>
      </c>
      <c r="AR884" t="s">
        <v>128</v>
      </c>
      <c r="AT884" s="4">
        <v>12087772654</v>
      </c>
      <c r="AV884" t="s">
        <v>8906</v>
      </c>
      <c r="AW884" t="s">
        <v>4715</v>
      </c>
      <c r="AX884" t="s">
        <v>131</v>
      </c>
      <c r="AY884" t="s">
        <v>131</v>
      </c>
      <c r="AZ884" t="s">
        <v>131</v>
      </c>
      <c r="BA884" t="s">
        <v>131</v>
      </c>
      <c r="BB884" t="s">
        <v>131</v>
      </c>
      <c r="BC884" t="s">
        <v>131</v>
      </c>
      <c r="BD884" t="s">
        <v>131</v>
      </c>
      <c r="BE884" t="s">
        <v>132</v>
      </c>
      <c r="BH884" t="s">
        <v>8907</v>
      </c>
      <c r="BI884" t="s">
        <v>131</v>
      </c>
      <c r="BL884" t="s">
        <v>167</v>
      </c>
      <c r="BO884" t="s">
        <v>131</v>
      </c>
      <c r="BP884" t="s">
        <v>134</v>
      </c>
      <c r="BQ884" t="s">
        <v>131</v>
      </c>
      <c r="BS884" t="str">
        <f t="shared" si="60"/>
        <v>N/A</v>
      </c>
      <c r="BT884" t="s">
        <v>135</v>
      </c>
      <c r="BU884">
        <v>3</v>
      </c>
      <c r="BV884" t="str">
        <f>"High Rise Window Cleaning"</f>
        <v>High Rise Window Cleaning</v>
      </c>
      <c r="BW884" t="s">
        <v>135</v>
      </c>
      <c r="BX884" t="str">
        <f>""</f>
        <v/>
      </c>
      <c r="BY884" t="str">
        <f>""</f>
        <v/>
      </c>
      <c r="BZ884" t="str">
        <f>""</f>
        <v/>
      </c>
      <c r="CA884" t="s">
        <v>2054</v>
      </c>
      <c r="CB884" t="s">
        <v>131</v>
      </c>
      <c r="CF884" t="s">
        <v>131</v>
      </c>
      <c r="CH884" t="str">
        <f>""</f>
        <v/>
      </c>
      <c r="CI884" t="s">
        <v>131</v>
      </c>
      <c r="CK884" t="s">
        <v>131</v>
      </c>
      <c r="CL884" t="str">
        <f>""</f>
        <v/>
      </c>
      <c r="CM884" t="str">
        <f>""</f>
        <v/>
      </c>
      <c r="CN884" t="str">
        <f>""</f>
        <v/>
      </c>
      <c r="CO884" t="str">
        <f>""</f>
        <v/>
      </c>
      <c r="CP884" t="str">
        <f>"37-2011.00"</f>
        <v>37-2011.00</v>
      </c>
      <c r="CQ884" t="s">
        <v>794</v>
      </c>
      <c r="CR884" t="s">
        <v>8907</v>
      </c>
      <c r="CS884" t="s">
        <v>135</v>
      </c>
      <c r="CT884" t="s">
        <v>8908</v>
      </c>
      <c r="CU884" t="s">
        <v>8909</v>
      </c>
      <c r="CW884" t="s">
        <v>4293</v>
      </c>
      <c r="CX884" t="s">
        <v>263</v>
      </c>
      <c r="CZ884" s="3" t="str">
        <f>"60016"</f>
        <v>60016</v>
      </c>
      <c r="DA884" t="s">
        <v>135</v>
      </c>
      <c r="DB884" t="str">
        <f>"37-2011"</f>
        <v>37-2011</v>
      </c>
      <c r="DC884" t="s">
        <v>794</v>
      </c>
      <c r="DD884" t="s">
        <v>134</v>
      </c>
      <c r="DE884" t="s">
        <v>134</v>
      </c>
      <c r="DF884" t="str">
        <f>""</f>
        <v/>
      </c>
      <c r="DH884" s="6">
        <v>14.98</v>
      </c>
      <c r="DI884" t="s">
        <v>344</v>
      </c>
      <c r="DK884" t="s">
        <v>345</v>
      </c>
      <c r="DR884" t="s">
        <v>8471</v>
      </c>
      <c r="DS884" s="6">
        <v>14.98</v>
      </c>
      <c r="DT884" s="2" t="s">
        <v>347</v>
      </c>
      <c r="DU884" s="1">
        <v>44370</v>
      </c>
      <c r="DV884" s="1">
        <v>44459</v>
      </c>
    </row>
    <row r="885" spans="1:126" ht="15" customHeight="1" x14ac:dyDescent="0.35">
      <c r="A885" t="s">
        <v>13810</v>
      </c>
      <c r="B885" t="s">
        <v>318</v>
      </c>
      <c r="C885" s="1">
        <v>44343</v>
      </c>
      <c r="D885" s="1">
        <v>44370</v>
      </c>
      <c r="H885" t="s">
        <v>319</v>
      </c>
      <c r="I885" t="s">
        <v>13811</v>
      </c>
      <c r="J885" t="s">
        <v>2689</v>
      </c>
      <c r="L885" t="s">
        <v>1105</v>
      </c>
      <c r="M885" t="s">
        <v>13812</v>
      </c>
      <c r="N885" t="s">
        <v>13813</v>
      </c>
      <c r="O885" t="s">
        <v>13814</v>
      </c>
      <c r="P885" t="s">
        <v>720</v>
      </c>
      <c r="Q885" s="3">
        <v>2575</v>
      </c>
      <c r="R885" t="s">
        <v>128</v>
      </c>
      <c r="T885" s="4">
        <v>15086938512</v>
      </c>
      <c r="V885" t="s">
        <v>134</v>
      </c>
      <c r="W885" t="s">
        <v>13815</v>
      </c>
      <c r="Y885" t="s">
        <v>13812</v>
      </c>
      <c r="Z885" t="s">
        <v>13813</v>
      </c>
      <c r="AA885" t="s">
        <v>13814</v>
      </c>
      <c r="AB885" t="s">
        <v>377</v>
      </c>
      <c r="AC885" s="3" t="str">
        <f>"02575"</f>
        <v>02575</v>
      </c>
      <c r="AD885" t="s">
        <v>128</v>
      </c>
      <c r="AF885" s="4">
        <v>15086938512</v>
      </c>
      <c r="AH885" t="str">
        <f>"111421"</f>
        <v>111421</v>
      </c>
      <c r="AI885" t="s">
        <v>287</v>
      </c>
      <c r="AJ885" t="s">
        <v>2917</v>
      </c>
      <c r="AK885" t="s">
        <v>2918</v>
      </c>
      <c r="AM885" t="s">
        <v>3772</v>
      </c>
      <c r="AO885" t="s">
        <v>3773</v>
      </c>
      <c r="AP885" t="s">
        <v>306</v>
      </c>
      <c r="AQ885" s="5">
        <v>22903</v>
      </c>
      <c r="AR885" t="s">
        <v>128</v>
      </c>
      <c r="AT885" s="4">
        <v>14342634300</v>
      </c>
      <c r="AV885" t="s">
        <v>9074</v>
      </c>
      <c r="AW885" t="s">
        <v>2923</v>
      </c>
      <c r="AX885" t="s">
        <v>131</v>
      </c>
      <c r="AY885" t="s">
        <v>131</v>
      </c>
      <c r="AZ885" t="s">
        <v>131</v>
      </c>
      <c r="BA885" t="s">
        <v>131</v>
      </c>
      <c r="BB885" t="s">
        <v>131</v>
      </c>
      <c r="BC885" t="s">
        <v>131</v>
      </c>
      <c r="BD885" t="s">
        <v>131</v>
      </c>
      <c r="BE885" t="s">
        <v>132</v>
      </c>
      <c r="BH885" t="s">
        <v>13816</v>
      </c>
      <c r="BI885" t="s">
        <v>131</v>
      </c>
      <c r="BL885" t="s">
        <v>167</v>
      </c>
      <c r="BO885" t="s">
        <v>131</v>
      </c>
      <c r="BP885" t="s">
        <v>134</v>
      </c>
      <c r="BQ885" t="s">
        <v>131</v>
      </c>
      <c r="BS885" t="str">
        <f t="shared" si="60"/>
        <v>N/A</v>
      </c>
      <c r="BT885" t="s">
        <v>135</v>
      </c>
      <c r="BU885">
        <v>3</v>
      </c>
      <c r="BV885" t="str">
        <f>"Requires three  months of experience in the job described."</f>
        <v>Requires three  months of experience in the job described.</v>
      </c>
      <c r="BW885" t="s">
        <v>135</v>
      </c>
      <c r="BX885" t="str">
        <f>""</f>
        <v/>
      </c>
      <c r="BY885" t="str">
        <f>""</f>
        <v/>
      </c>
      <c r="BZ885" t="str">
        <f>""</f>
        <v/>
      </c>
      <c r="CA885" t="str">
        <f>"Must lift/carry 50 lbs., when necessary.  Saturday work required, when necessary."</f>
        <v>Must lift/carry 50 lbs., when necessary.  Saturday work required, when necessary.</v>
      </c>
      <c r="CB885" t="s">
        <v>131</v>
      </c>
      <c r="CF885" t="s">
        <v>131</v>
      </c>
      <c r="CH885" t="str">
        <f>""</f>
        <v/>
      </c>
      <c r="CI885" t="s">
        <v>131</v>
      </c>
      <c r="CK885" t="s">
        <v>131</v>
      </c>
      <c r="CL885" t="str">
        <f>""</f>
        <v/>
      </c>
      <c r="CM885" t="str">
        <f>""</f>
        <v/>
      </c>
      <c r="CN885" t="str">
        <f>""</f>
        <v/>
      </c>
      <c r="CO885" t="str">
        <f>""</f>
        <v/>
      </c>
      <c r="CP885" t="str">
        <f>"45-2092.00"</f>
        <v>45-2092.00</v>
      </c>
      <c r="CQ885" t="s">
        <v>3820</v>
      </c>
      <c r="CR885" t="s">
        <v>2924</v>
      </c>
      <c r="CS885" t="s">
        <v>135</v>
      </c>
      <c r="CT885" t="s">
        <v>2925</v>
      </c>
      <c r="CU885" t="s">
        <v>13812</v>
      </c>
      <c r="CW885" t="s">
        <v>13814</v>
      </c>
      <c r="CX885" t="s">
        <v>377</v>
      </c>
      <c r="CZ885" s="3" t="str">
        <f>"02575"</f>
        <v>02575</v>
      </c>
      <c r="DA885" t="s">
        <v>135</v>
      </c>
      <c r="DB885" t="str">
        <f>"45-2092"</f>
        <v>45-2092</v>
      </c>
      <c r="DC885" t="s">
        <v>3820</v>
      </c>
      <c r="DD885" t="s">
        <v>10470</v>
      </c>
      <c r="DE885" t="s">
        <v>3197</v>
      </c>
      <c r="DF885" t="str">
        <f>""</f>
        <v/>
      </c>
      <c r="DH885" s="6">
        <v>15.45</v>
      </c>
      <c r="DI885" t="s">
        <v>344</v>
      </c>
      <c r="DK885" t="s">
        <v>345</v>
      </c>
      <c r="DS885" s="6">
        <v>15.45</v>
      </c>
      <c r="DT885" s="2" t="s">
        <v>347</v>
      </c>
      <c r="DU885" s="1">
        <v>44370</v>
      </c>
      <c r="DV885" s="1">
        <v>44459</v>
      </c>
    </row>
    <row r="886" spans="1:126" ht="15" customHeight="1" x14ac:dyDescent="0.35">
      <c r="A886" t="s">
        <v>10848</v>
      </c>
      <c r="B886" t="s">
        <v>318</v>
      </c>
      <c r="C886" s="1">
        <v>44343</v>
      </c>
      <c r="D886" s="1">
        <v>44370</v>
      </c>
      <c r="H886" t="s">
        <v>319</v>
      </c>
      <c r="I886" t="s">
        <v>10849</v>
      </c>
      <c r="J886" t="s">
        <v>10850</v>
      </c>
      <c r="L886" t="s">
        <v>395</v>
      </c>
      <c r="M886" t="s">
        <v>10851</v>
      </c>
      <c r="O886" t="s">
        <v>885</v>
      </c>
      <c r="P886" t="s">
        <v>412</v>
      </c>
      <c r="Q886" s="3">
        <v>77041</v>
      </c>
      <c r="R886" t="s">
        <v>128</v>
      </c>
      <c r="T886" s="4">
        <v>12818096792</v>
      </c>
      <c r="V886" t="s">
        <v>10852</v>
      </c>
      <c r="W886" t="s">
        <v>10853</v>
      </c>
      <c r="Y886" t="s">
        <v>10851</v>
      </c>
      <c r="AA886" t="s">
        <v>885</v>
      </c>
      <c r="AB886" t="s">
        <v>400</v>
      </c>
      <c r="AC886" s="3" t="str">
        <f>"77041"</f>
        <v>77041</v>
      </c>
      <c r="AD886" t="s">
        <v>128</v>
      </c>
      <c r="AF886" s="4">
        <v>12818097563</v>
      </c>
      <c r="AH886" t="str">
        <f>"333249"</f>
        <v>333249</v>
      </c>
      <c r="AI886" t="s">
        <v>130</v>
      </c>
      <c r="AJ886" t="s">
        <v>7865</v>
      </c>
      <c r="AK886" t="s">
        <v>7866</v>
      </c>
      <c r="AL886" t="s">
        <v>408</v>
      </c>
      <c r="AM886" t="s">
        <v>7867</v>
      </c>
      <c r="AN886" t="s">
        <v>554</v>
      </c>
      <c r="AO886" t="s">
        <v>1800</v>
      </c>
      <c r="AP886" t="s">
        <v>400</v>
      </c>
      <c r="AQ886" s="5">
        <v>77701</v>
      </c>
      <c r="AR886" t="s">
        <v>128</v>
      </c>
      <c r="AT886" s="4">
        <v>14098386412</v>
      </c>
      <c r="AV886" t="s">
        <v>7868</v>
      </c>
      <c r="AW886" t="s">
        <v>7869</v>
      </c>
      <c r="AX886" t="s">
        <v>131</v>
      </c>
      <c r="AY886" t="s">
        <v>131</v>
      </c>
      <c r="AZ886" t="s">
        <v>131</v>
      </c>
      <c r="BA886" t="s">
        <v>131</v>
      </c>
      <c r="BB886" t="s">
        <v>131</v>
      </c>
      <c r="BC886" t="s">
        <v>131</v>
      </c>
      <c r="BD886" t="s">
        <v>131</v>
      </c>
      <c r="BE886" t="s">
        <v>132</v>
      </c>
      <c r="BH886" t="s">
        <v>7077</v>
      </c>
      <c r="BI886" t="s">
        <v>131</v>
      </c>
      <c r="BL886" t="s">
        <v>167</v>
      </c>
      <c r="BO886" t="s">
        <v>131</v>
      </c>
      <c r="BP886" t="s">
        <v>134</v>
      </c>
      <c r="BQ886" t="s">
        <v>131</v>
      </c>
      <c r="BS886" t="str">
        <f t="shared" si="60"/>
        <v>N/A</v>
      </c>
      <c r="BT886" t="s">
        <v>135</v>
      </c>
      <c r="BU886">
        <v>24</v>
      </c>
      <c r="BV886" t="str">
        <f>"Pipe Fitter"</f>
        <v>Pipe Fitter</v>
      </c>
      <c r="BW886" t="s">
        <v>135</v>
      </c>
      <c r="BX886" t="str">
        <f>""</f>
        <v/>
      </c>
      <c r="BY886" t="str">
        <f>""</f>
        <v/>
      </c>
      <c r="BZ886" t="str">
        <f>""</f>
        <v/>
      </c>
      <c r="CA886" t="s">
        <v>10854</v>
      </c>
      <c r="CB886" t="s">
        <v>131</v>
      </c>
      <c r="CF886" t="s">
        <v>131</v>
      </c>
      <c r="CH886" t="str">
        <f>""</f>
        <v/>
      </c>
      <c r="CI886" t="s">
        <v>131</v>
      </c>
      <c r="CK886" t="s">
        <v>131</v>
      </c>
      <c r="CL886" t="str">
        <f>""</f>
        <v/>
      </c>
      <c r="CM886" t="str">
        <f>""</f>
        <v/>
      </c>
      <c r="CN886" t="str">
        <f>""</f>
        <v/>
      </c>
      <c r="CO886" t="str">
        <f>""</f>
        <v/>
      </c>
      <c r="CP886" t="str">
        <f>"47-2152.00"</f>
        <v>47-2152.00</v>
      </c>
      <c r="CQ886" t="s">
        <v>4043</v>
      </c>
      <c r="CR886" t="s">
        <v>7871</v>
      </c>
      <c r="CS886" t="s">
        <v>131</v>
      </c>
      <c r="CU886" t="s">
        <v>10855</v>
      </c>
      <c r="CW886" t="s">
        <v>6507</v>
      </c>
      <c r="CX886" t="s">
        <v>400</v>
      </c>
      <c r="CZ886" s="3" t="str">
        <f>"78362"</f>
        <v>78362</v>
      </c>
      <c r="DA886" t="s">
        <v>135</v>
      </c>
      <c r="DB886" t="str">
        <f>"47-2152"</f>
        <v>47-2152</v>
      </c>
      <c r="DC886" t="s">
        <v>4043</v>
      </c>
      <c r="DD886" t="s">
        <v>10002</v>
      </c>
      <c r="DE886" t="s">
        <v>7078</v>
      </c>
      <c r="DF886" t="str">
        <f>""</f>
        <v/>
      </c>
      <c r="DH886" s="6">
        <v>24.71</v>
      </c>
      <c r="DI886" t="s">
        <v>344</v>
      </c>
      <c r="DK886" t="s">
        <v>345</v>
      </c>
      <c r="DS886" s="6">
        <v>24.71</v>
      </c>
      <c r="DT886" t="s">
        <v>424</v>
      </c>
      <c r="DU886" s="1">
        <v>44370</v>
      </c>
      <c r="DV886" s="1">
        <v>44459</v>
      </c>
    </row>
    <row r="887" spans="1:126" ht="15" customHeight="1" x14ac:dyDescent="0.35">
      <c r="A887" t="s">
        <v>14435</v>
      </c>
      <c r="B887" t="s">
        <v>318</v>
      </c>
      <c r="C887" s="1">
        <v>44343</v>
      </c>
      <c r="D887" s="1">
        <v>44370</v>
      </c>
      <c r="H887" t="s">
        <v>319</v>
      </c>
      <c r="I887" t="s">
        <v>14159</v>
      </c>
      <c r="J887" t="s">
        <v>3451</v>
      </c>
      <c r="L887" t="s">
        <v>1281</v>
      </c>
      <c r="M887" t="s">
        <v>14436</v>
      </c>
      <c r="O887" t="s">
        <v>14437</v>
      </c>
      <c r="P887" t="s">
        <v>857</v>
      </c>
      <c r="Q887" s="3">
        <v>85339</v>
      </c>
      <c r="R887" t="s">
        <v>128</v>
      </c>
      <c r="T887" s="4">
        <v>16022373333</v>
      </c>
      <c r="V887" t="s">
        <v>14438</v>
      </c>
      <c r="W887" t="s">
        <v>14439</v>
      </c>
      <c r="Y887" t="s">
        <v>14436</v>
      </c>
      <c r="AA887" t="s">
        <v>14437</v>
      </c>
      <c r="AB887" t="s">
        <v>808</v>
      </c>
      <c r="AC887" s="3" t="str">
        <f>"85339"</f>
        <v>85339</v>
      </c>
      <c r="AD887" t="s">
        <v>128</v>
      </c>
      <c r="AF887" s="4">
        <v>16022373333</v>
      </c>
      <c r="AH887" t="str">
        <f>"71399"</f>
        <v>71399</v>
      </c>
      <c r="AI887" t="s">
        <v>287</v>
      </c>
      <c r="AJ887" t="s">
        <v>2209</v>
      </c>
      <c r="AK887" t="s">
        <v>1459</v>
      </c>
      <c r="AL887" t="s">
        <v>2210</v>
      </c>
      <c r="AM887" t="s">
        <v>2211</v>
      </c>
      <c r="AN887" t="s">
        <v>788</v>
      </c>
      <c r="AO887" t="s">
        <v>2212</v>
      </c>
      <c r="AP887" t="s">
        <v>400</v>
      </c>
      <c r="AQ887" s="5">
        <v>75033</v>
      </c>
      <c r="AR887" t="s">
        <v>128</v>
      </c>
      <c r="AT887" s="4">
        <v>19727789690</v>
      </c>
      <c r="AV887" t="s">
        <v>6403</v>
      </c>
      <c r="AW887" t="s">
        <v>2214</v>
      </c>
      <c r="AX887" t="s">
        <v>131</v>
      </c>
      <c r="AY887" t="s">
        <v>131</v>
      </c>
      <c r="AZ887" t="s">
        <v>131</v>
      </c>
      <c r="BA887" t="s">
        <v>131</v>
      </c>
      <c r="BB887" t="s">
        <v>131</v>
      </c>
      <c r="BC887" t="s">
        <v>131</v>
      </c>
      <c r="BD887" t="s">
        <v>131</v>
      </c>
      <c r="BE887" t="s">
        <v>132</v>
      </c>
      <c r="BH887" t="s">
        <v>6835</v>
      </c>
      <c r="BI887" t="s">
        <v>131</v>
      </c>
      <c r="BL887" t="s">
        <v>167</v>
      </c>
      <c r="BO887" t="s">
        <v>131</v>
      </c>
      <c r="BP887" t="s">
        <v>134</v>
      </c>
      <c r="BQ887" t="s">
        <v>131</v>
      </c>
      <c r="BS887" t="str">
        <f t="shared" si="60"/>
        <v>N/A</v>
      </c>
      <c r="BT887" t="s">
        <v>131</v>
      </c>
      <c r="BV887" t="str">
        <f>""</f>
        <v/>
      </c>
      <c r="BW887" t="s">
        <v>135</v>
      </c>
      <c r="BX887" t="str">
        <f>""</f>
        <v/>
      </c>
      <c r="BY887" t="str">
        <f>""</f>
        <v/>
      </c>
      <c r="BZ887" t="str">
        <f>""</f>
        <v/>
      </c>
      <c r="CA887" t="s">
        <v>14440</v>
      </c>
      <c r="CB887" t="s">
        <v>131</v>
      </c>
      <c r="CF887" t="s">
        <v>131</v>
      </c>
      <c r="CH887" t="str">
        <f>""</f>
        <v/>
      </c>
      <c r="CI887" t="s">
        <v>131</v>
      </c>
      <c r="CK887" t="s">
        <v>131</v>
      </c>
      <c r="CL887" t="str">
        <f>""</f>
        <v/>
      </c>
      <c r="CM887" t="str">
        <f>""</f>
        <v/>
      </c>
      <c r="CN887" t="str">
        <f>""</f>
        <v/>
      </c>
      <c r="CO887" t="str">
        <f>""</f>
        <v/>
      </c>
      <c r="CP887" t="str">
        <f>"39-3091.00"</f>
        <v>39-3091.00</v>
      </c>
      <c r="CQ887" t="s">
        <v>1374</v>
      </c>
      <c r="CR887" t="s">
        <v>6835</v>
      </c>
      <c r="CS887" t="s">
        <v>135</v>
      </c>
      <c r="CT887" t="s">
        <v>14441</v>
      </c>
      <c r="CU887" t="s">
        <v>14442</v>
      </c>
      <c r="CW887" t="s">
        <v>807</v>
      </c>
      <c r="CX887" t="s">
        <v>808</v>
      </c>
      <c r="CZ887" s="3" t="str">
        <f>"85007"</f>
        <v>85007</v>
      </c>
      <c r="DA887" t="s">
        <v>135</v>
      </c>
      <c r="DB887" t="str">
        <f>"39-3091"</f>
        <v>39-3091</v>
      </c>
      <c r="DC887" t="s">
        <v>1374</v>
      </c>
      <c r="DD887" t="s">
        <v>134</v>
      </c>
      <c r="DE887" t="s">
        <v>134</v>
      </c>
      <c r="DF887" t="str">
        <f>""</f>
        <v/>
      </c>
      <c r="DH887" s="6">
        <v>12.54</v>
      </c>
      <c r="DI887" t="s">
        <v>344</v>
      </c>
      <c r="DK887" t="s">
        <v>345</v>
      </c>
      <c r="DR887" t="s">
        <v>2199</v>
      </c>
      <c r="DS887" s="6">
        <v>13.62</v>
      </c>
      <c r="DT887" s="2" t="s">
        <v>347</v>
      </c>
      <c r="DU887" s="1">
        <v>44370</v>
      </c>
      <c r="DV887" s="1">
        <v>44459</v>
      </c>
    </row>
    <row r="888" spans="1:126" ht="15" customHeight="1" x14ac:dyDescent="0.35">
      <c r="A888" t="s">
        <v>19666</v>
      </c>
      <c r="B888" t="s">
        <v>318</v>
      </c>
      <c r="C888" s="1">
        <v>44343</v>
      </c>
      <c r="D888" s="1">
        <v>44370</v>
      </c>
      <c r="H888" t="s">
        <v>319</v>
      </c>
      <c r="I888" t="s">
        <v>10849</v>
      </c>
      <c r="J888" t="s">
        <v>10850</v>
      </c>
      <c r="L888" t="s">
        <v>774</v>
      </c>
      <c r="M888" t="s">
        <v>10851</v>
      </c>
      <c r="O888" t="s">
        <v>885</v>
      </c>
      <c r="P888" t="s">
        <v>412</v>
      </c>
      <c r="Q888" s="3">
        <v>77041</v>
      </c>
      <c r="R888" t="s">
        <v>128</v>
      </c>
      <c r="T888" s="4">
        <v>12818096792</v>
      </c>
      <c r="V888" t="s">
        <v>10852</v>
      </c>
      <c r="W888" t="s">
        <v>10853</v>
      </c>
      <c r="Y888" t="s">
        <v>10851</v>
      </c>
      <c r="AA888" t="s">
        <v>885</v>
      </c>
      <c r="AB888" t="s">
        <v>400</v>
      </c>
      <c r="AC888" s="3" t="str">
        <f>"77041"</f>
        <v>77041</v>
      </c>
      <c r="AD888" t="s">
        <v>128</v>
      </c>
      <c r="AF888" s="4">
        <v>12818097563</v>
      </c>
      <c r="AH888" t="str">
        <f>"333249"</f>
        <v>333249</v>
      </c>
      <c r="AI888" t="s">
        <v>130</v>
      </c>
      <c r="AJ888" t="s">
        <v>7865</v>
      </c>
      <c r="AK888" t="s">
        <v>7866</v>
      </c>
      <c r="AL888" t="s">
        <v>408</v>
      </c>
      <c r="AM888" t="s">
        <v>7867</v>
      </c>
      <c r="AN888" t="s">
        <v>554</v>
      </c>
      <c r="AO888" t="s">
        <v>1800</v>
      </c>
      <c r="AP888" t="s">
        <v>400</v>
      </c>
      <c r="AQ888" s="5">
        <v>77701</v>
      </c>
      <c r="AR888" t="s">
        <v>128</v>
      </c>
      <c r="AT888" s="4">
        <v>14098386412</v>
      </c>
      <c r="AV888" t="s">
        <v>7868</v>
      </c>
      <c r="AW888" t="s">
        <v>7869</v>
      </c>
      <c r="AX888" t="s">
        <v>131</v>
      </c>
      <c r="AY888" t="s">
        <v>131</v>
      </c>
      <c r="AZ888" t="s">
        <v>131</v>
      </c>
      <c r="BA888" t="s">
        <v>131</v>
      </c>
      <c r="BB888" t="s">
        <v>131</v>
      </c>
      <c r="BC888" t="s">
        <v>131</v>
      </c>
      <c r="BD888" t="s">
        <v>131</v>
      </c>
      <c r="BE888" t="s">
        <v>132</v>
      </c>
      <c r="BH888" t="s">
        <v>7870</v>
      </c>
      <c r="BI888" t="s">
        <v>131</v>
      </c>
      <c r="BL888" t="s">
        <v>167</v>
      </c>
      <c r="BO888" t="s">
        <v>131</v>
      </c>
      <c r="BP888" t="s">
        <v>134</v>
      </c>
      <c r="BQ888" t="s">
        <v>131</v>
      </c>
      <c r="BS888" t="str">
        <f t="shared" si="60"/>
        <v>N/A</v>
      </c>
      <c r="BT888" t="s">
        <v>135</v>
      </c>
      <c r="BU888">
        <v>24</v>
      </c>
      <c r="BV888" t="str">
        <f>"Welder"</f>
        <v>Welder</v>
      </c>
      <c r="BW888" t="s">
        <v>135</v>
      </c>
      <c r="BX888" t="str">
        <f>""</f>
        <v/>
      </c>
      <c r="BY888" t="str">
        <f>""</f>
        <v/>
      </c>
      <c r="BZ888" t="str">
        <f>""</f>
        <v/>
      </c>
      <c r="CA888" t="s">
        <v>19667</v>
      </c>
      <c r="CB888" t="s">
        <v>131</v>
      </c>
      <c r="CF888" t="s">
        <v>131</v>
      </c>
      <c r="CH888" t="str">
        <f>""</f>
        <v/>
      </c>
      <c r="CI888" t="s">
        <v>131</v>
      </c>
      <c r="CK888" t="s">
        <v>131</v>
      </c>
      <c r="CL888" t="str">
        <f>""</f>
        <v/>
      </c>
      <c r="CM888" t="str">
        <f>""</f>
        <v/>
      </c>
      <c r="CN888" t="str">
        <f>""</f>
        <v/>
      </c>
      <c r="CO888" t="str">
        <f>""</f>
        <v/>
      </c>
      <c r="CP888" t="str">
        <f>"51-4121.00"</f>
        <v>51-4121.00</v>
      </c>
      <c r="CQ888" t="s">
        <v>6508</v>
      </c>
      <c r="CR888" t="s">
        <v>7871</v>
      </c>
      <c r="CS888" t="s">
        <v>131</v>
      </c>
      <c r="CU888" t="s">
        <v>10855</v>
      </c>
      <c r="CW888" t="s">
        <v>6507</v>
      </c>
      <c r="CX888" t="s">
        <v>400</v>
      </c>
      <c r="CZ888" s="3" t="str">
        <f>"78362"</f>
        <v>78362</v>
      </c>
      <c r="DA888" t="s">
        <v>135</v>
      </c>
      <c r="DB888" t="str">
        <f>"51-4121"</f>
        <v>51-4121</v>
      </c>
      <c r="DC888" t="s">
        <v>6508</v>
      </c>
      <c r="DD888" t="s">
        <v>18210</v>
      </c>
      <c r="DE888" t="s">
        <v>3003</v>
      </c>
      <c r="DF888" t="str">
        <f>""</f>
        <v/>
      </c>
      <c r="DH888" s="6">
        <v>24.95</v>
      </c>
      <c r="DI888" t="s">
        <v>344</v>
      </c>
      <c r="DK888" t="s">
        <v>345</v>
      </c>
      <c r="DS888" s="6">
        <v>24.95</v>
      </c>
      <c r="DT888" t="s">
        <v>424</v>
      </c>
      <c r="DU888" s="1">
        <v>44370</v>
      </c>
      <c r="DV888" s="1">
        <v>44459</v>
      </c>
    </row>
    <row r="889" spans="1:126" ht="15" customHeight="1" x14ac:dyDescent="0.35">
      <c r="A889" t="s">
        <v>18672</v>
      </c>
      <c r="B889" t="s">
        <v>318</v>
      </c>
      <c r="C889" s="1">
        <v>44343</v>
      </c>
      <c r="D889" s="1">
        <v>44370</v>
      </c>
      <c r="H889" t="s">
        <v>319</v>
      </c>
      <c r="I889" t="s">
        <v>18673</v>
      </c>
      <c r="J889" t="s">
        <v>2019</v>
      </c>
      <c r="L889" t="s">
        <v>392</v>
      </c>
      <c r="M889" t="s">
        <v>18674</v>
      </c>
      <c r="O889" t="s">
        <v>18675</v>
      </c>
      <c r="P889" t="s">
        <v>273</v>
      </c>
      <c r="Q889" s="3">
        <v>8535</v>
      </c>
      <c r="R889" t="s">
        <v>128</v>
      </c>
      <c r="T889" s="4">
        <v>17327926733</v>
      </c>
      <c r="V889" t="s">
        <v>1021</v>
      </c>
      <c r="W889" t="s">
        <v>18676</v>
      </c>
      <c r="Y889" t="s">
        <v>18674</v>
      </c>
      <c r="AA889" t="s">
        <v>18675</v>
      </c>
      <c r="AB889" t="s">
        <v>276</v>
      </c>
      <c r="AC889" s="3" t="str">
        <f>"08535"</f>
        <v>08535</v>
      </c>
      <c r="AD889" t="s">
        <v>128</v>
      </c>
      <c r="AF889" s="4">
        <v>17327926733</v>
      </c>
      <c r="AH889" t="str">
        <f>"56173"</f>
        <v>56173</v>
      </c>
      <c r="AI889" t="s">
        <v>287</v>
      </c>
      <c r="AJ889" t="s">
        <v>1024</v>
      </c>
      <c r="AK889" t="s">
        <v>1025</v>
      </c>
      <c r="AM889" t="s">
        <v>1026</v>
      </c>
      <c r="AO889" t="s">
        <v>1027</v>
      </c>
      <c r="AP889" t="s">
        <v>129</v>
      </c>
      <c r="AQ889" s="5">
        <v>11590</v>
      </c>
      <c r="AR889" t="s">
        <v>128</v>
      </c>
      <c r="AT889" s="4">
        <v>15163307168</v>
      </c>
      <c r="AV889" t="s">
        <v>1021</v>
      </c>
      <c r="AW889" t="s">
        <v>1028</v>
      </c>
      <c r="AX889" t="s">
        <v>131</v>
      </c>
      <c r="AY889" t="s">
        <v>131</v>
      </c>
      <c r="AZ889" t="s">
        <v>131</v>
      </c>
      <c r="BA889" t="s">
        <v>131</v>
      </c>
      <c r="BB889" t="s">
        <v>131</v>
      </c>
      <c r="BC889" t="s">
        <v>131</v>
      </c>
      <c r="BD889" t="s">
        <v>131</v>
      </c>
      <c r="BE889" t="s">
        <v>132</v>
      </c>
      <c r="BH889" t="s">
        <v>17649</v>
      </c>
      <c r="BI889" t="s">
        <v>131</v>
      </c>
      <c r="BL889" t="s">
        <v>167</v>
      </c>
      <c r="BO889" t="s">
        <v>131</v>
      </c>
      <c r="BP889" t="s">
        <v>134</v>
      </c>
      <c r="BQ889" t="s">
        <v>131</v>
      </c>
      <c r="BS889" t="str">
        <f t="shared" si="60"/>
        <v>N/A</v>
      </c>
      <c r="BT889" t="s">
        <v>131</v>
      </c>
      <c r="BV889" t="str">
        <f>""</f>
        <v/>
      </c>
      <c r="BW889" t="s">
        <v>131</v>
      </c>
      <c r="BX889" t="str">
        <f>""</f>
        <v/>
      </c>
      <c r="BY889" t="str">
        <f>""</f>
        <v/>
      </c>
      <c r="BZ889" t="str">
        <f>""</f>
        <v/>
      </c>
      <c r="CA889" t="str">
        <f>""</f>
        <v/>
      </c>
      <c r="CB889" t="s">
        <v>131</v>
      </c>
      <c r="CF889" t="s">
        <v>131</v>
      </c>
      <c r="CH889" t="str">
        <f>""</f>
        <v/>
      </c>
      <c r="CI889" t="s">
        <v>131</v>
      </c>
      <c r="CK889" t="s">
        <v>131</v>
      </c>
      <c r="CL889" t="str">
        <f>""</f>
        <v/>
      </c>
      <c r="CM889" t="str">
        <f>""</f>
        <v/>
      </c>
      <c r="CN889" t="str">
        <f>""</f>
        <v/>
      </c>
      <c r="CO889" t="str">
        <f>""</f>
        <v/>
      </c>
      <c r="CP889" t="str">
        <f>"37-3011.00"</f>
        <v>37-3011.00</v>
      </c>
      <c r="CQ889" t="s">
        <v>920</v>
      </c>
      <c r="CR889" t="s">
        <v>5068</v>
      </c>
      <c r="CS889" t="s">
        <v>135</v>
      </c>
      <c r="CT889" t="s">
        <v>18677</v>
      </c>
      <c r="CU889" t="s">
        <v>18674</v>
      </c>
      <c r="CW889" t="s">
        <v>18675</v>
      </c>
      <c r="CX889" t="s">
        <v>276</v>
      </c>
      <c r="CZ889" s="3" t="str">
        <f>"08535"</f>
        <v>08535</v>
      </c>
      <c r="DA889" t="s">
        <v>135</v>
      </c>
      <c r="DB889" t="str">
        <f>"37-3011"</f>
        <v>37-3011</v>
      </c>
      <c r="DC889" t="s">
        <v>920</v>
      </c>
      <c r="DD889" t="s">
        <v>134</v>
      </c>
      <c r="DE889" t="s">
        <v>134</v>
      </c>
      <c r="DF889" t="str">
        <f>""</f>
        <v/>
      </c>
      <c r="DH889" s="6">
        <v>17.75</v>
      </c>
      <c r="DI889" t="s">
        <v>344</v>
      </c>
      <c r="DK889" t="s">
        <v>345</v>
      </c>
      <c r="DR889" t="s">
        <v>346</v>
      </c>
      <c r="DS889" s="6">
        <v>17.75</v>
      </c>
      <c r="DT889" s="2" t="s">
        <v>347</v>
      </c>
      <c r="DU889" s="1">
        <v>44370</v>
      </c>
      <c r="DV889" s="1">
        <v>44459</v>
      </c>
    </row>
    <row r="890" spans="1:126" ht="15" customHeight="1" x14ac:dyDescent="0.35">
      <c r="A890" t="s">
        <v>19948</v>
      </c>
      <c r="B890" t="s">
        <v>318</v>
      </c>
      <c r="C890" s="1">
        <v>44343</v>
      </c>
      <c r="D890" s="1">
        <v>44370</v>
      </c>
      <c r="H890" t="s">
        <v>319</v>
      </c>
      <c r="I890" t="s">
        <v>783</v>
      </c>
      <c r="J890" t="s">
        <v>8303</v>
      </c>
      <c r="L890" t="s">
        <v>3922</v>
      </c>
      <c r="M890" t="s">
        <v>19949</v>
      </c>
      <c r="N890" t="s">
        <v>19950</v>
      </c>
      <c r="O890" t="s">
        <v>4143</v>
      </c>
      <c r="P890" t="s">
        <v>1217</v>
      </c>
      <c r="Q890" s="3">
        <v>36274</v>
      </c>
      <c r="R890" t="s">
        <v>128</v>
      </c>
      <c r="T890" s="4">
        <v>13348638524</v>
      </c>
      <c r="V890" t="s">
        <v>19951</v>
      </c>
      <c r="W890" t="s">
        <v>19952</v>
      </c>
      <c r="Y890" t="s">
        <v>19949</v>
      </c>
      <c r="Z890" t="s">
        <v>19950</v>
      </c>
      <c r="AA890" t="s">
        <v>4143</v>
      </c>
      <c r="AB890" t="s">
        <v>1218</v>
      </c>
      <c r="AC890" s="3" t="str">
        <f>"36274"</f>
        <v>36274</v>
      </c>
      <c r="AD890" t="s">
        <v>128</v>
      </c>
      <c r="AF890" s="4">
        <v>13348638524</v>
      </c>
      <c r="AH890" t="str">
        <f>"1153"</f>
        <v>1153</v>
      </c>
      <c r="AI890" t="s">
        <v>287</v>
      </c>
      <c r="AJ890" t="s">
        <v>4134</v>
      </c>
      <c r="AK890" t="s">
        <v>3493</v>
      </c>
      <c r="AM890" t="s">
        <v>4135</v>
      </c>
      <c r="AO890" t="s">
        <v>4136</v>
      </c>
      <c r="AP890" t="s">
        <v>643</v>
      </c>
      <c r="AQ890" s="5">
        <v>31636</v>
      </c>
      <c r="AR890" t="s">
        <v>128</v>
      </c>
      <c r="AT890" s="4">
        <v>12295596879</v>
      </c>
      <c r="AV890" t="s">
        <v>4137</v>
      </c>
      <c r="AW890" t="s">
        <v>4138</v>
      </c>
      <c r="AX890" t="s">
        <v>131</v>
      </c>
      <c r="AY890" t="s">
        <v>131</v>
      </c>
      <c r="AZ890" t="s">
        <v>131</v>
      </c>
      <c r="BA890" t="s">
        <v>131</v>
      </c>
      <c r="BB890" t="s">
        <v>131</v>
      </c>
      <c r="BC890" t="s">
        <v>131</v>
      </c>
      <c r="BD890" t="s">
        <v>131</v>
      </c>
      <c r="BE890" t="s">
        <v>132</v>
      </c>
      <c r="BH890" t="s">
        <v>4308</v>
      </c>
      <c r="BI890" t="s">
        <v>131</v>
      </c>
      <c r="BL890" t="s">
        <v>167</v>
      </c>
      <c r="BO890" t="s">
        <v>131</v>
      </c>
      <c r="BP890" t="s">
        <v>134</v>
      </c>
      <c r="BQ890" t="s">
        <v>131</v>
      </c>
      <c r="BS890" t="str">
        <f t="shared" si="60"/>
        <v>N/A</v>
      </c>
      <c r="BT890" t="s">
        <v>131</v>
      </c>
      <c r="BV890" t="str">
        <f>""</f>
        <v/>
      </c>
      <c r="BW890" t="s">
        <v>135</v>
      </c>
      <c r="BX890" t="str">
        <f>""</f>
        <v/>
      </c>
      <c r="BY890" t="str">
        <f>""</f>
        <v/>
      </c>
      <c r="BZ890" t="str">
        <f>""</f>
        <v/>
      </c>
      <c r="CA890" t="s">
        <v>19953</v>
      </c>
      <c r="CB890" t="s">
        <v>131</v>
      </c>
      <c r="CF890" t="s">
        <v>131</v>
      </c>
      <c r="CH890" t="str">
        <f>""</f>
        <v/>
      </c>
      <c r="CI890" t="s">
        <v>131</v>
      </c>
      <c r="CK890" t="s">
        <v>131</v>
      </c>
      <c r="CL890" t="str">
        <f>""</f>
        <v/>
      </c>
      <c r="CM890" t="str">
        <f>""</f>
        <v/>
      </c>
      <c r="CN890" t="str">
        <f>""</f>
        <v/>
      </c>
      <c r="CO890" t="str">
        <f>""</f>
        <v/>
      </c>
      <c r="CP890" t="str">
        <f>"45-4011.00"</f>
        <v>45-4011.00</v>
      </c>
      <c r="CQ890" t="s">
        <v>4310</v>
      </c>
      <c r="CS890" t="s">
        <v>135</v>
      </c>
      <c r="CT890" t="s">
        <v>2925</v>
      </c>
      <c r="CU890" t="s">
        <v>19949</v>
      </c>
      <c r="CW890" t="s">
        <v>4143</v>
      </c>
      <c r="CX890" t="s">
        <v>1218</v>
      </c>
      <c r="CZ890" s="3" t="str">
        <f>"36274"</f>
        <v>36274</v>
      </c>
      <c r="DA890" t="s">
        <v>135</v>
      </c>
      <c r="DB890" t="str">
        <f>"45-4011"</f>
        <v>45-4011</v>
      </c>
      <c r="DC890" t="s">
        <v>4310</v>
      </c>
      <c r="DD890" t="s">
        <v>134</v>
      </c>
      <c r="DE890" t="s">
        <v>134</v>
      </c>
      <c r="DF890" t="str">
        <f>""</f>
        <v/>
      </c>
      <c r="DH890" s="6">
        <v>17.170000000000002</v>
      </c>
      <c r="DI890" t="s">
        <v>344</v>
      </c>
      <c r="DK890" t="s">
        <v>345</v>
      </c>
      <c r="DS890" s="6">
        <v>20.100000000000001</v>
      </c>
      <c r="DT890" s="2" t="s">
        <v>347</v>
      </c>
      <c r="DU890" s="1">
        <v>44370</v>
      </c>
      <c r="DV890" s="1">
        <v>44459</v>
      </c>
    </row>
    <row r="891" spans="1:126" ht="15" customHeight="1" x14ac:dyDescent="0.35">
      <c r="A891" t="s">
        <v>11553</v>
      </c>
      <c r="B891" t="s">
        <v>318</v>
      </c>
      <c r="C891" s="1">
        <v>44343</v>
      </c>
      <c r="D891" s="1">
        <v>44370</v>
      </c>
      <c r="H891" t="s">
        <v>319</v>
      </c>
      <c r="I891" t="s">
        <v>11554</v>
      </c>
      <c r="J891" t="s">
        <v>11555</v>
      </c>
      <c r="L891" t="s">
        <v>460</v>
      </c>
      <c r="M891" t="s">
        <v>11556</v>
      </c>
      <c r="N891" t="s">
        <v>11557</v>
      </c>
      <c r="O891" t="s">
        <v>259</v>
      </c>
      <c r="P891" t="s">
        <v>396</v>
      </c>
      <c r="Q891" s="3">
        <v>71671</v>
      </c>
      <c r="R891" t="s">
        <v>128</v>
      </c>
      <c r="T891" s="4">
        <v>18708201312</v>
      </c>
      <c r="V891" t="s">
        <v>11558</v>
      </c>
      <c r="W891" t="s">
        <v>11559</v>
      </c>
      <c r="Y891" t="s">
        <v>11556</v>
      </c>
      <c r="Z891" t="s">
        <v>11557</v>
      </c>
      <c r="AA891" t="s">
        <v>259</v>
      </c>
      <c r="AB891" t="s">
        <v>397</v>
      </c>
      <c r="AC891" s="3" t="str">
        <f>"71671"</f>
        <v>71671</v>
      </c>
      <c r="AD891" t="s">
        <v>128</v>
      </c>
      <c r="AF891" s="4">
        <v>18708201312</v>
      </c>
      <c r="AH891" t="str">
        <f>"1153"</f>
        <v>1153</v>
      </c>
      <c r="AI891" t="s">
        <v>287</v>
      </c>
      <c r="AJ891" t="s">
        <v>4134</v>
      </c>
      <c r="AK891" t="s">
        <v>3493</v>
      </c>
      <c r="AM891" t="s">
        <v>4135</v>
      </c>
      <c r="AO891" t="s">
        <v>4136</v>
      </c>
      <c r="AP891" t="s">
        <v>643</v>
      </c>
      <c r="AQ891" s="5">
        <v>31636</v>
      </c>
      <c r="AR891" t="s">
        <v>128</v>
      </c>
      <c r="AT891" s="4">
        <v>12295596879</v>
      </c>
      <c r="AV891" t="s">
        <v>4137</v>
      </c>
      <c r="AW891" t="s">
        <v>4138</v>
      </c>
      <c r="AX891" t="s">
        <v>131</v>
      </c>
      <c r="AY891" t="s">
        <v>131</v>
      </c>
      <c r="AZ891" t="s">
        <v>131</v>
      </c>
      <c r="BA891" t="s">
        <v>131</v>
      </c>
      <c r="BB891" t="s">
        <v>131</v>
      </c>
      <c r="BC891" t="s">
        <v>131</v>
      </c>
      <c r="BD891" t="s">
        <v>131</v>
      </c>
      <c r="BE891" t="s">
        <v>132</v>
      </c>
      <c r="BH891" t="s">
        <v>7934</v>
      </c>
      <c r="BI891" t="s">
        <v>131</v>
      </c>
      <c r="BL891" t="s">
        <v>167</v>
      </c>
      <c r="BO891" t="s">
        <v>131</v>
      </c>
      <c r="BP891" t="s">
        <v>134</v>
      </c>
      <c r="BQ891" t="s">
        <v>131</v>
      </c>
      <c r="BS891" t="str">
        <f t="shared" si="60"/>
        <v>N/A</v>
      </c>
      <c r="BT891" t="s">
        <v>131</v>
      </c>
      <c r="BV891" t="str">
        <f>""</f>
        <v/>
      </c>
      <c r="BW891" t="s">
        <v>135</v>
      </c>
      <c r="BX891" t="str">
        <f>""</f>
        <v/>
      </c>
      <c r="BY891" t="str">
        <f>""</f>
        <v/>
      </c>
      <c r="BZ891" t="str">
        <f>""</f>
        <v/>
      </c>
      <c r="CA891" t="s">
        <v>11560</v>
      </c>
      <c r="CB891" t="s">
        <v>131</v>
      </c>
      <c r="CF891" t="s">
        <v>131</v>
      </c>
      <c r="CH891" t="str">
        <f>""</f>
        <v/>
      </c>
      <c r="CI891" t="s">
        <v>131</v>
      </c>
      <c r="CK891" t="s">
        <v>131</v>
      </c>
      <c r="CL891" t="str">
        <f>""</f>
        <v/>
      </c>
      <c r="CM891" t="str">
        <f>""</f>
        <v/>
      </c>
      <c r="CN891" t="str">
        <f>""</f>
        <v/>
      </c>
      <c r="CO891" t="str">
        <f>""</f>
        <v/>
      </c>
      <c r="CP891" t="str">
        <f>"45-4011.00"</f>
        <v>45-4011.00</v>
      </c>
      <c r="CQ891" t="s">
        <v>4310</v>
      </c>
      <c r="CS891" t="s">
        <v>135</v>
      </c>
      <c r="CT891" t="s">
        <v>2925</v>
      </c>
      <c r="CU891" t="s">
        <v>11556</v>
      </c>
      <c r="CW891" t="s">
        <v>259</v>
      </c>
      <c r="CX891" t="s">
        <v>397</v>
      </c>
      <c r="CZ891" s="3" t="str">
        <f>"71671"</f>
        <v>71671</v>
      </c>
      <c r="DA891" t="s">
        <v>135</v>
      </c>
      <c r="DB891" t="str">
        <f>"45-4011"</f>
        <v>45-4011</v>
      </c>
      <c r="DC891" t="s">
        <v>4310</v>
      </c>
      <c r="DD891" t="s">
        <v>134</v>
      </c>
      <c r="DE891" t="s">
        <v>134</v>
      </c>
      <c r="DF891" t="str">
        <f>""</f>
        <v/>
      </c>
      <c r="DH891" s="6">
        <v>15.65</v>
      </c>
      <c r="DI891" t="s">
        <v>344</v>
      </c>
      <c r="DK891" t="s">
        <v>345</v>
      </c>
      <c r="DS891" s="6">
        <v>20.100000000000001</v>
      </c>
      <c r="DT891" s="2" t="s">
        <v>347</v>
      </c>
      <c r="DU891" s="1">
        <v>44370</v>
      </c>
      <c r="DV891" s="1">
        <v>44459</v>
      </c>
    </row>
    <row r="892" spans="1:126" ht="15" customHeight="1" x14ac:dyDescent="0.35">
      <c r="A892" t="s">
        <v>18074</v>
      </c>
      <c r="B892" t="s">
        <v>318</v>
      </c>
      <c r="C892" s="1">
        <v>44343</v>
      </c>
      <c r="D892" s="1">
        <v>44375</v>
      </c>
      <c r="H892" t="s">
        <v>319</v>
      </c>
      <c r="I892" t="s">
        <v>6566</v>
      </c>
      <c r="J892" t="s">
        <v>246</v>
      </c>
      <c r="L892" t="s">
        <v>7733</v>
      </c>
      <c r="M892" t="s">
        <v>18075</v>
      </c>
      <c r="O892" t="s">
        <v>8660</v>
      </c>
      <c r="P892" t="s">
        <v>1217</v>
      </c>
      <c r="Q892" s="3">
        <v>36111</v>
      </c>
      <c r="R892" t="s">
        <v>128</v>
      </c>
      <c r="T892" s="4">
        <v>13348327276</v>
      </c>
      <c r="V892" t="s">
        <v>134</v>
      </c>
      <c r="W892" t="s">
        <v>18076</v>
      </c>
      <c r="Y892" t="s">
        <v>18075</v>
      </c>
      <c r="AA892" t="s">
        <v>8660</v>
      </c>
      <c r="AB892" t="s">
        <v>1218</v>
      </c>
      <c r="AC892" s="3" t="str">
        <f>"36111"</f>
        <v>36111</v>
      </c>
      <c r="AD892" t="s">
        <v>128</v>
      </c>
      <c r="AF892" s="4">
        <v>13348327276</v>
      </c>
      <c r="AH892" t="str">
        <f>"32199"</f>
        <v>32199</v>
      </c>
      <c r="AI892" t="s">
        <v>287</v>
      </c>
      <c r="AJ892" t="s">
        <v>414</v>
      </c>
      <c r="AK892" t="s">
        <v>301</v>
      </c>
      <c r="AL892" t="s">
        <v>415</v>
      </c>
      <c r="AM892" t="s">
        <v>7360</v>
      </c>
      <c r="AN892" t="s">
        <v>7361</v>
      </c>
      <c r="AO892" t="s">
        <v>1513</v>
      </c>
      <c r="AP892" t="s">
        <v>400</v>
      </c>
      <c r="AQ892" s="5">
        <v>75231</v>
      </c>
      <c r="AR892" t="s">
        <v>128</v>
      </c>
      <c r="AT892" s="4">
        <v>12145265665</v>
      </c>
      <c r="AV892" t="s">
        <v>7362</v>
      </c>
      <c r="AW892" t="s">
        <v>7363</v>
      </c>
      <c r="AX892" t="s">
        <v>131</v>
      </c>
      <c r="AY892" t="s">
        <v>131</v>
      </c>
      <c r="AZ892" t="s">
        <v>131</v>
      </c>
      <c r="BA892" t="s">
        <v>131</v>
      </c>
      <c r="BB892" t="s">
        <v>131</v>
      </c>
      <c r="BC892" t="s">
        <v>131</v>
      </c>
      <c r="BD892" t="s">
        <v>131</v>
      </c>
      <c r="BE892" t="s">
        <v>132</v>
      </c>
      <c r="BH892" t="s">
        <v>5619</v>
      </c>
      <c r="BI892" t="s">
        <v>131</v>
      </c>
      <c r="BL892" t="s">
        <v>167</v>
      </c>
      <c r="BO892" t="s">
        <v>131</v>
      </c>
      <c r="BP892" t="s">
        <v>134</v>
      </c>
      <c r="BQ892" t="s">
        <v>131</v>
      </c>
      <c r="BS892" t="str">
        <f t="shared" si="60"/>
        <v>N/A</v>
      </c>
      <c r="BT892" t="s">
        <v>131</v>
      </c>
      <c r="BV892" t="str">
        <f>""</f>
        <v/>
      </c>
      <c r="BW892" t="s">
        <v>135</v>
      </c>
      <c r="BX892" t="str">
        <f>""</f>
        <v/>
      </c>
      <c r="BY892" t="str">
        <f>""</f>
        <v/>
      </c>
      <c r="BZ892" t="str">
        <f>""</f>
        <v/>
      </c>
      <c r="CA892" t="str">
        <f>"Must be able to lift 50 lbs."</f>
        <v>Must be able to lift 50 lbs.</v>
      </c>
      <c r="CB892" t="s">
        <v>131</v>
      </c>
      <c r="CF892" t="s">
        <v>131</v>
      </c>
      <c r="CH892" t="str">
        <f>""</f>
        <v/>
      </c>
      <c r="CI892" t="s">
        <v>131</v>
      </c>
      <c r="CK892" t="s">
        <v>131</v>
      </c>
      <c r="CL892" t="str">
        <f>""</f>
        <v/>
      </c>
      <c r="CM892" t="str">
        <f>""</f>
        <v/>
      </c>
      <c r="CN892" t="str">
        <f>""</f>
        <v/>
      </c>
      <c r="CO892" t="str">
        <f>""</f>
        <v/>
      </c>
      <c r="CP892" t="str">
        <f>"51-9198.00"</f>
        <v>51-9198.00</v>
      </c>
      <c r="CQ892" t="s">
        <v>2685</v>
      </c>
      <c r="CR892" t="s">
        <v>734</v>
      </c>
      <c r="CS892" t="s">
        <v>131</v>
      </c>
      <c r="CU892" t="s">
        <v>18077</v>
      </c>
      <c r="CW892" t="s">
        <v>7013</v>
      </c>
      <c r="CX892" t="s">
        <v>1218</v>
      </c>
      <c r="CZ892" s="3" t="str">
        <f>"36048"</f>
        <v>36048</v>
      </c>
      <c r="DA892" t="s">
        <v>131</v>
      </c>
      <c r="DB892" t="str">
        <f>"51-9198"</f>
        <v>51-9198</v>
      </c>
      <c r="DC892" t="s">
        <v>2685</v>
      </c>
      <c r="DD892" t="s">
        <v>134</v>
      </c>
      <c r="DE892" t="s">
        <v>134</v>
      </c>
      <c r="DF892" t="str">
        <f>""</f>
        <v/>
      </c>
      <c r="DH892" s="6">
        <v>10.39</v>
      </c>
      <c r="DI892" t="s">
        <v>344</v>
      </c>
      <c r="DK892" t="s">
        <v>345</v>
      </c>
      <c r="DS892" s="6">
        <v>10.39</v>
      </c>
      <c r="DT892" t="s">
        <v>424</v>
      </c>
      <c r="DU892" s="1">
        <v>44375</v>
      </c>
      <c r="DV892" s="1">
        <v>44464</v>
      </c>
    </row>
    <row r="893" spans="1:126" ht="15" customHeight="1" x14ac:dyDescent="0.35">
      <c r="A893" t="s">
        <v>5738</v>
      </c>
      <c r="B893" t="s">
        <v>318</v>
      </c>
      <c r="C893" s="1">
        <v>44343</v>
      </c>
      <c r="D893" s="1">
        <v>44370</v>
      </c>
      <c r="H893" t="s">
        <v>319</v>
      </c>
      <c r="I893" t="s">
        <v>1493</v>
      </c>
      <c r="J893" t="s">
        <v>5739</v>
      </c>
      <c r="L893" t="s">
        <v>1281</v>
      </c>
      <c r="M893" t="s">
        <v>5740</v>
      </c>
      <c r="O893" t="s">
        <v>1012</v>
      </c>
      <c r="P893" t="s">
        <v>1004</v>
      </c>
      <c r="Q893" s="3">
        <v>84107</v>
      </c>
      <c r="R893" t="s">
        <v>128</v>
      </c>
      <c r="T893" s="4">
        <v>18012624300</v>
      </c>
      <c r="V893" t="s">
        <v>5741</v>
      </c>
      <c r="W893" t="s">
        <v>5742</v>
      </c>
      <c r="Y893" t="s">
        <v>5740</v>
      </c>
      <c r="AA893" t="s">
        <v>1012</v>
      </c>
      <c r="AB893" t="s">
        <v>1008</v>
      </c>
      <c r="AC893" s="3" t="str">
        <f>"84107"</f>
        <v>84107</v>
      </c>
      <c r="AD893" t="s">
        <v>128</v>
      </c>
      <c r="AF893" s="4">
        <v>18022624300</v>
      </c>
      <c r="AH893" t="str">
        <f>"2123"</f>
        <v>2123</v>
      </c>
      <c r="AI893" t="s">
        <v>287</v>
      </c>
      <c r="AJ893" t="s">
        <v>4284</v>
      </c>
      <c r="AK893" t="s">
        <v>2892</v>
      </c>
      <c r="AM893" t="s">
        <v>4285</v>
      </c>
      <c r="AO893" t="s">
        <v>4286</v>
      </c>
      <c r="AP893" t="s">
        <v>172</v>
      </c>
      <c r="AQ893" s="5">
        <v>93422</v>
      </c>
      <c r="AR893" t="s">
        <v>128</v>
      </c>
      <c r="AT893" s="4">
        <v>18593382754</v>
      </c>
      <c r="AV893" t="s">
        <v>4287</v>
      </c>
      <c r="AW893" t="s">
        <v>4288</v>
      </c>
      <c r="AX893" t="s">
        <v>131</v>
      </c>
      <c r="AY893" t="s">
        <v>131</v>
      </c>
      <c r="AZ893" t="s">
        <v>131</v>
      </c>
      <c r="BA893" t="s">
        <v>131</v>
      </c>
      <c r="BB893" t="s">
        <v>131</v>
      </c>
      <c r="BC893" t="s">
        <v>131</v>
      </c>
      <c r="BD893" t="s">
        <v>131</v>
      </c>
      <c r="BE893" t="s">
        <v>132</v>
      </c>
      <c r="BH893" t="s">
        <v>5743</v>
      </c>
      <c r="BI893" t="s">
        <v>131</v>
      </c>
      <c r="BL893" t="s">
        <v>167</v>
      </c>
      <c r="BO893" t="s">
        <v>131</v>
      </c>
      <c r="BP893" t="s">
        <v>134</v>
      </c>
      <c r="BQ893" t="s">
        <v>131</v>
      </c>
      <c r="BS893" t="str">
        <f t="shared" si="60"/>
        <v>N/A</v>
      </c>
      <c r="BT893" t="s">
        <v>131</v>
      </c>
      <c r="BV893" t="str">
        <f>""</f>
        <v/>
      </c>
      <c r="BW893" t="s">
        <v>135</v>
      </c>
      <c r="BX893" t="str">
        <f>""</f>
        <v/>
      </c>
      <c r="BY893" t="str">
        <f>""</f>
        <v/>
      </c>
      <c r="BZ893" t="str">
        <f>""</f>
        <v/>
      </c>
      <c r="CA893" t="str">
        <f>" Lift and sustain 100 lbs. Post hire employer drug test may be administered."</f>
        <v xml:space="preserve"> Lift and sustain 100 lbs. Post hire employer drug test may be administered.</v>
      </c>
      <c r="CB893" t="s">
        <v>131</v>
      </c>
      <c r="CF893" t="s">
        <v>131</v>
      </c>
      <c r="CH893" t="str">
        <f>""</f>
        <v/>
      </c>
      <c r="CI893" t="s">
        <v>131</v>
      </c>
      <c r="CK893" t="s">
        <v>131</v>
      </c>
      <c r="CL893" t="str">
        <f>""</f>
        <v/>
      </c>
      <c r="CM893" t="str">
        <f>""</f>
        <v/>
      </c>
      <c r="CN893" t="str">
        <f>""</f>
        <v/>
      </c>
      <c r="CO893" t="str">
        <f>""</f>
        <v/>
      </c>
      <c r="CP893" t="str">
        <f>"53-7051.00"</f>
        <v>53-7051.00</v>
      </c>
      <c r="CQ893" t="s">
        <v>5744</v>
      </c>
      <c r="CS893" t="s">
        <v>131</v>
      </c>
      <c r="CU893" t="s">
        <v>5745</v>
      </c>
      <c r="CW893" t="s">
        <v>5746</v>
      </c>
      <c r="CX893" t="s">
        <v>1243</v>
      </c>
      <c r="CZ893" s="3" t="str">
        <f>"83346"</f>
        <v>83346</v>
      </c>
      <c r="DA893" t="s">
        <v>135</v>
      </c>
      <c r="DB893" t="str">
        <f>"53-7051"</f>
        <v>53-7051</v>
      </c>
      <c r="DC893" t="s">
        <v>5744</v>
      </c>
      <c r="DD893" t="s">
        <v>134</v>
      </c>
      <c r="DE893" t="s">
        <v>134</v>
      </c>
      <c r="DF893" t="str">
        <f>""</f>
        <v/>
      </c>
      <c r="DH893" s="6">
        <v>17.84</v>
      </c>
      <c r="DI893" t="s">
        <v>344</v>
      </c>
      <c r="DK893" t="s">
        <v>345</v>
      </c>
      <c r="DS893" s="6">
        <v>17.84</v>
      </c>
      <c r="DT893" t="s">
        <v>424</v>
      </c>
      <c r="DU893" s="1">
        <v>44370</v>
      </c>
      <c r="DV893" s="1">
        <v>44459</v>
      </c>
    </row>
    <row r="894" spans="1:126" ht="15" customHeight="1" x14ac:dyDescent="0.35">
      <c r="A894" t="s">
        <v>12810</v>
      </c>
      <c r="B894" t="s">
        <v>318</v>
      </c>
      <c r="C894" s="1">
        <v>44343</v>
      </c>
      <c r="D894" s="1">
        <v>44370</v>
      </c>
      <c r="H894" t="s">
        <v>319</v>
      </c>
      <c r="I894" t="s">
        <v>12811</v>
      </c>
      <c r="J894" t="s">
        <v>4364</v>
      </c>
      <c r="L894" t="s">
        <v>1031</v>
      </c>
      <c r="M894" t="s">
        <v>12812</v>
      </c>
      <c r="O894" t="s">
        <v>8659</v>
      </c>
      <c r="P894" t="s">
        <v>194</v>
      </c>
      <c r="Q894" s="3">
        <v>34223</v>
      </c>
      <c r="R894" t="s">
        <v>128</v>
      </c>
      <c r="T894" s="4">
        <v>19414746564</v>
      </c>
      <c r="V894" t="s">
        <v>1021</v>
      </c>
      <c r="W894" t="s">
        <v>12813</v>
      </c>
      <c r="Y894" t="s">
        <v>12814</v>
      </c>
      <c r="AA894" t="s">
        <v>8659</v>
      </c>
      <c r="AB894" t="s">
        <v>195</v>
      </c>
      <c r="AC894" s="3" t="str">
        <f>"34223"</f>
        <v>34223</v>
      </c>
      <c r="AD894" t="s">
        <v>128</v>
      </c>
      <c r="AF894" s="4">
        <v>19414746564</v>
      </c>
      <c r="AH894" t="str">
        <f>"7225"</f>
        <v>7225</v>
      </c>
      <c r="AI894" t="s">
        <v>287</v>
      </c>
      <c r="AJ894" t="s">
        <v>1024</v>
      </c>
      <c r="AK894" t="s">
        <v>1025</v>
      </c>
      <c r="AM894" t="s">
        <v>1026</v>
      </c>
      <c r="AO894" t="s">
        <v>1027</v>
      </c>
      <c r="AP894" t="s">
        <v>129</v>
      </c>
      <c r="AQ894" s="5">
        <v>11590</v>
      </c>
      <c r="AR894" t="s">
        <v>128</v>
      </c>
      <c r="AT894" s="4">
        <v>15163307168</v>
      </c>
      <c r="AV894" t="s">
        <v>1021</v>
      </c>
      <c r="AW894" t="s">
        <v>1028</v>
      </c>
      <c r="AX894" t="s">
        <v>131</v>
      </c>
      <c r="AY894" t="s">
        <v>131</v>
      </c>
      <c r="AZ894" t="s">
        <v>131</v>
      </c>
      <c r="BA894" t="s">
        <v>131</v>
      </c>
      <c r="BB894" t="s">
        <v>131</v>
      </c>
      <c r="BC894" t="s">
        <v>131</v>
      </c>
      <c r="BD894" t="s">
        <v>131</v>
      </c>
      <c r="BE894" t="s">
        <v>132</v>
      </c>
      <c r="BH894" t="s">
        <v>6218</v>
      </c>
      <c r="BI894" t="s">
        <v>131</v>
      </c>
      <c r="BL894" t="s">
        <v>167</v>
      </c>
      <c r="BO894" t="s">
        <v>131</v>
      </c>
      <c r="BP894" t="s">
        <v>134</v>
      </c>
      <c r="BQ894" t="s">
        <v>131</v>
      </c>
      <c r="BS894" t="str">
        <f t="shared" si="60"/>
        <v>N/A</v>
      </c>
      <c r="BT894" t="s">
        <v>131</v>
      </c>
      <c r="BV894" t="str">
        <f>""</f>
        <v/>
      </c>
      <c r="BW894" t="s">
        <v>131</v>
      </c>
      <c r="BX894" t="str">
        <f>""</f>
        <v/>
      </c>
      <c r="BY894" t="str">
        <f>""</f>
        <v/>
      </c>
      <c r="BZ894" t="str">
        <f>""</f>
        <v/>
      </c>
      <c r="CA894" t="str">
        <f>""</f>
        <v/>
      </c>
      <c r="CB894" t="s">
        <v>131</v>
      </c>
      <c r="CF894" t="s">
        <v>131</v>
      </c>
      <c r="CH894" t="str">
        <f>""</f>
        <v/>
      </c>
      <c r="CI894" t="s">
        <v>131</v>
      </c>
      <c r="CK894" t="s">
        <v>131</v>
      </c>
      <c r="CL894" t="str">
        <f>""</f>
        <v/>
      </c>
      <c r="CM894" t="str">
        <f>""</f>
        <v/>
      </c>
      <c r="CN894" t="str">
        <f>""</f>
        <v/>
      </c>
      <c r="CO894" t="str">
        <f>""</f>
        <v/>
      </c>
      <c r="CP894" t="str">
        <f>"35-2014.00"</f>
        <v>35-2014.00</v>
      </c>
      <c r="CQ894" t="s">
        <v>581</v>
      </c>
      <c r="CR894" t="s">
        <v>1031</v>
      </c>
      <c r="CS894" t="s">
        <v>131</v>
      </c>
      <c r="CU894" t="s">
        <v>12814</v>
      </c>
      <c r="CW894" t="s">
        <v>8659</v>
      </c>
      <c r="CX894" t="s">
        <v>195</v>
      </c>
      <c r="CZ894" s="3" t="str">
        <f>"34223"</f>
        <v>34223</v>
      </c>
      <c r="DA894" t="s">
        <v>131</v>
      </c>
      <c r="DB894" t="str">
        <f>"35-2014"</f>
        <v>35-2014</v>
      </c>
      <c r="DC894" t="s">
        <v>581</v>
      </c>
      <c r="DD894" t="s">
        <v>134</v>
      </c>
      <c r="DE894" t="s">
        <v>134</v>
      </c>
      <c r="DF894" t="str">
        <f>""</f>
        <v/>
      </c>
      <c r="DH894" s="6">
        <v>13.55</v>
      </c>
      <c r="DI894" t="s">
        <v>344</v>
      </c>
      <c r="DK894" t="s">
        <v>345</v>
      </c>
      <c r="DR894" t="s">
        <v>12815</v>
      </c>
      <c r="DS894" s="6">
        <v>13.55</v>
      </c>
      <c r="DT894" t="s">
        <v>424</v>
      </c>
      <c r="DU894" s="1">
        <v>44370</v>
      </c>
      <c r="DV894" s="1">
        <v>44459</v>
      </c>
    </row>
    <row r="895" spans="1:126" ht="15" customHeight="1" x14ac:dyDescent="0.35">
      <c r="A895" t="s">
        <v>11797</v>
      </c>
      <c r="B895" t="s">
        <v>318</v>
      </c>
      <c r="C895" s="1">
        <v>44343</v>
      </c>
      <c r="D895" s="1">
        <v>44370</v>
      </c>
      <c r="H895" t="s">
        <v>319</v>
      </c>
      <c r="I895" t="s">
        <v>11798</v>
      </c>
      <c r="J895" t="s">
        <v>11799</v>
      </c>
      <c r="K895" t="s">
        <v>134</v>
      </c>
      <c r="L895" t="s">
        <v>1105</v>
      </c>
      <c r="M895" t="s">
        <v>11800</v>
      </c>
      <c r="O895" t="s">
        <v>11801</v>
      </c>
      <c r="P895" t="s">
        <v>818</v>
      </c>
      <c r="Q895" s="3">
        <v>30428</v>
      </c>
      <c r="R895" t="s">
        <v>128</v>
      </c>
      <c r="T895" s="4">
        <v>19125395304</v>
      </c>
      <c r="V895" t="s">
        <v>11802</v>
      </c>
      <c r="W895" t="s">
        <v>11803</v>
      </c>
      <c r="Y895" t="s">
        <v>11800</v>
      </c>
      <c r="AA895" t="s">
        <v>11801</v>
      </c>
      <c r="AB895" t="s">
        <v>643</v>
      </c>
      <c r="AC895" s="3" t="str">
        <f>"30428"</f>
        <v>30428</v>
      </c>
      <c r="AD895" t="s">
        <v>128</v>
      </c>
      <c r="AF895" s="4">
        <v>19125395304</v>
      </c>
      <c r="AH895" t="str">
        <f>"56173"</f>
        <v>56173</v>
      </c>
      <c r="AI895" t="s">
        <v>287</v>
      </c>
      <c r="AJ895" t="s">
        <v>776</v>
      </c>
      <c r="AK895" t="s">
        <v>2901</v>
      </c>
      <c r="AL895" t="s">
        <v>645</v>
      </c>
      <c r="AM895" t="s">
        <v>7932</v>
      </c>
      <c r="AN895" t="s">
        <v>2377</v>
      </c>
      <c r="AO895" t="s">
        <v>4815</v>
      </c>
      <c r="AP895" t="s">
        <v>1243</v>
      </c>
      <c r="AQ895" s="5">
        <v>83814</v>
      </c>
      <c r="AR895" t="s">
        <v>128</v>
      </c>
      <c r="AT895" s="4">
        <v>12087772654</v>
      </c>
      <c r="AV895" t="s">
        <v>8906</v>
      </c>
      <c r="AW895" t="s">
        <v>4715</v>
      </c>
      <c r="AX895" t="s">
        <v>131</v>
      </c>
      <c r="AY895" t="s">
        <v>131</v>
      </c>
      <c r="AZ895" t="s">
        <v>131</v>
      </c>
      <c r="BA895" t="s">
        <v>131</v>
      </c>
      <c r="BB895" t="s">
        <v>131</v>
      </c>
      <c r="BC895" t="s">
        <v>131</v>
      </c>
      <c r="BD895" t="s">
        <v>131</v>
      </c>
      <c r="BE895" t="s">
        <v>132</v>
      </c>
      <c r="BH895" t="s">
        <v>11804</v>
      </c>
      <c r="BI895" t="s">
        <v>131</v>
      </c>
      <c r="BL895" t="s">
        <v>167</v>
      </c>
      <c r="BO895" t="s">
        <v>131</v>
      </c>
      <c r="BP895" t="s">
        <v>134</v>
      </c>
      <c r="BQ895" t="s">
        <v>131</v>
      </c>
      <c r="BS895" t="str">
        <f t="shared" si="60"/>
        <v>N/A</v>
      </c>
      <c r="BT895" t="s">
        <v>131</v>
      </c>
      <c r="BV895" t="str">
        <f>""</f>
        <v/>
      </c>
      <c r="BW895" t="s">
        <v>135</v>
      </c>
      <c r="BX895" t="str">
        <f>""</f>
        <v/>
      </c>
      <c r="BY895" t="str">
        <f>""</f>
        <v/>
      </c>
      <c r="BZ895" t="str">
        <f>""</f>
        <v/>
      </c>
      <c r="CA895" t="s">
        <v>11805</v>
      </c>
      <c r="CB895" t="s">
        <v>131</v>
      </c>
      <c r="CF895" t="s">
        <v>131</v>
      </c>
      <c r="CH895" t="str">
        <f>""</f>
        <v/>
      </c>
      <c r="CI895" t="s">
        <v>131</v>
      </c>
      <c r="CK895" t="s">
        <v>131</v>
      </c>
      <c r="CL895" t="str">
        <f>""</f>
        <v/>
      </c>
      <c r="CM895" t="str">
        <f>""</f>
        <v/>
      </c>
      <c r="CN895" t="str">
        <f>""</f>
        <v/>
      </c>
      <c r="CO895" t="str">
        <f>""</f>
        <v/>
      </c>
      <c r="CP895" t="str">
        <f>"37-3011.00"</f>
        <v>37-3011.00</v>
      </c>
      <c r="CQ895" t="s">
        <v>920</v>
      </c>
      <c r="CR895" t="s">
        <v>11804</v>
      </c>
      <c r="CS895" t="s">
        <v>135</v>
      </c>
      <c r="CT895" t="s">
        <v>11806</v>
      </c>
      <c r="CU895" t="s">
        <v>11807</v>
      </c>
      <c r="CW895" t="s">
        <v>11801</v>
      </c>
      <c r="CX895" t="s">
        <v>643</v>
      </c>
      <c r="CZ895" s="3" t="str">
        <f>"30428"</f>
        <v>30428</v>
      </c>
      <c r="DA895" t="s">
        <v>135</v>
      </c>
      <c r="DB895" t="str">
        <f>"37-3011"</f>
        <v>37-3011</v>
      </c>
      <c r="DC895" t="s">
        <v>920</v>
      </c>
      <c r="DD895" t="s">
        <v>134</v>
      </c>
      <c r="DE895" t="s">
        <v>134</v>
      </c>
      <c r="DF895" t="str">
        <f>""</f>
        <v/>
      </c>
      <c r="DH895" s="6">
        <v>11.67</v>
      </c>
      <c r="DI895" t="s">
        <v>344</v>
      </c>
      <c r="DK895" t="s">
        <v>345</v>
      </c>
      <c r="DR895" t="s">
        <v>11808</v>
      </c>
      <c r="DS895" s="6">
        <v>16.059999999999999</v>
      </c>
      <c r="DT895" s="2" t="s">
        <v>347</v>
      </c>
      <c r="DU895" s="1">
        <v>44370</v>
      </c>
      <c r="DV895" s="1">
        <v>44459</v>
      </c>
    </row>
    <row r="896" spans="1:126" ht="15" customHeight="1" x14ac:dyDescent="0.35">
      <c r="A896" t="s">
        <v>17145</v>
      </c>
      <c r="B896" t="s">
        <v>318</v>
      </c>
      <c r="C896" s="1">
        <v>44343</v>
      </c>
      <c r="D896" s="1">
        <v>44370</v>
      </c>
      <c r="H896" t="s">
        <v>319</v>
      </c>
      <c r="I896" t="s">
        <v>15700</v>
      </c>
      <c r="J896" t="s">
        <v>15701</v>
      </c>
      <c r="L896" t="s">
        <v>1031</v>
      </c>
      <c r="M896" t="s">
        <v>15702</v>
      </c>
      <c r="O896" t="s">
        <v>15703</v>
      </c>
      <c r="P896" t="s">
        <v>194</v>
      </c>
      <c r="Q896" s="3">
        <v>33922</v>
      </c>
      <c r="R896" t="s">
        <v>128</v>
      </c>
      <c r="T896" s="4">
        <v>12392833999</v>
      </c>
      <c r="V896" t="s">
        <v>1021</v>
      </c>
      <c r="W896" t="s">
        <v>17146</v>
      </c>
      <c r="Y896" t="s">
        <v>15702</v>
      </c>
      <c r="AA896" t="s">
        <v>15703</v>
      </c>
      <c r="AB896" t="s">
        <v>195</v>
      </c>
      <c r="AC896" s="3" t="str">
        <f>"33922"</f>
        <v>33922</v>
      </c>
      <c r="AD896" t="s">
        <v>128</v>
      </c>
      <c r="AF896" s="4">
        <v>12392833999</v>
      </c>
      <c r="AH896" t="str">
        <f>"721110"</f>
        <v>721110</v>
      </c>
      <c r="AI896" t="s">
        <v>287</v>
      </c>
      <c r="AJ896" t="s">
        <v>1024</v>
      </c>
      <c r="AK896" t="s">
        <v>1025</v>
      </c>
      <c r="AM896" t="s">
        <v>1026</v>
      </c>
      <c r="AO896" t="s">
        <v>1027</v>
      </c>
      <c r="AP896" t="s">
        <v>129</v>
      </c>
      <c r="AQ896" s="5">
        <v>11590</v>
      </c>
      <c r="AR896" t="s">
        <v>128</v>
      </c>
      <c r="AT896" s="4">
        <v>15163307168</v>
      </c>
      <c r="AV896" t="s">
        <v>1021</v>
      </c>
      <c r="AW896" t="s">
        <v>1028</v>
      </c>
      <c r="AX896" t="s">
        <v>131</v>
      </c>
      <c r="AY896" t="s">
        <v>131</v>
      </c>
      <c r="AZ896" t="s">
        <v>131</v>
      </c>
      <c r="BA896" t="s">
        <v>131</v>
      </c>
      <c r="BB896" t="s">
        <v>131</v>
      </c>
      <c r="BC896" t="s">
        <v>131</v>
      </c>
      <c r="BD896" t="s">
        <v>131</v>
      </c>
      <c r="BE896" t="s">
        <v>132</v>
      </c>
      <c r="BH896" t="s">
        <v>10277</v>
      </c>
      <c r="BI896" t="s">
        <v>131</v>
      </c>
      <c r="BL896" t="s">
        <v>167</v>
      </c>
      <c r="BO896" t="s">
        <v>131</v>
      </c>
      <c r="BP896" t="s">
        <v>134</v>
      </c>
      <c r="BQ896" t="s">
        <v>131</v>
      </c>
      <c r="BS896" t="str">
        <f t="shared" si="60"/>
        <v>N/A</v>
      </c>
      <c r="BT896" t="s">
        <v>131</v>
      </c>
      <c r="BV896" t="str">
        <f>""</f>
        <v/>
      </c>
      <c r="BW896" t="s">
        <v>131</v>
      </c>
      <c r="BX896" t="str">
        <f>""</f>
        <v/>
      </c>
      <c r="BY896" t="str">
        <f>""</f>
        <v/>
      </c>
      <c r="BZ896" t="str">
        <f>""</f>
        <v/>
      </c>
      <c r="CA896" t="str">
        <f>""</f>
        <v/>
      </c>
      <c r="CB896" t="s">
        <v>131</v>
      </c>
      <c r="CF896" t="s">
        <v>131</v>
      </c>
      <c r="CH896" t="str">
        <f>""</f>
        <v/>
      </c>
      <c r="CI896" t="s">
        <v>131</v>
      </c>
      <c r="CK896" t="s">
        <v>131</v>
      </c>
      <c r="CL896" t="str">
        <f>""</f>
        <v/>
      </c>
      <c r="CM896" t="str">
        <f>""</f>
        <v/>
      </c>
      <c r="CN896" t="str">
        <f>""</f>
        <v/>
      </c>
      <c r="CO896" t="str">
        <f>""</f>
        <v/>
      </c>
      <c r="CP896" t="str">
        <f>"37-2012.00"</f>
        <v>37-2012.00</v>
      </c>
      <c r="CQ896" t="s">
        <v>479</v>
      </c>
      <c r="CR896" t="s">
        <v>392</v>
      </c>
      <c r="CS896" t="s">
        <v>131</v>
      </c>
      <c r="CU896" t="s">
        <v>15705</v>
      </c>
      <c r="CW896" t="s">
        <v>15703</v>
      </c>
      <c r="CX896" t="s">
        <v>195</v>
      </c>
      <c r="CZ896" s="3" t="str">
        <f>"33922"</f>
        <v>33922</v>
      </c>
      <c r="DA896" t="s">
        <v>131</v>
      </c>
      <c r="DB896" t="str">
        <f>"37-2012"</f>
        <v>37-2012</v>
      </c>
      <c r="DC896" t="s">
        <v>479</v>
      </c>
      <c r="DD896" t="s">
        <v>134</v>
      </c>
      <c r="DE896" t="s">
        <v>134</v>
      </c>
      <c r="DF896" t="str">
        <f>""</f>
        <v/>
      </c>
      <c r="DH896" s="6">
        <v>11.83</v>
      </c>
      <c r="DI896" t="s">
        <v>344</v>
      </c>
      <c r="DK896" t="s">
        <v>345</v>
      </c>
      <c r="DR896" t="s">
        <v>4038</v>
      </c>
      <c r="DS896" s="6">
        <v>11.83</v>
      </c>
      <c r="DT896" t="s">
        <v>424</v>
      </c>
      <c r="DU896" s="1">
        <v>44370</v>
      </c>
      <c r="DV896" s="1">
        <v>44459</v>
      </c>
    </row>
    <row r="897" spans="1:126" ht="15" customHeight="1" x14ac:dyDescent="0.35">
      <c r="A897" t="s">
        <v>9418</v>
      </c>
      <c r="B897" t="s">
        <v>318</v>
      </c>
      <c r="C897" s="1">
        <v>44343</v>
      </c>
      <c r="D897" s="1">
        <v>44375</v>
      </c>
      <c r="H897" t="s">
        <v>319</v>
      </c>
      <c r="I897" t="s">
        <v>9419</v>
      </c>
      <c r="J897" t="s">
        <v>9420</v>
      </c>
      <c r="L897" t="s">
        <v>1031</v>
      </c>
      <c r="M897" t="s">
        <v>9421</v>
      </c>
      <c r="O897" t="s">
        <v>9422</v>
      </c>
      <c r="P897" t="s">
        <v>256</v>
      </c>
      <c r="Q897" s="3">
        <v>65721</v>
      </c>
      <c r="R897" t="s">
        <v>128</v>
      </c>
      <c r="T897" s="4">
        <v>14178612784</v>
      </c>
      <c r="V897" t="s">
        <v>9423</v>
      </c>
      <c r="W897" t="s">
        <v>9424</v>
      </c>
      <c r="Y897" t="s">
        <v>9421</v>
      </c>
      <c r="AA897" t="s">
        <v>9422</v>
      </c>
      <c r="AB897" t="s">
        <v>258</v>
      </c>
      <c r="AC897" s="3" t="str">
        <f>"65721"</f>
        <v>65721</v>
      </c>
      <c r="AD897" t="s">
        <v>128</v>
      </c>
      <c r="AF897" s="4">
        <v>14178612784</v>
      </c>
      <c r="AH897" t="str">
        <f>"56173"</f>
        <v>56173</v>
      </c>
      <c r="AI897" t="s">
        <v>130</v>
      </c>
      <c r="AJ897" t="s">
        <v>3252</v>
      </c>
      <c r="AK897" t="s">
        <v>3253</v>
      </c>
      <c r="AL897" t="s">
        <v>589</v>
      </c>
      <c r="AM897" t="s">
        <v>3254</v>
      </c>
      <c r="AO897" t="s">
        <v>3255</v>
      </c>
      <c r="AP897" t="s">
        <v>779</v>
      </c>
      <c r="AQ897" s="5">
        <v>37110</v>
      </c>
      <c r="AR897" t="s">
        <v>128</v>
      </c>
      <c r="AT897" s="4">
        <v>19312747811</v>
      </c>
      <c r="AV897" t="s">
        <v>3256</v>
      </c>
      <c r="AW897" t="s">
        <v>3257</v>
      </c>
      <c r="AX897" t="s">
        <v>131</v>
      </c>
      <c r="AY897" t="s">
        <v>131</v>
      </c>
      <c r="AZ897" t="s">
        <v>131</v>
      </c>
      <c r="BA897" t="s">
        <v>131</v>
      </c>
      <c r="BB897" t="s">
        <v>131</v>
      </c>
      <c r="BC897" t="s">
        <v>131</v>
      </c>
      <c r="BD897" t="s">
        <v>131</v>
      </c>
      <c r="BE897" t="s">
        <v>132</v>
      </c>
      <c r="BH897" t="s">
        <v>9425</v>
      </c>
      <c r="BI897" t="s">
        <v>131</v>
      </c>
      <c r="BL897" t="s">
        <v>167</v>
      </c>
      <c r="BO897" t="s">
        <v>131</v>
      </c>
      <c r="BP897" t="s">
        <v>134</v>
      </c>
      <c r="BQ897" t="s">
        <v>131</v>
      </c>
      <c r="BS897" t="str">
        <f t="shared" ref="BS897:BS928" si="64">"N/A"</f>
        <v>N/A</v>
      </c>
      <c r="BT897" t="s">
        <v>131</v>
      </c>
      <c r="BV897" t="str">
        <f>""</f>
        <v/>
      </c>
      <c r="BW897" t="s">
        <v>135</v>
      </c>
      <c r="BX897" t="str">
        <f>""</f>
        <v/>
      </c>
      <c r="BY897" t="str">
        <f>""</f>
        <v/>
      </c>
      <c r="BZ897" t="str">
        <f>""</f>
        <v/>
      </c>
      <c r="CA897" t="str">
        <f>"Extensive walking, frequent stooping, exposure to extreme temperatures"</f>
        <v>Extensive walking, frequent stooping, exposure to extreme temperatures</v>
      </c>
      <c r="CB897" t="s">
        <v>131</v>
      </c>
      <c r="CF897" t="s">
        <v>131</v>
      </c>
      <c r="CH897" t="str">
        <f>""</f>
        <v/>
      </c>
      <c r="CI897" t="s">
        <v>131</v>
      </c>
      <c r="CK897" t="s">
        <v>131</v>
      </c>
      <c r="CL897" t="str">
        <f>""</f>
        <v/>
      </c>
      <c r="CM897" t="str">
        <f>""</f>
        <v/>
      </c>
      <c r="CN897" t="str">
        <f>""</f>
        <v/>
      </c>
      <c r="CO897" t="str">
        <f>""</f>
        <v/>
      </c>
      <c r="CP897" t="str">
        <f>"37-3011.00"</f>
        <v>37-3011.00</v>
      </c>
      <c r="CQ897" t="s">
        <v>920</v>
      </c>
      <c r="CS897" t="s">
        <v>131</v>
      </c>
      <c r="CU897" t="s">
        <v>9421</v>
      </c>
      <c r="CW897" t="s">
        <v>9422</v>
      </c>
      <c r="CX897" t="s">
        <v>258</v>
      </c>
      <c r="CZ897" s="3" t="str">
        <f>"65721"</f>
        <v>65721</v>
      </c>
      <c r="DA897" t="s">
        <v>135</v>
      </c>
      <c r="DB897" t="str">
        <f>"37-3011"</f>
        <v>37-3011</v>
      </c>
      <c r="DC897" t="s">
        <v>920</v>
      </c>
      <c r="DD897" t="s">
        <v>134</v>
      </c>
      <c r="DE897" t="s">
        <v>134</v>
      </c>
      <c r="DF897" t="str">
        <f>""</f>
        <v/>
      </c>
      <c r="DH897" s="6">
        <v>13.23</v>
      </c>
      <c r="DI897" t="s">
        <v>344</v>
      </c>
      <c r="DK897" t="s">
        <v>345</v>
      </c>
      <c r="DR897" t="s">
        <v>9426</v>
      </c>
      <c r="DS897" s="6">
        <v>14.29</v>
      </c>
      <c r="DT897" t="s">
        <v>424</v>
      </c>
      <c r="DU897" s="1">
        <v>44375</v>
      </c>
      <c r="DV897" s="1">
        <v>44464</v>
      </c>
    </row>
    <row r="898" spans="1:126" ht="15" customHeight="1" x14ac:dyDescent="0.35">
      <c r="A898" t="s">
        <v>9626</v>
      </c>
      <c r="B898" t="s">
        <v>318</v>
      </c>
      <c r="C898" s="1">
        <v>44343</v>
      </c>
      <c r="D898" s="1">
        <v>44375</v>
      </c>
      <c r="H898" t="s">
        <v>319</v>
      </c>
      <c r="I898" t="s">
        <v>9627</v>
      </c>
      <c r="J898" t="s">
        <v>9628</v>
      </c>
      <c r="L898" t="s">
        <v>349</v>
      </c>
      <c r="M898" t="s">
        <v>9629</v>
      </c>
      <c r="N898" t="s">
        <v>619</v>
      </c>
      <c r="O898" t="s">
        <v>2665</v>
      </c>
      <c r="P898" t="s">
        <v>412</v>
      </c>
      <c r="Q898" s="3">
        <v>75006</v>
      </c>
      <c r="R898" t="s">
        <v>128</v>
      </c>
      <c r="T898" s="4">
        <v>19724163660</v>
      </c>
      <c r="V898" t="s">
        <v>134</v>
      </c>
      <c r="W898" t="s">
        <v>9630</v>
      </c>
      <c r="X898" t="s">
        <v>9631</v>
      </c>
      <c r="Y898" t="s">
        <v>9632</v>
      </c>
      <c r="Z898" t="s">
        <v>619</v>
      </c>
      <c r="AA898" t="s">
        <v>2665</v>
      </c>
      <c r="AB898" t="s">
        <v>400</v>
      </c>
      <c r="AC898" s="3" t="str">
        <f>"75006"</f>
        <v>75006</v>
      </c>
      <c r="AD898" t="s">
        <v>128</v>
      </c>
      <c r="AF898" s="4">
        <v>19724163660</v>
      </c>
      <c r="AH898" t="str">
        <f>"31181"</f>
        <v>31181</v>
      </c>
      <c r="AI898" t="s">
        <v>287</v>
      </c>
      <c r="AJ898" t="s">
        <v>414</v>
      </c>
      <c r="AK898" t="s">
        <v>301</v>
      </c>
      <c r="AL898" t="s">
        <v>415</v>
      </c>
      <c r="AM898" t="s">
        <v>416</v>
      </c>
      <c r="AN898" t="s">
        <v>417</v>
      </c>
      <c r="AO898" t="s">
        <v>399</v>
      </c>
      <c r="AP898" t="s">
        <v>400</v>
      </c>
      <c r="AQ898" s="5">
        <v>75231</v>
      </c>
      <c r="AR898" t="s">
        <v>128</v>
      </c>
      <c r="AT898" s="4">
        <v>12145265665</v>
      </c>
      <c r="AV898" t="s">
        <v>418</v>
      </c>
      <c r="AW898" t="s">
        <v>419</v>
      </c>
      <c r="AX898" t="s">
        <v>131</v>
      </c>
      <c r="AY898" t="s">
        <v>131</v>
      </c>
      <c r="AZ898" t="s">
        <v>131</v>
      </c>
      <c r="BA898" t="s">
        <v>131</v>
      </c>
      <c r="BB898" t="s">
        <v>131</v>
      </c>
      <c r="BC898" t="s">
        <v>131</v>
      </c>
      <c r="BD898" t="s">
        <v>131</v>
      </c>
      <c r="BE898" t="s">
        <v>132</v>
      </c>
      <c r="BH898" t="s">
        <v>8114</v>
      </c>
      <c r="BI898" t="s">
        <v>131</v>
      </c>
      <c r="BL898" t="s">
        <v>167</v>
      </c>
      <c r="BO898" t="s">
        <v>131</v>
      </c>
      <c r="BP898" t="s">
        <v>134</v>
      </c>
      <c r="BQ898" t="s">
        <v>131</v>
      </c>
      <c r="BS898" t="str">
        <f t="shared" si="64"/>
        <v>N/A</v>
      </c>
      <c r="BT898" t="s">
        <v>131</v>
      </c>
      <c r="BV898" t="str">
        <f>""</f>
        <v/>
      </c>
      <c r="BW898" t="s">
        <v>135</v>
      </c>
      <c r="BX898" t="str">
        <f>""</f>
        <v/>
      </c>
      <c r="BY898" t="str">
        <f>""</f>
        <v/>
      </c>
      <c r="BZ898" t="str">
        <f>""</f>
        <v/>
      </c>
      <c r="CA898" s="2" t="s">
        <v>9633</v>
      </c>
      <c r="CB898" t="s">
        <v>131</v>
      </c>
      <c r="CF898" t="s">
        <v>131</v>
      </c>
      <c r="CH898" t="str">
        <f>""</f>
        <v/>
      </c>
      <c r="CI898" t="s">
        <v>131</v>
      </c>
      <c r="CK898" t="s">
        <v>131</v>
      </c>
      <c r="CL898" t="str">
        <f>""</f>
        <v/>
      </c>
      <c r="CM898" t="str">
        <f>""</f>
        <v/>
      </c>
      <c r="CN898" t="str">
        <f>""</f>
        <v/>
      </c>
      <c r="CO898" t="str">
        <f>""</f>
        <v/>
      </c>
      <c r="CP898" t="str">
        <f>"51-9198.00"</f>
        <v>51-9198.00</v>
      </c>
      <c r="CQ898" t="s">
        <v>2685</v>
      </c>
      <c r="CR898" t="s">
        <v>9634</v>
      </c>
      <c r="CS898" t="s">
        <v>131</v>
      </c>
      <c r="CU898" t="s">
        <v>9632</v>
      </c>
      <c r="CV898" t="s">
        <v>619</v>
      </c>
      <c r="CW898" t="s">
        <v>2665</v>
      </c>
      <c r="CX898" t="s">
        <v>400</v>
      </c>
      <c r="CZ898" s="3" t="str">
        <f>"75006"</f>
        <v>75006</v>
      </c>
      <c r="DA898" t="s">
        <v>131</v>
      </c>
      <c r="DB898" t="str">
        <f>"51-9198"</f>
        <v>51-9198</v>
      </c>
      <c r="DC898" t="s">
        <v>2685</v>
      </c>
      <c r="DD898" t="s">
        <v>134</v>
      </c>
      <c r="DE898" t="s">
        <v>134</v>
      </c>
      <c r="DF898" t="str">
        <f>""</f>
        <v/>
      </c>
      <c r="DH898" s="6">
        <v>13.74</v>
      </c>
      <c r="DI898" t="s">
        <v>344</v>
      </c>
      <c r="DK898" t="s">
        <v>345</v>
      </c>
      <c r="DS898" s="6">
        <v>13.74</v>
      </c>
      <c r="DT898" t="s">
        <v>424</v>
      </c>
      <c r="DU898" s="1">
        <v>44375</v>
      </c>
      <c r="DV898" s="1">
        <v>44464</v>
      </c>
    </row>
    <row r="899" spans="1:126" ht="15" customHeight="1" x14ac:dyDescent="0.35">
      <c r="A899" t="s">
        <v>15699</v>
      </c>
      <c r="B899" t="s">
        <v>318</v>
      </c>
      <c r="C899" s="1">
        <v>44343</v>
      </c>
      <c r="D899" s="1">
        <v>44370</v>
      </c>
      <c r="H899" t="s">
        <v>319</v>
      </c>
      <c r="I899" t="s">
        <v>15700</v>
      </c>
      <c r="J899" t="s">
        <v>15701</v>
      </c>
      <c r="L899" t="s">
        <v>1031</v>
      </c>
      <c r="M899" t="s">
        <v>15702</v>
      </c>
      <c r="O899" t="s">
        <v>15703</v>
      </c>
      <c r="P899" t="s">
        <v>194</v>
      </c>
      <c r="Q899" s="3">
        <v>33922</v>
      </c>
      <c r="R899" t="s">
        <v>128</v>
      </c>
      <c r="T899" s="4">
        <v>12392833999</v>
      </c>
      <c r="V899" t="s">
        <v>1021</v>
      </c>
      <c r="W899" t="s">
        <v>15704</v>
      </c>
      <c r="Y899" t="s">
        <v>15705</v>
      </c>
      <c r="AA899" t="s">
        <v>15703</v>
      </c>
      <c r="AB899" t="s">
        <v>195</v>
      </c>
      <c r="AC899" s="3" t="str">
        <f>"33922"</f>
        <v>33922</v>
      </c>
      <c r="AD899" t="s">
        <v>128</v>
      </c>
      <c r="AF899" s="4">
        <v>12392833999</v>
      </c>
      <c r="AH899" t="str">
        <f>"721110"</f>
        <v>721110</v>
      </c>
      <c r="AI899" t="s">
        <v>287</v>
      </c>
      <c r="AJ899" t="s">
        <v>1024</v>
      </c>
      <c r="AK899" t="s">
        <v>1025</v>
      </c>
      <c r="AM899" t="s">
        <v>1026</v>
      </c>
      <c r="AO899" t="s">
        <v>1027</v>
      </c>
      <c r="AP899" t="s">
        <v>129</v>
      </c>
      <c r="AQ899" s="5">
        <v>11590</v>
      </c>
      <c r="AR899" t="s">
        <v>128</v>
      </c>
      <c r="AT899" s="4">
        <v>15163307168</v>
      </c>
      <c r="AV899" t="s">
        <v>1021</v>
      </c>
      <c r="AW899" t="s">
        <v>1028</v>
      </c>
      <c r="AX899" t="s">
        <v>131</v>
      </c>
      <c r="AY899" t="s">
        <v>131</v>
      </c>
      <c r="AZ899" t="s">
        <v>131</v>
      </c>
      <c r="BA899" t="s">
        <v>131</v>
      </c>
      <c r="BB899" t="s">
        <v>131</v>
      </c>
      <c r="BC899" t="s">
        <v>131</v>
      </c>
      <c r="BD899" t="s">
        <v>131</v>
      </c>
      <c r="BE899" t="s">
        <v>132</v>
      </c>
      <c r="BH899" t="s">
        <v>6218</v>
      </c>
      <c r="BI899" t="s">
        <v>131</v>
      </c>
      <c r="BL899" t="s">
        <v>167</v>
      </c>
      <c r="BO899" t="s">
        <v>131</v>
      </c>
      <c r="BP899" t="s">
        <v>134</v>
      </c>
      <c r="BQ899" t="s">
        <v>131</v>
      </c>
      <c r="BS899" t="str">
        <f t="shared" si="64"/>
        <v>N/A</v>
      </c>
      <c r="BT899" t="s">
        <v>135</v>
      </c>
      <c r="BU899">
        <v>3</v>
      </c>
      <c r="BV899" t="str">
        <f>"COOKS"</f>
        <v>COOKS</v>
      </c>
      <c r="BW899" t="s">
        <v>131</v>
      </c>
      <c r="BX899" t="str">
        <f>""</f>
        <v/>
      </c>
      <c r="BY899" t="str">
        <f>""</f>
        <v/>
      </c>
      <c r="BZ899" t="str">
        <f>""</f>
        <v/>
      </c>
      <c r="CA899" t="str">
        <f>""</f>
        <v/>
      </c>
      <c r="CB899" t="s">
        <v>131</v>
      </c>
      <c r="CF899" t="s">
        <v>131</v>
      </c>
      <c r="CH899" t="str">
        <f>""</f>
        <v/>
      </c>
      <c r="CI899" t="s">
        <v>131</v>
      </c>
      <c r="CK899" t="s">
        <v>131</v>
      </c>
      <c r="CL899" t="str">
        <f>""</f>
        <v/>
      </c>
      <c r="CM899" t="str">
        <f>""</f>
        <v/>
      </c>
      <c r="CN899" t="str">
        <f>""</f>
        <v/>
      </c>
      <c r="CO899" t="str">
        <f>""</f>
        <v/>
      </c>
      <c r="CP899" t="str">
        <f>"35-2014.00"</f>
        <v>35-2014.00</v>
      </c>
      <c r="CQ899" t="s">
        <v>581</v>
      </c>
      <c r="CR899" t="s">
        <v>6219</v>
      </c>
      <c r="CS899" t="s">
        <v>131</v>
      </c>
      <c r="CU899" t="s">
        <v>15705</v>
      </c>
      <c r="CW899" t="s">
        <v>15703</v>
      </c>
      <c r="CX899" t="s">
        <v>195</v>
      </c>
      <c r="CZ899" s="3" t="str">
        <f>"33922"</f>
        <v>33922</v>
      </c>
      <c r="DA899" t="s">
        <v>131</v>
      </c>
      <c r="DB899" t="str">
        <f>"35-2014"</f>
        <v>35-2014</v>
      </c>
      <c r="DC899" t="s">
        <v>581</v>
      </c>
      <c r="DD899" t="s">
        <v>134</v>
      </c>
      <c r="DE899" t="s">
        <v>134</v>
      </c>
      <c r="DF899" t="str">
        <f>""</f>
        <v/>
      </c>
      <c r="DH899" s="6">
        <v>14.08</v>
      </c>
      <c r="DI899" t="s">
        <v>344</v>
      </c>
      <c r="DK899" t="s">
        <v>345</v>
      </c>
      <c r="DR899" t="s">
        <v>4038</v>
      </c>
      <c r="DS899" s="6">
        <v>14.08</v>
      </c>
      <c r="DT899" t="s">
        <v>424</v>
      </c>
      <c r="DU899" s="1">
        <v>44370</v>
      </c>
      <c r="DV899" s="1">
        <v>44459</v>
      </c>
    </row>
    <row r="900" spans="1:126" ht="15" customHeight="1" x14ac:dyDescent="0.35">
      <c r="A900" t="s">
        <v>16767</v>
      </c>
      <c r="B900" t="s">
        <v>318</v>
      </c>
      <c r="C900" s="1">
        <v>44343</v>
      </c>
      <c r="D900" s="1">
        <v>44370</v>
      </c>
      <c r="H900" t="s">
        <v>319</v>
      </c>
      <c r="I900" t="s">
        <v>16768</v>
      </c>
      <c r="J900" t="s">
        <v>16769</v>
      </c>
      <c r="L900" t="s">
        <v>16770</v>
      </c>
      <c r="M900" t="s">
        <v>16771</v>
      </c>
      <c r="O900" t="s">
        <v>15147</v>
      </c>
      <c r="P900" t="s">
        <v>818</v>
      </c>
      <c r="Q900" s="3">
        <v>30066</v>
      </c>
      <c r="R900" t="s">
        <v>128</v>
      </c>
      <c r="T900" s="4">
        <v>16783542700</v>
      </c>
      <c r="V900" t="s">
        <v>16772</v>
      </c>
      <c r="W900" t="s">
        <v>16773</v>
      </c>
      <c r="X900" t="s">
        <v>16774</v>
      </c>
      <c r="Y900" t="s">
        <v>16771</v>
      </c>
      <c r="AA900" t="s">
        <v>15147</v>
      </c>
      <c r="AB900" t="s">
        <v>643</v>
      </c>
      <c r="AC900" s="3" t="str">
        <f>"30066"</f>
        <v>30066</v>
      </c>
      <c r="AD900" t="s">
        <v>128</v>
      </c>
      <c r="AF900" s="4">
        <v>16783542700</v>
      </c>
      <c r="AH900" t="str">
        <f>"72251"</f>
        <v>72251</v>
      </c>
      <c r="AI900" t="s">
        <v>130</v>
      </c>
      <c r="AJ900" t="s">
        <v>5304</v>
      </c>
      <c r="AK900" t="s">
        <v>16775</v>
      </c>
      <c r="AM900" t="s">
        <v>16776</v>
      </c>
      <c r="AN900" t="s">
        <v>1642</v>
      </c>
      <c r="AO900" t="s">
        <v>3298</v>
      </c>
      <c r="AP900" t="s">
        <v>643</v>
      </c>
      <c r="AQ900" s="5">
        <v>30024</v>
      </c>
      <c r="AR900" t="s">
        <v>128</v>
      </c>
      <c r="AT900" s="4">
        <v>16786917905</v>
      </c>
      <c r="AV900" t="s">
        <v>16777</v>
      </c>
      <c r="AW900" t="s">
        <v>16778</v>
      </c>
      <c r="AX900" t="s">
        <v>131</v>
      </c>
      <c r="AY900" t="s">
        <v>131</v>
      </c>
      <c r="AZ900" t="s">
        <v>131</v>
      </c>
      <c r="BA900" t="s">
        <v>131</v>
      </c>
      <c r="BB900" t="s">
        <v>131</v>
      </c>
      <c r="BC900" t="s">
        <v>131</v>
      </c>
      <c r="BD900" t="s">
        <v>131</v>
      </c>
      <c r="BE900" t="s">
        <v>132</v>
      </c>
      <c r="BH900" t="s">
        <v>7405</v>
      </c>
      <c r="BI900" t="s">
        <v>131</v>
      </c>
      <c r="BL900" t="s">
        <v>167</v>
      </c>
      <c r="BO900" t="s">
        <v>131</v>
      </c>
      <c r="BP900" t="s">
        <v>134</v>
      </c>
      <c r="BQ900" t="s">
        <v>131</v>
      </c>
      <c r="BS900" t="str">
        <f t="shared" si="64"/>
        <v>N/A</v>
      </c>
      <c r="BT900" t="s">
        <v>131</v>
      </c>
      <c r="BV900" t="str">
        <f>""</f>
        <v/>
      </c>
      <c r="BW900" t="s">
        <v>131</v>
      </c>
      <c r="BX900" t="str">
        <f>""</f>
        <v/>
      </c>
      <c r="BY900" t="str">
        <f>""</f>
        <v/>
      </c>
      <c r="BZ900" t="str">
        <f>""</f>
        <v/>
      </c>
      <c r="CA900" t="str">
        <f>""</f>
        <v/>
      </c>
      <c r="CB900" t="s">
        <v>131</v>
      </c>
      <c r="CF900" t="s">
        <v>131</v>
      </c>
      <c r="CH900" t="str">
        <f>""</f>
        <v/>
      </c>
      <c r="CI900" t="s">
        <v>131</v>
      </c>
      <c r="CK900" t="s">
        <v>131</v>
      </c>
      <c r="CL900" t="str">
        <f>""</f>
        <v/>
      </c>
      <c r="CM900" t="str">
        <f>""</f>
        <v/>
      </c>
      <c r="CN900" t="str">
        <f>""</f>
        <v/>
      </c>
      <c r="CO900" t="str">
        <f>""</f>
        <v/>
      </c>
      <c r="CP900" t="str">
        <f>"35-2021.00"</f>
        <v>35-2021.00</v>
      </c>
      <c r="CQ900" t="s">
        <v>1749</v>
      </c>
      <c r="CR900" t="s">
        <v>7405</v>
      </c>
      <c r="CS900" t="s">
        <v>131</v>
      </c>
      <c r="CU900" t="s">
        <v>16779</v>
      </c>
      <c r="CW900" t="s">
        <v>7403</v>
      </c>
      <c r="CX900" t="s">
        <v>643</v>
      </c>
      <c r="CZ900" s="3" t="str">
        <f>"30253"</f>
        <v>30253</v>
      </c>
      <c r="DA900" t="s">
        <v>131</v>
      </c>
      <c r="DB900" t="str">
        <f>"35-2021"</f>
        <v>35-2021</v>
      </c>
      <c r="DC900" t="s">
        <v>1749</v>
      </c>
      <c r="DD900" t="s">
        <v>134</v>
      </c>
      <c r="DE900" t="s">
        <v>134</v>
      </c>
      <c r="DF900" t="str">
        <f>""</f>
        <v/>
      </c>
      <c r="DH900" s="6">
        <v>11.03</v>
      </c>
      <c r="DI900" t="s">
        <v>344</v>
      </c>
      <c r="DK900" t="s">
        <v>345</v>
      </c>
      <c r="DS900" s="6">
        <v>11.03</v>
      </c>
      <c r="DT900" t="s">
        <v>424</v>
      </c>
      <c r="DU900" s="1">
        <v>44370</v>
      </c>
      <c r="DV900" s="1">
        <v>44459</v>
      </c>
    </row>
    <row r="901" spans="1:126" ht="15" customHeight="1" x14ac:dyDescent="0.35">
      <c r="A901" t="s">
        <v>13529</v>
      </c>
      <c r="B901" t="s">
        <v>318</v>
      </c>
      <c r="C901" s="1">
        <v>44343</v>
      </c>
      <c r="D901" s="1">
        <v>44370</v>
      </c>
      <c r="H901" t="s">
        <v>319</v>
      </c>
      <c r="I901" t="s">
        <v>13530</v>
      </c>
      <c r="J901" t="s">
        <v>13531</v>
      </c>
      <c r="L901" t="s">
        <v>1031</v>
      </c>
      <c r="M901" t="s">
        <v>13532</v>
      </c>
      <c r="O901" t="s">
        <v>6840</v>
      </c>
      <c r="P901" t="s">
        <v>256</v>
      </c>
      <c r="Q901" s="3">
        <v>63132</v>
      </c>
      <c r="R901" t="s">
        <v>128</v>
      </c>
      <c r="T901" s="4">
        <v>13146577050</v>
      </c>
      <c r="V901" t="s">
        <v>1021</v>
      </c>
      <c r="W901" t="s">
        <v>13533</v>
      </c>
      <c r="Y901" t="s">
        <v>13534</v>
      </c>
      <c r="AA901" t="s">
        <v>6840</v>
      </c>
      <c r="AB901" t="s">
        <v>258</v>
      </c>
      <c r="AC901" s="3" t="str">
        <f>"63132"</f>
        <v>63132</v>
      </c>
      <c r="AD901" t="s">
        <v>128</v>
      </c>
      <c r="AF901" s="4">
        <v>13146577050</v>
      </c>
      <c r="AH901" t="str">
        <f>"56173"</f>
        <v>56173</v>
      </c>
      <c r="AI901" t="s">
        <v>287</v>
      </c>
      <c r="AJ901" t="s">
        <v>1024</v>
      </c>
      <c r="AK901" t="s">
        <v>1025</v>
      </c>
      <c r="AM901" t="s">
        <v>1026</v>
      </c>
      <c r="AO901" t="s">
        <v>1027</v>
      </c>
      <c r="AP901" t="s">
        <v>129</v>
      </c>
      <c r="AQ901" s="5">
        <v>11590</v>
      </c>
      <c r="AR901" t="s">
        <v>128</v>
      </c>
      <c r="AT901" s="4">
        <v>15163307168</v>
      </c>
      <c r="AV901" t="s">
        <v>1021</v>
      </c>
      <c r="AW901" t="s">
        <v>1028</v>
      </c>
      <c r="AX901" t="s">
        <v>131</v>
      </c>
      <c r="AY901" t="s">
        <v>131</v>
      </c>
      <c r="AZ901" t="s">
        <v>131</v>
      </c>
      <c r="BA901" t="s">
        <v>131</v>
      </c>
      <c r="BB901" t="s">
        <v>131</v>
      </c>
      <c r="BC901" t="s">
        <v>131</v>
      </c>
      <c r="BD901" t="s">
        <v>131</v>
      </c>
      <c r="BE901" t="s">
        <v>132</v>
      </c>
      <c r="BH901" t="s">
        <v>5067</v>
      </c>
      <c r="BI901" t="s">
        <v>131</v>
      </c>
      <c r="BL901" t="s">
        <v>167</v>
      </c>
      <c r="BO901" t="s">
        <v>131</v>
      </c>
      <c r="BP901" t="s">
        <v>134</v>
      </c>
      <c r="BQ901" t="s">
        <v>131</v>
      </c>
      <c r="BS901" t="str">
        <f t="shared" si="64"/>
        <v>N/A</v>
      </c>
      <c r="BT901" t="s">
        <v>131</v>
      </c>
      <c r="BV901" t="str">
        <f>""</f>
        <v/>
      </c>
      <c r="BW901" t="s">
        <v>131</v>
      </c>
      <c r="BX901" t="str">
        <f>""</f>
        <v/>
      </c>
      <c r="BY901" t="str">
        <f>""</f>
        <v/>
      </c>
      <c r="BZ901" t="str">
        <f>""</f>
        <v/>
      </c>
      <c r="CA901" t="str">
        <f>""</f>
        <v/>
      </c>
      <c r="CB901" t="s">
        <v>131</v>
      </c>
      <c r="CF901" t="s">
        <v>131</v>
      </c>
      <c r="CH901" t="str">
        <f>""</f>
        <v/>
      </c>
      <c r="CI901" t="s">
        <v>131</v>
      </c>
      <c r="CK901" t="s">
        <v>131</v>
      </c>
      <c r="CL901" t="str">
        <f>""</f>
        <v/>
      </c>
      <c r="CM901" t="str">
        <f>""</f>
        <v/>
      </c>
      <c r="CN901" t="str">
        <f>""</f>
        <v/>
      </c>
      <c r="CO901" t="str">
        <f>""</f>
        <v/>
      </c>
      <c r="CP901" t="str">
        <f>"37-3011.00"</f>
        <v>37-3011.00</v>
      </c>
      <c r="CQ901" t="s">
        <v>920</v>
      </c>
      <c r="CR901" t="s">
        <v>5068</v>
      </c>
      <c r="CS901" t="s">
        <v>135</v>
      </c>
      <c r="CT901" t="s">
        <v>13535</v>
      </c>
      <c r="CU901" t="s">
        <v>13532</v>
      </c>
      <c r="CW901" t="s">
        <v>6840</v>
      </c>
      <c r="CX901" t="s">
        <v>258</v>
      </c>
      <c r="CZ901" s="3" t="str">
        <f>"63132"</f>
        <v>63132</v>
      </c>
      <c r="DA901" t="s">
        <v>135</v>
      </c>
      <c r="DB901" t="str">
        <f>"37-3011"</f>
        <v>37-3011</v>
      </c>
      <c r="DC901" t="s">
        <v>920</v>
      </c>
      <c r="DD901" t="s">
        <v>134</v>
      </c>
      <c r="DE901" t="s">
        <v>134</v>
      </c>
      <c r="DF901" t="str">
        <f>""</f>
        <v/>
      </c>
      <c r="DH901" s="6">
        <v>15.37</v>
      </c>
      <c r="DI901" t="s">
        <v>344</v>
      </c>
      <c r="DK901" t="s">
        <v>345</v>
      </c>
      <c r="DR901" t="s">
        <v>4139</v>
      </c>
      <c r="DS901" s="6">
        <v>15.37</v>
      </c>
      <c r="DT901" s="2" t="s">
        <v>347</v>
      </c>
      <c r="DU901" s="1">
        <v>44370</v>
      </c>
      <c r="DV901" s="1">
        <v>44459</v>
      </c>
    </row>
    <row r="902" spans="1:126" ht="15" customHeight="1" x14ac:dyDescent="0.35">
      <c r="A902" t="s">
        <v>9971</v>
      </c>
      <c r="B902" t="s">
        <v>318</v>
      </c>
      <c r="C902" s="1">
        <v>44343</v>
      </c>
      <c r="D902" s="1">
        <v>44370</v>
      </c>
      <c r="H902" t="s">
        <v>319</v>
      </c>
      <c r="I902" t="s">
        <v>9972</v>
      </c>
      <c r="J902" t="s">
        <v>9973</v>
      </c>
      <c r="L902" t="s">
        <v>1031</v>
      </c>
      <c r="M902" t="s">
        <v>9974</v>
      </c>
      <c r="O902" t="s">
        <v>1726</v>
      </c>
      <c r="P902" t="s">
        <v>127</v>
      </c>
      <c r="Q902" s="3">
        <v>11768</v>
      </c>
      <c r="R902" t="s">
        <v>128</v>
      </c>
      <c r="T902" s="4">
        <v>16317545118</v>
      </c>
      <c r="V902" t="s">
        <v>1021</v>
      </c>
      <c r="W902" t="s">
        <v>9975</v>
      </c>
      <c r="Y902" t="s">
        <v>9976</v>
      </c>
      <c r="AA902" t="s">
        <v>1726</v>
      </c>
      <c r="AB902" t="s">
        <v>129</v>
      </c>
      <c r="AC902" s="3" t="str">
        <f>"11768"</f>
        <v>11768</v>
      </c>
      <c r="AD902" t="s">
        <v>128</v>
      </c>
      <c r="AF902" s="4">
        <v>16317545118</v>
      </c>
      <c r="AH902" t="str">
        <f>"42332"</f>
        <v>42332</v>
      </c>
      <c r="AI902" t="s">
        <v>287</v>
      </c>
      <c r="AJ902" t="s">
        <v>1024</v>
      </c>
      <c r="AK902" t="s">
        <v>1025</v>
      </c>
      <c r="AM902" t="s">
        <v>1026</v>
      </c>
      <c r="AO902" t="s">
        <v>1027</v>
      </c>
      <c r="AP902" t="s">
        <v>129</v>
      </c>
      <c r="AQ902" s="5">
        <v>11590</v>
      </c>
      <c r="AR902" t="s">
        <v>128</v>
      </c>
      <c r="AT902" s="4">
        <v>15163307168</v>
      </c>
      <c r="AV902" t="s">
        <v>1021</v>
      </c>
      <c r="AW902" t="s">
        <v>1028</v>
      </c>
      <c r="AX902" t="s">
        <v>131</v>
      </c>
      <c r="AY902" t="s">
        <v>131</v>
      </c>
      <c r="AZ902" t="s">
        <v>131</v>
      </c>
      <c r="BA902" t="s">
        <v>131</v>
      </c>
      <c r="BB902" t="s">
        <v>131</v>
      </c>
      <c r="BC902" t="s">
        <v>131</v>
      </c>
      <c r="BD902" t="s">
        <v>131</v>
      </c>
      <c r="BE902" t="s">
        <v>132</v>
      </c>
      <c r="BH902" t="s">
        <v>9977</v>
      </c>
      <c r="BI902" t="s">
        <v>131</v>
      </c>
      <c r="BL902" t="s">
        <v>167</v>
      </c>
      <c r="BO902" t="s">
        <v>131</v>
      </c>
      <c r="BP902" t="s">
        <v>134</v>
      </c>
      <c r="BQ902" t="s">
        <v>131</v>
      </c>
      <c r="BS902" t="str">
        <f t="shared" si="64"/>
        <v>N/A</v>
      </c>
      <c r="BT902" t="s">
        <v>135</v>
      </c>
      <c r="BU902">
        <v>1</v>
      </c>
      <c r="BV902" t="str">
        <f>"LABORER, GENERAL
"</f>
        <v xml:space="preserve">LABORER, GENERAL
</v>
      </c>
      <c r="BW902" t="s">
        <v>131</v>
      </c>
      <c r="BX902" t="str">
        <f>""</f>
        <v/>
      </c>
      <c r="BY902" t="str">
        <f>""</f>
        <v/>
      </c>
      <c r="BZ902" t="str">
        <f>""</f>
        <v/>
      </c>
      <c r="CA902" t="str">
        <f>""</f>
        <v/>
      </c>
      <c r="CB902" t="s">
        <v>131</v>
      </c>
      <c r="CF902" t="s">
        <v>131</v>
      </c>
      <c r="CH902" t="str">
        <f>""</f>
        <v/>
      </c>
      <c r="CI902" t="s">
        <v>131</v>
      </c>
      <c r="CK902" t="s">
        <v>131</v>
      </c>
      <c r="CL902" t="str">
        <f>""</f>
        <v/>
      </c>
      <c r="CM902" t="str">
        <f>""</f>
        <v/>
      </c>
      <c r="CN902" t="str">
        <f>""</f>
        <v/>
      </c>
      <c r="CO902" t="str">
        <f>""</f>
        <v/>
      </c>
      <c r="CP902" t="str">
        <f>"53-7062.00"</f>
        <v>53-7062.00</v>
      </c>
      <c r="CQ902" t="s">
        <v>1030</v>
      </c>
      <c r="CR902" t="s">
        <v>5068</v>
      </c>
      <c r="CS902" t="s">
        <v>135</v>
      </c>
      <c r="CT902" t="s">
        <v>9978</v>
      </c>
      <c r="CU902" t="s">
        <v>9976</v>
      </c>
      <c r="CW902" t="s">
        <v>1726</v>
      </c>
      <c r="CX902" t="s">
        <v>129</v>
      </c>
      <c r="CZ902" s="3" t="str">
        <f>"11768"</f>
        <v>11768</v>
      </c>
      <c r="DA902" t="s">
        <v>135</v>
      </c>
      <c r="DB902" t="str">
        <f>"53-7062"</f>
        <v>53-7062</v>
      </c>
      <c r="DC902" t="s">
        <v>1030</v>
      </c>
      <c r="DD902" t="s">
        <v>134</v>
      </c>
      <c r="DE902" t="s">
        <v>134</v>
      </c>
      <c r="DF902" t="str">
        <f>""</f>
        <v/>
      </c>
      <c r="DH902" s="6">
        <v>16.79</v>
      </c>
      <c r="DI902" t="s">
        <v>344</v>
      </c>
      <c r="DK902" t="s">
        <v>345</v>
      </c>
      <c r="DR902" t="s">
        <v>346</v>
      </c>
      <c r="DS902" s="6">
        <v>16.79</v>
      </c>
      <c r="DT902" s="2" t="s">
        <v>347</v>
      </c>
      <c r="DU902" s="1">
        <v>44370</v>
      </c>
      <c r="DV902" s="1">
        <v>44459</v>
      </c>
    </row>
    <row r="903" spans="1:126" ht="15" customHeight="1" x14ac:dyDescent="0.35">
      <c r="A903" t="s">
        <v>16232</v>
      </c>
      <c r="B903" t="s">
        <v>318</v>
      </c>
      <c r="C903" s="1">
        <v>44343</v>
      </c>
      <c r="D903" s="1">
        <v>44370</v>
      </c>
      <c r="H903" t="s">
        <v>319</v>
      </c>
      <c r="I903" t="s">
        <v>16233</v>
      </c>
      <c r="J903" t="s">
        <v>13877</v>
      </c>
      <c r="L903" t="s">
        <v>6879</v>
      </c>
      <c r="M903" t="s">
        <v>16234</v>
      </c>
      <c r="O903" t="s">
        <v>16235</v>
      </c>
      <c r="P903" t="s">
        <v>1174</v>
      </c>
      <c r="Q903" s="3">
        <v>97038</v>
      </c>
      <c r="R903" t="s">
        <v>128</v>
      </c>
      <c r="T903" s="4">
        <v>15038565411</v>
      </c>
      <c r="V903" t="s">
        <v>16236</v>
      </c>
      <c r="W903" t="s">
        <v>16237</v>
      </c>
      <c r="Y903" t="s">
        <v>16234</v>
      </c>
      <c r="AA903" t="s">
        <v>16235</v>
      </c>
      <c r="AB903" t="s">
        <v>1512</v>
      </c>
      <c r="AC903" s="3" t="str">
        <f>"97038"</f>
        <v>97038</v>
      </c>
      <c r="AD903" t="s">
        <v>128</v>
      </c>
      <c r="AF903" s="4">
        <v>15038565411</v>
      </c>
      <c r="AH903" t="str">
        <f>"115310"</f>
        <v>115310</v>
      </c>
      <c r="AI903" t="s">
        <v>130</v>
      </c>
      <c r="AJ903" t="s">
        <v>1333</v>
      </c>
      <c r="AK903" t="s">
        <v>16238</v>
      </c>
      <c r="AL903" t="s">
        <v>16239</v>
      </c>
      <c r="AM903" t="s">
        <v>16240</v>
      </c>
      <c r="AO903" t="s">
        <v>7304</v>
      </c>
      <c r="AP903" t="s">
        <v>1512</v>
      </c>
      <c r="AQ903" s="5">
        <v>97301</v>
      </c>
      <c r="AR903" t="s">
        <v>128</v>
      </c>
      <c r="AT903" s="4">
        <v>15033639903</v>
      </c>
      <c r="AV903" t="s">
        <v>16241</v>
      </c>
      <c r="AW903" t="s">
        <v>16242</v>
      </c>
      <c r="AX903" t="s">
        <v>131</v>
      </c>
      <c r="AY903" t="s">
        <v>131</v>
      </c>
      <c r="AZ903" t="s">
        <v>131</v>
      </c>
      <c r="BA903" t="s">
        <v>131</v>
      </c>
      <c r="BB903" t="s">
        <v>131</v>
      </c>
      <c r="BC903" t="s">
        <v>131</v>
      </c>
      <c r="BD903" t="s">
        <v>131</v>
      </c>
      <c r="BE903" t="s">
        <v>132</v>
      </c>
      <c r="BH903" t="s">
        <v>10165</v>
      </c>
      <c r="BI903" t="s">
        <v>131</v>
      </c>
      <c r="BL903" t="s">
        <v>167</v>
      </c>
      <c r="BO903" t="s">
        <v>131</v>
      </c>
      <c r="BP903" t="s">
        <v>134</v>
      </c>
      <c r="BQ903" t="s">
        <v>131</v>
      </c>
      <c r="BS903" t="str">
        <f t="shared" si="64"/>
        <v>N/A</v>
      </c>
      <c r="BT903" t="s">
        <v>131</v>
      </c>
      <c r="BV903" t="str">
        <f>""</f>
        <v/>
      </c>
      <c r="BW903" t="s">
        <v>131</v>
      </c>
      <c r="BX903" t="str">
        <f>""</f>
        <v/>
      </c>
      <c r="BY903" t="str">
        <f>""</f>
        <v/>
      </c>
      <c r="BZ903" t="str">
        <f>""</f>
        <v/>
      </c>
      <c r="CA903" t="str">
        <f>""</f>
        <v/>
      </c>
      <c r="CB903" t="s">
        <v>131</v>
      </c>
      <c r="CF903" t="s">
        <v>131</v>
      </c>
      <c r="CH903" t="str">
        <f>""</f>
        <v/>
      </c>
      <c r="CI903" t="s">
        <v>131</v>
      </c>
      <c r="CK903" t="s">
        <v>131</v>
      </c>
      <c r="CL903" t="str">
        <f>""</f>
        <v/>
      </c>
      <c r="CM903" t="str">
        <f>""</f>
        <v/>
      </c>
      <c r="CN903" t="str">
        <f>""</f>
        <v/>
      </c>
      <c r="CO903" t="str">
        <f>""</f>
        <v/>
      </c>
      <c r="CP903" t="str">
        <f>"45-4011.00"</f>
        <v>45-4011.00</v>
      </c>
      <c r="CQ903" t="s">
        <v>4310</v>
      </c>
      <c r="CR903" t="s">
        <v>6879</v>
      </c>
      <c r="CS903" t="s">
        <v>135</v>
      </c>
      <c r="CT903" t="s">
        <v>16243</v>
      </c>
      <c r="CU903" t="s">
        <v>16234</v>
      </c>
      <c r="CW903" t="s">
        <v>16235</v>
      </c>
      <c r="CX903" t="s">
        <v>1512</v>
      </c>
      <c r="CZ903" s="3" t="str">
        <f>"97038"</f>
        <v>97038</v>
      </c>
      <c r="DA903" t="s">
        <v>135</v>
      </c>
      <c r="DB903" t="str">
        <f>"45-4011"</f>
        <v>45-4011</v>
      </c>
      <c r="DC903" t="s">
        <v>4310</v>
      </c>
      <c r="DD903" t="s">
        <v>134</v>
      </c>
      <c r="DE903" t="s">
        <v>134</v>
      </c>
      <c r="DF903" t="str">
        <f>""</f>
        <v/>
      </c>
      <c r="DH903" s="6">
        <v>15.25</v>
      </c>
      <c r="DI903" t="s">
        <v>344</v>
      </c>
      <c r="DK903" t="s">
        <v>345</v>
      </c>
      <c r="DS903" s="6">
        <v>16.8</v>
      </c>
      <c r="DT903" s="2" t="s">
        <v>347</v>
      </c>
      <c r="DU903" s="1">
        <v>44370</v>
      </c>
      <c r="DV903" s="1">
        <v>44459</v>
      </c>
    </row>
    <row r="904" spans="1:126" ht="15" customHeight="1" x14ac:dyDescent="0.35">
      <c r="A904" t="s">
        <v>19508</v>
      </c>
      <c r="B904" t="s">
        <v>318</v>
      </c>
      <c r="C904" s="1">
        <v>44343</v>
      </c>
      <c r="D904" s="1">
        <v>44375</v>
      </c>
      <c r="H904" t="s">
        <v>319</v>
      </c>
      <c r="I904" t="s">
        <v>8995</v>
      </c>
      <c r="J904" t="s">
        <v>354</v>
      </c>
      <c r="L904" t="s">
        <v>395</v>
      </c>
      <c r="M904" t="s">
        <v>8996</v>
      </c>
      <c r="O904" t="s">
        <v>2683</v>
      </c>
      <c r="P904" t="s">
        <v>811</v>
      </c>
      <c r="Q904" s="3">
        <v>29340</v>
      </c>
      <c r="R904" t="s">
        <v>128</v>
      </c>
      <c r="T904" s="4">
        <v>18644870011</v>
      </c>
      <c r="V904" t="s">
        <v>8997</v>
      </c>
      <c r="W904" t="s">
        <v>8998</v>
      </c>
      <c r="Y904" t="s">
        <v>8996</v>
      </c>
      <c r="AA904" t="s">
        <v>2683</v>
      </c>
      <c r="AB904" t="s">
        <v>812</v>
      </c>
      <c r="AC904" s="3" t="str">
        <f>"29340"</f>
        <v>29340</v>
      </c>
      <c r="AD904" t="s">
        <v>128</v>
      </c>
      <c r="AF904" s="4">
        <v>18644870011</v>
      </c>
      <c r="AH904" t="str">
        <f>"314120"</f>
        <v>314120</v>
      </c>
      <c r="AI904" t="s">
        <v>130</v>
      </c>
      <c r="AJ904" t="s">
        <v>2029</v>
      </c>
      <c r="AK904" t="s">
        <v>1595</v>
      </c>
      <c r="AM904" t="s">
        <v>2030</v>
      </c>
      <c r="AO904" t="s">
        <v>1061</v>
      </c>
      <c r="AP904" t="s">
        <v>172</v>
      </c>
      <c r="AQ904" s="5">
        <v>91367</v>
      </c>
      <c r="AR904" t="s">
        <v>128</v>
      </c>
      <c r="AT904" s="4">
        <v>18184353500</v>
      </c>
      <c r="AV904" t="s">
        <v>2031</v>
      </c>
      <c r="AW904" t="s">
        <v>2032</v>
      </c>
      <c r="AX904" t="s">
        <v>131</v>
      </c>
      <c r="AY904" t="s">
        <v>131</v>
      </c>
      <c r="AZ904" t="s">
        <v>131</v>
      </c>
      <c r="BA904" t="s">
        <v>131</v>
      </c>
      <c r="BB904" t="s">
        <v>131</v>
      </c>
      <c r="BC904" t="s">
        <v>131</v>
      </c>
      <c r="BD904" t="s">
        <v>131</v>
      </c>
      <c r="BE904" t="s">
        <v>132</v>
      </c>
      <c r="BH904" t="s">
        <v>8999</v>
      </c>
      <c r="BI904" t="s">
        <v>131</v>
      </c>
      <c r="BL904" t="s">
        <v>167</v>
      </c>
      <c r="BO904" t="s">
        <v>131</v>
      </c>
      <c r="BP904" t="s">
        <v>134</v>
      </c>
      <c r="BQ904" t="s">
        <v>131</v>
      </c>
      <c r="BS904" t="str">
        <f t="shared" si="64"/>
        <v>N/A</v>
      </c>
      <c r="BT904" t="s">
        <v>135</v>
      </c>
      <c r="BU904">
        <v>3</v>
      </c>
      <c r="BV904" t="str">
        <f>"3 months experience operating commercial sewing machines."</f>
        <v>3 months experience operating commercial sewing machines.</v>
      </c>
      <c r="BW904" t="s">
        <v>131</v>
      </c>
      <c r="BX904" t="str">
        <f>""</f>
        <v/>
      </c>
      <c r="BY904" t="str">
        <f>""</f>
        <v/>
      </c>
      <c r="BZ904" t="str">
        <f>""</f>
        <v/>
      </c>
      <c r="CA904" t="str">
        <f>""</f>
        <v/>
      </c>
      <c r="CB904" t="s">
        <v>131</v>
      </c>
      <c r="CF904" t="s">
        <v>131</v>
      </c>
      <c r="CH904" t="str">
        <f>""</f>
        <v/>
      </c>
      <c r="CI904" t="s">
        <v>131</v>
      </c>
      <c r="CK904" t="s">
        <v>131</v>
      </c>
      <c r="CL904" t="str">
        <f>""</f>
        <v/>
      </c>
      <c r="CM904" t="str">
        <f>""</f>
        <v/>
      </c>
      <c r="CN904" t="str">
        <f>""</f>
        <v/>
      </c>
      <c r="CO904" t="str">
        <f>""</f>
        <v/>
      </c>
      <c r="CP904" t="str">
        <f>"51-6031.00"</f>
        <v>51-6031.00</v>
      </c>
      <c r="CQ904" t="s">
        <v>1339</v>
      </c>
      <c r="CR904" t="s">
        <v>4130</v>
      </c>
      <c r="CS904" t="s">
        <v>131</v>
      </c>
      <c r="CU904" t="s">
        <v>19509</v>
      </c>
      <c r="CW904" t="s">
        <v>2683</v>
      </c>
      <c r="CX904" t="s">
        <v>812</v>
      </c>
      <c r="CZ904" s="3" t="str">
        <f>"29340"</f>
        <v>29340</v>
      </c>
      <c r="DA904" t="s">
        <v>131</v>
      </c>
      <c r="DB904" t="str">
        <f>"51-6031"</f>
        <v>51-6031</v>
      </c>
      <c r="DC904" t="s">
        <v>1339</v>
      </c>
      <c r="DD904" t="s">
        <v>134</v>
      </c>
      <c r="DE904" t="s">
        <v>134</v>
      </c>
      <c r="DF904" t="str">
        <f>""</f>
        <v/>
      </c>
      <c r="DH904" s="6">
        <v>12.85</v>
      </c>
      <c r="DI904" t="s">
        <v>344</v>
      </c>
      <c r="DK904" t="s">
        <v>345</v>
      </c>
      <c r="DS904" s="6">
        <v>12.85</v>
      </c>
      <c r="DT904" t="s">
        <v>424</v>
      </c>
      <c r="DU904" s="1">
        <v>44375</v>
      </c>
      <c r="DV904" s="1">
        <v>44464</v>
      </c>
    </row>
    <row r="905" spans="1:126" ht="15" customHeight="1" x14ac:dyDescent="0.35">
      <c r="A905" t="s">
        <v>8994</v>
      </c>
      <c r="B905" t="s">
        <v>318</v>
      </c>
      <c r="C905" s="1">
        <v>44343</v>
      </c>
      <c r="D905" s="1">
        <v>44370</v>
      </c>
      <c r="H905" t="s">
        <v>319</v>
      </c>
      <c r="I905" t="s">
        <v>8995</v>
      </c>
      <c r="J905" t="s">
        <v>354</v>
      </c>
      <c r="L905" t="s">
        <v>395</v>
      </c>
      <c r="M905" t="s">
        <v>8996</v>
      </c>
      <c r="O905" t="s">
        <v>2683</v>
      </c>
      <c r="P905" t="s">
        <v>811</v>
      </c>
      <c r="Q905" s="3">
        <v>29340</v>
      </c>
      <c r="R905" t="s">
        <v>128</v>
      </c>
      <c r="T905" s="4">
        <v>18644870011</v>
      </c>
      <c r="V905" t="s">
        <v>8997</v>
      </c>
      <c r="W905" t="s">
        <v>8998</v>
      </c>
      <c r="Y905" t="s">
        <v>8996</v>
      </c>
      <c r="AA905" t="s">
        <v>2683</v>
      </c>
      <c r="AB905" t="s">
        <v>812</v>
      </c>
      <c r="AC905" s="3" t="str">
        <f>"29340"</f>
        <v>29340</v>
      </c>
      <c r="AD905" t="s">
        <v>128</v>
      </c>
      <c r="AF905" s="4">
        <v>18644870011</v>
      </c>
      <c r="AH905" t="str">
        <f>"314120"</f>
        <v>314120</v>
      </c>
      <c r="AI905" t="s">
        <v>130</v>
      </c>
      <c r="AJ905" t="s">
        <v>2029</v>
      </c>
      <c r="AK905" t="s">
        <v>1595</v>
      </c>
      <c r="AM905" t="s">
        <v>2030</v>
      </c>
      <c r="AO905" t="s">
        <v>1061</v>
      </c>
      <c r="AP905" t="s">
        <v>172</v>
      </c>
      <c r="AQ905" s="5">
        <v>91367</v>
      </c>
      <c r="AR905" t="s">
        <v>128</v>
      </c>
      <c r="AT905" s="4">
        <v>18184353500</v>
      </c>
      <c r="AV905" t="s">
        <v>2031</v>
      </c>
      <c r="AW905" t="s">
        <v>2032</v>
      </c>
      <c r="AX905" t="s">
        <v>131</v>
      </c>
      <c r="AY905" t="s">
        <v>131</v>
      </c>
      <c r="AZ905" t="s">
        <v>131</v>
      </c>
      <c r="BA905" t="s">
        <v>131</v>
      </c>
      <c r="BB905" t="s">
        <v>131</v>
      </c>
      <c r="BC905" t="s">
        <v>131</v>
      </c>
      <c r="BD905" t="s">
        <v>131</v>
      </c>
      <c r="BE905" t="s">
        <v>132</v>
      </c>
      <c r="BH905" t="s">
        <v>8999</v>
      </c>
      <c r="BI905" t="s">
        <v>131</v>
      </c>
      <c r="BL905" t="s">
        <v>167</v>
      </c>
      <c r="BO905" t="s">
        <v>131</v>
      </c>
      <c r="BP905" t="s">
        <v>134</v>
      </c>
      <c r="BQ905" t="s">
        <v>131</v>
      </c>
      <c r="BS905" t="str">
        <f t="shared" si="64"/>
        <v>N/A</v>
      </c>
      <c r="BT905" t="s">
        <v>131</v>
      </c>
      <c r="BV905" t="str">
        <f>""</f>
        <v/>
      </c>
      <c r="BW905" t="s">
        <v>131</v>
      </c>
      <c r="BX905" t="str">
        <f>""</f>
        <v/>
      </c>
      <c r="BY905" t="str">
        <f>""</f>
        <v/>
      </c>
      <c r="BZ905" t="str">
        <f>""</f>
        <v/>
      </c>
      <c r="CA905" t="str">
        <f>""</f>
        <v/>
      </c>
      <c r="CB905" t="s">
        <v>131</v>
      </c>
      <c r="CF905" t="s">
        <v>131</v>
      </c>
      <c r="CH905" t="str">
        <f>""</f>
        <v/>
      </c>
      <c r="CI905" t="s">
        <v>131</v>
      </c>
      <c r="CK905" t="s">
        <v>131</v>
      </c>
      <c r="CL905" t="str">
        <f>""</f>
        <v/>
      </c>
      <c r="CM905" t="str">
        <f>""</f>
        <v/>
      </c>
      <c r="CN905" t="str">
        <f>""</f>
        <v/>
      </c>
      <c r="CO905" t="str">
        <f>""</f>
        <v/>
      </c>
      <c r="CP905" t="str">
        <f>"51-6031.00"</f>
        <v>51-6031.00</v>
      </c>
      <c r="CQ905" t="s">
        <v>1339</v>
      </c>
      <c r="CR905" t="s">
        <v>4130</v>
      </c>
      <c r="CS905" t="s">
        <v>131</v>
      </c>
      <c r="CU905" t="s">
        <v>8996</v>
      </c>
      <c r="CW905" t="s">
        <v>2683</v>
      </c>
      <c r="CX905" t="s">
        <v>812</v>
      </c>
      <c r="CZ905" s="3" t="str">
        <f>"29340"</f>
        <v>29340</v>
      </c>
      <c r="DA905" t="s">
        <v>131</v>
      </c>
      <c r="DB905" t="str">
        <f>"51-6031"</f>
        <v>51-6031</v>
      </c>
      <c r="DC905" t="s">
        <v>1339</v>
      </c>
      <c r="DD905" t="s">
        <v>134</v>
      </c>
      <c r="DE905" t="s">
        <v>134</v>
      </c>
      <c r="DF905" t="str">
        <f>""</f>
        <v/>
      </c>
      <c r="DH905" s="6">
        <v>12.85</v>
      </c>
      <c r="DI905" t="s">
        <v>344</v>
      </c>
      <c r="DK905" t="s">
        <v>345</v>
      </c>
      <c r="DS905" s="6">
        <v>12.85</v>
      </c>
      <c r="DT905" t="s">
        <v>424</v>
      </c>
      <c r="DU905" s="1">
        <v>44370</v>
      </c>
      <c r="DV905" s="1">
        <v>44459</v>
      </c>
    </row>
    <row r="906" spans="1:126" ht="15" customHeight="1" x14ac:dyDescent="0.35">
      <c r="A906" t="s">
        <v>18246</v>
      </c>
      <c r="B906" t="s">
        <v>318</v>
      </c>
      <c r="C906" s="1">
        <v>44343</v>
      </c>
      <c r="D906" s="1">
        <v>44375</v>
      </c>
      <c r="H906" t="s">
        <v>319</v>
      </c>
      <c r="I906" t="s">
        <v>18247</v>
      </c>
      <c r="J906" t="s">
        <v>5927</v>
      </c>
      <c r="K906" t="s">
        <v>18248</v>
      </c>
      <c r="L906" t="s">
        <v>395</v>
      </c>
      <c r="M906" t="s">
        <v>18249</v>
      </c>
      <c r="N906" t="s">
        <v>18250</v>
      </c>
      <c r="O906" t="s">
        <v>2025</v>
      </c>
      <c r="P906" t="s">
        <v>194</v>
      </c>
      <c r="Q906" s="3">
        <v>33141</v>
      </c>
      <c r="R906" t="s">
        <v>128</v>
      </c>
      <c r="T906" s="4">
        <v>17863285408</v>
      </c>
      <c r="V906" t="s">
        <v>18251</v>
      </c>
      <c r="W906" t="s">
        <v>18252</v>
      </c>
      <c r="X906" t="s">
        <v>18252</v>
      </c>
      <c r="Y906" t="s">
        <v>18249</v>
      </c>
      <c r="Z906" t="s">
        <v>18250</v>
      </c>
      <c r="AA906" t="s">
        <v>18253</v>
      </c>
      <c r="AB906" t="s">
        <v>195</v>
      </c>
      <c r="AC906" s="3" t="str">
        <f>"33141"</f>
        <v>33141</v>
      </c>
      <c r="AD906" t="s">
        <v>128</v>
      </c>
      <c r="AF906" s="4">
        <v>17863285408</v>
      </c>
      <c r="AH906" t="str">
        <f>"561720"</f>
        <v>561720</v>
      </c>
      <c r="AI906" t="s">
        <v>167</v>
      </c>
      <c r="AX906" t="s">
        <v>131</v>
      </c>
      <c r="AY906" t="s">
        <v>131</v>
      </c>
      <c r="AZ906" t="s">
        <v>131</v>
      </c>
      <c r="BA906" t="s">
        <v>131</v>
      </c>
      <c r="BB906" t="s">
        <v>131</v>
      </c>
      <c r="BC906" t="s">
        <v>131</v>
      </c>
      <c r="BD906" t="s">
        <v>131</v>
      </c>
      <c r="BE906" t="s">
        <v>132</v>
      </c>
      <c r="BH906" t="s">
        <v>1639</v>
      </c>
      <c r="BI906" t="s">
        <v>131</v>
      </c>
      <c r="BL906" t="s">
        <v>167</v>
      </c>
      <c r="BO906" t="s">
        <v>131</v>
      </c>
      <c r="BP906" t="s">
        <v>134</v>
      </c>
      <c r="BQ906" t="s">
        <v>131</v>
      </c>
      <c r="BS906" t="str">
        <f t="shared" si="64"/>
        <v>N/A</v>
      </c>
      <c r="BT906" t="s">
        <v>135</v>
      </c>
      <c r="BU906">
        <v>1</v>
      </c>
      <c r="BV906" t="str">
        <f>"Housekeeper/Houseman"</f>
        <v>Housekeeper/Houseman</v>
      </c>
      <c r="BW906" t="s">
        <v>135</v>
      </c>
      <c r="BX906" t="str">
        <f>""</f>
        <v/>
      </c>
      <c r="BY906" t="str">
        <f>""</f>
        <v/>
      </c>
      <c r="BZ906" t="str">
        <f>""</f>
        <v/>
      </c>
      <c r="CA906" s="2" t="s">
        <v>18254</v>
      </c>
      <c r="CB906" t="s">
        <v>131</v>
      </c>
      <c r="CF906" t="s">
        <v>131</v>
      </c>
      <c r="CH906" t="str">
        <f>""</f>
        <v/>
      </c>
      <c r="CI906" t="s">
        <v>131</v>
      </c>
      <c r="CK906" t="s">
        <v>131</v>
      </c>
      <c r="CL906" t="str">
        <f>""</f>
        <v/>
      </c>
      <c r="CM906" t="str">
        <f>""</f>
        <v/>
      </c>
      <c r="CN906" t="str">
        <f>""</f>
        <v/>
      </c>
      <c r="CO906" t="str">
        <f>""</f>
        <v/>
      </c>
      <c r="CP906" t="str">
        <f>"37-2012.00"</f>
        <v>37-2012.00</v>
      </c>
      <c r="CQ906" t="s">
        <v>479</v>
      </c>
      <c r="CR906" t="s">
        <v>918</v>
      </c>
      <c r="CS906" t="s">
        <v>131</v>
      </c>
      <c r="CU906" t="s">
        <v>18255</v>
      </c>
      <c r="CW906" t="s">
        <v>2025</v>
      </c>
      <c r="CX906" t="s">
        <v>195</v>
      </c>
      <c r="CZ906" s="3" t="str">
        <f>"33141"</f>
        <v>33141</v>
      </c>
      <c r="DA906" t="s">
        <v>135</v>
      </c>
      <c r="DB906" t="str">
        <f>"37-2012"</f>
        <v>37-2012</v>
      </c>
      <c r="DC906" t="s">
        <v>479</v>
      </c>
      <c r="DD906" t="s">
        <v>134</v>
      </c>
      <c r="DE906" t="s">
        <v>134</v>
      </c>
      <c r="DF906" t="str">
        <f>""</f>
        <v/>
      </c>
      <c r="DH906" s="6">
        <v>11.7</v>
      </c>
      <c r="DI906" t="s">
        <v>344</v>
      </c>
      <c r="DK906" t="s">
        <v>345</v>
      </c>
      <c r="DR906" t="s">
        <v>2160</v>
      </c>
      <c r="DS906" s="6">
        <v>11.7</v>
      </c>
      <c r="DT906" t="s">
        <v>424</v>
      </c>
      <c r="DU906" s="1">
        <v>44375</v>
      </c>
      <c r="DV906" s="1">
        <v>44464</v>
      </c>
    </row>
    <row r="907" spans="1:126" ht="15" customHeight="1" x14ac:dyDescent="0.35">
      <c r="A907" t="s">
        <v>18768</v>
      </c>
      <c r="B907" t="s">
        <v>318</v>
      </c>
      <c r="C907" s="1">
        <v>44344</v>
      </c>
      <c r="D907" s="1">
        <v>44375</v>
      </c>
      <c r="H907" t="s">
        <v>319</v>
      </c>
      <c r="I907" t="s">
        <v>18769</v>
      </c>
      <c r="J907" t="s">
        <v>6984</v>
      </c>
      <c r="L907" t="s">
        <v>18770</v>
      </c>
      <c r="M907" t="s">
        <v>18771</v>
      </c>
      <c r="O907" t="s">
        <v>18772</v>
      </c>
      <c r="P907" t="s">
        <v>2878</v>
      </c>
      <c r="Q907" s="3">
        <v>96744</v>
      </c>
      <c r="R907" t="s">
        <v>128</v>
      </c>
      <c r="T907" s="4">
        <v>18082852604</v>
      </c>
      <c r="V907" t="s">
        <v>18773</v>
      </c>
      <c r="W907" t="s">
        <v>18774</v>
      </c>
      <c r="Y907" t="s">
        <v>18771</v>
      </c>
      <c r="AA907" t="s">
        <v>18772</v>
      </c>
      <c r="AB907" t="s">
        <v>2879</v>
      </c>
      <c r="AC907" s="3" t="str">
        <f>"96744"</f>
        <v>96744</v>
      </c>
      <c r="AD907" t="s">
        <v>128</v>
      </c>
      <c r="AF907" s="4">
        <v>18082852604</v>
      </c>
      <c r="AH907" t="str">
        <f>"621610"</f>
        <v>621610</v>
      </c>
      <c r="AI907" t="s">
        <v>167</v>
      </c>
      <c r="AX907" t="s">
        <v>131</v>
      </c>
      <c r="AY907" t="s">
        <v>131</v>
      </c>
      <c r="AZ907" t="s">
        <v>131</v>
      </c>
      <c r="BA907" t="s">
        <v>131</v>
      </c>
      <c r="BB907" t="s">
        <v>131</v>
      </c>
      <c r="BC907" t="s">
        <v>131</v>
      </c>
      <c r="BD907" t="s">
        <v>131</v>
      </c>
      <c r="BE907" t="s">
        <v>132</v>
      </c>
      <c r="BH907" t="s">
        <v>18775</v>
      </c>
      <c r="BI907" t="s">
        <v>131</v>
      </c>
      <c r="BL907" t="s">
        <v>133</v>
      </c>
      <c r="BN907" s="2" t="s">
        <v>18776</v>
      </c>
      <c r="BO907" t="s">
        <v>131</v>
      </c>
      <c r="BP907" t="s">
        <v>134</v>
      </c>
      <c r="BQ907" t="s">
        <v>131</v>
      </c>
      <c r="BS907" t="str">
        <f t="shared" si="64"/>
        <v>N/A</v>
      </c>
      <c r="BT907" t="s">
        <v>135</v>
      </c>
      <c r="BU907">
        <v>80</v>
      </c>
      <c r="BV907" t="str">
        <f>"Data Account Specialist/Data Analyst"</f>
        <v>Data Account Specialist/Data Analyst</v>
      </c>
      <c r="BW907" t="s">
        <v>131</v>
      </c>
      <c r="BX907" t="str">
        <f>""</f>
        <v/>
      </c>
      <c r="BY907" t="str">
        <f>""</f>
        <v/>
      </c>
      <c r="BZ907" t="str">
        <f>""</f>
        <v/>
      </c>
      <c r="CA907" t="str">
        <f>""</f>
        <v/>
      </c>
      <c r="CB907" t="s">
        <v>131</v>
      </c>
      <c r="CF907" t="s">
        <v>131</v>
      </c>
      <c r="CH907" t="str">
        <f>""</f>
        <v/>
      </c>
      <c r="CI907" t="s">
        <v>131</v>
      </c>
      <c r="CK907" t="s">
        <v>131</v>
      </c>
      <c r="CL907" t="str">
        <f>""</f>
        <v/>
      </c>
      <c r="CM907" t="str">
        <f>""</f>
        <v/>
      </c>
      <c r="CN907" t="str">
        <f>""</f>
        <v/>
      </c>
      <c r="CO907" t="str">
        <f>""</f>
        <v/>
      </c>
      <c r="CP907" t="str">
        <f>"43-6014.00"</f>
        <v>43-6014.00</v>
      </c>
      <c r="CQ907" t="s">
        <v>406</v>
      </c>
      <c r="CR907" t="s">
        <v>18775</v>
      </c>
      <c r="CS907" t="s">
        <v>131</v>
      </c>
      <c r="CU907" t="s">
        <v>18771</v>
      </c>
      <c r="CW907" t="s">
        <v>18772</v>
      </c>
      <c r="CX907" t="s">
        <v>2879</v>
      </c>
      <c r="CZ907" s="3" t="str">
        <f>"96744"</f>
        <v>96744</v>
      </c>
      <c r="DA907" t="s">
        <v>131</v>
      </c>
      <c r="DB907" t="str">
        <f>"43-6014"</f>
        <v>43-6014</v>
      </c>
      <c r="DC907" t="s">
        <v>406</v>
      </c>
      <c r="DD907" t="s">
        <v>134</v>
      </c>
      <c r="DE907" t="s">
        <v>134</v>
      </c>
      <c r="DF907" t="str">
        <f>""</f>
        <v/>
      </c>
      <c r="DH907" s="6">
        <v>21.07</v>
      </c>
      <c r="DI907" t="s">
        <v>344</v>
      </c>
      <c r="DK907" t="s">
        <v>345</v>
      </c>
      <c r="DR907" t="s">
        <v>18777</v>
      </c>
      <c r="DS907" s="6">
        <v>21.07</v>
      </c>
      <c r="DT907" t="s">
        <v>424</v>
      </c>
      <c r="DU907" s="1">
        <v>44375</v>
      </c>
      <c r="DV907" s="1">
        <v>44464</v>
      </c>
    </row>
    <row r="908" spans="1:126" ht="15" customHeight="1" x14ac:dyDescent="0.35">
      <c r="A908" t="s">
        <v>16806</v>
      </c>
      <c r="B908" t="s">
        <v>318</v>
      </c>
      <c r="C908" s="1">
        <v>44344</v>
      </c>
      <c r="D908" s="1">
        <v>44375</v>
      </c>
      <c r="H908" t="s">
        <v>319</v>
      </c>
      <c r="I908" t="s">
        <v>16807</v>
      </c>
      <c r="J908" t="s">
        <v>2753</v>
      </c>
      <c r="L908" t="s">
        <v>5000</v>
      </c>
      <c r="M908" t="s">
        <v>16808</v>
      </c>
      <c r="O908" t="s">
        <v>15834</v>
      </c>
      <c r="P908" t="s">
        <v>441</v>
      </c>
      <c r="Q908" s="3">
        <v>44026</v>
      </c>
      <c r="R908" t="s">
        <v>128</v>
      </c>
      <c r="T908" s="4">
        <v>14407293717</v>
      </c>
      <c r="V908" t="s">
        <v>16809</v>
      </c>
      <c r="W908" t="s">
        <v>16810</v>
      </c>
      <c r="X908" t="s">
        <v>16811</v>
      </c>
      <c r="Y908" t="s">
        <v>16808</v>
      </c>
      <c r="AA908" t="s">
        <v>15834</v>
      </c>
      <c r="AB908" t="s">
        <v>444</v>
      </c>
      <c r="AC908" s="3" t="str">
        <f>"44026"</f>
        <v>44026</v>
      </c>
      <c r="AD908" t="s">
        <v>128</v>
      </c>
      <c r="AF908" s="4">
        <v>14407293717</v>
      </c>
      <c r="AH908" t="str">
        <f>"56173"</f>
        <v>56173</v>
      </c>
      <c r="AI908" t="s">
        <v>130</v>
      </c>
      <c r="AJ908" t="s">
        <v>12450</v>
      </c>
      <c r="AK908" t="s">
        <v>813</v>
      </c>
      <c r="AM908" t="s">
        <v>16812</v>
      </c>
      <c r="AO908" t="s">
        <v>16813</v>
      </c>
      <c r="AP908" t="s">
        <v>444</v>
      </c>
      <c r="AQ908" s="5">
        <v>44024</v>
      </c>
      <c r="AR908" t="s">
        <v>128</v>
      </c>
      <c r="AT908" s="4">
        <v>14404875697</v>
      </c>
      <c r="AV908" t="s">
        <v>16814</v>
      </c>
      <c r="AW908" t="s">
        <v>16815</v>
      </c>
      <c r="AX908" t="s">
        <v>131</v>
      </c>
      <c r="AY908" t="s">
        <v>131</v>
      </c>
      <c r="AZ908" t="s">
        <v>131</v>
      </c>
      <c r="BA908" t="s">
        <v>131</v>
      </c>
      <c r="BB908" t="s">
        <v>131</v>
      </c>
      <c r="BC908" t="s">
        <v>131</v>
      </c>
      <c r="BD908" t="s">
        <v>131</v>
      </c>
      <c r="BE908" t="s">
        <v>132</v>
      </c>
      <c r="BH908" t="s">
        <v>2215</v>
      </c>
      <c r="BI908" t="s">
        <v>131</v>
      </c>
      <c r="BL908" t="s">
        <v>167</v>
      </c>
      <c r="BO908" t="s">
        <v>131</v>
      </c>
      <c r="BP908" t="s">
        <v>134</v>
      </c>
      <c r="BQ908" t="s">
        <v>131</v>
      </c>
      <c r="BS908" t="str">
        <f t="shared" si="64"/>
        <v>N/A</v>
      </c>
      <c r="BT908" t="s">
        <v>135</v>
      </c>
      <c r="BU908">
        <v>3</v>
      </c>
      <c r="BV908" t="str">
        <f>"Landscape Labor"</f>
        <v>Landscape Labor</v>
      </c>
      <c r="BW908" t="s">
        <v>135</v>
      </c>
      <c r="BX908" t="str">
        <f>""</f>
        <v/>
      </c>
      <c r="BY908" t="str">
        <f>""</f>
        <v/>
      </c>
      <c r="BZ908" t="str">
        <f>""</f>
        <v/>
      </c>
      <c r="CA908" t="str">
        <f>"Ability to lift/carry 50 lbs. Two references requested. Random drug/alcohol and background checks."</f>
        <v>Ability to lift/carry 50 lbs. Two references requested. Random drug/alcohol and background checks.</v>
      </c>
      <c r="CB908" t="s">
        <v>131</v>
      </c>
      <c r="CF908" t="s">
        <v>131</v>
      </c>
      <c r="CH908" t="str">
        <f>""</f>
        <v/>
      </c>
      <c r="CI908" t="s">
        <v>131</v>
      </c>
      <c r="CK908" t="s">
        <v>131</v>
      </c>
      <c r="CL908" t="str">
        <f>""</f>
        <v/>
      </c>
      <c r="CM908" t="str">
        <f>""</f>
        <v/>
      </c>
      <c r="CN908" t="str">
        <f>""</f>
        <v/>
      </c>
      <c r="CO908" t="str">
        <f>""</f>
        <v/>
      </c>
      <c r="CP908" t="str">
        <f>"37-3011.00"</f>
        <v>37-3011.00</v>
      </c>
      <c r="CQ908" t="s">
        <v>920</v>
      </c>
      <c r="CS908" t="s">
        <v>131</v>
      </c>
      <c r="CU908" t="s">
        <v>16808</v>
      </c>
      <c r="CW908" t="s">
        <v>15834</v>
      </c>
      <c r="CX908" t="s">
        <v>444</v>
      </c>
      <c r="CZ908" s="3" t="str">
        <f>"44026"</f>
        <v>44026</v>
      </c>
      <c r="DA908" t="s">
        <v>135</v>
      </c>
      <c r="DB908" t="str">
        <f>"37-3011"</f>
        <v>37-3011</v>
      </c>
      <c r="DC908" t="s">
        <v>920</v>
      </c>
      <c r="DD908" t="s">
        <v>134</v>
      </c>
      <c r="DE908" t="s">
        <v>134</v>
      </c>
      <c r="DF908" t="str">
        <f>""</f>
        <v/>
      </c>
      <c r="DH908" s="6">
        <v>16.350000000000001</v>
      </c>
      <c r="DI908" t="s">
        <v>344</v>
      </c>
      <c r="DK908" t="s">
        <v>345</v>
      </c>
      <c r="DR908" t="s">
        <v>16816</v>
      </c>
      <c r="DS908" s="6">
        <v>16.350000000000001</v>
      </c>
      <c r="DT908" t="s">
        <v>424</v>
      </c>
      <c r="DU908" s="1">
        <v>44375</v>
      </c>
      <c r="DV908" s="1">
        <v>44464</v>
      </c>
    </row>
    <row r="909" spans="1:126" ht="15" customHeight="1" x14ac:dyDescent="0.35">
      <c r="A909" t="s">
        <v>18171</v>
      </c>
      <c r="B909" t="s">
        <v>318</v>
      </c>
      <c r="C909" s="1">
        <v>44344</v>
      </c>
      <c r="D909" s="1">
        <v>44371</v>
      </c>
      <c r="H909" t="s">
        <v>319</v>
      </c>
      <c r="I909" t="s">
        <v>6885</v>
      </c>
      <c r="J909" t="s">
        <v>10771</v>
      </c>
      <c r="L909" t="s">
        <v>1031</v>
      </c>
      <c r="M909" t="s">
        <v>18172</v>
      </c>
      <c r="N909" t="s">
        <v>18173</v>
      </c>
      <c r="O909" t="s">
        <v>3399</v>
      </c>
      <c r="P909" t="s">
        <v>256</v>
      </c>
      <c r="Q909" s="3">
        <v>63011</v>
      </c>
      <c r="R909" t="s">
        <v>128</v>
      </c>
      <c r="T909" s="4">
        <v>13145832522</v>
      </c>
      <c r="V909" t="s">
        <v>1021</v>
      </c>
      <c r="W909" t="s">
        <v>18174</v>
      </c>
      <c r="Y909" t="s">
        <v>18172</v>
      </c>
      <c r="Z909" t="s">
        <v>18173</v>
      </c>
      <c r="AA909" t="s">
        <v>3399</v>
      </c>
      <c r="AB909" t="s">
        <v>258</v>
      </c>
      <c r="AC909" s="3" t="str">
        <f>"63011"</f>
        <v>63011</v>
      </c>
      <c r="AD909" t="s">
        <v>128</v>
      </c>
      <c r="AF909" s="4">
        <v>13145832522</v>
      </c>
      <c r="AH909" t="str">
        <f>"56173"</f>
        <v>56173</v>
      </c>
      <c r="AI909" t="s">
        <v>287</v>
      </c>
      <c r="AJ909" t="s">
        <v>1024</v>
      </c>
      <c r="AK909" t="s">
        <v>1025</v>
      </c>
      <c r="AM909" t="s">
        <v>1026</v>
      </c>
      <c r="AO909" t="s">
        <v>1027</v>
      </c>
      <c r="AP909" t="s">
        <v>129</v>
      </c>
      <c r="AQ909" s="5">
        <v>11590</v>
      </c>
      <c r="AR909" t="s">
        <v>128</v>
      </c>
      <c r="AT909" s="4">
        <v>15163307168</v>
      </c>
      <c r="AV909" t="s">
        <v>1021</v>
      </c>
      <c r="AW909" t="s">
        <v>1028</v>
      </c>
      <c r="AX909" t="s">
        <v>131</v>
      </c>
      <c r="AY909" t="s">
        <v>131</v>
      </c>
      <c r="AZ909" t="s">
        <v>131</v>
      </c>
      <c r="BA909" t="s">
        <v>131</v>
      </c>
      <c r="BB909" t="s">
        <v>131</v>
      </c>
      <c r="BC909" t="s">
        <v>131</v>
      </c>
      <c r="BD909" t="s">
        <v>131</v>
      </c>
      <c r="BE909" t="s">
        <v>132</v>
      </c>
      <c r="BH909" t="s">
        <v>5067</v>
      </c>
      <c r="BI909" t="s">
        <v>131</v>
      </c>
      <c r="BL909" t="s">
        <v>167</v>
      </c>
      <c r="BO909" t="s">
        <v>131</v>
      </c>
      <c r="BP909" t="s">
        <v>134</v>
      </c>
      <c r="BQ909" t="s">
        <v>131</v>
      </c>
      <c r="BS909" t="str">
        <f t="shared" si="64"/>
        <v>N/A</v>
      </c>
      <c r="BT909" t="s">
        <v>131</v>
      </c>
      <c r="BV909" t="str">
        <f>""</f>
        <v/>
      </c>
      <c r="BW909" t="s">
        <v>131</v>
      </c>
      <c r="BX909" t="str">
        <f>""</f>
        <v/>
      </c>
      <c r="BY909" t="str">
        <f>""</f>
        <v/>
      </c>
      <c r="BZ909" t="str">
        <f>""</f>
        <v/>
      </c>
      <c r="CA909" t="str">
        <f>""</f>
        <v/>
      </c>
      <c r="CB909" t="s">
        <v>131</v>
      </c>
      <c r="CF909" t="s">
        <v>131</v>
      </c>
      <c r="CH909" t="str">
        <f>""</f>
        <v/>
      </c>
      <c r="CI909" t="s">
        <v>131</v>
      </c>
      <c r="CK909" t="s">
        <v>131</v>
      </c>
      <c r="CL909" t="str">
        <f>""</f>
        <v/>
      </c>
      <c r="CM909" t="str">
        <f>""</f>
        <v/>
      </c>
      <c r="CN909" t="str">
        <f>""</f>
        <v/>
      </c>
      <c r="CO909" t="str">
        <f>""</f>
        <v/>
      </c>
      <c r="CP909" t="str">
        <f>"37-3011.00"</f>
        <v>37-3011.00</v>
      </c>
      <c r="CQ909" t="s">
        <v>920</v>
      </c>
      <c r="CR909" t="s">
        <v>1031</v>
      </c>
      <c r="CS909" t="s">
        <v>135</v>
      </c>
      <c r="CT909" s="2" t="s">
        <v>13276</v>
      </c>
      <c r="CU909" t="s">
        <v>18175</v>
      </c>
      <c r="CW909" t="s">
        <v>8787</v>
      </c>
      <c r="CX909" t="s">
        <v>258</v>
      </c>
      <c r="CZ909" s="3" t="str">
        <f>"63005"</f>
        <v>63005</v>
      </c>
      <c r="DA909" t="s">
        <v>135</v>
      </c>
      <c r="DB909" t="str">
        <f>"37-3011"</f>
        <v>37-3011</v>
      </c>
      <c r="DC909" t="s">
        <v>920</v>
      </c>
      <c r="DD909" t="s">
        <v>134</v>
      </c>
      <c r="DE909" t="s">
        <v>134</v>
      </c>
      <c r="DF909" t="str">
        <f>""</f>
        <v/>
      </c>
      <c r="DH909" s="6">
        <v>15.37</v>
      </c>
      <c r="DI909" t="s">
        <v>344</v>
      </c>
      <c r="DK909" t="s">
        <v>345</v>
      </c>
      <c r="DR909" t="s">
        <v>4139</v>
      </c>
      <c r="DS909" s="6">
        <v>15.37</v>
      </c>
      <c r="DT909" s="2" t="s">
        <v>347</v>
      </c>
      <c r="DU909" s="1">
        <v>44371</v>
      </c>
      <c r="DV909" s="1">
        <v>44460</v>
      </c>
    </row>
    <row r="910" spans="1:126" ht="15" customHeight="1" x14ac:dyDescent="0.35">
      <c r="A910" t="s">
        <v>19919</v>
      </c>
      <c r="B910" t="s">
        <v>318</v>
      </c>
      <c r="C910" s="1">
        <v>44344</v>
      </c>
      <c r="D910" s="1">
        <v>44371</v>
      </c>
      <c r="H910" t="s">
        <v>319</v>
      </c>
      <c r="I910" t="s">
        <v>5477</v>
      </c>
      <c r="J910" t="s">
        <v>3932</v>
      </c>
      <c r="L910" t="s">
        <v>349</v>
      </c>
      <c r="M910" t="s">
        <v>19920</v>
      </c>
      <c r="O910" t="s">
        <v>19921</v>
      </c>
      <c r="P910" t="s">
        <v>273</v>
      </c>
      <c r="Q910" s="3">
        <v>8103</v>
      </c>
      <c r="R910" t="s">
        <v>128</v>
      </c>
      <c r="T910" s="4">
        <v>18568699293</v>
      </c>
      <c r="U910">
        <v>234</v>
      </c>
      <c r="V910" t="s">
        <v>19922</v>
      </c>
      <c r="W910" t="s">
        <v>19923</v>
      </c>
      <c r="Y910" t="s">
        <v>19924</v>
      </c>
      <c r="AA910" t="s">
        <v>19921</v>
      </c>
      <c r="AB910" t="s">
        <v>276</v>
      </c>
      <c r="AC910" s="3" t="str">
        <f>"08108"</f>
        <v>08108</v>
      </c>
      <c r="AD910" t="s">
        <v>128</v>
      </c>
      <c r="AF910" s="4">
        <v>18568699293</v>
      </c>
      <c r="AH910" t="str">
        <f>"424470"</f>
        <v>424470</v>
      </c>
      <c r="AI910" t="s">
        <v>130</v>
      </c>
      <c r="AJ910" t="s">
        <v>12450</v>
      </c>
      <c r="AK910" t="s">
        <v>3804</v>
      </c>
      <c r="AL910" t="s">
        <v>474</v>
      </c>
      <c r="AM910" t="s">
        <v>927</v>
      </c>
      <c r="AN910" t="s">
        <v>19925</v>
      </c>
      <c r="AO910" t="s">
        <v>928</v>
      </c>
      <c r="AP910" t="s">
        <v>925</v>
      </c>
      <c r="AQ910" s="5">
        <v>4101</v>
      </c>
      <c r="AR910" t="s">
        <v>128</v>
      </c>
      <c r="AT910" s="4">
        <v>12076137331</v>
      </c>
      <c r="AV910" t="s">
        <v>14471</v>
      </c>
      <c r="AW910" t="s">
        <v>19926</v>
      </c>
      <c r="AX910" t="s">
        <v>131</v>
      </c>
      <c r="AY910" t="s">
        <v>131</v>
      </c>
      <c r="AZ910" t="s">
        <v>131</v>
      </c>
      <c r="BA910" t="s">
        <v>131</v>
      </c>
      <c r="BB910" t="s">
        <v>131</v>
      </c>
      <c r="BC910" t="s">
        <v>131</v>
      </c>
      <c r="BD910" t="s">
        <v>131</v>
      </c>
      <c r="BE910" t="s">
        <v>132</v>
      </c>
      <c r="BH910" t="s">
        <v>19927</v>
      </c>
      <c r="BI910" t="s">
        <v>131</v>
      </c>
      <c r="BL910" t="s">
        <v>401</v>
      </c>
      <c r="BO910" t="s">
        <v>131</v>
      </c>
      <c r="BP910" t="s">
        <v>134</v>
      </c>
      <c r="BQ910" t="s">
        <v>131</v>
      </c>
      <c r="BS910" t="str">
        <f t="shared" si="64"/>
        <v>N/A</v>
      </c>
      <c r="BT910" t="s">
        <v>131</v>
      </c>
      <c r="BV910" t="str">
        <f>"food production or food warehouse experience"</f>
        <v>food production or food warehouse experience</v>
      </c>
      <c r="BW910" t="s">
        <v>131</v>
      </c>
      <c r="BX910" t="str">
        <f>""</f>
        <v/>
      </c>
      <c r="BY910" t="str">
        <f>""</f>
        <v/>
      </c>
      <c r="BZ910" t="str">
        <f>""</f>
        <v/>
      </c>
      <c r="CA910" t="str">
        <f>""</f>
        <v/>
      </c>
      <c r="CB910" t="s">
        <v>131</v>
      </c>
      <c r="CF910" t="s">
        <v>131</v>
      </c>
      <c r="CH910" t="str">
        <f>""</f>
        <v/>
      </c>
      <c r="CI910" t="s">
        <v>131</v>
      </c>
      <c r="CK910" t="s">
        <v>131</v>
      </c>
      <c r="CL910" t="str">
        <f>""</f>
        <v/>
      </c>
      <c r="CM910" t="str">
        <f>""</f>
        <v/>
      </c>
      <c r="CN910" t="str">
        <f>""</f>
        <v/>
      </c>
      <c r="CO910" t="str">
        <f>""</f>
        <v/>
      </c>
      <c r="CP910" t="str">
        <f>"53-7062.00"</f>
        <v>53-7062.00</v>
      </c>
      <c r="CQ910" t="s">
        <v>1030</v>
      </c>
      <c r="CS910" t="s">
        <v>131</v>
      </c>
      <c r="CU910" t="s">
        <v>19928</v>
      </c>
      <c r="CW910" t="s">
        <v>19921</v>
      </c>
      <c r="CX910" t="s">
        <v>276</v>
      </c>
      <c r="CZ910" s="3" t="str">
        <f>"08103"</f>
        <v>08103</v>
      </c>
      <c r="DA910" t="s">
        <v>131</v>
      </c>
      <c r="DB910" t="str">
        <f>"53-7062"</f>
        <v>53-7062</v>
      </c>
      <c r="DC910" t="s">
        <v>1030</v>
      </c>
      <c r="DD910" t="s">
        <v>134</v>
      </c>
      <c r="DE910" t="s">
        <v>134</v>
      </c>
      <c r="DF910" t="str">
        <f>""</f>
        <v/>
      </c>
      <c r="DH910" s="6">
        <v>15.87</v>
      </c>
      <c r="DI910" t="s">
        <v>344</v>
      </c>
      <c r="DK910" t="s">
        <v>345</v>
      </c>
      <c r="DS910" s="6">
        <v>15.87</v>
      </c>
      <c r="DT910" t="s">
        <v>424</v>
      </c>
      <c r="DU910" s="1">
        <v>44371</v>
      </c>
      <c r="DV910" s="1">
        <v>44460</v>
      </c>
    </row>
    <row r="911" spans="1:126" ht="15" customHeight="1" x14ac:dyDescent="0.35">
      <c r="A911" t="s">
        <v>13969</v>
      </c>
      <c r="B911" t="s">
        <v>318</v>
      </c>
      <c r="C911" s="1">
        <v>44344</v>
      </c>
      <c r="D911" s="1">
        <v>44371</v>
      </c>
      <c r="H911" t="s">
        <v>319</v>
      </c>
      <c r="I911" t="s">
        <v>13970</v>
      </c>
      <c r="J911" t="s">
        <v>13971</v>
      </c>
      <c r="L911" t="s">
        <v>1031</v>
      </c>
      <c r="M911" t="s">
        <v>13972</v>
      </c>
      <c r="O911" t="s">
        <v>5314</v>
      </c>
      <c r="P911" t="s">
        <v>127</v>
      </c>
      <c r="Q911" s="3">
        <v>11969</v>
      </c>
      <c r="R911" t="s">
        <v>128</v>
      </c>
      <c r="T911" s="4">
        <v>16312877664</v>
      </c>
      <c r="V911" t="s">
        <v>1021</v>
      </c>
      <c r="W911" t="s">
        <v>13973</v>
      </c>
      <c r="Y911" t="s">
        <v>13972</v>
      </c>
      <c r="AA911" t="s">
        <v>5314</v>
      </c>
      <c r="AB911" t="s">
        <v>129</v>
      </c>
      <c r="AC911" s="3" t="str">
        <f>"11969"</f>
        <v>11969</v>
      </c>
      <c r="AD911" t="s">
        <v>128</v>
      </c>
      <c r="AF911" s="4">
        <v>16312877664</v>
      </c>
      <c r="AH911" t="str">
        <f>"56173"</f>
        <v>56173</v>
      </c>
      <c r="AI911" t="s">
        <v>287</v>
      </c>
      <c r="AJ911" t="s">
        <v>1024</v>
      </c>
      <c r="AK911" t="s">
        <v>1025</v>
      </c>
      <c r="AM911" t="s">
        <v>1026</v>
      </c>
      <c r="AO911" t="s">
        <v>1027</v>
      </c>
      <c r="AP911" t="s">
        <v>129</v>
      </c>
      <c r="AQ911" s="5">
        <v>11590</v>
      </c>
      <c r="AR911" t="s">
        <v>128</v>
      </c>
      <c r="AT911" s="4">
        <v>15163307168</v>
      </c>
      <c r="AV911" t="s">
        <v>1021</v>
      </c>
      <c r="AW911" t="s">
        <v>1028</v>
      </c>
      <c r="AX911" t="s">
        <v>131</v>
      </c>
      <c r="AY911" t="s">
        <v>131</v>
      </c>
      <c r="AZ911" t="s">
        <v>131</v>
      </c>
      <c r="BA911" t="s">
        <v>131</v>
      </c>
      <c r="BB911" t="s">
        <v>131</v>
      </c>
      <c r="BC911" t="s">
        <v>131</v>
      </c>
      <c r="BD911" t="s">
        <v>131</v>
      </c>
      <c r="BE911" t="s">
        <v>132</v>
      </c>
      <c r="BH911" t="s">
        <v>5067</v>
      </c>
      <c r="BI911" t="s">
        <v>131</v>
      </c>
      <c r="BL911" t="s">
        <v>167</v>
      </c>
      <c r="BO911" t="s">
        <v>131</v>
      </c>
      <c r="BP911" t="s">
        <v>134</v>
      </c>
      <c r="BQ911" t="s">
        <v>131</v>
      </c>
      <c r="BS911" t="str">
        <f t="shared" si="64"/>
        <v>N/A</v>
      </c>
      <c r="BT911" t="s">
        <v>131</v>
      </c>
      <c r="BV911" t="str">
        <f>""</f>
        <v/>
      </c>
      <c r="BW911" t="s">
        <v>131</v>
      </c>
      <c r="BX911" t="str">
        <f>""</f>
        <v/>
      </c>
      <c r="BY911" t="str">
        <f>""</f>
        <v/>
      </c>
      <c r="BZ911" t="str">
        <f>""</f>
        <v/>
      </c>
      <c r="CA911" t="str">
        <f>""</f>
        <v/>
      </c>
      <c r="CB911" t="s">
        <v>131</v>
      </c>
      <c r="CF911" t="s">
        <v>131</v>
      </c>
      <c r="CH911" t="str">
        <f>""</f>
        <v/>
      </c>
      <c r="CI911" t="s">
        <v>131</v>
      </c>
      <c r="CK911" t="s">
        <v>131</v>
      </c>
      <c r="CL911" t="str">
        <f>""</f>
        <v/>
      </c>
      <c r="CM911" t="str">
        <f>""</f>
        <v/>
      </c>
      <c r="CN911" t="str">
        <f>""</f>
        <v/>
      </c>
      <c r="CO911" t="str">
        <f>""</f>
        <v/>
      </c>
      <c r="CP911" t="str">
        <f>"37-3011.00"</f>
        <v>37-3011.00</v>
      </c>
      <c r="CQ911" t="s">
        <v>920</v>
      </c>
      <c r="CR911" t="s">
        <v>5068</v>
      </c>
      <c r="CS911" t="s">
        <v>135</v>
      </c>
      <c r="CT911" t="s">
        <v>10332</v>
      </c>
      <c r="CU911" t="s">
        <v>13974</v>
      </c>
      <c r="CW911" t="s">
        <v>5314</v>
      </c>
      <c r="CX911" t="s">
        <v>129</v>
      </c>
      <c r="CZ911" s="3" t="str">
        <f>"11968"</f>
        <v>11968</v>
      </c>
      <c r="DA911" t="s">
        <v>135</v>
      </c>
      <c r="DB911" t="str">
        <f>"37-3011"</f>
        <v>37-3011</v>
      </c>
      <c r="DC911" t="s">
        <v>920</v>
      </c>
      <c r="DD911" t="s">
        <v>134</v>
      </c>
      <c r="DE911" t="s">
        <v>134</v>
      </c>
      <c r="DF911" t="str">
        <f>""</f>
        <v/>
      </c>
      <c r="DH911" s="6">
        <v>17.75</v>
      </c>
      <c r="DI911" t="s">
        <v>344</v>
      </c>
      <c r="DK911" t="s">
        <v>345</v>
      </c>
      <c r="DR911" t="s">
        <v>346</v>
      </c>
      <c r="DS911" s="6">
        <v>17.75</v>
      </c>
      <c r="DT911" s="2" t="s">
        <v>347</v>
      </c>
      <c r="DU911" s="1">
        <v>44371</v>
      </c>
      <c r="DV911" s="1">
        <v>44460</v>
      </c>
    </row>
    <row r="912" spans="1:126" ht="15" customHeight="1" x14ac:dyDescent="0.35">
      <c r="A912" t="s">
        <v>19540</v>
      </c>
      <c r="B912" t="s">
        <v>318</v>
      </c>
      <c r="C912" s="1">
        <v>44344</v>
      </c>
      <c r="D912" s="1">
        <v>44371</v>
      </c>
      <c r="H912" t="s">
        <v>319</v>
      </c>
      <c r="I912" t="s">
        <v>462</v>
      </c>
      <c r="J912" t="s">
        <v>463</v>
      </c>
      <c r="L912" t="s">
        <v>464</v>
      </c>
      <c r="M912" t="s">
        <v>465</v>
      </c>
      <c r="O912" t="s">
        <v>466</v>
      </c>
      <c r="P912" t="s">
        <v>467</v>
      </c>
      <c r="Q912" s="3">
        <v>80021</v>
      </c>
      <c r="R912" t="s">
        <v>128</v>
      </c>
      <c r="T912" s="4">
        <v>13034041800</v>
      </c>
      <c r="V912" t="s">
        <v>468</v>
      </c>
      <c r="W912" t="s">
        <v>19541</v>
      </c>
      <c r="X912" t="s">
        <v>14231</v>
      </c>
      <c r="Y912" t="s">
        <v>14232</v>
      </c>
      <c r="AA912" t="s">
        <v>8876</v>
      </c>
      <c r="AB912" t="s">
        <v>471</v>
      </c>
      <c r="AC912" s="3" t="str">
        <f>"12442"</f>
        <v>12442</v>
      </c>
      <c r="AD912" t="s">
        <v>128</v>
      </c>
      <c r="AF912" s="4">
        <v>13034041800</v>
      </c>
      <c r="AH912" t="str">
        <f>"721110"</f>
        <v>721110</v>
      </c>
      <c r="AI912" t="s">
        <v>130</v>
      </c>
      <c r="AJ912" t="s">
        <v>472</v>
      </c>
      <c r="AK912" t="s">
        <v>473</v>
      </c>
      <c r="AL912" t="s">
        <v>474</v>
      </c>
      <c r="AM912" t="s">
        <v>475</v>
      </c>
      <c r="AN912" t="s">
        <v>439</v>
      </c>
      <c r="AO912" t="s">
        <v>476</v>
      </c>
      <c r="AP912" t="s">
        <v>172</v>
      </c>
      <c r="AQ912" s="5">
        <v>90071</v>
      </c>
      <c r="AR912" t="s">
        <v>128</v>
      </c>
      <c r="AT912" s="4">
        <v>13108203322</v>
      </c>
      <c r="AV912" t="s">
        <v>477</v>
      </c>
      <c r="AW912" t="s">
        <v>386</v>
      </c>
      <c r="AX912" t="s">
        <v>131</v>
      </c>
      <c r="AY912" t="s">
        <v>131</v>
      </c>
      <c r="AZ912" t="s">
        <v>131</v>
      </c>
      <c r="BA912" t="s">
        <v>131</v>
      </c>
      <c r="BB912" t="s">
        <v>131</v>
      </c>
      <c r="BC912" t="s">
        <v>131</v>
      </c>
      <c r="BD912" t="s">
        <v>131</v>
      </c>
      <c r="BE912" t="s">
        <v>132</v>
      </c>
      <c r="BH912" t="s">
        <v>478</v>
      </c>
      <c r="BI912" t="s">
        <v>131</v>
      </c>
      <c r="BL912" t="s">
        <v>167</v>
      </c>
      <c r="BO912" t="s">
        <v>131</v>
      </c>
      <c r="BP912" t="s">
        <v>134</v>
      </c>
      <c r="BQ912" t="s">
        <v>131</v>
      </c>
      <c r="BS912" t="str">
        <f t="shared" si="64"/>
        <v>N/A</v>
      </c>
      <c r="BT912" t="s">
        <v>135</v>
      </c>
      <c r="BU912">
        <v>12</v>
      </c>
      <c r="BV912" t="str">
        <f>"MAID, HOUSEKEEPING CLEANER OR RELATED"</f>
        <v>MAID, HOUSEKEEPING CLEANER OR RELATED</v>
      </c>
      <c r="BW912" t="s">
        <v>135</v>
      </c>
      <c r="BX912" t="str">
        <f>""</f>
        <v/>
      </c>
      <c r="BY912" t="str">
        <f>""</f>
        <v/>
      </c>
      <c r="BZ912" t="str">
        <f>""</f>
        <v/>
      </c>
      <c r="CA912" t="str">
        <f>"MUST BE ABLE TO LIFT 50 LBS. MUST BE ABLE TO STAND FOR EXTENDED PERIODS OF TIME. MUST HAVE A MINIMUM OF 1 YEAR OF HOUSEKEEPING EXPERIENCE."</f>
        <v>MUST BE ABLE TO LIFT 50 LBS. MUST BE ABLE TO STAND FOR EXTENDED PERIODS OF TIME. MUST HAVE A MINIMUM OF 1 YEAR OF HOUSEKEEPING EXPERIENCE.</v>
      </c>
      <c r="CB912" t="s">
        <v>131</v>
      </c>
      <c r="CF912" t="s">
        <v>131</v>
      </c>
      <c r="CH912" t="str">
        <f>""</f>
        <v/>
      </c>
      <c r="CI912" t="s">
        <v>131</v>
      </c>
      <c r="CK912" t="s">
        <v>131</v>
      </c>
      <c r="CL912" t="str">
        <f>""</f>
        <v/>
      </c>
      <c r="CM912" t="str">
        <f>""</f>
        <v/>
      </c>
      <c r="CN912" t="str">
        <f>""</f>
        <v/>
      </c>
      <c r="CO912" t="str">
        <f>""</f>
        <v/>
      </c>
      <c r="CP912" t="str">
        <f>"37-2012.00"</f>
        <v>37-2012.00</v>
      </c>
      <c r="CQ912" t="s">
        <v>479</v>
      </c>
      <c r="CR912" t="s">
        <v>479</v>
      </c>
      <c r="CS912" t="s">
        <v>131</v>
      </c>
      <c r="CU912" t="s">
        <v>14232</v>
      </c>
      <c r="CW912" t="s">
        <v>8876</v>
      </c>
      <c r="CX912" t="s">
        <v>129</v>
      </c>
      <c r="CZ912" s="3" t="str">
        <f>"12442"</f>
        <v>12442</v>
      </c>
      <c r="DA912" t="s">
        <v>131</v>
      </c>
      <c r="DB912" t="str">
        <f>"37-2012"</f>
        <v>37-2012</v>
      </c>
      <c r="DC912" t="s">
        <v>479</v>
      </c>
      <c r="DD912" t="s">
        <v>134</v>
      </c>
      <c r="DE912" t="s">
        <v>134</v>
      </c>
      <c r="DF912" t="str">
        <f>""</f>
        <v/>
      </c>
      <c r="DH912" s="6">
        <v>17.34</v>
      </c>
      <c r="DI912" t="s">
        <v>344</v>
      </c>
      <c r="DK912" t="s">
        <v>345</v>
      </c>
      <c r="DS912" s="6">
        <v>17.34</v>
      </c>
      <c r="DT912" t="s">
        <v>424</v>
      </c>
      <c r="DU912" s="1">
        <v>44371</v>
      </c>
      <c r="DV912" s="1">
        <v>44460</v>
      </c>
    </row>
    <row r="913" spans="1:126" ht="15" customHeight="1" x14ac:dyDescent="0.35">
      <c r="A913" t="s">
        <v>13783</v>
      </c>
      <c r="B913" t="s">
        <v>318</v>
      </c>
      <c r="C913" s="1">
        <v>44344</v>
      </c>
      <c r="D913" s="1">
        <v>44371</v>
      </c>
      <c r="H913" t="s">
        <v>319</v>
      </c>
      <c r="I913" t="s">
        <v>13784</v>
      </c>
      <c r="J913" t="s">
        <v>5399</v>
      </c>
      <c r="L913" t="s">
        <v>1031</v>
      </c>
      <c r="M913" t="s">
        <v>13785</v>
      </c>
      <c r="O913" t="s">
        <v>13786</v>
      </c>
      <c r="P913" t="s">
        <v>127</v>
      </c>
      <c r="Q913" s="3">
        <v>11975</v>
      </c>
      <c r="R913" t="s">
        <v>128</v>
      </c>
      <c r="T913" s="4">
        <v>16315379500</v>
      </c>
      <c r="V913" t="s">
        <v>1021</v>
      </c>
      <c r="W913" t="s">
        <v>13787</v>
      </c>
      <c r="Y913" t="s">
        <v>13785</v>
      </c>
      <c r="AA913" t="s">
        <v>13786</v>
      </c>
      <c r="AB913" t="s">
        <v>129</v>
      </c>
      <c r="AC913" s="3" t="str">
        <f>"11975"</f>
        <v>11975</v>
      </c>
      <c r="AD913" t="s">
        <v>128</v>
      </c>
      <c r="AF913" s="4">
        <v>16315379500</v>
      </c>
      <c r="AH913" t="str">
        <f>"56173"</f>
        <v>56173</v>
      </c>
      <c r="AI913" t="s">
        <v>287</v>
      </c>
      <c r="AJ913" t="s">
        <v>1024</v>
      </c>
      <c r="AK913" t="s">
        <v>1025</v>
      </c>
      <c r="AM913" t="s">
        <v>1026</v>
      </c>
      <c r="AO913" t="s">
        <v>1027</v>
      </c>
      <c r="AP913" t="s">
        <v>129</v>
      </c>
      <c r="AQ913" s="5">
        <v>11590</v>
      </c>
      <c r="AR913" t="s">
        <v>128</v>
      </c>
      <c r="AT913" s="4">
        <v>15163307168</v>
      </c>
      <c r="AV913" t="s">
        <v>1021</v>
      </c>
      <c r="AW913" t="s">
        <v>1028</v>
      </c>
      <c r="AX913" t="s">
        <v>131</v>
      </c>
      <c r="AY913" t="s">
        <v>131</v>
      </c>
      <c r="AZ913" t="s">
        <v>131</v>
      </c>
      <c r="BA913" t="s">
        <v>131</v>
      </c>
      <c r="BB913" t="s">
        <v>131</v>
      </c>
      <c r="BC913" t="s">
        <v>131</v>
      </c>
      <c r="BD913" t="s">
        <v>131</v>
      </c>
      <c r="BE913" t="s">
        <v>132</v>
      </c>
      <c r="BH913" t="s">
        <v>5067</v>
      </c>
      <c r="BI913" t="s">
        <v>131</v>
      </c>
      <c r="BL913" t="s">
        <v>167</v>
      </c>
      <c r="BO913" t="s">
        <v>131</v>
      </c>
      <c r="BP913" t="s">
        <v>134</v>
      </c>
      <c r="BQ913" t="s">
        <v>131</v>
      </c>
      <c r="BS913" t="str">
        <f t="shared" si="64"/>
        <v>N/A</v>
      </c>
      <c r="BT913" t="s">
        <v>131</v>
      </c>
      <c r="BV913" t="str">
        <f>""</f>
        <v/>
      </c>
      <c r="BW913" t="s">
        <v>131</v>
      </c>
      <c r="BX913" t="str">
        <f>""</f>
        <v/>
      </c>
      <c r="BY913" t="str">
        <f>""</f>
        <v/>
      </c>
      <c r="BZ913" t="str">
        <f>""</f>
        <v/>
      </c>
      <c r="CA913" t="str">
        <f>""</f>
        <v/>
      </c>
      <c r="CB913" t="s">
        <v>131</v>
      </c>
      <c r="CF913" t="s">
        <v>131</v>
      </c>
      <c r="CH913" t="str">
        <f>""</f>
        <v/>
      </c>
      <c r="CI913" t="s">
        <v>131</v>
      </c>
      <c r="CK913" t="s">
        <v>131</v>
      </c>
      <c r="CL913" t="str">
        <f>""</f>
        <v/>
      </c>
      <c r="CM913" t="str">
        <f>""</f>
        <v/>
      </c>
      <c r="CN913" t="str">
        <f>""</f>
        <v/>
      </c>
      <c r="CO913" t="str">
        <f>""</f>
        <v/>
      </c>
      <c r="CP913" t="str">
        <f>"37-3011.00"</f>
        <v>37-3011.00</v>
      </c>
      <c r="CQ913" t="s">
        <v>920</v>
      </c>
      <c r="CR913" t="s">
        <v>5068</v>
      </c>
      <c r="CS913" t="s">
        <v>135</v>
      </c>
      <c r="CT913" t="s">
        <v>13788</v>
      </c>
      <c r="CU913" t="s">
        <v>13789</v>
      </c>
      <c r="CW913" t="s">
        <v>5314</v>
      </c>
      <c r="CX913" t="s">
        <v>129</v>
      </c>
      <c r="CZ913" s="3" t="str">
        <f>"11968"</f>
        <v>11968</v>
      </c>
      <c r="DA913" t="s">
        <v>135</v>
      </c>
      <c r="DB913" t="str">
        <f>"37-3011"</f>
        <v>37-3011</v>
      </c>
      <c r="DC913" t="s">
        <v>920</v>
      </c>
      <c r="DD913" t="s">
        <v>134</v>
      </c>
      <c r="DE913" t="s">
        <v>134</v>
      </c>
      <c r="DF913" t="str">
        <f>""</f>
        <v/>
      </c>
      <c r="DH913" s="6">
        <v>17.75</v>
      </c>
      <c r="DI913" t="s">
        <v>344</v>
      </c>
      <c r="DK913" t="s">
        <v>345</v>
      </c>
      <c r="DR913" t="s">
        <v>346</v>
      </c>
      <c r="DS913" s="6">
        <v>17.75</v>
      </c>
      <c r="DT913" s="2" t="s">
        <v>347</v>
      </c>
      <c r="DU913" s="1">
        <v>44371</v>
      </c>
      <c r="DV913" s="1">
        <v>44460</v>
      </c>
    </row>
    <row r="914" spans="1:126" ht="15" customHeight="1" x14ac:dyDescent="0.35">
      <c r="A914" t="s">
        <v>6284</v>
      </c>
      <c r="B914" t="s">
        <v>318</v>
      </c>
      <c r="C914" s="1">
        <v>44344</v>
      </c>
      <c r="D914" s="1">
        <v>44375</v>
      </c>
      <c r="H914" t="s">
        <v>319</v>
      </c>
      <c r="I914" t="s">
        <v>6285</v>
      </c>
      <c r="J914" t="s">
        <v>6286</v>
      </c>
      <c r="L914" t="s">
        <v>918</v>
      </c>
      <c r="M914" t="s">
        <v>6287</v>
      </c>
      <c r="O914" t="s">
        <v>3559</v>
      </c>
      <c r="P914" t="s">
        <v>412</v>
      </c>
      <c r="Q914" s="3">
        <v>78416</v>
      </c>
      <c r="R914" t="s">
        <v>128</v>
      </c>
      <c r="T914" s="4">
        <v>13618518020</v>
      </c>
      <c r="V914" t="s">
        <v>1253</v>
      </c>
      <c r="W914" t="s">
        <v>6288</v>
      </c>
      <c r="Y914" t="s">
        <v>6289</v>
      </c>
      <c r="AA914" t="s">
        <v>3559</v>
      </c>
      <c r="AB914" t="s">
        <v>400</v>
      </c>
      <c r="AC914" s="3" t="str">
        <f>"78416"</f>
        <v>78416</v>
      </c>
      <c r="AD914" t="s">
        <v>128</v>
      </c>
      <c r="AF914" s="4">
        <v>13618518020</v>
      </c>
      <c r="AH914" t="str">
        <f>"7225"</f>
        <v>7225</v>
      </c>
      <c r="AI914" t="s">
        <v>287</v>
      </c>
      <c r="AJ914" t="s">
        <v>2588</v>
      </c>
      <c r="AK914" t="s">
        <v>2086</v>
      </c>
      <c r="AM914" t="s">
        <v>2589</v>
      </c>
      <c r="AO914" t="s">
        <v>2590</v>
      </c>
      <c r="AP914" t="s">
        <v>643</v>
      </c>
      <c r="AQ914" s="5">
        <v>31606</v>
      </c>
      <c r="AR914" t="s">
        <v>128</v>
      </c>
      <c r="AT914" s="4">
        <v>12295590241</v>
      </c>
      <c r="AV914" t="s">
        <v>2591</v>
      </c>
      <c r="AW914" t="s">
        <v>2592</v>
      </c>
      <c r="AX914" t="s">
        <v>131</v>
      </c>
      <c r="AY914" t="s">
        <v>131</v>
      </c>
      <c r="AZ914" t="s">
        <v>131</v>
      </c>
      <c r="BA914" t="s">
        <v>131</v>
      </c>
      <c r="BB914" t="s">
        <v>131</v>
      </c>
      <c r="BC914" t="s">
        <v>131</v>
      </c>
      <c r="BD914" t="s">
        <v>131</v>
      </c>
      <c r="BE914" t="s">
        <v>132</v>
      </c>
      <c r="BH914" t="s">
        <v>3994</v>
      </c>
      <c r="BI914" t="s">
        <v>131</v>
      </c>
      <c r="BL914" t="s">
        <v>167</v>
      </c>
      <c r="BO914" t="s">
        <v>131</v>
      </c>
      <c r="BP914" t="s">
        <v>134</v>
      </c>
      <c r="BQ914" t="s">
        <v>131</v>
      </c>
      <c r="BS914" t="str">
        <f t="shared" si="64"/>
        <v>N/A</v>
      </c>
      <c r="BT914" t="s">
        <v>131</v>
      </c>
      <c r="BV914" t="str">
        <f>""</f>
        <v/>
      </c>
      <c r="BW914" t="s">
        <v>131</v>
      </c>
      <c r="BX914" t="str">
        <f>""</f>
        <v/>
      </c>
      <c r="BY914" t="str">
        <f>""</f>
        <v/>
      </c>
      <c r="BZ914" t="str">
        <f>""</f>
        <v/>
      </c>
      <c r="CA914" t="str">
        <f>""</f>
        <v/>
      </c>
      <c r="CB914" t="s">
        <v>131</v>
      </c>
      <c r="CF914" t="s">
        <v>131</v>
      </c>
      <c r="CH914" t="str">
        <f>""</f>
        <v/>
      </c>
      <c r="CI914" t="s">
        <v>131</v>
      </c>
      <c r="CK914" t="s">
        <v>131</v>
      </c>
      <c r="CL914" t="str">
        <f>""</f>
        <v/>
      </c>
      <c r="CM914" t="str">
        <f>""</f>
        <v/>
      </c>
      <c r="CN914" t="str">
        <f>""</f>
        <v/>
      </c>
      <c r="CO914" t="str">
        <f>""</f>
        <v/>
      </c>
      <c r="CP914" t="str">
        <f>"35-2019.00"</f>
        <v>35-2019.00</v>
      </c>
      <c r="CQ914" t="s">
        <v>6290</v>
      </c>
      <c r="CR914" t="s">
        <v>918</v>
      </c>
      <c r="CS914" t="s">
        <v>131</v>
      </c>
      <c r="CU914" t="s">
        <v>6289</v>
      </c>
      <c r="CW914" t="s">
        <v>3559</v>
      </c>
      <c r="CX914" t="s">
        <v>400</v>
      </c>
      <c r="CZ914" s="3" t="str">
        <f>"78416"</f>
        <v>78416</v>
      </c>
      <c r="DA914" t="s">
        <v>131</v>
      </c>
      <c r="DB914" t="str">
        <f>"35-2019"</f>
        <v>35-2019</v>
      </c>
      <c r="DC914" t="s">
        <v>6290</v>
      </c>
      <c r="DD914" t="s">
        <v>134</v>
      </c>
      <c r="DE914" t="s">
        <v>134</v>
      </c>
      <c r="DF914" t="str">
        <f>""</f>
        <v/>
      </c>
      <c r="DH914" s="6">
        <v>11.64</v>
      </c>
      <c r="DI914" t="s">
        <v>344</v>
      </c>
      <c r="DK914" t="s">
        <v>345</v>
      </c>
      <c r="DR914" t="s">
        <v>6291</v>
      </c>
      <c r="DS914" s="6">
        <v>11.64</v>
      </c>
      <c r="DT914" t="s">
        <v>424</v>
      </c>
      <c r="DU914" s="1">
        <v>44375</v>
      </c>
      <c r="DV914" s="1">
        <v>44464</v>
      </c>
    </row>
    <row r="915" spans="1:126" ht="15" customHeight="1" x14ac:dyDescent="0.35">
      <c r="A915" t="s">
        <v>8267</v>
      </c>
      <c r="B915" t="s">
        <v>318</v>
      </c>
      <c r="C915" s="1">
        <v>44344</v>
      </c>
      <c r="D915" s="1">
        <v>44371</v>
      </c>
      <c r="H915" t="s">
        <v>319</v>
      </c>
      <c r="I915" t="s">
        <v>8268</v>
      </c>
      <c r="J915" t="s">
        <v>4392</v>
      </c>
      <c r="L915" t="s">
        <v>460</v>
      </c>
      <c r="M915" t="s">
        <v>8269</v>
      </c>
      <c r="O915" t="s">
        <v>8270</v>
      </c>
      <c r="P915" t="s">
        <v>818</v>
      </c>
      <c r="Q915" s="3">
        <v>30427</v>
      </c>
      <c r="R915" t="s">
        <v>128</v>
      </c>
      <c r="T915" s="4">
        <v>19126542100</v>
      </c>
      <c r="V915" t="s">
        <v>8271</v>
      </c>
      <c r="W915" t="s">
        <v>8272</v>
      </c>
      <c r="Y915" t="s">
        <v>8269</v>
      </c>
      <c r="AA915" t="s">
        <v>8270</v>
      </c>
      <c r="AB915" t="s">
        <v>643</v>
      </c>
      <c r="AC915" s="3" t="str">
        <f>"30427"</f>
        <v>30427</v>
      </c>
      <c r="AD915" t="s">
        <v>128</v>
      </c>
      <c r="AF915" s="4">
        <v>19126542100</v>
      </c>
      <c r="AH915" t="str">
        <f>"1153"</f>
        <v>1153</v>
      </c>
      <c r="AI915" t="s">
        <v>287</v>
      </c>
      <c r="AJ915" t="s">
        <v>4134</v>
      </c>
      <c r="AK915" t="s">
        <v>3493</v>
      </c>
      <c r="AM915" t="s">
        <v>4135</v>
      </c>
      <c r="AO915" t="s">
        <v>4136</v>
      </c>
      <c r="AP915" t="s">
        <v>643</v>
      </c>
      <c r="AQ915" s="5">
        <v>31636</v>
      </c>
      <c r="AR915" t="s">
        <v>128</v>
      </c>
      <c r="AT915" s="4">
        <v>12295596879</v>
      </c>
      <c r="AV915" t="s">
        <v>4137</v>
      </c>
      <c r="AW915" t="s">
        <v>4138</v>
      </c>
      <c r="AX915" t="s">
        <v>131</v>
      </c>
      <c r="AY915" t="s">
        <v>131</v>
      </c>
      <c r="AZ915" t="s">
        <v>131</v>
      </c>
      <c r="BA915" t="s">
        <v>131</v>
      </c>
      <c r="BB915" t="s">
        <v>131</v>
      </c>
      <c r="BC915" t="s">
        <v>131</v>
      </c>
      <c r="BD915" t="s">
        <v>131</v>
      </c>
      <c r="BE915" t="s">
        <v>132</v>
      </c>
      <c r="BH915" t="s">
        <v>8273</v>
      </c>
      <c r="BI915" t="s">
        <v>131</v>
      </c>
      <c r="BL915" t="s">
        <v>167</v>
      </c>
      <c r="BO915" t="s">
        <v>131</v>
      </c>
      <c r="BP915" t="s">
        <v>134</v>
      </c>
      <c r="BQ915" t="s">
        <v>131</v>
      </c>
      <c r="BS915" t="str">
        <f t="shared" si="64"/>
        <v>N/A</v>
      </c>
      <c r="BT915" t="s">
        <v>131</v>
      </c>
      <c r="BV915" t="str">
        <f>""</f>
        <v/>
      </c>
      <c r="BW915" t="s">
        <v>135</v>
      </c>
      <c r="BX915" t="str">
        <f>""</f>
        <v/>
      </c>
      <c r="BY915" t="str">
        <f>""</f>
        <v/>
      </c>
      <c r="BZ915" t="str">
        <f>""</f>
        <v/>
      </c>
      <c r="CA915" t="s">
        <v>8274</v>
      </c>
      <c r="CB915" t="s">
        <v>131</v>
      </c>
      <c r="CF915" t="s">
        <v>131</v>
      </c>
      <c r="CH915" t="str">
        <f>""</f>
        <v/>
      </c>
      <c r="CI915" t="s">
        <v>131</v>
      </c>
      <c r="CK915" t="s">
        <v>131</v>
      </c>
      <c r="CL915" t="str">
        <f>""</f>
        <v/>
      </c>
      <c r="CM915" t="str">
        <f>""</f>
        <v/>
      </c>
      <c r="CN915" t="str">
        <f>""</f>
        <v/>
      </c>
      <c r="CO915" t="str">
        <f>""</f>
        <v/>
      </c>
      <c r="CP915" t="str">
        <f>"45-4011.00"</f>
        <v>45-4011.00</v>
      </c>
      <c r="CQ915" t="s">
        <v>4310</v>
      </c>
      <c r="CS915" t="s">
        <v>135</v>
      </c>
      <c r="CT915" t="s">
        <v>2925</v>
      </c>
      <c r="CU915" t="s">
        <v>8269</v>
      </c>
      <c r="CW915" t="s">
        <v>8270</v>
      </c>
      <c r="CX915" t="s">
        <v>643</v>
      </c>
      <c r="CZ915" s="3" t="str">
        <f>"30427"</f>
        <v>30427</v>
      </c>
      <c r="DA915" t="s">
        <v>135</v>
      </c>
      <c r="DB915" t="str">
        <f>"45-4011"</f>
        <v>45-4011</v>
      </c>
      <c r="DC915" t="s">
        <v>4310</v>
      </c>
      <c r="DD915" t="s">
        <v>134</v>
      </c>
      <c r="DE915" t="s">
        <v>134</v>
      </c>
      <c r="DF915" t="str">
        <f>""</f>
        <v/>
      </c>
      <c r="DH915" s="6">
        <v>13.76</v>
      </c>
      <c r="DI915" t="s">
        <v>344</v>
      </c>
      <c r="DK915" t="s">
        <v>345</v>
      </c>
      <c r="DS915" s="6">
        <v>14.28</v>
      </c>
      <c r="DT915" s="2" t="s">
        <v>347</v>
      </c>
      <c r="DU915" s="1">
        <v>44371</v>
      </c>
      <c r="DV915" s="1">
        <v>44460</v>
      </c>
    </row>
    <row r="916" spans="1:126" ht="15" customHeight="1" x14ac:dyDescent="0.35">
      <c r="A916" t="s">
        <v>7530</v>
      </c>
      <c r="B916" t="s">
        <v>318</v>
      </c>
      <c r="C916" s="1">
        <v>44344</v>
      </c>
      <c r="D916" s="1">
        <v>44371</v>
      </c>
      <c r="H916" t="s">
        <v>319</v>
      </c>
      <c r="I916" t="s">
        <v>7531</v>
      </c>
      <c r="J916" t="s">
        <v>615</v>
      </c>
      <c r="K916" t="s">
        <v>3946</v>
      </c>
      <c r="L916" t="s">
        <v>395</v>
      </c>
      <c r="M916" t="s">
        <v>7532</v>
      </c>
      <c r="N916" t="s">
        <v>7533</v>
      </c>
      <c r="O916" t="s">
        <v>7534</v>
      </c>
      <c r="P916" t="s">
        <v>396</v>
      </c>
      <c r="Q916" s="3">
        <v>72802</v>
      </c>
      <c r="R916" t="s">
        <v>128</v>
      </c>
      <c r="T916" s="4">
        <v>14795675289</v>
      </c>
      <c r="V916" t="s">
        <v>7535</v>
      </c>
      <c r="W916" t="s">
        <v>7536</v>
      </c>
      <c r="Y916" t="s">
        <v>7532</v>
      </c>
      <c r="Z916" t="s">
        <v>7533</v>
      </c>
      <c r="AA916" t="s">
        <v>7534</v>
      </c>
      <c r="AB916" t="s">
        <v>397</v>
      </c>
      <c r="AC916" s="3" t="str">
        <f>"72802"</f>
        <v>72802</v>
      </c>
      <c r="AD916" t="s">
        <v>128</v>
      </c>
      <c r="AF916" s="4">
        <v>14795675289</v>
      </c>
      <c r="AH916" t="str">
        <f>"1153"</f>
        <v>1153</v>
      </c>
      <c r="AI916" t="s">
        <v>287</v>
      </c>
      <c r="AJ916" t="s">
        <v>4134</v>
      </c>
      <c r="AK916" t="s">
        <v>3493</v>
      </c>
      <c r="AM916" t="s">
        <v>4135</v>
      </c>
      <c r="AO916" t="s">
        <v>4136</v>
      </c>
      <c r="AP916" t="s">
        <v>643</v>
      </c>
      <c r="AQ916" s="5">
        <v>31636</v>
      </c>
      <c r="AR916" t="s">
        <v>128</v>
      </c>
      <c r="AT916" s="4">
        <v>12295596879</v>
      </c>
      <c r="AV916" t="s">
        <v>4137</v>
      </c>
      <c r="AW916" t="s">
        <v>4138</v>
      </c>
      <c r="AX916" t="s">
        <v>131</v>
      </c>
      <c r="AY916" t="s">
        <v>131</v>
      </c>
      <c r="AZ916" t="s">
        <v>131</v>
      </c>
      <c r="BA916" t="s">
        <v>131</v>
      </c>
      <c r="BB916" t="s">
        <v>131</v>
      </c>
      <c r="BC916" t="s">
        <v>131</v>
      </c>
      <c r="BD916" t="s">
        <v>131</v>
      </c>
      <c r="BE916" t="s">
        <v>132</v>
      </c>
      <c r="BH916" t="s">
        <v>3197</v>
      </c>
      <c r="BI916" t="s">
        <v>131</v>
      </c>
      <c r="BL916" t="s">
        <v>167</v>
      </c>
      <c r="BO916" t="s">
        <v>131</v>
      </c>
      <c r="BP916" t="s">
        <v>134</v>
      </c>
      <c r="BQ916" t="s">
        <v>131</v>
      </c>
      <c r="BS916" t="str">
        <f t="shared" si="64"/>
        <v>N/A</v>
      </c>
      <c r="BT916" t="s">
        <v>131</v>
      </c>
      <c r="BV916" t="str">
        <f>""</f>
        <v/>
      </c>
      <c r="BW916" t="s">
        <v>135</v>
      </c>
      <c r="BX916" t="str">
        <f>""</f>
        <v/>
      </c>
      <c r="BY916" t="str">
        <f>""</f>
        <v/>
      </c>
      <c r="BZ916" t="str">
        <f>""</f>
        <v/>
      </c>
      <c r="CA916" t="s">
        <v>7537</v>
      </c>
      <c r="CB916" t="s">
        <v>131</v>
      </c>
      <c r="CF916" t="s">
        <v>131</v>
      </c>
      <c r="CH916" t="str">
        <f>""</f>
        <v/>
      </c>
      <c r="CI916" t="s">
        <v>131</v>
      </c>
      <c r="CK916" t="s">
        <v>131</v>
      </c>
      <c r="CL916" t="str">
        <f>""</f>
        <v/>
      </c>
      <c r="CM916" t="str">
        <f>""</f>
        <v/>
      </c>
      <c r="CN916" t="str">
        <f>""</f>
        <v/>
      </c>
      <c r="CO916" t="str">
        <f>""</f>
        <v/>
      </c>
      <c r="CP916" t="str">
        <f>"45-4011.00"</f>
        <v>45-4011.00</v>
      </c>
      <c r="CQ916" t="s">
        <v>4310</v>
      </c>
      <c r="CS916" t="s">
        <v>135</v>
      </c>
      <c r="CT916" t="s">
        <v>2925</v>
      </c>
      <c r="CU916" t="s">
        <v>7538</v>
      </c>
      <c r="CW916" t="s">
        <v>7539</v>
      </c>
      <c r="CX916" t="s">
        <v>1218</v>
      </c>
      <c r="CZ916" s="3" t="str">
        <f>"36502"</f>
        <v>36502</v>
      </c>
      <c r="DA916" t="s">
        <v>135</v>
      </c>
      <c r="DB916" t="str">
        <f>"45-4011"</f>
        <v>45-4011</v>
      </c>
      <c r="DC916" t="s">
        <v>4310</v>
      </c>
      <c r="DD916" t="s">
        <v>134</v>
      </c>
      <c r="DE916" t="s">
        <v>134</v>
      </c>
      <c r="DF916" t="str">
        <f>""</f>
        <v/>
      </c>
      <c r="DH916" s="6">
        <v>17.170000000000002</v>
      </c>
      <c r="DI916" t="s">
        <v>344</v>
      </c>
      <c r="DK916" t="s">
        <v>345</v>
      </c>
      <c r="DS916" s="6">
        <v>17.170000000000002</v>
      </c>
      <c r="DT916" s="2" t="s">
        <v>347</v>
      </c>
      <c r="DU916" s="1">
        <v>44371</v>
      </c>
      <c r="DV916" s="1">
        <v>44460</v>
      </c>
    </row>
    <row r="917" spans="1:126" ht="15" customHeight="1" x14ac:dyDescent="0.35">
      <c r="A917" t="s">
        <v>16034</v>
      </c>
      <c r="B917" t="s">
        <v>318</v>
      </c>
      <c r="C917" s="1">
        <v>44344</v>
      </c>
      <c r="D917" s="1">
        <v>44375</v>
      </c>
      <c r="H917" t="s">
        <v>319</v>
      </c>
      <c r="I917" t="s">
        <v>16035</v>
      </c>
      <c r="J917" t="s">
        <v>645</v>
      </c>
      <c r="L917" t="s">
        <v>395</v>
      </c>
      <c r="M917" t="s">
        <v>16036</v>
      </c>
      <c r="O917" t="s">
        <v>4582</v>
      </c>
      <c r="P917" t="s">
        <v>194</v>
      </c>
      <c r="Q917" s="3">
        <v>33414</v>
      </c>
      <c r="R917" t="s">
        <v>128</v>
      </c>
      <c r="T917" s="4">
        <v>15617931599</v>
      </c>
      <c r="V917" t="s">
        <v>16037</v>
      </c>
      <c r="W917" t="s">
        <v>16038</v>
      </c>
      <c r="X917" t="s">
        <v>16039</v>
      </c>
      <c r="Y917" t="s">
        <v>16036</v>
      </c>
      <c r="AA917" t="s">
        <v>4582</v>
      </c>
      <c r="AB917" t="s">
        <v>195</v>
      </c>
      <c r="AC917" s="3" t="str">
        <f>"33414"</f>
        <v>33414</v>
      </c>
      <c r="AD917" t="s">
        <v>128</v>
      </c>
      <c r="AF917" s="4">
        <v>15617931599</v>
      </c>
      <c r="AH917" t="str">
        <f>"541940"</f>
        <v>541940</v>
      </c>
      <c r="AI917" t="s">
        <v>130</v>
      </c>
      <c r="AJ917" t="s">
        <v>12482</v>
      </c>
      <c r="AK917" t="s">
        <v>1594</v>
      </c>
      <c r="AL917" t="s">
        <v>1616</v>
      </c>
      <c r="AM917" t="s">
        <v>12483</v>
      </c>
      <c r="AN917" t="s">
        <v>362</v>
      </c>
      <c r="AO917" t="s">
        <v>5127</v>
      </c>
      <c r="AP917" t="s">
        <v>172</v>
      </c>
      <c r="AQ917" s="5">
        <v>92075</v>
      </c>
      <c r="AR917" t="s">
        <v>128</v>
      </c>
      <c r="AT917" s="4">
        <v>18582590755</v>
      </c>
      <c r="AV917" t="s">
        <v>12484</v>
      </c>
      <c r="AW917" t="s">
        <v>16040</v>
      </c>
      <c r="AX917" t="s">
        <v>131</v>
      </c>
      <c r="AY917" t="s">
        <v>131</v>
      </c>
      <c r="AZ917" t="s">
        <v>131</v>
      </c>
      <c r="BA917" t="s">
        <v>131</v>
      </c>
      <c r="BB917" t="s">
        <v>131</v>
      </c>
      <c r="BC917" t="s">
        <v>131</v>
      </c>
      <c r="BD917" t="s">
        <v>131</v>
      </c>
      <c r="BE917" t="s">
        <v>132</v>
      </c>
      <c r="BH917" t="s">
        <v>16041</v>
      </c>
      <c r="BI917" t="s">
        <v>131</v>
      </c>
      <c r="BL917" t="s">
        <v>307</v>
      </c>
      <c r="BN917" t="s">
        <v>16042</v>
      </c>
      <c r="BO917" t="s">
        <v>131</v>
      </c>
      <c r="BP917" t="s">
        <v>134</v>
      </c>
      <c r="BQ917" t="s">
        <v>131</v>
      </c>
      <c r="BS917" t="str">
        <f t="shared" si="64"/>
        <v>N/A</v>
      </c>
      <c r="BT917" t="s">
        <v>135</v>
      </c>
      <c r="BU917">
        <v>12</v>
      </c>
      <c r="BV917" t="str">
        <f>"Equine Veterinary Technician"</f>
        <v>Equine Veterinary Technician</v>
      </c>
      <c r="BW917" t="s">
        <v>135</v>
      </c>
      <c r="BX917" t="str">
        <f>""</f>
        <v/>
      </c>
      <c r="BY917" t="str">
        <f>""</f>
        <v/>
      </c>
      <c r="BZ917" t="str">
        <f>""</f>
        <v/>
      </c>
      <c r="CA917" t="str">
        <f>"12 MONTHS EXPERIENCE IN HANDLING RADIOACTIVE MATERIALS; KNOWLEDGE OF ADVANCED IMAGING TECHNIQUES. MUST BE AN EXPERIENCED EQUESTRIAN/HORSEMAN/HORSEWOMAN AS WORKING WITH AND HANDLING HORSES FOR VETS TO CHECK FOR SOUNDNESS IS A REQUIREMENT."</f>
        <v>12 MONTHS EXPERIENCE IN HANDLING RADIOACTIVE MATERIALS; KNOWLEDGE OF ADVANCED IMAGING TECHNIQUES. MUST BE AN EXPERIENCED EQUESTRIAN/HORSEMAN/HORSEWOMAN AS WORKING WITH AND HANDLING HORSES FOR VETS TO CHECK FOR SOUNDNESS IS A REQUIREMENT.</v>
      </c>
      <c r="CB917" t="s">
        <v>131</v>
      </c>
      <c r="CF917" t="s">
        <v>131</v>
      </c>
      <c r="CH917" t="str">
        <f>""</f>
        <v/>
      </c>
      <c r="CI917" t="s">
        <v>131</v>
      </c>
      <c r="CK917" t="s">
        <v>131</v>
      </c>
      <c r="CL917" t="str">
        <f>""</f>
        <v/>
      </c>
      <c r="CM917" t="str">
        <f>""</f>
        <v/>
      </c>
      <c r="CN917" t="str">
        <f>""</f>
        <v/>
      </c>
      <c r="CO917" t="str">
        <f>""</f>
        <v/>
      </c>
      <c r="CP917" t="str">
        <f>"29-2056.00"</f>
        <v>29-2056.00</v>
      </c>
      <c r="CQ917" t="s">
        <v>2143</v>
      </c>
      <c r="CR917" t="s">
        <v>708</v>
      </c>
      <c r="CS917" t="s">
        <v>135</v>
      </c>
      <c r="CT917" t="s">
        <v>16043</v>
      </c>
      <c r="CU917" t="s">
        <v>16036</v>
      </c>
      <c r="CW917" t="s">
        <v>4582</v>
      </c>
      <c r="CX917" t="s">
        <v>195</v>
      </c>
      <c r="CZ917" s="3" t="str">
        <f>"33414"</f>
        <v>33414</v>
      </c>
      <c r="DA917" t="s">
        <v>135</v>
      </c>
      <c r="DB917" t="str">
        <f>"29-2056"</f>
        <v>29-2056</v>
      </c>
      <c r="DC917" t="s">
        <v>2143</v>
      </c>
      <c r="DD917" t="s">
        <v>134</v>
      </c>
      <c r="DE917" t="s">
        <v>134</v>
      </c>
      <c r="DF917" t="str">
        <f>""</f>
        <v/>
      </c>
      <c r="DH917" s="6">
        <v>18.309999999999999</v>
      </c>
      <c r="DI917" t="s">
        <v>344</v>
      </c>
      <c r="DK917" t="s">
        <v>345</v>
      </c>
      <c r="DS917" s="6">
        <v>18.309999999999999</v>
      </c>
      <c r="DT917" s="2" t="s">
        <v>347</v>
      </c>
      <c r="DU917" s="1">
        <v>44375</v>
      </c>
      <c r="DV917" s="1">
        <v>44464</v>
      </c>
    </row>
    <row r="918" spans="1:126" ht="15" customHeight="1" x14ac:dyDescent="0.35">
      <c r="A918" t="s">
        <v>19962</v>
      </c>
      <c r="B918" t="s">
        <v>318</v>
      </c>
      <c r="C918" s="1">
        <v>44344</v>
      </c>
      <c r="D918" s="1">
        <v>44375</v>
      </c>
      <c r="H918" t="s">
        <v>319</v>
      </c>
      <c r="I918" t="s">
        <v>19963</v>
      </c>
      <c r="J918" t="s">
        <v>5028</v>
      </c>
      <c r="L918" t="s">
        <v>1105</v>
      </c>
      <c r="M918" t="s">
        <v>19964</v>
      </c>
      <c r="O918" t="s">
        <v>18073</v>
      </c>
      <c r="P918" t="s">
        <v>593</v>
      </c>
      <c r="Q918" s="3">
        <v>28379</v>
      </c>
      <c r="R918" t="s">
        <v>128</v>
      </c>
      <c r="T918" s="4">
        <v>19108179450</v>
      </c>
      <c r="V918" t="s">
        <v>19965</v>
      </c>
      <c r="W918" t="s">
        <v>19966</v>
      </c>
      <c r="X918" t="s">
        <v>19967</v>
      </c>
      <c r="Y918" t="s">
        <v>19964</v>
      </c>
      <c r="AA918" t="s">
        <v>18073</v>
      </c>
      <c r="AB918" t="s">
        <v>594</v>
      </c>
      <c r="AC918" s="3" t="str">
        <f>"28379"</f>
        <v>28379</v>
      </c>
      <c r="AD918" t="s">
        <v>128</v>
      </c>
      <c r="AF918" s="4">
        <v>19108179450</v>
      </c>
      <c r="AH918" t="str">
        <f>"32739"</f>
        <v>32739</v>
      </c>
      <c r="AI918" t="s">
        <v>130</v>
      </c>
      <c r="AJ918" t="s">
        <v>1604</v>
      </c>
      <c r="AK918" t="s">
        <v>4068</v>
      </c>
      <c r="AL918" t="s">
        <v>314</v>
      </c>
      <c r="AM918" t="s">
        <v>12393</v>
      </c>
      <c r="AN918" t="s">
        <v>5544</v>
      </c>
      <c r="AO918" t="s">
        <v>600</v>
      </c>
      <c r="AP918" t="s">
        <v>594</v>
      </c>
      <c r="AQ918" s="5">
        <v>28217</v>
      </c>
      <c r="AR918" t="s">
        <v>128</v>
      </c>
      <c r="AT918" s="4">
        <v>17049002925</v>
      </c>
      <c r="AV918" t="s">
        <v>10933</v>
      </c>
      <c r="AW918" t="s">
        <v>12394</v>
      </c>
      <c r="AX918" t="s">
        <v>131</v>
      </c>
      <c r="AY918" t="s">
        <v>131</v>
      </c>
      <c r="AZ918" t="s">
        <v>131</v>
      </c>
      <c r="BA918" t="s">
        <v>131</v>
      </c>
      <c r="BB918" t="s">
        <v>131</v>
      </c>
      <c r="BC918" t="s">
        <v>131</v>
      </c>
      <c r="BD918" t="s">
        <v>131</v>
      </c>
      <c r="BE918" t="s">
        <v>132</v>
      </c>
      <c r="BH918" t="s">
        <v>5619</v>
      </c>
      <c r="BI918" t="s">
        <v>131</v>
      </c>
      <c r="BL918" t="s">
        <v>167</v>
      </c>
      <c r="BO918" t="s">
        <v>131</v>
      </c>
      <c r="BP918" t="s">
        <v>134</v>
      </c>
      <c r="BQ918" t="s">
        <v>131</v>
      </c>
      <c r="BS918" t="str">
        <f t="shared" si="64"/>
        <v>N/A</v>
      </c>
      <c r="BT918" t="s">
        <v>131</v>
      </c>
      <c r="BV918" t="str">
        <f>"Must have minimum 3 months prior full-time experience within 5 years preceding the start date in the same or similar manufacturing occupation."</f>
        <v>Must have minimum 3 months prior full-time experience within 5 years preceding the start date in the same or similar manufacturing occupation.</v>
      </c>
      <c r="BW918" t="s">
        <v>135</v>
      </c>
      <c r="BX918" t="str">
        <f>""</f>
        <v/>
      </c>
      <c r="BY918" t="str">
        <f>""</f>
        <v/>
      </c>
      <c r="BZ918" t="str">
        <f>""</f>
        <v/>
      </c>
      <c r="CA918" t="str">
        <f>"Must be able to lift and carry at least 50 pounds. "</f>
        <v xml:space="preserve">Must be able to lift and carry at least 50 pounds. </v>
      </c>
      <c r="CB918" t="s">
        <v>131</v>
      </c>
      <c r="CF918" t="s">
        <v>131</v>
      </c>
      <c r="CH918" t="str">
        <f>""</f>
        <v/>
      </c>
      <c r="CI918" t="s">
        <v>131</v>
      </c>
      <c r="CK918" t="s">
        <v>131</v>
      </c>
      <c r="CL918" t="str">
        <f>""</f>
        <v/>
      </c>
      <c r="CM918" t="str">
        <f>""</f>
        <v/>
      </c>
      <c r="CN918" t="str">
        <f>""</f>
        <v/>
      </c>
      <c r="CO918" t="str">
        <f>""</f>
        <v/>
      </c>
      <c r="CP918" t="str">
        <f>"51-9198.00"</f>
        <v>51-9198.00</v>
      </c>
      <c r="CQ918" t="s">
        <v>2685</v>
      </c>
      <c r="CR918" t="s">
        <v>4130</v>
      </c>
      <c r="CS918" t="s">
        <v>131</v>
      </c>
      <c r="CU918" t="s">
        <v>19968</v>
      </c>
      <c r="CW918" t="s">
        <v>18073</v>
      </c>
      <c r="CX918" t="s">
        <v>594</v>
      </c>
      <c r="CZ918" s="3" t="str">
        <f>"28379"</f>
        <v>28379</v>
      </c>
      <c r="DA918" t="s">
        <v>131</v>
      </c>
      <c r="DB918" t="str">
        <f>"51-9198"</f>
        <v>51-9198</v>
      </c>
      <c r="DC918" t="s">
        <v>2685</v>
      </c>
      <c r="DD918" t="s">
        <v>134</v>
      </c>
      <c r="DE918" t="s">
        <v>134</v>
      </c>
      <c r="DF918" t="str">
        <f>""</f>
        <v/>
      </c>
      <c r="DH918" s="6">
        <v>13.18</v>
      </c>
      <c r="DI918" t="s">
        <v>344</v>
      </c>
      <c r="DK918" t="s">
        <v>345</v>
      </c>
      <c r="DS918" s="6">
        <v>13.18</v>
      </c>
      <c r="DT918" t="s">
        <v>424</v>
      </c>
      <c r="DU918" s="1">
        <v>44375</v>
      </c>
      <c r="DV918" s="1">
        <v>44464</v>
      </c>
    </row>
    <row r="919" spans="1:126" ht="15" customHeight="1" x14ac:dyDescent="0.35">
      <c r="A919" t="s">
        <v>2387</v>
      </c>
      <c r="B919" t="s">
        <v>318</v>
      </c>
      <c r="C919" s="1">
        <v>44344</v>
      </c>
      <c r="D919" s="1">
        <v>44371</v>
      </c>
      <c r="H919" t="s">
        <v>319</v>
      </c>
      <c r="I919" t="s">
        <v>1215</v>
      </c>
      <c r="J919" t="s">
        <v>2388</v>
      </c>
      <c r="K919" t="s">
        <v>2389</v>
      </c>
      <c r="L919" t="s">
        <v>2390</v>
      </c>
      <c r="M919" t="s">
        <v>2391</v>
      </c>
      <c r="N919" t="s">
        <v>554</v>
      </c>
      <c r="O919" t="s">
        <v>371</v>
      </c>
      <c r="P919" t="s">
        <v>144</v>
      </c>
      <c r="Q919" s="3">
        <v>98109</v>
      </c>
      <c r="R919" t="s">
        <v>128</v>
      </c>
      <c r="T919" s="4">
        <v>12068124238</v>
      </c>
      <c r="V919" t="s">
        <v>2392</v>
      </c>
      <c r="W919" t="s">
        <v>2393</v>
      </c>
      <c r="Y919" t="s">
        <v>2391</v>
      </c>
      <c r="Z919" t="s">
        <v>554</v>
      </c>
      <c r="AA919" t="s">
        <v>371</v>
      </c>
      <c r="AB919" t="s">
        <v>149</v>
      </c>
      <c r="AC919" s="3" t="str">
        <f>"98109"</f>
        <v>98109</v>
      </c>
      <c r="AD919" t="s">
        <v>128</v>
      </c>
      <c r="AF919" s="4">
        <v>12067269900</v>
      </c>
      <c r="AH919" t="str">
        <f>"311710"</f>
        <v>311710</v>
      </c>
      <c r="AI919" t="s">
        <v>130</v>
      </c>
      <c r="AJ919" t="s">
        <v>2394</v>
      </c>
      <c r="AK919" t="s">
        <v>2395</v>
      </c>
      <c r="AM919" t="s">
        <v>2396</v>
      </c>
      <c r="AN919" t="s">
        <v>2397</v>
      </c>
      <c r="AO919" t="s">
        <v>2398</v>
      </c>
      <c r="AP919" t="s">
        <v>149</v>
      </c>
      <c r="AQ919" s="5">
        <v>98043</v>
      </c>
      <c r="AR919" t="s">
        <v>128</v>
      </c>
      <c r="AT919" s="4">
        <v>12064305108</v>
      </c>
      <c r="AU919">
        <v>10</v>
      </c>
      <c r="AV919" t="s">
        <v>2399</v>
      </c>
      <c r="AW919" t="s">
        <v>2400</v>
      </c>
      <c r="AX919" t="s">
        <v>131</v>
      </c>
      <c r="AY919" t="s">
        <v>131</v>
      </c>
      <c r="AZ919" t="s">
        <v>131</v>
      </c>
      <c r="BA919" t="s">
        <v>131</v>
      </c>
      <c r="BB919" t="s">
        <v>131</v>
      </c>
      <c r="BC919" t="s">
        <v>131</v>
      </c>
      <c r="BD919" t="s">
        <v>131</v>
      </c>
      <c r="BE919" t="s">
        <v>132</v>
      </c>
      <c r="BH919" t="s">
        <v>2401</v>
      </c>
      <c r="BI919" t="s">
        <v>131</v>
      </c>
      <c r="BL919" t="s">
        <v>167</v>
      </c>
      <c r="BO919" t="s">
        <v>131</v>
      </c>
      <c r="BP919" t="s">
        <v>134</v>
      </c>
      <c r="BQ919" t="s">
        <v>131</v>
      </c>
      <c r="BS919" t="str">
        <f t="shared" si="64"/>
        <v>N/A</v>
      </c>
      <c r="BT919" t="s">
        <v>135</v>
      </c>
      <c r="BU919">
        <v>24</v>
      </c>
      <c r="BV919" t="str">
        <f>"Pollock Roe Technician"</f>
        <v>Pollock Roe Technician</v>
      </c>
      <c r="BW919" t="s">
        <v>131</v>
      </c>
      <c r="BX919" t="str">
        <f>""</f>
        <v/>
      </c>
      <c r="BY919" t="str">
        <f>""</f>
        <v/>
      </c>
      <c r="BZ919" t="str">
        <f>""</f>
        <v/>
      </c>
      <c r="CA919" t="str">
        <f>""</f>
        <v/>
      </c>
      <c r="CB919" t="s">
        <v>131</v>
      </c>
      <c r="CF919" t="s">
        <v>131</v>
      </c>
      <c r="CH919" t="str">
        <f>""</f>
        <v/>
      </c>
      <c r="CI919" t="s">
        <v>131</v>
      </c>
      <c r="CK919" t="s">
        <v>131</v>
      </c>
      <c r="CL919" t="str">
        <f>""</f>
        <v/>
      </c>
      <c r="CM919" t="str">
        <f>""</f>
        <v/>
      </c>
      <c r="CN919" t="str">
        <f>""</f>
        <v/>
      </c>
      <c r="CO919" t="str">
        <f>""</f>
        <v/>
      </c>
      <c r="CP919" t="str">
        <f>"51-3092.00"</f>
        <v>51-3092.00</v>
      </c>
      <c r="CQ919" t="s">
        <v>2402</v>
      </c>
      <c r="CR919" t="s">
        <v>2403</v>
      </c>
      <c r="CS919" t="s">
        <v>131</v>
      </c>
      <c r="CU919" t="s">
        <v>2404</v>
      </c>
      <c r="CW919" t="s">
        <v>2405</v>
      </c>
      <c r="CX919" t="s">
        <v>2406</v>
      </c>
      <c r="CZ919" s="3" t="str">
        <f>"99615"</f>
        <v>99615</v>
      </c>
      <c r="DA919" t="s">
        <v>131</v>
      </c>
      <c r="DB919" t="str">
        <f>"51-3092"</f>
        <v>51-3092</v>
      </c>
      <c r="DC919" t="s">
        <v>2402</v>
      </c>
      <c r="DD919" t="s">
        <v>134</v>
      </c>
      <c r="DE919" t="s">
        <v>134</v>
      </c>
      <c r="DF919" t="str">
        <f>""</f>
        <v/>
      </c>
      <c r="DH919" s="6">
        <v>18.579999999999998</v>
      </c>
      <c r="DI919" t="s">
        <v>344</v>
      </c>
      <c r="DK919" t="s">
        <v>345</v>
      </c>
      <c r="DS919" s="6">
        <v>18.579999999999998</v>
      </c>
      <c r="DT919" t="s">
        <v>424</v>
      </c>
      <c r="DU919" s="1">
        <v>44371</v>
      </c>
      <c r="DV919" s="1">
        <v>44460</v>
      </c>
    </row>
    <row r="920" spans="1:126" ht="15" customHeight="1" x14ac:dyDescent="0.35">
      <c r="A920" t="s">
        <v>6227</v>
      </c>
      <c r="B920" t="s">
        <v>318</v>
      </c>
      <c r="C920" s="1">
        <v>44344</v>
      </c>
      <c r="D920" s="1">
        <v>44371</v>
      </c>
      <c r="H920" t="s">
        <v>319</v>
      </c>
      <c r="I920" t="s">
        <v>6228</v>
      </c>
      <c r="J920" t="s">
        <v>1437</v>
      </c>
      <c r="L920" t="s">
        <v>628</v>
      </c>
      <c r="M920" t="s">
        <v>6229</v>
      </c>
      <c r="O920" t="s">
        <v>4408</v>
      </c>
      <c r="P920" t="s">
        <v>194</v>
      </c>
      <c r="Q920" s="3">
        <v>34105</v>
      </c>
      <c r="R920" t="s">
        <v>128</v>
      </c>
      <c r="S920" t="s">
        <v>134</v>
      </c>
      <c r="T920" s="4">
        <v>12392635580</v>
      </c>
      <c r="V920" t="s">
        <v>6230</v>
      </c>
      <c r="W920" t="s">
        <v>6231</v>
      </c>
      <c r="X920" t="s">
        <v>134</v>
      </c>
      <c r="Y920" t="s">
        <v>6229</v>
      </c>
      <c r="Z920" t="s">
        <v>134</v>
      </c>
      <c r="AA920" t="s">
        <v>4408</v>
      </c>
      <c r="AB920" t="s">
        <v>195</v>
      </c>
      <c r="AC920" s="3" t="str">
        <f>"34105"</f>
        <v>34105</v>
      </c>
      <c r="AD920" t="s">
        <v>128</v>
      </c>
      <c r="AE920" t="s">
        <v>134</v>
      </c>
      <c r="AF920" s="4">
        <v>12392613968</v>
      </c>
      <c r="AH920" t="str">
        <f>"713910"</f>
        <v>713910</v>
      </c>
      <c r="AI920" t="s">
        <v>130</v>
      </c>
      <c r="AJ920" t="s">
        <v>1386</v>
      </c>
      <c r="AK920" t="s">
        <v>1387</v>
      </c>
      <c r="AL920" t="s">
        <v>1036</v>
      </c>
      <c r="AM920" t="s">
        <v>1388</v>
      </c>
      <c r="AN920" t="s">
        <v>997</v>
      </c>
      <c r="AO920" t="s">
        <v>719</v>
      </c>
      <c r="AP920" t="s">
        <v>377</v>
      </c>
      <c r="AQ920" s="5">
        <v>1701</v>
      </c>
      <c r="AR920" t="s">
        <v>128</v>
      </c>
      <c r="AS920" t="s">
        <v>134</v>
      </c>
      <c r="AT920" s="4">
        <v>16179399444</v>
      </c>
      <c r="AV920" t="s">
        <v>1389</v>
      </c>
      <c r="AW920" t="s">
        <v>1390</v>
      </c>
      <c r="AX920" t="s">
        <v>131</v>
      </c>
      <c r="AY920" t="s">
        <v>131</v>
      </c>
      <c r="AZ920" t="s">
        <v>131</v>
      </c>
      <c r="BA920" t="s">
        <v>131</v>
      </c>
      <c r="BB920" t="s">
        <v>131</v>
      </c>
      <c r="BC920" t="s">
        <v>131</v>
      </c>
      <c r="BD920" t="s">
        <v>131</v>
      </c>
      <c r="BE920" t="s">
        <v>132</v>
      </c>
      <c r="BH920" t="s">
        <v>6232</v>
      </c>
      <c r="BI920" t="s">
        <v>131</v>
      </c>
      <c r="BL920" t="s">
        <v>167</v>
      </c>
      <c r="BO920" t="s">
        <v>131</v>
      </c>
      <c r="BP920" t="s">
        <v>134</v>
      </c>
      <c r="BQ920" t="s">
        <v>131</v>
      </c>
      <c r="BS920" t="str">
        <f t="shared" si="64"/>
        <v>N/A</v>
      </c>
      <c r="BT920" t="s">
        <v>135</v>
      </c>
      <c r="BU920">
        <v>3</v>
      </c>
      <c r="BV920" t="str">
        <f>"Server Assistant"</f>
        <v>Server Assistant</v>
      </c>
      <c r="BW920" t="s">
        <v>135</v>
      </c>
      <c r="BX920" t="str">
        <f>""</f>
        <v/>
      </c>
      <c r="BY920" t="str">
        <f>""</f>
        <v/>
      </c>
      <c r="BZ920" t="str">
        <f>""</f>
        <v/>
      </c>
      <c r="CA920" s="2" t="s">
        <v>6233</v>
      </c>
      <c r="CB920" t="s">
        <v>131</v>
      </c>
      <c r="CF920" t="s">
        <v>131</v>
      </c>
      <c r="CH920" t="str">
        <f>""</f>
        <v/>
      </c>
      <c r="CI920" t="s">
        <v>131</v>
      </c>
      <c r="CK920" t="s">
        <v>131</v>
      </c>
      <c r="CL920" t="str">
        <f>""</f>
        <v/>
      </c>
      <c r="CM920" t="str">
        <f>""</f>
        <v/>
      </c>
      <c r="CN920" t="str">
        <f>""</f>
        <v/>
      </c>
      <c r="CO920" t="str">
        <f>""</f>
        <v/>
      </c>
      <c r="CP920" t="str">
        <f>"35-9011.00"</f>
        <v>35-9011.00</v>
      </c>
      <c r="CQ920" t="s">
        <v>1016</v>
      </c>
      <c r="CR920" t="s">
        <v>6234</v>
      </c>
      <c r="CS920" t="s">
        <v>131</v>
      </c>
      <c r="CU920" t="s">
        <v>6229</v>
      </c>
      <c r="CW920" t="s">
        <v>4408</v>
      </c>
      <c r="CX920" t="s">
        <v>195</v>
      </c>
      <c r="CZ920" s="3" t="str">
        <f>"34105"</f>
        <v>34105</v>
      </c>
      <c r="DA920" t="s">
        <v>131</v>
      </c>
      <c r="DB920" t="str">
        <f>"35-9011"</f>
        <v>35-9011</v>
      </c>
      <c r="DC920" t="s">
        <v>1016</v>
      </c>
      <c r="DD920" t="s">
        <v>134</v>
      </c>
      <c r="DE920" t="s">
        <v>134</v>
      </c>
      <c r="DF920" t="str">
        <f>""</f>
        <v/>
      </c>
      <c r="DH920" s="6">
        <v>11.41</v>
      </c>
      <c r="DI920" t="s">
        <v>344</v>
      </c>
      <c r="DK920" t="s">
        <v>345</v>
      </c>
      <c r="DS920" s="6">
        <v>11.41</v>
      </c>
      <c r="DT920" t="s">
        <v>424</v>
      </c>
      <c r="DU920" s="1">
        <v>44371</v>
      </c>
      <c r="DV920" s="1">
        <v>44460</v>
      </c>
    </row>
    <row r="921" spans="1:126" ht="15" customHeight="1" x14ac:dyDescent="0.35">
      <c r="A921" t="s">
        <v>19100</v>
      </c>
      <c r="B921" t="s">
        <v>318</v>
      </c>
      <c r="C921" s="1">
        <v>44344</v>
      </c>
      <c r="D921" s="1">
        <v>44371</v>
      </c>
      <c r="H921" t="s">
        <v>319</v>
      </c>
      <c r="I921" t="s">
        <v>6228</v>
      </c>
      <c r="J921" t="s">
        <v>1437</v>
      </c>
      <c r="L921" t="s">
        <v>628</v>
      </c>
      <c r="M921" t="s">
        <v>6229</v>
      </c>
      <c r="O921" t="s">
        <v>4408</v>
      </c>
      <c r="P921" t="s">
        <v>194</v>
      </c>
      <c r="Q921" s="3">
        <v>34105</v>
      </c>
      <c r="R921" t="s">
        <v>128</v>
      </c>
      <c r="S921" t="s">
        <v>134</v>
      </c>
      <c r="T921" s="4">
        <v>12392635580</v>
      </c>
      <c r="V921" t="s">
        <v>6230</v>
      </c>
      <c r="W921" t="s">
        <v>6231</v>
      </c>
      <c r="X921" t="s">
        <v>134</v>
      </c>
      <c r="Y921" t="s">
        <v>6229</v>
      </c>
      <c r="Z921" t="s">
        <v>134</v>
      </c>
      <c r="AA921" t="s">
        <v>4408</v>
      </c>
      <c r="AB921" t="s">
        <v>195</v>
      </c>
      <c r="AC921" s="3" t="str">
        <f>"34105"</f>
        <v>34105</v>
      </c>
      <c r="AD921" t="s">
        <v>128</v>
      </c>
      <c r="AE921" t="s">
        <v>134</v>
      </c>
      <c r="AF921" s="4">
        <v>12392613968</v>
      </c>
      <c r="AH921" t="str">
        <f>"713910"</f>
        <v>713910</v>
      </c>
      <c r="AI921" t="s">
        <v>130</v>
      </c>
      <c r="AJ921" t="s">
        <v>1386</v>
      </c>
      <c r="AK921" t="s">
        <v>1387</v>
      </c>
      <c r="AL921" t="s">
        <v>1036</v>
      </c>
      <c r="AM921" t="s">
        <v>1388</v>
      </c>
      <c r="AN921" t="s">
        <v>997</v>
      </c>
      <c r="AO921" t="s">
        <v>719</v>
      </c>
      <c r="AP921" t="s">
        <v>377</v>
      </c>
      <c r="AQ921" s="5">
        <v>1701</v>
      </c>
      <c r="AR921" t="s">
        <v>128</v>
      </c>
      <c r="AS921" t="s">
        <v>134</v>
      </c>
      <c r="AT921" s="4">
        <v>16179399444</v>
      </c>
      <c r="AV921" t="s">
        <v>1389</v>
      </c>
      <c r="AW921" t="s">
        <v>1390</v>
      </c>
      <c r="AX921" t="s">
        <v>131</v>
      </c>
      <c r="AY921" t="s">
        <v>131</v>
      </c>
      <c r="AZ921" t="s">
        <v>131</v>
      </c>
      <c r="BA921" t="s">
        <v>131</v>
      </c>
      <c r="BB921" t="s">
        <v>131</v>
      </c>
      <c r="BC921" t="s">
        <v>131</v>
      </c>
      <c r="BD921" t="s">
        <v>131</v>
      </c>
      <c r="BE921" t="s">
        <v>132</v>
      </c>
      <c r="BH921" t="s">
        <v>5764</v>
      </c>
      <c r="BI921" t="s">
        <v>131</v>
      </c>
      <c r="BL921" t="s">
        <v>167</v>
      </c>
      <c r="BO921" t="s">
        <v>131</v>
      </c>
      <c r="BP921" t="s">
        <v>134</v>
      </c>
      <c r="BQ921" t="s">
        <v>131</v>
      </c>
      <c r="BS921" t="str">
        <f t="shared" si="64"/>
        <v>N/A</v>
      </c>
      <c r="BT921" t="s">
        <v>135</v>
      </c>
      <c r="BU921">
        <v>6</v>
      </c>
      <c r="BV921" t="str">
        <f>"Line Cook"</f>
        <v>Line Cook</v>
      </c>
      <c r="BW921" t="s">
        <v>135</v>
      </c>
      <c r="BX921" t="str">
        <f>""</f>
        <v/>
      </c>
      <c r="BY921" t="str">
        <f>""</f>
        <v/>
      </c>
      <c r="BZ921" t="str">
        <f>""</f>
        <v/>
      </c>
      <c r="CA921" s="2" t="s">
        <v>16071</v>
      </c>
      <c r="CB921" t="s">
        <v>131</v>
      </c>
      <c r="CF921" t="s">
        <v>131</v>
      </c>
      <c r="CH921" t="str">
        <f>""</f>
        <v/>
      </c>
      <c r="CI921" t="s">
        <v>131</v>
      </c>
      <c r="CK921" t="s">
        <v>131</v>
      </c>
      <c r="CL921" t="str">
        <f>""</f>
        <v/>
      </c>
      <c r="CM921" t="str">
        <f>""</f>
        <v/>
      </c>
      <c r="CN921" t="str">
        <f>""</f>
        <v/>
      </c>
      <c r="CO921" t="str">
        <f>""</f>
        <v/>
      </c>
      <c r="CP921" t="str">
        <f>"35-2014.00"</f>
        <v>35-2014.00</v>
      </c>
      <c r="CQ921" t="s">
        <v>581</v>
      </c>
      <c r="CR921" t="s">
        <v>1941</v>
      </c>
      <c r="CS921" t="s">
        <v>131</v>
      </c>
      <c r="CU921" t="s">
        <v>6229</v>
      </c>
      <c r="CV921" t="s">
        <v>134</v>
      </c>
      <c r="CW921" t="s">
        <v>4408</v>
      </c>
      <c r="CX921" t="s">
        <v>195</v>
      </c>
      <c r="CZ921" s="3" t="str">
        <f>"34105"</f>
        <v>34105</v>
      </c>
      <c r="DA921" t="s">
        <v>131</v>
      </c>
      <c r="DB921" t="str">
        <f>"35-2014"</f>
        <v>35-2014</v>
      </c>
      <c r="DC921" t="s">
        <v>581</v>
      </c>
      <c r="DD921" t="s">
        <v>134</v>
      </c>
      <c r="DE921" t="s">
        <v>134</v>
      </c>
      <c r="DF921" t="str">
        <f>""</f>
        <v/>
      </c>
      <c r="DH921" s="6">
        <v>15.46</v>
      </c>
      <c r="DI921" t="s">
        <v>344</v>
      </c>
      <c r="DK921" t="s">
        <v>345</v>
      </c>
      <c r="DS921" s="6">
        <v>15.46</v>
      </c>
      <c r="DT921" t="s">
        <v>424</v>
      </c>
      <c r="DU921" s="1">
        <v>44371</v>
      </c>
      <c r="DV921" s="1">
        <v>44460</v>
      </c>
    </row>
    <row r="922" spans="1:126" ht="15" customHeight="1" x14ac:dyDescent="0.35">
      <c r="A922" t="s">
        <v>18898</v>
      </c>
      <c r="B922" t="s">
        <v>318</v>
      </c>
      <c r="C922" s="1">
        <v>44344</v>
      </c>
      <c r="D922" s="1">
        <v>44371</v>
      </c>
      <c r="H922" t="s">
        <v>319</v>
      </c>
      <c r="I922" t="s">
        <v>13076</v>
      </c>
      <c r="J922" t="s">
        <v>6935</v>
      </c>
      <c r="L922" t="s">
        <v>1205</v>
      </c>
      <c r="M922" t="s">
        <v>13077</v>
      </c>
      <c r="N922" t="s">
        <v>134</v>
      </c>
      <c r="O922" t="s">
        <v>1853</v>
      </c>
      <c r="P922" t="s">
        <v>194</v>
      </c>
      <c r="Q922" s="3">
        <v>33908</v>
      </c>
      <c r="R922" t="s">
        <v>128</v>
      </c>
      <c r="S922" t="s">
        <v>134</v>
      </c>
      <c r="T922" s="4">
        <v>12394370404</v>
      </c>
      <c r="V922" t="s">
        <v>13078</v>
      </c>
      <c r="W922" t="s">
        <v>13079</v>
      </c>
      <c r="X922" t="s">
        <v>13080</v>
      </c>
      <c r="Y922" t="s">
        <v>13077</v>
      </c>
      <c r="Z922" t="s">
        <v>134</v>
      </c>
      <c r="AA922" t="s">
        <v>1853</v>
      </c>
      <c r="AB922" t="s">
        <v>195</v>
      </c>
      <c r="AC922" s="3" t="str">
        <f>"33908"</f>
        <v>33908</v>
      </c>
      <c r="AD922" t="s">
        <v>128</v>
      </c>
      <c r="AE922" t="s">
        <v>134</v>
      </c>
      <c r="AF922" s="4">
        <v>12394370404</v>
      </c>
      <c r="AH922" t="str">
        <f>"713910"</f>
        <v>713910</v>
      </c>
      <c r="AI922" t="s">
        <v>130</v>
      </c>
      <c r="AJ922" t="s">
        <v>1386</v>
      </c>
      <c r="AK922" t="s">
        <v>1387</v>
      </c>
      <c r="AL922" t="s">
        <v>1036</v>
      </c>
      <c r="AM922" t="s">
        <v>1388</v>
      </c>
      <c r="AN922" t="s">
        <v>997</v>
      </c>
      <c r="AO922" t="s">
        <v>719</v>
      </c>
      <c r="AP922" t="s">
        <v>377</v>
      </c>
      <c r="AQ922" s="5">
        <v>1701</v>
      </c>
      <c r="AR922" t="s">
        <v>128</v>
      </c>
      <c r="AS922" t="s">
        <v>134</v>
      </c>
      <c r="AT922" s="4">
        <v>16179399444</v>
      </c>
      <c r="AV922" t="s">
        <v>1389</v>
      </c>
      <c r="AW922" t="s">
        <v>1390</v>
      </c>
      <c r="AX922" t="s">
        <v>131</v>
      </c>
      <c r="AY922" t="s">
        <v>131</v>
      </c>
      <c r="AZ922" t="s">
        <v>131</v>
      </c>
      <c r="BA922" t="s">
        <v>131</v>
      </c>
      <c r="BB922" t="s">
        <v>131</v>
      </c>
      <c r="BC922" t="s">
        <v>131</v>
      </c>
      <c r="BD922" t="s">
        <v>131</v>
      </c>
      <c r="BE922" t="s">
        <v>132</v>
      </c>
      <c r="BH922" t="s">
        <v>1213</v>
      </c>
      <c r="BI922" t="s">
        <v>131</v>
      </c>
      <c r="BL922" t="s">
        <v>167</v>
      </c>
      <c r="BO922" t="s">
        <v>131</v>
      </c>
      <c r="BP922" t="s">
        <v>134</v>
      </c>
      <c r="BQ922" t="s">
        <v>131</v>
      </c>
      <c r="BS922" t="str">
        <f t="shared" si="64"/>
        <v>N/A</v>
      </c>
      <c r="BT922" t="s">
        <v>135</v>
      </c>
      <c r="BU922">
        <v>12</v>
      </c>
      <c r="BV922" t="str">
        <f>"Server"</f>
        <v>Server</v>
      </c>
      <c r="BW922" t="s">
        <v>135</v>
      </c>
      <c r="BX922" t="str">
        <f>""</f>
        <v/>
      </c>
      <c r="BY922" t="str">
        <f>""</f>
        <v/>
      </c>
      <c r="BZ922" t="str">
        <f>""</f>
        <v/>
      </c>
      <c r="CA922" t="s">
        <v>18899</v>
      </c>
      <c r="CB922" t="s">
        <v>131</v>
      </c>
      <c r="CF922" t="s">
        <v>131</v>
      </c>
      <c r="CH922" t="str">
        <f>""</f>
        <v/>
      </c>
      <c r="CI922" t="s">
        <v>131</v>
      </c>
      <c r="CK922" t="s">
        <v>131</v>
      </c>
      <c r="CL922" t="str">
        <f>""</f>
        <v/>
      </c>
      <c r="CM922" t="str">
        <f>""</f>
        <v/>
      </c>
      <c r="CN922" t="str">
        <f>""</f>
        <v/>
      </c>
      <c r="CO922" t="str">
        <f>""</f>
        <v/>
      </c>
      <c r="CP922" t="str">
        <f>"35-3031.00"</f>
        <v>35-3031.00</v>
      </c>
      <c r="CQ922" t="s">
        <v>1214</v>
      </c>
      <c r="CR922" t="s">
        <v>7967</v>
      </c>
      <c r="CS922" t="s">
        <v>131</v>
      </c>
      <c r="CU922" t="s">
        <v>13077</v>
      </c>
      <c r="CV922" t="s">
        <v>134</v>
      </c>
      <c r="CW922" t="s">
        <v>1853</v>
      </c>
      <c r="CX922" t="s">
        <v>195</v>
      </c>
      <c r="CZ922" s="3" t="str">
        <f>"33908"</f>
        <v>33908</v>
      </c>
      <c r="DA922" t="s">
        <v>131</v>
      </c>
      <c r="DB922" t="str">
        <f>"37-2012"</f>
        <v>37-2012</v>
      </c>
      <c r="DC922" t="s">
        <v>479</v>
      </c>
      <c r="DD922" t="s">
        <v>134</v>
      </c>
      <c r="DE922" t="s">
        <v>134</v>
      </c>
      <c r="DF922" t="str">
        <f>""</f>
        <v/>
      </c>
      <c r="DH922" s="6">
        <v>11.83</v>
      </c>
      <c r="DI922" t="s">
        <v>344</v>
      </c>
      <c r="DK922" t="s">
        <v>345</v>
      </c>
      <c r="DS922" s="6">
        <v>11.83</v>
      </c>
      <c r="DT922" t="s">
        <v>424</v>
      </c>
      <c r="DU922" s="1">
        <v>44371</v>
      </c>
      <c r="DV922" s="1">
        <v>44460</v>
      </c>
    </row>
    <row r="923" spans="1:126" ht="15" customHeight="1" x14ac:dyDescent="0.35">
      <c r="A923" t="s">
        <v>15987</v>
      </c>
      <c r="B923" t="s">
        <v>318</v>
      </c>
      <c r="C923" s="1">
        <v>44344</v>
      </c>
      <c r="D923" s="1">
        <v>44371</v>
      </c>
      <c r="H923" t="s">
        <v>319</v>
      </c>
      <c r="I923" t="s">
        <v>6228</v>
      </c>
      <c r="J923" t="s">
        <v>1437</v>
      </c>
      <c r="L923" t="s">
        <v>628</v>
      </c>
      <c r="M923" t="s">
        <v>6229</v>
      </c>
      <c r="O923" t="s">
        <v>4408</v>
      </c>
      <c r="P923" t="s">
        <v>194</v>
      </c>
      <c r="Q923" s="3">
        <v>34105</v>
      </c>
      <c r="R923" t="s">
        <v>128</v>
      </c>
      <c r="S923" t="s">
        <v>134</v>
      </c>
      <c r="T923" s="4">
        <v>12392635580</v>
      </c>
      <c r="V923" t="s">
        <v>6230</v>
      </c>
      <c r="W923" t="s">
        <v>6231</v>
      </c>
      <c r="X923" t="s">
        <v>134</v>
      </c>
      <c r="Y923" t="s">
        <v>6229</v>
      </c>
      <c r="Z923" t="s">
        <v>134</v>
      </c>
      <c r="AA923" t="s">
        <v>4408</v>
      </c>
      <c r="AB923" t="s">
        <v>195</v>
      </c>
      <c r="AC923" s="3" t="str">
        <f>"34105"</f>
        <v>34105</v>
      </c>
      <c r="AD923" t="s">
        <v>128</v>
      </c>
      <c r="AE923" t="s">
        <v>134</v>
      </c>
      <c r="AF923" s="4">
        <v>12392613968</v>
      </c>
      <c r="AH923" t="str">
        <f>"713910"</f>
        <v>713910</v>
      </c>
      <c r="AI923" t="s">
        <v>130</v>
      </c>
      <c r="AJ923" t="s">
        <v>1386</v>
      </c>
      <c r="AK923" t="s">
        <v>1387</v>
      </c>
      <c r="AL923" t="s">
        <v>1036</v>
      </c>
      <c r="AM923" t="s">
        <v>1388</v>
      </c>
      <c r="AN923" t="s">
        <v>997</v>
      </c>
      <c r="AO923" t="s">
        <v>719</v>
      </c>
      <c r="AP923" t="s">
        <v>377</v>
      </c>
      <c r="AQ923" s="5">
        <v>1701</v>
      </c>
      <c r="AR923" t="s">
        <v>128</v>
      </c>
      <c r="AS923" t="s">
        <v>134</v>
      </c>
      <c r="AT923" s="4">
        <v>16179399444</v>
      </c>
      <c r="AV923" t="s">
        <v>1389</v>
      </c>
      <c r="AW923" t="s">
        <v>1390</v>
      </c>
      <c r="AX923" t="s">
        <v>131</v>
      </c>
      <c r="AY923" t="s">
        <v>131</v>
      </c>
      <c r="AZ923" t="s">
        <v>131</v>
      </c>
      <c r="BA923" t="s">
        <v>131</v>
      </c>
      <c r="BB923" t="s">
        <v>131</v>
      </c>
      <c r="BC923" t="s">
        <v>131</v>
      </c>
      <c r="BD923" t="s">
        <v>131</v>
      </c>
      <c r="BE923" t="s">
        <v>132</v>
      </c>
      <c r="BH923" t="s">
        <v>1213</v>
      </c>
      <c r="BI923" t="s">
        <v>131</v>
      </c>
      <c r="BL923" t="s">
        <v>167</v>
      </c>
      <c r="BO923" t="s">
        <v>131</v>
      </c>
      <c r="BP923" t="s">
        <v>134</v>
      </c>
      <c r="BQ923" t="s">
        <v>131</v>
      </c>
      <c r="BS923" t="str">
        <f t="shared" si="64"/>
        <v>N/A</v>
      </c>
      <c r="BT923" t="s">
        <v>135</v>
      </c>
      <c r="BU923">
        <v>3</v>
      </c>
      <c r="BV923" t="str">
        <f>"Server"</f>
        <v>Server</v>
      </c>
      <c r="BW923" t="s">
        <v>135</v>
      </c>
      <c r="BX923" t="str">
        <f>""</f>
        <v/>
      </c>
      <c r="BY923" t="str">
        <f>""</f>
        <v/>
      </c>
      <c r="BZ923" t="str">
        <f>""</f>
        <v/>
      </c>
      <c r="CA923" s="2" t="s">
        <v>15988</v>
      </c>
      <c r="CB923" t="s">
        <v>131</v>
      </c>
      <c r="CF923" t="s">
        <v>131</v>
      </c>
      <c r="CH923" t="str">
        <f>""</f>
        <v/>
      </c>
      <c r="CI923" t="s">
        <v>131</v>
      </c>
      <c r="CK923" t="s">
        <v>131</v>
      </c>
      <c r="CL923" t="str">
        <f>""</f>
        <v/>
      </c>
      <c r="CM923" t="str">
        <f>""</f>
        <v/>
      </c>
      <c r="CN923" t="str">
        <f>""</f>
        <v/>
      </c>
      <c r="CO923" t="str">
        <f>""</f>
        <v/>
      </c>
      <c r="CP923" t="str">
        <f>"35-3031.00"</f>
        <v>35-3031.00</v>
      </c>
      <c r="CQ923" t="s">
        <v>1214</v>
      </c>
      <c r="CR923" t="s">
        <v>6234</v>
      </c>
      <c r="CS923" t="s">
        <v>131</v>
      </c>
      <c r="CU923" t="s">
        <v>6229</v>
      </c>
      <c r="CV923" t="s">
        <v>134</v>
      </c>
      <c r="CW923" t="s">
        <v>4408</v>
      </c>
      <c r="CX923" t="s">
        <v>195</v>
      </c>
      <c r="CZ923" s="3" t="str">
        <f>"34105"</f>
        <v>34105</v>
      </c>
      <c r="DA923" t="s">
        <v>131</v>
      </c>
      <c r="DB923" t="str">
        <f>"35-3031"</f>
        <v>35-3031</v>
      </c>
      <c r="DC923" t="s">
        <v>1214</v>
      </c>
      <c r="DD923" t="s">
        <v>134</v>
      </c>
      <c r="DE923" t="s">
        <v>134</v>
      </c>
      <c r="DF923" t="str">
        <f>""</f>
        <v/>
      </c>
      <c r="DH923" s="6">
        <v>15.48</v>
      </c>
      <c r="DI923" t="s">
        <v>344</v>
      </c>
      <c r="DK923" t="s">
        <v>345</v>
      </c>
      <c r="DS923" s="6">
        <v>15.48</v>
      </c>
      <c r="DT923" t="s">
        <v>424</v>
      </c>
      <c r="DU923" s="1">
        <v>44371</v>
      </c>
      <c r="DV923" s="1">
        <v>44460</v>
      </c>
    </row>
    <row r="924" spans="1:126" ht="15" customHeight="1" x14ac:dyDescent="0.35">
      <c r="A924" t="s">
        <v>13075</v>
      </c>
      <c r="B924" t="s">
        <v>318</v>
      </c>
      <c r="C924" s="1">
        <v>44344</v>
      </c>
      <c r="D924" s="1">
        <v>44371</v>
      </c>
      <c r="H924" t="s">
        <v>319</v>
      </c>
      <c r="I924" t="s">
        <v>13076</v>
      </c>
      <c r="J924" t="s">
        <v>6935</v>
      </c>
      <c r="L924" t="s">
        <v>1205</v>
      </c>
      <c r="M924" t="s">
        <v>13077</v>
      </c>
      <c r="N924" t="s">
        <v>134</v>
      </c>
      <c r="O924" t="s">
        <v>1853</v>
      </c>
      <c r="P924" t="s">
        <v>194</v>
      </c>
      <c r="Q924" s="3">
        <v>33908</v>
      </c>
      <c r="R924" t="s">
        <v>128</v>
      </c>
      <c r="S924" t="s">
        <v>134</v>
      </c>
      <c r="T924" s="4">
        <v>12394370404</v>
      </c>
      <c r="V924" t="s">
        <v>13078</v>
      </c>
      <c r="W924" t="s">
        <v>13079</v>
      </c>
      <c r="X924" t="s">
        <v>13080</v>
      </c>
      <c r="Y924" t="s">
        <v>13077</v>
      </c>
      <c r="Z924" t="s">
        <v>134</v>
      </c>
      <c r="AA924" t="s">
        <v>1853</v>
      </c>
      <c r="AB924" t="s">
        <v>195</v>
      </c>
      <c r="AC924" s="3" t="str">
        <f>"33908"</f>
        <v>33908</v>
      </c>
      <c r="AD924" t="s">
        <v>128</v>
      </c>
      <c r="AE924" t="s">
        <v>134</v>
      </c>
      <c r="AF924" s="4">
        <v>12394370404</v>
      </c>
      <c r="AH924" t="str">
        <f>"713910"</f>
        <v>713910</v>
      </c>
      <c r="AI924" t="s">
        <v>130</v>
      </c>
      <c r="AJ924" t="s">
        <v>1386</v>
      </c>
      <c r="AK924" t="s">
        <v>1387</v>
      </c>
      <c r="AL924" t="s">
        <v>1036</v>
      </c>
      <c r="AM924" t="s">
        <v>1388</v>
      </c>
      <c r="AN924" t="s">
        <v>997</v>
      </c>
      <c r="AO924" t="s">
        <v>719</v>
      </c>
      <c r="AP924" t="s">
        <v>377</v>
      </c>
      <c r="AQ924" s="5">
        <v>1701</v>
      </c>
      <c r="AR924" t="s">
        <v>128</v>
      </c>
      <c r="AS924" t="s">
        <v>134</v>
      </c>
      <c r="AT924" s="4">
        <v>16179399444</v>
      </c>
      <c r="AV924" t="s">
        <v>1389</v>
      </c>
      <c r="AW924" t="s">
        <v>1390</v>
      </c>
      <c r="AX924" t="s">
        <v>131</v>
      </c>
      <c r="AY924" t="s">
        <v>131</v>
      </c>
      <c r="AZ924" t="s">
        <v>131</v>
      </c>
      <c r="BA924" t="s">
        <v>131</v>
      </c>
      <c r="BB924" t="s">
        <v>131</v>
      </c>
      <c r="BC924" t="s">
        <v>131</v>
      </c>
      <c r="BD924" t="s">
        <v>131</v>
      </c>
      <c r="BE924" t="s">
        <v>132</v>
      </c>
      <c r="BH924" t="s">
        <v>5764</v>
      </c>
      <c r="BI924" t="s">
        <v>131</v>
      </c>
      <c r="BL924" t="s">
        <v>167</v>
      </c>
      <c r="BO924" t="s">
        <v>131</v>
      </c>
      <c r="BP924" t="s">
        <v>134</v>
      </c>
      <c r="BQ924" t="s">
        <v>131</v>
      </c>
      <c r="BS924" t="str">
        <f t="shared" si="64"/>
        <v>N/A</v>
      </c>
      <c r="BT924" t="s">
        <v>135</v>
      </c>
      <c r="BU924">
        <v>12</v>
      </c>
      <c r="BV924" t="str">
        <f>"Line Cook"</f>
        <v>Line Cook</v>
      </c>
      <c r="BW924" t="s">
        <v>135</v>
      </c>
      <c r="BX924" t="str">
        <f>""</f>
        <v/>
      </c>
      <c r="BY924" t="str">
        <f>""</f>
        <v/>
      </c>
      <c r="BZ924" t="str">
        <f>""</f>
        <v/>
      </c>
      <c r="CA924" t="s">
        <v>5765</v>
      </c>
      <c r="CB924" t="s">
        <v>131</v>
      </c>
      <c r="CF924" t="s">
        <v>131</v>
      </c>
      <c r="CH924" t="str">
        <f>""</f>
        <v/>
      </c>
      <c r="CI924" t="s">
        <v>131</v>
      </c>
      <c r="CK924" t="s">
        <v>131</v>
      </c>
      <c r="CL924" t="str">
        <f>""</f>
        <v/>
      </c>
      <c r="CM924" t="str">
        <f>""</f>
        <v/>
      </c>
      <c r="CN924" t="str">
        <f>""</f>
        <v/>
      </c>
      <c r="CO924" t="str">
        <f>""</f>
        <v/>
      </c>
      <c r="CP924" t="str">
        <f>"35-2014.00"</f>
        <v>35-2014.00</v>
      </c>
      <c r="CQ924" t="s">
        <v>581</v>
      </c>
      <c r="CR924" t="s">
        <v>1941</v>
      </c>
      <c r="CS924" t="s">
        <v>131</v>
      </c>
      <c r="CU924" t="s">
        <v>13077</v>
      </c>
      <c r="CV924" t="s">
        <v>134</v>
      </c>
      <c r="CW924" t="s">
        <v>1853</v>
      </c>
      <c r="CX924" t="s">
        <v>195</v>
      </c>
      <c r="CZ924" s="3" t="str">
        <f>"33908"</f>
        <v>33908</v>
      </c>
      <c r="DA924" t="s">
        <v>131</v>
      </c>
      <c r="DB924" t="str">
        <f>"35-2014"</f>
        <v>35-2014</v>
      </c>
      <c r="DC924" t="s">
        <v>581</v>
      </c>
      <c r="DD924" t="s">
        <v>134</v>
      </c>
      <c r="DE924" t="s">
        <v>134</v>
      </c>
      <c r="DF924" t="str">
        <f>""</f>
        <v/>
      </c>
      <c r="DH924" s="6">
        <v>14.08</v>
      </c>
      <c r="DI924" t="s">
        <v>344</v>
      </c>
      <c r="DK924" t="s">
        <v>345</v>
      </c>
      <c r="DS924" s="6">
        <v>14.08</v>
      </c>
      <c r="DT924" t="s">
        <v>424</v>
      </c>
      <c r="DU924" s="1">
        <v>44371</v>
      </c>
      <c r="DV924" s="1">
        <v>44460</v>
      </c>
    </row>
    <row r="925" spans="1:126" ht="15" customHeight="1" x14ac:dyDescent="0.35">
      <c r="A925" t="s">
        <v>10795</v>
      </c>
      <c r="B925" t="s">
        <v>318</v>
      </c>
      <c r="C925" s="1">
        <v>44344</v>
      </c>
      <c r="D925" s="1">
        <v>44371</v>
      </c>
      <c r="H925" t="s">
        <v>319</v>
      </c>
      <c r="I925" t="s">
        <v>2942</v>
      </c>
      <c r="J925" t="s">
        <v>348</v>
      </c>
      <c r="L925" t="s">
        <v>2943</v>
      </c>
      <c r="M925" t="s">
        <v>2944</v>
      </c>
      <c r="O925" t="s">
        <v>1271</v>
      </c>
      <c r="P925" t="s">
        <v>412</v>
      </c>
      <c r="Q925" s="3">
        <v>76137</v>
      </c>
      <c r="R925" t="s">
        <v>128</v>
      </c>
      <c r="T925" s="4">
        <v>16823175411</v>
      </c>
      <c r="V925" t="s">
        <v>2945</v>
      </c>
      <c r="W925" t="s">
        <v>10796</v>
      </c>
      <c r="Y925" t="s">
        <v>2944</v>
      </c>
      <c r="AA925" t="s">
        <v>1271</v>
      </c>
      <c r="AB925" t="s">
        <v>400</v>
      </c>
      <c r="AC925" s="3" t="str">
        <f>"76137"</f>
        <v>76137</v>
      </c>
      <c r="AD925" t="s">
        <v>128</v>
      </c>
      <c r="AF925" s="4">
        <v>16823175411</v>
      </c>
      <c r="AH925" t="str">
        <f>"236220"</f>
        <v>236220</v>
      </c>
      <c r="AI925" t="s">
        <v>287</v>
      </c>
      <c r="AJ925" t="s">
        <v>2209</v>
      </c>
      <c r="AK925" t="s">
        <v>1459</v>
      </c>
      <c r="AL925" t="s">
        <v>2210</v>
      </c>
      <c r="AM925" t="s">
        <v>2211</v>
      </c>
      <c r="AN925" t="s">
        <v>788</v>
      </c>
      <c r="AO925" t="s">
        <v>2212</v>
      </c>
      <c r="AP925" t="s">
        <v>400</v>
      </c>
      <c r="AQ925" s="5">
        <v>75033</v>
      </c>
      <c r="AR925" t="s">
        <v>128</v>
      </c>
      <c r="AT925" s="4">
        <v>19727789690</v>
      </c>
      <c r="AV925" t="s">
        <v>2213</v>
      </c>
      <c r="AW925" t="s">
        <v>2214</v>
      </c>
      <c r="AX925" t="s">
        <v>131</v>
      </c>
      <c r="AY925" t="s">
        <v>131</v>
      </c>
      <c r="AZ925" t="s">
        <v>131</v>
      </c>
      <c r="BA925" t="s">
        <v>131</v>
      </c>
      <c r="BB925" t="s">
        <v>131</v>
      </c>
      <c r="BC925" t="s">
        <v>131</v>
      </c>
      <c r="BD925" t="s">
        <v>131</v>
      </c>
      <c r="BE925" t="s">
        <v>132</v>
      </c>
      <c r="BH925" t="s">
        <v>8920</v>
      </c>
      <c r="BI925" t="s">
        <v>131</v>
      </c>
      <c r="BL925" t="s">
        <v>167</v>
      </c>
      <c r="BO925" t="s">
        <v>131</v>
      </c>
      <c r="BP925" t="s">
        <v>134</v>
      </c>
      <c r="BQ925" t="s">
        <v>131</v>
      </c>
      <c r="BS925" t="str">
        <f t="shared" si="64"/>
        <v>N/A</v>
      </c>
      <c r="BT925" t="s">
        <v>135</v>
      </c>
      <c r="BU925">
        <v>1</v>
      </c>
      <c r="BV925" t="str">
        <f>"Assembler"</f>
        <v>Assembler</v>
      </c>
      <c r="BW925" t="s">
        <v>135</v>
      </c>
      <c r="BX925" t="str">
        <f>""</f>
        <v/>
      </c>
      <c r="BY925" t="str">
        <f>""</f>
        <v/>
      </c>
      <c r="BZ925" t="str">
        <f>""</f>
        <v/>
      </c>
      <c r="CA925" t="str">
        <f>"Must complete employment application. Must be able to work weekends and holidays as required. Must be able to lift/push/pull/carry 50 lbs. Must be able to stand 100% of shift time. "</f>
        <v xml:space="preserve">Must complete employment application. Must be able to work weekends and holidays as required. Must be able to lift/push/pull/carry 50 lbs. Must be able to stand 100% of shift time. </v>
      </c>
      <c r="CB925" t="s">
        <v>131</v>
      </c>
      <c r="CF925" t="s">
        <v>131</v>
      </c>
      <c r="CH925" t="str">
        <f>""</f>
        <v/>
      </c>
      <c r="CI925" t="s">
        <v>131</v>
      </c>
      <c r="CK925" t="s">
        <v>131</v>
      </c>
      <c r="CL925" t="str">
        <f>""</f>
        <v/>
      </c>
      <c r="CM925" t="str">
        <f>""</f>
        <v/>
      </c>
      <c r="CN925" t="str">
        <f>""</f>
        <v/>
      </c>
      <c r="CO925" t="str">
        <f>""</f>
        <v/>
      </c>
      <c r="CP925" t="str">
        <f>"51-2099.00"</f>
        <v>51-2099.00</v>
      </c>
      <c r="CQ925" t="s">
        <v>8921</v>
      </c>
      <c r="CS925" t="s">
        <v>131</v>
      </c>
      <c r="CU925" t="s">
        <v>2944</v>
      </c>
      <c r="CW925" t="s">
        <v>1271</v>
      </c>
      <c r="CX925" t="s">
        <v>400</v>
      </c>
      <c r="CZ925" s="3" t="str">
        <f>"76137"</f>
        <v>76137</v>
      </c>
      <c r="DA925" t="s">
        <v>131</v>
      </c>
      <c r="DB925" t="str">
        <f>"51-2092"</f>
        <v>51-2092</v>
      </c>
      <c r="DC925" t="s">
        <v>3007</v>
      </c>
      <c r="DD925" t="s">
        <v>134</v>
      </c>
      <c r="DE925" t="s">
        <v>134</v>
      </c>
      <c r="DF925" t="str">
        <f>""</f>
        <v/>
      </c>
      <c r="DH925" s="6">
        <v>16.239999999999998</v>
      </c>
      <c r="DI925" t="s">
        <v>344</v>
      </c>
      <c r="DK925" t="s">
        <v>345</v>
      </c>
      <c r="DR925" t="s">
        <v>423</v>
      </c>
      <c r="DS925" s="6">
        <v>16.239999999999998</v>
      </c>
      <c r="DT925" t="s">
        <v>424</v>
      </c>
      <c r="DU925" s="1">
        <v>44371</v>
      </c>
      <c r="DV925" s="1">
        <v>44460</v>
      </c>
    </row>
    <row r="926" spans="1:126" ht="15" customHeight="1" x14ac:dyDescent="0.35">
      <c r="A926" t="s">
        <v>2941</v>
      </c>
      <c r="B926" t="s">
        <v>318</v>
      </c>
      <c r="C926" s="1">
        <v>44344</v>
      </c>
      <c r="D926" s="1">
        <v>44371</v>
      </c>
      <c r="H926" t="s">
        <v>319</v>
      </c>
      <c r="I926" t="s">
        <v>2942</v>
      </c>
      <c r="J926" t="s">
        <v>348</v>
      </c>
      <c r="L926" t="s">
        <v>2943</v>
      </c>
      <c r="M926" t="s">
        <v>2944</v>
      </c>
      <c r="O926" t="s">
        <v>1271</v>
      </c>
      <c r="P926" t="s">
        <v>412</v>
      </c>
      <c r="Q926" s="3">
        <v>76137</v>
      </c>
      <c r="R926" t="s">
        <v>128</v>
      </c>
      <c r="T926" s="4">
        <v>16823175411</v>
      </c>
      <c r="V926" t="s">
        <v>2945</v>
      </c>
      <c r="W926" t="s">
        <v>2946</v>
      </c>
      <c r="Y926" t="s">
        <v>2944</v>
      </c>
      <c r="AA926" t="s">
        <v>1271</v>
      </c>
      <c r="AB926" t="s">
        <v>400</v>
      </c>
      <c r="AC926" s="3" t="str">
        <f>"76137"</f>
        <v>76137</v>
      </c>
      <c r="AD926" t="s">
        <v>128</v>
      </c>
      <c r="AF926" s="4">
        <v>16823175411</v>
      </c>
      <c r="AH926" t="str">
        <f>"236220"</f>
        <v>236220</v>
      </c>
      <c r="AI926" t="s">
        <v>287</v>
      </c>
      <c r="AJ926" t="s">
        <v>2209</v>
      </c>
      <c r="AK926" t="s">
        <v>1459</v>
      </c>
      <c r="AL926" t="s">
        <v>2210</v>
      </c>
      <c r="AM926" t="s">
        <v>2211</v>
      </c>
      <c r="AN926" t="s">
        <v>788</v>
      </c>
      <c r="AO926" t="s">
        <v>2212</v>
      </c>
      <c r="AP926" t="s">
        <v>400</v>
      </c>
      <c r="AQ926" s="5">
        <v>75033</v>
      </c>
      <c r="AR926" t="s">
        <v>128</v>
      </c>
      <c r="AT926" s="4">
        <v>19727789690</v>
      </c>
      <c r="AV926" t="s">
        <v>2213</v>
      </c>
      <c r="AW926" t="s">
        <v>2214</v>
      </c>
      <c r="AX926" t="s">
        <v>131</v>
      </c>
      <c r="AY926" t="s">
        <v>131</v>
      </c>
      <c r="AZ926" t="s">
        <v>131</v>
      </c>
      <c r="BA926" t="s">
        <v>131</v>
      </c>
      <c r="BB926" t="s">
        <v>131</v>
      </c>
      <c r="BC926" t="s">
        <v>131</v>
      </c>
      <c r="BD926" t="s">
        <v>131</v>
      </c>
      <c r="BE926" t="s">
        <v>132</v>
      </c>
      <c r="BH926" t="s">
        <v>2947</v>
      </c>
      <c r="BI926" t="s">
        <v>131</v>
      </c>
      <c r="BL926" t="s">
        <v>167</v>
      </c>
      <c r="BO926" t="s">
        <v>131</v>
      </c>
      <c r="BP926" t="s">
        <v>134</v>
      </c>
      <c r="BQ926" t="s">
        <v>131</v>
      </c>
      <c r="BS926" t="str">
        <f t="shared" si="64"/>
        <v>N/A</v>
      </c>
      <c r="BT926" t="s">
        <v>135</v>
      </c>
      <c r="BU926">
        <v>1</v>
      </c>
      <c r="BV926" t="str">
        <f>"Machine Operator"</f>
        <v>Machine Operator</v>
      </c>
      <c r="BW926" t="s">
        <v>135</v>
      </c>
      <c r="BX926" t="str">
        <f>""</f>
        <v/>
      </c>
      <c r="BY926" t="str">
        <f>""</f>
        <v/>
      </c>
      <c r="BZ926" t="str">
        <f>""</f>
        <v/>
      </c>
      <c r="CA926" t="str">
        <f>"Must complete employment application. Must be able to work weekends and holidays as required. Must be able to lift/push/pull/carry 50 lbs. Must be able to stand 100% of shift time. "</f>
        <v xml:space="preserve">Must complete employment application. Must be able to work weekends and holidays as required. Must be able to lift/push/pull/carry 50 lbs. Must be able to stand 100% of shift time. </v>
      </c>
      <c r="CB926" t="s">
        <v>131</v>
      </c>
      <c r="CF926" t="s">
        <v>131</v>
      </c>
      <c r="CH926" t="str">
        <f>""</f>
        <v/>
      </c>
      <c r="CI926" t="s">
        <v>131</v>
      </c>
      <c r="CK926" t="s">
        <v>131</v>
      </c>
      <c r="CL926" t="str">
        <f>""</f>
        <v/>
      </c>
      <c r="CM926" t="str">
        <f>""</f>
        <v/>
      </c>
      <c r="CN926" t="str">
        <f>""</f>
        <v/>
      </c>
      <c r="CO926" t="str">
        <f>""</f>
        <v/>
      </c>
      <c r="CP926" t="str">
        <f>"51-9199.00"</f>
        <v>51-9199.00</v>
      </c>
      <c r="CQ926" t="s">
        <v>1893</v>
      </c>
      <c r="CS926" t="s">
        <v>131</v>
      </c>
      <c r="CU926" t="s">
        <v>2944</v>
      </c>
      <c r="CW926" t="s">
        <v>1271</v>
      </c>
      <c r="CX926" t="s">
        <v>400</v>
      </c>
      <c r="CZ926" s="3" t="str">
        <f>"76137"</f>
        <v>76137</v>
      </c>
      <c r="DA926" t="s">
        <v>131</v>
      </c>
      <c r="DB926" t="str">
        <f>"51-4081"</f>
        <v>51-4081</v>
      </c>
      <c r="DC926" t="s">
        <v>2948</v>
      </c>
      <c r="DD926" t="s">
        <v>134</v>
      </c>
      <c r="DE926" t="s">
        <v>134</v>
      </c>
      <c r="DF926" t="str">
        <f>""</f>
        <v/>
      </c>
      <c r="DH926" s="6">
        <v>16.07</v>
      </c>
      <c r="DI926" t="s">
        <v>344</v>
      </c>
      <c r="DK926" t="s">
        <v>345</v>
      </c>
      <c r="DR926" t="s">
        <v>423</v>
      </c>
      <c r="DS926" s="6">
        <v>16.07</v>
      </c>
      <c r="DT926" t="s">
        <v>424</v>
      </c>
      <c r="DU926" s="1">
        <v>44371</v>
      </c>
      <c r="DV926" s="1">
        <v>44460</v>
      </c>
    </row>
    <row r="927" spans="1:126" ht="15" customHeight="1" x14ac:dyDescent="0.35">
      <c r="A927" t="s">
        <v>17623</v>
      </c>
      <c r="B927" t="s">
        <v>318</v>
      </c>
      <c r="C927" s="1">
        <v>44344</v>
      </c>
      <c r="D927" s="1">
        <v>44371</v>
      </c>
      <c r="H927" t="s">
        <v>319</v>
      </c>
      <c r="I927" t="s">
        <v>7386</v>
      </c>
      <c r="J927" t="s">
        <v>2753</v>
      </c>
      <c r="L927" t="s">
        <v>5333</v>
      </c>
      <c r="M927" t="s">
        <v>16055</v>
      </c>
      <c r="N927" t="s">
        <v>134</v>
      </c>
      <c r="O927" t="s">
        <v>4408</v>
      </c>
      <c r="P927" t="s">
        <v>194</v>
      </c>
      <c r="Q927" s="3">
        <v>34119</v>
      </c>
      <c r="R927" t="s">
        <v>128</v>
      </c>
      <c r="S927" t="s">
        <v>134</v>
      </c>
      <c r="T927" s="4">
        <v>12395934100</v>
      </c>
      <c r="V927" t="s">
        <v>16056</v>
      </c>
      <c r="W927" t="s">
        <v>16057</v>
      </c>
      <c r="X927" t="s">
        <v>16058</v>
      </c>
      <c r="Y927" t="s">
        <v>16055</v>
      </c>
      <c r="Z927" t="s">
        <v>134</v>
      </c>
      <c r="AA927" t="s">
        <v>4408</v>
      </c>
      <c r="AB927" t="s">
        <v>195</v>
      </c>
      <c r="AC927" s="3" t="str">
        <f>"34119"</f>
        <v>34119</v>
      </c>
      <c r="AD927" t="s">
        <v>128</v>
      </c>
      <c r="AE927" t="s">
        <v>134</v>
      </c>
      <c r="AF927" s="4">
        <v>12395934100</v>
      </c>
      <c r="AH927" t="str">
        <f>"713910"</f>
        <v>713910</v>
      </c>
      <c r="AI927" t="s">
        <v>130</v>
      </c>
      <c r="AJ927" t="s">
        <v>1386</v>
      </c>
      <c r="AK927" t="s">
        <v>1387</v>
      </c>
      <c r="AL927" t="s">
        <v>1036</v>
      </c>
      <c r="AM927" t="s">
        <v>1388</v>
      </c>
      <c r="AN927" t="s">
        <v>997</v>
      </c>
      <c r="AO927" t="s">
        <v>719</v>
      </c>
      <c r="AP927" t="s">
        <v>377</v>
      </c>
      <c r="AQ927" s="5">
        <v>1701</v>
      </c>
      <c r="AR927" t="s">
        <v>128</v>
      </c>
      <c r="AS927" t="s">
        <v>134</v>
      </c>
      <c r="AT927" s="4">
        <v>16179399444</v>
      </c>
      <c r="AV927" t="s">
        <v>1389</v>
      </c>
      <c r="AW927" t="s">
        <v>1390</v>
      </c>
      <c r="AX927" t="s">
        <v>131</v>
      </c>
      <c r="AY927" t="s">
        <v>131</v>
      </c>
      <c r="AZ927" t="s">
        <v>131</v>
      </c>
      <c r="BA927" t="s">
        <v>131</v>
      </c>
      <c r="BB927" t="s">
        <v>131</v>
      </c>
      <c r="BC927" t="s">
        <v>131</v>
      </c>
      <c r="BD927" t="s">
        <v>131</v>
      </c>
      <c r="BE927" t="s">
        <v>132</v>
      </c>
      <c r="BH927" t="s">
        <v>1213</v>
      </c>
      <c r="BI927" t="s">
        <v>131</v>
      </c>
      <c r="BL927" t="s">
        <v>167</v>
      </c>
      <c r="BO927" t="s">
        <v>131</v>
      </c>
      <c r="BP927" t="s">
        <v>134</v>
      </c>
      <c r="BQ927" t="s">
        <v>131</v>
      </c>
      <c r="BS927" t="str">
        <f t="shared" si="64"/>
        <v>N/A</v>
      </c>
      <c r="BT927" t="s">
        <v>135</v>
      </c>
      <c r="BU927">
        <v>3</v>
      </c>
      <c r="BV927" t="str">
        <f>"Server"</f>
        <v>Server</v>
      </c>
      <c r="BW927" t="s">
        <v>135</v>
      </c>
      <c r="BX927" t="str">
        <f>""</f>
        <v/>
      </c>
      <c r="BY927" t="str">
        <f>""</f>
        <v/>
      </c>
      <c r="BZ927" t="str">
        <f>""</f>
        <v/>
      </c>
      <c r="CA927" t="s">
        <v>17624</v>
      </c>
      <c r="CB927" t="s">
        <v>131</v>
      </c>
      <c r="CF927" t="s">
        <v>131</v>
      </c>
      <c r="CH927" t="str">
        <f>""</f>
        <v/>
      </c>
      <c r="CI927" t="s">
        <v>131</v>
      </c>
      <c r="CK927" t="s">
        <v>131</v>
      </c>
      <c r="CL927" t="str">
        <f>""</f>
        <v/>
      </c>
      <c r="CM927" t="str">
        <f>""</f>
        <v/>
      </c>
      <c r="CN927" t="str">
        <f>""</f>
        <v/>
      </c>
      <c r="CO927" t="str">
        <f>""</f>
        <v/>
      </c>
      <c r="CP927" t="str">
        <f>"35-3031.00"</f>
        <v>35-3031.00</v>
      </c>
      <c r="CQ927" t="s">
        <v>1214</v>
      </c>
      <c r="CR927" t="s">
        <v>7967</v>
      </c>
      <c r="CS927" t="s">
        <v>131</v>
      </c>
      <c r="CU927" t="s">
        <v>16055</v>
      </c>
      <c r="CV927" t="s">
        <v>134</v>
      </c>
      <c r="CW927" t="s">
        <v>4408</v>
      </c>
      <c r="CX927" t="s">
        <v>195</v>
      </c>
      <c r="CZ927" s="3" t="str">
        <f>"34119"</f>
        <v>34119</v>
      </c>
      <c r="DA927" t="s">
        <v>131</v>
      </c>
      <c r="DB927" t="str">
        <f>"35-3031"</f>
        <v>35-3031</v>
      </c>
      <c r="DC927" t="s">
        <v>1214</v>
      </c>
      <c r="DD927" t="s">
        <v>134</v>
      </c>
      <c r="DE927" t="s">
        <v>134</v>
      </c>
      <c r="DF927" t="str">
        <f>""</f>
        <v/>
      </c>
      <c r="DH927" s="6">
        <v>15.48</v>
      </c>
      <c r="DI927" t="s">
        <v>344</v>
      </c>
      <c r="DK927" t="s">
        <v>345</v>
      </c>
      <c r="DS927" s="6">
        <v>15.48</v>
      </c>
      <c r="DT927" t="s">
        <v>424</v>
      </c>
      <c r="DU927" s="1">
        <v>44371</v>
      </c>
      <c r="DV927" s="1">
        <v>44460</v>
      </c>
    </row>
    <row r="928" spans="1:126" ht="15" customHeight="1" x14ac:dyDescent="0.35">
      <c r="A928" t="s">
        <v>16054</v>
      </c>
      <c r="B928" t="s">
        <v>318</v>
      </c>
      <c r="C928" s="1">
        <v>44344</v>
      </c>
      <c r="D928" s="1">
        <v>44371</v>
      </c>
      <c r="H928" t="s">
        <v>319</v>
      </c>
      <c r="I928" t="s">
        <v>7386</v>
      </c>
      <c r="J928" t="s">
        <v>2753</v>
      </c>
      <c r="L928" t="s">
        <v>5333</v>
      </c>
      <c r="M928" t="s">
        <v>16055</v>
      </c>
      <c r="N928" t="s">
        <v>134</v>
      </c>
      <c r="O928" t="s">
        <v>4408</v>
      </c>
      <c r="P928" t="s">
        <v>194</v>
      </c>
      <c r="Q928" s="3">
        <v>34119</v>
      </c>
      <c r="R928" t="s">
        <v>128</v>
      </c>
      <c r="S928" t="s">
        <v>134</v>
      </c>
      <c r="T928" s="4">
        <v>12395934100</v>
      </c>
      <c r="V928" t="s">
        <v>16056</v>
      </c>
      <c r="W928" t="s">
        <v>16057</v>
      </c>
      <c r="X928" t="s">
        <v>16058</v>
      </c>
      <c r="Y928" t="s">
        <v>16055</v>
      </c>
      <c r="Z928" t="s">
        <v>134</v>
      </c>
      <c r="AA928" t="s">
        <v>4408</v>
      </c>
      <c r="AB928" t="s">
        <v>195</v>
      </c>
      <c r="AC928" s="3" t="str">
        <f>"34119"</f>
        <v>34119</v>
      </c>
      <c r="AD928" t="s">
        <v>128</v>
      </c>
      <c r="AE928" t="s">
        <v>134</v>
      </c>
      <c r="AF928" s="4">
        <v>12395934100</v>
      </c>
      <c r="AH928" t="str">
        <f>"713910"</f>
        <v>713910</v>
      </c>
      <c r="AI928" t="s">
        <v>130</v>
      </c>
      <c r="AJ928" t="s">
        <v>1386</v>
      </c>
      <c r="AK928" t="s">
        <v>1387</v>
      </c>
      <c r="AL928" t="s">
        <v>1036</v>
      </c>
      <c r="AM928" t="s">
        <v>1388</v>
      </c>
      <c r="AN928" t="s">
        <v>997</v>
      </c>
      <c r="AO928" t="s">
        <v>719</v>
      </c>
      <c r="AP928" t="s">
        <v>377</v>
      </c>
      <c r="AQ928" s="5">
        <v>1701</v>
      </c>
      <c r="AR928" t="s">
        <v>128</v>
      </c>
      <c r="AS928" t="s">
        <v>134</v>
      </c>
      <c r="AT928" s="4">
        <v>16179399444</v>
      </c>
      <c r="AV928" t="s">
        <v>1389</v>
      </c>
      <c r="AW928" t="s">
        <v>1390</v>
      </c>
      <c r="AX928" t="s">
        <v>131</v>
      </c>
      <c r="AY928" t="s">
        <v>131</v>
      </c>
      <c r="AZ928" t="s">
        <v>131</v>
      </c>
      <c r="BA928" t="s">
        <v>131</v>
      </c>
      <c r="BB928" t="s">
        <v>131</v>
      </c>
      <c r="BC928" t="s">
        <v>131</v>
      </c>
      <c r="BD928" t="s">
        <v>131</v>
      </c>
      <c r="BE928" t="s">
        <v>132</v>
      </c>
      <c r="BH928" t="s">
        <v>1080</v>
      </c>
      <c r="BI928" t="s">
        <v>131</v>
      </c>
      <c r="BL928" t="s">
        <v>167</v>
      </c>
      <c r="BO928" t="s">
        <v>131</v>
      </c>
      <c r="BP928" t="s">
        <v>134</v>
      </c>
      <c r="BQ928" t="s">
        <v>131</v>
      </c>
      <c r="BS928" t="str">
        <f t="shared" si="64"/>
        <v>N/A</v>
      </c>
      <c r="BT928" t="s">
        <v>135</v>
      </c>
      <c r="BU928">
        <v>12</v>
      </c>
      <c r="BV928" t="str">
        <f>"Cook"</f>
        <v>Cook</v>
      </c>
      <c r="BW928" t="s">
        <v>135</v>
      </c>
      <c r="BX928" t="str">
        <f>""</f>
        <v/>
      </c>
      <c r="BY928" t="str">
        <f>""</f>
        <v/>
      </c>
      <c r="BZ928" t="str">
        <f>""</f>
        <v/>
      </c>
      <c r="CA928" t="s">
        <v>5765</v>
      </c>
      <c r="CB928" t="s">
        <v>131</v>
      </c>
      <c r="CF928" t="s">
        <v>131</v>
      </c>
      <c r="CH928" t="str">
        <f>""</f>
        <v/>
      </c>
      <c r="CI928" t="s">
        <v>131</v>
      </c>
      <c r="CK928" t="s">
        <v>131</v>
      </c>
      <c r="CL928" t="str">
        <f>""</f>
        <v/>
      </c>
      <c r="CM928" t="str">
        <f>""</f>
        <v/>
      </c>
      <c r="CN928" t="str">
        <f>""</f>
        <v/>
      </c>
      <c r="CO928" t="str">
        <f>""</f>
        <v/>
      </c>
      <c r="CP928" t="str">
        <f>"35-2014.00"</f>
        <v>35-2014.00</v>
      </c>
      <c r="CQ928" t="s">
        <v>581</v>
      </c>
      <c r="CR928" t="s">
        <v>1941</v>
      </c>
      <c r="CS928" t="s">
        <v>131</v>
      </c>
      <c r="CU928" t="s">
        <v>16055</v>
      </c>
      <c r="CV928" t="s">
        <v>134</v>
      </c>
      <c r="CW928" t="s">
        <v>4408</v>
      </c>
      <c r="CX928" t="s">
        <v>195</v>
      </c>
      <c r="CZ928" s="3" t="str">
        <f>"34119"</f>
        <v>34119</v>
      </c>
      <c r="DA928" t="s">
        <v>131</v>
      </c>
      <c r="DB928" t="str">
        <f>"35-2014"</f>
        <v>35-2014</v>
      </c>
      <c r="DC928" t="s">
        <v>581</v>
      </c>
      <c r="DD928" t="s">
        <v>134</v>
      </c>
      <c r="DE928" t="s">
        <v>134</v>
      </c>
      <c r="DF928" t="str">
        <f>""</f>
        <v/>
      </c>
      <c r="DH928" s="6">
        <v>15.46</v>
      </c>
      <c r="DI928" t="s">
        <v>344</v>
      </c>
      <c r="DK928" t="s">
        <v>345</v>
      </c>
      <c r="DS928" s="6">
        <v>15.46</v>
      </c>
      <c r="DT928" t="s">
        <v>424</v>
      </c>
      <c r="DU928" s="1">
        <v>44371</v>
      </c>
      <c r="DV928" s="1">
        <v>44460</v>
      </c>
    </row>
    <row r="929" spans="1:126" ht="15" customHeight="1" x14ac:dyDescent="0.35">
      <c r="A929" t="s">
        <v>8916</v>
      </c>
      <c r="B929" t="s">
        <v>318</v>
      </c>
      <c r="C929" s="1">
        <v>44344</v>
      </c>
      <c r="D929" s="1">
        <v>44371</v>
      </c>
      <c r="H929" t="s">
        <v>319</v>
      </c>
      <c r="I929" t="s">
        <v>2942</v>
      </c>
      <c r="J929" t="s">
        <v>348</v>
      </c>
      <c r="L929" t="s">
        <v>2943</v>
      </c>
      <c r="M929" t="s">
        <v>8917</v>
      </c>
      <c r="O929" t="s">
        <v>4564</v>
      </c>
      <c r="P929" t="s">
        <v>818</v>
      </c>
      <c r="Q929" s="3">
        <v>30013</v>
      </c>
      <c r="R929" t="s">
        <v>128</v>
      </c>
      <c r="T929" s="4">
        <v>16823175411</v>
      </c>
      <c r="V929" t="s">
        <v>2945</v>
      </c>
      <c r="W929" t="s">
        <v>8918</v>
      </c>
      <c r="X929" t="s">
        <v>8919</v>
      </c>
      <c r="Y929" t="s">
        <v>8917</v>
      </c>
      <c r="AA929" t="s">
        <v>4564</v>
      </c>
      <c r="AB929" t="s">
        <v>643</v>
      </c>
      <c r="AC929" s="3" t="str">
        <f>"30013"</f>
        <v>30013</v>
      </c>
      <c r="AD929" t="s">
        <v>128</v>
      </c>
      <c r="AF929" s="4">
        <v>16823175411</v>
      </c>
      <c r="AH929" t="str">
        <f>"236220"</f>
        <v>236220</v>
      </c>
      <c r="AI929" t="s">
        <v>287</v>
      </c>
      <c r="AJ929" t="s">
        <v>2209</v>
      </c>
      <c r="AK929" t="s">
        <v>1459</v>
      </c>
      <c r="AL929" t="s">
        <v>2210</v>
      </c>
      <c r="AM929" t="s">
        <v>2211</v>
      </c>
      <c r="AN929" t="s">
        <v>788</v>
      </c>
      <c r="AO929" t="s">
        <v>2212</v>
      </c>
      <c r="AP929" t="s">
        <v>400</v>
      </c>
      <c r="AQ929" s="5">
        <v>75033</v>
      </c>
      <c r="AR929" t="s">
        <v>128</v>
      </c>
      <c r="AT929" s="4">
        <v>19727789690</v>
      </c>
      <c r="AV929" t="s">
        <v>2213</v>
      </c>
      <c r="AW929" t="s">
        <v>2214</v>
      </c>
      <c r="AX929" t="s">
        <v>131</v>
      </c>
      <c r="AY929" t="s">
        <v>131</v>
      </c>
      <c r="AZ929" t="s">
        <v>131</v>
      </c>
      <c r="BA929" t="s">
        <v>131</v>
      </c>
      <c r="BB929" t="s">
        <v>131</v>
      </c>
      <c r="BC929" t="s">
        <v>131</v>
      </c>
      <c r="BD929" t="s">
        <v>131</v>
      </c>
      <c r="BE929" t="s">
        <v>132</v>
      </c>
      <c r="BH929" t="s">
        <v>8920</v>
      </c>
      <c r="BI929" t="s">
        <v>131</v>
      </c>
      <c r="BL929" t="s">
        <v>167</v>
      </c>
      <c r="BO929" t="s">
        <v>131</v>
      </c>
      <c r="BP929" t="s">
        <v>134</v>
      </c>
      <c r="BQ929" t="s">
        <v>131</v>
      </c>
      <c r="BS929" t="str">
        <f t="shared" ref="BS929:BS960" si="65">"N/A"</f>
        <v>N/A</v>
      </c>
      <c r="BT929" t="s">
        <v>135</v>
      </c>
      <c r="BU929">
        <v>1</v>
      </c>
      <c r="BV929" t="str">
        <f>"Assembler"</f>
        <v>Assembler</v>
      </c>
      <c r="BW929" t="s">
        <v>135</v>
      </c>
      <c r="BX929" t="str">
        <f>""</f>
        <v/>
      </c>
      <c r="BY929" t="str">
        <f>""</f>
        <v/>
      </c>
      <c r="BZ929" t="str">
        <f>""</f>
        <v/>
      </c>
      <c r="CA929" t="str">
        <f>"MUST COMPLETE EMPLOYMENT APPLICATION. MUST BE ABLE TO WORK WEEKENDS AND HOLIDAYS AS REQUIRED. MUST BE ABLE TO LIFT/PUSH/PULL/CARRY 50 LBS. MUST BE ABLE TO STAND 100% OF SHIFT TIME.
"</f>
        <v xml:space="preserve">MUST COMPLETE EMPLOYMENT APPLICATION. MUST BE ABLE TO WORK WEEKENDS AND HOLIDAYS AS REQUIRED. MUST BE ABLE TO LIFT/PUSH/PULL/CARRY 50 LBS. MUST BE ABLE TO STAND 100% OF SHIFT TIME.
</v>
      </c>
      <c r="CB929" t="s">
        <v>131</v>
      </c>
      <c r="CF929" t="s">
        <v>131</v>
      </c>
      <c r="CH929" t="str">
        <f>""</f>
        <v/>
      </c>
      <c r="CI929" t="s">
        <v>131</v>
      </c>
      <c r="CK929" t="s">
        <v>131</v>
      </c>
      <c r="CL929" t="str">
        <f>""</f>
        <v/>
      </c>
      <c r="CM929" t="str">
        <f>""</f>
        <v/>
      </c>
      <c r="CN929" t="str">
        <f>""</f>
        <v/>
      </c>
      <c r="CO929" t="str">
        <f>""</f>
        <v/>
      </c>
      <c r="CP929" t="str">
        <f>"51-2099.00"</f>
        <v>51-2099.00</v>
      </c>
      <c r="CQ929" t="s">
        <v>8921</v>
      </c>
      <c r="CS929" t="s">
        <v>131</v>
      </c>
      <c r="CU929" t="s">
        <v>8917</v>
      </c>
      <c r="CW929" t="s">
        <v>4564</v>
      </c>
      <c r="CX929" t="s">
        <v>643</v>
      </c>
      <c r="CZ929" s="3" t="str">
        <f>"30013"</f>
        <v>30013</v>
      </c>
      <c r="DA929" t="s">
        <v>131</v>
      </c>
      <c r="DB929" t="str">
        <f>"51-2099"</f>
        <v>51-2099</v>
      </c>
      <c r="DC929" t="s">
        <v>8921</v>
      </c>
      <c r="DD929" t="s">
        <v>134</v>
      </c>
      <c r="DE929" t="s">
        <v>134</v>
      </c>
      <c r="DF929" t="str">
        <f>""</f>
        <v/>
      </c>
      <c r="DH929" s="6">
        <v>14.82</v>
      </c>
      <c r="DI929" t="s">
        <v>344</v>
      </c>
      <c r="DK929" t="s">
        <v>345</v>
      </c>
      <c r="DR929" t="s">
        <v>2218</v>
      </c>
      <c r="DS929" s="6">
        <v>14.82</v>
      </c>
      <c r="DT929" t="s">
        <v>424</v>
      </c>
      <c r="DU929" s="1">
        <v>44371</v>
      </c>
      <c r="DV929" s="1">
        <v>44460</v>
      </c>
    </row>
    <row r="930" spans="1:126" ht="15" customHeight="1" x14ac:dyDescent="0.35">
      <c r="A930" t="s">
        <v>16284</v>
      </c>
      <c r="B930" t="s">
        <v>318</v>
      </c>
      <c r="C930" s="1">
        <v>44344</v>
      </c>
      <c r="D930" s="1">
        <v>44371</v>
      </c>
      <c r="H930" t="s">
        <v>319</v>
      </c>
      <c r="I930" t="s">
        <v>2942</v>
      </c>
      <c r="J930" t="s">
        <v>348</v>
      </c>
      <c r="L930" t="s">
        <v>2943</v>
      </c>
      <c r="M930" t="s">
        <v>8917</v>
      </c>
      <c r="O930" t="s">
        <v>4564</v>
      </c>
      <c r="P930" t="s">
        <v>818</v>
      </c>
      <c r="Q930" s="3">
        <v>30013</v>
      </c>
      <c r="R930" t="s">
        <v>128</v>
      </c>
      <c r="T930" s="4">
        <v>16823175411</v>
      </c>
      <c r="V930" t="s">
        <v>2945</v>
      </c>
      <c r="W930" t="s">
        <v>8918</v>
      </c>
      <c r="X930" t="s">
        <v>8919</v>
      </c>
      <c r="Y930" t="s">
        <v>8917</v>
      </c>
      <c r="AA930" t="s">
        <v>4564</v>
      </c>
      <c r="AB930" t="s">
        <v>643</v>
      </c>
      <c r="AC930" s="3" t="str">
        <f>"30013"</f>
        <v>30013</v>
      </c>
      <c r="AD930" t="s">
        <v>128</v>
      </c>
      <c r="AF930" s="4">
        <v>16823175411</v>
      </c>
      <c r="AH930" t="str">
        <f>"236220"</f>
        <v>236220</v>
      </c>
      <c r="AI930" t="s">
        <v>287</v>
      </c>
      <c r="AJ930" t="s">
        <v>2209</v>
      </c>
      <c r="AK930" t="s">
        <v>1459</v>
      </c>
      <c r="AL930" t="s">
        <v>2210</v>
      </c>
      <c r="AM930" t="s">
        <v>2211</v>
      </c>
      <c r="AN930" t="s">
        <v>788</v>
      </c>
      <c r="AO930" t="s">
        <v>2212</v>
      </c>
      <c r="AP930" t="s">
        <v>400</v>
      </c>
      <c r="AQ930" s="5">
        <v>75033</v>
      </c>
      <c r="AR930" t="s">
        <v>128</v>
      </c>
      <c r="AT930" s="4">
        <v>19727789690</v>
      </c>
      <c r="AV930" t="s">
        <v>2213</v>
      </c>
      <c r="AW930" t="s">
        <v>2214</v>
      </c>
      <c r="AX930" t="s">
        <v>131</v>
      </c>
      <c r="AY930" t="s">
        <v>131</v>
      </c>
      <c r="AZ930" t="s">
        <v>131</v>
      </c>
      <c r="BA930" t="s">
        <v>131</v>
      </c>
      <c r="BB930" t="s">
        <v>131</v>
      </c>
      <c r="BC930" t="s">
        <v>131</v>
      </c>
      <c r="BD930" t="s">
        <v>131</v>
      </c>
      <c r="BE930" t="s">
        <v>132</v>
      </c>
      <c r="BH930" t="s">
        <v>2947</v>
      </c>
      <c r="BI930" t="s">
        <v>131</v>
      </c>
      <c r="BL930" t="s">
        <v>167</v>
      </c>
      <c r="BO930" t="s">
        <v>131</v>
      </c>
      <c r="BP930" t="s">
        <v>134</v>
      </c>
      <c r="BQ930" t="s">
        <v>131</v>
      </c>
      <c r="BS930" t="str">
        <f t="shared" si="65"/>
        <v>N/A</v>
      </c>
      <c r="BT930" t="s">
        <v>135</v>
      </c>
      <c r="BU930">
        <v>1</v>
      </c>
      <c r="BV930" t="str">
        <f>"Machine Operator"</f>
        <v>Machine Operator</v>
      </c>
      <c r="BW930" t="s">
        <v>135</v>
      </c>
      <c r="BX930" t="str">
        <f>""</f>
        <v/>
      </c>
      <c r="BY930" t="str">
        <f>""</f>
        <v/>
      </c>
      <c r="BZ930" t="str">
        <f>""</f>
        <v/>
      </c>
      <c r="CA930" t="str">
        <f>"MUST COMPLETE EMPLOYMENT APPLICATION. MUST BE ABLE TO WORK WEEKENDS AND HOLIDAYS AS REQUIRED. MUST BE ABLE TO LIFT/PUSH/PULL/CARRY 50 LBS. MUST BE ABLE TO STAND 100% OF SHIFT TIME.
"</f>
        <v xml:space="preserve">MUST COMPLETE EMPLOYMENT APPLICATION. MUST BE ABLE TO WORK WEEKENDS AND HOLIDAYS AS REQUIRED. MUST BE ABLE TO LIFT/PUSH/PULL/CARRY 50 LBS. MUST BE ABLE TO STAND 100% OF SHIFT TIME.
</v>
      </c>
      <c r="CB930" t="s">
        <v>131</v>
      </c>
      <c r="CF930" t="s">
        <v>131</v>
      </c>
      <c r="CH930" t="str">
        <f>""</f>
        <v/>
      </c>
      <c r="CI930" t="s">
        <v>131</v>
      </c>
      <c r="CK930" t="s">
        <v>131</v>
      </c>
      <c r="CL930" t="str">
        <f>""</f>
        <v/>
      </c>
      <c r="CM930" t="str">
        <f>""</f>
        <v/>
      </c>
      <c r="CN930" t="str">
        <f>""</f>
        <v/>
      </c>
      <c r="CO930" t="str">
        <f>""</f>
        <v/>
      </c>
      <c r="CP930" t="str">
        <f>"51-9199.00"</f>
        <v>51-9199.00</v>
      </c>
      <c r="CQ930" t="s">
        <v>1893</v>
      </c>
      <c r="CS930" t="s">
        <v>131</v>
      </c>
      <c r="CU930" t="s">
        <v>8917</v>
      </c>
      <c r="CW930" t="s">
        <v>4564</v>
      </c>
      <c r="CX930" t="s">
        <v>643</v>
      </c>
      <c r="CZ930" s="3" t="str">
        <f>"30013"</f>
        <v>30013</v>
      </c>
      <c r="DA930" t="s">
        <v>131</v>
      </c>
      <c r="DB930" t="str">
        <f>"51-4081"</f>
        <v>51-4081</v>
      </c>
      <c r="DC930" t="s">
        <v>2948</v>
      </c>
      <c r="DD930" t="s">
        <v>134</v>
      </c>
      <c r="DE930" t="s">
        <v>134</v>
      </c>
      <c r="DF930" t="str">
        <f>""</f>
        <v/>
      </c>
      <c r="DH930" s="6">
        <v>18.440000000000001</v>
      </c>
      <c r="DI930" t="s">
        <v>344</v>
      </c>
      <c r="DK930" t="s">
        <v>345</v>
      </c>
      <c r="DR930" t="s">
        <v>2218</v>
      </c>
      <c r="DS930" s="6">
        <v>18.440000000000001</v>
      </c>
      <c r="DT930" t="s">
        <v>424</v>
      </c>
      <c r="DU930" s="1">
        <v>44371</v>
      </c>
      <c r="DV930" s="1">
        <v>44460</v>
      </c>
    </row>
    <row r="931" spans="1:126" ht="15" customHeight="1" x14ac:dyDescent="0.35">
      <c r="A931" t="s">
        <v>12735</v>
      </c>
      <c r="B931" t="s">
        <v>318</v>
      </c>
      <c r="C931" s="1">
        <v>44344</v>
      </c>
      <c r="D931" s="1">
        <v>44371</v>
      </c>
      <c r="H931" t="s">
        <v>319</v>
      </c>
      <c r="I931" t="s">
        <v>7919</v>
      </c>
      <c r="J931" t="s">
        <v>12736</v>
      </c>
      <c r="L931" t="s">
        <v>5497</v>
      </c>
      <c r="M931" t="s">
        <v>12737</v>
      </c>
      <c r="O931" t="s">
        <v>4423</v>
      </c>
      <c r="P931" t="s">
        <v>507</v>
      </c>
      <c r="Q931" s="3">
        <v>49505</v>
      </c>
      <c r="R931" t="s">
        <v>128</v>
      </c>
      <c r="T931" s="4">
        <v>16162585327</v>
      </c>
      <c r="V931" t="s">
        <v>12738</v>
      </c>
      <c r="W931" t="s">
        <v>12739</v>
      </c>
      <c r="Y931" t="s">
        <v>12740</v>
      </c>
      <c r="AA931" t="s">
        <v>4423</v>
      </c>
      <c r="AB931" t="s">
        <v>511</v>
      </c>
      <c r="AC931" s="3" t="str">
        <f>"49505"</f>
        <v>49505</v>
      </c>
      <c r="AD931" t="s">
        <v>128</v>
      </c>
      <c r="AF931" s="4">
        <v>16162585327</v>
      </c>
      <c r="AH931" t="str">
        <f>"332510"</f>
        <v>332510</v>
      </c>
      <c r="AI931" t="s">
        <v>287</v>
      </c>
      <c r="AJ931" t="s">
        <v>2209</v>
      </c>
      <c r="AK931" t="s">
        <v>1459</v>
      </c>
      <c r="AL931" t="s">
        <v>2210</v>
      </c>
      <c r="AM931" t="s">
        <v>2211</v>
      </c>
      <c r="AN931" t="s">
        <v>788</v>
      </c>
      <c r="AO931" t="s">
        <v>2212</v>
      </c>
      <c r="AP931" t="s">
        <v>400</v>
      </c>
      <c r="AQ931" s="5">
        <v>75033</v>
      </c>
      <c r="AR931" t="s">
        <v>128</v>
      </c>
      <c r="AT931" s="4">
        <v>19727789690</v>
      </c>
      <c r="AV931" t="s">
        <v>2213</v>
      </c>
      <c r="AW931" t="s">
        <v>2214</v>
      </c>
      <c r="AX931" t="s">
        <v>131</v>
      </c>
      <c r="AY931" t="s">
        <v>131</v>
      </c>
      <c r="AZ931" t="s">
        <v>131</v>
      </c>
      <c r="BA931" t="s">
        <v>131</v>
      </c>
      <c r="BB931" t="s">
        <v>131</v>
      </c>
      <c r="BC931" t="s">
        <v>131</v>
      </c>
      <c r="BD931" t="s">
        <v>131</v>
      </c>
      <c r="BE931" t="s">
        <v>132</v>
      </c>
      <c r="BH931" t="s">
        <v>8920</v>
      </c>
      <c r="BI931" t="s">
        <v>131</v>
      </c>
      <c r="BL931" t="s">
        <v>167</v>
      </c>
      <c r="BO931" t="s">
        <v>131</v>
      </c>
      <c r="BP931" t="s">
        <v>134</v>
      </c>
      <c r="BQ931" t="s">
        <v>131</v>
      </c>
      <c r="BS931" t="str">
        <f t="shared" si="65"/>
        <v>N/A</v>
      </c>
      <c r="BT931" t="s">
        <v>131</v>
      </c>
      <c r="BV931" t="str">
        <f>""</f>
        <v/>
      </c>
      <c r="BW931" t="s">
        <v>135</v>
      </c>
      <c r="BX931" t="str">
        <f>""</f>
        <v/>
      </c>
      <c r="BY931" t="str">
        <f>""</f>
        <v/>
      </c>
      <c r="BZ931" t="str">
        <f>""</f>
        <v/>
      </c>
      <c r="CA931" t="str">
        <f>"Must complete employment application. Must be able to work weekends and holidays as required. Must be able to lift 50 lbs. "</f>
        <v xml:space="preserve">Must complete employment application. Must be able to work weekends and holidays as required. Must be able to lift 50 lbs. </v>
      </c>
      <c r="CB931" t="s">
        <v>131</v>
      </c>
      <c r="CF931" t="s">
        <v>131</v>
      </c>
      <c r="CH931" t="str">
        <f>""</f>
        <v/>
      </c>
      <c r="CI931" t="s">
        <v>131</v>
      </c>
      <c r="CK931" t="s">
        <v>131</v>
      </c>
      <c r="CL931" t="str">
        <f>""</f>
        <v/>
      </c>
      <c r="CM931" t="str">
        <f>""</f>
        <v/>
      </c>
      <c r="CN931" t="str">
        <f>""</f>
        <v/>
      </c>
      <c r="CO931" t="str">
        <f>""</f>
        <v/>
      </c>
      <c r="CP931" t="str">
        <f>"51-2099.00"</f>
        <v>51-2099.00</v>
      </c>
      <c r="CQ931" t="s">
        <v>8921</v>
      </c>
      <c r="CS931" t="s">
        <v>131</v>
      </c>
      <c r="CU931" t="s">
        <v>12740</v>
      </c>
      <c r="CW931" t="s">
        <v>4423</v>
      </c>
      <c r="CX931" t="s">
        <v>511</v>
      </c>
      <c r="CZ931" s="3" t="str">
        <f>"49505"</f>
        <v>49505</v>
      </c>
      <c r="DA931" t="s">
        <v>135</v>
      </c>
      <c r="DB931" t="str">
        <f>"51-2092"</f>
        <v>51-2092</v>
      </c>
      <c r="DC931" t="s">
        <v>3007</v>
      </c>
      <c r="DD931" t="s">
        <v>134</v>
      </c>
      <c r="DE931" t="s">
        <v>134</v>
      </c>
      <c r="DF931" t="str">
        <f>""</f>
        <v/>
      </c>
      <c r="DH931" s="6">
        <v>16.36</v>
      </c>
      <c r="DI931" t="s">
        <v>344</v>
      </c>
      <c r="DK931" t="s">
        <v>345</v>
      </c>
      <c r="DR931" t="s">
        <v>12741</v>
      </c>
      <c r="DS931" s="6">
        <v>16.36</v>
      </c>
      <c r="DT931" t="s">
        <v>424</v>
      </c>
      <c r="DU931" s="1">
        <v>44371</v>
      </c>
      <c r="DV931" s="1">
        <v>44460</v>
      </c>
    </row>
    <row r="932" spans="1:126" ht="15" customHeight="1" x14ac:dyDescent="0.35">
      <c r="A932" t="s">
        <v>8041</v>
      </c>
      <c r="B932" t="s">
        <v>318</v>
      </c>
      <c r="C932" s="1">
        <v>44344</v>
      </c>
      <c r="D932" s="1">
        <v>44377</v>
      </c>
      <c r="H932" t="s">
        <v>319</v>
      </c>
      <c r="I932" t="s">
        <v>8042</v>
      </c>
      <c r="J932" t="s">
        <v>1060</v>
      </c>
      <c r="L932" t="s">
        <v>395</v>
      </c>
      <c r="M932" t="s">
        <v>8043</v>
      </c>
      <c r="O932" t="s">
        <v>2594</v>
      </c>
      <c r="P932" t="s">
        <v>412</v>
      </c>
      <c r="Q932" s="3">
        <v>77979</v>
      </c>
      <c r="R932" t="s">
        <v>128</v>
      </c>
      <c r="T932" s="4">
        <v>15049122750</v>
      </c>
      <c r="V932" t="s">
        <v>8044</v>
      </c>
      <c r="W932" t="s">
        <v>8045</v>
      </c>
      <c r="Y932" t="s">
        <v>8046</v>
      </c>
      <c r="AA932" t="s">
        <v>2594</v>
      </c>
      <c r="AB932" t="s">
        <v>400</v>
      </c>
      <c r="AC932" s="3" t="str">
        <f>"77979"</f>
        <v>77979</v>
      </c>
      <c r="AD932" t="s">
        <v>128</v>
      </c>
      <c r="AF932" s="4">
        <v>15049122750</v>
      </c>
      <c r="AH932" t="str">
        <f>"114112"</f>
        <v>114112</v>
      </c>
      <c r="AI932" t="s">
        <v>130</v>
      </c>
      <c r="AJ932" t="s">
        <v>1764</v>
      </c>
      <c r="AK932" t="s">
        <v>1261</v>
      </c>
      <c r="AL932" t="s">
        <v>655</v>
      </c>
      <c r="AM932" t="s">
        <v>1765</v>
      </c>
      <c r="AO932" t="s">
        <v>1766</v>
      </c>
      <c r="AP932" t="s">
        <v>1763</v>
      </c>
      <c r="AQ932" s="5">
        <v>70130</v>
      </c>
      <c r="AR932" t="s">
        <v>128</v>
      </c>
      <c r="AT932" s="4">
        <v>15045861922</v>
      </c>
      <c r="AV932" t="s">
        <v>1767</v>
      </c>
      <c r="AW932" t="s">
        <v>1768</v>
      </c>
      <c r="AX932" t="s">
        <v>131</v>
      </c>
      <c r="AY932" t="s">
        <v>131</v>
      </c>
      <c r="AZ932" t="s">
        <v>131</v>
      </c>
      <c r="BA932" t="s">
        <v>131</v>
      </c>
      <c r="BB932" t="s">
        <v>131</v>
      </c>
      <c r="BC932" t="s">
        <v>131</v>
      </c>
      <c r="BD932" t="s">
        <v>131</v>
      </c>
      <c r="BE932" t="s">
        <v>132</v>
      </c>
      <c r="BH932" t="s">
        <v>3524</v>
      </c>
      <c r="BI932" t="s">
        <v>131</v>
      </c>
      <c r="BL932" t="s">
        <v>167</v>
      </c>
      <c r="BO932" t="s">
        <v>131</v>
      </c>
      <c r="BP932" t="s">
        <v>134</v>
      </c>
      <c r="BQ932" t="s">
        <v>131</v>
      </c>
      <c r="BS932" t="str">
        <f t="shared" si="65"/>
        <v>N/A</v>
      </c>
      <c r="BT932" t="s">
        <v>131</v>
      </c>
      <c r="BV932" t="str">
        <f>""</f>
        <v/>
      </c>
      <c r="BW932" t="s">
        <v>131</v>
      </c>
      <c r="BX932" t="str">
        <f>""</f>
        <v/>
      </c>
      <c r="BY932" t="str">
        <f>""</f>
        <v/>
      </c>
      <c r="BZ932" t="str">
        <f>""</f>
        <v/>
      </c>
      <c r="CA932" t="str">
        <f>""</f>
        <v/>
      </c>
      <c r="CB932" t="s">
        <v>131</v>
      </c>
      <c r="CF932" t="s">
        <v>131</v>
      </c>
      <c r="CH932" t="str">
        <f>""</f>
        <v/>
      </c>
      <c r="CI932" t="s">
        <v>131</v>
      </c>
      <c r="CK932" t="s">
        <v>131</v>
      </c>
      <c r="CL932" t="str">
        <f>""</f>
        <v/>
      </c>
      <c r="CM932" t="str">
        <f>""</f>
        <v/>
      </c>
      <c r="CN932" t="str">
        <f>""</f>
        <v/>
      </c>
      <c r="CO932" t="str">
        <f>""</f>
        <v/>
      </c>
      <c r="CP932" t="str">
        <f>"45-3011.00"</f>
        <v>45-3011.00</v>
      </c>
      <c r="CQ932" t="s">
        <v>1770</v>
      </c>
      <c r="CR932" t="s">
        <v>1771</v>
      </c>
      <c r="CS932" t="s">
        <v>131</v>
      </c>
      <c r="CU932" t="s">
        <v>8046</v>
      </c>
      <c r="CW932" t="s">
        <v>2594</v>
      </c>
      <c r="CX932" t="s">
        <v>400</v>
      </c>
      <c r="CZ932" s="3" t="str">
        <f>"77979"</f>
        <v>77979</v>
      </c>
      <c r="DA932" t="s">
        <v>131</v>
      </c>
      <c r="DB932" t="str">
        <f>"45-3011"</f>
        <v>45-3011</v>
      </c>
      <c r="DC932" t="s">
        <v>1770</v>
      </c>
      <c r="DD932" t="s">
        <v>134</v>
      </c>
      <c r="DE932" t="s">
        <v>134</v>
      </c>
      <c r="DF932" t="str">
        <f>""</f>
        <v/>
      </c>
      <c r="DH932" s="6">
        <v>14.29</v>
      </c>
      <c r="DI932" t="s">
        <v>344</v>
      </c>
      <c r="DK932" t="s">
        <v>345</v>
      </c>
      <c r="DS932" s="6">
        <v>14.29</v>
      </c>
      <c r="DT932" t="s">
        <v>424</v>
      </c>
      <c r="DU932" s="1">
        <v>44377</v>
      </c>
      <c r="DV932" s="1">
        <v>44466</v>
      </c>
    </row>
    <row r="933" spans="1:126" ht="15" customHeight="1" x14ac:dyDescent="0.35">
      <c r="A933" t="s">
        <v>10185</v>
      </c>
      <c r="B933" t="s">
        <v>318</v>
      </c>
      <c r="C933" s="1">
        <v>44344</v>
      </c>
      <c r="D933" s="1">
        <v>44377</v>
      </c>
      <c r="H933" t="s">
        <v>319</v>
      </c>
      <c r="I933" t="s">
        <v>8042</v>
      </c>
      <c r="J933" t="s">
        <v>1060</v>
      </c>
      <c r="L933" t="s">
        <v>395</v>
      </c>
      <c r="M933" t="s">
        <v>10186</v>
      </c>
      <c r="O933" t="s">
        <v>3443</v>
      </c>
      <c r="P933" t="s">
        <v>1760</v>
      </c>
      <c r="Q933" s="3">
        <v>70538</v>
      </c>
      <c r="R933" t="s">
        <v>128</v>
      </c>
      <c r="T933" s="4">
        <v>15049122750</v>
      </c>
      <c r="V933" t="s">
        <v>10187</v>
      </c>
      <c r="W933" t="s">
        <v>10188</v>
      </c>
      <c r="Y933" t="s">
        <v>10186</v>
      </c>
      <c r="AA933" t="s">
        <v>3443</v>
      </c>
      <c r="AB933" t="s">
        <v>1763</v>
      </c>
      <c r="AC933" s="3" t="str">
        <f>"70538"</f>
        <v>70538</v>
      </c>
      <c r="AD933" t="s">
        <v>128</v>
      </c>
      <c r="AF933" s="4">
        <v>13374138000</v>
      </c>
      <c r="AH933" t="str">
        <f>"31171"</f>
        <v>31171</v>
      </c>
      <c r="AI933" t="s">
        <v>130</v>
      </c>
      <c r="AJ933" t="s">
        <v>1764</v>
      </c>
      <c r="AK933" t="s">
        <v>1261</v>
      </c>
      <c r="AL933" t="s">
        <v>655</v>
      </c>
      <c r="AM933" t="s">
        <v>1765</v>
      </c>
      <c r="AO933" t="s">
        <v>1766</v>
      </c>
      <c r="AP933" t="s">
        <v>1763</v>
      </c>
      <c r="AQ933" s="5">
        <v>70130</v>
      </c>
      <c r="AR933" t="s">
        <v>128</v>
      </c>
      <c r="AT933" s="4">
        <v>15045861922</v>
      </c>
      <c r="AV933" t="s">
        <v>1767</v>
      </c>
      <c r="AW933" t="s">
        <v>1768</v>
      </c>
      <c r="AX933" t="s">
        <v>131</v>
      </c>
      <c r="AY933" t="s">
        <v>131</v>
      </c>
      <c r="AZ933" t="s">
        <v>131</v>
      </c>
      <c r="BA933" t="s">
        <v>131</v>
      </c>
      <c r="BB933" t="s">
        <v>131</v>
      </c>
      <c r="BC933" t="s">
        <v>131</v>
      </c>
      <c r="BD933" t="s">
        <v>131</v>
      </c>
      <c r="BE933" t="s">
        <v>132</v>
      </c>
      <c r="BH933" t="s">
        <v>10189</v>
      </c>
      <c r="BI933" t="s">
        <v>131</v>
      </c>
      <c r="BL933" t="s">
        <v>167</v>
      </c>
      <c r="BO933" t="s">
        <v>131</v>
      </c>
      <c r="BP933" t="s">
        <v>134</v>
      </c>
      <c r="BQ933" t="s">
        <v>131</v>
      </c>
      <c r="BS933" t="str">
        <f t="shared" si="65"/>
        <v>N/A</v>
      </c>
      <c r="BT933" t="s">
        <v>131</v>
      </c>
      <c r="BV933" t="str">
        <f>""</f>
        <v/>
      </c>
      <c r="BW933" t="s">
        <v>131</v>
      </c>
      <c r="BX933" t="str">
        <f>""</f>
        <v/>
      </c>
      <c r="BY933" t="str">
        <f>""</f>
        <v/>
      </c>
      <c r="BZ933" t="str">
        <f>""</f>
        <v/>
      </c>
      <c r="CA933" t="str">
        <f>""</f>
        <v/>
      </c>
      <c r="CB933" t="s">
        <v>131</v>
      </c>
      <c r="CF933" t="s">
        <v>131</v>
      </c>
      <c r="CH933" t="str">
        <f>""</f>
        <v/>
      </c>
      <c r="CI933" t="s">
        <v>131</v>
      </c>
      <c r="CK933" t="s">
        <v>131</v>
      </c>
      <c r="CL933" t="str">
        <f>""</f>
        <v/>
      </c>
      <c r="CM933" t="str">
        <f>""</f>
        <v/>
      </c>
      <c r="CN933" t="str">
        <f>""</f>
        <v/>
      </c>
      <c r="CO933" t="str">
        <f>""</f>
        <v/>
      </c>
      <c r="CP933" t="str">
        <f>"51-3022.00"</f>
        <v>51-3022.00</v>
      </c>
      <c r="CQ933" t="s">
        <v>1114</v>
      </c>
      <c r="CR933" t="s">
        <v>2403</v>
      </c>
      <c r="CS933" t="s">
        <v>131</v>
      </c>
      <c r="CU933" t="s">
        <v>10190</v>
      </c>
      <c r="CW933" t="s">
        <v>10191</v>
      </c>
      <c r="CX933" t="s">
        <v>1763</v>
      </c>
      <c r="CZ933" s="3" t="str">
        <f>"70037"</f>
        <v>70037</v>
      </c>
      <c r="DA933" t="s">
        <v>131</v>
      </c>
      <c r="DB933" t="str">
        <f>"51-3022"</f>
        <v>51-3022</v>
      </c>
      <c r="DC933" t="s">
        <v>1114</v>
      </c>
      <c r="DD933" t="s">
        <v>134</v>
      </c>
      <c r="DE933" t="s">
        <v>134</v>
      </c>
      <c r="DF933" t="str">
        <f>""</f>
        <v/>
      </c>
      <c r="DH933" s="6">
        <v>10.93</v>
      </c>
      <c r="DI933" t="s">
        <v>344</v>
      </c>
      <c r="DK933" t="s">
        <v>345</v>
      </c>
      <c r="DS933" s="6">
        <v>10.93</v>
      </c>
      <c r="DT933" t="s">
        <v>424</v>
      </c>
      <c r="DU933" s="1">
        <v>44377</v>
      </c>
      <c r="DV933" s="1">
        <v>44466</v>
      </c>
    </row>
    <row r="934" spans="1:126" ht="15" customHeight="1" x14ac:dyDescent="0.35">
      <c r="A934" t="s">
        <v>17345</v>
      </c>
      <c r="B934" t="s">
        <v>318</v>
      </c>
      <c r="C934" s="1">
        <v>44344</v>
      </c>
      <c r="D934" s="1">
        <v>44371</v>
      </c>
      <c r="H934" t="s">
        <v>319</v>
      </c>
      <c r="I934" t="s">
        <v>17346</v>
      </c>
      <c r="J934" t="s">
        <v>4331</v>
      </c>
      <c r="L934" t="s">
        <v>1031</v>
      </c>
      <c r="M934" t="s">
        <v>17347</v>
      </c>
      <c r="O934" t="s">
        <v>17348</v>
      </c>
      <c r="P934" t="s">
        <v>273</v>
      </c>
      <c r="Q934" s="3">
        <v>8215</v>
      </c>
      <c r="R934" t="s">
        <v>128</v>
      </c>
      <c r="T934" s="4">
        <v>16099652337</v>
      </c>
      <c r="V934" t="s">
        <v>17349</v>
      </c>
      <c r="W934" t="s">
        <v>17350</v>
      </c>
      <c r="X934" t="s">
        <v>17351</v>
      </c>
      <c r="Y934" t="s">
        <v>17347</v>
      </c>
      <c r="AA934" t="s">
        <v>17352</v>
      </c>
      <c r="AB934" t="s">
        <v>276</v>
      </c>
      <c r="AC934" s="3" t="str">
        <f>"08215"</f>
        <v>08215</v>
      </c>
      <c r="AD934" t="s">
        <v>128</v>
      </c>
      <c r="AF934" s="4">
        <v>16099652337</v>
      </c>
      <c r="AH934" t="str">
        <f>"722511"</f>
        <v>722511</v>
      </c>
      <c r="AI934" t="s">
        <v>167</v>
      </c>
      <c r="AX934" t="s">
        <v>131</v>
      </c>
      <c r="AY934" t="s">
        <v>131</v>
      </c>
      <c r="AZ934" t="s">
        <v>131</v>
      </c>
      <c r="BA934" t="s">
        <v>131</v>
      </c>
      <c r="BB934" t="s">
        <v>131</v>
      </c>
      <c r="BC934" t="s">
        <v>131</v>
      </c>
      <c r="BD934" t="s">
        <v>131</v>
      </c>
      <c r="BE934" t="s">
        <v>132</v>
      </c>
      <c r="BH934" t="s">
        <v>17353</v>
      </c>
      <c r="BI934" t="s">
        <v>131</v>
      </c>
      <c r="BL934" t="s">
        <v>167</v>
      </c>
      <c r="BO934" t="s">
        <v>131</v>
      </c>
      <c r="BP934" t="s">
        <v>134</v>
      </c>
      <c r="BQ934" t="s">
        <v>131</v>
      </c>
      <c r="BS934" t="str">
        <f t="shared" si="65"/>
        <v>N/A</v>
      </c>
      <c r="BT934" t="s">
        <v>131</v>
      </c>
      <c r="BV934" t="str">
        <f>""</f>
        <v/>
      </c>
      <c r="BW934" t="s">
        <v>131</v>
      </c>
      <c r="BX934" t="str">
        <f>""</f>
        <v/>
      </c>
      <c r="BY934" t="str">
        <f>""</f>
        <v/>
      </c>
      <c r="BZ934" t="str">
        <f>""</f>
        <v/>
      </c>
      <c r="CA934" t="str">
        <f>""</f>
        <v/>
      </c>
      <c r="CB934" t="s">
        <v>131</v>
      </c>
      <c r="CF934" t="s">
        <v>131</v>
      </c>
      <c r="CH934" t="str">
        <f>""</f>
        <v/>
      </c>
      <c r="CI934" t="s">
        <v>131</v>
      </c>
      <c r="CK934" t="s">
        <v>131</v>
      </c>
      <c r="CL934" t="str">
        <f>""</f>
        <v/>
      </c>
      <c r="CM934" t="str">
        <f>""</f>
        <v/>
      </c>
      <c r="CN934" t="str">
        <f>""</f>
        <v/>
      </c>
      <c r="CO934" t="str">
        <f>""</f>
        <v/>
      </c>
      <c r="CP934" t="str">
        <f>"35-9099.00"</f>
        <v>35-9099.00</v>
      </c>
      <c r="CQ934" t="s">
        <v>6636</v>
      </c>
      <c r="CR934" t="s">
        <v>392</v>
      </c>
      <c r="CS934" t="s">
        <v>131</v>
      </c>
      <c r="CU934" t="s">
        <v>17347</v>
      </c>
      <c r="CW934" t="s">
        <v>17352</v>
      </c>
      <c r="CX934" t="s">
        <v>276</v>
      </c>
      <c r="CZ934" s="3" t="str">
        <f>"08215"</f>
        <v>08215</v>
      </c>
      <c r="DA934" t="s">
        <v>131</v>
      </c>
      <c r="DB934" t="str">
        <f>"35-9011"</f>
        <v>35-9011</v>
      </c>
      <c r="DC934" t="s">
        <v>1016</v>
      </c>
      <c r="DD934" t="s">
        <v>134</v>
      </c>
      <c r="DE934" t="s">
        <v>134</v>
      </c>
      <c r="DF934" t="str">
        <f>""</f>
        <v/>
      </c>
      <c r="DH934" s="6">
        <v>11.72</v>
      </c>
      <c r="DI934" t="s">
        <v>344</v>
      </c>
      <c r="DK934" t="s">
        <v>345</v>
      </c>
      <c r="DR934" t="s">
        <v>17354</v>
      </c>
      <c r="DS934" s="6">
        <v>11.72</v>
      </c>
      <c r="DT934" t="s">
        <v>424</v>
      </c>
      <c r="DU934" s="1">
        <v>44371</v>
      </c>
      <c r="DV934" s="1">
        <v>44460</v>
      </c>
    </row>
    <row r="935" spans="1:126" ht="15" customHeight="1" x14ac:dyDescent="0.35">
      <c r="A935" t="s">
        <v>18929</v>
      </c>
      <c r="B935" t="s">
        <v>318</v>
      </c>
      <c r="C935" s="1">
        <v>44344</v>
      </c>
      <c r="D935" s="1">
        <v>44371</v>
      </c>
      <c r="H935" t="s">
        <v>319</v>
      </c>
      <c r="I935" t="s">
        <v>12294</v>
      </c>
      <c r="J935" t="s">
        <v>9242</v>
      </c>
      <c r="L935" t="s">
        <v>1105</v>
      </c>
      <c r="M935" t="s">
        <v>18930</v>
      </c>
      <c r="N935" t="s">
        <v>4763</v>
      </c>
      <c r="O935" t="s">
        <v>1040</v>
      </c>
      <c r="P935" t="s">
        <v>412</v>
      </c>
      <c r="Q935" s="3">
        <v>78717</v>
      </c>
      <c r="R935" t="s">
        <v>128</v>
      </c>
      <c r="T935" s="4">
        <v>15127971640</v>
      </c>
      <c r="V935" t="s">
        <v>12296</v>
      </c>
      <c r="W935" t="s">
        <v>12297</v>
      </c>
      <c r="Y935" t="s">
        <v>18930</v>
      </c>
      <c r="Z935" t="s">
        <v>4763</v>
      </c>
      <c r="AA935" t="s">
        <v>1040</v>
      </c>
      <c r="AB935" t="s">
        <v>400</v>
      </c>
      <c r="AC935" s="3" t="str">
        <f>"78717"</f>
        <v>78717</v>
      </c>
      <c r="AD935" t="s">
        <v>128</v>
      </c>
      <c r="AF935" s="4">
        <v>15127971640</v>
      </c>
      <c r="AH935" t="str">
        <f>"56173"</f>
        <v>56173</v>
      </c>
      <c r="AI935" t="s">
        <v>130</v>
      </c>
      <c r="AJ935" t="s">
        <v>4018</v>
      </c>
      <c r="AK935" t="s">
        <v>2069</v>
      </c>
      <c r="AM935" t="s">
        <v>4019</v>
      </c>
      <c r="AO935" t="s">
        <v>1040</v>
      </c>
      <c r="AP935" t="s">
        <v>400</v>
      </c>
      <c r="AQ935" s="5">
        <v>78737</v>
      </c>
      <c r="AR935" t="s">
        <v>128</v>
      </c>
      <c r="AT935" s="4">
        <v>15128942128</v>
      </c>
      <c r="AV935" t="s">
        <v>4020</v>
      </c>
      <c r="AW935" t="s">
        <v>4021</v>
      </c>
      <c r="AX935" t="s">
        <v>131</v>
      </c>
      <c r="AY935" t="s">
        <v>131</v>
      </c>
      <c r="AZ935" t="s">
        <v>131</v>
      </c>
      <c r="BA935" t="s">
        <v>131</v>
      </c>
      <c r="BB935" t="s">
        <v>131</v>
      </c>
      <c r="BC935" t="s">
        <v>131</v>
      </c>
      <c r="BD935" t="s">
        <v>131</v>
      </c>
      <c r="BE935" t="s">
        <v>132</v>
      </c>
      <c r="BH935" t="s">
        <v>4509</v>
      </c>
      <c r="BI935" t="s">
        <v>131</v>
      </c>
      <c r="BL935" t="s">
        <v>167</v>
      </c>
      <c r="BO935" t="s">
        <v>131</v>
      </c>
      <c r="BP935" t="s">
        <v>134</v>
      </c>
      <c r="BQ935" t="s">
        <v>131</v>
      </c>
      <c r="BS935" t="str">
        <f t="shared" si="65"/>
        <v>N/A</v>
      </c>
      <c r="BT935" t="s">
        <v>135</v>
      </c>
      <c r="BU935">
        <v>3</v>
      </c>
      <c r="BV935" t="str">
        <f>"See F.b.5.a."</f>
        <v>See F.b.5.a.</v>
      </c>
      <c r="BW935" t="s">
        <v>135</v>
      </c>
      <c r="BX935" t="str">
        <f>""</f>
        <v/>
      </c>
      <c r="BY935" t="str">
        <f>""</f>
        <v/>
      </c>
      <c r="BZ935" t="str">
        <f>""</f>
        <v/>
      </c>
      <c r="CA935" t="str">
        <f>"Must have 3 months experience and be able to lift up to 60lbs. "</f>
        <v xml:space="preserve">Must have 3 months experience and be able to lift up to 60lbs. </v>
      </c>
      <c r="CB935" t="s">
        <v>131</v>
      </c>
      <c r="CF935" t="s">
        <v>131</v>
      </c>
      <c r="CH935" t="str">
        <f>""</f>
        <v/>
      </c>
      <c r="CI935" t="s">
        <v>131</v>
      </c>
      <c r="CK935" t="s">
        <v>131</v>
      </c>
      <c r="CL935" t="str">
        <f>""</f>
        <v/>
      </c>
      <c r="CM935" t="str">
        <f>""</f>
        <v/>
      </c>
      <c r="CN935" t="str">
        <f>""</f>
        <v/>
      </c>
      <c r="CO935" t="str">
        <f>""</f>
        <v/>
      </c>
      <c r="CP935" t="str">
        <f>"37-3011.00"</f>
        <v>37-3011.00</v>
      </c>
      <c r="CQ935" t="s">
        <v>920</v>
      </c>
      <c r="CR935" t="s">
        <v>9813</v>
      </c>
      <c r="CS935" t="s">
        <v>135</v>
      </c>
      <c r="CT935" t="s">
        <v>18931</v>
      </c>
      <c r="CU935" t="s">
        <v>18932</v>
      </c>
      <c r="CV935" t="s">
        <v>3357</v>
      </c>
      <c r="CW935" t="s">
        <v>1040</v>
      </c>
      <c r="CX935" t="s">
        <v>400</v>
      </c>
      <c r="CZ935" s="3" t="str">
        <f>"78717"</f>
        <v>78717</v>
      </c>
      <c r="DA935" t="s">
        <v>135</v>
      </c>
      <c r="DB935" t="str">
        <f>"37-3011"</f>
        <v>37-3011</v>
      </c>
      <c r="DC935" t="s">
        <v>920</v>
      </c>
      <c r="DD935" t="s">
        <v>134</v>
      </c>
      <c r="DE935" t="s">
        <v>134</v>
      </c>
      <c r="DF935" t="str">
        <f>""</f>
        <v/>
      </c>
      <c r="DH935" s="6">
        <v>14.63</v>
      </c>
      <c r="DI935" t="s">
        <v>344</v>
      </c>
      <c r="DK935" t="s">
        <v>345</v>
      </c>
      <c r="DS935" s="6">
        <v>14.63</v>
      </c>
      <c r="DT935" s="2" t="s">
        <v>347</v>
      </c>
      <c r="DU935" s="1">
        <v>44371</v>
      </c>
      <c r="DV935" s="1">
        <v>44460</v>
      </c>
    </row>
    <row r="936" spans="1:126" ht="15" customHeight="1" x14ac:dyDescent="0.35">
      <c r="A936" t="s">
        <v>13494</v>
      </c>
      <c r="B936" t="s">
        <v>318</v>
      </c>
      <c r="C936" s="1">
        <v>44344</v>
      </c>
      <c r="D936" s="1">
        <v>44371</v>
      </c>
      <c r="H936" t="s">
        <v>319</v>
      </c>
      <c r="I936" t="s">
        <v>10434</v>
      </c>
      <c r="J936" t="s">
        <v>10435</v>
      </c>
      <c r="L936" t="s">
        <v>7929</v>
      </c>
      <c r="M936" t="s">
        <v>10436</v>
      </c>
      <c r="O936" t="s">
        <v>200</v>
      </c>
      <c r="P936" t="s">
        <v>194</v>
      </c>
      <c r="Q936" s="3">
        <v>33409</v>
      </c>
      <c r="R936" t="s">
        <v>128</v>
      </c>
      <c r="T936" s="4">
        <v>15616235022</v>
      </c>
      <c r="V936" t="s">
        <v>134</v>
      </c>
      <c r="W936" t="s">
        <v>10437</v>
      </c>
      <c r="Y936" t="s">
        <v>10436</v>
      </c>
      <c r="AA936" t="s">
        <v>200</v>
      </c>
      <c r="AB936" t="s">
        <v>195</v>
      </c>
      <c r="AC936" s="3" t="str">
        <f>"33409"</f>
        <v>33409</v>
      </c>
      <c r="AD936" t="s">
        <v>128</v>
      </c>
      <c r="AF936" s="4">
        <v>15616235022</v>
      </c>
      <c r="AH936" t="str">
        <f>"71391"</f>
        <v>71391</v>
      </c>
      <c r="AI936" t="s">
        <v>287</v>
      </c>
      <c r="AJ936" t="s">
        <v>573</v>
      </c>
      <c r="AK936" t="s">
        <v>574</v>
      </c>
      <c r="AM936" t="s">
        <v>575</v>
      </c>
      <c r="AO936">
        <v>14850</v>
      </c>
      <c r="AP936" t="s">
        <v>129</v>
      </c>
      <c r="AQ936" s="5">
        <v>14850</v>
      </c>
      <c r="AR936" t="s">
        <v>128</v>
      </c>
      <c r="AT936" s="4">
        <v>18777387462</v>
      </c>
      <c r="AV936" t="s">
        <v>577</v>
      </c>
      <c r="AW936" t="s">
        <v>578</v>
      </c>
      <c r="AX936" t="s">
        <v>131</v>
      </c>
      <c r="AY936" t="s">
        <v>131</v>
      </c>
      <c r="AZ936" t="s">
        <v>131</v>
      </c>
      <c r="BA936" t="s">
        <v>131</v>
      </c>
      <c r="BB936" t="s">
        <v>131</v>
      </c>
      <c r="BC936" t="s">
        <v>131</v>
      </c>
      <c r="BD936" t="s">
        <v>131</v>
      </c>
      <c r="BE936" t="s">
        <v>132</v>
      </c>
      <c r="BH936" t="s">
        <v>579</v>
      </c>
      <c r="BI936" t="s">
        <v>131</v>
      </c>
      <c r="BL936" t="s">
        <v>167</v>
      </c>
      <c r="BO936" t="s">
        <v>131</v>
      </c>
      <c r="BP936" t="s">
        <v>134</v>
      </c>
      <c r="BQ936" t="s">
        <v>131</v>
      </c>
      <c r="BS936" t="str">
        <f t="shared" si="65"/>
        <v>N/A</v>
      </c>
      <c r="BT936" t="s">
        <v>135</v>
      </c>
      <c r="BU936">
        <v>6</v>
      </c>
      <c r="BV936" t="str">
        <f>"Restaurant Cook preparing foods from scratch "</f>
        <v xml:space="preserve">Restaurant Cook preparing foods from scratch </v>
      </c>
      <c r="BW936" t="s">
        <v>135</v>
      </c>
      <c r="BX936" t="str">
        <f>""</f>
        <v/>
      </c>
      <c r="BY936" t="str">
        <f>""</f>
        <v/>
      </c>
      <c r="BZ936" t="str">
        <f>""</f>
        <v/>
      </c>
      <c r="CA936" s="2" t="s">
        <v>13495</v>
      </c>
      <c r="CB936" t="s">
        <v>131</v>
      </c>
      <c r="CF936" t="s">
        <v>131</v>
      </c>
      <c r="CH936" t="str">
        <f>""</f>
        <v/>
      </c>
      <c r="CI936" t="s">
        <v>131</v>
      </c>
      <c r="CK936" t="s">
        <v>131</v>
      </c>
      <c r="CL936" t="str">
        <f>""</f>
        <v/>
      </c>
      <c r="CM936" t="str">
        <f>""</f>
        <v/>
      </c>
      <c r="CN936" t="str">
        <f>""</f>
        <v/>
      </c>
      <c r="CO936" t="str">
        <f>""</f>
        <v/>
      </c>
      <c r="CP936" t="str">
        <f>"35-2014.00"</f>
        <v>35-2014.00</v>
      </c>
      <c r="CQ936" t="s">
        <v>581</v>
      </c>
      <c r="CS936" t="s">
        <v>131</v>
      </c>
      <c r="CU936" t="s">
        <v>10436</v>
      </c>
      <c r="CW936" t="s">
        <v>200</v>
      </c>
      <c r="CX936" t="s">
        <v>195</v>
      </c>
      <c r="CZ936" s="3" t="str">
        <f>"33409"</f>
        <v>33409</v>
      </c>
      <c r="DA936" t="s">
        <v>131</v>
      </c>
      <c r="DB936" t="str">
        <f>"35-2014"</f>
        <v>35-2014</v>
      </c>
      <c r="DC936" t="s">
        <v>581</v>
      </c>
      <c r="DD936" t="s">
        <v>134</v>
      </c>
      <c r="DE936" t="s">
        <v>134</v>
      </c>
      <c r="DF936" t="str">
        <f>""</f>
        <v/>
      </c>
      <c r="DH936" s="6">
        <v>14.63</v>
      </c>
      <c r="DI936" t="s">
        <v>344</v>
      </c>
      <c r="DK936" t="s">
        <v>345</v>
      </c>
      <c r="DS936" s="6">
        <v>14.63</v>
      </c>
      <c r="DT936" t="s">
        <v>424</v>
      </c>
      <c r="DU936" s="1">
        <v>44371</v>
      </c>
      <c r="DV936" s="1">
        <v>44460</v>
      </c>
    </row>
    <row r="937" spans="1:126" ht="15" customHeight="1" x14ac:dyDescent="0.35">
      <c r="A937" t="s">
        <v>19445</v>
      </c>
      <c r="B937" t="s">
        <v>318</v>
      </c>
      <c r="C937" s="1">
        <v>44344</v>
      </c>
      <c r="D937" s="1">
        <v>44371</v>
      </c>
      <c r="H937" t="s">
        <v>319</v>
      </c>
      <c r="I937" t="s">
        <v>10434</v>
      </c>
      <c r="J937" t="s">
        <v>10435</v>
      </c>
      <c r="L937" t="s">
        <v>7929</v>
      </c>
      <c r="M937" t="s">
        <v>10436</v>
      </c>
      <c r="O937" t="s">
        <v>200</v>
      </c>
      <c r="P937" t="s">
        <v>194</v>
      </c>
      <c r="Q937" s="3">
        <v>33409</v>
      </c>
      <c r="R937" t="s">
        <v>128</v>
      </c>
      <c r="T937" s="4">
        <v>15616235022</v>
      </c>
      <c r="V937" t="s">
        <v>1253</v>
      </c>
      <c r="W937" t="s">
        <v>10437</v>
      </c>
      <c r="Y937" t="s">
        <v>10436</v>
      </c>
      <c r="AA937" t="s">
        <v>200</v>
      </c>
      <c r="AB937" t="s">
        <v>195</v>
      </c>
      <c r="AC937" s="3" t="str">
        <f>"33409"</f>
        <v>33409</v>
      </c>
      <c r="AD937" t="s">
        <v>128</v>
      </c>
      <c r="AF937" s="4">
        <v>15616235022</v>
      </c>
      <c r="AH937" t="str">
        <f>"71391"</f>
        <v>71391</v>
      </c>
      <c r="AI937" t="s">
        <v>287</v>
      </c>
      <c r="AJ937" t="s">
        <v>573</v>
      </c>
      <c r="AK937" t="s">
        <v>574</v>
      </c>
      <c r="AM937" t="s">
        <v>575</v>
      </c>
      <c r="AO937" t="s">
        <v>576</v>
      </c>
      <c r="AP937" t="s">
        <v>129</v>
      </c>
      <c r="AQ937" s="5">
        <v>14850</v>
      </c>
      <c r="AR937" t="s">
        <v>128</v>
      </c>
      <c r="AT937" s="4">
        <v>18777387462</v>
      </c>
      <c r="AV937" t="s">
        <v>577</v>
      </c>
      <c r="AW937" t="s">
        <v>578</v>
      </c>
      <c r="AX937" t="s">
        <v>131</v>
      </c>
      <c r="AY937" t="s">
        <v>131</v>
      </c>
      <c r="AZ937" t="s">
        <v>131</v>
      </c>
      <c r="BA937" t="s">
        <v>131</v>
      </c>
      <c r="BB937" t="s">
        <v>131</v>
      </c>
      <c r="BC937" t="s">
        <v>131</v>
      </c>
      <c r="BD937" t="s">
        <v>131</v>
      </c>
      <c r="BE937" t="s">
        <v>132</v>
      </c>
      <c r="BH937" t="s">
        <v>13954</v>
      </c>
      <c r="BI937" t="s">
        <v>131</v>
      </c>
      <c r="BL937" t="s">
        <v>167</v>
      </c>
      <c r="BO937" t="s">
        <v>131</v>
      </c>
      <c r="BP937" t="s">
        <v>134</v>
      </c>
      <c r="BQ937" t="s">
        <v>131</v>
      </c>
      <c r="BS937" t="str">
        <f t="shared" si="65"/>
        <v>N/A</v>
      </c>
      <c r="BT937" t="s">
        <v>135</v>
      </c>
      <c r="BU937">
        <v>2</v>
      </c>
      <c r="BV937" t="str">
        <f>"golf or recreation environment at resort or private golf club"</f>
        <v>golf or recreation environment at resort or private golf club</v>
      </c>
      <c r="BW937" t="s">
        <v>135</v>
      </c>
      <c r="BX937" t="str">
        <f>""</f>
        <v/>
      </c>
      <c r="BY937" t="str">
        <f>""</f>
        <v/>
      </c>
      <c r="BZ937" t="str">
        <f>""</f>
        <v/>
      </c>
      <c r="CA937" s="2" t="s">
        <v>13495</v>
      </c>
      <c r="CB937" t="s">
        <v>131</v>
      </c>
      <c r="CF937" t="s">
        <v>131</v>
      </c>
      <c r="CH937" t="str">
        <f>""</f>
        <v/>
      </c>
      <c r="CI937" t="s">
        <v>131</v>
      </c>
      <c r="CK937" t="s">
        <v>131</v>
      </c>
      <c r="CL937" t="str">
        <f>""</f>
        <v/>
      </c>
      <c r="CM937" t="str">
        <f>""</f>
        <v/>
      </c>
      <c r="CN937" t="str">
        <f>""</f>
        <v/>
      </c>
      <c r="CO937" t="str">
        <f>""</f>
        <v/>
      </c>
      <c r="CP937" t="str">
        <f>"39-3091.00"</f>
        <v>39-3091.00</v>
      </c>
      <c r="CQ937" t="s">
        <v>1374</v>
      </c>
      <c r="CS937" t="s">
        <v>131</v>
      </c>
      <c r="CU937" t="s">
        <v>10436</v>
      </c>
      <c r="CW937" t="s">
        <v>200</v>
      </c>
      <c r="CX937" t="s">
        <v>195</v>
      </c>
      <c r="CZ937" s="3" t="str">
        <f>"33409"</f>
        <v>33409</v>
      </c>
      <c r="DA937" t="s">
        <v>131</v>
      </c>
      <c r="DB937" t="str">
        <f>"39-3091"</f>
        <v>39-3091</v>
      </c>
      <c r="DC937" t="s">
        <v>1374</v>
      </c>
      <c r="DD937" t="s">
        <v>134</v>
      </c>
      <c r="DE937" t="s">
        <v>134</v>
      </c>
      <c r="DF937" t="str">
        <f>""</f>
        <v/>
      </c>
      <c r="DH937" s="6">
        <v>11.37</v>
      </c>
      <c r="DI937" t="s">
        <v>344</v>
      </c>
      <c r="DK937" t="s">
        <v>345</v>
      </c>
      <c r="DS937" s="6">
        <v>11.37</v>
      </c>
      <c r="DT937" t="s">
        <v>424</v>
      </c>
      <c r="DU937" s="1">
        <v>44371</v>
      </c>
      <c r="DV937" s="1">
        <v>44460</v>
      </c>
    </row>
    <row r="938" spans="1:126" ht="15" customHeight="1" x14ac:dyDescent="0.35">
      <c r="A938" t="s">
        <v>16477</v>
      </c>
      <c r="B938" t="s">
        <v>318</v>
      </c>
      <c r="C938" s="1">
        <v>44344</v>
      </c>
      <c r="D938" s="1">
        <v>44372</v>
      </c>
      <c r="H938" t="s">
        <v>319</v>
      </c>
      <c r="I938" t="s">
        <v>10434</v>
      </c>
      <c r="J938" t="s">
        <v>10435</v>
      </c>
      <c r="L938" t="s">
        <v>7929</v>
      </c>
      <c r="M938" t="s">
        <v>10436</v>
      </c>
      <c r="O938" t="s">
        <v>200</v>
      </c>
      <c r="P938" t="s">
        <v>194</v>
      </c>
      <c r="Q938" s="3">
        <v>33409</v>
      </c>
      <c r="R938" t="s">
        <v>128</v>
      </c>
      <c r="T938" s="4">
        <v>15616235022</v>
      </c>
      <c r="V938" t="s">
        <v>134</v>
      </c>
      <c r="W938" t="s">
        <v>10437</v>
      </c>
      <c r="Y938" t="s">
        <v>10436</v>
      </c>
      <c r="AA938" t="s">
        <v>200</v>
      </c>
      <c r="AB938" t="s">
        <v>195</v>
      </c>
      <c r="AC938" s="3" t="str">
        <f>"33409"</f>
        <v>33409</v>
      </c>
      <c r="AD938" t="s">
        <v>128</v>
      </c>
      <c r="AF938" s="4">
        <v>15616235022</v>
      </c>
      <c r="AH938" t="str">
        <f>"71391"</f>
        <v>71391</v>
      </c>
      <c r="AI938" t="s">
        <v>287</v>
      </c>
      <c r="AJ938" t="s">
        <v>573</v>
      </c>
      <c r="AK938" t="s">
        <v>574</v>
      </c>
      <c r="AM938" t="s">
        <v>575</v>
      </c>
      <c r="AO938" t="s">
        <v>576</v>
      </c>
      <c r="AP938" t="s">
        <v>129</v>
      </c>
      <c r="AQ938" s="5">
        <v>14850</v>
      </c>
      <c r="AR938" t="s">
        <v>128</v>
      </c>
      <c r="AT938" s="4">
        <v>18777387462</v>
      </c>
      <c r="AV938" t="s">
        <v>577</v>
      </c>
      <c r="AW938" t="s">
        <v>578</v>
      </c>
      <c r="AX938" t="s">
        <v>131</v>
      </c>
      <c r="AY938" t="s">
        <v>131</v>
      </c>
      <c r="AZ938" t="s">
        <v>131</v>
      </c>
      <c r="BA938" t="s">
        <v>131</v>
      </c>
      <c r="BB938" t="s">
        <v>131</v>
      </c>
      <c r="BC938" t="s">
        <v>131</v>
      </c>
      <c r="BD938" t="s">
        <v>131</v>
      </c>
      <c r="BE938" t="s">
        <v>132</v>
      </c>
      <c r="BH938" t="s">
        <v>7905</v>
      </c>
      <c r="BI938" t="s">
        <v>131</v>
      </c>
      <c r="BL938" t="s">
        <v>167</v>
      </c>
      <c r="BO938" t="s">
        <v>131</v>
      </c>
      <c r="BP938" t="s">
        <v>134</v>
      </c>
      <c r="BQ938" t="s">
        <v>131</v>
      </c>
      <c r="BS938" t="str">
        <f t="shared" si="65"/>
        <v>N/A</v>
      </c>
      <c r="BT938" t="s">
        <v>135</v>
      </c>
      <c r="BU938">
        <v>3</v>
      </c>
      <c r="BV938" t="str">
        <f>"fine dining service"</f>
        <v>fine dining service</v>
      </c>
      <c r="BW938" t="s">
        <v>135</v>
      </c>
      <c r="BX938" t="str">
        <f>""</f>
        <v/>
      </c>
      <c r="BY938" t="str">
        <f>""</f>
        <v/>
      </c>
      <c r="BZ938" t="str">
        <f>""</f>
        <v/>
      </c>
      <c r="CA938" s="2" t="s">
        <v>13495</v>
      </c>
      <c r="CB938" t="s">
        <v>131</v>
      </c>
      <c r="CF938" t="s">
        <v>131</v>
      </c>
      <c r="CH938" t="str">
        <f>""</f>
        <v/>
      </c>
      <c r="CI938" t="s">
        <v>131</v>
      </c>
      <c r="CK938" t="s">
        <v>131</v>
      </c>
      <c r="CL938" t="str">
        <f>""</f>
        <v/>
      </c>
      <c r="CM938" t="str">
        <f>""</f>
        <v/>
      </c>
      <c r="CN938" t="str">
        <f>""</f>
        <v/>
      </c>
      <c r="CO938" t="str">
        <f>""</f>
        <v/>
      </c>
      <c r="CP938" t="str">
        <f>"35-3031.00"</f>
        <v>35-3031.00</v>
      </c>
      <c r="CQ938" t="s">
        <v>1214</v>
      </c>
      <c r="CS938" t="s">
        <v>131</v>
      </c>
      <c r="CU938" t="s">
        <v>10436</v>
      </c>
      <c r="CW938" t="s">
        <v>200</v>
      </c>
      <c r="CX938" t="s">
        <v>195</v>
      </c>
      <c r="CZ938" s="3" t="str">
        <f>"33409"</f>
        <v>33409</v>
      </c>
      <c r="DA938" t="s">
        <v>131</v>
      </c>
      <c r="DB938" t="str">
        <f>"35-3031"</f>
        <v>35-3031</v>
      </c>
      <c r="DC938" t="s">
        <v>1214</v>
      </c>
      <c r="DD938" t="s">
        <v>134</v>
      </c>
      <c r="DE938" t="s">
        <v>134</v>
      </c>
      <c r="DF938" t="str">
        <f>""</f>
        <v/>
      </c>
      <c r="DH938" s="6">
        <v>12.55</v>
      </c>
      <c r="DI938" t="s">
        <v>344</v>
      </c>
      <c r="DK938" t="s">
        <v>345</v>
      </c>
      <c r="DS938" s="6">
        <v>12.55</v>
      </c>
      <c r="DT938" t="s">
        <v>424</v>
      </c>
      <c r="DU938" s="1">
        <v>44372</v>
      </c>
      <c r="DV938" s="1">
        <v>44461</v>
      </c>
    </row>
    <row r="939" spans="1:126" ht="15" customHeight="1" x14ac:dyDescent="0.35">
      <c r="A939" t="s">
        <v>18713</v>
      </c>
      <c r="B939" t="s">
        <v>318</v>
      </c>
      <c r="C939" s="1">
        <v>44344</v>
      </c>
      <c r="D939" s="1">
        <v>44372</v>
      </c>
      <c r="H939" t="s">
        <v>319</v>
      </c>
      <c r="I939" t="s">
        <v>11874</v>
      </c>
      <c r="J939" t="s">
        <v>17402</v>
      </c>
      <c r="L939" t="s">
        <v>11875</v>
      </c>
      <c r="M939" t="s">
        <v>11876</v>
      </c>
      <c r="O939" t="s">
        <v>1319</v>
      </c>
      <c r="P939" t="s">
        <v>778</v>
      </c>
      <c r="Q939" s="3">
        <v>38305</v>
      </c>
      <c r="R939" t="s">
        <v>128</v>
      </c>
      <c r="T939" s="4">
        <v>14046256123</v>
      </c>
      <c r="V939" t="s">
        <v>11877</v>
      </c>
      <c r="W939" t="s">
        <v>17403</v>
      </c>
      <c r="Y939" t="s">
        <v>11876</v>
      </c>
      <c r="AA939" t="s">
        <v>1319</v>
      </c>
      <c r="AB939" t="s">
        <v>779</v>
      </c>
      <c r="AC939" s="3" t="str">
        <f>"38305"</f>
        <v>38305</v>
      </c>
      <c r="AD939" t="s">
        <v>128</v>
      </c>
      <c r="AF939" s="4">
        <v>17316867428</v>
      </c>
      <c r="AH939" t="str">
        <f>"4841"</f>
        <v>4841</v>
      </c>
      <c r="AI939" t="s">
        <v>130</v>
      </c>
      <c r="AJ939" t="s">
        <v>11879</v>
      </c>
      <c r="AK939" t="s">
        <v>1275</v>
      </c>
      <c r="AL939" t="s">
        <v>2981</v>
      </c>
      <c r="AM939" t="s">
        <v>11880</v>
      </c>
      <c r="AN939" t="s">
        <v>1462</v>
      </c>
      <c r="AO939" t="s">
        <v>642</v>
      </c>
      <c r="AP939" t="s">
        <v>643</v>
      </c>
      <c r="AQ939" s="5">
        <v>30326</v>
      </c>
      <c r="AR939" t="s">
        <v>128</v>
      </c>
      <c r="AT939" s="4">
        <v>14048900372</v>
      </c>
      <c r="AV939" t="s">
        <v>11881</v>
      </c>
      <c r="AW939" t="s">
        <v>11882</v>
      </c>
      <c r="AX939" t="s">
        <v>131</v>
      </c>
      <c r="AY939" t="s">
        <v>131</v>
      </c>
      <c r="AZ939" t="s">
        <v>131</v>
      </c>
      <c r="BA939" t="s">
        <v>131</v>
      </c>
      <c r="BB939" t="s">
        <v>131</v>
      </c>
      <c r="BC939" t="s">
        <v>131</v>
      </c>
      <c r="BD939" t="s">
        <v>131</v>
      </c>
      <c r="BE939" t="s">
        <v>132</v>
      </c>
      <c r="BH939" t="s">
        <v>17404</v>
      </c>
      <c r="BI939" t="s">
        <v>131</v>
      </c>
      <c r="BL939" t="s">
        <v>167</v>
      </c>
      <c r="BO939" t="s">
        <v>131</v>
      </c>
      <c r="BP939" t="s">
        <v>134</v>
      </c>
      <c r="BQ939" t="s">
        <v>131</v>
      </c>
      <c r="BS939" t="str">
        <f t="shared" si="65"/>
        <v>N/A</v>
      </c>
      <c r="BT939" t="s">
        <v>135</v>
      </c>
      <c r="BU939">
        <v>60</v>
      </c>
      <c r="BV939" t="str">
        <f>"Over-the-road trucking"</f>
        <v>Over-the-road trucking</v>
      </c>
      <c r="BW939" t="s">
        <v>135</v>
      </c>
      <c r="BX939" t="str">
        <f>""</f>
        <v/>
      </c>
      <c r="BY939" t="str">
        <f>""</f>
        <v/>
      </c>
      <c r="BZ939" t="str">
        <f>""</f>
        <v/>
      </c>
      <c r="CA939" s="2" t="s">
        <v>17405</v>
      </c>
      <c r="CB939" t="s">
        <v>131</v>
      </c>
      <c r="CF939" t="s">
        <v>131</v>
      </c>
      <c r="CH939" t="str">
        <f>""</f>
        <v/>
      </c>
      <c r="CI939" t="s">
        <v>131</v>
      </c>
      <c r="CK939" t="s">
        <v>131</v>
      </c>
      <c r="CL939" t="str">
        <f>""</f>
        <v/>
      </c>
      <c r="CM939" t="str">
        <f>""</f>
        <v/>
      </c>
      <c r="CN939" t="str">
        <f>""</f>
        <v/>
      </c>
      <c r="CO939" t="str">
        <f>""</f>
        <v/>
      </c>
      <c r="CP939" t="str">
        <f>"53-3032.00"</f>
        <v>53-3032.00</v>
      </c>
      <c r="CQ939" t="s">
        <v>1238</v>
      </c>
      <c r="CR939" t="s">
        <v>1400</v>
      </c>
      <c r="CS939" t="s">
        <v>135</v>
      </c>
      <c r="CT939" t="s">
        <v>17406</v>
      </c>
      <c r="CU939" t="s">
        <v>11886</v>
      </c>
      <c r="CW939" t="s">
        <v>1319</v>
      </c>
      <c r="CX939" t="s">
        <v>779</v>
      </c>
      <c r="CZ939" s="3" t="str">
        <f>"38305"</f>
        <v>38305</v>
      </c>
      <c r="DA939" t="s">
        <v>131</v>
      </c>
      <c r="DB939" t="str">
        <f>"53-3032"</f>
        <v>53-3032</v>
      </c>
      <c r="DC939" t="s">
        <v>1238</v>
      </c>
      <c r="DD939" t="s">
        <v>134</v>
      </c>
      <c r="DE939" t="s">
        <v>134</v>
      </c>
      <c r="DF939" t="str">
        <f>""</f>
        <v/>
      </c>
      <c r="DH939" s="6">
        <v>20</v>
      </c>
      <c r="DI939" t="s">
        <v>344</v>
      </c>
      <c r="DK939" t="s">
        <v>345</v>
      </c>
      <c r="DS939" s="6">
        <v>20</v>
      </c>
      <c r="DT939" s="2" t="s">
        <v>347</v>
      </c>
      <c r="DU939" s="1">
        <v>44372</v>
      </c>
      <c r="DV939" s="1">
        <v>44461</v>
      </c>
    </row>
    <row r="940" spans="1:126" ht="15" customHeight="1" x14ac:dyDescent="0.35">
      <c r="A940" t="s">
        <v>17401</v>
      </c>
      <c r="B940" t="s">
        <v>318</v>
      </c>
      <c r="C940" s="1">
        <v>44344</v>
      </c>
      <c r="D940" s="1">
        <v>44372</v>
      </c>
      <c r="H940" t="s">
        <v>319</v>
      </c>
      <c r="I940" t="s">
        <v>11874</v>
      </c>
      <c r="J940" t="s">
        <v>17402</v>
      </c>
      <c r="L940" t="s">
        <v>11875</v>
      </c>
      <c r="M940" t="s">
        <v>11876</v>
      </c>
      <c r="O940" t="s">
        <v>1319</v>
      </c>
      <c r="P940" t="s">
        <v>778</v>
      </c>
      <c r="Q940" s="3">
        <v>38305</v>
      </c>
      <c r="R940" t="s">
        <v>128</v>
      </c>
      <c r="T940" s="4">
        <v>14046256123</v>
      </c>
      <c r="V940" t="s">
        <v>11877</v>
      </c>
      <c r="W940" t="s">
        <v>17403</v>
      </c>
      <c r="Y940" t="s">
        <v>11876</v>
      </c>
      <c r="Z940" t="s">
        <v>1319</v>
      </c>
      <c r="AA940" t="s">
        <v>1319</v>
      </c>
      <c r="AB940" t="s">
        <v>779</v>
      </c>
      <c r="AC940" s="3" t="str">
        <f>"38305"</f>
        <v>38305</v>
      </c>
      <c r="AD940" t="s">
        <v>128</v>
      </c>
      <c r="AF940" s="4">
        <v>17316867428</v>
      </c>
      <c r="AH940" t="str">
        <f>"4841"</f>
        <v>4841</v>
      </c>
      <c r="AI940" t="s">
        <v>130</v>
      </c>
      <c r="AJ940" t="s">
        <v>11879</v>
      </c>
      <c r="AK940" t="s">
        <v>1275</v>
      </c>
      <c r="AL940" t="s">
        <v>2981</v>
      </c>
      <c r="AM940" t="s">
        <v>11880</v>
      </c>
      <c r="AN940" t="s">
        <v>1462</v>
      </c>
      <c r="AO940" t="s">
        <v>642</v>
      </c>
      <c r="AP940" t="s">
        <v>643</v>
      </c>
      <c r="AQ940" s="5">
        <v>30326</v>
      </c>
      <c r="AR940" t="s">
        <v>128</v>
      </c>
      <c r="AT940" s="4">
        <v>14048900372</v>
      </c>
      <c r="AV940" t="s">
        <v>11881</v>
      </c>
      <c r="AW940" t="s">
        <v>11882</v>
      </c>
      <c r="AX940" t="s">
        <v>131</v>
      </c>
      <c r="AY940" t="s">
        <v>131</v>
      </c>
      <c r="AZ940" t="s">
        <v>131</v>
      </c>
      <c r="BA940" t="s">
        <v>131</v>
      </c>
      <c r="BB940" t="s">
        <v>131</v>
      </c>
      <c r="BC940" t="s">
        <v>131</v>
      </c>
      <c r="BD940" t="s">
        <v>131</v>
      </c>
      <c r="BE940" t="s">
        <v>132</v>
      </c>
      <c r="BH940" t="s">
        <v>17404</v>
      </c>
      <c r="BI940" t="s">
        <v>131</v>
      </c>
      <c r="BL940" t="s">
        <v>167</v>
      </c>
      <c r="BO940" t="s">
        <v>131</v>
      </c>
      <c r="BP940" t="s">
        <v>134</v>
      </c>
      <c r="BQ940" t="s">
        <v>131</v>
      </c>
      <c r="BS940" t="str">
        <f t="shared" si="65"/>
        <v>N/A</v>
      </c>
      <c r="BT940" t="s">
        <v>135</v>
      </c>
      <c r="BU940">
        <v>60</v>
      </c>
      <c r="BV940" t="str">
        <f>"Over-the-road trucking"</f>
        <v>Over-the-road trucking</v>
      </c>
      <c r="BW940" t="s">
        <v>135</v>
      </c>
      <c r="BX940" t="str">
        <f>""</f>
        <v/>
      </c>
      <c r="BY940" t="str">
        <f>""</f>
        <v/>
      </c>
      <c r="BZ940" t="str">
        <f>""</f>
        <v/>
      </c>
      <c r="CA940" s="2" t="s">
        <v>17405</v>
      </c>
      <c r="CB940" t="s">
        <v>131</v>
      </c>
      <c r="CF940" t="s">
        <v>131</v>
      </c>
      <c r="CH940" t="str">
        <f>""</f>
        <v/>
      </c>
      <c r="CI940" t="s">
        <v>131</v>
      </c>
      <c r="CK940" t="s">
        <v>131</v>
      </c>
      <c r="CL940" t="str">
        <f>""</f>
        <v/>
      </c>
      <c r="CM940" t="str">
        <f>""</f>
        <v/>
      </c>
      <c r="CN940" t="str">
        <f>""</f>
        <v/>
      </c>
      <c r="CO940" t="str">
        <f>""</f>
        <v/>
      </c>
      <c r="CP940" t="str">
        <f>"53-3032.00"</f>
        <v>53-3032.00</v>
      </c>
      <c r="CQ940" t="s">
        <v>1238</v>
      </c>
      <c r="CR940" t="s">
        <v>460</v>
      </c>
      <c r="CS940" t="s">
        <v>135</v>
      </c>
      <c r="CT940" t="s">
        <v>17406</v>
      </c>
      <c r="CU940" t="s">
        <v>11876</v>
      </c>
      <c r="CW940" t="s">
        <v>1319</v>
      </c>
      <c r="CX940" t="s">
        <v>779</v>
      </c>
      <c r="CZ940" s="3" t="str">
        <f>"38305"</f>
        <v>38305</v>
      </c>
      <c r="DA940" t="s">
        <v>131</v>
      </c>
      <c r="DB940" t="str">
        <f>"53-3032"</f>
        <v>53-3032</v>
      </c>
      <c r="DC940" t="s">
        <v>1238</v>
      </c>
      <c r="DD940" t="s">
        <v>134</v>
      </c>
      <c r="DE940" t="s">
        <v>134</v>
      </c>
      <c r="DF940" t="str">
        <f>""</f>
        <v/>
      </c>
      <c r="DH940" s="6">
        <v>20</v>
      </c>
      <c r="DI940" t="s">
        <v>344</v>
      </c>
      <c r="DK940" t="s">
        <v>345</v>
      </c>
      <c r="DS940" s="6">
        <v>20</v>
      </c>
      <c r="DT940" s="2" t="s">
        <v>347</v>
      </c>
      <c r="DU940" s="1">
        <v>44372</v>
      </c>
      <c r="DV940" s="1">
        <v>44461</v>
      </c>
    </row>
    <row r="941" spans="1:126" ht="15" customHeight="1" x14ac:dyDescent="0.35">
      <c r="A941" t="s">
        <v>16571</v>
      </c>
      <c r="B941" t="s">
        <v>318</v>
      </c>
      <c r="C941" s="1">
        <v>44344</v>
      </c>
      <c r="D941" s="1">
        <v>44375</v>
      </c>
      <c r="H941" t="s">
        <v>319</v>
      </c>
      <c r="I941" t="s">
        <v>16572</v>
      </c>
      <c r="J941" t="s">
        <v>9437</v>
      </c>
      <c r="L941" t="s">
        <v>3679</v>
      </c>
      <c r="M941" t="s">
        <v>16573</v>
      </c>
      <c r="O941" t="s">
        <v>885</v>
      </c>
      <c r="P941" t="s">
        <v>412</v>
      </c>
      <c r="Q941" s="3">
        <v>77493</v>
      </c>
      <c r="R941" t="s">
        <v>128</v>
      </c>
      <c r="T941" s="4">
        <v>18324944830</v>
      </c>
      <c r="V941" t="s">
        <v>16574</v>
      </c>
      <c r="W941" t="s">
        <v>16575</v>
      </c>
      <c r="X941" t="s">
        <v>16575</v>
      </c>
      <c r="Y941" t="s">
        <v>16576</v>
      </c>
      <c r="AA941" t="s">
        <v>885</v>
      </c>
      <c r="AB941" t="s">
        <v>400</v>
      </c>
      <c r="AC941" s="3" t="str">
        <f>"77085"</f>
        <v>77085</v>
      </c>
      <c r="AD941" t="s">
        <v>128</v>
      </c>
      <c r="AF941" s="4">
        <v>17137232549</v>
      </c>
      <c r="AH941" t="str">
        <f>"237310"</f>
        <v>237310</v>
      </c>
      <c r="AI941" t="s">
        <v>167</v>
      </c>
      <c r="AX941" t="s">
        <v>131</v>
      </c>
      <c r="AY941" t="s">
        <v>131</v>
      </c>
      <c r="AZ941" t="s">
        <v>131</v>
      </c>
      <c r="BA941" t="s">
        <v>131</v>
      </c>
      <c r="BB941" t="s">
        <v>131</v>
      </c>
      <c r="BC941" t="s">
        <v>131</v>
      </c>
      <c r="BD941" t="s">
        <v>131</v>
      </c>
      <c r="BE941" t="s">
        <v>132</v>
      </c>
      <c r="BH941" t="s">
        <v>16577</v>
      </c>
      <c r="BI941" t="s">
        <v>131</v>
      </c>
      <c r="BL941" t="s">
        <v>167</v>
      </c>
      <c r="BO941" t="s">
        <v>131</v>
      </c>
      <c r="BP941" t="s">
        <v>134</v>
      </c>
      <c r="BQ941" t="s">
        <v>131</v>
      </c>
      <c r="BS941" t="str">
        <f t="shared" si="65"/>
        <v>N/A</v>
      </c>
      <c r="BT941" t="s">
        <v>131</v>
      </c>
      <c r="BV941" t="str">
        <f>""</f>
        <v/>
      </c>
      <c r="BW941" t="s">
        <v>131</v>
      </c>
      <c r="BX941" t="str">
        <f>""</f>
        <v/>
      </c>
      <c r="BY941" t="str">
        <f>""</f>
        <v/>
      </c>
      <c r="BZ941" t="str">
        <f>""</f>
        <v/>
      </c>
      <c r="CA941" t="str">
        <f>""</f>
        <v/>
      </c>
      <c r="CB941" t="s">
        <v>131</v>
      </c>
      <c r="CF941" t="s">
        <v>131</v>
      </c>
      <c r="CH941" t="str">
        <f>""</f>
        <v/>
      </c>
      <c r="CI941" t="s">
        <v>131</v>
      </c>
      <c r="CK941" t="s">
        <v>131</v>
      </c>
      <c r="CL941" t="str">
        <f>""</f>
        <v/>
      </c>
      <c r="CM941" t="str">
        <f>""</f>
        <v/>
      </c>
      <c r="CN941" t="str">
        <f>""</f>
        <v/>
      </c>
      <c r="CO941" t="str">
        <f>""</f>
        <v/>
      </c>
      <c r="CP941" t="str">
        <f>"47-2061.00"</f>
        <v>47-2061.00</v>
      </c>
      <c r="CQ941" t="s">
        <v>393</v>
      </c>
      <c r="CR941" t="s">
        <v>16578</v>
      </c>
      <c r="CS941" t="s">
        <v>131</v>
      </c>
      <c r="CU941" t="s">
        <v>16576</v>
      </c>
      <c r="CW941" t="s">
        <v>885</v>
      </c>
      <c r="CX941" t="s">
        <v>400</v>
      </c>
      <c r="CZ941" s="3" t="str">
        <f>"77085"</f>
        <v>77085</v>
      </c>
      <c r="DA941" t="s">
        <v>135</v>
      </c>
      <c r="DB941" t="str">
        <f>"47-2061"</f>
        <v>47-2061</v>
      </c>
      <c r="DC941" t="s">
        <v>393</v>
      </c>
      <c r="DD941" t="s">
        <v>134</v>
      </c>
      <c r="DE941" t="s">
        <v>134</v>
      </c>
      <c r="DF941" t="str">
        <f>""</f>
        <v/>
      </c>
      <c r="DH941" s="6">
        <v>17.489999999999998</v>
      </c>
      <c r="DI941" t="s">
        <v>344</v>
      </c>
      <c r="DK941" t="s">
        <v>345</v>
      </c>
      <c r="DR941" t="s">
        <v>8525</v>
      </c>
      <c r="DS941" s="6">
        <v>17.489999999999998</v>
      </c>
      <c r="DT941" t="s">
        <v>424</v>
      </c>
      <c r="DU941" s="1">
        <v>44375</v>
      </c>
      <c r="DV941" s="1">
        <v>44464</v>
      </c>
    </row>
    <row r="942" spans="1:126" ht="15" customHeight="1" x14ac:dyDescent="0.35">
      <c r="A942" t="s">
        <v>15795</v>
      </c>
      <c r="B942" t="s">
        <v>318</v>
      </c>
      <c r="C942" s="1">
        <v>44345</v>
      </c>
      <c r="D942" s="1">
        <v>44372</v>
      </c>
      <c r="H942" t="s">
        <v>319</v>
      </c>
      <c r="I942" t="s">
        <v>221</v>
      </c>
      <c r="J942" t="s">
        <v>15796</v>
      </c>
      <c r="L942" t="s">
        <v>1031</v>
      </c>
      <c r="M942" t="s">
        <v>15797</v>
      </c>
      <c r="O942" t="s">
        <v>15798</v>
      </c>
      <c r="P942" t="s">
        <v>539</v>
      </c>
      <c r="Q942" s="3">
        <v>62206</v>
      </c>
      <c r="R942" t="s">
        <v>128</v>
      </c>
      <c r="T942" s="4">
        <v>16184769495</v>
      </c>
      <c r="V942" t="s">
        <v>1021</v>
      </c>
      <c r="W942" t="s">
        <v>15799</v>
      </c>
      <c r="Y942" t="s">
        <v>15800</v>
      </c>
      <c r="AA942" t="s">
        <v>15798</v>
      </c>
      <c r="AB942" t="s">
        <v>263</v>
      </c>
      <c r="AC942" s="3" t="str">
        <f>"62206"</f>
        <v>62206</v>
      </c>
      <c r="AD942" t="s">
        <v>128</v>
      </c>
      <c r="AF942" s="4">
        <v>16184769495</v>
      </c>
      <c r="AH942" t="str">
        <f>"56173"</f>
        <v>56173</v>
      </c>
      <c r="AI942" t="s">
        <v>287</v>
      </c>
      <c r="AJ942" t="s">
        <v>1024</v>
      </c>
      <c r="AK942" t="s">
        <v>1025</v>
      </c>
      <c r="AM942" t="s">
        <v>1026</v>
      </c>
      <c r="AO942" t="s">
        <v>1027</v>
      </c>
      <c r="AP942" t="s">
        <v>129</v>
      </c>
      <c r="AQ942" s="5">
        <v>11590</v>
      </c>
      <c r="AR942" t="s">
        <v>128</v>
      </c>
      <c r="AT942" s="4">
        <v>15163307168</v>
      </c>
      <c r="AV942" t="s">
        <v>1021</v>
      </c>
      <c r="AW942" t="s">
        <v>1028</v>
      </c>
      <c r="AX942" t="s">
        <v>131</v>
      </c>
      <c r="AY942" t="s">
        <v>131</v>
      </c>
      <c r="AZ942" t="s">
        <v>131</v>
      </c>
      <c r="BA942" t="s">
        <v>131</v>
      </c>
      <c r="BB942" t="s">
        <v>131</v>
      </c>
      <c r="BC942" t="s">
        <v>131</v>
      </c>
      <c r="BD942" t="s">
        <v>131</v>
      </c>
      <c r="BE942" t="s">
        <v>132</v>
      </c>
      <c r="BH942" t="s">
        <v>5067</v>
      </c>
      <c r="BI942" t="s">
        <v>131</v>
      </c>
      <c r="BL942" t="s">
        <v>167</v>
      </c>
      <c r="BO942" t="s">
        <v>131</v>
      </c>
      <c r="BP942" t="s">
        <v>134</v>
      </c>
      <c r="BQ942" t="s">
        <v>131</v>
      </c>
      <c r="BS942" t="str">
        <f t="shared" si="65"/>
        <v>N/A</v>
      </c>
      <c r="BT942" t="s">
        <v>131</v>
      </c>
      <c r="BV942" t="str">
        <f>""</f>
        <v/>
      </c>
      <c r="BW942" t="s">
        <v>131</v>
      </c>
      <c r="BX942" t="str">
        <f>""</f>
        <v/>
      </c>
      <c r="BY942" t="str">
        <f>""</f>
        <v/>
      </c>
      <c r="BZ942" t="str">
        <f>""</f>
        <v/>
      </c>
      <c r="CA942" t="str">
        <f>""</f>
        <v/>
      </c>
      <c r="CB942" t="s">
        <v>131</v>
      </c>
      <c r="CF942" t="s">
        <v>131</v>
      </c>
      <c r="CH942" t="str">
        <f>""</f>
        <v/>
      </c>
      <c r="CI942" t="s">
        <v>131</v>
      </c>
      <c r="CK942" t="s">
        <v>131</v>
      </c>
      <c r="CL942" t="str">
        <f>""</f>
        <v/>
      </c>
      <c r="CM942" t="str">
        <f>""</f>
        <v/>
      </c>
      <c r="CN942" t="str">
        <f>""</f>
        <v/>
      </c>
      <c r="CO942" t="str">
        <f>""</f>
        <v/>
      </c>
      <c r="CP942" t="str">
        <f>"37-3011.00"</f>
        <v>37-3011.00</v>
      </c>
      <c r="CQ942" t="s">
        <v>920</v>
      </c>
      <c r="CR942" t="s">
        <v>5068</v>
      </c>
      <c r="CS942" t="s">
        <v>135</v>
      </c>
      <c r="CT942" t="s">
        <v>15801</v>
      </c>
      <c r="CU942" t="s">
        <v>15800</v>
      </c>
      <c r="CW942" t="s">
        <v>15798</v>
      </c>
      <c r="CX942" t="s">
        <v>263</v>
      </c>
      <c r="CZ942" s="3" t="str">
        <f>"62206"</f>
        <v>62206</v>
      </c>
      <c r="DA942" t="s">
        <v>135</v>
      </c>
      <c r="DB942" t="str">
        <f>"37-3011"</f>
        <v>37-3011</v>
      </c>
      <c r="DC942" t="s">
        <v>920</v>
      </c>
      <c r="DD942" t="s">
        <v>134</v>
      </c>
      <c r="DE942" t="s">
        <v>134</v>
      </c>
      <c r="DF942" t="str">
        <f>""</f>
        <v/>
      </c>
      <c r="DH942" s="6">
        <v>15.37</v>
      </c>
      <c r="DI942" t="s">
        <v>344</v>
      </c>
      <c r="DK942" t="s">
        <v>345</v>
      </c>
      <c r="DR942" t="s">
        <v>4139</v>
      </c>
      <c r="DS942" s="6">
        <v>15.37</v>
      </c>
      <c r="DT942" s="2" t="s">
        <v>347</v>
      </c>
      <c r="DU942" s="1">
        <v>44372</v>
      </c>
      <c r="DV942" s="1">
        <v>44461</v>
      </c>
    </row>
    <row r="943" spans="1:126" ht="15" customHeight="1" x14ac:dyDescent="0.35">
      <c r="A943" t="s">
        <v>13271</v>
      </c>
      <c r="B943" t="s">
        <v>318</v>
      </c>
      <c r="C943" s="1">
        <v>44345</v>
      </c>
      <c r="D943" s="1">
        <v>44372</v>
      </c>
      <c r="H943" t="s">
        <v>319</v>
      </c>
      <c r="I943" t="s">
        <v>13272</v>
      </c>
      <c r="J943" t="s">
        <v>10804</v>
      </c>
      <c r="L943" t="s">
        <v>1031</v>
      </c>
      <c r="M943" t="s">
        <v>13273</v>
      </c>
      <c r="O943" t="s">
        <v>6840</v>
      </c>
      <c r="P943" t="s">
        <v>256</v>
      </c>
      <c r="Q943" s="3">
        <v>63132</v>
      </c>
      <c r="R943" t="s">
        <v>128</v>
      </c>
      <c r="T943" s="4">
        <v>13142460099</v>
      </c>
      <c r="V943" t="s">
        <v>1021</v>
      </c>
      <c r="W943" t="s">
        <v>13274</v>
      </c>
      <c r="Y943" t="s">
        <v>13273</v>
      </c>
      <c r="AA943" t="s">
        <v>13275</v>
      </c>
      <c r="AB943" t="s">
        <v>258</v>
      </c>
      <c r="AC943" s="3" t="str">
        <f>"63132"</f>
        <v>63132</v>
      </c>
      <c r="AD943" t="s">
        <v>128</v>
      </c>
      <c r="AF943" s="4">
        <v>13142460099</v>
      </c>
      <c r="AH943" t="str">
        <f>"56173"</f>
        <v>56173</v>
      </c>
      <c r="AI943" t="s">
        <v>287</v>
      </c>
      <c r="AJ943" t="s">
        <v>1024</v>
      </c>
      <c r="AK943" t="s">
        <v>1025</v>
      </c>
      <c r="AM943" t="s">
        <v>1026</v>
      </c>
      <c r="AO943" t="s">
        <v>1027</v>
      </c>
      <c r="AP943" t="s">
        <v>129</v>
      </c>
      <c r="AQ943" s="5">
        <v>11590</v>
      </c>
      <c r="AR943" t="s">
        <v>128</v>
      </c>
      <c r="AT943" s="4">
        <v>15163307168</v>
      </c>
      <c r="AV943" t="s">
        <v>1021</v>
      </c>
      <c r="AW943" t="s">
        <v>1028</v>
      </c>
      <c r="AX943" t="s">
        <v>131</v>
      </c>
      <c r="AY943" t="s">
        <v>131</v>
      </c>
      <c r="AZ943" t="s">
        <v>131</v>
      </c>
      <c r="BA943" t="s">
        <v>131</v>
      </c>
      <c r="BB943" t="s">
        <v>131</v>
      </c>
      <c r="BC943" t="s">
        <v>131</v>
      </c>
      <c r="BD943" t="s">
        <v>131</v>
      </c>
      <c r="BE943" t="s">
        <v>132</v>
      </c>
      <c r="BH943" t="s">
        <v>5067</v>
      </c>
      <c r="BI943" t="s">
        <v>131</v>
      </c>
      <c r="BL943" t="s">
        <v>167</v>
      </c>
      <c r="BO943" t="s">
        <v>131</v>
      </c>
      <c r="BP943" t="s">
        <v>134</v>
      </c>
      <c r="BQ943" t="s">
        <v>131</v>
      </c>
      <c r="BS943" t="str">
        <f t="shared" si="65"/>
        <v>N/A</v>
      </c>
      <c r="BT943" t="s">
        <v>131</v>
      </c>
      <c r="BV943" t="str">
        <f>""</f>
        <v/>
      </c>
      <c r="BW943" t="s">
        <v>131</v>
      </c>
      <c r="BX943" t="str">
        <f>""</f>
        <v/>
      </c>
      <c r="BY943" t="str">
        <f>""</f>
        <v/>
      </c>
      <c r="BZ943" t="str">
        <f>""</f>
        <v/>
      </c>
      <c r="CA943" t="str">
        <f>""</f>
        <v/>
      </c>
      <c r="CB943" t="s">
        <v>131</v>
      </c>
      <c r="CF943" t="s">
        <v>131</v>
      </c>
      <c r="CH943" t="str">
        <f>""</f>
        <v/>
      </c>
      <c r="CI943" t="s">
        <v>131</v>
      </c>
      <c r="CK943" t="s">
        <v>131</v>
      </c>
      <c r="CL943" t="str">
        <f>""</f>
        <v/>
      </c>
      <c r="CM943" t="str">
        <f>""</f>
        <v/>
      </c>
      <c r="CN943" t="str">
        <f>""</f>
        <v/>
      </c>
      <c r="CO943" t="str">
        <f>""</f>
        <v/>
      </c>
      <c r="CP943" t="str">
        <f>"37-3011.00"</f>
        <v>37-3011.00</v>
      </c>
      <c r="CQ943" t="s">
        <v>920</v>
      </c>
      <c r="CR943" t="s">
        <v>5068</v>
      </c>
      <c r="CS943" t="s">
        <v>135</v>
      </c>
      <c r="CT943" s="2" t="s">
        <v>13276</v>
      </c>
      <c r="CU943" t="s">
        <v>13273</v>
      </c>
      <c r="CW943" t="s">
        <v>6840</v>
      </c>
      <c r="CX943" t="s">
        <v>258</v>
      </c>
      <c r="CZ943" s="3" t="str">
        <f>"63132"</f>
        <v>63132</v>
      </c>
      <c r="DA943" t="s">
        <v>135</v>
      </c>
      <c r="DB943" t="str">
        <f>"37-3011"</f>
        <v>37-3011</v>
      </c>
      <c r="DC943" t="s">
        <v>920</v>
      </c>
      <c r="DD943" t="s">
        <v>134</v>
      </c>
      <c r="DE943" t="s">
        <v>134</v>
      </c>
      <c r="DF943" t="str">
        <f>""</f>
        <v/>
      </c>
      <c r="DH943" s="6">
        <v>15.37</v>
      </c>
      <c r="DI943" t="s">
        <v>344</v>
      </c>
      <c r="DK943" t="s">
        <v>345</v>
      </c>
      <c r="DR943" t="s">
        <v>4139</v>
      </c>
      <c r="DS943" s="6">
        <v>15.37</v>
      </c>
      <c r="DT943" s="2" t="s">
        <v>347</v>
      </c>
      <c r="DU943" s="1">
        <v>44372</v>
      </c>
      <c r="DV943" s="1">
        <v>44461</v>
      </c>
    </row>
    <row r="944" spans="1:126" ht="15" customHeight="1" x14ac:dyDescent="0.35">
      <c r="A944" t="s">
        <v>16306</v>
      </c>
      <c r="B944" t="s">
        <v>318</v>
      </c>
      <c r="C944" s="1">
        <v>44345</v>
      </c>
      <c r="D944" s="1">
        <v>44372</v>
      </c>
      <c r="H944" t="s">
        <v>319</v>
      </c>
      <c r="I944" t="s">
        <v>16307</v>
      </c>
      <c r="J944" t="s">
        <v>780</v>
      </c>
      <c r="L944" t="s">
        <v>1031</v>
      </c>
      <c r="M944" t="s">
        <v>16308</v>
      </c>
      <c r="O944" t="s">
        <v>16309</v>
      </c>
      <c r="P944" t="s">
        <v>127</v>
      </c>
      <c r="Q944" s="3">
        <v>11946</v>
      </c>
      <c r="R944" t="s">
        <v>128</v>
      </c>
      <c r="T944" s="4">
        <v>16317280167</v>
      </c>
      <c r="V944" t="s">
        <v>1021</v>
      </c>
      <c r="W944" t="s">
        <v>16310</v>
      </c>
      <c r="Y944" t="s">
        <v>16311</v>
      </c>
      <c r="AA944" t="s">
        <v>16312</v>
      </c>
      <c r="AB944" t="s">
        <v>129</v>
      </c>
      <c r="AC944" s="3" t="str">
        <f>"11946"</f>
        <v>11946</v>
      </c>
      <c r="AD944" t="s">
        <v>128</v>
      </c>
      <c r="AF944" s="4">
        <v>16317280167</v>
      </c>
      <c r="AH944" t="str">
        <f>"56173"</f>
        <v>56173</v>
      </c>
      <c r="AI944" t="s">
        <v>287</v>
      </c>
      <c r="AJ944" t="s">
        <v>1024</v>
      </c>
      <c r="AK944" t="s">
        <v>1025</v>
      </c>
      <c r="AM944" t="s">
        <v>1026</v>
      </c>
      <c r="AO944" t="s">
        <v>1027</v>
      </c>
      <c r="AP944" t="s">
        <v>129</v>
      </c>
      <c r="AQ944" s="5">
        <v>11590</v>
      </c>
      <c r="AR944" t="s">
        <v>128</v>
      </c>
      <c r="AT944" s="4">
        <v>15163307168</v>
      </c>
      <c r="AV944" t="s">
        <v>1021</v>
      </c>
      <c r="AW944" t="s">
        <v>1028</v>
      </c>
      <c r="AX944" t="s">
        <v>131</v>
      </c>
      <c r="AY944" t="s">
        <v>131</v>
      </c>
      <c r="AZ944" t="s">
        <v>131</v>
      </c>
      <c r="BA944" t="s">
        <v>131</v>
      </c>
      <c r="BB944" t="s">
        <v>131</v>
      </c>
      <c r="BC944" t="s">
        <v>131</v>
      </c>
      <c r="BD944" t="s">
        <v>131</v>
      </c>
      <c r="BE944" t="s">
        <v>132</v>
      </c>
      <c r="BH944" t="s">
        <v>5067</v>
      </c>
      <c r="BI944" t="s">
        <v>131</v>
      </c>
      <c r="BL944" t="s">
        <v>167</v>
      </c>
      <c r="BO944" t="s">
        <v>131</v>
      </c>
      <c r="BP944" t="s">
        <v>134</v>
      </c>
      <c r="BQ944" t="s">
        <v>131</v>
      </c>
      <c r="BS944" t="str">
        <f t="shared" si="65"/>
        <v>N/A</v>
      </c>
      <c r="BT944" t="s">
        <v>131</v>
      </c>
      <c r="BV944" t="str">
        <f>""</f>
        <v/>
      </c>
      <c r="BW944" t="s">
        <v>131</v>
      </c>
      <c r="BX944" t="str">
        <f>""</f>
        <v/>
      </c>
      <c r="BY944" t="str">
        <f>""</f>
        <v/>
      </c>
      <c r="BZ944" t="str">
        <f>""</f>
        <v/>
      </c>
      <c r="CA944" t="str">
        <f>""</f>
        <v/>
      </c>
      <c r="CB944" t="s">
        <v>131</v>
      </c>
      <c r="CF944" t="s">
        <v>131</v>
      </c>
      <c r="CH944" t="str">
        <f>""</f>
        <v/>
      </c>
      <c r="CI944" t="s">
        <v>131</v>
      </c>
      <c r="CK944" t="s">
        <v>131</v>
      </c>
      <c r="CL944" t="str">
        <f>""</f>
        <v/>
      </c>
      <c r="CM944" t="str">
        <f>""</f>
        <v/>
      </c>
      <c r="CN944" t="str">
        <f>""</f>
        <v/>
      </c>
      <c r="CO944" t="str">
        <f>""</f>
        <v/>
      </c>
      <c r="CP944" t="str">
        <f>"37-3011.00"</f>
        <v>37-3011.00</v>
      </c>
      <c r="CQ944" t="s">
        <v>920</v>
      </c>
      <c r="CR944" t="s">
        <v>5068</v>
      </c>
      <c r="CS944" t="s">
        <v>135</v>
      </c>
      <c r="CT944" t="s">
        <v>14606</v>
      </c>
      <c r="CU944" t="s">
        <v>16308</v>
      </c>
      <c r="CW944" t="s">
        <v>16309</v>
      </c>
      <c r="CX944" t="s">
        <v>129</v>
      </c>
      <c r="CZ944" s="3" t="str">
        <f>"11946"</f>
        <v>11946</v>
      </c>
      <c r="DA944" t="s">
        <v>135</v>
      </c>
      <c r="DB944" t="str">
        <f>"37-3011"</f>
        <v>37-3011</v>
      </c>
      <c r="DC944" t="s">
        <v>920</v>
      </c>
      <c r="DD944" t="s">
        <v>134</v>
      </c>
      <c r="DE944" t="s">
        <v>134</v>
      </c>
      <c r="DF944" t="str">
        <f>""</f>
        <v/>
      </c>
      <c r="DH944" s="6">
        <v>17.75</v>
      </c>
      <c r="DI944" t="s">
        <v>344</v>
      </c>
      <c r="DK944" t="s">
        <v>345</v>
      </c>
      <c r="DR944" t="s">
        <v>346</v>
      </c>
      <c r="DS944" s="6">
        <v>17.75</v>
      </c>
      <c r="DT944" s="2" t="s">
        <v>347</v>
      </c>
      <c r="DU944" s="1">
        <v>44372</v>
      </c>
      <c r="DV944" s="1">
        <v>44461</v>
      </c>
    </row>
    <row r="945" spans="1:126" ht="15" customHeight="1" x14ac:dyDescent="0.35">
      <c r="A945" t="s">
        <v>16245</v>
      </c>
      <c r="B945" t="s">
        <v>318</v>
      </c>
      <c r="C945" s="1">
        <v>44345</v>
      </c>
      <c r="D945" s="1">
        <v>44372</v>
      </c>
      <c r="H945" t="s">
        <v>319</v>
      </c>
      <c r="I945" t="s">
        <v>6212</v>
      </c>
      <c r="J945" t="s">
        <v>14239</v>
      </c>
      <c r="L945" t="s">
        <v>223</v>
      </c>
      <c r="M945" t="s">
        <v>16246</v>
      </c>
      <c r="O945" t="s">
        <v>6215</v>
      </c>
      <c r="P945" t="s">
        <v>194</v>
      </c>
      <c r="Q945" s="3">
        <v>34145</v>
      </c>
      <c r="R945" t="s">
        <v>128</v>
      </c>
      <c r="T945" s="4">
        <v>12393943313</v>
      </c>
      <c r="V945" t="s">
        <v>1021</v>
      </c>
      <c r="W945" t="s">
        <v>16247</v>
      </c>
      <c r="Y945" t="s">
        <v>16248</v>
      </c>
      <c r="AA945" t="s">
        <v>6215</v>
      </c>
      <c r="AB945" t="s">
        <v>195</v>
      </c>
      <c r="AC945" s="3" t="str">
        <f>"34145"</f>
        <v>34145</v>
      </c>
      <c r="AD945" t="s">
        <v>128</v>
      </c>
      <c r="AF945" s="4">
        <v>12393943313</v>
      </c>
      <c r="AH945" t="str">
        <f>"72251"</f>
        <v>72251</v>
      </c>
      <c r="AI945" t="s">
        <v>287</v>
      </c>
      <c r="AJ945" t="s">
        <v>1024</v>
      </c>
      <c r="AK945" t="s">
        <v>1025</v>
      </c>
      <c r="AM945" t="s">
        <v>1026</v>
      </c>
      <c r="AO945" t="s">
        <v>1027</v>
      </c>
      <c r="AP945" t="s">
        <v>129</v>
      </c>
      <c r="AQ945" s="5">
        <v>11590</v>
      </c>
      <c r="AR945" t="s">
        <v>128</v>
      </c>
      <c r="AT945" s="4">
        <v>15163307168</v>
      </c>
      <c r="AV945" t="s">
        <v>1021</v>
      </c>
      <c r="AW945" t="s">
        <v>1028</v>
      </c>
      <c r="AX945" t="s">
        <v>131</v>
      </c>
      <c r="AY945" t="s">
        <v>131</v>
      </c>
      <c r="AZ945" t="s">
        <v>131</v>
      </c>
      <c r="BA945" t="s">
        <v>131</v>
      </c>
      <c r="BB945" t="s">
        <v>131</v>
      </c>
      <c r="BC945" t="s">
        <v>131</v>
      </c>
      <c r="BD945" t="s">
        <v>131</v>
      </c>
      <c r="BE945" t="s">
        <v>132</v>
      </c>
      <c r="BH945" t="s">
        <v>6218</v>
      </c>
      <c r="BI945" t="s">
        <v>131</v>
      </c>
      <c r="BL945" t="s">
        <v>167</v>
      </c>
      <c r="BO945" t="s">
        <v>131</v>
      </c>
      <c r="BP945" t="s">
        <v>134</v>
      </c>
      <c r="BQ945" t="s">
        <v>131</v>
      </c>
      <c r="BS945" t="str">
        <f t="shared" si="65"/>
        <v>N/A</v>
      </c>
      <c r="BT945" t="s">
        <v>131</v>
      </c>
      <c r="BV945" t="str">
        <f>""</f>
        <v/>
      </c>
      <c r="BW945" t="s">
        <v>131</v>
      </c>
      <c r="BX945" t="str">
        <f>""</f>
        <v/>
      </c>
      <c r="BY945" t="str">
        <f>""</f>
        <v/>
      </c>
      <c r="BZ945" t="str">
        <f>""</f>
        <v/>
      </c>
      <c r="CA945" t="str">
        <f>""</f>
        <v/>
      </c>
      <c r="CB945" t="s">
        <v>131</v>
      </c>
      <c r="CF945" t="s">
        <v>131</v>
      </c>
      <c r="CH945" t="str">
        <f>""</f>
        <v/>
      </c>
      <c r="CI945" t="s">
        <v>131</v>
      </c>
      <c r="CK945" t="s">
        <v>131</v>
      </c>
      <c r="CL945" t="str">
        <f>""</f>
        <v/>
      </c>
      <c r="CM945" t="str">
        <f>""</f>
        <v/>
      </c>
      <c r="CN945" t="str">
        <f>""</f>
        <v/>
      </c>
      <c r="CO945" t="str">
        <f>""</f>
        <v/>
      </c>
      <c r="CP945" t="str">
        <f>"35-2014.00"</f>
        <v>35-2014.00</v>
      </c>
      <c r="CQ945" t="s">
        <v>581</v>
      </c>
      <c r="CR945" t="s">
        <v>6219</v>
      </c>
      <c r="CS945" t="s">
        <v>131</v>
      </c>
      <c r="CU945" t="s">
        <v>16248</v>
      </c>
      <c r="CW945" t="s">
        <v>6215</v>
      </c>
      <c r="CX945" t="s">
        <v>195</v>
      </c>
      <c r="CZ945" s="3" t="str">
        <f>"34145"</f>
        <v>34145</v>
      </c>
      <c r="DA945" t="s">
        <v>131</v>
      </c>
      <c r="DB945" t="str">
        <f>"35-2014"</f>
        <v>35-2014</v>
      </c>
      <c r="DC945" t="s">
        <v>581</v>
      </c>
      <c r="DD945" t="s">
        <v>134</v>
      </c>
      <c r="DE945" t="s">
        <v>134</v>
      </c>
      <c r="DF945" t="str">
        <f>""</f>
        <v/>
      </c>
      <c r="DH945" s="6">
        <v>15.46</v>
      </c>
      <c r="DI945" t="s">
        <v>344</v>
      </c>
      <c r="DK945" t="s">
        <v>345</v>
      </c>
      <c r="DR945" t="s">
        <v>5543</v>
      </c>
      <c r="DS945" s="6">
        <v>15.46</v>
      </c>
      <c r="DT945" s="2" t="s">
        <v>347</v>
      </c>
      <c r="DU945" s="1">
        <v>44372</v>
      </c>
      <c r="DV945" s="1">
        <v>44461</v>
      </c>
    </row>
    <row r="946" spans="1:126" ht="15" customHeight="1" x14ac:dyDescent="0.35">
      <c r="A946" t="s">
        <v>14238</v>
      </c>
      <c r="B946" t="s">
        <v>318</v>
      </c>
      <c r="C946" s="1">
        <v>44345</v>
      </c>
      <c r="D946" s="1">
        <v>44372</v>
      </c>
      <c r="H946" t="s">
        <v>319</v>
      </c>
      <c r="I946" t="s">
        <v>6212</v>
      </c>
      <c r="J946" t="s">
        <v>14239</v>
      </c>
      <c r="L946" t="s">
        <v>1031</v>
      </c>
      <c r="M946" t="s">
        <v>6214</v>
      </c>
      <c r="N946" t="s">
        <v>14240</v>
      </c>
      <c r="O946" t="s">
        <v>6215</v>
      </c>
      <c r="P946" t="s">
        <v>194</v>
      </c>
      <c r="Q946" s="3">
        <v>34145</v>
      </c>
      <c r="R946" t="s">
        <v>128</v>
      </c>
      <c r="T946" s="4">
        <v>12393943313</v>
      </c>
      <c r="V946" t="s">
        <v>1021</v>
      </c>
      <c r="W946" t="s">
        <v>14241</v>
      </c>
      <c r="Y946" t="s">
        <v>6214</v>
      </c>
      <c r="Z946" t="s">
        <v>14240</v>
      </c>
      <c r="AA946" t="s">
        <v>6215</v>
      </c>
      <c r="AB946" t="s">
        <v>195</v>
      </c>
      <c r="AC946" s="3" t="str">
        <f>"34145"</f>
        <v>34145</v>
      </c>
      <c r="AD946" t="s">
        <v>128</v>
      </c>
      <c r="AF946" s="4">
        <v>12393943313</v>
      </c>
      <c r="AH946" t="str">
        <f>"72251"</f>
        <v>72251</v>
      </c>
      <c r="AI946" t="s">
        <v>287</v>
      </c>
      <c r="AJ946" t="s">
        <v>1024</v>
      </c>
      <c r="AK946" t="s">
        <v>1025</v>
      </c>
      <c r="AM946" t="s">
        <v>1026</v>
      </c>
      <c r="AO946" t="s">
        <v>1027</v>
      </c>
      <c r="AP946" t="s">
        <v>129</v>
      </c>
      <c r="AQ946" s="5">
        <v>11590</v>
      </c>
      <c r="AR946" t="s">
        <v>128</v>
      </c>
      <c r="AT946" s="4">
        <v>15163307168</v>
      </c>
      <c r="AV946" t="s">
        <v>1021</v>
      </c>
      <c r="AW946" t="s">
        <v>1028</v>
      </c>
      <c r="AX946" t="s">
        <v>131</v>
      </c>
      <c r="AY946" t="s">
        <v>131</v>
      </c>
      <c r="AZ946" t="s">
        <v>131</v>
      </c>
      <c r="BA946" t="s">
        <v>131</v>
      </c>
      <c r="BB946" t="s">
        <v>131</v>
      </c>
      <c r="BC946" t="s">
        <v>131</v>
      </c>
      <c r="BD946" t="s">
        <v>131</v>
      </c>
      <c r="BE946" t="s">
        <v>132</v>
      </c>
      <c r="BH946" t="s">
        <v>6218</v>
      </c>
      <c r="BI946" t="s">
        <v>131</v>
      </c>
      <c r="BL946" t="s">
        <v>167</v>
      </c>
      <c r="BO946" t="s">
        <v>131</v>
      </c>
      <c r="BP946" t="s">
        <v>134</v>
      </c>
      <c r="BQ946" t="s">
        <v>131</v>
      </c>
      <c r="BS946" t="str">
        <f t="shared" si="65"/>
        <v>N/A</v>
      </c>
      <c r="BT946" t="s">
        <v>131</v>
      </c>
      <c r="BV946" t="str">
        <f>""</f>
        <v/>
      </c>
      <c r="BW946" t="s">
        <v>131</v>
      </c>
      <c r="BX946" t="str">
        <f>""</f>
        <v/>
      </c>
      <c r="BY946" t="str">
        <f>""</f>
        <v/>
      </c>
      <c r="BZ946" t="str">
        <f>""</f>
        <v/>
      </c>
      <c r="CA946" t="str">
        <f>""</f>
        <v/>
      </c>
      <c r="CB946" t="s">
        <v>131</v>
      </c>
      <c r="CF946" t="s">
        <v>131</v>
      </c>
      <c r="CH946" t="str">
        <f>""</f>
        <v/>
      </c>
      <c r="CI946" t="s">
        <v>131</v>
      </c>
      <c r="CK946" t="s">
        <v>131</v>
      </c>
      <c r="CL946" t="str">
        <f>""</f>
        <v/>
      </c>
      <c r="CM946" t="str">
        <f>""</f>
        <v/>
      </c>
      <c r="CN946" t="str">
        <f>""</f>
        <v/>
      </c>
      <c r="CO946" t="str">
        <f>""</f>
        <v/>
      </c>
      <c r="CP946" t="str">
        <f>"35-2014.00"</f>
        <v>35-2014.00</v>
      </c>
      <c r="CQ946" t="s">
        <v>581</v>
      </c>
      <c r="CR946" t="s">
        <v>6219</v>
      </c>
      <c r="CS946" t="s">
        <v>131</v>
      </c>
      <c r="CU946" t="s">
        <v>6214</v>
      </c>
      <c r="CV946" t="s">
        <v>14240</v>
      </c>
      <c r="CW946" t="s">
        <v>6215</v>
      </c>
      <c r="CX946" t="s">
        <v>195</v>
      </c>
      <c r="CZ946" s="3" t="str">
        <f>"34145"</f>
        <v>34145</v>
      </c>
      <c r="DA946" t="s">
        <v>131</v>
      </c>
      <c r="DB946" t="str">
        <f>"35-2014"</f>
        <v>35-2014</v>
      </c>
      <c r="DC946" t="s">
        <v>581</v>
      </c>
      <c r="DD946" t="s">
        <v>134</v>
      </c>
      <c r="DE946" t="s">
        <v>134</v>
      </c>
      <c r="DF946" t="str">
        <f>""</f>
        <v/>
      </c>
      <c r="DH946" s="6">
        <v>15.46</v>
      </c>
      <c r="DI946" t="s">
        <v>344</v>
      </c>
      <c r="DK946" t="s">
        <v>345</v>
      </c>
      <c r="DR946" t="s">
        <v>5543</v>
      </c>
      <c r="DS946" s="6">
        <v>15.46</v>
      </c>
      <c r="DT946" t="s">
        <v>424</v>
      </c>
      <c r="DU946" s="1">
        <v>44372</v>
      </c>
      <c r="DV946" s="1">
        <v>44461</v>
      </c>
    </row>
    <row r="947" spans="1:126" ht="15" customHeight="1" x14ac:dyDescent="0.35">
      <c r="A947" t="s">
        <v>19148</v>
      </c>
      <c r="B947" t="s">
        <v>318</v>
      </c>
      <c r="C947" s="1">
        <v>44345</v>
      </c>
      <c r="D947" s="1">
        <v>44372</v>
      </c>
      <c r="H947" t="s">
        <v>319</v>
      </c>
      <c r="I947" t="s">
        <v>6212</v>
      </c>
      <c r="J947" t="s">
        <v>6213</v>
      </c>
      <c r="L947" t="s">
        <v>1031</v>
      </c>
      <c r="M947" t="s">
        <v>6217</v>
      </c>
      <c r="O947" t="s">
        <v>6215</v>
      </c>
      <c r="P947" t="s">
        <v>194</v>
      </c>
      <c r="Q947" s="3">
        <v>34145</v>
      </c>
      <c r="R947" t="s">
        <v>128</v>
      </c>
      <c r="T947" s="4">
        <v>12393943313</v>
      </c>
      <c r="V947" t="s">
        <v>1021</v>
      </c>
      <c r="W947" t="s">
        <v>19149</v>
      </c>
      <c r="Y947" t="s">
        <v>6214</v>
      </c>
      <c r="AA947" t="s">
        <v>6215</v>
      </c>
      <c r="AB947" t="s">
        <v>195</v>
      </c>
      <c r="AC947" s="3" t="str">
        <f>"34145"</f>
        <v>34145</v>
      </c>
      <c r="AD947" t="s">
        <v>128</v>
      </c>
      <c r="AF947" s="4">
        <v>12393943313</v>
      </c>
      <c r="AH947" t="str">
        <f>"72251"</f>
        <v>72251</v>
      </c>
      <c r="AI947" t="s">
        <v>287</v>
      </c>
      <c r="AJ947" t="s">
        <v>1024</v>
      </c>
      <c r="AK947" t="s">
        <v>1025</v>
      </c>
      <c r="AM947" t="s">
        <v>1026</v>
      </c>
      <c r="AO947" t="s">
        <v>1027</v>
      </c>
      <c r="AP947" t="s">
        <v>129</v>
      </c>
      <c r="AQ947" s="5">
        <v>11590</v>
      </c>
      <c r="AR947" t="s">
        <v>128</v>
      </c>
      <c r="AT947" s="4">
        <v>15163307168</v>
      </c>
      <c r="AV947" t="s">
        <v>1021</v>
      </c>
      <c r="AW947" t="s">
        <v>1028</v>
      </c>
      <c r="AX947" t="s">
        <v>131</v>
      </c>
      <c r="AY947" t="s">
        <v>131</v>
      </c>
      <c r="AZ947" t="s">
        <v>131</v>
      </c>
      <c r="BA947" t="s">
        <v>131</v>
      </c>
      <c r="BB947" t="s">
        <v>131</v>
      </c>
      <c r="BC947" t="s">
        <v>131</v>
      </c>
      <c r="BD947" t="s">
        <v>131</v>
      </c>
      <c r="BE947" t="s">
        <v>132</v>
      </c>
      <c r="BH947" t="s">
        <v>6218</v>
      </c>
      <c r="BI947" t="s">
        <v>131</v>
      </c>
      <c r="BL947" t="s">
        <v>167</v>
      </c>
      <c r="BO947" t="s">
        <v>131</v>
      </c>
      <c r="BP947" t="s">
        <v>134</v>
      </c>
      <c r="BQ947" t="s">
        <v>131</v>
      </c>
      <c r="BS947" t="str">
        <f t="shared" si="65"/>
        <v>N/A</v>
      </c>
      <c r="BT947" t="s">
        <v>131</v>
      </c>
      <c r="BV947" t="str">
        <f>""</f>
        <v/>
      </c>
      <c r="BW947" t="s">
        <v>131</v>
      </c>
      <c r="BX947" t="str">
        <f>""</f>
        <v/>
      </c>
      <c r="BY947" t="str">
        <f>""</f>
        <v/>
      </c>
      <c r="BZ947" t="str">
        <f>""</f>
        <v/>
      </c>
      <c r="CA947" t="str">
        <f>""</f>
        <v/>
      </c>
      <c r="CB947" t="s">
        <v>131</v>
      </c>
      <c r="CF947" t="s">
        <v>131</v>
      </c>
      <c r="CH947" t="str">
        <f>""</f>
        <v/>
      </c>
      <c r="CI947" t="s">
        <v>131</v>
      </c>
      <c r="CK947" t="s">
        <v>131</v>
      </c>
      <c r="CL947" t="str">
        <f>""</f>
        <v/>
      </c>
      <c r="CM947" t="str">
        <f>""</f>
        <v/>
      </c>
      <c r="CN947" t="str">
        <f>""</f>
        <v/>
      </c>
      <c r="CO947" t="str">
        <f>""</f>
        <v/>
      </c>
      <c r="CP947" t="str">
        <f>"35-2014.00"</f>
        <v>35-2014.00</v>
      </c>
      <c r="CQ947" t="s">
        <v>581</v>
      </c>
      <c r="CR947" t="s">
        <v>6219</v>
      </c>
      <c r="CS947" t="s">
        <v>131</v>
      </c>
      <c r="CU947" t="s">
        <v>6214</v>
      </c>
      <c r="CW947" t="s">
        <v>6215</v>
      </c>
      <c r="CX947" t="s">
        <v>195</v>
      </c>
      <c r="CZ947" s="3" t="str">
        <f>"34145"</f>
        <v>34145</v>
      </c>
      <c r="DA947" t="s">
        <v>131</v>
      </c>
      <c r="DB947" t="str">
        <f>"35-2014"</f>
        <v>35-2014</v>
      </c>
      <c r="DC947" t="s">
        <v>581</v>
      </c>
      <c r="DD947" t="s">
        <v>134</v>
      </c>
      <c r="DE947" t="s">
        <v>134</v>
      </c>
      <c r="DF947" t="str">
        <f>""</f>
        <v/>
      </c>
      <c r="DH947" s="6">
        <v>15.46</v>
      </c>
      <c r="DI947" t="s">
        <v>344</v>
      </c>
      <c r="DK947" t="s">
        <v>345</v>
      </c>
      <c r="DR947" t="s">
        <v>5543</v>
      </c>
      <c r="DS947" s="6">
        <v>15.46</v>
      </c>
      <c r="DT947" t="s">
        <v>424</v>
      </c>
      <c r="DU947" s="1">
        <v>44372</v>
      </c>
      <c r="DV947" s="1">
        <v>44461</v>
      </c>
    </row>
    <row r="948" spans="1:126" ht="15" customHeight="1" x14ac:dyDescent="0.35">
      <c r="A948" t="s">
        <v>5758</v>
      </c>
      <c r="B948" t="s">
        <v>318</v>
      </c>
      <c r="C948" s="1">
        <v>44345</v>
      </c>
      <c r="D948" s="1">
        <v>44372</v>
      </c>
      <c r="H948" t="s">
        <v>319</v>
      </c>
      <c r="I948" t="s">
        <v>5759</v>
      </c>
      <c r="J948" t="s">
        <v>5760</v>
      </c>
      <c r="L948" t="s">
        <v>1205</v>
      </c>
      <c r="M948" t="s">
        <v>5761</v>
      </c>
      <c r="N948" t="s">
        <v>134</v>
      </c>
      <c r="O948" t="s">
        <v>4408</v>
      </c>
      <c r="P948" t="s">
        <v>194</v>
      </c>
      <c r="Q948" s="3">
        <v>34113</v>
      </c>
      <c r="R948" t="s">
        <v>128</v>
      </c>
      <c r="S948" t="s">
        <v>134</v>
      </c>
      <c r="T948" s="4">
        <v>12397932702</v>
      </c>
      <c r="V948" t="s">
        <v>5762</v>
      </c>
      <c r="W948" t="s">
        <v>5763</v>
      </c>
      <c r="X948" t="s">
        <v>134</v>
      </c>
      <c r="Y948" t="s">
        <v>5761</v>
      </c>
      <c r="Z948" t="s">
        <v>134</v>
      </c>
      <c r="AA948" t="s">
        <v>4408</v>
      </c>
      <c r="AB948" t="s">
        <v>195</v>
      </c>
      <c r="AC948" s="3" t="str">
        <f>"34113"</f>
        <v>34113</v>
      </c>
      <c r="AD948" t="s">
        <v>128</v>
      </c>
      <c r="AE948" t="s">
        <v>134</v>
      </c>
      <c r="AF948" s="4">
        <v>12397932702</v>
      </c>
      <c r="AH948" t="str">
        <f t="shared" ref="AH948:AH954" si="66">"713910"</f>
        <v>713910</v>
      </c>
      <c r="AI948" t="s">
        <v>130</v>
      </c>
      <c r="AJ948" t="s">
        <v>1386</v>
      </c>
      <c r="AK948" t="s">
        <v>1387</v>
      </c>
      <c r="AL948" t="s">
        <v>1036</v>
      </c>
      <c r="AM948" t="s">
        <v>1388</v>
      </c>
      <c r="AN948" t="s">
        <v>997</v>
      </c>
      <c r="AO948" t="s">
        <v>719</v>
      </c>
      <c r="AP948" t="s">
        <v>377</v>
      </c>
      <c r="AQ948" s="5">
        <v>1701</v>
      </c>
      <c r="AR948" t="s">
        <v>128</v>
      </c>
      <c r="AS948" t="s">
        <v>134</v>
      </c>
      <c r="AT948" s="4">
        <v>16179399444</v>
      </c>
      <c r="AV948" t="s">
        <v>1389</v>
      </c>
      <c r="AW948" t="s">
        <v>1390</v>
      </c>
      <c r="AX948" t="s">
        <v>131</v>
      </c>
      <c r="AY948" t="s">
        <v>131</v>
      </c>
      <c r="AZ948" t="s">
        <v>131</v>
      </c>
      <c r="BA948" t="s">
        <v>131</v>
      </c>
      <c r="BB948" t="s">
        <v>131</v>
      </c>
      <c r="BC948" t="s">
        <v>131</v>
      </c>
      <c r="BD948" t="s">
        <v>131</v>
      </c>
      <c r="BE948" t="s">
        <v>132</v>
      </c>
      <c r="BH948" t="s">
        <v>5764</v>
      </c>
      <c r="BI948" t="s">
        <v>131</v>
      </c>
      <c r="BL948" t="s">
        <v>167</v>
      </c>
      <c r="BO948" t="s">
        <v>131</v>
      </c>
      <c r="BP948" t="s">
        <v>134</v>
      </c>
      <c r="BQ948" t="s">
        <v>131</v>
      </c>
      <c r="BS948" t="str">
        <f t="shared" si="65"/>
        <v>N/A</v>
      </c>
      <c r="BT948" t="s">
        <v>135</v>
      </c>
      <c r="BU948">
        <v>12</v>
      </c>
      <c r="BV948" t="str">
        <f>"Line Cook"</f>
        <v>Line Cook</v>
      </c>
      <c r="BW948" t="s">
        <v>135</v>
      </c>
      <c r="BX948" t="str">
        <f>""</f>
        <v/>
      </c>
      <c r="BY948" t="str">
        <f>""</f>
        <v/>
      </c>
      <c r="BZ948" t="str">
        <f>""</f>
        <v/>
      </c>
      <c r="CA948" t="s">
        <v>5765</v>
      </c>
      <c r="CB948" t="s">
        <v>131</v>
      </c>
      <c r="CF948" t="s">
        <v>131</v>
      </c>
      <c r="CH948" t="str">
        <f>""</f>
        <v/>
      </c>
      <c r="CI948" t="s">
        <v>131</v>
      </c>
      <c r="CK948" t="s">
        <v>131</v>
      </c>
      <c r="CL948" t="str">
        <f>""</f>
        <v/>
      </c>
      <c r="CM948" t="str">
        <f>""</f>
        <v/>
      </c>
      <c r="CN948" t="str">
        <f>""</f>
        <v/>
      </c>
      <c r="CO948" t="str">
        <f>""</f>
        <v/>
      </c>
      <c r="CP948" t="str">
        <f>"35-2014.00"</f>
        <v>35-2014.00</v>
      </c>
      <c r="CQ948" t="s">
        <v>581</v>
      </c>
      <c r="CR948" t="s">
        <v>1745</v>
      </c>
      <c r="CS948" t="s">
        <v>131</v>
      </c>
      <c r="CU948" t="s">
        <v>5761</v>
      </c>
      <c r="CV948" t="s">
        <v>134</v>
      </c>
      <c r="CW948" t="s">
        <v>4408</v>
      </c>
      <c r="CX948" t="s">
        <v>195</v>
      </c>
      <c r="CZ948" s="3" t="str">
        <f>"34113"</f>
        <v>34113</v>
      </c>
      <c r="DA948" t="s">
        <v>131</v>
      </c>
      <c r="DB948" t="str">
        <f>"35-2014"</f>
        <v>35-2014</v>
      </c>
      <c r="DC948" t="s">
        <v>581</v>
      </c>
      <c r="DD948" t="s">
        <v>134</v>
      </c>
      <c r="DE948" t="s">
        <v>134</v>
      </c>
      <c r="DF948" t="str">
        <f>""</f>
        <v/>
      </c>
      <c r="DH948" s="6">
        <v>15.46</v>
      </c>
      <c r="DI948" t="s">
        <v>344</v>
      </c>
      <c r="DK948" t="s">
        <v>345</v>
      </c>
      <c r="DS948" s="6">
        <v>15.46</v>
      </c>
      <c r="DT948" t="s">
        <v>424</v>
      </c>
      <c r="DU948" s="1">
        <v>44372</v>
      </c>
      <c r="DV948" s="1">
        <v>44461</v>
      </c>
    </row>
    <row r="949" spans="1:126" ht="15" customHeight="1" x14ac:dyDescent="0.35">
      <c r="A949" t="s">
        <v>15999</v>
      </c>
      <c r="B949" t="s">
        <v>318</v>
      </c>
      <c r="C949" s="1">
        <v>44345</v>
      </c>
      <c r="D949" s="1">
        <v>44372</v>
      </c>
      <c r="H949" t="s">
        <v>319</v>
      </c>
      <c r="I949" t="s">
        <v>5759</v>
      </c>
      <c r="J949" t="s">
        <v>5760</v>
      </c>
      <c r="L949" t="s">
        <v>1205</v>
      </c>
      <c r="M949" t="s">
        <v>5761</v>
      </c>
      <c r="N949" t="s">
        <v>134</v>
      </c>
      <c r="O949" t="s">
        <v>4408</v>
      </c>
      <c r="P949" t="s">
        <v>194</v>
      </c>
      <c r="Q949" s="3">
        <v>34113</v>
      </c>
      <c r="R949" t="s">
        <v>128</v>
      </c>
      <c r="S949" t="s">
        <v>134</v>
      </c>
      <c r="T949" s="4">
        <v>12397932702</v>
      </c>
      <c r="V949" t="s">
        <v>5762</v>
      </c>
      <c r="W949" t="s">
        <v>5763</v>
      </c>
      <c r="X949" t="s">
        <v>134</v>
      </c>
      <c r="Y949" t="s">
        <v>5761</v>
      </c>
      <c r="Z949" t="s">
        <v>134</v>
      </c>
      <c r="AA949" t="s">
        <v>4408</v>
      </c>
      <c r="AB949" t="s">
        <v>195</v>
      </c>
      <c r="AC949" s="3" t="str">
        <f>"34113"</f>
        <v>34113</v>
      </c>
      <c r="AD949" t="s">
        <v>128</v>
      </c>
      <c r="AE949" t="s">
        <v>134</v>
      </c>
      <c r="AF949" s="4">
        <v>12397932702</v>
      </c>
      <c r="AH949" t="str">
        <f t="shared" si="66"/>
        <v>713910</v>
      </c>
      <c r="AI949" t="s">
        <v>130</v>
      </c>
      <c r="AJ949" t="s">
        <v>1386</v>
      </c>
      <c r="AK949" t="s">
        <v>1387</v>
      </c>
      <c r="AL949" t="s">
        <v>1036</v>
      </c>
      <c r="AM949" t="s">
        <v>1388</v>
      </c>
      <c r="AN949" t="s">
        <v>997</v>
      </c>
      <c r="AO949" t="s">
        <v>719</v>
      </c>
      <c r="AP949" t="s">
        <v>377</v>
      </c>
      <c r="AQ949" s="5">
        <v>1701</v>
      </c>
      <c r="AR949" t="s">
        <v>128</v>
      </c>
      <c r="AS949" t="s">
        <v>134</v>
      </c>
      <c r="AT949" s="4">
        <v>16179399444</v>
      </c>
      <c r="AV949" t="s">
        <v>1389</v>
      </c>
      <c r="AW949" t="s">
        <v>1390</v>
      </c>
      <c r="AX949" t="s">
        <v>131</v>
      </c>
      <c r="AY949" t="s">
        <v>131</v>
      </c>
      <c r="AZ949" t="s">
        <v>131</v>
      </c>
      <c r="BA949" t="s">
        <v>131</v>
      </c>
      <c r="BB949" t="s">
        <v>131</v>
      </c>
      <c r="BC949" t="s">
        <v>131</v>
      </c>
      <c r="BD949" t="s">
        <v>131</v>
      </c>
      <c r="BE949" t="s">
        <v>132</v>
      </c>
      <c r="BH949" t="s">
        <v>1213</v>
      </c>
      <c r="BI949" t="s">
        <v>131</v>
      </c>
      <c r="BL949" t="s">
        <v>167</v>
      </c>
      <c r="BO949" t="s">
        <v>131</v>
      </c>
      <c r="BP949" t="s">
        <v>134</v>
      </c>
      <c r="BQ949" t="s">
        <v>131</v>
      </c>
      <c r="BS949" t="str">
        <f t="shared" si="65"/>
        <v>N/A</v>
      </c>
      <c r="BT949" t="s">
        <v>135</v>
      </c>
      <c r="BU949">
        <v>6</v>
      </c>
      <c r="BV949" t="str">
        <f>"Server"</f>
        <v>Server</v>
      </c>
      <c r="BW949" t="s">
        <v>135</v>
      </c>
      <c r="BX949" t="str">
        <f>""</f>
        <v/>
      </c>
      <c r="BY949" t="str">
        <f>""</f>
        <v/>
      </c>
      <c r="BZ949" t="str">
        <f>""</f>
        <v/>
      </c>
      <c r="CA949" t="s">
        <v>16000</v>
      </c>
      <c r="CB949" t="s">
        <v>131</v>
      </c>
      <c r="CF949" t="s">
        <v>131</v>
      </c>
      <c r="CH949" t="str">
        <f>""</f>
        <v/>
      </c>
      <c r="CI949" t="s">
        <v>131</v>
      </c>
      <c r="CK949" t="s">
        <v>131</v>
      </c>
      <c r="CL949" t="str">
        <f>""</f>
        <v/>
      </c>
      <c r="CM949" t="str">
        <f>""</f>
        <v/>
      </c>
      <c r="CN949" t="str">
        <f>""</f>
        <v/>
      </c>
      <c r="CO949" t="str">
        <f>""</f>
        <v/>
      </c>
      <c r="CP949" t="str">
        <f>"35-3031.00"</f>
        <v>35-3031.00</v>
      </c>
      <c r="CQ949" t="s">
        <v>1214</v>
      </c>
      <c r="CR949" t="s">
        <v>9468</v>
      </c>
      <c r="CS949" t="s">
        <v>131</v>
      </c>
      <c r="CU949" t="s">
        <v>5761</v>
      </c>
      <c r="CV949" t="s">
        <v>134</v>
      </c>
      <c r="CW949" t="s">
        <v>4408</v>
      </c>
      <c r="CX949" t="s">
        <v>195</v>
      </c>
      <c r="CZ949" s="3" t="str">
        <f>"34113"</f>
        <v>34113</v>
      </c>
      <c r="DA949" t="s">
        <v>131</v>
      </c>
      <c r="DB949" t="str">
        <f>"35-3031"</f>
        <v>35-3031</v>
      </c>
      <c r="DC949" t="s">
        <v>1214</v>
      </c>
      <c r="DD949" t="s">
        <v>134</v>
      </c>
      <c r="DE949" t="s">
        <v>134</v>
      </c>
      <c r="DF949" t="str">
        <f>""</f>
        <v/>
      </c>
      <c r="DH949" s="6">
        <v>15.48</v>
      </c>
      <c r="DI949" t="s">
        <v>344</v>
      </c>
      <c r="DK949" t="s">
        <v>345</v>
      </c>
      <c r="DS949" s="6">
        <v>15.48</v>
      </c>
      <c r="DT949" t="s">
        <v>424</v>
      </c>
      <c r="DU949" s="1">
        <v>44372</v>
      </c>
      <c r="DV949" s="1">
        <v>44461</v>
      </c>
    </row>
    <row r="950" spans="1:126" ht="15" customHeight="1" x14ac:dyDescent="0.35">
      <c r="A950" t="s">
        <v>18497</v>
      </c>
      <c r="B950" t="s">
        <v>318</v>
      </c>
      <c r="C950" s="1">
        <v>44346</v>
      </c>
      <c r="D950" s="1">
        <v>44375</v>
      </c>
      <c r="H950" t="s">
        <v>319</v>
      </c>
      <c r="I950" t="s">
        <v>18498</v>
      </c>
      <c r="J950" t="s">
        <v>7352</v>
      </c>
      <c r="L950" t="s">
        <v>569</v>
      </c>
      <c r="M950" t="s">
        <v>18499</v>
      </c>
      <c r="O950" t="s">
        <v>4169</v>
      </c>
      <c r="P950" t="s">
        <v>194</v>
      </c>
      <c r="Q950" s="3">
        <v>33304</v>
      </c>
      <c r="R950" t="s">
        <v>128</v>
      </c>
      <c r="T950" s="4">
        <v>19545667886</v>
      </c>
      <c r="V950" t="s">
        <v>1021</v>
      </c>
      <c r="W950" t="s">
        <v>18500</v>
      </c>
      <c r="Y950" t="s">
        <v>18499</v>
      </c>
      <c r="AA950" t="s">
        <v>4169</v>
      </c>
      <c r="AB950" t="s">
        <v>195</v>
      </c>
      <c r="AC950" s="3" t="str">
        <f>"33304"</f>
        <v>33304</v>
      </c>
      <c r="AD950" t="s">
        <v>128</v>
      </c>
      <c r="AF950" s="4">
        <v>19545667886</v>
      </c>
      <c r="AH950" t="str">
        <f t="shared" si="66"/>
        <v>713910</v>
      </c>
      <c r="AI950" t="s">
        <v>287</v>
      </c>
      <c r="AJ950" t="s">
        <v>1024</v>
      </c>
      <c r="AK950" t="s">
        <v>1025</v>
      </c>
      <c r="AM950" t="s">
        <v>5064</v>
      </c>
      <c r="AO950" t="s">
        <v>5065</v>
      </c>
      <c r="AP950" t="s">
        <v>129</v>
      </c>
      <c r="AQ950" s="5">
        <v>11590</v>
      </c>
      <c r="AR950" t="s">
        <v>128</v>
      </c>
      <c r="AT950" s="4">
        <v>15163307168</v>
      </c>
      <c r="AV950" t="s">
        <v>1021</v>
      </c>
      <c r="AW950" t="s">
        <v>5066</v>
      </c>
      <c r="AX950" t="s">
        <v>131</v>
      </c>
      <c r="AY950" t="s">
        <v>131</v>
      </c>
      <c r="AZ950" t="s">
        <v>131</v>
      </c>
      <c r="BA950" t="s">
        <v>131</v>
      </c>
      <c r="BB950" t="s">
        <v>131</v>
      </c>
      <c r="BC950" t="s">
        <v>131</v>
      </c>
      <c r="BD950" t="s">
        <v>131</v>
      </c>
      <c r="BE950" t="s">
        <v>132</v>
      </c>
      <c r="BH950" t="s">
        <v>11936</v>
      </c>
      <c r="BI950" t="s">
        <v>131</v>
      </c>
      <c r="BL950" t="s">
        <v>167</v>
      </c>
      <c r="BO950" t="s">
        <v>131</v>
      </c>
      <c r="BP950" t="s">
        <v>134</v>
      </c>
      <c r="BQ950" t="s">
        <v>131</v>
      </c>
      <c r="BS950" t="str">
        <f t="shared" si="65"/>
        <v>N/A</v>
      </c>
      <c r="BT950" t="s">
        <v>131</v>
      </c>
      <c r="BV950" t="str">
        <f>""</f>
        <v/>
      </c>
      <c r="BW950" t="s">
        <v>131</v>
      </c>
      <c r="BX950" t="str">
        <f>""</f>
        <v/>
      </c>
      <c r="BY950" t="str">
        <f>""</f>
        <v/>
      </c>
      <c r="BZ950" t="str">
        <f>""</f>
        <v/>
      </c>
      <c r="CA950" t="str">
        <f>""</f>
        <v/>
      </c>
      <c r="CB950" t="s">
        <v>131</v>
      </c>
      <c r="CF950" t="s">
        <v>131</v>
      </c>
      <c r="CH950" t="str">
        <f>""</f>
        <v/>
      </c>
      <c r="CI950" t="s">
        <v>131</v>
      </c>
      <c r="CK950" t="s">
        <v>131</v>
      </c>
      <c r="CL950" t="str">
        <f>""</f>
        <v/>
      </c>
      <c r="CM950" t="str">
        <f>""</f>
        <v/>
      </c>
      <c r="CN950" t="str">
        <f>""</f>
        <v/>
      </c>
      <c r="CO950" t="str">
        <f>""</f>
        <v/>
      </c>
      <c r="CP950" t="str">
        <f>"35-3031.00"</f>
        <v>35-3031.00</v>
      </c>
      <c r="CQ950" t="s">
        <v>1214</v>
      </c>
      <c r="CR950" t="s">
        <v>569</v>
      </c>
      <c r="CS950" t="s">
        <v>131</v>
      </c>
      <c r="CU950" t="s">
        <v>18499</v>
      </c>
      <c r="CW950" t="s">
        <v>4169</v>
      </c>
      <c r="CX950" t="s">
        <v>195</v>
      </c>
      <c r="CZ950" s="3" t="str">
        <f>"33304"</f>
        <v>33304</v>
      </c>
      <c r="DA950" t="s">
        <v>131</v>
      </c>
      <c r="DB950" t="str">
        <f>"35-3031"</f>
        <v>35-3031</v>
      </c>
      <c r="DC950" t="s">
        <v>1214</v>
      </c>
      <c r="DD950" t="s">
        <v>134</v>
      </c>
      <c r="DE950" t="s">
        <v>134</v>
      </c>
      <c r="DF950" t="str">
        <f>""</f>
        <v/>
      </c>
      <c r="DH950" s="6">
        <v>12.55</v>
      </c>
      <c r="DI950" t="s">
        <v>344</v>
      </c>
      <c r="DK950" t="s">
        <v>345</v>
      </c>
      <c r="DR950" t="s">
        <v>2160</v>
      </c>
      <c r="DS950" s="6">
        <v>12.55</v>
      </c>
      <c r="DT950" t="s">
        <v>424</v>
      </c>
      <c r="DU950" s="1">
        <v>44375</v>
      </c>
      <c r="DV950" s="1">
        <v>44464</v>
      </c>
    </row>
    <row r="951" spans="1:126" ht="15" customHeight="1" x14ac:dyDescent="0.35">
      <c r="A951" t="s">
        <v>20001</v>
      </c>
      <c r="B951" t="s">
        <v>318</v>
      </c>
      <c r="C951" s="1">
        <v>44346</v>
      </c>
      <c r="D951" s="1">
        <v>44375</v>
      </c>
      <c r="H951" t="s">
        <v>319</v>
      </c>
      <c r="I951" t="s">
        <v>18498</v>
      </c>
      <c r="J951" t="s">
        <v>7352</v>
      </c>
      <c r="L951" t="s">
        <v>569</v>
      </c>
      <c r="M951" t="s">
        <v>18499</v>
      </c>
      <c r="O951" t="s">
        <v>4169</v>
      </c>
      <c r="P951" t="s">
        <v>194</v>
      </c>
      <c r="Q951" s="3">
        <v>33304</v>
      </c>
      <c r="R951" t="s">
        <v>128</v>
      </c>
      <c r="T951" s="4">
        <v>19545667886</v>
      </c>
      <c r="V951" t="s">
        <v>1021</v>
      </c>
      <c r="W951" t="s">
        <v>18500</v>
      </c>
      <c r="Y951" t="s">
        <v>18499</v>
      </c>
      <c r="AA951" t="s">
        <v>4169</v>
      </c>
      <c r="AB951" t="s">
        <v>195</v>
      </c>
      <c r="AC951" s="3" t="str">
        <f>"33304"</f>
        <v>33304</v>
      </c>
      <c r="AD951" t="s">
        <v>128</v>
      </c>
      <c r="AF951" s="4">
        <v>19545667886</v>
      </c>
      <c r="AH951" t="str">
        <f t="shared" si="66"/>
        <v>713910</v>
      </c>
      <c r="AI951" t="s">
        <v>287</v>
      </c>
      <c r="AJ951" t="s">
        <v>1024</v>
      </c>
      <c r="AK951" t="s">
        <v>1025</v>
      </c>
      <c r="AM951" t="s">
        <v>5064</v>
      </c>
      <c r="AO951" t="s">
        <v>5065</v>
      </c>
      <c r="AP951" t="s">
        <v>129</v>
      </c>
      <c r="AQ951" s="5">
        <v>11590</v>
      </c>
      <c r="AR951" t="s">
        <v>128</v>
      </c>
      <c r="AT951" s="4">
        <v>15163307168</v>
      </c>
      <c r="AV951" t="s">
        <v>1021</v>
      </c>
      <c r="AW951" t="s">
        <v>5066</v>
      </c>
      <c r="AX951" t="s">
        <v>131</v>
      </c>
      <c r="AY951" t="s">
        <v>131</v>
      </c>
      <c r="AZ951" t="s">
        <v>131</v>
      </c>
      <c r="BA951" t="s">
        <v>131</v>
      </c>
      <c r="BB951" t="s">
        <v>131</v>
      </c>
      <c r="BC951" t="s">
        <v>131</v>
      </c>
      <c r="BD951" t="s">
        <v>131</v>
      </c>
      <c r="BE951" t="s">
        <v>132</v>
      </c>
      <c r="BH951" t="s">
        <v>8389</v>
      </c>
      <c r="BI951" t="s">
        <v>131</v>
      </c>
      <c r="BL951" t="s">
        <v>167</v>
      </c>
      <c r="BO951" t="s">
        <v>131</v>
      </c>
      <c r="BP951" t="s">
        <v>134</v>
      </c>
      <c r="BQ951" t="s">
        <v>131</v>
      </c>
      <c r="BS951" t="str">
        <f t="shared" si="65"/>
        <v>N/A</v>
      </c>
      <c r="BT951" t="s">
        <v>131</v>
      </c>
      <c r="BV951" t="str">
        <f>""</f>
        <v/>
      </c>
      <c r="BW951" t="s">
        <v>131</v>
      </c>
      <c r="BX951" t="str">
        <f>""</f>
        <v/>
      </c>
      <c r="BY951" t="str">
        <f>""</f>
        <v/>
      </c>
      <c r="BZ951" t="str">
        <f>""</f>
        <v/>
      </c>
      <c r="CA951" t="str">
        <f>""</f>
        <v/>
      </c>
      <c r="CB951" t="s">
        <v>131</v>
      </c>
      <c r="CF951" t="s">
        <v>131</v>
      </c>
      <c r="CH951" t="str">
        <f>""</f>
        <v/>
      </c>
      <c r="CI951" t="s">
        <v>131</v>
      </c>
      <c r="CK951" t="s">
        <v>131</v>
      </c>
      <c r="CL951" t="str">
        <f>""</f>
        <v/>
      </c>
      <c r="CM951" t="str">
        <f>""</f>
        <v/>
      </c>
      <c r="CN951" t="str">
        <f>""</f>
        <v/>
      </c>
      <c r="CO951" t="str">
        <f>""</f>
        <v/>
      </c>
      <c r="CP951" t="str">
        <f>"35-2014.00"</f>
        <v>35-2014.00</v>
      </c>
      <c r="CQ951" t="s">
        <v>581</v>
      </c>
      <c r="CR951" t="s">
        <v>6219</v>
      </c>
      <c r="CS951" t="s">
        <v>131</v>
      </c>
      <c r="CU951" t="s">
        <v>18499</v>
      </c>
      <c r="CW951" t="s">
        <v>4169</v>
      </c>
      <c r="CX951" t="s">
        <v>195</v>
      </c>
      <c r="CZ951" s="3" t="str">
        <f>"33304"</f>
        <v>33304</v>
      </c>
      <c r="DA951" t="s">
        <v>131</v>
      </c>
      <c r="DB951" t="str">
        <f>"35-2014"</f>
        <v>35-2014</v>
      </c>
      <c r="DC951" t="s">
        <v>581</v>
      </c>
      <c r="DD951" t="s">
        <v>134</v>
      </c>
      <c r="DE951" t="s">
        <v>134</v>
      </c>
      <c r="DF951" t="str">
        <f>""</f>
        <v/>
      </c>
      <c r="DH951" s="6">
        <v>14.63</v>
      </c>
      <c r="DI951" t="s">
        <v>344</v>
      </c>
      <c r="DK951" t="s">
        <v>345</v>
      </c>
      <c r="DR951" t="s">
        <v>2160</v>
      </c>
      <c r="DS951" s="6">
        <v>14.63</v>
      </c>
      <c r="DT951" t="s">
        <v>424</v>
      </c>
      <c r="DU951" s="1">
        <v>44375</v>
      </c>
      <c r="DV951" s="1">
        <v>44464</v>
      </c>
    </row>
    <row r="952" spans="1:126" ht="15" customHeight="1" x14ac:dyDescent="0.35">
      <c r="A952" t="s">
        <v>19999</v>
      </c>
      <c r="B952" t="s">
        <v>318</v>
      </c>
      <c r="C952" s="1">
        <v>44346</v>
      </c>
      <c r="D952" s="1">
        <v>44375</v>
      </c>
      <c r="H952" t="s">
        <v>319</v>
      </c>
      <c r="I952" t="s">
        <v>16200</v>
      </c>
      <c r="J952" t="s">
        <v>6686</v>
      </c>
      <c r="L952" t="s">
        <v>569</v>
      </c>
      <c r="M952" t="s">
        <v>16201</v>
      </c>
      <c r="O952" t="s">
        <v>5674</v>
      </c>
      <c r="P952" t="s">
        <v>194</v>
      </c>
      <c r="Q952" s="3">
        <v>34113</v>
      </c>
      <c r="R952" t="s">
        <v>128</v>
      </c>
      <c r="T952" s="4">
        <v>12628942752</v>
      </c>
      <c r="V952" t="s">
        <v>1021</v>
      </c>
      <c r="W952" t="s">
        <v>16202</v>
      </c>
      <c r="Y952" t="s">
        <v>16201</v>
      </c>
      <c r="AA952" t="s">
        <v>5674</v>
      </c>
      <c r="AB952" t="s">
        <v>195</v>
      </c>
      <c r="AC952" s="3" t="str">
        <f>"34113"</f>
        <v>34113</v>
      </c>
      <c r="AD952" t="s">
        <v>128</v>
      </c>
      <c r="AF952" s="4">
        <v>12628942752</v>
      </c>
      <c r="AH952" t="str">
        <f t="shared" si="66"/>
        <v>713910</v>
      </c>
      <c r="AI952" t="s">
        <v>287</v>
      </c>
      <c r="AJ952" t="s">
        <v>14598</v>
      </c>
      <c r="AK952" t="s">
        <v>1060</v>
      </c>
      <c r="AM952" t="s">
        <v>5064</v>
      </c>
      <c r="AO952" t="s">
        <v>5065</v>
      </c>
      <c r="AP952" t="s">
        <v>129</v>
      </c>
      <c r="AQ952" s="5">
        <v>11590</v>
      </c>
      <c r="AR952" t="s">
        <v>128</v>
      </c>
      <c r="AT952" s="4">
        <v>15163307168</v>
      </c>
      <c r="AV952" t="s">
        <v>1021</v>
      </c>
      <c r="AW952" t="s">
        <v>5066</v>
      </c>
      <c r="AX952" t="s">
        <v>131</v>
      </c>
      <c r="AY952" t="s">
        <v>131</v>
      </c>
      <c r="AZ952" t="s">
        <v>131</v>
      </c>
      <c r="BA952" t="s">
        <v>131</v>
      </c>
      <c r="BB952" t="s">
        <v>131</v>
      </c>
      <c r="BC952" t="s">
        <v>131</v>
      </c>
      <c r="BD952" t="s">
        <v>131</v>
      </c>
      <c r="BE952" t="s">
        <v>132</v>
      </c>
      <c r="BH952" t="s">
        <v>11936</v>
      </c>
      <c r="BI952" t="s">
        <v>131</v>
      </c>
      <c r="BL952" t="s">
        <v>167</v>
      </c>
      <c r="BO952" t="s">
        <v>131</v>
      </c>
      <c r="BP952" t="s">
        <v>134</v>
      </c>
      <c r="BQ952" t="s">
        <v>131</v>
      </c>
      <c r="BS952" t="str">
        <f t="shared" si="65"/>
        <v>N/A</v>
      </c>
      <c r="BT952" t="s">
        <v>131</v>
      </c>
      <c r="BV952" t="str">
        <f>""</f>
        <v/>
      </c>
      <c r="BW952" t="s">
        <v>131</v>
      </c>
      <c r="BX952" t="str">
        <f>""</f>
        <v/>
      </c>
      <c r="BY952" t="str">
        <f>""</f>
        <v/>
      </c>
      <c r="BZ952" t="str">
        <f>""</f>
        <v/>
      </c>
      <c r="CA952" t="str">
        <f>""</f>
        <v/>
      </c>
      <c r="CB952" t="s">
        <v>131</v>
      </c>
      <c r="CF952" t="s">
        <v>131</v>
      </c>
      <c r="CH952" t="str">
        <f>""</f>
        <v/>
      </c>
      <c r="CI952" t="s">
        <v>131</v>
      </c>
      <c r="CK952" t="s">
        <v>131</v>
      </c>
      <c r="CL952" t="str">
        <f>""</f>
        <v/>
      </c>
      <c r="CM952" t="str">
        <f>""</f>
        <v/>
      </c>
      <c r="CN952" t="str">
        <f>""</f>
        <v/>
      </c>
      <c r="CO952" t="str">
        <f>""</f>
        <v/>
      </c>
      <c r="CP952" t="str">
        <f>"35-3031.00"</f>
        <v>35-3031.00</v>
      </c>
      <c r="CQ952" t="s">
        <v>1214</v>
      </c>
      <c r="CR952" t="s">
        <v>569</v>
      </c>
      <c r="CS952" t="s">
        <v>131</v>
      </c>
      <c r="CU952" t="s">
        <v>16201</v>
      </c>
      <c r="CW952" t="s">
        <v>5674</v>
      </c>
      <c r="CX952" t="s">
        <v>195</v>
      </c>
      <c r="CZ952" s="3" t="str">
        <f>"34113"</f>
        <v>34113</v>
      </c>
      <c r="DA952" t="s">
        <v>131</v>
      </c>
      <c r="DB952" t="str">
        <f>"35-3031"</f>
        <v>35-3031</v>
      </c>
      <c r="DC952" t="s">
        <v>1214</v>
      </c>
      <c r="DD952" t="s">
        <v>134</v>
      </c>
      <c r="DE952" t="s">
        <v>134</v>
      </c>
      <c r="DF952" t="str">
        <f>""</f>
        <v/>
      </c>
      <c r="DH952" s="6">
        <v>15.48</v>
      </c>
      <c r="DI952" t="s">
        <v>344</v>
      </c>
      <c r="DK952" t="s">
        <v>345</v>
      </c>
      <c r="DR952" t="s">
        <v>5543</v>
      </c>
      <c r="DS952" s="6">
        <v>15.48</v>
      </c>
      <c r="DT952" t="s">
        <v>424</v>
      </c>
      <c r="DU952" s="1">
        <v>44375</v>
      </c>
      <c r="DV952" s="1">
        <v>44464</v>
      </c>
    </row>
    <row r="953" spans="1:126" ht="15" customHeight="1" x14ac:dyDescent="0.35">
      <c r="A953" t="s">
        <v>16199</v>
      </c>
      <c r="B953" t="s">
        <v>318</v>
      </c>
      <c r="C953" s="1">
        <v>44346</v>
      </c>
      <c r="D953" s="1">
        <v>44375</v>
      </c>
      <c r="H953" t="s">
        <v>319</v>
      </c>
      <c r="I953" t="s">
        <v>16200</v>
      </c>
      <c r="J953" t="s">
        <v>6686</v>
      </c>
      <c r="L953" t="s">
        <v>569</v>
      </c>
      <c r="M953" t="s">
        <v>16201</v>
      </c>
      <c r="O953" t="s">
        <v>5674</v>
      </c>
      <c r="P953" t="s">
        <v>194</v>
      </c>
      <c r="Q953" s="3">
        <v>34113</v>
      </c>
      <c r="R953" t="s">
        <v>128</v>
      </c>
      <c r="T953" s="4">
        <v>12628942752</v>
      </c>
      <c r="V953" t="s">
        <v>1021</v>
      </c>
      <c r="W953" t="s">
        <v>16202</v>
      </c>
      <c r="Y953" t="s">
        <v>16201</v>
      </c>
      <c r="AA953" t="s">
        <v>5674</v>
      </c>
      <c r="AB953" t="s">
        <v>195</v>
      </c>
      <c r="AC953" s="3" t="str">
        <f>"34113"</f>
        <v>34113</v>
      </c>
      <c r="AD953" t="s">
        <v>128</v>
      </c>
      <c r="AF953" s="4">
        <v>12628942752</v>
      </c>
      <c r="AH953" t="str">
        <f t="shared" si="66"/>
        <v>713910</v>
      </c>
      <c r="AI953" t="s">
        <v>287</v>
      </c>
      <c r="AJ953" t="s">
        <v>1024</v>
      </c>
      <c r="AK953" t="s">
        <v>1025</v>
      </c>
      <c r="AM953" t="s">
        <v>5064</v>
      </c>
      <c r="AO953" t="s">
        <v>5065</v>
      </c>
      <c r="AP953" t="s">
        <v>129</v>
      </c>
      <c r="AQ953" s="5">
        <v>11590</v>
      </c>
      <c r="AR953" t="s">
        <v>128</v>
      </c>
      <c r="AT953" s="4">
        <v>15163307168</v>
      </c>
      <c r="AV953" t="s">
        <v>1021</v>
      </c>
      <c r="AW953" t="s">
        <v>5066</v>
      </c>
      <c r="AX953" t="s">
        <v>131</v>
      </c>
      <c r="AY953" t="s">
        <v>131</v>
      </c>
      <c r="AZ953" t="s">
        <v>131</v>
      </c>
      <c r="BA953" t="s">
        <v>131</v>
      </c>
      <c r="BB953" t="s">
        <v>131</v>
      </c>
      <c r="BC953" t="s">
        <v>131</v>
      </c>
      <c r="BD953" t="s">
        <v>131</v>
      </c>
      <c r="BE953" t="s">
        <v>132</v>
      </c>
      <c r="BH953" t="s">
        <v>3930</v>
      </c>
      <c r="BI953" t="s">
        <v>131</v>
      </c>
      <c r="BL953" t="s">
        <v>167</v>
      </c>
      <c r="BO953" t="s">
        <v>131</v>
      </c>
      <c r="BP953" t="s">
        <v>134</v>
      </c>
      <c r="BQ953" t="s">
        <v>131</v>
      </c>
      <c r="BS953" t="str">
        <f t="shared" si="65"/>
        <v>N/A</v>
      </c>
      <c r="BT953" t="s">
        <v>131</v>
      </c>
      <c r="BV953" t="str">
        <f>""</f>
        <v/>
      </c>
      <c r="BW953" t="s">
        <v>131</v>
      </c>
      <c r="BX953" t="str">
        <f>""</f>
        <v/>
      </c>
      <c r="BY953" t="str">
        <f>""</f>
        <v/>
      </c>
      <c r="BZ953" t="str">
        <f>""</f>
        <v/>
      </c>
      <c r="CA953" t="str">
        <f>""</f>
        <v/>
      </c>
      <c r="CB953" t="s">
        <v>131</v>
      </c>
      <c r="CF953" t="s">
        <v>131</v>
      </c>
      <c r="CH953" t="str">
        <f>""</f>
        <v/>
      </c>
      <c r="CI953" t="s">
        <v>131</v>
      </c>
      <c r="CK953" t="s">
        <v>131</v>
      </c>
      <c r="CL953" t="str">
        <f>""</f>
        <v/>
      </c>
      <c r="CM953" t="str">
        <f>""</f>
        <v/>
      </c>
      <c r="CN953" t="str">
        <f>""</f>
        <v/>
      </c>
      <c r="CO953" t="str">
        <f>""</f>
        <v/>
      </c>
      <c r="CP953" t="str">
        <f>"35-2014.00"</f>
        <v>35-2014.00</v>
      </c>
      <c r="CQ953" t="s">
        <v>581</v>
      </c>
      <c r="CR953" t="s">
        <v>6219</v>
      </c>
      <c r="CS953" t="s">
        <v>131</v>
      </c>
      <c r="CU953" t="s">
        <v>16201</v>
      </c>
      <c r="CW953" t="s">
        <v>5674</v>
      </c>
      <c r="CX953" t="s">
        <v>195</v>
      </c>
      <c r="CZ953" s="3" t="str">
        <f>"34113"</f>
        <v>34113</v>
      </c>
      <c r="DA953" t="s">
        <v>131</v>
      </c>
      <c r="DB953" t="str">
        <f>"35-2014"</f>
        <v>35-2014</v>
      </c>
      <c r="DC953" t="s">
        <v>581</v>
      </c>
      <c r="DD953" t="s">
        <v>134</v>
      </c>
      <c r="DE953" t="s">
        <v>134</v>
      </c>
      <c r="DF953" t="str">
        <f>""</f>
        <v/>
      </c>
      <c r="DH953" s="6">
        <v>15.46</v>
      </c>
      <c r="DI953" t="s">
        <v>344</v>
      </c>
      <c r="DK953" t="s">
        <v>345</v>
      </c>
      <c r="DR953" t="s">
        <v>5543</v>
      </c>
      <c r="DS953" s="6">
        <v>15.46</v>
      </c>
      <c r="DT953" t="s">
        <v>424</v>
      </c>
      <c r="DU953" s="1">
        <v>44375</v>
      </c>
      <c r="DV953" s="1">
        <v>44464</v>
      </c>
    </row>
    <row r="954" spans="1:126" ht="15" customHeight="1" x14ac:dyDescent="0.35">
      <c r="A954" t="s">
        <v>18933</v>
      </c>
      <c r="B954" t="s">
        <v>318</v>
      </c>
      <c r="C954" s="1">
        <v>44346</v>
      </c>
      <c r="D954" s="1">
        <v>44375</v>
      </c>
      <c r="H954" t="s">
        <v>319</v>
      </c>
      <c r="I954" t="s">
        <v>18934</v>
      </c>
      <c r="J954" t="s">
        <v>1025</v>
      </c>
      <c r="L954" t="s">
        <v>569</v>
      </c>
      <c r="M954" t="s">
        <v>18935</v>
      </c>
      <c r="O954" t="s">
        <v>4945</v>
      </c>
      <c r="P954" t="s">
        <v>194</v>
      </c>
      <c r="Q954" s="3">
        <v>33498</v>
      </c>
      <c r="R954" t="s">
        <v>128</v>
      </c>
      <c r="T954" s="4">
        <v>15614880800</v>
      </c>
      <c r="V954" t="s">
        <v>1021</v>
      </c>
      <c r="W954" t="s">
        <v>18936</v>
      </c>
      <c r="X954" t="s">
        <v>18936</v>
      </c>
      <c r="Y954" t="s">
        <v>18935</v>
      </c>
      <c r="AA954" t="s">
        <v>4945</v>
      </c>
      <c r="AB954" t="s">
        <v>195</v>
      </c>
      <c r="AC954" s="3" t="str">
        <f>"33498"</f>
        <v>33498</v>
      </c>
      <c r="AD954" t="s">
        <v>128</v>
      </c>
      <c r="AF954" s="4">
        <v>15614880800</v>
      </c>
      <c r="AH954" t="str">
        <f t="shared" si="66"/>
        <v>713910</v>
      </c>
      <c r="AI954" t="s">
        <v>287</v>
      </c>
      <c r="AJ954" t="s">
        <v>14598</v>
      </c>
      <c r="AK954" t="s">
        <v>1060</v>
      </c>
      <c r="AM954" t="s">
        <v>5064</v>
      </c>
      <c r="AO954" t="s">
        <v>5065</v>
      </c>
      <c r="AP954" t="s">
        <v>129</v>
      </c>
      <c r="AQ954" s="5">
        <v>11590</v>
      </c>
      <c r="AR954" t="s">
        <v>128</v>
      </c>
      <c r="AT954" s="4">
        <v>15163307168</v>
      </c>
      <c r="AV954" t="s">
        <v>1021</v>
      </c>
      <c r="AW954" t="s">
        <v>5066</v>
      </c>
      <c r="AX954" t="s">
        <v>131</v>
      </c>
      <c r="AY954" t="s">
        <v>131</v>
      </c>
      <c r="AZ954" t="s">
        <v>131</v>
      </c>
      <c r="BA954" t="s">
        <v>131</v>
      </c>
      <c r="BB954" t="s">
        <v>131</v>
      </c>
      <c r="BC954" t="s">
        <v>131</v>
      </c>
      <c r="BD954" t="s">
        <v>131</v>
      </c>
      <c r="BE954" t="s">
        <v>132</v>
      </c>
      <c r="BH954" t="s">
        <v>11936</v>
      </c>
      <c r="BI954" t="s">
        <v>131</v>
      </c>
      <c r="BL954" t="s">
        <v>167</v>
      </c>
      <c r="BO954" t="s">
        <v>131</v>
      </c>
      <c r="BP954" t="s">
        <v>134</v>
      </c>
      <c r="BQ954" t="s">
        <v>131</v>
      </c>
      <c r="BS954" t="str">
        <f t="shared" si="65"/>
        <v>N/A</v>
      </c>
      <c r="BT954" t="s">
        <v>131</v>
      </c>
      <c r="BV954" t="str">
        <f>""</f>
        <v/>
      </c>
      <c r="BW954" t="s">
        <v>131</v>
      </c>
      <c r="BX954" t="str">
        <f>""</f>
        <v/>
      </c>
      <c r="BY954" t="str">
        <f>""</f>
        <v/>
      </c>
      <c r="BZ954" t="str">
        <f>""</f>
        <v/>
      </c>
      <c r="CA954" t="str">
        <f>""</f>
        <v/>
      </c>
      <c r="CB954" t="s">
        <v>131</v>
      </c>
      <c r="CF954" t="s">
        <v>131</v>
      </c>
      <c r="CH954" t="str">
        <f>""</f>
        <v/>
      </c>
      <c r="CI954" t="s">
        <v>131</v>
      </c>
      <c r="CK954" t="s">
        <v>131</v>
      </c>
      <c r="CL954" t="str">
        <f>""</f>
        <v/>
      </c>
      <c r="CM954" t="str">
        <f>""</f>
        <v/>
      </c>
      <c r="CN954" t="str">
        <f>""</f>
        <v/>
      </c>
      <c r="CO954" t="str">
        <f>""</f>
        <v/>
      </c>
      <c r="CP954" t="str">
        <f>"35-3031.00"</f>
        <v>35-3031.00</v>
      </c>
      <c r="CQ954" t="s">
        <v>1214</v>
      </c>
      <c r="CR954" t="s">
        <v>392</v>
      </c>
      <c r="CS954" t="s">
        <v>131</v>
      </c>
      <c r="CU954" t="s">
        <v>18935</v>
      </c>
      <c r="CW954" t="s">
        <v>4945</v>
      </c>
      <c r="CX954" t="s">
        <v>195</v>
      </c>
      <c r="CZ954" s="3" t="str">
        <f>"33498"</f>
        <v>33498</v>
      </c>
      <c r="DA954" t="s">
        <v>131</v>
      </c>
      <c r="DB954" t="str">
        <f>"35-3031"</f>
        <v>35-3031</v>
      </c>
      <c r="DC954" t="s">
        <v>1214</v>
      </c>
      <c r="DD954" t="s">
        <v>134</v>
      </c>
      <c r="DE954" t="s">
        <v>134</v>
      </c>
      <c r="DF954" t="str">
        <f>""</f>
        <v/>
      </c>
      <c r="DH954" s="6">
        <v>12.55</v>
      </c>
      <c r="DI954" t="s">
        <v>344</v>
      </c>
      <c r="DK954" t="s">
        <v>345</v>
      </c>
      <c r="DR954" t="s">
        <v>2160</v>
      </c>
      <c r="DS954" s="6">
        <v>12.55</v>
      </c>
      <c r="DT954" t="s">
        <v>424</v>
      </c>
      <c r="DU954" s="1">
        <v>44375</v>
      </c>
      <c r="DV954" s="1">
        <v>44464</v>
      </c>
    </row>
    <row r="955" spans="1:126" ht="15" customHeight="1" x14ac:dyDescent="0.35">
      <c r="A955" t="s">
        <v>13034</v>
      </c>
      <c r="B955" t="s">
        <v>318</v>
      </c>
      <c r="C955" s="1">
        <v>44346</v>
      </c>
      <c r="D955" s="1">
        <v>44375</v>
      </c>
      <c r="H955" t="s">
        <v>319</v>
      </c>
      <c r="I955" t="s">
        <v>11028</v>
      </c>
      <c r="J955" t="s">
        <v>11029</v>
      </c>
      <c r="L955" t="s">
        <v>223</v>
      </c>
      <c r="M955" t="s">
        <v>13035</v>
      </c>
      <c r="N955" t="s">
        <v>11031</v>
      </c>
      <c r="O955" t="s">
        <v>9844</v>
      </c>
      <c r="P955" t="s">
        <v>194</v>
      </c>
      <c r="Q955" s="3">
        <v>32408</v>
      </c>
      <c r="R955" t="s">
        <v>128</v>
      </c>
      <c r="T955" s="4">
        <v>17863285408</v>
      </c>
      <c r="V955" t="s">
        <v>1211</v>
      </c>
      <c r="W955" t="s">
        <v>11366</v>
      </c>
      <c r="Y955" t="s">
        <v>11030</v>
      </c>
      <c r="Z955" t="s">
        <v>11031</v>
      </c>
      <c r="AA955" t="s">
        <v>9844</v>
      </c>
      <c r="AB955" t="s">
        <v>195</v>
      </c>
      <c r="AC955" s="3" t="str">
        <f t="shared" ref="AC955:AC965" si="67">"32408"</f>
        <v>32408</v>
      </c>
      <c r="AD955" t="s">
        <v>128</v>
      </c>
      <c r="AF955" s="4">
        <v>17863285408</v>
      </c>
      <c r="AH955" t="str">
        <f t="shared" ref="AH955:AH965" si="68">"56172"</f>
        <v>56172</v>
      </c>
      <c r="AI955" t="s">
        <v>167</v>
      </c>
      <c r="AX955" t="s">
        <v>131</v>
      </c>
      <c r="AY955" t="s">
        <v>131</v>
      </c>
      <c r="AZ955" t="s">
        <v>131</v>
      </c>
      <c r="BA955" t="s">
        <v>131</v>
      </c>
      <c r="BB955" t="s">
        <v>131</v>
      </c>
      <c r="BC955" t="s">
        <v>131</v>
      </c>
      <c r="BD955" t="s">
        <v>131</v>
      </c>
      <c r="BE955" t="s">
        <v>132</v>
      </c>
      <c r="BH955" t="s">
        <v>4277</v>
      </c>
      <c r="BI955" t="s">
        <v>131</v>
      </c>
      <c r="BL955" t="s">
        <v>167</v>
      </c>
      <c r="BO955" t="s">
        <v>131</v>
      </c>
      <c r="BP955" t="s">
        <v>134</v>
      </c>
      <c r="BQ955" t="s">
        <v>131</v>
      </c>
      <c r="BS955" t="str">
        <f t="shared" si="65"/>
        <v>N/A</v>
      </c>
      <c r="BT955" t="s">
        <v>135</v>
      </c>
      <c r="BU955">
        <v>1</v>
      </c>
      <c r="BV955" t="str">
        <f>"HOUSEKEEPER/HOUSEMAN/ROOM ATTENDANT"</f>
        <v>HOUSEKEEPER/HOUSEMAN/ROOM ATTENDANT</v>
      </c>
      <c r="BW955" t="s">
        <v>131</v>
      </c>
      <c r="BX955" t="str">
        <f>""</f>
        <v/>
      </c>
      <c r="BY955" t="str">
        <f>""</f>
        <v/>
      </c>
      <c r="BZ955" t="str">
        <f>""</f>
        <v/>
      </c>
      <c r="CA955" t="str">
        <f>""</f>
        <v/>
      </c>
      <c r="CB955" t="s">
        <v>131</v>
      </c>
      <c r="CF955" t="s">
        <v>131</v>
      </c>
      <c r="CH955" t="str">
        <f>""</f>
        <v/>
      </c>
      <c r="CI955" t="s">
        <v>131</v>
      </c>
      <c r="CK955" t="s">
        <v>131</v>
      </c>
      <c r="CL955" t="str">
        <f>""</f>
        <v/>
      </c>
      <c r="CM955" t="str">
        <f>""</f>
        <v/>
      </c>
      <c r="CN955" t="str">
        <f>""</f>
        <v/>
      </c>
      <c r="CO955" t="str">
        <f>""</f>
        <v/>
      </c>
      <c r="CP955" t="str">
        <f t="shared" ref="CP955:CP965" si="69">"37-2012.00"</f>
        <v>37-2012.00</v>
      </c>
      <c r="CQ955" t="s">
        <v>479</v>
      </c>
      <c r="CR955" t="s">
        <v>4277</v>
      </c>
      <c r="CS955" t="s">
        <v>131</v>
      </c>
      <c r="CU955" t="s">
        <v>13036</v>
      </c>
      <c r="CW955" t="s">
        <v>13037</v>
      </c>
      <c r="CX955" t="s">
        <v>195</v>
      </c>
      <c r="CZ955" s="3" t="str">
        <f>"34228"</f>
        <v>34228</v>
      </c>
      <c r="DA955" t="s">
        <v>135</v>
      </c>
      <c r="DB955" t="str">
        <f t="shared" ref="DB955:DB965" si="70">"37-2012"</f>
        <v>37-2012</v>
      </c>
      <c r="DC955" t="s">
        <v>479</v>
      </c>
      <c r="DD955" t="s">
        <v>134</v>
      </c>
      <c r="DE955" t="s">
        <v>134</v>
      </c>
      <c r="DF955" t="str">
        <f>""</f>
        <v/>
      </c>
      <c r="DH955" s="6">
        <v>12.8</v>
      </c>
      <c r="DI955" t="s">
        <v>344</v>
      </c>
      <c r="DK955" t="s">
        <v>345</v>
      </c>
      <c r="DR955" t="s">
        <v>13038</v>
      </c>
      <c r="DS955" s="6">
        <v>12.8</v>
      </c>
      <c r="DT955" t="s">
        <v>424</v>
      </c>
      <c r="DU955" s="1">
        <v>44375</v>
      </c>
      <c r="DV955" s="1">
        <v>44464</v>
      </c>
    </row>
    <row r="956" spans="1:126" ht="15" customHeight="1" x14ac:dyDescent="0.35">
      <c r="A956" t="s">
        <v>19300</v>
      </c>
      <c r="B956" t="s">
        <v>318</v>
      </c>
      <c r="C956" s="1">
        <v>44346</v>
      </c>
      <c r="D956" s="1">
        <v>44375</v>
      </c>
      <c r="H956" t="s">
        <v>319</v>
      </c>
      <c r="I956" t="s">
        <v>11028</v>
      </c>
      <c r="J956" t="s">
        <v>11029</v>
      </c>
      <c r="L956" t="s">
        <v>223</v>
      </c>
      <c r="M956" t="s">
        <v>11030</v>
      </c>
      <c r="N956" t="s">
        <v>11031</v>
      </c>
      <c r="O956" t="s">
        <v>9844</v>
      </c>
      <c r="P956" t="s">
        <v>194</v>
      </c>
      <c r="Q956" s="3">
        <v>32408</v>
      </c>
      <c r="R956" t="s">
        <v>128</v>
      </c>
      <c r="T956" s="4">
        <v>17863485408</v>
      </c>
      <c r="V956" t="s">
        <v>7174</v>
      </c>
      <c r="W956" t="s">
        <v>11366</v>
      </c>
      <c r="Y956" t="s">
        <v>11030</v>
      </c>
      <c r="Z956" t="s">
        <v>11031</v>
      </c>
      <c r="AA956" t="s">
        <v>9844</v>
      </c>
      <c r="AB956" t="s">
        <v>195</v>
      </c>
      <c r="AC956" s="3" t="str">
        <f t="shared" si="67"/>
        <v>32408</v>
      </c>
      <c r="AD956" t="s">
        <v>128</v>
      </c>
      <c r="AF956" s="4">
        <v>17863485408</v>
      </c>
      <c r="AH956" t="str">
        <f t="shared" si="68"/>
        <v>56172</v>
      </c>
      <c r="AI956" t="s">
        <v>167</v>
      </c>
      <c r="AX956" t="s">
        <v>131</v>
      </c>
      <c r="AY956" t="s">
        <v>131</v>
      </c>
      <c r="AZ956" t="s">
        <v>131</v>
      </c>
      <c r="BA956" t="s">
        <v>131</v>
      </c>
      <c r="BB956" t="s">
        <v>131</v>
      </c>
      <c r="BC956" t="s">
        <v>131</v>
      </c>
      <c r="BD956" t="s">
        <v>131</v>
      </c>
      <c r="BE956" t="s">
        <v>132</v>
      </c>
      <c r="BH956" t="s">
        <v>4277</v>
      </c>
      <c r="BI956" t="s">
        <v>131</v>
      </c>
      <c r="BL956" t="s">
        <v>167</v>
      </c>
      <c r="BO956" t="s">
        <v>131</v>
      </c>
      <c r="BP956" t="s">
        <v>134</v>
      </c>
      <c r="BQ956" t="s">
        <v>131</v>
      </c>
      <c r="BS956" t="str">
        <f t="shared" si="65"/>
        <v>N/A</v>
      </c>
      <c r="BT956" t="s">
        <v>135</v>
      </c>
      <c r="BU956">
        <v>1</v>
      </c>
      <c r="BV956" t="str">
        <f>"HOUSEKEEPER/MAID/HOUSEMAN"</f>
        <v>HOUSEKEEPER/MAID/HOUSEMAN</v>
      </c>
      <c r="BW956" t="s">
        <v>131</v>
      </c>
      <c r="BX956" t="str">
        <f>""</f>
        <v/>
      </c>
      <c r="BY956" t="str">
        <f>""</f>
        <v/>
      </c>
      <c r="BZ956" t="str">
        <f>""</f>
        <v/>
      </c>
      <c r="CA956" t="str">
        <f>""</f>
        <v/>
      </c>
      <c r="CB956" t="s">
        <v>131</v>
      </c>
      <c r="CF956" t="s">
        <v>131</v>
      </c>
      <c r="CH956" t="str">
        <f>""</f>
        <v/>
      </c>
      <c r="CI956" t="s">
        <v>131</v>
      </c>
      <c r="CK956" t="s">
        <v>131</v>
      </c>
      <c r="CL956" t="str">
        <f>""</f>
        <v/>
      </c>
      <c r="CM956" t="str">
        <f>""</f>
        <v/>
      </c>
      <c r="CN956" t="str">
        <f>""</f>
        <v/>
      </c>
      <c r="CO956" t="str">
        <f>""</f>
        <v/>
      </c>
      <c r="CP956" t="str">
        <f t="shared" si="69"/>
        <v>37-2012.00</v>
      </c>
      <c r="CQ956" t="s">
        <v>479</v>
      </c>
      <c r="CR956" t="s">
        <v>4277</v>
      </c>
      <c r="CS956" t="s">
        <v>131</v>
      </c>
      <c r="CU956" t="s">
        <v>19301</v>
      </c>
      <c r="CW956" t="s">
        <v>9844</v>
      </c>
      <c r="CX956" t="s">
        <v>195</v>
      </c>
      <c r="CZ956" s="3" t="str">
        <f>"32413"</f>
        <v>32413</v>
      </c>
      <c r="DA956" t="s">
        <v>135</v>
      </c>
      <c r="DB956" t="str">
        <f t="shared" si="70"/>
        <v>37-2012</v>
      </c>
      <c r="DC956" t="s">
        <v>479</v>
      </c>
      <c r="DD956" t="s">
        <v>134</v>
      </c>
      <c r="DE956" t="s">
        <v>134</v>
      </c>
      <c r="DF956" t="str">
        <f>""</f>
        <v/>
      </c>
      <c r="DH956" s="6">
        <v>12.23</v>
      </c>
      <c r="DI956" t="s">
        <v>344</v>
      </c>
      <c r="DK956" t="s">
        <v>345</v>
      </c>
      <c r="DR956" t="s">
        <v>9850</v>
      </c>
      <c r="DS956" s="6">
        <v>12.23</v>
      </c>
      <c r="DT956" t="s">
        <v>424</v>
      </c>
      <c r="DU956" s="1">
        <v>44375</v>
      </c>
      <c r="DV956" s="1">
        <v>44464</v>
      </c>
    </row>
    <row r="957" spans="1:126" ht="15" customHeight="1" x14ac:dyDescent="0.35">
      <c r="A957" t="s">
        <v>11364</v>
      </c>
      <c r="B957" t="s">
        <v>318</v>
      </c>
      <c r="C957" s="1">
        <v>44346</v>
      </c>
      <c r="D957" s="1">
        <v>44375</v>
      </c>
      <c r="H957" t="s">
        <v>319</v>
      </c>
      <c r="I957" t="s">
        <v>11029</v>
      </c>
      <c r="J957" t="s">
        <v>11028</v>
      </c>
      <c r="L957" t="s">
        <v>223</v>
      </c>
      <c r="M957" t="s">
        <v>11365</v>
      </c>
      <c r="N957" t="s">
        <v>11031</v>
      </c>
      <c r="O957" t="s">
        <v>9844</v>
      </c>
      <c r="P957" t="s">
        <v>194</v>
      </c>
      <c r="Q957" s="3">
        <v>32408</v>
      </c>
      <c r="R957" t="s">
        <v>128</v>
      </c>
      <c r="T957" s="4">
        <v>17863485408</v>
      </c>
      <c r="V957" t="s">
        <v>7174</v>
      </c>
      <c r="W957" t="s">
        <v>11366</v>
      </c>
      <c r="Y957" t="s">
        <v>11365</v>
      </c>
      <c r="Z957" t="s">
        <v>11031</v>
      </c>
      <c r="AA957" t="s">
        <v>9844</v>
      </c>
      <c r="AB957" t="s">
        <v>195</v>
      </c>
      <c r="AC957" s="3" t="str">
        <f t="shared" si="67"/>
        <v>32408</v>
      </c>
      <c r="AD957" t="s">
        <v>128</v>
      </c>
      <c r="AF957" s="4">
        <v>17863485408</v>
      </c>
      <c r="AH957" t="str">
        <f t="shared" si="68"/>
        <v>56172</v>
      </c>
      <c r="AI957" t="s">
        <v>167</v>
      </c>
      <c r="AX957" t="s">
        <v>131</v>
      </c>
      <c r="AY957" t="s">
        <v>131</v>
      </c>
      <c r="AZ957" t="s">
        <v>131</v>
      </c>
      <c r="BA957" t="s">
        <v>131</v>
      </c>
      <c r="BB957" t="s">
        <v>131</v>
      </c>
      <c r="BC957" t="s">
        <v>131</v>
      </c>
      <c r="BD957" t="s">
        <v>131</v>
      </c>
      <c r="BE957" t="s">
        <v>132</v>
      </c>
      <c r="BH957" t="s">
        <v>4277</v>
      </c>
      <c r="BI957" t="s">
        <v>131</v>
      </c>
      <c r="BL957" t="s">
        <v>167</v>
      </c>
      <c r="BO957" t="s">
        <v>131</v>
      </c>
      <c r="BP957" t="s">
        <v>134</v>
      </c>
      <c r="BQ957" t="s">
        <v>131</v>
      </c>
      <c r="BS957" t="str">
        <f t="shared" si="65"/>
        <v>N/A</v>
      </c>
      <c r="BT957" t="s">
        <v>135</v>
      </c>
      <c r="BU957">
        <v>1</v>
      </c>
      <c r="BV957" t="str">
        <f>"HOUSEKEEPER/MAID/HOUSEMAN"</f>
        <v>HOUSEKEEPER/MAID/HOUSEMAN</v>
      </c>
      <c r="BW957" t="s">
        <v>131</v>
      </c>
      <c r="BX957" t="str">
        <f>""</f>
        <v/>
      </c>
      <c r="BY957" t="str">
        <f>""</f>
        <v/>
      </c>
      <c r="BZ957" t="str">
        <f>""</f>
        <v/>
      </c>
      <c r="CA957" t="str">
        <f>""</f>
        <v/>
      </c>
      <c r="CB957" t="s">
        <v>131</v>
      </c>
      <c r="CF957" t="s">
        <v>131</v>
      </c>
      <c r="CH957" t="str">
        <f>""</f>
        <v/>
      </c>
      <c r="CI957" t="s">
        <v>131</v>
      </c>
      <c r="CK957" t="s">
        <v>131</v>
      </c>
      <c r="CL957" t="str">
        <f>""</f>
        <v/>
      </c>
      <c r="CM957" t="str">
        <f>""</f>
        <v/>
      </c>
      <c r="CN957" t="str">
        <f>""</f>
        <v/>
      </c>
      <c r="CO957" t="str">
        <f>""</f>
        <v/>
      </c>
      <c r="CP957" t="str">
        <f t="shared" si="69"/>
        <v>37-2012.00</v>
      </c>
      <c r="CQ957" t="s">
        <v>479</v>
      </c>
      <c r="CR957" t="s">
        <v>4277</v>
      </c>
      <c r="CS957" t="s">
        <v>131</v>
      </c>
      <c r="CU957" t="s">
        <v>11367</v>
      </c>
      <c r="CW957" t="s">
        <v>11368</v>
      </c>
      <c r="CX957" t="s">
        <v>1073</v>
      </c>
      <c r="CZ957" s="3" t="str">
        <f>"89449"</f>
        <v>89449</v>
      </c>
      <c r="DA957" t="s">
        <v>135</v>
      </c>
      <c r="DB957" t="str">
        <f t="shared" si="70"/>
        <v>37-2012</v>
      </c>
      <c r="DC957" t="s">
        <v>479</v>
      </c>
      <c r="DD957" t="s">
        <v>134</v>
      </c>
      <c r="DE957" t="s">
        <v>134</v>
      </c>
      <c r="DF957" t="str">
        <f>""</f>
        <v/>
      </c>
      <c r="DH957" s="6">
        <v>11</v>
      </c>
      <c r="DI957" t="s">
        <v>344</v>
      </c>
      <c r="DK957" t="s">
        <v>345</v>
      </c>
      <c r="DR957" t="s">
        <v>11369</v>
      </c>
      <c r="DS957" s="6">
        <v>11</v>
      </c>
      <c r="DT957" t="s">
        <v>424</v>
      </c>
      <c r="DU957" s="1">
        <v>44375</v>
      </c>
      <c r="DV957" s="1">
        <v>44464</v>
      </c>
    </row>
    <row r="958" spans="1:126" ht="15" customHeight="1" x14ac:dyDescent="0.35">
      <c r="A958" t="s">
        <v>20013</v>
      </c>
      <c r="B958" t="s">
        <v>318</v>
      </c>
      <c r="C958" s="1">
        <v>44346</v>
      </c>
      <c r="D958" s="1">
        <v>44375</v>
      </c>
      <c r="H958" t="s">
        <v>319</v>
      </c>
      <c r="I958" t="s">
        <v>11028</v>
      </c>
      <c r="J958" t="s">
        <v>11029</v>
      </c>
      <c r="L958" t="s">
        <v>223</v>
      </c>
      <c r="M958" t="s">
        <v>11030</v>
      </c>
      <c r="N958" t="s">
        <v>11031</v>
      </c>
      <c r="O958" t="s">
        <v>9844</v>
      </c>
      <c r="P958" t="s">
        <v>194</v>
      </c>
      <c r="Q958" s="3">
        <v>32408</v>
      </c>
      <c r="R958" t="s">
        <v>128</v>
      </c>
      <c r="T958" s="4">
        <v>17863485408</v>
      </c>
      <c r="V958" t="s">
        <v>7174</v>
      </c>
      <c r="W958" t="s">
        <v>11032</v>
      </c>
      <c r="Y958" t="s">
        <v>11030</v>
      </c>
      <c r="Z958" t="s">
        <v>11031</v>
      </c>
      <c r="AA958" t="s">
        <v>9844</v>
      </c>
      <c r="AB958" t="s">
        <v>195</v>
      </c>
      <c r="AC958" s="3" t="str">
        <f t="shared" si="67"/>
        <v>32408</v>
      </c>
      <c r="AD958" t="s">
        <v>128</v>
      </c>
      <c r="AF958" s="4">
        <v>17863485408</v>
      </c>
      <c r="AH958" t="str">
        <f t="shared" si="68"/>
        <v>56172</v>
      </c>
      <c r="AI958" t="s">
        <v>167</v>
      </c>
      <c r="AX958" t="s">
        <v>131</v>
      </c>
      <c r="AY958" t="s">
        <v>131</v>
      </c>
      <c r="AZ958" t="s">
        <v>131</v>
      </c>
      <c r="BA958" t="s">
        <v>131</v>
      </c>
      <c r="BB958" t="s">
        <v>131</v>
      </c>
      <c r="BC958" t="s">
        <v>131</v>
      </c>
      <c r="BD958" t="s">
        <v>131</v>
      </c>
      <c r="BE958" t="s">
        <v>132</v>
      </c>
      <c r="BH958" t="s">
        <v>4277</v>
      </c>
      <c r="BI958" t="s">
        <v>131</v>
      </c>
      <c r="BL958" t="s">
        <v>167</v>
      </c>
      <c r="BO958" t="s">
        <v>131</v>
      </c>
      <c r="BP958" t="s">
        <v>134</v>
      </c>
      <c r="BQ958" t="s">
        <v>131</v>
      </c>
      <c r="BS958" t="str">
        <f t="shared" si="65"/>
        <v>N/A</v>
      </c>
      <c r="BT958" t="s">
        <v>135</v>
      </c>
      <c r="BU958">
        <v>1</v>
      </c>
      <c r="BV958" t="str">
        <f>"HOUSEKEEPER/MAID/HOUSEMAN"</f>
        <v>HOUSEKEEPER/MAID/HOUSEMAN</v>
      </c>
      <c r="BW958" t="s">
        <v>131</v>
      </c>
      <c r="BX958" t="str">
        <f>""</f>
        <v/>
      </c>
      <c r="BY958" t="str">
        <f>""</f>
        <v/>
      </c>
      <c r="BZ958" t="str">
        <f>""</f>
        <v/>
      </c>
      <c r="CA958" t="str">
        <f>""</f>
        <v/>
      </c>
      <c r="CB958" t="s">
        <v>131</v>
      </c>
      <c r="CF958" t="s">
        <v>131</v>
      </c>
      <c r="CH958" t="str">
        <f>""</f>
        <v/>
      </c>
      <c r="CI958" t="s">
        <v>131</v>
      </c>
      <c r="CK958" t="s">
        <v>131</v>
      </c>
      <c r="CL958" t="str">
        <f>""</f>
        <v/>
      </c>
      <c r="CM958" t="str">
        <f>""</f>
        <v/>
      </c>
      <c r="CN958" t="str">
        <f>""</f>
        <v/>
      </c>
      <c r="CO958" t="str">
        <f>""</f>
        <v/>
      </c>
      <c r="CP958" t="str">
        <f t="shared" si="69"/>
        <v>37-2012.00</v>
      </c>
      <c r="CQ958" t="s">
        <v>479</v>
      </c>
      <c r="CR958" t="s">
        <v>4277</v>
      </c>
      <c r="CS958" t="s">
        <v>131</v>
      </c>
      <c r="CU958" t="s">
        <v>3568</v>
      </c>
      <c r="CW958" t="s">
        <v>3569</v>
      </c>
      <c r="CX958" t="s">
        <v>195</v>
      </c>
      <c r="CZ958" s="3" t="str">
        <f>"33050"</f>
        <v>33050</v>
      </c>
      <c r="DA958" t="s">
        <v>131</v>
      </c>
      <c r="DB958" t="str">
        <f t="shared" si="70"/>
        <v>37-2012</v>
      </c>
      <c r="DC958" t="s">
        <v>479</v>
      </c>
      <c r="DD958" t="s">
        <v>134</v>
      </c>
      <c r="DE958" t="s">
        <v>134</v>
      </c>
      <c r="DF958" t="str">
        <f>""</f>
        <v/>
      </c>
      <c r="DH958" s="6">
        <v>12.28</v>
      </c>
      <c r="DI958" t="s">
        <v>344</v>
      </c>
      <c r="DK958" t="s">
        <v>345</v>
      </c>
      <c r="DR958" t="s">
        <v>2085</v>
      </c>
      <c r="DS958" s="6">
        <v>12.28</v>
      </c>
      <c r="DT958" t="s">
        <v>424</v>
      </c>
      <c r="DU958" s="1">
        <v>44375</v>
      </c>
      <c r="DV958" s="1">
        <v>44464</v>
      </c>
    </row>
    <row r="959" spans="1:126" ht="15" customHeight="1" x14ac:dyDescent="0.35">
      <c r="A959" t="s">
        <v>11609</v>
      </c>
      <c r="B959" t="s">
        <v>318</v>
      </c>
      <c r="C959" s="1">
        <v>44346</v>
      </c>
      <c r="D959" s="1">
        <v>44375</v>
      </c>
      <c r="H959" t="s">
        <v>319</v>
      </c>
      <c r="I959" t="s">
        <v>11028</v>
      </c>
      <c r="J959" t="s">
        <v>11029</v>
      </c>
      <c r="L959" t="s">
        <v>223</v>
      </c>
      <c r="M959" t="s">
        <v>11030</v>
      </c>
      <c r="N959" t="s">
        <v>11031</v>
      </c>
      <c r="O959" t="s">
        <v>9844</v>
      </c>
      <c r="P959" t="s">
        <v>194</v>
      </c>
      <c r="Q959" s="3">
        <v>32408</v>
      </c>
      <c r="R959" t="s">
        <v>128</v>
      </c>
      <c r="T959" s="4">
        <v>17863485408</v>
      </c>
      <c r="V959" t="s">
        <v>7174</v>
      </c>
      <c r="W959" t="s">
        <v>11032</v>
      </c>
      <c r="Y959" t="s">
        <v>11030</v>
      </c>
      <c r="Z959" t="s">
        <v>11031</v>
      </c>
      <c r="AA959" t="s">
        <v>9844</v>
      </c>
      <c r="AB959" t="s">
        <v>195</v>
      </c>
      <c r="AC959" s="3" t="str">
        <f t="shared" si="67"/>
        <v>32408</v>
      </c>
      <c r="AD959" t="s">
        <v>128</v>
      </c>
      <c r="AF959" s="4">
        <v>17863485408</v>
      </c>
      <c r="AH959" t="str">
        <f t="shared" si="68"/>
        <v>56172</v>
      </c>
      <c r="AI959" t="s">
        <v>167</v>
      </c>
      <c r="AX959" t="s">
        <v>131</v>
      </c>
      <c r="AY959" t="s">
        <v>131</v>
      </c>
      <c r="AZ959" t="s">
        <v>131</v>
      </c>
      <c r="BA959" t="s">
        <v>131</v>
      </c>
      <c r="BB959" t="s">
        <v>131</v>
      </c>
      <c r="BC959" t="s">
        <v>131</v>
      </c>
      <c r="BD959" t="s">
        <v>131</v>
      </c>
      <c r="BE959" t="s">
        <v>132</v>
      </c>
      <c r="BH959" t="s">
        <v>4277</v>
      </c>
      <c r="BI959" t="s">
        <v>131</v>
      </c>
      <c r="BL959" t="s">
        <v>167</v>
      </c>
      <c r="BO959" t="s">
        <v>131</v>
      </c>
      <c r="BP959" t="s">
        <v>134</v>
      </c>
      <c r="BQ959" t="s">
        <v>131</v>
      </c>
      <c r="BS959" t="str">
        <f t="shared" si="65"/>
        <v>N/A</v>
      </c>
      <c r="BT959" t="s">
        <v>135</v>
      </c>
      <c r="BU959">
        <v>1</v>
      </c>
      <c r="BV959" t="str">
        <f>"HOUSEKEEPER/MAID/HOUSEMAN"</f>
        <v>HOUSEKEEPER/MAID/HOUSEMAN</v>
      </c>
      <c r="BW959" t="s">
        <v>131</v>
      </c>
      <c r="BX959" t="str">
        <f>""</f>
        <v/>
      </c>
      <c r="BY959" t="str">
        <f>""</f>
        <v/>
      </c>
      <c r="BZ959" t="str">
        <f>""</f>
        <v/>
      </c>
      <c r="CA959" t="str">
        <f>""</f>
        <v/>
      </c>
      <c r="CB959" t="s">
        <v>131</v>
      </c>
      <c r="CF959" t="s">
        <v>131</v>
      </c>
      <c r="CH959" t="str">
        <f>""</f>
        <v/>
      </c>
      <c r="CI959" t="s">
        <v>131</v>
      </c>
      <c r="CK959" t="s">
        <v>131</v>
      </c>
      <c r="CL959" t="str">
        <f>""</f>
        <v/>
      </c>
      <c r="CM959" t="str">
        <f>""</f>
        <v/>
      </c>
      <c r="CN959" t="str">
        <f>""</f>
        <v/>
      </c>
      <c r="CO959" t="str">
        <f>""</f>
        <v/>
      </c>
      <c r="CP959" t="str">
        <f t="shared" si="69"/>
        <v>37-2012.00</v>
      </c>
      <c r="CQ959" t="s">
        <v>479</v>
      </c>
      <c r="CR959" t="s">
        <v>4277</v>
      </c>
      <c r="CS959" t="s">
        <v>131</v>
      </c>
      <c r="CU959" t="s">
        <v>11610</v>
      </c>
      <c r="CW959" t="s">
        <v>11611</v>
      </c>
      <c r="CX959" t="s">
        <v>1073</v>
      </c>
      <c r="CZ959" s="3" t="str">
        <f>"89503"</f>
        <v>89503</v>
      </c>
      <c r="DA959" t="s">
        <v>135</v>
      </c>
      <c r="DB959" t="str">
        <f t="shared" si="70"/>
        <v>37-2012</v>
      </c>
      <c r="DC959" t="s">
        <v>479</v>
      </c>
      <c r="DD959" t="s">
        <v>134</v>
      </c>
      <c r="DE959" t="s">
        <v>134</v>
      </c>
      <c r="DF959" t="str">
        <f>""</f>
        <v/>
      </c>
      <c r="DH959" s="6">
        <v>12.83</v>
      </c>
      <c r="DI959" t="s">
        <v>344</v>
      </c>
      <c r="DK959" t="s">
        <v>345</v>
      </c>
      <c r="DR959" t="s">
        <v>11612</v>
      </c>
      <c r="DS959" s="6">
        <v>12.83</v>
      </c>
      <c r="DT959" t="s">
        <v>424</v>
      </c>
      <c r="DU959" s="1">
        <v>44375</v>
      </c>
      <c r="DV959" s="1">
        <v>44464</v>
      </c>
    </row>
    <row r="960" spans="1:126" ht="15" customHeight="1" x14ac:dyDescent="0.35">
      <c r="A960" t="s">
        <v>13793</v>
      </c>
      <c r="B960" t="s">
        <v>318</v>
      </c>
      <c r="C960" s="1">
        <v>44346</v>
      </c>
      <c r="D960" s="1">
        <v>44375</v>
      </c>
      <c r="H960" t="s">
        <v>319</v>
      </c>
      <c r="I960" t="s">
        <v>11028</v>
      </c>
      <c r="J960" t="s">
        <v>11029</v>
      </c>
      <c r="L960" t="s">
        <v>223</v>
      </c>
      <c r="M960" t="s">
        <v>11030</v>
      </c>
      <c r="N960" t="s">
        <v>11031</v>
      </c>
      <c r="O960" t="s">
        <v>9844</v>
      </c>
      <c r="P960" t="s">
        <v>194</v>
      </c>
      <c r="Q960" s="3">
        <v>32408</v>
      </c>
      <c r="R960" t="s">
        <v>128</v>
      </c>
      <c r="T960" s="4">
        <v>17863485408</v>
      </c>
      <c r="V960" t="s">
        <v>7174</v>
      </c>
      <c r="W960" t="s">
        <v>11032</v>
      </c>
      <c r="Y960" t="s">
        <v>11030</v>
      </c>
      <c r="Z960" t="s">
        <v>11031</v>
      </c>
      <c r="AA960" t="s">
        <v>9844</v>
      </c>
      <c r="AB960" t="s">
        <v>195</v>
      </c>
      <c r="AC960" s="3" t="str">
        <f t="shared" si="67"/>
        <v>32408</v>
      </c>
      <c r="AD960" t="s">
        <v>128</v>
      </c>
      <c r="AF960" s="4">
        <v>17863485408</v>
      </c>
      <c r="AH960" t="str">
        <f t="shared" si="68"/>
        <v>56172</v>
      </c>
      <c r="AI960" t="s">
        <v>167</v>
      </c>
      <c r="AX960" t="s">
        <v>131</v>
      </c>
      <c r="AY960" t="s">
        <v>131</v>
      </c>
      <c r="AZ960" t="s">
        <v>131</v>
      </c>
      <c r="BA960" t="s">
        <v>131</v>
      </c>
      <c r="BB960" t="s">
        <v>131</v>
      </c>
      <c r="BC960" t="s">
        <v>131</v>
      </c>
      <c r="BD960" t="s">
        <v>131</v>
      </c>
      <c r="BE960" t="s">
        <v>132</v>
      </c>
      <c r="BH960" t="s">
        <v>4277</v>
      </c>
      <c r="BI960" t="s">
        <v>131</v>
      </c>
      <c r="BL960" t="s">
        <v>167</v>
      </c>
      <c r="BO960" t="s">
        <v>131</v>
      </c>
      <c r="BP960" t="s">
        <v>134</v>
      </c>
      <c r="BQ960" t="s">
        <v>131</v>
      </c>
      <c r="BS960" t="str">
        <f t="shared" si="65"/>
        <v>N/A</v>
      </c>
      <c r="BT960" t="s">
        <v>135</v>
      </c>
      <c r="BU960">
        <v>1</v>
      </c>
      <c r="BV960" t="str">
        <f>"MAID/HOUSEKEEPER/HOUSEMAN"</f>
        <v>MAID/HOUSEKEEPER/HOUSEMAN</v>
      </c>
      <c r="BW960" t="s">
        <v>131</v>
      </c>
      <c r="BX960" t="str">
        <f>""</f>
        <v/>
      </c>
      <c r="BY960" t="str">
        <f>""</f>
        <v/>
      </c>
      <c r="BZ960" t="str">
        <f>""</f>
        <v/>
      </c>
      <c r="CA960" t="str">
        <f>""</f>
        <v/>
      </c>
      <c r="CB960" t="s">
        <v>131</v>
      </c>
      <c r="CF960" t="s">
        <v>131</v>
      </c>
      <c r="CH960" t="str">
        <f>""</f>
        <v/>
      </c>
      <c r="CI960" t="s">
        <v>131</v>
      </c>
      <c r="CK960" t="s">
        <v>131</v>
      </c>
      <c r="CL960" t="str">
        <f>""</f>
        <v/>
      </c>
      <c r="CM960" t="str">
        <f>""</f>
        <v/>
      </c>
      <c r="CN960" t="str">
        <f>""</f>
        <v/>
      </c>
      <c r="CO960" t="str">
        <f>""</f>
        <v/>
      </c>
      <c r="CP960" t="str">
        <f t="shared" si="69"/>
        <v>37-2012.00</v>
      </c>
      <c r="CQ960" t="s">
        <v>479</v>
      </c>
      <c r="CR960" t="s">
        <v>4277</v>
      </c>
      <c r="CS960" t="s">
        <v>131</v>
      </c>
      <c r="CU960" t="s">
        <v>13794</v>
      </c>
      <c r="CW960" t="s">
        <v>13795</v>
      </c>
      <c r="CX960" t="s">
        <v>1763</v>
      </c>
      <c r="CZ960" s="3" t="str">
        <f>"70601"</f>
        <v>70601</v>
      </c>
      <c r="DA960" t="s">
        <v>135</v>
      </c>
      <c r="DB960" t="str">
        <f t="shared" si="70"/>
        <v>37-2012</v>
      </c>
      <c r="DC960" t="s">
        <v>479</v>
      </c>
      <c r="DD960" t="s">
        <v>134</v>
      </c>
      <c r="DE960" t="s">
        <v>134</v>
      </c>
      <c r="DF960" t="str">
        <f>""</f>
        <v/>
      </c>
      <c r="DH960" s="6">
        <v>9.93</v>
      </c>
      <c r="DI960" t="s">
        <v>344</v>
      </c>
      <c r="DK960" t="s">
        <v>345</v>
      </c>
      <c r="DR960" t="s">
        <v>13796</v>
      </c>
      <c r="DS960" s="6">
        <v>9.93</v>
      </c>
      <c r="DT960" t="s">
        <v>424</v>
      </c>
      <c r="DU960" s="1">
        <v>44375</v>
      </c>
      <c r="DV960" s="1">
        <v>44464</v>
      </c>
    </row>
    <row r="961" spans="1:126" ht="15" customHeight="1" x14ac:dyDescent="0.35">
      <c r="A961" t="s">
        <v>20014</v>
      </c>
      <c r="B961" t="s">
        <v>318</v>
      </c>
      <c r="C961" s="1">
        <v>44346</v>
      </c>
      <c r="D961" s="1">
        <v>44375</v>
      </c>
      <c r="H961" t="s">
        <v>319</v>
      </c>
      <c r="I961" t="s">
        <v>11028</v>
      </c>
      <c r="J961" t="s">
        <v>11029</v>
      </c>
      <c r="L961" t="s">
        <v>223</v>
      </c>
      <c r="M961" t="s">
        <v>11030</v>
      </c>
      <c r="N961" t="s">
        <v>11031</v>
      </c>
      <c r="O961" t="s">
        <v>9844</v>
      </c>
      <c r="P961" t="s">
        <v>194</v>
      </c>
      <c r="Q961" s="3">
        <v>32408</v>
      </c>
      <c r="R961" t="s">
        <v>128</v>
      </c>
      <c r="T961" s="4">
        <v>17863485408</v>
      </c>
      <c r="V961" t="s">
        <v>7174</v>
      </c>
      <c r="W961" t="s">
        <v>11032</v>
      </c>
      <c r="Y961" t="s">
        <v>11030</v>
      </c>
      <c r="Z961" t="s">
        <v>11031</v>
      </c>
      <c r="AA961" t="s">
        <v>9844</v>
      </c>
      <c r="AB961" t="s">
        <v>195</v>
      </c>
      <c r="AC961" s="3" t="str">
        <f t="shared" si="67"/>
        <v>32408</v>
      </c>
      <c r="AD961" t="s">
        <v>128</v>
      </c>
      <c r="AF961" s="4">
        <v>17863485408</v>
      </c>
      <c r="AH961" t="str">
        <f t="shared" si="68"/>
        <v>56172</v>
      </c>
      <c r="AI961" t="s">
        <v>167</v>
      </c>
      <c r="AX961" t="s">
        <v>131</v>
      </c>
      <c r="AY961" t="s">
        <v>131</v>
      </c>
      <c r="AZ961" t="s">
        <v>131</v>
      </c>
      <c r="BA961" t="s">
        <v>131</v>
      </c>
      <c r="BB961" t="s">
        <v>131</v>
      </c>
      <c r="BC961" t="s">
        <v>131</v>
      </c>
      <c r="BD961" t="s">
        <v>131</v>
      </c>
      <c r="BE961" t="s">
        <v>132</v>
      </c>
      <c r="BH961" t="s">
        <v>4277</v>
      </c>
      <c r="BI961" t="s">
        <v>131</v>
      </c>
      <c r="BL961" t="s">
        <v>167</v>
      </c>
      <c r="BO961" t="s">
        <v>131</v>
      </c>
      <c r="BP961" t="s">
        <v>134</v>
      </c>
      <c r="BQ961" t="s">
        <v>131</v>
      </c>
      <c r="BS961" t="str">
        <f t="shared" ref="BS961:BS992" si="71">"N/A"</f>
        <v>N/A</v>
      </c>
      <c r="BT961" t="s">
        <v>135</v>
      </c>
      <c r="BU961">
        <v>1</v>
      </c>
      <c r="BV961" t="str">
        <f>"HOUSEKEEPER/MAID/HOUSEMAN"</f>
        <v>HOUSEKEEPER/MAID/HOUSEMAN</v>
      </c>
      <c r="BW961" t="s">
        <v>131</v>
      </c>
      <c r="BX961" t="str">
        <f>""</f>
        <v/>
      </c>
      <c r="BY961" t="str">
        <f>""</f>
        <v/>
      </c>
      <c r="BZ961" t="str">
        <f>""</f>
        <v/>
      </c>
      <c r="CA961" t="str">
        <f>""</f>
        <v/>
      </c>
      <c r="CB961" t="s">
        <v>131</v>
      </c>
      <c r="CF961" t="s">
        <v>131</v>
      </c>
      <c r="CH961" t="str">
        <f>""</f>
        <v/>
      </c>
      <c r="CI961" t="s">
        <v>131</v>
      </c>
      <c r="CK961" t="s">
        <v>131</v>
      </c>
      <c r="CL961" t="str">
        <f>""</f>
        <v/>
      </c>
      <c r="CM961" t="str">
        <f>""</f>
        <v/>
      </c>
      <c r="CN961" t="str">
        <f>""</f>
        <v/>
      </c>
      <c r="CO961" t="str">
        <f>""</f>
        <v/>
      </c>
      <c r="CP961" t="str">
        <f t="shared" si="69"/>
        <v>37-2012.00</v>
      </c>
      <c r="CQ961" t="s">
        <v>479</v>
      </c>
      <c r="CR961" t="s">
        <v>4277</v>
      </c>
      <c r="CS961" t="s">
        <v>131</v>
      </c>
      <c r="CU961" t="s">
        <v>20015</v>
      </c>
      <c r="CW961" t="s">
        <v>20016</v>
      </c>
      <c r="CX961" t="s">
        <v>594</v>
      </c>
      <c r="CZ961" s="3" t="str">
        <f>"28719"</f>
        <v>28719</v>
      </c>
      <c r="DA961" t="s">
        <v>131</v>
      </c>
      <c r="DB961" t="str">
        <f t="shared" si="70"/>
        <v>37-2012</v>
      </c>
      <c r="DC961" t="s">
        <v>479</v>
      </c>
      <c r="DD961" t="s">
        <v>134</v>
      </c>
      <c r="DE961" t="s">
        <v>134</v>
      </c>
      <c r="DF961" t="str">
        <f>""</f>
        <v/>
      </c>
      <c r="DH961" s="6">
        <v>11.11</v>
      </c>
      <c r="DI961" t="s">
        <v>344</v>
      </c>
      <c r="DK961" t="s">
        <v>345</v>
      </c>
      <c r="DR961" t="s">
        <v>2682</v>
      </c>
      <c r="DS961" s="6">
        <v>11.11</v>
      </c>
      <c r="DT961" t="s">
        <v>424</v>
      </c>
      <c r="DU961" s="1">
        <v>44375</v>
      </c>
      <c r="DV961" s="1">
        <v>44464</v>
      </c>
    </row>
    <row r="962" spans="1:126" ht="15" customHeight="1" x14ac:dyDescent="0.35">
      <c r="A962" t="s">
        <v>11027</v>
      </c>
      <c r="B962" t="s">
        <v>318</v>
      </c>
      <c r="C962" s="1">
        <v>44346</v>
      </c>
      <c r="D962" s="1">
        <v>44375</v>
      </c>
      <c r="H962" t="s">
        <v>319</v>
      </c>
      <c r="I962" t="s">
        <v>11028</v>
      </c>
      <c r="J962" t="s">
        <v>11029</v>
      </c>
      <c r="L962" t="s">
        <v>223</v>
      </c>
      <c r="M962" t="s">
        <v>11030</v>
      </c>
      <c r="N962" t="s">
        <v>11031</v>
      </c>
      <c r="O962" t="s">
        <v>9844</v>
      </c>
      <c r="P962" t="s">
        <v>194</v>
      </c>
      <c r="Q962" s="3">
        <v>32408</v>
      </c>
      <c r="R962" t="s">
        <v>128</v>
      </c>
      <c r="T962" s="4">
        <v>17863485408</v>
      </c>
      <c r="V962" t="s">
        <v>7174</v>
      </c>
      <c r="W962" t="s">
        <v>11032</v>
      </c>
      <c r="Y962" t="s">
        <v>11030</v>
      </c>
      <c r="Z962" t="s">
        <v>11031</v>
      </c>
      <c r="AA962" t="s">
        <v>9844</v>
      </c>
      <c r="AB962" t="s">
        <v>195</v>
      </c>
      <c r="AC962" s="3" t="str">
        <f t="shared" si="67"/>
        <v>32408</v>
      </c>
      <c r="AD962" t="s">
        <v>128</v>
      </c>
      <c r="AF962" s="4">
        <v>17863485408</v>
      </c>
      <c r="AH962" t="str">
        <f t="shared" si="68"/>
        <v>56172</v>
      </c>
      <c r="AI962" t="s">
        <v>167</v>
      </c>
      <c r="AX962" t="s">
        <v>131</v>
      </c>
      <c r="AY962" t="s">
        <v>131</v>
      </c>
      <c r="AZ962" t="s">
        <v>131</v>
      </c>
      <c r="BA962" t="s">
        <v>131</v>
      </c>
      <c r="BB962" t="s">
        <v>131</v>
      </c>
      <c r="BC962" t="s">
        <v>131</v>
      </c>
      <c r="BD962" t="s">
        <v>131</v>
      </c>
      <c r="BE962" t="s">
        <v>132</v>
      </c>
      <c r="BH962" t="s">
        <v>4277</v>
      </c>
      <c r="BI962" t="s">
        <v>131</v>
      </c>
      <c r="BL962" t="s">
        <v>167</v>
      </c>
      <c r="BO962" t="s">
        <v>131</v>
      </c>
      <c r="BP962" t="s">
        <v>134</v>
      </c>
      <c r="BQ962" t="s">
        <v>131</v>
      </c>
      <c r="BS962" t="str">
        <f t="shared" si="71"/>
        <v>N/A</v>
      </c>
      <c r="BT962" t="s">
        <v>135</v>
      </c>
      <c r="BU962">
        <v>1</v>
      </c>
      <c r="BV962" t="str">
        <f>"HOUSEKEEPER/HOUSEMAN/MAID"</f>
        <v>HOUSEKEEPER/HOUSEMAN/MAID</v>
      </c>
      <c r="BW962" t="s">
        <v>131</v>
      </c>
      <c r="BX962" t="str">
        <f>""</f>
        <v/>
      </c>
      <c r="BY962" t="str">
        <f>""</f>
        <v/>
      </c>
      <c r="BZ962" t="str">
        <f>""</f>
        <v/>
      </c>
      <c r="CA962" t="str">
        <f>""</f>
        <v/>
      </c>
      <c r="CB962" t="s">
        <v>131</v>
      </c>
      <c r="CF962" t="s">
        <v>131</v>
      </c>
      <c r="CH962" t="str">
        <f>""</f>
        <v/>
      </c>
      <c r="CI962" t="s">
        <v>131</v>
      </c>
      <c r="CK962" t="s">
        <v>131</v>
      </c>
      <c r="CL962" t="str">
        <f>""</f>
        <v/>
      </c>
      <c r="CM962" t="str">
        <f>""</f>
        <v/>
      </c>
      <c r="CN962" t="str">
        <f>""</f>
        <v/>
      </c>
      <c r="CO962" t="str">
        <f>""</f>
        <v/>
      </c>
      <c r="CP962" t="str">
        <f t="shared" si="69"/>
        <v>37-2012.00</v>
      </c>
      <c r="CQ962" t="s">
        <v>479</v>
      </c>
      <c r="CR962" t="s">
        <v>4277</v>
      </c>
      <c r="CS962" t="s">
        <v>131</v>
      </c>
      <c r="CU962" t="s">
        <v>11033</v>
      </c>
      <c r="CW962" t="s">
        <v>11034</v>
      </c>
      <c r="CX962" t="s">
        <v>195</v>
      </c>
      <c r="CZ962" s="3" t="str">
        <f>"32549"</f>
        <v>32549</v>
      </c>
      <c r="DA962" t="s">
        <v>135</v>
      </c>
      <c r="DB962" t="str">
        <f t="shared" si="70"/>
        <v>37-2012</v>
      </c>
      <c r="DC962" t="s">
        <v>479</v>
      </c>
      <c r="DD962" t="s">
        <v>134</v>
      </c>
      <c r="DE962" t="s">
        <v>134</v>
      </c>
      <c r="DF962" t="str">
        <f>""</f>
        <v/>
      </c>
      <c r="DH962" s="6">
        <v>11.79</v>
      </c>
      <c r="DI962" t="s">
        <v>344</v>
      </c>
      <c r="DK962" t="s">
        <v>345</v>
      </c>
      <c r="DR962" t="s">
        <v>11035</v>
      </c>
      <c r="DS962" s="6">
        <v>11.79</v>
      </c>
      <c r="DT962" t="s">
        <v>424</v>
      </c>
      <c r="DU962" s="1">
        <v>44375</v>
      </c>
      <c r="DV962" s="1">
        <v>44464</v>
      </c>
    </row>
    <row r="963" spans="1:126" ht="15" customHeight="1" x14ac:dyDescent="0.35">
      <c r="A963" t="s">
        <v>16332</v>
      </c>
      <c r="B963" t="s">
        <v>318</v>
      </c>
      <c r="C963" s="1">
        <v>44346</v>
      </c>
      <c r="D963" s="1">
        <v>44375</v>
      </c>
      <c r="H963" t="s">
        <v>319</v>
      </c>
      <c r="I963" t="s">
        <v>11028</v>
      </c>
      <c r="J963" t="s">
        <v>11029</v>
      </c>
      <c r="L963" t="s">
        <v>223</v>
      </c>
      <c r="M963" t="s">
        <v>11030</v>
      </c>
      <c r="N963" t="s">
        <v>11031</v>
      </c>
      <c r="O963" t="s">
        <v>9844</v>
      </c>
      <c r="P963" t="s">
        <v>194</v>
      </c>
      <c r="Q963" s="3">
        <v>32408</v>
      </c>
      <c r="R963" t="s">
        <v>128</v>
      </c>
      <c r="T963" s="4">
        <v>17863485408</v>
      </c>
      <c r="V963" t="s">
        <v>7174</v>
      </c>
      <c r="W963" t="s">
        <v>11366</v>
      </c>
      <c r="Y963" t="s">
        <v>11030</v>
      </c>
      <c r="Z963" t="s">
        <v>11031</v>
      </c>
      <c r="AA963" t="s">
        <v>9844</v>
      </c>
      <c r="AB963" t="s">
        <v>195</v>
      </c>
      <c r="AC963" s="3" t="str">
        <f t="shared" si="67"/>
        <v>32408</v>
      </c>
      <c r="AD963" t="s">
        <v>128</v>
      </c>
      <c r="AF963" s="4">
        <v>17863485408</v>
      </c>
      <c r="AH963" t="str">
        <f t="shared" si="68"/>
        <v>56172</v>
      </c>
      <c r="AI963" t="s">
        <v>167</v>
      </c>
      <c r="AX963" t="s">
        <v>131</v>
      </c>
      <c r="AY963" t="s">
        <v>131</v>
      </c>
      <c r="AZ963" t="s">
        <v>131</v>
      </c>
      <c r="BA963" t="s">
        <v>131</v>
      </c>
      <c r="BB963" t="s">
        <v>131</v>
      </c>
      <c r="BC963" t="s">
        <v>131</v>
      </c>
      <c r="BD963" t="s">
        <v>131</v>
      </c>
      <c r="BE963" t="s">
        <v>132</v>
      </c>
      <c r="BH963" t="s">
        <v>4277</v>
      </c>
      <c r="BI963" t="s">
        <v>131</v>
      </c>
      <c r="BL963" t="s">
        <v>167</v>
      </c>
      <c r="BO963" t="s">
        <v>131</v>
      </c>
      <c r="BP963" t="s">
        <v>134</v>
      </c>
      <c r="BQ963" t="s">
        <v>131</v>
      </c>
      <c r="BS963" t="str">
        <f t="shared" si="71"/>
        <v>N/A</v>
      </c>
      <c r="BT963" t="s">
        <v>135</v>
      </c>
      <c r="BU963">
        <v>1</v>
      </c>
      <c r="BV963" t="str">
        <f>"MAID/HOUSEKEEPER/HOUSEMAN"</f>
        <v>MAID/HOUSEKEEPER/HOUSEMAN</v>
      </c>
      <c r="BW963" t="s">
        <v>131</v>
      </c>
      <c r="BX963" t="str">
        <f>""</f>
        <v/>
      </c>
      <c r="BY963" t="str">
        <f>""</f>
        <v/>
      </c>
      <c r="BZ963" t="str">
        <f>""</f>
        <v/>
      </c>
      <c r="CA963" t="str">
        <f>""</f>
        <v/>
      </c>
      <c r="CB963" t="s">
        <v>131</v>
      </c>
      <c r="CF963" t="s">
        <v>131</v>
      </c>
      <c r="CH963" t="str">
        <f>""</f>
        <v/>
      </c>
      <c r="CI963" t="s">
        <v>131</v>
      </c>
      <c r="CK963" t="s">
        <v>131</v>
      </c>
      <c r="CL963" t="str">
        <f>""</f>
        <v/>
      </c>
      <c r="CM963" t="str">
        <f>""</f>
        <v/>
      </c>
      <c r="CN963" t="str">
        <f>""</f>
        <v/>
      </c>
      <c r="CO963" t="str">
        <f>""</f>
        <v/>
      </c>
      <c r="CP963" t="str">
        <f t="shared" si="69"/>
        <v>37-2012.00</v>
      </c>
      <c r="CQ963" t="s">
        <v>479</v>
      </c>
      <c r="CR963" t="s">
        <v>4277</v>
      </c>
      <c r="CS963" t="s">
        <v>131</v>
      </c>
      <c r="CU963" t="s">
        <v>16333</v>
      </c>
      <c r="CW963" t="s">
        <v>16334</v>
      </c>
      <c r="CX963" t="s">
        <v>1763</v>
      </c>
      <c r="CZ963" s="3" t="str">
        <f>"71111"</f>
        <v>71111</v>
      </c>
      <c r="DA963" t="s">
        <v>135</v>
      </c>
      <c r="DB963" t="str">
        <f t="shared" si="70"/>
        <v>37-2012</v>
      </c>
      <c r="DC963" t="s">
        <v>479</v>
      </c>
      <c r="DD963" t="s">
        <v>134</v>
      </c>
      <c r="DE963" t="s">
        <v>134</v>
      </c>
      <c r="DF963" t="str">
        <f>""</f>
        <v/>
      </c>
      <c r="DH963" s="6">
        <v>9.84</v>
      </c>
      <c r="DI963" t="s">
        <v>344</v>
      </c>
      <c r="DK963" t="s">
        <v>345</v>
      </c>
      <c r="DR963" t="s">
        <v>3829</v>
      </c>
      <c r="DS963" s="6">
        <v>9.84</v>
      </c>
      <c r="DT963" t="s">
        <v>424</v>
      </c>
      <c r="DU963" s="1">
        <v>44375</v>
      </c>
      <c r="DV963" s="1">
        <v>44464</v>
      </c>
    </row>
    <row r="964" spans="1:126" ht="15" customHeight="1" x14ac:dyDescent="0.35">
      <c r="A964" t="s">
        <v>14967</v>
      </c>
      <c r="B964" t="s">
        <v>318</v>
      </c>
      <c r="C964" s="1">
        <v>44346</v>
      </c>
      <c r="D964" s="1">
        <v>44375</v>
      </c>
      <c r="H964" t="s">
        <v>319</v>
      </c>
      <c r="I964" t="s">
        <v>11028</v>
      </c>
      <c r="J964" t="s">
        <v>11029</v>
      </c>
      <c r="L964" t="s">
        <v>223</v>
      </c>
      <c r="M964" t="s">
        <v>11030</v>
      </c>
      <c r="N964" t="s">
        <v>11031</v>
      </c>
      <c r="O964" t="s">
        <v>9844</v>
      </c>
      <c r="P964" t="s">
        <v>194</v>
      </c>
      <c r="Q964" s="3">
        <v>32408</v>
      </c>
      <c r="R964" t="s">
        <v>128</v>
      </c>
      <c r="T964" s="4">
        <v>17863485408</v>
      </c>
      <c r="V964" t="s">
        <v>7174</v>
      </c>
      <c r="W964" t="s">
        <v>11366</v>
      </c>
      <c r="Y964" t="s">
        <v>11030</v>
      </c>
      <c r="Z964" t="s">
        <v>11031</v>
      </c>
      <c r="AA964" t="s">
        <v>9844</v>
      </c>
      <c r="AB964" t="s">
        <v>195</v>
      </c>
      <c r="AC964" s="3" t="str">
        <f t="shared" si="67"/>
        <v>32408</v>
      </c>
      <c r="AD964" t="s">
        <v>128</v>
      </c>
      <c r="AF964" s="4">
        <v>17863485408</v>
      </c>
      <c r="AH964" t="str">
        <f t="shared" si="68"/>
        <v>56172</v>
      </c>
      <c r="AI964" t="s">
        <v>167</v>
      </c>
      <c r="AX964" t="s">
        <v>131</v>
      </c>
      <c r="AY964" t="s">
        <v>131</v>
      </c>
      <c r="AZ964" t="s">
        <v>131</v>
      </c>
      <c r="BA964" t="s">
        <v>131</v>
      </c>
      <c r="BB964" t="s">
        <v>131</v>
      </c>
      <c r="BC964" t="s">
        <v>131</v>
      </c>
      <c r="BD964" t="s">
        <v>131</v>
      </c>
      <c r="BE964" t="s">
        <v>132</v>
      </c>
      <c r="BH964" t="s">
        <v>4277</v>
      </c>
      <c r="BI964" t="s">
        <v>131</v>
      </c>
      <c r="BL964" t="s">
        <v>167</v>
      </c>
      <c r="BO964" t="s">
        <v>131</v>
      </c>
      <c r="BP964" t="s">
        <v>134</v>
      </c>
      <c r="BQ964" t="s">
        <v>131</v>
      </c>
      <c r="BS964" t="str">
        <f t="shared" si="71"/>
        <v>N/A</v>
      </c>
      <c r="BT964" t="s">
        <v>135</v>
      </c>
      <c r="BU964">
        <v>1</v>
      </c>
      <c r="BV964" t="str">
        <f>"HOUSEKEEPER/MAID/HOUSEMAN"</f>
        <v>HOUSEKEEPER/MAID/HOUSEMAN</v>
      </c>
      <c r="BW964" t="s">
        <v>131</v>
      </c>
      <c r="BX964" t="str">
        <f>""</f>
        <v/>
      </c>
      <c r="BY964" t="str">
        <f>""</f>
        <v/>
      </c>
      <c r="BZ964" t="str">
        <f>""</f>
        <v/>
      </c>
      <c r="CA964" t="str">
        <f>""</f>
        <v/>
      </c>
      <c r="CB964" t="s">
        <v>131</v>
      </c>
      <c r="CF964" t="s">
        <v>131</v>
      </c>
      <c r="CH964" t="str">
        <f>""</f>
        <v/>
      </c>
      <c r="CI964" t="s">
        <v>131</v>
      </c>
      <c r="CK964" t="s">
        <v>131</v>
      </c>
      <c r="CL964" t="str">
        <f>""</f>
        <v/>
      </c>
      <c r="CM964" t="str">
        <f>""</f>
        <v/>
      </c>
      <c r="CN964" t="str">
        <f>""</f>
        <v/>
      </c>
      <c r="CO964" t="str">
        <f>""</f>
        <v/>
      </c>
      <c r="CP964" t="str">
        <f t="shared" si="69"/>
        <v>37-2012.00</v>
      </c>
      <c r="CQ964" t="s">
        <v>479</v>
      </c>
      <c r="CR964" t="s">
        <v>4277</v>
      </c>
      <c r="CS964" t="s">
        <v>131</v>
      </c>
      <c r="CU964" t="s">
        <v>14968</v>
      </c>
      <c r="CW964" t="s">
        <v>14969</v>
      </c>
      <c r="CX964" t="s">
        <v>172</v>
      </c>
      <c r="CZ964" s="3" t="str">
        <f>"93614"</f>
        <v>93614</v>
      </c>
      <c r="DA964" t="s">
        <v>131</v>
      </c>
      <c r="DB964" t="str">
        <f t="shared" si="70"/>
        <v>37-2012</v>
      </c>
      <c r="DC964" t="s">
        <v>479</v>
      </c>
      <c r="DD964" t="s">
        <v>134</v>
      </c>
      <c r="DE964" t="s">
        <v>134</v>
      </c>
      <c r="DF964" t="str">
        <f>""</f>
        <v/>
      </c>
      <c r="DH964" s="6">
        <v>15.91</v>
      </c>
      <c r="DI964" t="s">
        <v>344</v>
      </c>
      <c r="DK964" t="s">
        <v>345</v>
      </c>
      <c r="DR964" t="s">
        <v>14970</v>
      </c>
      <c r="DS964" s="6">
        <v>15.91</v>
      </c>
      <c r="DT964" t="s">
        <v>424</v>
      </c>
      <c r="DU964" s="1">
        <v>44375</v>
      </c>
      <c r="DV964" s="1">
        <v>44464</v>
      </c>
    </row>
    <row r="965" spans="1:126" ht="15" customHeight="1" x14ac:dyDescent="0.35">
      <c r="A965" t="s">
        <v>12710</v>
      </c>
      <c r="B965" t="s">
        <v>318</v>
      </c>
      <c r="C965" s="1">
        <v>44346</v>
      </c>
      <c r="D965" s="1">
        <v>44375</v>
      </c>
      <c r="H965" t="s">
        <v>319</v>
      </c>
      <c r="I965" t="s">
        <v>11028</v>
      </c>
      <c r="J965" t="s">
        <v>11029</v>
      </c>
      <c r="L965" t="s">
        <v>223</v>
      </c>
      <c r="M965" t="s">
        <v>11030</v>
      </c>
      <c r="N965" t="s">
        <v>11031</v>
      </c>
      <c r="O965" t="s">
        <v>9844</v>
      </c>
      <c r="P965" t="s">
        <v>194</v>
      </c>
      <c r="Q965" s="3">
        <v>32408</v>
      </c>
      <c r="R965" t="s">
        <v>128</v>
      </c>
      <c r="T965" s="4">
        <v>17863485408</v>
      </c>
      <c r="V965" t="s">
        <v>7174</v>
      </c>
      <c r="W965" t="s">
        <v>11366</v>
      </c>
      <c r="Y965" t="s">
        <v>11030</v>
      </c>
      <c r="Z965" t="s">
        <v>11031</v>
      </c>
      <c r="AA965" t="s">
        <v>9844</v>
      </c>
      <c r="AB965" t="s">
        <v>195</v>
      </c>
      <c r="AC965" s="3" t="str">
        <f t="shared" si="67"/>
        <v>32408</v>
      </c>
      <c r="AD965" t="s">
        <v>128</v>
      </c>
      <c r="AF965" s="4">
        <v>17863485408</v>
      </c>
      <c r="AH965" t="str">
        <f t="shared" si="68"/>
        <v>56172</v>
      </c>
      <c r="AI965" t="s">
        <v>167</v>
      </c>
      <c r="AX965" t="s">
        <v>131</v>
      </c>
      <c r="AY965" t="s">
        <v>131</v>
      </c>
      <c r="AZ965" t="s">
        <v>131</v>
      </c>
      <c r="BA965" t="s">
        <v>131</v>
      </c>
      <c r="BB965" t="s">
        <v>131</v>
      </c>
      <c r="BC965" t="s">
        <v>131</v>
      </c>
      <c r="BD965" t="s">
        <v>131</v>
      </c>
      <c r="BE965" t="s">
        <v>132</v>
      </c>
      <c r="BH965" t="s">
        <v>4277</v>
      </c>
      <c r="BI965" t="s">
        <v>131</v>
      </c>
      <c r="BL965" t="s">
        <v>167</v>
      </c>
      <c r="BO965" t="s">
        <v>131</v>
      </c>
      <c r="BP965" t="s">
        <v>134</v>
      </c>
      <c r="BQ965" t="s">
        <v>131</v>
      </c>
      <c r="BS965" t="str">
        <f t="shared" si="71"/>
        <v>N/A</v>
      </c>
      <c r="BT965" t="s">
        <v>135</v>
      </c>
      <c r="BU965">
        <v>1</v>
      </c>
      <c r="BV965" t="str">
        <f>"HOUSEKEEPER/MAID/HOUSEMAN"</f>
        <v>HOUSEKEEPER/MAID/HOUSEMAN</v>
      </c>
      <c r="BW965" t="s">
        <v>131</v>
      </c>
      <c r="BX965" t="str">
        <f>""</f>
        <v/>
      </c>
      <c r="BY965" t="str">
        <f>""</f>
        <v/>
      </c>
      <c r="BZ965" t="str">
        <f>""</f>
        <v/>
      </c>
      <c r="CA965" t="str">
        <f>""</f>
        <v/>
      </c>
      <c r="CB965" t="s">
        <v>131</v>
      </c>
      <c r="CF965" t="s">
        <v>131</v>
      </c>
      <c r="CH965" t="str">
        <f>""</f>
        <v/>
      </c>
      <c r="CI965" t="s">
        <v>131</v>
      </c>
      <c r="CK965" t="s">
        <v>131</v>
      </c>
      <c r="CL965" t="str">
        <f>""</f>
        <v/>
      </c>
      <c r="CM965" t="str">
        <f>""</f>
        <v/>
      </c>
      <c r="CN965" t="str">
        <f>""</f>
        <v/>
      </c>
      <c r="CO965" t="str">
        <f>""</f>
        <v/>
      </c>
      <c r="CP965" t="str">
        <f t="shared" si="69"/>
        <v>37-2012.00</v>
      </c>
      <c r="CQ965" t="s">
        <v>479</v>
      </c>
      <c r="CR965" t="s">
        <v>4277</v>
      </c>
      <c r="CS965" t="s">
        <v>131</v>
      </c>
      <c r="CU965" t="s">
        <v>12711</v>
      </c>
      <c r="CW965" t="s">
        <v>2078</v>
      </c>
      <c r="CX965" t="s">
        <v>195</v>
      </c>
      <c r="CZ965" s="3" t="str">
        <f>"33040"</f>
        <v>33040</v>
      </c>
      <c r="DA965" t="s">
        <v>135</v>
      </c>
      <c r="DB965" t="str">
        <f t="shared" si="70"/>
        <v>37-2012</v>
      </c>
      <c r="DC965" t="s">
        <v>479</v>
      </c>
      <c r="DD965" t="s">
        <v>134</v>
      </c>
      <c r="DE965" t="s">
        <v>134</v>
      </c>
      <c r="DF965" t="str">
        <f>""</f>
        <v/>
      </c>
      <c r="DH965" s="6">
        <v>12.28</v>
      </c>
      <c r="DI965" t="s">
        <v>344</v>
      </c>
      <c r="DK965" t="s">
        <v>345</v>
      </c>
      <c r="DR965" t="s">
        <v>2085</v>
      </c>
      <c r="DS965" s="6">
        <v>12.28</v>
      </c>
      <c r="DT965" t="s">
        <v>424</v>
      </c>
      <c r="DU965" s="1">
        <v>44375</v>
      </c>
      <c r="DV965" s="1">
        <v>44464</v>
      </c>
    </row>
    <row r="966" spans="1:126" ht="15" customHeight="1" x14ac:dyDescent="0.35">
      <c r="A966" t="s">
        <v>6211</v>
      </c>
      <c r="B966" t="s">
        <v>318</v>
      </c>
      <c r="C966" s="1">
        <v>44346</v>
      </c>
      <c r="D966" s="1">
        <v>44375</v>
      </c>
      <c r="H966" t="s">
        <v>319</v>
      </c>
      <c r="I966" t="s">
        <v>6212</v>
      </c>
      <c r="J966" t="s">
        <v>6213</v>
      </c>
      <c r="L966" t="s">
        <v>1031</v>
      </c>
      <c r="M966" t="s">
        <v>6214</v>
      </c>
      <c r="O966" t="s">
        <v>6215</v>
      </c>
      <c r="P966" t="s">
        <v>194</v>
      </c>
      <c r="Q966" s="3">
        <v>34145</v>
      </c>
      <c r="R966" t="s">
        <v>128</v>
      </c>
      <c r="T966" s="4">
        <v>12393943313</v>
      </c>
      <c r="V966" t="s">
        <v>1021</v>
      </c>
      <c r="W966" t="s">
        <v>6216</v>
      </c>
      <c r="Y966" t="s">
        <v>6217</v>
      </c>
      <c r="AA966" t="s">
        <v>6215</v>
      </c>
      <c r="AB966" t="s">
        <v>195</v>
      </c>
      <c r="AC966" s="3" t="str">
        <f>"34145"</f>
        <v>34145</v>
      </c>
      <c r="AD966" t="s">
        <v>128</v>
      </c>
      <c r="AF966" s="4">
        <v>12393943313</v>
      </c>
      <c r="AH966" t="str">
        <f>"72251"</f>
        <v>72251</v>
      </c>
      <c r="AI966" t="s">
        <v>287</v>
      </c>
      <c r="AJ966" t="s">
        <v>1024</v>
      </c>
      <c r="AK966" t="s">
        <v>1025</v>
      </c>
      <c r="AM966" t="s">
        <v>1026</v>
      </c>
      <c r="AO966" t="s">
        <v>1027</v>
      </c>
      <c r="AP966" t="s">
        <v>129</v>
      </c>
      <c r="AQ966" s="5">
        <v>11590</v>
      </c>
      <c r="AR966" t="s">
        <v>128</v>
      </c>
      <c r="AT966" s="4">
        <v>15163307168</v>
      </c>
      <c r="AV966" t="s">
        <v>1021</v>
      </c>
      <c r="AW966" t="s">
        <v>1028</v>
      </c>
      <c r="AX966" t="s">
        <v>131</v>
      </c>
      <c r="AY966" t="s">
        <v>131</v>
      </c>
      <c r="AZ966" t="s">
        <v>131</v>
      </c>
      <c r="BA966" t="s">
        <v>131</v>
      </c>
      <c r="BB966" t="s">
        <v>131</v>
      </c>
      <c r="BC966" t="s">
        <v>131</v>
      </c>
      <c r="BD966" t="s">
        <v>131</v>
      </c>
      <c r="BE966" t="s">
        <v>132</v>
      </c>
      <c r="BH966" t="s">
        <v>6218</v>
      </c>
      <c r="BI966" t="s">
        <v>131</v>
      </c>
      <c r="BL966" t="s">
        <v>167</v>
      </c>
      <c r="BO966" t="s">
        <v>131</v>
      </c>
      <c r="BP966" t="s">
        <v>134</v>
      </c>
      <c r="BQ966" t="s">
        <v>131</v>
      </c>
      <c r="BS966" t="str">
        <f t="shared" si="71"/>
        <v>N/A</v>
      </c>
      <c r="BT966" t="s">
        <v>131</v>
      </c>
      <c r="BV966" t="str">
        <f>""</f>
        <v/>
      </c>
      <c r="BW966" t="s">
        <v>131</v>
      </c>
      <c r="BX966" t="str">
        <f>""</f>
        <v/>
      </c>
      <c r="BY966" t="str">
        <f>""</f>
        <v/>
      </c>
      <c r="BZ966" t="str">
        <f>""</f>
        <v/>
      </c>
      <c r="CA966" t="str">
        <f>""</f>
        <v/>
      </c>
      <c r="CB966" t="s">
        <v>131</v>
      </c>
      <c r="CF966" t="s">
        <v>131</v>
      </c>
      <c r="CH966" t="str">
        <f>""</f>
        <v/>
      </c>
      <c r="CI966" t="s">
        <v>131</v>
      </c>
      <c r="CK966" t="s">
        <v>131</v>
      </c>
      <c r="CL966" t="str">
        <f>""</f>
        <v/>
      </c>
      <c r="CM966" t="str">
        <f>""</f>
        <v/>
      </c>
      <c r="CN966" t="str">
        <f>""</f>
        <v/>
      </c>
      <c r="CO966" t="str">
        <f>""</f>
        <v/>
      </c>
      <c r="CP966" t="str">
        <f>"35-2014.00"</f>
        <v>35-2014.00</v>
      </c>
      <c r="CQ966" t="s">
        <v>581</v>
      </c>
      <c r="CR966" t="s">
        <v>6219</v>
      </c>
      <c r="CS966" t="s">
        <v>131</v>
      </c>
      <c r="CU966" t="s">
        <v>6214</v>
      </c>
      <c r="CW966" t="s">
        <v>6215</v>
      </c>
      <c r="CX966" t="s">
        <v>195</v>
      </c>
      <c r="CZ966" s="3" t="str">
        <f>"34145"</f>
        <v>34145</v>
      </c>
      <c r="DA966" t="s">
        <v>131</v>
      </c>
      <c r="DB966" t="str">
        <f>"35-2014"</f>
        <v>35-2014</v>
      </c>
      <c r="DC966" t="s">
        <v>581</v>
      </c>
      <c r="DD966" t="s">
        <v>134</v>
      </c>
      <c r="DE966" t="s">
        <v>134</v>
      </c>
      <c r="DF966" t="str">
        <f>""</f>
        <v/>
      </c>
      <c r="DH966" s="6">
        <v>15.46</v>
      </c>
      <c r="DI966" t="s">
        <v>344</v>
      </c>
      <c r="DK966" t="s">
        <v>345</v>
      </c>
      <c r="DR966" t="s">
        <v>5543</v>
      </c>
      <c r="DS966" s="6">
        <v>15.46</v>
      </c>
      <c r="DT966" t="s">
        <v>424</v>
      </c>
      <c r="DU966" s="1">
        <v>44375</v>
      </c>
      <c r="DV966" s="1">
        <v>44464</v>
      </c>
    </row>
    <row r="967" spans="1:126" ht="15" customHeight="1" x14ac:dyDescent="0.35">
      <c r="A967" t="s">
        <v>5309</v>
      </c>
      <c r="B967" t="s">
        <v>318</v>
      </c>
      <c r="C967" s="1">
        <v>44346</v>
      </c>
      <c r="D967" s="1">
        <v>44375</v>
      </c>
      <c r="H967" t="s">
        <v>319</v>
      </c>
      <c r="I967" t="s">
        <v>5310</v>
      </c>
      <c r="J967" t="s">
        <v>5311</v>
      </c>
      <c r="L967" t="s">
        <v>1031</v>
      </c>
      <c r="M967" t="s">
        <v>5312</v>
      </c>
      <c r="N967" t="s">
        <v>5313</v>
      </c>
      <c r="O967" t="s">
        <v>5314</v>
      </c>
      <c r="P967" t="s">
        <v>127</v>
      </c>
      <c r="Q967" s="3">
        <v>11969</v>
      </c>
      <c r="R967" t="s">
        <v>128</v>
      </c>
      <c r="T967" s="4">
        <v>16312970959</v>
      </c>
      <c r="V967" t="s">
        <v>1021</v>
      </c>
      <c r="W967" t="s">
        <v>5315</v>
      </c>
      <c r="Y967" t="s">
        <v>5312</v>
      </c>
      <c r="Z967" t="s">
        <v>5313</v>
      </c>
      <c r="AA967" t="s">
        <v>5314</v>
      </c>
      <c r="AB967" t="s">
        <v>129</v>
      </c>
      <c r="AC967" s="3" t="str">
        <f>"11969"</f>
        <v>11969</v>
      </c>
      <c r="AD967" t="s">
        <v>128</v>
      </c>
      <c r="AF967" s="4">
        <v>16312970959</v>
      </c>
      <c r="AH967" t="str">
        <f>"56173"</f>
        <v>56173</v>
      </c>
      <c r="AI967" t="s">
        <v>287</v>
      </c>
      <c r="AJ967" t="s">
        <v>1024</v>
      </c>
      <c r="AK967" t="s">
        <v>1025</v>
      </c>
      <c r="AM967" t="s">
        <v>1026</v>
      </c>
      <c r="AO967" t="s">
        <v>1027</v>
      </c>
      <c r="AP967" t="s">
        <v>129</v>
      </c>
      <c r="AQ967" s="5">
        <v>11590</v>
      </c>
      <c r="AR967" t="s">
        <v>128</v>
      </c>
      <c r="AT967" s="4">
        <v>15163307168</v>
      </c>
      <c r="AV967" t="s">
        <v>1021</v>
      </c>
      <c r="AW967" t="s">
        <v>1028</v>
      </c>
      <c r="AX967" t="s">
        <v>131</v>
      </c>
      <c r="AY967" t="s">
        <v>131</v>
      </c>
      <c r="AZ967" t="s">
        <v>131</v>
      </c>
      <c r="BA967" t="s">
        <v>131</v>
      </c>
      <c r="BB967" t="s">
        <v>131</v>
      </c>
      <c r="BC967" t="s">
        <v>131</v>
      </c>
      <c r="BD967" t="s">
        <v>131</v>
      </c>
      <c r="BE967" t="s">
        <v>132</v>
      </c>
      <c r="BH967" t="s">
        <v>5067</v>
      </c>
      <c r="BI967" t="s">
        <v>131</v>
      </c>
      <c r="BL967" t="s">
        <v>167</v>
      </c>
      <c r="BO967" t="s">
        <v>131</v>
      </c>
      <c r="BP967" t="s">
        <v>134</v>
      </c>
      <c r="BQ967" t="s">
        <v>131</v>
      </c>
      <c r="BS967" t="str">
        <f t="shared" si="71"/>
        <v>N/A</v>
      </c>
      <c r="BT967" t="s">
        <v>135</v>
      </c>
      <c r="BU967">
        <v>1</v>
      </c>
      <c r="BV967" t="str">
        <f>"LANDSCAPE LABORER"</f>
        <v>LANDSCAPE LABORER</v>
      </c>
      <c r="BW967" t="s">
        <v>131</v>
      </c>
      <c r="BX967" t="str">
        <f>""</f>
        <v/>
      </c>
      <c r="BY967" t="str">
        <f>""</f>
        <v/>
      </c>
      <c r="BZ967" t="str">
        <f>""</f>
        <v/>
      </c>
      <c r="CA967" t="str">
        <f>""</f>
        <v/>
      </c>
      <c r="CB967" t="s">
        <v>131</v>
      </c>
      <c r="CF967" t="s">
        <v>131</v>
      </c>
      <c r="CH967" t="str">
        <f>""</f>
        <v/>
      </c>
      <c r="CI967" t="s">
        <v>131</v>
      </c>
      <c r="CK967" t="s">
        <v>131</v>
      </c>
      <c r="CL967" t="str">
        <f>""</f>
        <v/>
      </c>
      <c r="CM967" t="str">
        <f>""</f>
        <v/>
      </c>
      <c r="CN967" t="str">
        <f>""</f>
        <v/>
      </c>
      <c r="CO967" t="str">
        <f>""</f>
        <v/>
      </c>
      <c r="CP967" t="str">
        <f>"37-3011.00"</f>
        <v>37-3011.00</v>
      </c>
      <c r="CQ967" t="s">
        <v>920</v>
      </c>
      <c r="CR967" t="s">
        <v>5068</v>
      </c>
      <c r="CS967" t="s">
        <v>135</v>
      </c>
      <c r="CT967" s="2" t="s">
        <v>5316</v>
      </c>
      <c r="CU967" t="s">
        <v>5312</v>
      </c>
      <c r="CW967" t="s">
        <v>5314</v>
      </c>
      <c r="CX967" t="s">
        <v>129</v>
      </c>
      <c r="CZ967" s="3" t="str">
        <f>"11969"</f>
        <v>11969</v>
      </c>
      <c r="DA967" t="s">
        <v>135</v>
      </c>
      <c r="DB967" t="str">
        <f>"37-3011"</f>
        <v>37-3011</v>
      </c>
      <c r="DC967" t="s">
        <v>920</v>
      </c>
      <c r="DD967" t="s">
        <v>134</v>
      </c>
      <c r="DE967" t="s">
        <v>134</v>
      </c>
      <c r="DF967" t="str">
        <f>""</f>
        <v/>
      </c>
      <c r="DH967" s="6">
        <v>17.75</v>
      </c>
      <c r="DI967" t="s">
        <v>344</v>
      </c>
      <c r="DK967" t="s">
        <v>345</v>
      </c>
      <c r="DR967" t="s">
        <v>346</v>
      </c>
      <c r="DS967" s="6">
        <v>17.75</v>
      </c>
      <c r="DT967" s="2" t="s">
        <v>5051</v>
      </c>
      <c r="DU967" s="1">
        <v>44375</v>
      </c>
      <c r="DV967" s="1">
        <v>44464</v>
      </c>
    </row>
    <row r="968" spans="1:126" ht="15" customHeight="1" x14ac:dyDescent="0.35">
      <c r="A968" t="s">
        <v>15817</v>
      </c>
      <c r="B968" t="s">
        <v>318</v>
      </c>
      <c r="C968" s="1">
        <v>44347</v>
      </c>
      <c r="D968" s="1">
        <v>44375</v>
      </c>
      <c r="H968" t="s">
        <v>319</v>
      </c>
      <c r="I968" t="s">
        <v>15818</v>
      </c>
      <c r="J968" t="s">
        <v>4405</v>
      </c>
      <c r="L968" t="s">
        <v>1105</v>
      </c>
      <c r="M968" t="s">
        <v>15819</v>
      </c>
      <c r="O968" t="s">
        <v>15820</v>
      </c>
      <c r="P968" t="s">
        <v>629</v>
      </c>
      <c r="Q968" s="3">
        <v>39747</v>
      </c>
      <c r="R968" t="s">
        <v>128</v>
      </c>
      <c r="T968" s="4">
        <v>16623108401</v>
      </c>
      <c r="V968" t="s">
        <v>15821</v>
      </c>
      <c r="W968" t="s">
        <v>15822</v>
      </c>
      <c r="Y968" t="s">
        <v>15823</v>
      </c>
      <c r="AA968" t="s">
        <v>15820</v>
      </c>
      <c r="AB968" t="s">
        <v>630</v>
      </c>
      <c r="AC968" s="3" t="str">
        <f>"39747"</f>
        <v>39747</v>
      </c>
      <c r="AD968" t="s">
        <v>128</v>
      </c>
      <c r="AF968" s="4">
        <v>16623108401</v>
      </c>
      <c r="AH968" t="str">
        <f>"115310"</f>
        <v>115310</v>
      </c>
      <c r="AI968" t="s">
        <v>130</v>
      </c>
      <c r="AJ968" t="s">
        <v>15824</v>
      </c>
      <c r="AK968" t="s">
        <v>5804</v>
      </c>
      <c r="AL968" t="s">
        <v>15825</v>
      </c>
      <c r="AM968" t="s">
        <v>15826</v>
      </c>
      <c r="AN968" t="s">
        <v>225</v>
      </c>
      <c r="AO968" t="s">
        <v>15827</v>
      </c>
      <c r="AP968" t="s">
        <v>630</v>
      </c>
      <c r="AQ968" s="5">
        <v>39272</v>
      </c>
      <c r="AR968" t="s">
        <v>128</v>
      </c>
      <c r="AT968" s="4">
        <v>16015020955</v>
      </c>
      <c r="AV968" t="s">
        <v>15828</v>
      </c>
      <c r="AW968" t="s">
        <v>15829</v>
      </c>
      <c r="AX968" t="s">
        <v>131</v>
      </c>
      <c r="AY968" t="s">
        <v>131</v>
      </c>
      <c r="AZ968" t="s">
        <v>131</v>
      </c>
      <c r="BA968" t="s">
        <v>131</v>
      </c>
      <c r="BB968" t="s">
        <v>131</v>
      </c>
      <c r="BC968" t="s">
        <v>131</v>
      </c>
      <c r="BD968" t="s">
        <v>131</v>
      </c>
      <c r="BE968" t="s">
        <v>132</v>
      </c>
      <c r="BH968" t="s">
        <v>6431</v>
      </c>
      <c r="BI968" t="s">
        <v>131</v>
      </c>
      <c r="BL968" t="s">
        <v>167</v>
      </c>
      <c r="BO968" t="s">
        <v>131</v>
      </c>
      <c r="BP968" t="s">
        <v>134</v>
      </c>
      <c r="BQ968" t="s">
        <v>131</v>
      </c>
      <c r="BS968" t="str">
        <f t="shared" si="71"/>
        <v>N/A</v>
      </c>
      <c r="BT968" t="s">
        <v>131</v>
      </c>
      <c r="BV968" t="str">
        <f>""</f>
        <v/>
      </c>
      <c r="BW968" t="s">
        <v>135</v>
      </c>
      <c r="BX968" t="str">
        <f>""</f>
        <v/>
      </c>
      <c r="BY968" t="str">
        <f>""</f>
        <v/>
      </c>
      <c r="BZ968" t="str">
        <f>""</f>
        <v/>
      </c>
      <c r="CA968" t="str">
        <f>"Lift and carry bags weighing approximately 50 pounds."</f>
        <v>Lift and carry bags weighing approximately 50 pounds.</v>
      </c>
      <c r="CB968" t="s">
        <v>131</v>
      </c>
      <c r="CF968" t="s">
        <v>131</v>
      </c>
      <c r="CH968" t="str">
        <f>""</f>
        <v/>
      </c>
      <c r="CI968" t="s">
        <v>131</v>
      </c>
      <c r="CK968" t="s">
        <v>131</v>
      </c>
      <c r="CL968" t="str">
        <f>""</f>
        <v/>
      </c>
      <c r="CM968" t="str">
        <f>""</f>
        <v/>
      </c>
      <c r="CN968" t="str">
        <f>""</f>
        <v/>
      </c>
      <c r="CO968" t="str">
        <f>""</f>
        <v/>
      </c>
      <c r="CP968" t="str">
        <f>"45-4011.00"</f>
        <v>45-4011.00</v>
      </c>
      <c r="CQ968" t="s">
        <v>4310</v>
      </c>
      <c r="CR968" t="s">
        <v>1105</v>
      </c>
      <c r="CS968" t="s">
        <v>131</v>
      </c>
      <c r="CU968" t="s">
        <v>15823</v>
      </c>
      <c r="CW968" t="s">
        <v>15820</v>
      </c>
      <c r="CX968" t="s">
        <v>630</v>
      </c>
      <c r="CZ968" s="3" t="str">
        <f>"39747"</f>
        <v>39747</v>
      </c>
      <c r="DA968" t="s">
        <v>135</v>
      </c>
      <c r="DB968" t="str">
        <f>"45-4011"</f>
        <v>45-4011</v>
      </c>
      <c r="DC968" t="s">
        <v>4310</v>
      </c>
      <c r="DD968" t="s">
        <v>134</v>
      </c>
      <c r="DE968" t="s">
        <v>134</v>
      </c>
      <c r="DF968" t="str">
        <f>""</f>
        <v/>
      </c>
      <c r="DH968" s="6">
        <v>15.76</v>
      </c>
      <c r="DI968" t="s">
        <v>344</v>
      </c>
      <c r="DK968" t="s">
        <v>345</v>
      </c>
      <c r="DR968" t="s">
        <v>15830</v>
      </c>
      <c r="DS968" s="6">
        <v>15.76</v>
      </c>
      <c r="DT968" t="s">
        <v>424</v>
      </c>
      <c r="DU968" s="1">
        <v>44375</v>
      </c>
      <c r="DV968" s="1">
        <v>44464</v>
      </c>
    </row>
    <row r="969" spans="1:126" ht="15" customHeight="1" x14ac:dyDescent="0.35">
      <c r="A969" t="s">
        <v>12816</v>
      </c>
      <c r="B969" t="s">
        <v>318</v>
      </c>
      <c r="C969" s="1">
        <v>44347</v>
      </c>
      <c r="D969" s="1">
        <v>44375</v>
      </c>
      <c r="H969" t="s">
        <v>319</v>
      </c>
      <c r="I969" t="s">
        <v>12817</v>
      </c>
      <c r="J969" t="s">
        <v>12818</v>
      </c>
      <c r="K969" t="s">
        <v>134</v>
      </c>
      <c r="L969" t="s">
        <v>460</v>
      </c>
      <c r="M969" t="s">
        <v>12819</v>
      </c>
      <c r="O969" t="s">
        <v>5746</v>
      </c>
      <c r="P969" t="s">
        <v>3075</v>
      </c>
      <c r="Q969" s="3">
        <v>83346</v>
      </c>
      <c r="R969" t="s">
        <v>128</v>
      </c>
      <c r="T969" s="4">
        <v>12084318787</v>
      </c>
      <c r="V969" t="s">
        <v>12820</v>
      </c>
      <c r="W969" t="s">
        <v>12821</v>
      </c>
      <c r="Y969" t="s">
        <v>12819</v>
      </c>
      <c r="AA969" t="s">
        <v>5746</v>
      </c>
      <c r="AB969" t="s">
        <v>1243</v>
      </c>
      <c r="AC969" s="3" t="str">
        <f>"83346"</f>
        <v>83346</v>
      </c>
      <c r="AD969" t="s">
        <v>128</v>
      </c>
      <c r="AF969" s="4">
        <v>12084318787</v>
      </c>
      <c r="AH969" t="str">
        <f>"11531"</f>
        <v>11531</v>
      </c>
      <c r="AI969" t="s">
        <v>287</v>
      </c>
      <c r="AJ969" t="s">
        <v>776</v>
      </c>
      <c r="AK969" t="s">
        <v>2901</v>
      </c>
      <c r="AL969" t="s">
        <v>645</v>
      </c>
      <c r="AM969" t="s">
        <v>7932</v>
      </c>
      <c r="AN969" t="s">
        <v>2377</v>
      </c>
      <c r="AO969" t="s">
        <v>4815</v>
      </c>
      <c r="AP969" t="s">
        <v>1243</v>
      </c>
      <c r="AQ969" s="5">
        <v>83814</v>
      </c>
      <c r="AR969" t="s">
        <v>128</v>
      </c>
      <c r="AT969" s="4">
        <v>12087772654</v>
      </c>
      <c r="AV969" t="s">
        <v>8906</v>
      </c>
      <c r="AW969" t="s">
        <v>4715</v>
      </c>
      <c r="AX969" t="s">
        <v>131</v>
      </c>
      <c r="AY969" t="s">
        <v>131</v>
      </c>
      <c r="AZ969" t="s">
        <v>131</v>
      </c>
      <c r="BA969" t="s">
        <v>131</v>
      </c>
      <c r="BB969" t="s">
        <v>131</v>
      </c>
      <c r="BC969" t="s">
        <v>131</v>
      </c>
      <c r="BD969" t="s">
        <v>131</v>
      </c>
      <c r="BE969" t="s">
        <v>132</v>
      </c>
      <c r="BH969" t="s">
        <v>6431</v>
      </c>
      <c r="BI969" t="s">
        <v>131</v>
      </c>
      <c r="BL969" t="s">
        <v>167</v>
      </c>
      <c r="BO969" t="s">
        <v>131</v>
      </c>
      <c r="BP969" t="s">
        <v>134</v>
      </c>
      <c r="BQ969" t="s">
        <v>131</v>
      </c>
      <c r="BS969" t="str">
        <f t="shared" si="71"/>
        <v>N/A</v>
      </c>
      <c r="BT969" t="s">
        <v>135</v>
      </c>
      <c r="BU969">
        <v>2</v>
      </c>
      <c r="BV969" t="str">
        <f>"Forestry"</f>
        <v>Forestry</v>
      </c>
      <c r="BW969" t="s">
        <v>135</v>
      </c>
      <c r="BX969" t="str">
        <f>""</f>
        <v/>
      </c>
      <c r="BY969" t="str">
        <f>""</f>
        <v/>
      </c>
      <c r="BZ969" t="str">
        <f>""</f>
        <v/>
      </c>
      <c r="CA969" t="s">
        <v>12822</v>
      </c>
      <c r="CB969" t="s">
        <v>131</v>
      </c>
      <c r="CF969" t="s">
        <v>131</v>
      </c>
      <c r="CH969" t="str">
        <f>""</f>
        <v/>
      </c>
      <c r="CI969" t="s">
        <v>131</v>
      </c>
      <c r="CK969" t="s">
        <v>131</v>
      </c>
      <c r="CL969" t="str">
        <f>""</f>
        <v/>
      </c>
      <c r="CM969" t="str">
        <f>""</f>
        <v/>
      </c>
      <c r="CN969" t="str">
        <f>""</f>
        <v/>
      </c>
      <c r="CO969" t="str">
        <f>""</f>
        <v/>
      </c>
      <c r="CP969" t="str">
        <f>"45-4011.00"</f>
        <v>45-4011.00</v>
      </c>
      <c r="CQ969" t="s">
        <v>4310</v>
      </c>
      <c r="CR969" t="s">
        <v>6431</v>
      </c>
      <c r="CS969" t="s">
        <v>135</v>
      </c>
      <c r="CT969" t="s">
        <v>12823</v>
      </c>
      <c r="CU969" t="s">
        <v>12824</v>
      </c>
      <c r="CW969" t="s">
        <v>5746</v>
      </c>
      <c r="CX969" t="s">
        <v>1243</v>
      </c>
      <c r="CZ969" s="3" t="str">
        <f>"83346"</f>
        <v>83346</v>
      </c>
      <c r="DA969" t="s">
        <v>135</v>
      </c>
      <c r="DB969" t="str">
        <f>"45-4011"</f>
        <v>45-4011</v>
      </c>
      <c r="DC969" t="s">
        <v>4310</v>
      </c>
      <c r="DD969" t="s">
        <v>134</v>
      </c>
      <c r="DE969" t="s">
        <v>134</v>
      </c>
      <c r="DF969" t="str">
        <f>""</f>
        <v/>
      </c>
      <c r="DH969" s="6">
        <v>15.76</v>
      </c>
      <c r="DI969" t="s">
        <v>344</v>
      </c>
      <c r="DK969" t="s">
        <v>345</v>
      </c>
      <c r="DS969" s="6">
        <v>20.100000000000001</v>
      </c>
      <c r="DT969" s="2" t="s">
        <v>5051</v>
      </c>
      <c r="DU969" s="1">
        <v>44375</v>
      </c>
      <c r="DV969" s="1">
        <v>44464</v>
      </c>
    </row>
    <row r="970" spans="1:126" ht="15" customHeight="1" x14ac:dyDescent="0.35">
      <c r="A970" t="s">
        <v>16081</v>
      </c>
      <c r="B970" t="s">
        <v>318</v>
      </c>
      <c r="C970" s="1">
        <v>44347</v>
      </c>
      <c r="D970" s="1">
        <v>44375</v>
      </c>
      <c r="H970" t="s">
        <v>319</v>
      </c>
      <c r="I970" t="s">
        <v>5986</v>
      </c>
      <c r="J970" t="s">
        <v>16082</v>
      </c>
      <c r="L970" t="s">
        <v>16083</v>
      </c>
      <c r="M970" t="s">
        <v>16084</v>
      </c>
      <c r="O970" t="s">
        <v>13651</v>
      </c>
      <c r="P970" t="s">
        <v>194</v>
      </c>
      <c r="Q970" s="3">
        <v>33050</v>
      </c>
      <c r="R970" t="s">
        <v>128</v>
      </c>
      <c r="T970" s="4">
        <v>13057436727</v>
      </c>
      <c r="V970" t="s">
        <v>16085</v>
      </c>
      <c r="W970" t="s">
        <v>16086</v>
      </c>
      <c r="Y970" t="s">
        <v>16087</v>
      </c>
      <c r="AA970" t="s">
        <v>13651</v>
      </c>
      <c r="AB970" t="s">
        <v>195</v>
      </c>
      <c r="AC970" s="3" t="str">
        <f>"33050"</f>
        <v>33050</v>
      </c>
      <c r="AD970" t="s">
        <v>128</v>
      </c>
      <c r="AF970" s="4">
        <v>13054813175</v>
      </c>
      <c r="AH970" t="str">
        <f>"11411"</f>
        <v>11411</v>
      </c>
      <c r="AI970" t="s">
        <v>167</v>
      </c>
      <c r="AX970" t="s">
        <v>131</v>
      </c>
      <c r="AY970" t="s">
        <v>131</v>
      </c>
      <c r="AZ970" t="s">
        <v>131</v>
      </c>
      <c r="BA970" t="s">
        <v>131</v>
      </c>
      <c r="BB970" t="s">
        <v>131</v>
      </c>
      <c r="BC970" t="s">
        <v>131</v>
      </c>
      <c r="BD970" t="s">
        <v>131</v>
      </c>
      <c r="BE970" t="s">
        <v>132</v>
      </c>
      <c r="BH970" t="s">
        <v>16088</v>
      </c>
      <c r="BI970" t="s">
        <v>131</v>
      </c>
      <c r="BL970" t="s">
        <v>167</v>
      </c>
      <c r="BO970" t="s">
        <v>131</v>
      </c>
      <c r="BP970" t="s">
        <v>134</v>
      </c>
      <c r="BQ970" t="s">
        <v>131</v>
      </c>
      <c r="BS970" t="str">
        <f t="shared" si="71"/>
        <v>N/A</v>
      </c>
      <c r="BT970" t="s">
        <v>135</v>
      </c>
      <c r="BU970">
        <v>3</v>
      </c>
      <c r="BV970" t="str">
        <f>"Fishing with use of hydraulic equipment, clearing and staking traps."</f>
        <v>Fishing with use of hydraulic equipment, clearing and staking traps.</v>
      </c>
      <c r="BW970" t="s">
        <v>131</v>
      </c>
      <c r="BX970" t="str">
        <f>""</f>
        <v/>
      </c>
      <c r="BY970" t="str">
        <f>""</f>
        <v/>
      </c>
      <c r="BZ970" t="str">
        <f>""</f>
        <v/>
      </c>
      <c r="CA970" t="str">
        <f>""</f>
        <v/>
      </c>
      <c r="CB970" t="s">
        <v>131</v>
      </c>
      <c r="CF970" t="s">
        <v>131</v>
      </c>
      <c r="CH970" t="str">
        <f>""</f>
        <v/>
      </c>
      <c r="CI970" t="s">
        <v>131</v>
      </c>
      <c r="CK970" t="s">
        <v>131</v>
      </c>
      <c r="CL970" t="str">
        <f>""</f>
        <v/>
      </c>
      <c r="CM970" t="str">
        <f>""</f>
        <v/>
      </c>
      <c r="CN970" t="str">
        <f>""</f>
        <v/>
      </c>
      <c r="CO970" t="str">
        <f>""</f>
        <v/>
      </c>
      <c r="CP970" t="str">
        <f>"45-3011.00"</f>
        <v>45-3011.00</v>
      </c>
      <c r="CQ970" t="s">
        <v>1770</v>
      </c>
      <c r="CR970" t="s">
        <v>16088</v>
      </c>
      <c r="CS970" t="s">
        <v>135</v>
      </c>
      <c r="CT970" s="2" t="s">
        <v>16089</v>
      </c>
      <c r="CU970" t="s">
        <v>16084</v>
      </c>
      <c r="CW970" t="s">
        <v>13651</v>
      </c>
      <c r="CX970" t="s">
        <v>195</v>
      </c>
      <c r="CZ970" s="3" t="str">
        <f>"33050"</f>
        <v>33050</v>
      </c>
      <c r="DA970" t="s">
        <v>131</v>
      </c>
      <c r="DB970" t="str">
        <f>"45-3011"</f>
        <v>45-3011</v>
      </c>
      <c r="DC970" t="s">
        <v>1770</v>
      </c>
      <c r="DD970" t="s">
        <v>134</v>
      </c>
      <c r="DE970" t="s">
        <v>134</v>
      </c>
      <c r="DF970" t="str">
        <f>""</f>
        <v/>
      </c>
      <c r="DH970" s="6">
        <v>12.97</v>
      </c>
      <c r="DI970" t="s">
        <v>344</v>
      </c>
      <c r="DK970" t="s">
        <v>345</v>
      </c>
      <c r="DR970" t="s">
        <v>2085</v>
      </c>
      <c r="DS970" s="6">
        <v>12.97</v>
      </c>
      <c r="DT970" s="2" t="s">
        <v>2219</v>
      </c>
      <c r="DU970" s="1">
        <v>44375</v>
      </c>
      <c r="DV970" s="1">
        <v>44464</v>
      </c>
    </row>
    <row r="971" spans="1:126" ht="15" customHeight="1" x14ac:dyDescent="0.35">
      <c r="A971" t="s">
        <v>12557</v>
      </c>
      <c r="B971" t="s">
        <v>318</v>
      </c>
      <c r="C971" s="1">
        <v>44347</v>
      </c>
      <c r="D971" s="1">
        <v>44375</v>
      </c>
      <c r="H971" t="s">
        <v>319</v>
      </c>
      <c r="I971" t="s">
        <v>12558</v>
      </c>
      <c r="J971" t="s">
        <v>4512</v>
      </c>
      <c r="L971" t="s">
        <v>395</v>
      </c>
      <c r="M971" t="s">
        <v>4513</v>
      </c>
      <c r="O971" t="s">
        <v>642</v>
      </c>
      <c r="Q971" s="3">
        <v>30340</v>
      </c>
      <c r="R971" t="s">
        <v>643</v>
      </c>
      <c r="T971" s="4">
        <v>14049341359</v>
      </c>
      <c r="V971" t="s">
        <v>4514</v>
      </c>
      <c r="W971" t="s">
        <v>12559</v>
      </c>
      <c r="X971" t="s">
        <v>12560</v>
      </c>
      <c r="Y971" t="s">
        <v>12561</v>
      </c>
      <c r="AA971" t="s">
        <v>1145</v>
      </c>
      <c r="AB971" t="s">
        <v>643</v>
      </c>
      <c r="AC971" s="3" t="str">
        <f>"30501"</f>
        <v>30501</v>
      </c>
      <c r="AD971" t="s">
        <v>128</v>
      </c>
      <c r="AF971" s="4">
        <v>16785959160</v>
      </c>
      <c r="AH971" t="str">
        <f>"722511"</f>
        <v>722511</v>
      </c>
      <c r="AI971" t="s">
        <v>287</v>
      </c>
      <c r="AJ971" t="s">
        <v>4511</v>
      </c>
      <c r="AK971" t="s">
        <v>4512</v>
      </c>
      <c r="AM971" t="s">
        <v>4513</v>
      </c>
      <c r="AO971" t="s">
        <v>642</v>
      </c>
      <c r="AQ971" s="5">
        <v>30340</v>
      </c>
      <c r="AR971" t="s">
        <v>643</v>
      </c>
      <c r="AT971" s="4">
        <v>14049341359</v>
      </c>
      <c r="AV971" t="s">
        <v>4514</v>
      </c>
      <c r="AW971" t="s">
        <v>4517</v>
      </c>
      <c r="AX971" t="s">
        <v>131</v>
      </c>
      <c r="AY971" t="s">
        <v>131</v>
      </c>
      <c r="AZ971" t="s">
        <v>131</v>
      </c>
      <c r="BA971" t="s">
        <v>131</v>
      </c>
      <c r="BB971" t="s">
        <v>131</v>
      </c>
      <c r="BC971" t="s">
        <v>131</v>
      </c>
      <c r="BD971" t="s">
        <v>131</v>
      </c>
      <c r="BE971" t="s">
        <v>132</v>
      </c>
      <c r="BH971" t="s">
        <v>12562</v>
      </c>
      <c r="BI971" t="s">
        <v>131</v>
      </c>
      <c r="BL971" t="s">
        <v>167</v>
      </c>
      <c r="BO971" t="s">
        <v>131</v>
      </c>
      <c r="BP971" t="s">
        <v>134</v>
      </c>
      <c r="BQ971" t="s">
        <v>131</v>
      </c>
      <c r="BS971" t="str">
        <f t="shared" si="71"/>
        <v>N/A</v>
      </c>
      <c r="BT971" t="s">
        <v>131</v>
      </c>
      <c r="BV971" t="str">
        <f>""</f>
        <v/>
      </c>
      <c r="BW971" t="s">
        <v>131</v>
      </c>
      <c r="BX971" t="str">
        <f>""</f>
        <v/>
      </c>
      <c r="BY971" t="str">
        <f>""</f>
        <v/>
      </c>
      <c r="BZ971" t="str">
        <f>""</f>
        <v/>
      </c>
      <c r="CA971" t="str">
        <f>""</f>
        <v/>
      </c>
      <c r="CB971" t="s">
        <v>131</v>
      </c>
      <c r="CF971" t="s">
        <v>131</v>
      </c>
      <c r="CH971" t="str">
        <f>""</f>
        <v/>
      </c>
      <c r="CI971" t="s">
        <v>131</v>
      </c>
      <c r="CK971" t="s">
        <v>131</v>
      </c>
      <c r="CL971" t="str">
        <f>""</f>
        <v/>
      </c>
      <c r="CM971" t="str">
        <f>""</f>
        <v/>
      </c>
      <c r="CN971" t="str">
        <f>""</f>
        <v/>
      </c>
      <c r="CO971" t="str">
        <f>""</f>
        <v/>
      </c>
      <c r="CP971" t="str">
        <f>"35-2011.00"</f>
        <v>35-2011.00</v>
      </c>
      <c r="CQ971" t="s">
        <v>7074</v>
      </c>
      <c r="CR971" t="s">
        <v>918</v>
      </c>
      <c r="CS971" t="s">
        <v>135</v>
      </c>
      <c r="CT971" t="s">
        <v>12563</v>
      </c>
      <c r="CU971" t="s">
        <v>12561</v>
      </c>
      <c r="CW971" t="s">
        <v>1145</v>
      </c>
      <c r="CX971" t="s">
        <v>643</v>
      </c>
      <c r="CZ971" s="3" t="str">
        <f>"30501"</f>
        <v>30501</v>
      </c>
      <c r="DA971" t="s">
        <v>135</v>
      </c>
      <c r="DB971" t="str">
        <f>"35-2011"</f>
        <v>35-2011</v>
      </c>
      <c r="DC971" t="s">
        <v>7074</v>
      </c>
      <c r="DD971" t="s">
        <v>134</v>
      </c>
      <c r="DE971" t="s">
        <v>134</v>
      </c>
      <c r="DF971" t="str">
        <f>""</f>
        <v/>
      </c>
      <c r="DH971" s="6">
        <v>9.39</v>
      </c>
      <c r="DI971" t="s">
        <v>344</v>
      </c>
      <c r="DK971" t="s">
        <v>345</v>
      </c>
      <c r="DR971" t="s">
        <v>8762</v>
      </c>
      <c r="DS971" s="6">
        <v>9.39</v>
      </c>
      <c r="DT971" s="2" t="s">
        <v>2219</v>
      </c>
      <c r="DU971" s="1">
        <v>44375</v>
      </c>
      <c r="DV971" s="1">
        <v>44464</v>
      </c>
    </row>
    <row r="972" spans="1:126" ht="15" customHeight="1" x14ac:dyDescent="0.35">
      <c r="A972" t="s">
        <v>20093</v>
      </c>
      <c r="B972" t="s">
        <v>318</v>
      </c>
      <c r="C972" s="1">
        <v>44347</v>
      </c>
      <c r="D972" s="1">
        <v>44375</v>
      </c>
      <c r="H972" t="s">
        <v>319</v>
      </c>
      <c r="I972" t="s">
        <v>491</v>
      </c>
      <c r="J972" t="s">
        <v>4405</v>
      </c>
      <c r="K972" t="s">
        <v>1253</v>
      </c>
      <c r="L972" t="s">
        <v>2754</v>
      </c>
      <c r="M972" t="s">
        <v>11056</v>
      </c>
      <c r="O972" t="s">
        <v>11057</v>
      </c>
      <c r="P972" t="s">
        <v>818</v>
      </c>
      <c r="Q972" s="3">
        <v>30736</v>
      </c>
      <c r="R972" t="s">
        <v>128</v>
      </c>
      <c r="T972" s="4">
        <v>17069377116</v>
      </c>
      <c r="V972" t="s">
        <v>11058</v>
      </c>
      <c r="W972" t="s">
        <v>11059</v>
      </c>
      <c r="Y972" t="s">
        <v>11056</v>
      </c>
      <c r="AA972" t="s">
        <v>11057</v>
      </c>
      <c r="AC972" s="3" t="str">
        <f>"30736"</f>
        <v>30736</v>
      </c>
      <c r="AD972" t="s">
        <v>643</v>
      </c>
      <c r="AF972" s="4">
        <v>17069377116</v>
      </c>
      <c r="AH972" t="str">
        <f>"11531"</f>
        <v>11531</v>
      </c>
      <c r="AI972" t="s">
        <v>287</v>
      </c>
      <c r="AJ972" t="s">
        <v>2046</v>
      </c>
      <c r="AK972" t="s">
        <v>2047</v>
      </c>
      <c r="AL972" t="s">
        <v>134</v>
      </c>
      <c r="AM972" t="s">
        <v>2048</v>
      </c>
      <c r="AN972" t="s">
        <v>2049</v>
      </c>
      <c r="AO972" t="s">
        <v>2050</v>
      </c>
      <c r="AP972" t="s">
        <v>1243</v>
      </c>
      <c r="AQ972" s="5">
        <v>83814</v>
      </c>
      <c r="AR972" t="s">
        <v>128</v>
      </c>
      <c r="AT972" s="4">
        <v>12087772654</v>
      </c>
      <c r="AV972" t="s">
        <v>2051</v>
      </c>
      <c r="AW972" t="s">
        <v>2052</v>
      </c>
      <c r="AX972" t="s">
        <v>131</v>
      </c>
      <c r="AY972" t="s">
        <v>131</v>
      </c>
      <c r="AZ972" t="s">
        <v>131</v>
      </c>
      <c r="BA972" t="s">
        <v>131</v>
      </c>
      <c r="BB972" t="s">
        <v>131</v>
      </c>
      <c r="BC972" t="s">
        <v>131</v>
      </c>
      <c r="BD972" t="s">
        <v>131</v>
      </c>
      <c r="BE972" t="s">
        <v>132</v>
      </c>
      <c r="BH972" t="s">
        <v>8273</v>
      </c>
      <c r="BI972" t="s">
        <v>131</v>
      </c>
      <c r="BL972" t="s">
        <v>167</v>
      </c>
      <c r="BO972" t="s">
        <v>131</v>
      </c>
      <c r="BP972" t="s">
        <v>134</v>
      </c>
      <c r="BQ972" t="s">
        <v>131</v>
      </c>
      <c r="BS972" t="str">
        <f t="shared" si="71"/>
        <v>N/A</v>
      </c>
      <c r="BT972" t="s">
        <v>131</v>
      </c>
      <c r="BV972" t="str">
        <f>""</f>
        <v/>
      </c>
      <c r="BW972" t="s">
        <v>135</v>
      </c>
      <c r="BX972" t="str">
        <f>""</f>
        <v/>
      </c>
      <c r="BY972" t="str">
        <f>""</f>
        <v/>
      </c>
      <c r="BZ972" t="str">
        <f>""</f>
        <v/>
      </c>
      <c r="CA972" t="s">
        <v>7623</v>
      </c>
      <c r="CB972" t="s">
        <v>131</v>
      </c>
      <c r="CF972" t="s">
        <v>131</v>
      </c>
      <c r="CH972" t="str">
        <f>""</f>
        <v/>
      </c>
      <c r="CI972" t="s">
        <v>131</v>
      </c>
      <c r="CK972" t="s">
        <v>131</v>
      </c>
      <c r="CL972" t="str">
        <f>""</f>
        <v/>
      </c>
      <c r="CM972" t="str">
        <f>""</f>
        <v/>
      </c>
      <c r="CN972" t="str">
        <f>""</f>
        <v/>
      </c>
      <c r="CO972" t="str">
        <f>""</f>
        <v/>
      </c>
      <c r="CP972" t="str">
        <f>"45-4011.00"</f>
        <v>45-4011.00</v>
      </c>
      <c r="CQ972" t="s">
        <v>4310</v>
      </c>
      <c r="CS972" t="s">
        <v>135</v>
      </c>
      <c r="CT972" t="s">
        <v>11060</v>
      </c>
      <c r="CU972" t="s">
        <v>11061</v>
      </c>
      <c r="CW972" t="s">
        <v>11057</v>
      </c>
      <c r="CX972" t="s">
        <v>643</v>
      </c>
      <c r="CZ972" s="3" t="str">
        <f>"30736"</f>
        <v>30736</v>
      </c>
      <c r="DA972" t="s">
        <v>135</v>
      </c>
      <c r="DB972" t="str">
        <f>"45-4011"</f>
        <v>45-4011</v>
      </c>
      <c r="DC972" t="s">
        <v>4310</v>
      </c>
      <c r="DD972" t="s">
        <v>134</v>
      </c>
      <c r="DE972" t="s">
        <v>134</v>
      </c>
      <c r="DF972" t="str">
        <f>""</f>
        <v/>
      </c>
      <c r="DH972" s="6">
        <v>12.36</v>
      </c>
      <c r="DI972" t="s">
        <v>344</v>
      </c>
      <c r="DK972" t="s">
        <v>345</v>
      </c>
      <c r="DS972" s="6">
        <v>25.54</v>
      </c>
      <c r="DT972" s="2" t="s">
        <v>5051</v>
      </c>
      <c r="DU972" s="1">
        <v>44375</v>
      </c>
      <c r="DV972" s="1">
        <v>44464</v>
      </c>
    </row>
    <row r="973" spans="1:126" ht="15" customHeight="1" x14ac:dyDescent="0.35">
      <c r="A973" t="s">
        <v>18819</v>
      </c>
      <c r="B973" t="s">
        <v>318</v>
      </c>
      <c r="C973" s="1">
        <v>44347</v>
      </c>
      <c r="D973" s="1">
        <v>44375</v>
      </c>
      <c r="H973" t="s">
        <v>319</v>
      </c>
      <c r="I973" t="s">
        <v>1361</v>
      </c>
      <c r="J973" t="s">
        <v>348</v>
      </c>
      <c r="K973" t="s">
        <v>1253</v>
      </c>
      <c r="L973" t="s">
        <v>701</v>
      </c>
      <c r="M973" t="s">
        <v>9953</v>
      </c>
      <c r="N973" t="s">
        <v>985</v>
      </c>
      <c r="O973" t="s">
        <v>642</v>
      </c>
      <c r="P973" t="s">
        <v>818</v>
      </c>
      <c r="Q973" s="3">
        <v>30339</v>
      </c>
      <c r="R973" t="s">
        <v>128</v>
      </c>
      <c r="T973" s="4">
        <v>17703734593</v>
      </c>
      <c r="V973" t="s">
        <v>13180</v>
      </c>
      <c r="W973" t="s">
        <v>13181</v>
      </c>
      <c r="Y973" t="s">
        <v>9953</v>
      </c>
      <c r="Z973" t="s">
        <v>985</v>
      </c>
      <c r="AA973" t="s">
        <v>642</v>
      </c>
      <c r="AB973" t="s">
        <v>643</v>
      </c>
      <c r="AC973" s="3" t="str">
        <f>"30339"</f>
        <v>30339</v>
      </c>
      <c r="AD973" t="s">
        <v>128</v>
      </c>
      <c r="AF973" s="4">
        <v>17703734593</v>
      </c>
      <c r="AH973" t="str">
        <f>"56173"</f>
        <v>56173</v>
      </c>
      <c r="AI973" t="s">
        <v>287</v>
      </c>
      <c r="AJ973" t="s">
        <v>2046</v>
      </c>
      <c r="AK973" t="s">
        <v>2047</v>
      </c>
      <c r="AL973" t="s">
        <v>134</v>
      </c>
      <c r="AM973" t="s">
        <v>2048</v>
      </c>
      <c r="AN973" t="s">
        <v>2049</v>
      </c>
      <c r="AO973" t="s">
        <v>2050</v>
      </c>
      <c r="AP973" t="s">
        <v>1243</v>
      </c>
      <c r="AQ973" s="5">
        <v>83814</v>
      </c>
      <c r="AR973" t="s">
        <v>128</v>
      </c>
      <c r="AT973" s="4">
        <v>12087772654</v>
      </c>
      <c r="AV973" t="s">
        <v>2051</v>
      </c>
      <c r="AW973" t="s">
        <v>2052</v>
      </c>
      <c r="AX973" t="s">
        <v>131</v>
      </c>
      <c r="AY973" t="s">
        <v>131</v>
      </c>
      <c r="AZ973" t="s">
        <v>131</v>
      </c>
      <c r="BA973" t="s">
        <v>131</v>
      </c>
      <c r="BB973" t="s">
        <v>131</v>
      </c>
      <c r="BC973" t="s">
        <v>131</v>
      </c>
      <c r="BD973" t="s">
        <v>131</v>
      </c>
      <c r="BE973" t="s">
        <v>132</v>
      </c>
      <c r="BH973" t="s">
        <v>7864</v>
      </c>
      <c r="BI973" t="s">
        <v>131</v>
      </c>
      <c r="BL973" t="s">
        <v>167</v>
      </c>
      <c r="BO973" t="s">
        <v>131</v>
      </c>
      <c r="BP973" t="s">
        <v>134</v>
      </c>
      <c r="BQ973" t="s">
        <v>131</v>
      </c>
      <c r="BS973" t="str">
        <f t="shared" si="71"/>
        <v>N/A</v>
      </c>
      <c r="BT973" t="s">
        <v>131</v>
      </c>
      <c r="BV973" t="str">
        <f>""</f>
        <v/>
      </c>
      <c r="BW973" t="s">
        <v>135</v>
      </c>
      <c r="BX973" t="str">
        <f>""</f>
        <v/>
      </c>
      <c r="BY973" t="str">
        <f>""</f>
        <v/>
      </c>
      <c r="BZ973" t="str">
        <f>""</f>
        <v/>
      </c>
      <c r="CA973" t="s">
        <v>10909</v>
      </c>
      <c r="CB973" t="s">
        <v>131</v>
      </c>
      <c r="CF973" t="s">
        <v>131</v>
      </c>
      <c r="CH973" t="str">
        <f>""</f>
        <v/>
      </c>
      <c r="CI973" t="s">
        <v>131</v>
      </c>
      <c r="CK973" t="s">
        <v>131</v>
      </c>
      <c r="CL973" t="str">
        <f>""</f>
        <v/>
      </c>
      <c r="CM973" t="str">
        <f>""</f>
        <v/>
      </c>
      <c r="CN973" t="str">
        <f>""</f>
        <v/>
      </c>
      <c r="CO973" t="str">
        <f>""</f>
        <v/>
      </c>
      <c r="CP973" t="str">
        <f>"37-3011.00"</f>
        <v>37-3011.00</v>
      </c>
      <c r="CQ973" t="s">
        <v>920</v>
      </c>
      <c r="CS973" t="s">
        <v>135</v>
      </c>
      <c r="CT973" t="s">
        <v>18820</v>
      </c>
      <c r="CU973" t="s">
        <v>18821</v>
      </c>
      <c r="CV973" t="s">
        <v>18822</v>
      </c>
      <c r="CW973" t="s">
        <v>642</v>
      </c>
      <c r="CX973" t="s">
        <v>643</v>
      </c>
      <c r="CZ973" s="3" t="str">
        <f>"30339"</f>
        <v>30339</v>
      </c>
      <c r="DA973" t="s">
        <v>135</v>
      </c>
      <c r="DB973" t="str">
        <f>"37-3011"</f>
        <v>37-3011</v>
      </c>
      <c r="DC973" t="s">
        <v>920</v>
      </c>
      <c r="DD973" t="s">
        <v>134</v>
      </c>
      <c r="DE973" t="s">
        <v>134</v>
      </c>
      <c r="DF973" t="str">
        <f>""</f>
        <v/>
      </c>
      <c r="DH973" s="6">
        <v>14.72</v>
      </c>
      <c r="DI973" t="s">
        <v>344</v>
      </c>
      <c r="DK973" t="s">
        <v>345</v>
      </c>
      <c r="DS973" s="6">
        <v>15.13</v>
      </c>
      <c r="DT973" s="2" t="s">
        <v>2219</v>
      </c>
      <c r="DU973" s="1">
        <v>44375</v>
      </c>
      <c r="DV973" s="1">
        <v>44464</v>
      </c>
    </row>
    <row r="974" spans="1:126" ht="15" customHeight="1" x14ac:dyDescent="0.35">
      <c r="A974" t="s">
        <v>13197</v>
      </c>
      <c r="B974" t="s">
        <v>318</v>
      </c>
      <c r="C974" s="1">
        <v>44347</v>
      </c>
      <c r="D974" s="1">
        <v>44375</v>
      </c>
      <c r="H974" t="s">
        <v>319</v>
      </c>
      <c r="I974" t="s">
        <v>4511</v>
      </c>
      <c r="J974" t="s">
        <v>4512</v>
      </c>
      <c r="L974" t="s">
        <v>395</v>
      </c>
      <c r="M974" t="s">
        <v>4513</v>
      </c>
      <c r="O974" t="s">
        <v>642</v>
      </c>
      <c r="Q974" s="3">
        <v>30340</v>
      </c>
      <c r="R974" t="s">
        <v>643</v>
      </c>
      <c r="T974" s="4">
        <v>14049341359</v>
      </c>
      <c r="V974" t="s">
        <v>4514</v>
      </c>
      <c r="W974" t="s">
        <v>10982</v>
      </c>
      <c r="Y974" t="s">
        <v>10983</v>
      </c>
      <c r="AA974" t="s">
        <v>10984</v>
      </c>
      <c r="AB974" t="s">
        <v>643</v>
      </c>
      <c r="AC974" s="3" t="str">
        <f>"30518"</f>
        <v>30518</v>
      </c>
      <c r="AD974" t="s">
        <v>128</v>
      </c>
      <c r="AF974" s="4">
        <v>17707285647</v>
      </c>
      <c r="AH974" t="str">
        <f>"23833"</f>
        <v>23833</v>
      </c>
      <c r="AI974" t="s">
        <v>287</v>
      </c>
      <c r="AJ974" t="s">
        <v>4511</v>
      </c>
      <c r="AK974" t="s">
        <v>4512</v>
      </c>
      <c r="AM974" t="s">
        <v>4513</v>
      </c>
      <c r="AO974" t="s">
        <v>642</v>
      </c>
      <c r="AQ974" s="5">
        <v>30340</v>
      </c>
      <c r="AR974" t="s">
        <v>643</v>
      </c>
      <c r="AT974" s="4">
        <v>14049341359</v>
      </c>
      <c r="AV974" t="s">
        <v>4514</v>
      </c>
      <c r="AW974" t="s">
        <v>4517</v>
      </c>
      <c r="AX974" t="s">
        <v>131</v>
      </c>
      <c r="AY974" t="s">
        <v>131</v>
      </c>
      <c r="AZ974" t="s">
        <v>131</v>
      </c>
      <c r="BA974" t="s">
        <v>131</v>
      </c>
      <c r="BB974" t="s">
        <v>131</v>
      </c>
      <c r="BC974" t="s">
        <v>131</v>
      </c>
      <c r="BD974" t="s">
        <v>131</v>
      </c>
      <c r="BE974" t="s">
        <v>132</v>
      </c>
      <c r="BH974" t="s">
        <v>3994</v>
      </c>
      <c r="BI974" t="s">
        <v>131</v>
      </c>
      <c r="BL974" t="s">
        <v>167</v>
      </c>
      <c r="BO974" t="s">
        <v>131</v>
      </c>
      <c r="BP974" t="s">
        <v>134</v>
      </c>
      <c r="BQ974" t="s">
        <v>131</v>
      </c>
      <c r="BS974" t="str">
        <f t="shared" si="71"/>
        <v>N/A</v>
      </c>
      <c r="BT974" t="s">
        <v>131</v>
      </c>
      <c r="BV974" t="str">
        <f>""</f>
        <v/>
      </c>
      <c r="BW974" t="s">
        <v>131</v>
      </c>
      <c r="BX974" t="str">
        <f>""</f>
        <v/>
      </c>
      <c r="BY974" t="str">
        <f>""</f>
        <v/>
      </c>
      <c r="BZ974" t="str">
        <f>""</f>
        <v/>
      </c>
      <c r="CA974" t="str">
        <f>""</f>
        <v/>
      </c>
      <c r="CB974" t="s">
        <v>131</v>
      </c>
      <c r="CF974" t="s">
        <v>131</v>
      </c>
      <c r="CH974" t="str">
        <f>""</f>
        <v/>
      </c>
      <c r="CI974" t="s">
        <v>131</v>
      </c>
      <c r="CK974" t="s">
        <v>131</v>
      </c>
      <c r="CL974" t="str">
        <f>""</f>
        <v/>
      </c>
      <c r="CM974" t="str">
        <f>""</f>
        <v/>
      </c>
      <c r="CN974" t="str">
        <f>""</f>
        <v/>
      </c>
      <c r="CO974" t="str">
        <f>""</f>
        <v/>
      </c>
      <c r="CP974" t="str">
        <f>"47-3011.00"</f>
        <v>47-3011.00</v>
      </c>
      <c r="CQ974" t="s">
        <v>4519</v>
      </c>
      <c r="CR974" t="s">
        <v>918</v>
      </c>
      <c r="CS974" t="s">
        <v>135</v>
      </c>
      <c r="CT974" t="s">
        <v>13198</v>
      </c>
      <c r="CU974" t="s">
        <v>10983</v>
      </c>
      <c r="CW974" t="s">
        <v>10984</v>
      </c>
      <c r="CX974" t="s">
        <v>643</v>
      </c>
      <c r="CZ974" s="3" t="str">
        <f>"30518"</f>
        <v>30518</v>
      </c>
      <c r="DA974" t="s">
        <v>135</v>
      </c>
      <c r="DB974" t="str">
        <f>"47-3011"</f>
        <v>47-3011</v>
      </c>
      <c r="DC974" t="s">
        <v>4519</v>
      </c>
      <c r="DD974" t="s">
        <v>134</v>
      </c>
      <c r="DE974" t="s">
        <v>134</v>
      </c>
      <c r="DF974" t="str">
        <f>""</f>
        <v/>
      </c>
      <c r="DH974" s="6">
        <v>10.98</v>
      </c>
      <c r="DI974" t="s">
        <v>344</v>
      </c>
      <c r="DK974" t="s">
        <v>345</v>
      </c>
      <c r="DR974" t="s">
        <v>2218</v>
      </c>
      <c r="DS974" s="6">
        <v>10.98</v>
      </c>
      <c r="DT974" s="2" t="s">
        <v>5051</v>
      </c>
      <c r="DU974" s="1">
        <v>44375</v>
      </c>
      <c r="DV974" s="1">
        <v>44464</v>
      </c>
    </row>
    <row r="975" spans="1:126" ht="15" customHeight="1" x14ac:dyDescent="0.35">
      <c r="A975" t="s">
        <v>14832</v>
      </c>
      <c r="B975" t="s">
        <v>318</v>
      </c>
      <c r="C975" s="1">
        <v>44347</v>
      </c>
      <c r="D975" s="1">
        <v>44375</v>
      </c>
      <c r="H975" t="s">
        <v>319</v>
      </c>
      <c r="I975" t="s">
        <v>1448</v>
      </c>
      <c r="J975" t="s">
        <v>8220</v>
      </c>
      <c r="K975" t="s">
        <v>1253</v>
      </c>
      <c r="L975" t="s">
        <v>1105</v>
      </c>
      <c r="M975" t="s">
        <v>14833</v>
      </c>
      <c r="O975" t="s">
        <v>14053</v>
      </c>
      <c r="P975" t="s">
        <v>629</v>
      </c>
      <c r="Q975" s="3">
        <v>39475</v>
      </c>
      <c r="R975" t="s">
        <v>128</v>
      </c>
      <c r="T975" s="4">
        <v>16017440090</v>
      </c>
      <c r="V975" t="s">
        <v>14834</v>
      </c>
      <c r="W975" t="s">
        <v>14835</v>
      </c>
      <c r="Y975" t="s">
        <v>14833</v>
      </c>
      <c r="AA975" t="s">
        <v>14053</v>
      </c>
      <c r="AB975" t="s">
        <v>630</v>
      </c>
      <c r="AC975" s="3" t="str">
        <f>"39475"</f>
        <v>39475</v>
      </c>
      <c r="AD975" t="s">
        <v>128</v>
      </c>
      <c r="AF975" s="4">
        <v>16017440090</v>
      </c>
      <c r="AH975" t="str">
        <f>"56173"</f>
        <v>56173</v>
      </c>
      <c r="AI975" t="s">
        <v>287</v>
      </c>
      <c r="AJ975" t="s">
        <v>2046</v>
      </c>
      <c r="AK975" t="s">
        <v>2047</v>
      </c>
      <c r="AL975" t="s">
        <v>134</v>
      </c>
      <c r="AM975" t="s">
        <v>2048</v>
      </c>
      <c r="AN975" t="s">
        <v>2049</v>
      </c>
      <c r="AO975" t="s">
        <v>2050</v>
      </c>
      <c r="AP975" t="s">
        <v>1243</v>
      </c>
      <c r="AQ975" s="5">
        <v>83814</v>
      </c>
      <c r="AR975" t="s">
        <v>128</v>
      </c>
      <c r="AT975" s="4">
        <v>12087772654</v>
      </c>
      <c r="AV975" t="s">
        <v>2051</v>
      </c>
      <c r="AW975" t="s">
        <v>2052</v>
      </c>
      <c r="AX975" t="s">
        <v>131</v>
      </c>
      <c r="AY975" t="s">
        <v>131</v>
      </c>
      <c r="AZ975" t="s">
        <v>131</v>
      </c>
      <c r="BA975" t="s">
        <v>131</v>
      </c>
      <c r="BB975" t="s">
        <v>131</v>
      </c>
      <c r="BC975" t="s">
        <v>131</v>
      </c>
      <c r="BD975" t="s">
        <v>131</v>
      </c>
      <c r="BE975" t="s">
        <v>132</v>
      </c>
      <c r="BH975" t="s">
        <v>14836</v>
      </c>
      <c r="BI975" t="s">
        <v>131</v>
      </c>
      <c r="BL975" t="s">
        <v>167</v>
      </c>
      <c r="BO975" t="s">
        <v>131</v>
      </c>
      <c r="BP975" t="s">
        <v>134</v>
      </c>
      <c r="BQ975" t="s">
        <v>131</v>
      </c>
      <c r="BS975" t="str">
        <f t="shared" si="71"/>
        <v>N/A</v>
      </c>
      <c r="BT975" t="s">
        <v>131</v>
      </c>
      <c r="BV975" t="str">
        <f>""</f>
        <v/>
      </c>
      <c r="BW975" t="s">
        <v>135</v>
      </c>
      <c r="BX975" t="str">
        <f>""</f>
        <v/>
      </c>
      <c r="BY975" t="str">
        <f>""</f>
        <v/>
      </c>
      <c r="BZ975" t="str">
        <f>""</f>
        <v/>
      </c>
      <c r="CA975" t="s">
        <v>11805</v>
      </c>
      <c r="CB975" t="s">
        <v>131</v>
      </c>
      <c r="CF975" t="s">
        <v>131</v>
      </c>
      <c r="CH975" t="str">
        <f>""</f>
        <v/>
      </c>
      <c r="CI975" t="s">
        <v>131</v>
      </c>
      <c r="CK975" t="s">
        <v>131</v>
      </c>
      <c r="CL975" t="str">
        <f>""</f>
        <v/>
      </c>
      <c r="CM975" t="str">
        <f>""</f>
        <v/>
      </c>
      <c r="CN975" t="str">
        <f>""</f>
        <v/>
      </c>
      <c r="CO975" t="str">
        <f>""</f>
        <v/>
      </c>
      <c r="CP975" t="str">
        <f>"37-3011.00"</f>
        <v>37-3011.00</v>
      </c>
      <c r="CQ975" t="s">
        <v>920</v>
      </c>
      <c r="CS975" t="s">
        <v>135</v>
      </c>
      <c r="CT975" t="s">
        <v>14837</v>
      </c>
      <c r="CU975" t="s">
        <v>14838</v>
      </c>
      <c r="CW975" t="s">
        <v>14053</v>
      </c>
      <c r="CX975" t="s">
        <v>630</v>
      </c>
      <c r="CZ975" s="3" t="str">
        <f>"39475"</f>
        <v>39475</v>
      </c>
      <c r="DA975" t="s">
        <v>135</v>
      </c>
      <c r="DB975" t="str">
        <f>"37-3011"</f>
        <v>37-3011</v>
      </c>
      <c r="DC975" t="s">
        <v>920</v>
      </c>
      <c r="DD975" t="s">
        <v>134</v>
      </c>
      <c r="DE975" t="s">
        <v>134</v>
      </c>
      <c r="DF975" t="str">
        <f>""</f>
        <v/>
      </c>
      <c r="DH975" s="6">
        <v>13.2</v>
      </c>
      <c r="DI975" t="s">
        <v>344</v>
      </c>
      <c r="DK975" t="s">
        <v>345</v>
      </c>
      <c r="DR975" t="s">
        <v>14058</v>
      </c>
      <c r="DS975" s="6">
        <v>13.2</v>
      </c>
      <c r="DT975" s="2" t="s">
        <v>2219</v>
      </c>
      <c r="DU975" s="1">
        <v>44375</v>
      </c>
      <c r="DV975" s="1">
        <v>44464</v>
      </c>
    </row>
    <row r="976" spans="1:126" ht="15" customHeight="1" x14ac:dyDescent="0.35">
      <c r="A976" t="s">
        <v>12415</v>
      </c>
      <c r="B976" t="s">
        <v>318</v>
      </c>
      <c r="C976" s="1">
        <v>44347</v>
      </c>
      <c r="D976" s="1">
        <v>44375</v>
      </c>
      <c r="H976" t="s">
        <v>319</v>
      </c>
      <c r="I976" t="s">
        <v>4511</v>
      </c>
      <c r="J976" t="s">
        <v>4512</v>
      </c>
      <c r="L976" t="s">
        <v>395</v>
      </c>
      <c r="M976" t="s">
        <v>4513</v>
      </c>
      <c r="O976" t="s">
        <v>642</v>
      </c>
      <c r="Q976" s="3">
        <v>30340</v>
      </c>
      <c r="R976" t="s">
        <v>643</v>
      </c>
      <c r="T976" s="4">
        <v>14049341359</v>
      </c>
      <c r="V976" t="s">
        <v>4514</v>
      </c>
      <c r="W976" t="s">
        <v>12416</v>
      </c>
      <c r="Y976" t="s">
        <v>12417</v>
      </c>
      <c r="AA976" t="s">
        <v>1145</v>
      </c>
      <c r="AB976" t="s">
        <v>643</v>
      </c>
      <c r="AC976" s="3" t="str">
        <f>"30507"</f>
        <v>30507</v>
      </c>
      <c r="AD976" t="s">
        <v>128</v>
      </c>
      <c r="AF976" s="4">
        <v>17705618169</v>
      </c>
      <c r="AH976" t="str">
        <f>"4451"</f>
        <v>4451</v>
      </c>
      <c r="AI976" t="s">
        <v>287</v>
      </c>
      <c r="AJ976" t="s">
        <v>4511</v>
      </c>
      <c r="AK976" t="s">
        <v>4512</v>
      </c>
      <c r="AM976" t="s">
        <v>4513</v>
      </c>
      <c r="AO976" t="s">
        <v>642</v>
      </c>
      <c r="AQ976" s="5">
        <v>30340</v>
      </c>
      <c r="AR976" t="s">
        <v>643</v>
      </c>
      <c r="AT976" s="4">
        <v>14049341359</v>
      </c>
      <c r="AV976" t="s">
        <v>4514</v>
      </c>
      <c r="AW976" t="s">
        <v>4517</v>
      </c>
      <c r="AX976" t="s">
        <v>131</v>
      </c>
      <c r="AY976" t="s">
        <v>131</v>
      </c>
      <c r="AZ976" t="s">
        <v>131</v>
      </c>
      <c r="BA976" t="s">
        <v>131</v>
      </c>
      <c r="BB976" t="s">
        <v>131</v>
      </c>
      <c r="BC976" t="s">
        <v>131</v>
      </c>
      <c r="BD976" t="s">
        <v>131</v>
      </c>
      <c r="BE976" t="s">
        <v>132</v>
      </c>
      <c r="BH976" t="s">
        <v>12418</v>
      </c>
      <c r="BI976" t="s">
        <v>131</v>
      </c>
      <c r="BL976" t="s">
        <v>167</v>
      </c>
      <c r="BO976" t="s">
        <v>131</v>
      </c>
      <c r="BP976" t="s">
        <v>134</v>
      </c>
      <c r="BQ976" t="s">
        <v>131</v>
      </c>
      <c r="BS976" t="str">
        <f t="shared" si="71"/>
        <v>N/A</v>
      </c>
      <c r="BT976" t="s">
        <v>135</v>
      </c>
      <c r="BU976">
        <v>12</v>
      </c>
      <c r="BV976" t="str">
        <f>"Meat Cutter, Butcher"</f>
        <v>Meat Cutter, Butcher</v>
      </c>
      <c r="BW976" t="s">
        <v>135</v>
      </c>
      <c r="BX976" t="str">
        <f>""</f>
        <v/>
      </c>
      <c r="BY976" t="str">
        <f>""</f>
        <v/>
      </c>
      <c r="BZ976" t="str">
        <f>""</f>
        <v/>
      </c>
      <c r="CA976" t="str">
        <f>"Must work weekends. Able to cut and prepare authentic latino beef cuts (milanesa, ranchera, arrachera, asada,
etc )"</f>
        <v>Must work weekends. Able to cut and prepare authentic latino beef cuts (milanesa, ranchera, arrachera, asada,
etc )</v>
      </c>
      <c r="CB976" t="s">
        <v>131</v>
      </c>
      <c r="CF976" t="s">
        <v>131</v>
      </c>
      <c r="CH976" t="str">
        <f>""</f>
        <v/>
      </c>
      <c r="CI976" t="s">
        <v>131</v>
      </c>
      <c r="CK976" t="s">
        <v>131</v>
      </c>
      <c r="CL976" t="str">
        <f>""</f>
        <v/>
      </c>
      <c r="CM976" t="str">
        <f>""</f>
        <v/>
      </c>
      <c r="CN976" t="str">
        <f>""</f>
        <v/>
      </c>
      <c r="CO976" t="str">
        <f>""</f>
        <v/>
      </c>
      <c r="CP976" t="str">
        <f>"51-3022.00"</f>
        <v>51-3022.00</v>
      </c>
      <c r="CQ976" t="s">
        <v>1114</v>
      </c>
      <c r="CR976" t="s">
        <v>1105</v>
      </c>
      <c r="CS976" t="s">
        <v>131</v>
      </c>
      <c r="CU976" t="s">
        <v>12417</v>
      </c>
      <c r="CW976" t="s">
        <v>1145</v>
      </c>
      <c r="CX976" t="s">
        <v>643</v>
      </c>
      <c r="CZ976" s="3" t="str">
        <f>"30507"</f>
        <v>30507</v>
      </c>
      <c r="DA976" t="s">
        <v>131</v>
      </c>
      <c r="DB976" t="str">
        <f>"51-3021"</f>
        <v>51-3021</v>
      </c>
      <c r="DC976" t="s">
        <v>10711</v>
      </c>
      <c r="DD976" t="s">
        <v>134</v>
      </c>
      <c r="DE976" t="s">
        <v>134</v>
      </c>
      <c r="DF976" t="str">
        <f>""</f>
        <v/>
      </c>
      <c r="DH976" s="6">
        <v>14.34</v>
      </c>
      <c r="DI976" t="s">
        <v>344</v>
      </c>
      <c r="DK976" t="s">
        <v>345</v>
      </c>
      <c r="DR976" t="s">
        <v>8762</v>
      </c>
      <c r="DS976" s="6">
        <v>14.34</v>
      </c>
      <c r="DT976" t="s">
        <v>424</v>
      </c>
      <c r="DU976" s="1">
        <v>44375</v>
      </c>
      <c r="DV976" s="1">
        <v>44464</v>
      </c>
    </row>
    <row r="977" spans="1:126" ht="15" customHeight="1" x14ac:dyDescent="0.35">
      <c r="A977" t="s">
        <v>19158</v>
      </c>
      <c r="B977" t="s">
        <v>318</v>
      </c>
      <c r="C977" s="1">
        <v>44347</v>
      </c>
      <c r="D977" s="1">
        <v>44375</v>
      </c>
      <c r="H977" t="s">
        <v>319</v>
      </c>
      <c r="I977" t="s">
        <v>1361</v>
      </c>
      <c r="J977" t="s">
        <v>348</v>
      </c>
      <c r="K977" t="s">
        <v>1253</v>
      </c>
      <c r="L977" t="s">
        <v>701</v>
      </c>
      <c r="M977" t="s">
        <v>9953</v>
      </c>
      <c r="N977" t="s">
        <v>985</v>
      </c>
      <c r="O977" t="s">
        <v>642</v>
      </c>
      <c r="P977" t="s">
        <v>818</v>
      </c>
      <c r="Q977" s="3">
        <v>30339</v>
      </c>
      <c r="R977" t="s">
        <v>128</v>
      </c>
      <c r="T977" s="4">
        <v>17703734593</v>
      </c>
      <c r="V977" t="s">
        <v>13180</v>
      </c>
      <c r="W977" t="s">
        <v>13181</v>
      </c>
      <c r="Y977" t="s">
        <v>9953</v>
      </c>
      <c r="Z977" t="s">
        <v>985</v>
      </c>
      <c r="AA977" t="s">
        <v>642</v>
      </c>
      <c r="AB977" t="s">
        <v>643</v>
      </c>
      <c r="AC977" s="3" t="str">
        <f>"30339"</f>
        <v>30339</v>
      </c>
      <c r="AD977" t="s">
        <v>128</v>
      </c>
      <c r="AF977" s="4">
        <v>17703734593</v>
      </c>
      <c r="AH977" t="str">
        <f>"56173"</f>
        <v>56173</v>
      </c>
      <c r="AI977" t="s">
        <v>287</v>
      </c>
      <c r="AJ977" t="s">
        <v>2046</v>
      </c>
      <c r="AK977" t="s">
        <v>2047</v>
      </c>
      <c r="AL977" t="s">
        <v>134</v>
      </c>
      <c r="AM977" t="s">
        <v>2048</v>
      </c>
      <c r="AN977" t="s">
        <v>2049</v>
      </c>
      <c r="AO977" t="s">
        <v>2050</v>
      </c>
      <c r="AP977" t="s">
        <v>1243</v>
      </c>
      <c r="AQ977" s="5">
        <v>83814</v>
      </c>
      <c r="AR977" t="s">
        <v>128</v>
      </c>
      <c r="AT977" s="4">
        <v>12087772654</v>
      </c>
      <c r="AV977" t="s">
        <v>2051</v>
      </c>
      <c r="AW977" t="s">
        <v>2052</v>
      </c>
      <c r="AX977" t="s">
        <v>131</v>
      </c>
      <c r="AY977" t="s">
        <v>131</v>
      </c>
      <c r="AZ977" t="s">
        <v>131</v>
      </c>
      <c r="BA977" t="s">
        <v>131</v>
      </c>
      <c r="BB977" t="s">
        <v>131</v>
      </c>
      <c r="BC977" t="s">
        <v>131</v>
      </c>
      <c r="BD977" t="s">
        <v>131</v>
      </c>
      <c r="BE977" t="s">
        <v>132</v>
      </c>
      <c r="BH977" t="s">
        <v>2095</v>
      </c>
      <c r="BI977" t="s">
        <v>131</v>
      </c>
      <c r="BL977" t="s">
        <v>167</v>
      </c>
      <c r="BO977" t="s">
        <v>131</v>
      </c>
      <c r="BP977" t="s">
        <v>134</v>
      </c>
      <c r="BQ977" t="s">
        <v>131</v>
      </c>
      <c r="BS977" t="str">
        <f t="shared" si="71"/>
        <v>N/A</v>
      </c>
      <c r="BT977" t="s">
        <v>131</v>
      </c>
      <c r="BV977" t="str">
        <f>""</f>
        <v/>
      </c>
      <c r="BW977" t="s">
        <v>135</v>
      </c>
      <c r="BX977" t="str">
        <f>""</f>
        <v/>
      </c>
      <c r="BY977" t="str">
        <f>""</f>
        <v/>
      </c>
      <c r="BZ977" t="str">
        <f>""</f>
        <v/>
      </c>
      <c r="CA977" t="s">
        <v>11805</v>
      </c>
      <c r="CB977" t="s">
        <v>131</v>
      </c>
      <c r="CF977" t="s">
        <v>131</v>
      </c>
      <c r="CH977" t="str">
        <f>""</f>
        <v/>
      </c>
      <c r="CI977" t="s">
        <v>131</v>
      </c>
      <c r="CK977" t="s">
        <v>131</v>
      </c>
      <c r="CL977" t="str">
        <f>""</f>
        <v/>
      </c>
      <c r="CM977" t="str">
        <f>""</f>
        <v/>
      </c>
      <c r="CN977" t="str">
        <f>""</f>
        <v/>
      </c>
      <c r="CO977" t="str">
        <f>""</f>
        <v/>
      </c>
      <c r="CP977" t="str">
        <f>"37-3011.00"</f>
        <v>37-3011.00</v>
      </c>
      <c r="CQ977" t="s">
        <v>920</v>
      </c>
      <c r="CS977" t="s">
        <v>135</v>
      </c>
      <c r="CT977" t="s">
        <v>19159</v>
      </c>
      <c r="CU977" t="s">
        <v>19160</v>
      </c>
      <c r="CW977" t="s">
        <v>399</v>
      </c>
      <c r="CX977" t="s">
        <v>400</v>
      </c>
      <c r="CZ977" s="3" t="str">
        <f>"75204"</f>
        <v>75204</v>
      </c>
      <c r="DA977" t="s">
        <v>135</v>
      </c>
      <c r="DB977" t="str">
        <f>"37-3011"</f>
        <v>37-3011</v>
      </c>
      <c r="DC977" t="s">
        <v>920</v>
      </c>
      <c r="DD977" t="s">
        <v>134</v>
      </c>
      <c r="DE977" t="s">
        <v>134</v>
      </c>
      <c r="DF977" t="str">
        <f>""</f>
        <v/>
      </c>
      <c r="DH977" s="6">
        <v>15.23</v>
      </c>
      <c r="DI977" t="s">
        <v>344</v>
      </c>
      <c r="DK977" t="s">
        <v>345</v>
      </c>
      <c r="DS977" s="6">
        <v>15.23</v>
      </c>
      <c r="DT977" s="2" t="s">
        <v>2219</v>
      </c>
      <c r="DU977" s="1">
        <v>44375</v>
      </c>
      <c r="DV977" s="1">
        <v>44464</v>
      </c>
    </row>
    <row r="978" spans="1:126" ht="15" customHeight="1" x14ac:dyDescent="0.35">
      <c r="A978" t="s">
        <v>18141</v>
      </c>
      <c r="B978" t="s">
        <v>318</v>
      </c>
      <c r="C978" s="1">
        <v>44347</v>
      </c>
      <c r="D978" s="1">
        <v>44375</v>
      </c>
      <c r="H978" t="s">
        <v>319</v>
      </c>
      <c r="I978" t="s">
        <v>3369</v>
      </c>
      <c r="J978" t="s">
        <v>3370</v>
      </c>
      <c r="L978" t="s">
        <v>3371</v>
      </c>
      <c r="M978" t="s">
        <v>18142</v>
      </c>
      <c r="O978" t="s">
        <v>18143</v>
      </c>
      <c r="P978" t="s">
        <v>539</v>
      </c>
      <c r="Q978" s="3">
        <v>60803</v>
      </c>
      <c r="R978" t="s">
        <v>128</v>
      </c>
      <c r="T978" s="4">
        <v>17036592114</v>
      </c>
      <c r="V978" t="s">
        <v>18144</v>
      </c>
      <c r="W978" t="s">
        <v>3372</v>
      </c>
      <c r="Y978" t="s">
        <v>18142</v>
      </c>
      <c r="AA978" t="s">
        <v>18145</v>
      </c>
      <c r="AB978" t="s">
        <v>263</v>
      </c>
      <c r="AC978" s="3" t="str">
        <f>"60803"</f>
        <v>60803</v>
      </c>
      <c r="AD978" t="s">
        <v>128</v>
      </c>
      <c r="AF978" s="4">
        <v>17088979890</v>
      </c>
      <c r="AH978" t="str">
        <f>"23713"</f>
        <v>23713</v>
      </c>
      <c r="AI978" t="s">
        <v>287</v>
      </c>
      <c r="AJ978" t="s">
        <v>1366</v>
      </c>
      <c r="AK978" t="s">
        <v>1071</v>
      </c>
      <c r="AL978" t="s">
        <v>1367</v>
      </c>
      <c r="AM978" t="s">
        <v>1368</v>
      </c>
      <c r="AN978" t="s">
        <v>1369</v>
      </c>
      <c r="AO978" t="s">
        <v>1370</v>
      </c>
      <c r="AP978" t="s">
        <v>400</v>
      </c>
      <c r="AQ978" s="5">
        <v>78550</v>
      </c>
      <c r="AR978" t="s">
        <v>128</v>
      </c>
      <c r="AS978" t="s">
        <v>134</v>
      </c>
      <c r="AT978" s="4">
        <v>19564408720</v>
      </c>
      <c r="AU978">
        <v>0</v>
      </c>
      <c r="AV978" t="s">
        <v>1371</v>
      </c>
      <c r="AW978" t="s">
        <v>1372</v>
      </c>
      <c r="AX978" t="s">
        <v>131</v>
      </c>
      <c r="AY978" t="s">
        <v>131</v>
      </c>
      <c r="AZ978" t="s">
        <v>131</v>
      </c>
      <c r="BA978" t="s">
        <v>131</v>
      </c>
      <c r="BB978" t="s">
        <v>131</v>
      </c>
      <c r="BC978" t="s">
        <v>131</v>
      </c>
      <c r="BD978" t="s">
        <v>131</v>
      </c>
      <c r="BE978" t="s">
        <v>132</v>
      </c>
      <c r="BH978" t="s">
        <v>3373</v>
      </c>
      <c r="BI978" t="s">
        <v>131</v>
      </c>
      <c r="BL978" t="s">
        <v>401</v>
      </c>
      <c r="BO978" t="s">
        <v>131</v>
      </c>
      <c r="BP978" t="s">
        <v>134</v>
      </c>
      <c r="BQ978" t="s">
        <v>131</v>
      </c>
      <c r="BS978" t="str">
        <f t="shared" si="71"/>
        <v>N/A</v>
      </c>
      <c r="BT978" t="s">
        <v>135</v>
      </c>
      <c r="BU978">
        <v>12</v>
      </c>
      <c r="BV978" t="str">
        <f>"Tower Technician"</f>
        <v>Tower Technician</v>
      </c>
      <c r="BW978" t="s">
        <v>135</v>
      </c>
      <c r="BX978" t="str">
        <f>"Drivers License"</f>
        <v>Drivers License</v>
      </c>
      <c r="BY978" t="str">
        <f>""</f>
        <v/>
      </c>
      <c r="BZ978" t="str">
        <f>""</f>
        <v/>
      </c>
      <c r="CA978" t="str">
        <f>""</f>
        <v/>
      </c>
      <c r="CB978" t="s">
        <v>131</v>
      </c>
      <c r="CF978" t="s">
        <v>131</v>
      </c>
      <c r="CH978" t="str">
        <f>""</f>
        <v/>
      </c>
      <c r="CI978" t="s">
        <v>131</v>
      </c>
      <c r="CK978" t="s">
        <v>131</v>
      </c>
      <c r="CL978" t="str">
        <f>""</f>
        <v/>
      </c>
      <c r="CM978" t="str">
        <f>""</f>
        <v/>
      </c>
      <c r="CN978" t="str">
        <f>""</f>
        <v/>
      </c>
      <c r="CO978" t="str">
        <f>""</f>
        <v/>
      </c>
      <c r="CP978" t="str">
        <f>"49-2021.00"</f>
        <v>49-2021.00</v>
      </c>
      <c r="CQ978" t="s">
        <v>3374</v>
      </c>
      <c r="CR978" t="s">
        <v>3086</v>
      </c>
      <c r="CS978" t="s">
        <v>135</v>
      </c>
      <c r="CT978" s="2" t="s">
        <v>18146</v>
      </c>
      <c r="CU978" t="s">
        <v>17740</v>
      </c>
      <c r="CW978" t="s">
        <v>1271</v>
      </c>
      <c r="CX978" t="s">
        <v>400</v>
      </c>
      <c r="CZ978" s="3" t="str">
        <f>"76119"</f>
        <v>76119</v>
      </c>
      <c r="DA978" t="s">
        <v>131</v>
      </c>
      <c r="DB978" t="str">
        <f>"49-2021"</f>
        <v>49-2021</v>
      </c>
      <c r="DC978" t="s">
        <v>3374</v>
      </c>
      <c r="DD978" t="s">
        <v>134</v>
      </c>
      <c r="DE978" t="s">
        <v>134</v>
      </c>
      <c r="DF978" t="str">
        <f>""</f>
        <v/>
      </c>
      <c r="DH978" s="6">
        <v>27</v>
      </c>
      <c r="DI978" t="s">
        <v>344</v>
      </c>
      <c r="DK978" t="s">
        <v>345</v>
      </c>
      <c r="DR978" t="s">
        <v>423</v>
      </c>
      <c r="DS978" s="6">
        <v>27</v>
      </c>
      <c r="DT978" t="s">
        <v>424</v>
      </c>
      <c r="DU978" s="1">
        <v>44375</v>
      </c>
      <c r="DV978" s="1">
        <v>44464</v>
      </c>
    </row>
    <row r="979" spans="1:126" ht="15" customHeight="1" x14ac:dyDescent="0.35">
      <c r="A979" t="s">
        <v>6786</v>
      </c>
      <c r="B979" t="s">
        <v>318</v>
      </c>
      <c r="C979" s="1">
        <v>44347</v>
      </c>
      <c r="D979" s="1">
        <v>44375</v>
      </c>
      <c r="H979" t="s">
        <v>319</v>
      </c>
      <c r="I979" t="s">
        <v>6787</v>
      </c>
      <c r="J979" t="s">
        <v>348</v>
      </c>
      <c r="L979" t="s">
        <v>6788</v>
      </c>
      <c r="M979" t="s">
        <v>6789</v>
      </c>
      <c r="O979" t="s">
        <v>6790</v>
      </c>
      <c r="P979" t="s">
        <v>539</v>
      </c>
      <c r="Q979" s="3">
        <v>62232</v>
      </c>
      <c r="R979" t="s">
        <v>128</v>
      </c>
      <c r="T979" s="4">
        <v>16183989000</v>
      </c>
      <c r="V979" t="s">
        <v>6791</v>
      </c>
      <c r="W979" t="s">
        <v>6792</v>
      </c>
      <c r="Y979" t="s">
        <v>6789</v>
      </c>
      <c r="AA979" t="s">
        <v>6790</v>
      </c>
      <c r="AB979" t="s">
        <v>263</v>
      </c>
      <c r="AC979" s="3" t="str">
        <f>"62232"</f>
        <v>62232</v>
      </c>
      <c r="AD979" t="s">
        <v>128</v>
      </c>
      <c r="AF979" s="4">
        <v>16183989000</v>
      </c>
      <c r="AH979" t="str">
        <f>"561730"</f>
        <v>561730</v>
      </c>
      <c r="AI979" t="s">
        <v>287</v>
      </c>
      <c r="AJ979" t="s">
        <v>6793</v>
      </c>
      <c r="AK979" t="s">
        <v>6794</v>
      </c>
      <c r="AM979" t="s">
        <v>6795</v>
      </c>
      <c r="AO979" t="s">
        <v>6796</v>
      </c>
      <c r="AP979" t="s">
        <v>400</v>
      </c>
      <c r="AQ979" s="5">
        <v>75098</v>
      </c>
      <c r="AR979" t="s">
        <v>128</v>
      </c>
      <c r="AT979" s="4">
        <v>19724424244</v>
      </c>
      <c r="AV979" t="s">
        <v>6797</v>
      </c>
      <c r="AW979" t="s">
        <v>6798</v>
      </c>
      <c r="AX979" t="s">
        <v>131</v>
      </c>
      <c r="AY979" t="s">
        <v>131</v>
      </c>
      <c r="AZ979" t="s">
        <v>131</v>
      </c>
      <c r="BA979" t="s">
        <v>131</v>
      </c>
      <c r="BB979" t="s">
        <v>131</v>
      </c>
      <c r="BC979" t="s">
        <v>131</v>
      </c>
      <c r="BD979" t="s">
        <v>131</v>
      </c>
      <c r="BE979" t="s">
        <v>132</v>
      </c>
      <c r="BH979" t="s">
        <v>2215</v>
      </c>
      <c r="BI979" t="s">
        <v>131</v>
      </c>
      <c r="BL979" t="s">
        <v>167</v>
      </c>
      <c r="BO979" t="s">
        <v>131</v>
      </c>
      <c r="BP979" t="s">
        <v>134</v>
      </c>
      <c r="BQ979" t="s">
        <v>131</v>
      </c>
      <c r="BS979" t="str">
        <f t="shared" si="71"/>
        <v>N/A</v>
      </c>
      <c r="BT979" t="s">
        <v>131</v>
      </c>
      <c r="BV979" t="str">
        <f>""</f>
        <v/>
      </c>
      <c r="BW979" t="s">
        <v>131</v>
      </c>
      <c r="BX979" t="str">
        <f>""</f>
        <v/>
      </c>
      <c r="BY979" t="str">
        <f>""</f>
        <v/>
      </c>
      <c r="BZ979" t="str">
        <f>""</f>
        <v/>
      </c>
      <c r="CA979" t="str">
        <f>""</f>
        <v/>
      </c>
      <c r="CB979" t="s">
        <v>131</v>
      </c>
      <c r="CF979" t="s">
        <v>131</v>
      </c>
      <c r="CH979" t="str">
        <f>""</f>
        <v/>
      </c>
      <c r="CI979" t="s">
        <v>131</v>
      </c>
      <c r="CK979" t="s">
        <v>131</v>
      </c>
      <c r="CL979" t="str">
        <f>""</f>
        <v/>
      </c>
      <c r="CM979" t="str">
        <f>""</f>
        <v/>
      </c>
      <c r="CN979" t="str">
        <f>""</f>
        <v/>
      </c>
      <c r="CO979" t="str">
        <f>""</f>
        <v/>
      </c>
      <c r="CP979" t="str">
        <f>"37-3011.00"</f>
        <v>37-3011.00</v>
      </c>
      <c r="CQ979" t="s">
        <v>920</v>
      </c>
      <c r="CR979" t="s">
        <v>2215</v>
      </c>
      <c r="CS979" t="s">
        <v>131</v>
      </c>
      <c r="CU979" t="s">
        <v>6789</v>
      </c>
      <c r="CW979" t="s">
        <v>6790</v>
      </c>
      <c r="CX979" t="s">
        <v>263</v>
      </c>
      <c r="CZ979" s="3" t="str">
        <f>"62232"</f>
        <v>62232</v>
      </c>
      <c r="DA979" t="s">
        <v>135</v>
      </c>
      <c r="DB979" t="str">
        <f>"37-3011"</f>
        <v>37-3011</v>
      </c>
      <c r="DC979" t="s">
        <v>920</v>
      </c>
      <c r="DD979" t="s">
        <v>134</v>
      </c>
      <c r="DE979" t="s">
        <v>134</v>
      </c>
      <c r="DF979" t="str">
        <f>""</f>
        <v/>
      </c>
      <c r="DH979" s="6">
        <v>15.37</v>
      </c>
      <c r="DI979" t="s">
        <v>344</v>
      </c>
      <c r="DK979" t="s">
        <v>345</v>
      </c>
      <c r="DS979" s="6">
        <v>15.37</v>
      </c>
      <c r="DT979" s="2" t="s">
        <v>2219</v>
      </c>
      <c r="DU979" s="1">
        <v>44375</v>
      </c>
      <c r="DV979" s="1">
        <v>44464</v>
      </c>
    </row>
    <row r="980" spans="1:126" ht="15" customHeight="1" x14ac:dyDescent="0.35">
      <c r="A980" t="s">
        <v>18442</v>
      </c>
      <c r="B980" t="s">
        <v>318</v>
      </c>
      <c r="C980" s="1">
        <v>44347</v>
      </c>
      <c r="D980" s="1">
        <v>44377</v>
      </c>
      <c r="H980" t="s">
        <v>319</v>
      </c>
      <c r="I980" t="s">
        <v>4171</v>
      </c>
      <c r="J980" t="s">
        <v>3857</v>
      </c>
      <c r="L980" t="s">
        <v>460</v>
      </c>
      <c r="M980" t="s">
        <v>18443</v>
      </c>
      <c r="O980" t="s">
        <v>1759</v>
      </c>
      <c r="P980" t="s">
        <v>1760</v>
      </c>
      <c r="Q980" s="3">
        <v>70360</v>
      </c>
      <c r="R980" t="s">
        <v>128</v>
      </c>
      <c r="T980" s="4">
        <v>19858688809</v>
      </c>
      <c r="V980" t="s">
        <v>18444</v>
      </c>
      <c r="W980" t="s">
        <v>18445</v>
      </c>
      <c r="Y980" t="s">
        <v>18443</v>
      </c>
      <c r="AA980" t="s">
        <v>1759</v>
      </c>
      <c r="AB980" t="s">
        <v>1763</v>
      </c>
      <c r="AC980" s="3" t="str">
        <f>"70360"</f>
        <v>70360</v>
      </c>
      <c r="AD980" t="s">
        <v>128</v>
      </c>
      <c r="AF980" s="4">
        <v>19858688809</v>
      </c>
      <c r="AH980" t="str">
        <f>"424460"</f>
        <v>424460</v>
      </c>
      <c r="AI980" t="s">
        <v>287</v>
      </c>
      <c r="AJ980" t="s">
        <v>6793</v>
      </c>
      <c r="AK980" t="s">
        <v>6794</v>
      </c>
      <c r="AM980" t="s">
        <v>6795</v>
      </c>
      <c r="AO980" t="s">
        <v>6796</v>
      </c>
      <c r="AP980" t="s">
        <v>400</v>
      </c>
      <c r="AQ980" s="5">
        <v>75098</v>
      </c>
      <c r="AR980" t="s">
        <v>128</v>
      </c>
      <c r="AT980" s="4">
        <v>19724424244</v>
      </c>
      <c r="AV980" t="s">
        <v>6797</v>
      </c>
      <c r="AW980" t="s">
        <v>6798</v>
      </c>
      <c r="AX980" t="s">
        <v>131</v>
      </c>
      <c r="AY980" t="s">
        <v>131</v>
      </c>
      <c r="AZ980" t="s">
        <v>131</v>
      </c>
      <c r="BA980" t="s">
        <v>131</v>
      </c>
      <c r="BB980" t="s">
        <v>131</v>
      </c>
      <c r="BC980" t="s">
        <v>131</v>
      </c>
      <c r="BD980" t="s">
        <v>131</v>
      </c>
      <c r="BE980" t="s">
        <v>132</v>
      </c>
      <c r="BH980" t="s">
        <v>18446</v>
      </c>
      <c r="BI980" t="s">
        <v>131</v>
      </c>
      <c r="BL980" t="s">
        <v>167</v>
      </c>
      <c r="BO980" t="s">
        <v>131</v>
      </c>
      <c r="BP980" t="s">
        <v>134</v>
      </c>
      <c r="BQ980" t="s">
        <v>131</v>
      </c>
      <c r="BS980" t="str">
        <f t="shared" si="71"/>
        <v>N/A</v>
      </c>
      <c r="BT980" t="s">
        <v>131</v>
      </c>
      <c r="BV980" t="str">
        <f>""</f>
        <v/>
      </c>
      <c r="BW980" t="s">
        <v>131</v>
      </c>
      <c r="BX980" t="str">
        <f>""</f>
        <v/>
      </c>
      <c r="BY980" t="str">
        <f>""</f>
        <v/>
      </c>
      <c r="BZ980" t="str">
        <f>""</f>
        <v/>
      </c>
      <c r="CA980" t="str">
        <f>""</f>
        <v/>
      </c>
      <c r="CB980" t="s">
        <v>131</v>
      </c>
      <c r="CF980" t="s">
        <v>131</v>
      </c>
      <c r="CH980" t="str">
        <f>""</f>
        <v/>
      </c>
      <c r="CI980" t="s">
        <v>131</v>
      </c>
      <c r="CK980" t="s">
        <v>131</v>
      </c>
      <c r="CL980" t="str">
        <f>""</f>
        <v/>
      </c>
      <c r="CM980" t="str">
        <f>""</f>
        <v/>
      </c>
      <c r="CN980" t="str">
        <f>""</f>
        <v/>
      </c>
      <c r="CO980" t="str">
        <f>""</f>
        <v/>
      </c>
      <c r="CP980" t="str">
        <f>"51-3022.00"</f>
        <v>51-3022.00</v>
      </c>
      <c r="CQ980" t="s">
        <v>1114</v>
      </c>
      <c r="CR980" t="s">
        <v>233</v>
      </c>
      <c r="CS980" t="s">
        <v>131</v>
      </c>
      <c r="CU980" t="s">
        <v>18443</v>
      </c>
      <c r="CW980" t="s">
        <v>1759</v>
      </c>
      <c r="CX980" t="s">
        <v>1763</v>
      </c>
      <c r="CZ980" s="3" t="str">
        <f>"70360"</f>
        <v>70360</v>
      </c>
      <c r="DA980" t="s">
        <v>131</v>
      </c>
      <c r="DB980" t="str">
        <f>"51-3022; 51-3022"</f>
        <v>51-3022; 51-3022</v>
      </c>
      <c r="DC980" t="s">
        <v>17881</v>
      </c>
      <c r="DD980" t="s">
        <v>134</v>
      </c>
      <c r="DE980" t="s">
        <v>134</v>
      </c>
      <c r="DF980" t="str">
        <f>""</f>
        <v/>
      </c>
      <c r="DH980" s="6">
        <v>9.7200000000000006</v>
      </c>
      <c r="DI980" t="s">
        <v>344</v>
      </c>
      <c r="DK980" t="s">
        <v>345</v>
      </c>
      <c r="DS980" s="6">
        <v>9.7200000000000006</v>
      </c>
      <c r="DT980" t="s">
        <v>424</v>
      </c>
      <c r="DU980" s="1">
        <v>44377</v>
      </c>
      <c r="DV980" s="1">
        <v>44466</v>
      </c>
    </row>
    <row r="981" spans="1:126" ht="15" customHeight="1" x14ac:dyDescent="0.35">
      <c r="A981" t="s">
        <v>10389</v>
      </c>
      <c r="B981" t="s">
        <v>318</v>
      </c>
      <c r="C981" s="1">
        <v>44347</v>
      </c>
      <c r="D981" s="1">
        <v>44375</v>
      </c>
      <c r="H981" t="s">
        <v>319</v>
      </c>
      <c r="I981" t="s">
        <v>1458</v>
      </c>
      <c r="J981" t="s">
        <v>1702</v>
      </c>
      <c r="L981" t="s">
        <v>1105</v>
      </c>
      <c r="M981" t="s">
        <v>10390</v>
      </c>
      <c r="O981" t="s">
        <v>5207</v>
      </c>
      <c r="P981" t="s">
        <v>778</v>
      </c>
      <c r="Q981" s="3">
        <v>38355</v>
      </c>
      <c r="R981" t="s">
        <v>128</v>
      </c>
      <c r="T981" s="4">
        <v>17316130041</v>
      </c>
      <c r="V981" t="s">
        <v>10391</v>
      </c>
      <c r="W981" t="s">
        <v>10392</v>
      </c>
      <c r="Y981" t="s">
        <v>10390</v>
      </c>
      <c r="AA981" t="s">
        <v>5207</v>
      </c>
      <c r="AB981" t="s">
        <v>779</v>
      </c>
      <c r="AC981" s="3" t="str">
        <f>"38355"</f>
        <v>38355</v>
      </c>
      <c r="AD981" t="s">
        <v>128</v>
      </c>
      <c r="AF981" s="4">
        <v>17316130041</v>
      </c>
      <c r="AH981" t="str">
        <f>"561730"</f>
        <v>561730</v>
      </c>
      <c r="AI981" t="s">
        <v>287</v>
      </c>
      <c r="AJ981" t="s">
        <v>6793</v>
      </c>
      <c r="AK981" t="s">
        <v>6794</v>
      </c>
      <c r="AM981" t="s">
        <v>6795</v>
      </c>
      <c r="AO981" t="s">
        <v>6796</v>
      </c>
      <c r="AP981" t="s">
        <v>400</v>
      </c>
      <c r="AQ981" s="5">
        <v>75098</v>
      </c>
      <c r="AR981" t="s">
        <v>128</v>
      </c>
      <c r="AT981" s="4">
        <v>19724424244</v>
      </c>
      <c r="AV981" t="s">
        <v>6797</v>
      </c>
      <c r="AW981" t="s">
        <v>6798</v>
      </c>
      <c r="AX981" t="s">
        <v>131</v>
      </c>
      <c r="AY981" t="s">
        <v>131</v>
      </c>
      <c r="AZ981" t="s">
        <v>131</v>
      </c>
      <c r="BA981" t="s">
        <v>131</v>
      </c>
      <c r="BB981" t="s">
        <v>131</v>
      </c>
      <c r="BC981" t="s">
        <v>131</v>
      </c>
      <c r="BD981" t="s">
        <v>131</v>
      </c>
      <c r="BE981" t="s">
        <v>132</v>
      </c>
      <c r="BH981" t="s">
        <v>2215</v>
      </c>
      <c r="BI981" t="s">
        <v>131</v>
      </c>
      <c r="BL981" t="s">
        <v>167</v>
      </c>
      <c r="BO981" t="s">
        <v>131</v>
      </c>
      <c r="BP981" t="s">
        <v>134</v>
      </c>
      <c r="BQ981" t="s">
        <v>131</v>
      </c>
      <c r="BS981" t="str">
        <f t="shared" si="71"/>
        <v>N/A</v>
      </c>
      <c r="BT981" t="s">
        <v>131</v>
      </c>
      <c r="BV981" t="str">
        <f>""</f>
        <v/>
      </c>
      <c r="BW981" t="s">
        <v>131</v>
      </c>
      <c r="BX981" t="str">
        <f>""</f>
        <v/>
      </c>
      <c r="BY981" t="str">
        <f>""</f>
        <v/>
      </c>
      <c r="BZ981" t="str">
        <f>""</f>
        <v/>
      </c>
      <c r="CA981" t="str">
        <f>""</f>
        <v/>
      </c>
      <c r="CB981" t="s">
        <v>131</v>
      </c>
      <c r="CF981" t="s">
        <v>131</v>
      </c>
      <c r="CH981" t="str">
        <f>""</f>
        <v/>
      </c>
      <c r="CI981" t="s">
        <v>131</v>
      </c>
      <c r="CK981" t="s">
        <v>131</v>
      </c>
      <c r="CL981" t="str">
        <f>""</f>
        <v/>
      </c>
      <c r="CM981" t="str">
        <f>""</f>
        <v/>
      </c>
      <c r="CN981" t="str">
        <f>""</f>
        <v/>
      </c>
      <c r="CO981" t="str">
        <f>""</f>
        <v/>
      </c>
      <c r="CP981" t="str">
        <f>"37-3011.00"</f>
        <v>37-3011.00</v>
      </c>
      <c r="CQ981" t="s">
        <v>920</v>
      </c>
      <c r="CR981" t="s">
        <v>1105</v>
      </c>
      <c r="CS981" t="s">
        <v>131</v>
      </c>
      <c r="CU981" t="s">
        <v>10390</v>
      </c>
      <c r="CW981" t="s">
        <v>5207</v>
      </c>
      <c r="CX981" t="s">
        <v>779</v>
      </c>
      <c r="CZ981" s="3" t="str">
        <f>"38355"</f>
        <v>38355</v>
      </c>
      <c r="DA981" t="s">
        <v>135</v>
      </c>
      <c r="DB981" t="str">
        <f>"37-3011"</f>
        <v>37-3011</v>
      </c>
      <c r="DC981" t="s">
        <v>920</v>
      </c>
      <c r="DD981" t="s">
        <v>134</v>
      </c>
      <c r="DE981" t="s">
        <v>134</v>
      </c>
      <c r="DF981" t="str">
        <f>""</f>
        <v/>
      </c>
      <c r="DH981" s="6">
        <v>13.07</v>
      </c>
      <c r="DI981" t="s">
        <v>344</v>
      </c>
      <c r="DK981" t="s">
        <v>345</v>
      </c>
      <c r="DS981" s="6">
        <v>13.22</v>
      </c>
      <c r="DT981" s="2" t="s">
        <v>2219</v>
      </c>
      <c r="DU981" s="1">
        <v>44375</v>
      </c>
      <c r="DV981" s="1">
        <v>44464</v>
      </c>
    </row>
    <row r="982" spans="1:126" ht="15" customHeight="1" x14ac:dyDescent="0.35">
      <c r="A982" t="s">
        <v>12902</v>
      </c>
      <c r="B982" t="s">
        <v>318</v>
      </c>
      <c r="C982" s="1">
        <v>44347</v>
      </c>
      <c r="D982" s="1">
        <v>44375</v>
      </c>
      <c r="H982" t="s">
        <v>319</v>
      </c>
      <c r="I982" t="s">
        <v>12903</v>
      </c>
      <c r="J982" t="s">
        <v>2516</v>
      </c>
      <c r="L982" t="s">
        <v>11146</v>
      </c>
      <c r="M982" t="s">
        <v>12904</v>
      </c>
      <c r="O982" t="s">
        <v>2071</v>
      </c>
      <c r="P982" t="s">
        <v>412</v>
      </c>
      <c r="Q982" s="3">
        <v>75401</v>
      </c>
      <c r="R982" t="s">
        <v>128</v>
      </c>
      <c r="T982" s="4">
        <v>19034543935</v>
      </c>
      <c r="V982" t="s">
        <v>12905</v>
      </c>
      <c r="W982" t="s">
        <v>12906</v>
      </c>
      <c r="Y982" t="s">
        <v>12904</v>
      </c>
      <c r="AA982" t="s">
        <v>2071</v>
      </c>
      <c r="AB982" t="s">
        <v>400</v>
      </c>
      <c r="AC982" s="3" t="str">
        <f>"75401"</f>
        <v>75401</v>
      </c>
      <c r="AD982" t="s">
        <v>128</v>
      </c>
      <c r="AF982" s="4">
        <v>19034543935</v>
      </c>
      <c r="AH982" t="str">
        <f>"561730"</f>
        <v>561730</v>
      </c>
      <c r="AI982" t="s">
        <v>287</v>
      </c>
      <c r="AJ982" t="s">
        <v>6793</v>
      </c>
      <c r="AK982" t="s">
        <v>6794</v>
      </c>
      <c r="AM982" t="s">
        <v>6795</v>
      </c>
      <c r="AO982" t="s">
        <v>6796</v>
      </c>
      <c r="AP982" t="s">
        <v>400</v>
      </c>
      <c r="AQ982" s="5">
        <v>75098</v>
      </c>
      <c r="AR982" t="s">
        <v>128</v>
      </c>
      <c r="AT982" s="4">
        <v>19724424244</v>
      </c>
      <c r="AV982" t="s">
        <v>6797</v>
      </c>
      <c r="AW982" t="s">
        <v>6798</v>
      </c>
      <c r="AX982" t="s">
        <v>131</v>
      </c>
      <c r="AY982" t="s">
        <v>131</v>
      </c>
      <c r="AZ982" t="s">
        <v>131</v>
      </c>
      <c r="BA982" t="s">
        <v>131</v>
      </c>
      <c r="BB982" t="s">
        <v>131</v>
      </c>
      <c r="BC982" t="s">
        <v>131</v>
      </c>
      <c r="BD982" t="s">
        <v>131</v>
      </c>
      <c r="BE982" t="s">
        <v>132</v>
      </c>
      <c r="BH982" t="s">
        <v>2215</v>
      </c>
      <c r="BI982" t="s">
        <v>131</v>
      </c>
      <c r="BL982" t="s">
        <v>167</v>
      </c>
      <c r="BO982" t="s">
        <v>131</v>
      </c>
      <c r="BP982" t="s">
        <v>134</v>
      </c>
      <c r="BQ982" t="s">
        <v>131</v>
      </c>
      <c r="BS982" t="str">
        <f t="shared" si="71"/>
        <v>N/A</v>
      </c>
      <c r="BT982" t="s">
        <v>131</v>
      </c>
      <c r="BV982" t="str">
        <f>""</f>
        <v/>
      </c>
      <c r="BW982" t="s">
        <v>131</v>
      </c>
      <c r="BX982" t="str">
        <f>""</f>
        <v/>
      </c>
      <c r="BY982" t="str">
        <f>""</f>
        <v/>
      </c>
      <c r="BZ982" t="str">
        <f>""</f>
        <v/>
      </c>
      <c r="CA982" t="str">
        <f>""</f>
        <v/>
      </c>
      <c r="CB982" t="s">
        <v>131</v>
      </c>
      <c r="CF982" t="s">
        <v>131</v>
      </c>
      <c r="CH982" t="str">
        <f>""</f>
        <v/>
      </c>
      <c r="CI982" t="s">
        <v>131</v>
      </c>
      <c r="CK982" t="s">
        <v>131</v>
      </c>
      <c r="CL982" t="str">
        <f>""</f>
        <v/>
      </c>
      <c r="CM982" t="str">
        <f>""</f>
        <v/>
      </c>
      <c r="CN982" t="str">
        <f>""</f>
        <v/>
      </c>
      <c r="CO982" t="str">
        <f>""</f>
        <v/>
      </c>
      <c r="CP982" t="str">
        <f>"37-3011.00"</f>
        <v>37-3011.00</v>
      </c>
      <c r="CQ982" t="s">
        <v>920</v>
      </c>
      <c r="CR982" t="s">
        <v>918</v>
      </c>
      <c r="CS982" t="s">
        <v>131</v>
      </c>
      <c r="CU982" t="s">
        <v>12904</v>
      </c>
      <c r="CW982" t="s">
        <v>2071</v>
      </c>
      <c r="CX982" t="s">
        <v>400</v>
      </c>
      <c r="CZ982" s="3" t="str">
        <f>"75401"</f>
        <v>75401</v>
      </c>
      <c r="DA982" t="s">
        <v>135</v>
      </c>
      <c r="DB982" t="str">
        <f>"37-3011"</f>
        <v>37-3011</v>
      </c>
      <c r="DC982" t="s">
        <v>920</v>
      </c>
      <c r="DD982" t="s">
        <v>134</v>
      </c>
      <c r="DE982" t="s">
        <v>134</v>
      </c>
      <c r="DF982" t="str">
        <f>""</f>
        <v/>
      </c>
      <c r="DH982" s="6">
        <v>15.23</v>
      </c>
      <c r="DI982" t="s">
        <v>344</v>
      </c>
      <c r="DK982" t="s">
        <v>345</v>
      </c>
      <c r="DS982" s="6">
        <v>15.23</v>
      </c>
      <c r="DT982" s="2" t="s">
        <v>2219</v>
      </c>
      <c r="DU982" s="1">
        <v>44375</v>
      </c>
      <c r="DV982" s="1">
        <v>44464</v>
      </c>
    </row>
    <row r="983" spans="1:126" ht="15" customHeight="1" x14ac:dyDescent="0.35">
      <c r="A983" t="s">
        <v>16405</v>
      </c>
      <c r="B983" t="s">
        <v>318</v>
      </c>
      <c r="C983" s="1">
        <v>44347</v>
      </c>
      <c r="D983" s="1">
        <v>44375</v>
      </c>
      <c r="H983" t="s">
        <v>319</v>
      </c>
      <c r="I983" t="s">
        <v>4718</v>
      </c>
      <c r="J983" t="s">
        <v>4392</v>
      </c>
      <c r="L983" t="s">
        <v>16406</v>
      </c>
      <c r="M983" t="s">
        <v>16407</v>
      </c>
      <c r="O983" t="s">
        <v>699</v>
      </c>
      <c r="P983" t="s">
        <v>412</v>
      </c>
      <c r="Q983" s="3">
        <v>78219</v>
      </c>
      <c r="R983" t="s">
        <v>128</v>
      </c>
      <c r="T983" s="4">
        <v>12143574668</v>
      </c>
      <c r="V983" t="s">
        <v>16408</v>
      </c>
      <c r="W983" t="s">
        <v>16409</v>
      </c>
      <c r="X983" t="s">
        <v>16410</v>
      </c>
      <c r="Y983" t="s">
        <v>16407</v>
      </c>
      <c r="AA983" t="s">
        <v>699</v>
      </c>
      <c r="AB983" t="s">
        <v>400</v>
      </c>
      <c r="AC983" s="3" t="str">
        <f>"78219"</f>
        <v>78219</v>
      </c>
      <c r="AD983" t="s">
        <v>128</v>
      </c>
      <c r="AF983" s="4">
        <v>12143574668</v>
      </c>
      <c r="AH983" t="str">
        <f>"561730"</f>
        <v>561730</v>
      </c>
      <c r="AI983" t="s">
        <v>287</v>
      </c>
      <c r="AJ983" t="s">
        <v>6793</v>
      </c>
      <c r="AK983" t="s">
        <v>6794</v>
      </c>
      <c r="AM983" t="s">
        <v>6795</v>
      </c>
      <c r="AO983" t="s">
        <v>6796</v>
      </c>
      <c r="AP983" t="s">
        <v>400</v>
      </c>
      <c r="AQ983" s="5">
        <v>75098</v>
      </c>
      <c r="AR983" t="s">
        <v>128</v>
      </c>
      <c r="AT983" s="4">
        <v>19724424244</v>
      </c>
      <c r="AV983" t="s">
        <v>6797</v>
      </c>
      <c r="AW983" t="s">
        <v>6798</v>
      </c>
      <c r="AX983" t="s">
        <v>131</v>
      </c>
      <c r="AY983" t="s">
        <v>131</v>
      </c>
      <c r="AZ983" t="s">
        <v>131</v>
      </c>
      <c r="BA983" t="s">
        <v>131</v>
      </c>
      <c r="BB983" t="s">
        <v>131</v>
      </c>
      <c r="BC983" t="s">
        <v>131</v>
      </c>
      <c r="BD983" t="s">
        <v>131</v>
      </c>
      <c r="BE983" t="s">
        <v>132</v>
      </c>
      <c r="BH983" t="s">
        <v>16411</v>
      </c>
      <c r="BI983" t="s">
        <v>131</v>
      </c>
      <c r="BL983" t="s">
        <v>167</v>
      </c>
      <c r="BO983" t="s">
        <v>131</v>
      </c>
      <c r="BP983" t="s">
        <v>134</v>
      </c>
      <c r="BQ983" t="s">
        <v>131</v>
      </c>
      <c r="BS983" t="str">
        <f t="shared" si="71"/>
        <v>N/A</v>
      </c>
      <c r="BT983" t="s">
        <v>131</v>
      </c>
      <c r="BV983" t="str">
        <f>""</f>
        <v/>
      </c>
      <c r="BW983" t="s">
        <v>131</v>
      </c>
      <c r="BX983" t="str">
        <f>""</f>
        <v/>
      </c>
      <c r="BY983" t="str">
        <f>""</f>
        <v/>
      </c>
      <c r="BZ983" t="str">
        <f>""</f>
        <v/>
      </c>
      <c r="CA983" t="str">
        <f>""</f>
        <v/>
      </c>
      <c r="CB983" t="s">
        <v>131</v>
      </c>
      <c r="CF983" t="s">
        <v>131</v>
      </c>
      <c r="CH983" t="str">
        <f>""</f>
        <v/>
      </c>
      <c r="CI983" t="s">
        <v>131</v>
      </c>
      <c r="CK983" t="s">
        <v>131</v>
      </c>
      <c r="CL983" t="str">
        <f>""</f>
        <v/>
      </c>
      <c r="CM983" t="str">
        <f>""</f>
        <v/>
      </c>
      <c r="CN983" t="str">
        <f>""</f>
        <v/>
      </c>
      <c r="CO983" t="str">
        <f>""</f>
        <v/>
      </c>
      <c r="CP983" t="str">
        <f>"37-3011.00"</f>
        <v>37-3011.00</v>
      </c>
      <c r="CQ983" t="s">
        <v>920</v>
      </c>
      <c r="CR983" t="s">
        <v>16412</v>
      </c>
      <c r="CS983" t="s">
        <v>131</v>
      </c>
      <c r="CU983" t="s">
        <v>16407</v>
      </c>
      <c r="CW983" t="s">
        <v>699</v>
      </c>
      <c r="CX983" t="s">
        <v>400</v>
      </c>
      <c r="CZ983" s="3" t="str">
        <f>"78219"</f>
        <v>78219</v>
      </c>
      <c r="DA983" t="s">
        <v>135</v>
      </c>
      <c r="DB983" t="str">
        <f>"37-3011"</f>
        <v>37-3011</v>
      </c>
      <c r="DC983" t="s">
        <v>920</v>
      </c>
      <c r="DD983" t="s">
        <v>134</v>
      </c>
      <c r="DE983" t="s">
        <v>134</v>
      </c>
      <c r="DF983" t="str">
        <f>""</f>
        <v/>
      </c>
      <c r="DH983" s="6">
        <v>14</v>
      </c>
      <c r="DI983" t="s">
        <v>344</v>
      </c>
      <c r="DK983" t="s">
        <v>345</v>
      </c>
      <c r="DS983" s="6">
        <v>14</v>
      </c>
      <c r="DT983" s="2" t="s">
        <v>2219</v>
      </c>
      <c r="DU983" s="1">
        <v>44375</v>
      </c>
      <c r="DV983" s="1">
        <v>44464</v>
      </c>
    </row>
    <row r="984" spans="1:126" ht="15" customHeight="1" x14ac:dyDescent="0.35">
      <c r="A984" t="s">
        <v>19421</v>
      </c>
      <c r="B984" t="s">
        <v>318</v>
      </c>
      <c r="C984" s="1">
        <v>44347</v>
      </c>
      <c r="D984" s="1">
        <v>44375</v>
      </c>
      <c r="H984" t="s">
        <v>319</v>
      </c>
      <c r="I984" t="s">
        <v>4718</v>
      </c>
      <c r="J984" t="s">
        <v>4392</v>
      </c>
      <c r="L984" t="s">
        <v>16406</v>
      </c>
      <c r="M984" t="s">
        <v>19422</v>
      </c>
      <c r="O984" t="s">
        <v>399</v>
      </c>
      <c r="P984" t="s">
        <v>412</v>
      </c>
      <c r="Q984" s="3">
        <v>75247</v>
      </c>
      <c r="R984" t="s">
        <v>128</v>
      </c>
      <c r="T984" s="4">
        <v>12143574668</v>
      </c>
      <c r="V984" t="s">
        <v>16408</v>
      </c>
      <c r="W984" t="s">
        <v>19423</v>
      </c>
      <c r="X984" t="s">
        <v>16410</v>
      </c>
      <c r="Y984" t="s">
        <v>19422</v>
      </c>
      <c r="AA984" t="s">
        <v>399</v>
      </c>
      <c r="AB984" t="s">
        <v>400</v>
      </c>
      <c r="AC984" s="3" t="str">
        <f>"75247"</f>
        <v>75247</v>
      </c>
      <c r="AD984" t="s">
        <v>128</v>
      </c>
      <c r="AF984" s="4">
        <v>12143574668</v>
      </c>
      <c r="AH984" t="str">
        <f>"561730"</f>
        <v>561730</v>
      </c>
      <c r="AI984" t="s">
        <v>287</v>
      </c>
      <c r="AJ984" t="s">
        <v>6793</v>
      </c>
      <c r="AK984" t="s">
        <v>6794</v>
      </c>
      <c r="AM984" t="s">
        <v>6795</v>
      </c>
      <c r="AO984" t="s">
        <v>6796</v>
      </c>
      <c r="AP984" t="s">
        <v>400</v>
      </c>
      <c r="AQ984" s="5">
        <v>75098</v>
      </c>
      <c r="AR984" t="s">
        <v>128</v>
      </c>
      <c r="AT984" s="4">
        <v>19724424244</v>
      </c>
      <c r="AV984" t="s">
        <v>6797</v>
      </c>
      <c r="AW984" t="s">
        <v>6798</v>
      </c>
      <c r="AX984" t="s">
        <v>131</v>
      </c>
      <c r="AY984" t="s">
        <v>131</v>
      </c>
      <c r="AZ984" t="s">
        <v>131</v>
      </c>
      <c r="BA984" t="s">
        <v>131</v>
      </c>
      <c r="BB984" t="s">
        <v>131</v>
      </c>
      <c r="BC984" t="s">
        <v>131</v>
      </c>
      <c r="BD984" t="s">
        <v>131</v>
      </c>
      <c r="BE984" t="s">
        <v>132</v>
      </c>
      <c r="BH984" t="s">
        <v>16411</v>
      </c>
      <c r="BI984" t="s">
        <v>131</v>
      </c>
      <c r="BL984" t="s">
        <v>167</v>
      </c>
      <c r="BO984" t="s">
        <v>131</v>
      </c>
      <c r="BP984" t="s">
        <v>134</v>
      </c>
      <c r="BQ984" t="s">
        <v>131</v>
      </c>
      <c r="BS984" t="str">
        <f t="shared" si="71"/>
        <v>N/A</v>
      </c>
      <c r="BT984" t="s">
        <v>131</v>
      </c>
      <c r="BV984" t="str">
        <f>""</f>
        <v/>
      </c>
      <c r="BW984" t="s">
        <v>131</v>
      </c>
      <c r="BX984" t="str">
        <f>""</f>
        <v/>
      </c>
      <c r="BY984" t="str">
        <f>""</f>
        <v/>
      </c>
      <c r="BZ984" t="str">
        <f>""</f>
        <v/>
      </c>
      <c r="CA984" t="str">
        <f>""</f>
        <v/>
      </c>
      <c r="CB984" t="s">
        <v>131</v>
      </c>
      <c r="CF984" t="s">
        <v>131</v>
      </c>
      <c r="CH984" t="str">
        <f>""</f>
        <v/>
      </c>
      <c r="CI984" t="s">
        <v>131</v>
      </c>
      <c r="CK984" t="s">
        <v>131</v>
      </c>
      <c r="CL984" t="str">
        <f>""</f>
        <v/>
      </c>
      <c r="CM984" t="str">
        <f>""</f>
        <v/>
      </c>
      <c r="CN984" t="str">
        <f>""</f>
        <v/>
      </c>
      <c r="CO984" t="str">
        <f>""</f>
        <v/>
      </c>
      <c r="CP984" t="str">
        <f>"37-3011.00"</f>
        <v>37-3011.00</v>
      </c>
      <c r="CQ984" t="s">
        <v>920</v>
      </c>
      <c r="CR984" t="s">
        <v>16412</v>
      </c>
      <c r="CS984" t="s">
        <v>131</v>
      </c>
      <c r="CU984" t="s">
        <v>19422</v>
      </c>
      <c r="CW984" t="s">
        <v>399</v>
      </c>
      <c r="CX984" t="s">
        <v>400</v>
      </c>
      <c r="CZ984" s="3" t="str">
        <f>"75247"</f>
        <v>75247</v>
      </c>
      <c r="DA984" t="s">
        <v>135</v>
      </c>
      <c r="DB984" t="str">
        <f>"37-3011"</f>
        <v>37-3011</v>
      </c>
      <c r="DC984" t="s">
        <v>920</v>
      </c>
      <c r="DD984" t="s">
        <v>134</v>
      </c>
      <c r="DE984" t="s">
        <v>134</v>
      </c>
      <c r="DF984" t="str">
        <f>""</f>
        <v/>
      </c>
      <c r="DH984" s="6">
        <v>15.23</v>
      </c>
      <c r="DI984" t="s">
        <v>344</v>
      </c>
      <c r="DK984" t="s">
        <v>345</v>
      </c>
      <c r="DS984" s="6">
        <v>15.23</v>
      </c>
      <c r="DT984" s="2" t="s">
        <v>2219</v>
      </c>
      <c r="DU984" s="1">
        <v>44375</v>
      </c>
      <c r="DV984" s="1">
        <v>44464</v>
      </c>
    </row>
    <row r="985" spans="1:126" ht="15" customHeight="1" x14ac:dyDescent="0.35">
      <c r="A985" t="s">
        <v>19782</v>
      </c>
      <c r="B985" t="s">
        <v>318</v>
      </c>
      <c r="C985" s="1">
        <v>44347</v>
      </c>
      <c r="D985" s="1">
        <v>44375</v>
      </c>
      <c r="H985" t="s">
        <v>319</v>
      </c>
      <c r="I985" t="s">
        <v>5363</v>
      </c>
      <c r="J985" t="s">
        <v>6785</v>
      </c>
      <c r="L985" t="s">
        <v>1105</v>
      </c>
      <c r="M985" t="s">
        <v>19783</v>
      </c>
      <c r="O985" t="s">
        <v>13842</v>
      </c>
      <c r="P985" t="s">
        <v>1760</v>
      </c>
      <c r="Q985" s="3">
        <v>70767</v>
      </c>
      <c r="R985" t="s">
        <v>128</v>
      </c>
      <c r="T985" s="4">
        <v>12256636866</v>
      </c>
      <c r="V985" t="s">
        <v>19784</v>
      </c>
      <c r="W985" t="s">
        <v>19785</v>
      </c>
      <c r="Y985" t="s">
        <v>19783</v>
      </c>
      <c r="AA985" t="s">
        <v>13842</v>
      </c>
      <c r="AB985" t="s">
        <v>1763</v>
      </c>
      <c r="AC985" s="3" t="str">
        <f>"70767"</f>
        <v>70767</v>
      </c>
      <c r="AD985" t="s">
        <v>128</v>
      </c>
      <c r="AF985" s="4">
        <v>12256636866</v>
      </c>
      <c r="AH985" t="str">
        <f>"811192"</f>
        <v>811192</v>
      </c>
      <c r="AI985" t="s">
        <v>287</v>
      </c>
      <c r="AJ985" t="s">
        <v>6793</v>
      </c>
      <c r="AK985" t="s">
        <v>6794</v>
      </c>
      <c r="AM985" t="s">
        <v>6795</v>
      </c>
      <c r="AO985" t="s">
        <v>6796</v>
      </c>
      <c r="AP985" t="s">
        <v>400</v>
      </c>
      <c r="AQ985" s="5">
        <v>75098</v>
      </c>
      <c r="AR985" t="s">
        <v>128</v>
      </c>
      <c r="AT985" s="4">
        <v>19724424244</v>
      </c>
      <c r="AV985" t="s">
        <v>6797</v>
      </c>
      <c r="AW985" t="s">
        <v>6798</v>
      </c>
      <c r="AX985" t="s">
        <v>131</v>
      </c>
      <c r="AY985" t="s">
        <v>131</v>
      </c>
      <c r="AZ985" t="s">
        <v>131</v>
      </c>
      <c r="BA985" t="s">
        <v>131</v>
      </c>
      <c r="BB985" t="s">
        <v>131</v>
      </c>
      <c r="BC985" t="s">
        <v>131</v>
      </c>
      <c r="BD985" t="s">
        <v>131</v>
      </c>
      <c r="BE985" t="s">
        <v>132</v>
      </c>
      <c r="BH985" t="s">
        <v>19786</v>
      </c>
      <c r="BI985" t="s">
        <v>131</v>
      </c>
      <c r="BL985" t="s">
        <v>167</v>
      </c>
      <c r="BO985" t="s">
        <v>131</v>
      </c>
      <c r="BP985" t="s">
        <v>134</v>
      </c>
      <c r="BQ985" t="s">
        <v>131</v>
      </c>
      <c r="BS985" t="str">
        <f t="shared" si="71"/>
        <v>N/A</v>
      </c>
      <c r="BT985" t="s">
        <v>131</v>
      </c>
      <c r="BV985" t="str">
        <f>""</f>
        <v/>
      </c>
      <c r="BW985" t="s">
        <v>131</v>
      </c>
      <c r="BX985" t="str">
        <f>""</f>
        <v/>
      </c>
      <c r="BY985" t="str">
        <f>""</f>
        <v/>
      </c>
      <c r="BZ985" t="str">
        <f>""</f>
        <v/>
      </c>
      <c r="CA985" t="str">
        <f>""</f>
        <v/>
      </c>
      <c r="CB985" t="s">
        <v>131</v>
      </c>
      <c r="CF985" t="s">
        <v>131</v>
      </c>
      <c r="CH985" t="str">
        <f>""</f>
        <v/>
      </c>
      <c r="CI985" t="s">
        <v>131</v>
      </c>
      <c r="CK985" t="s">
        <v>131</v>
      </c>
      <c r="CL985" t="str">
        <f>""</f>
        <v/>
      </c>
      <c r="CM985" t="str">
        <f>""</f>
        <v/>
      </c>
      <c r="CN985" t="str">
        <f>""</f>
        <v/>
      </c>
      <c r="CO985" t="str">
        <f>""</f>
        <v/>
      </c>
      <c r="CP985" t="str">
        <f>"53-7061.00"</f>
        <v>53-7061.00</v>
      </c>
      <c r="CQ985" t="s">
        <v>1719</v>
      </c>
      <c r="CR985" t="s">
        <v>918</v>
      </c>
      <c r="CS985" t="s">
        <v>131</v>
      </c>
      <c r="CU985" t="s">
        <v>19783</v>
      </c>
      <c r="CW985" t="s">
        <v>13842</v>
      </c>
      <c r="CX985" t="s">
        <v>1763</v>
      </c>
      <c r="CZ985" s="3" t="str">
        <f>"70767"</f>
        <v>70767</v>
      </c>
      <c r="DA985" t="s">
        <v>131</v>
      </c>
      <c r="DB985" t="str">
        <f>"53-7061"</f>
        <v>53-7061</v>
      </c>
      <c r="DC985" t="s">
        <v>1719</v>
      </c>
      <c r="DD985" t="s">
        <v>134</v>
      </c>
      <c r="DE985" t="s">
        <v>134</v>
      </c>
      <c r="DF985" t="str">
        <f>""</f>
        <v/>
      </c>
      <c r="DH985" s="6">
        <v>12.51</v>
      </c>
      <c r="DI985" t="s">
        <v>344</v>
      </c>
      <c r="DK985" t="s">
        <v>345</v>
      </c>
      <c r="DS985" s="6">
        <v>12.51</v>
      </c>
      <c r="DT985" t="s">
        <v>424</v>
      </c>
      <c r="DU985" s="1">
        <v>44375</v>
      </c>
      <c r="DV985" s="1">
        <v>44464</v>
      </c>
    </row>
    <row r="986" spans="1:126" ht="15" customHeight="1" x14ac:dyDescent="0.35">
      <c r="A986" t="s">
        <v>18793</v>
      </c>
      <c r="B986" t="s">
        <v>318</v>
      </c>
      <c r="C986" s="1">
        <v>44347</v>
      </c>
      <c r="D986" s="1">
        <v>44375</v>
      </c>
      <c r="H986" t="s">
        <v>319</v>
      </c>
      <c r="I986" t="s">
        <v>18794</v>
      </c>
      <c r="J986" t="s">
        <v>7229</v>
      </c>
      <c r="L986" t="s">
        <v>1105</v>
      </c>
      <c r="M986" t="s">
        <v>18795</v>
      </c>
      <c r="O986" t="s">
        <v>18796</v>
      </c>
      <c r="P986" t="s">
        <v>412</v>
      </c>
      <c r="Q986" s="3">
        <v>77834</v>
      </c>
      <c r="R986" t="s">
        <v>128</v>
      </c>
      <c r="T986" s="4">
        <v>19793530955</v>
      </c>
      <c r="V986" t="s">
        <v>18797</v>
      </c>
      <c r="W986" t="s">
        <v>18798</v>
      </c>
      <c r="X986" t="s">
        <v>18799</v>
      </c>
      <c r="Y986" t="s">
        <v>18800</v>
      </c>
      <c r="AA986" t="s">
        <v>18796</v>
      </c>
      <c r="AB986" t="s">
        <v>400</v>
      </c>
      <c r="AC986" s="3" t="str">
        <f>"77834"</f>
        <v>77834</v>
      </c>
      <c r="AD986" t="s">
        <v>128</v>
      </c>
      <c r="AF986" s="4">
        <v>19793530955</v>
      </c>
      <c r="AH986" t="str">
        <f>"561730"</f>
        <v>561730</v>
      </c>
      <c r="AI986" t="s">
        <v>287</v>
      </c>
      <c r="AJ986" t="s">
        <v>6793</v>
      </c>
      <c r="AK986" t="s">
        <v>6794</v>
      </c>
      <c r="AM986" t="s">
        <v>6795</v>
      </c>
      <c r="AO986" t="s">
        <v>6796</v>
      </c>
      <c r="AP986" t="s">
        <v>400</v>
      </c>
      <c r="AQ986" s="5">
        <v>75098</v>
      </c>
      <c r="AR986" t="s">
        <v>128</v>
      </c>
      <c r="AT986" s="4">
        <v>19724424244</v>
      </c>
      <c r="AV986" t="s">
        <v>6797</v>
      </c>
      <c r="AW986" t="s">
        <v>6798</v>
      </c>
      <c r="AX986" t="s">
        <v>131</v>
      </c>
      <c r="AY986" t="s">
        <v>131</v>
      </c>
      <c r="AZ986" t="s">
        <v>131</v>
      </c>
      <c r="BA986" t="s">
        <v>131</v>
      </c>
      <c r="BB986" t="s">
        <v>131</v>
      </c>
      <c r="BC986" t="s">
        <v>131</v>
      </c>
      <c r="BD986" t="s">
        <v>131</v>
      </c>
      <c r="BE986" t="s">
        <v>132</v>
      </c>
      <c r="BH986" t="s">
        <v>2215</v>
      </c>
      <c r="BI986" t="s">
        <v>131</v>
      </c>
      <c r="BL986" t="s">
        <v>167</v>
      </c>
      <c r="BO986" t="s">
        <v>131</v>
      </c>
      <c r="BP986" t="s">
        <v>134</v>
      </c>
      <c r="BQ986" t="s">
        <v>131</v>
      </c>
      <c r="BS986" t="str">
        <f t="shared" si="71"/>
        <v>N/A</v>
      </c>
      <c r="BT986" t="s">
        <v>131</v>
      </c>
      <c r="BV986" t="str">
        <f>""</f>
        <v/>
      </c>
      <c r="BW986" t="s">
        <v>131</v>
      </c>
      <c r="BX986" t="str">
        <f>""</f>
        <v/>
      </c>
      <c r="BY986" t="str">
        <f>""</f>
        <v/>
      </c>
      <c r="BZ986" t="str">
        <f>""</f>
        <v/>
      </c>
      <c r="CA986" t="str">
        <f>""</f>
        <v/>
      </c>
      <c r="CB986" t="s">
        <v>131</v>
      </c>
      <c r="CF986" t="s">
        <v>131</v>
      </c>
      <c r="CH986" t="str">
        <f>""</f>
        <v/>
      </c>
      <c r="CI986" t="s">
        <v>131</v>
      </c>
      <c r="CK986" t="s">
        <v>131</v>
      </c>
      <c r="CL986" t="str">
        <f>""</f>
        <v/>
      </c>
      <c r="CM986" t="str">
        <f>""</f>
        <v/>
      </c>
      <c r="CN986" t="str">
        <f>""</f>
        <v/>
      </c>
      <c r="CO986" t="str">
        <f>""</f>
        <v/>
      </c>
      <c r="CP986" t="str">
        <f>"37-3011.00"</f>
        <v>37-3011.00</v>
      </c>
      <c r="CQ986" t="s">
        <v>920</v>
      </c>
      <c r="CR986" t="s">
        <v>1105</v>
      </c>
      <c r="CS986" t="s">
        <v>131</v>
      </c>
      <c r="CU986" t="s">
        <v>18800</v>
      </c>
      <c r="CW986" t="s">
        <v>18796</v>
      </c>
      <c r="CX986" t="s">
        <v>400</v>
      </c>
      <c r="CZ986" s="3" t="str">
        <f>"77834"</f>
        <v>77834</v>
      </c>
      <c r="DA986" t="s">
        <v>135</v>
      </c>
      <c r="DB986" t="str">
        <f>"37-3011"</f>
        <v>37-3011</v>
      </c>
      <c r="DC986" t="s">
        <v>920</v>
      </c>
      <c r="DD986" t="s">
        <v>134</v>
      </c>
      <c r="DE986" t="s">
        <v>134</v>
      </c>
      <c r="DF986" t="str">
        <f>""</f>
        <v/>
      </c>
      <c r="DH986" s="6">
        <v>13.93</v>
      </c>
      <c r="DI986" t="s">
        <v>344</v>
      </c>
      <c r="DK986" t="s">
        <v>345</v>
      </c>
      <c r="DS986" s="6">
        <v>14.04</v>
      </c>
      <c r="DT986" s="2" t="s">
        <v>2219</v>
      </c>
      <c r="DU986" s="1">
        <v>44375</v>
      </c>
      <c r="DV986" s="1">
        <v>44464</v>
      </c>
    </row>
    <row r="987" spans="1:126" ht="15" customHeight="1" x14ac:dyDescent="0.35">
      <c r="A987" t="s">
        <v>12843</v>
      </c>
      <c r="B987" t="s">
        <v>318</v>
      </c>
      <c r="C987" s="1">
        <v>44347</v>
      </c>
      <c r="D987" s="1">
        <v>44375</v>
      </c>
      <c r="H987" t="s">
        <v>319</v>
      </c>
      <c r="I987" t="s">
        <v>12844</v>
      </c>
      <c r="J987" t="s">
        <v>6775</v>
      </c>
      <c r="L987" t="s">
        <v>587</v>
      </c>
      <c r="M987" t="s">
        <v>12845</v>
      </c>
      <c r="O987" t="s">
        <v>2665</v>
      </c>
      <c r="P987" t="s">
        <v>412</v>
      </c>
      <c r="Q987" s="3">
        <v>75006</v>
      </c>
      <c r="R987" t="s">
        <v>128</v>
      </c>
      <c r="T987" s="4">
        <v>19722454557</v>
      </c>
      <c r="V987" t="s">
        <v>12846</v>
      </c>
      <c r="W987" t="s">
        <v>12847</v>
      </c>
      <c r="X987" t="s">
        <v>12848</v>
      </c>
      <c r="Y987" t="s">
        <v>12845</v>
      </c>
      <c r="AA987" t="s">
        <v>2665</v>
      </c>
      <c r="AB987" t="s">
        <v>400</v>
      </c>
      <c r="AC987" s="3" t="str">
        <f>"75006"</f>
        <v>75006</v>
      </c>
      <c r="AD987" t="s">
        <v>128</v>
      </c>
      <c r="AF987" s="4">
        <v>19722454557</v>
      </c>
      <c r="AH987" t="str">
        <f>"111421"</f>
        <v>111421</v>
      </c>
      <c r="AI987" t="s">
        <v>287</v>
      </c>
      <c r="AJ987" t="s">
        <v>6793</v>
      </c>
      <c r="AK987" t="s">
        <v>6794</v>
      </c>
      <c r="AM987" t="s">
        <v>6795</v>
      </c>
      <c r="AO987" t="s">
        <v>6796</v>
      </c>
      <c r="AP987" t="s">
        <v>400</v>
      </c>
      <c r="AQ987" s="5">
        <v>75098</v>
      </c>
      <c r="AR987" t="s">
        <v>128</v>
      </c>
      <c r="AT987" s="4">
        <v>19724424244</v>
      </c>
      <c r="AV987" t="s">
        <v>6797</v>
      </c>
      <c r="AW987" t="s">
        <v>6798</v>
      </c>
      <c r="AX987" t="s">
        <v>131</v>
      </c>
      <c r="AY987" t="s">
        <v>131</v>
      </c>
      <c r="AZ987" t="s">
        <v>131</v>
      </c>
      <c r="BA987" t="s">
        <v>131</v>
      </c>
      <c r="BB987" t="s">
        <v>131</v>
      </c>
      <c r="BC987" t="s">
        <v>131</v>
      </c>
      <c r="BD987" t="s">
        <v>131</v>
      </c>
      <c r="BE987" t="s">
        <v>132</v>
      </c>
      <c r="BH987" t="s">
        <v>4716</v>
      </c>
      <c r="BI987" t="s">
        <v>131</v>
      </c>
      <c r="BL987" t="s">
        <v>167</v>
      </c>
      <c r="BO987" t="s">
        <v>131</v>
      </c>
      <c r="BP987" t="s">
        <v>134</v>
      </c>
      <c r="BQ987" t="s">
        <v>131</v>
      </c>
      <c r="BS987" t="str">
        <f t="shared" si="71"/>
        <v>N/A</v>
      </c>
      <c r="BT987" t="s">
        <v>131</v>
      </c>
      <c r="BV987" t="str">
        <f>""</f>
        <v/>
      </c>
      <c r="BW987" t="s">
        <v>131</v>
      </c>
      <c r="BX987" t="str">
        <f>""</f>
        <v/>
      </c>
      <c r="BY987" t="str">
        <f>""</f>
        <v/>
      </c>
      <c r="BZ987" t="str">
        <f>""</f>
        <v/>
      </c>
      <c r="CA987" t="str">
        <f>""</f>
        <v/>
      </c>
      <c r="CB987" t="s">
        <v>131</v>
      </c>
      <c r="CF987" t="s">
        <v>131</v>
      </c>
      <c r="CH987" t="str">
        <f>""</f>
        <v/>
      </c>
      <c r="CI987" t="s">
        <v>131</v>
      </c>
      <c r="CK987" t="s">
        <v>131</v>
      </c>
      <c r="CL987" t="str">
        <f>""</f>
        <v/>
      </c>
      <c r="CM987" t="str">
        <f>""</f>
        <v/>
      </c>
      <c r="CN987" t="str">
        <f>""</f>
        <v/>
      </c>
      <c r="CO987" t="str">
        <f>""</f>
        <v/>
      </c>
      <c r="CP987" t="str">
        <f>"45-2092.01"</f>
        <v>45-2092.01</v>
      </c>
      <c r="CQ987" t="s">
        <v>3197</v>
      </c>
      <c r="CR987" t="s">
        <v>918</v>
      </c>
      <c r="CS987" t="s">
        <v>131</v>
      </c>
      <c r="CU987" t="s">
        <v>12845</v>
      </c>
      <c r="CW987" t="s">
        <v>2665</v>
      </c>
      <c r="CX987" t="s">
        <v>400</v>
      </c>
      <c r="CZ987" s="3" t="str">
        <f>"75006"</f>
        <v>75006</v>
      </c>
      <c r="DA987" t="s">
        <v>131</v>
      </c>
      <c r="DB987" t="str">
        <f>"45-2092"</f>
        <v>45-2092</v>
      </c>
      <c r="DC987" t="s">
        <v>3820</v>
      </c>
      <c r="DD987" t="s">
        <v>10470</v>
      </c>
      <c r="DE987" t="s">
        <v>3197</v>
      </c>
      <c r="DF987" t="str">
        <f>""</f>
        <v/>
      </c>
      <c r="DH987" s="6">
        <v>12.14</v>
      </c>
      <c r="DI987" t="s">
        <v>344</v>
      </c>
      <c r="DK987" t="s">
        <v>345</v>
      </c>
      <c r="DS987" s="6">
        <v>12.14</v>
      </c>
      <c r="DT987" t="s">
        <v>424</v>
      </c>
      <c r="DU987" s="1">
        <v>44375</v>
      </c>
      <c r="DV987" s="1">
        <v>44464</v>
      </c>
    </row>
    <row r="988" spans="1:126" ht="15" customHeight="1" x14ac:dyDescent="0.35">
      <c r="A988" t="s">
        <v>13575</v>
      </c>
      <c r="B988" t="s">
        <v>318</v>
      </c>
      <c r="C988" s="1">
        <v>44347</v>
      </c>
      <c r="D988" s="1">
        <v>44375</v>
      </c>
      <c r="H988" t="s">
        <v>319</v>
      </c>
      <c r="I988" t="s">
        <v>13576</v>
      </c>
      <c r="J988" t="s">
        <v>2222</v>
      </c>
      <c r="L988" t="s">
        <v>1105</v>
      </c>
      <c r="M988" t="s">
        <v>13577</v>
      </c>
      <c r="O988" t="s">
        <v>13578</v>
      </c>
      <c r="P988" t="s">
        <v>702</v>
      </c>
      <c r="Q988" s="3">
        <v>6615</v>
      </c>
      <c r="R988" t="s">
        <v>128</v>
      </c>
      <c r="T988" s="4">
        <v>12033802656</v>
      </c>
      <c r="V988" t="s">
        <v>13579</v>
      </c>
      <c r="W988" t="s">
        <v>13580</v>
      </c>
      <c r="Y988" t="s">
        <v>13577</v>
      </c>
      <c r="AA988" t="s">
        <v>13578</v>
      </c>
      <c r="AB988" t="s">
        <v>703</v>
      </c>
      <c r="AC988" s="3" t="str">
        <f>"06615"</f>
        <v>06615</v>
      </c>
      <c r="AD988" t="s">
        <v>128</v>
      </c>
      <c r="AF988" s="4">
        <v>12033802656</v>
      </c>
      <c r="AH988" t="str">
        <f>"238990"</f>
        <v>238990</v>
      </c>
      <c r="AI988" t="s">
        <v>287</v>
      </c>
      <c r="AJ988" t="s">
        <v>6793</v>
      </c>
      <c r="AK988" t="s">
        <v>6794</v>
      </c>
      <c r="AM988" t="s">
        <v>6795</v>
      </c>
      <c r="AO988" t="s">
        <v>6796</v>
      </c>
      <c r="AP988" t="s">
        <v>400</v>
      </c>
      <c r="AQ988" s="5">
        <v>75098</v>
      </c>
      <c r="AR988" t="s">
        <v>128</v>
      </c>
      <c r="AT988" s="4">
        <v>19724424244</v>
      </c>
      <c r="AV988" t="s">
        <v>6797</v>
      </c>
      <c r="AW988" t="s">
        <v>6798</v>
      </c>
      <c r="AX988" t="s">
        <v>131</v>
      </c>
      <c r="AY988" t="s">
        <v>131</v>
      </c>
      <c r="AZ988" t="s">
        <v>131</v>
      </c>
      <c r="BA988" t="s">
        <v>131</v>
      </c>
      <c r="BB988" t="s">
        <v>131</v>
      </c>
      <c r="BC988" t="s">
        <v>131</v>
      </c>
      <c r="BD988" t="s">
        <v>131</v>
      </c>
      <c r="BE988" t="s">
        <v>132</v>
      </c>
      <c r="BH988" t="s">
        <v>13581</v>
      </c>
      <c r="BI988" t="s">
        <v>131</v>
      </c>
      <c r="BL988" t="s">
        <v>167</v>
      </c>
      <c r="BO988" t="s">
        <v>131</v>
      </c>
      <c r="BP988" t="s">
        <v>134</v>
      </c>
      <c r="BQ988" t="s">
        <v>131</v>
      </c>
      <c r="BS988" t="str">
        <f t="shared" si="71"/>
        <v>N/A</v>
      </c>
      <c r="BT988" t="s">
        <v>131</v>
      </c>
      <c r="BV988" t="str">
        <f>""</f>
        <v/>
      </c>
      <c r="BW988" t="s">
        <v>131</v>
      </c>
      <c r="BX988" t="str">
        <f>""</f>
        <v/>
      </c>
      <c r="BY988" t="str">
        <f>""</f>
        <v/>
      </c>
      <c r="BZ988" t="str">
        <f>""</f>
        <v/>
      </c>
      <c r="CA988" t="str">
        <f>""</f>
        <v/>
      </c>
      <c r="CB988" t="s">
        <v>131</v>
      </c>
      <c r="CF988" t="s">
        <v>131</v>
      </c>
      <c r="CH988" t="str">
        <f>""</f>
        <v/>
      </c>
      <c r="CI988" t="s">
        <v>131</v>
      </c>
      <c r="CK988" t="s">
        <v>131</v>
      </c>
      <c r="CL988" t="str">
        <f>""</f>
        <v/>
      </c>
      <c r="CM988" t="str">
        <f>""</f>
        <v/>
      </c>
      <c r="CN988" t="str">
        <f>""</f>
        <v/>
      </c>
      <c r="CO988" t="str">
        <f>""</f>
        <v/>
      </c>
      <c r="CP988" t="str">
        <f>"47-3014.00"</f>
        <v>47-3014.00</v>
      </c>
      <c r="CQ988" t="s">
        <v>1535</v>
      </c>
      <c r="CR988" t="s">
        <v>918</v>
      </c>
      <c r="CS988" t="s">
        <v>131</v>
      </c>
      <c r="CU988" t="s">
        <v>13577</v>
      </c>
      <c r="CW988" t="s">
        <v>13578</v>
      </c>
      <c r="CX988" t="s">
        <v>703</v>
      </c>
      <c r="CZ988" s="3" t="str">
        <f>"06615"</f>
        <v>06615</v>
      </c>
      <c r="DA988" t="s">
        <v>135</v>
      </c>
      <c r="DB988" t="str">
        <f>"47-3014"</f>
        <v>47-3014</v>
      </c>
      <c r="DC988" t="s">
        <v>1535</v>
      </c>
      <c r="DD988" t="s">
        <v>134</v>
      </c>
      <c r="DE988" t="s">
        <v>134</v>
      </c>
      <c r="DF988" t="str">
        <f>""</f>
        <v/>
      </c>
      <c r="DH988" s="6">
        <v>15.83</v>
      </c>
      <c r="DI988" t="s">
        <v>344</v>
      </c>
      <c r="DK988" t="s">
        <v>345</v>
      </c>
      <c r="DS988" s="6">
        <v>15.83</v>
      </c>
      <c r="DT988" s="2" t="s">
        <v>2219</v>
      </c>
      <c r="DU988" s="1">
        <v>44375</v>
      </c>
      <c r="DV988" s="1">
        <v>44464</v>
      </c>
    </row>
    <row r="989" spans="1:126" ht="15" customHeight="1" x14ac:dyDescent="0.35">
      <c r="A989" t="s">
        <v>18831</v>
      </c>
      <c r="B989" t="s">
        <v>318</v>
      </c>
      <c r="C989" s="1">
        <v>44347</v>
      </c>
      <c r="D989" s="1">
        <v>44375</v>
      </c>
      <c r="H989" t="s">
        <v>319</v>
      </c>
      <c r="I989" t="s">
        <v>1775</v>
      </c>
      <c r="J989" t="s">
        <v>901</v>
      </c>
      <c r="L989" t="s">
        <v>3767</v>
      </c>
      <c r="M989" t="s">
        <v>18832</v>
      </c>
      <c r="O989" t="s">
        <v>8491</v>
      </c>
      <c r="P989" t="s">
        <v>412</v>
      </c>
      <c r="Q989" s="3">
        <v>76226</v>
      </c>
      <c r="R989" t="s">
        <v>128</v>
      </c>
      <c r="T989" s="4">
        <v>19403213081</v>
      </c>
      <c r="V989" t="s">
        <v>18833</v>
      </c>
      <c r="W989" t="s">
        <v>18834</v>
      </c>
      <c r="X989" t="s">
        <v>18835</v>
      </c>
      <c r="Y989" t="s">
        <v>18836</v>
      </c>
      <c r="AA989" t="s">
        <v>8491</v>
      </c>
      <c r="AB989" t="s">
        <v>400</v>
      </c>
      <c r="AC989" s="3" t="str">
        <f>"76226"</f>
        <v>76226</v>
      </c>
      <c r="AD989" t="s">
        <v>128</v>
      </c>
      <c r="AF989" s="4">
        <v>19403213081</v>
      </c>
      <c r="AH989" t="str">
        <f>"561730"</f>
        <v>561730</v>
      </c>
      <c r="AI989" t="s">
        <v>287</v>
      </c>
      <c r="AJ989" t="s">
        <v>6793</v>
      </c>
      <c r="AK989" t="s">
        <v>6794</v>
      </c>
      <c r="AM989" t="s">
        <v>6795</v>
      </c>
      <c r="AO989" t="s">
        <v>6796</v>
      </c>
      <c r="AP989" t="s">
        <v>400</v>
      </c>
      <c r="AQ989" s="5">
        <v>75098</v>
      </c>
      <c r="AR989" t="s">
        <v>128</v>
      </c>
      <c r="AT989" s="4">
        <v>19724424244</v>
      </c>
      <c r="AV989" t="s">
        <v>6797</v>
      </c>
      <c r="AW989" t="s">
        <v>6798</v>
      </c>
      <c r="AX989" t="s">
        <v>131</v>
      </c>
      <c r="AY989" t="s">
        <v>131</v>
      </c>
      <c r="AZ989" t="s">
        <v>131</v>
      </c>
      <c r="BA989" t="s">
        <v>131</v>
      </c>
      <c r="BB989" t="s">
        <v>131</v>
      </c>
      <c r="BC989" t="s">
        <v>131</v>
      </c>
      <c r="BD989" t="s">
        <v>131</v>
      </c>
      <c r="BE989" t="s">
        <v>132</v>
      </c>
      <c r="BH989" t="s">
        <v>18837</v>
      </c>
      <c r="BI989" t="s">
        <v>131</v>
      </c>
      <c r="BL989" t="s">
        <v>167</v>
      </c>
      <c r="BO989" t="s">
        <v>131</v>
      </c>
      <c r="BP989" t="s">
        <v>134</v>
      </c>
      <c r="BQ989" t="s">
        <v>131</v>
      </c>
      <c r="BS989" t="str">
        <f t="shared" si="71"/>
        <v>N/A</v>
      </c>
      <c r="BT989" t="s">
        <v>131</v>
      </c>
      <c r="BV989" t="str">
        <f>""</f>
        <v/>
      </c>
      <c r="BW989" t="s">
        <v>131</v>
      </c>
      <c r="BX989" t="str">
        <f>""</f>
        <v/>
      </c>
      <c r="BY989" t="str">
        <f>""</f>
        <v/>
      </c>
      <c r="BZ989" t="str">
        <f>""</f>
        <v/>
      </c>
      <c r="CA989" t="str">
        <f>""</f>
        <v/>
      </c>
      <c r="CB989" t="s">
        <v>131</v>
      </c>
      <c r="CF989" t="s">
        <v>131</v>
      </c>
      <c r="CH989" t="str">
        <f>""</f>
        <v/>
      </c>
      <c r="CI989" t="s">
        <v>131</v>
      </c>
      <c r="CK989" t="s">
        <v>131</v>
      </c>
      <c r="CL989" t="str">
        <f>""</f>
        <v/>
      </c>
      <c r="CM989" t="str">
        <f>""</f>
        <v/>
      </c>
      <c r="CN989" t="str">
        <f>""</f>
        <v/>
      </c>
      <c r="CO989" t="str">
        <f>""</f>
        <v/>
      </c>
      <c r="CP989" t="str">
        <f>"37-3011.00"</f>
        <v>37-3011.00</v>
      </c>
      <c r="CQ989" t="s">
        <v>920</v>
      </c>
      <c r="CR989" t="s">
        <v>395</v>
      </c>
      <c r="CS989" t="s">
        <v>131</v>
      </c>
      <c r="CU989" t="s">
        <v>18836</v>
      </c>
      <c r="CW989" t="s">
        <v>8491</v>
      </c>
      <c r="CX989" t="s">
        <v>400</v>
      </c>
      <c r="CZ989" s="3" t="str">
        <f>"76226"</f>
        <v>76226</v>
      </c>
      <c r="DA989" t="s">
        <v>135</v>
      </c>
      <c r="DB989" t="str">
        <f>"37-3011"</f>
        <v>37-3011</v>
      </c>
      <c r="DC989" t="s">
        <v>920</v>
      </c>
      <c r="DD989" t="s">
        <v>134</v>
      </c>
      <c r="DE989" t="s">
        <v>134</v>
      </c>
      <c r="DF989" t="str">
        <f>""</f>
        <v/>
      </c>
      <c r="DH989" s="6">
        <v>15.23</v>
      </c>
      <c r="DI989" t="s">
        <v>344</v>
      </c>
      <c r="DK989" t="s">
        <v>345</v>
      </c>
      <c r="DS989" s="6">
        <v>15.23</v>
      </c>
      <c r="DT989" t="s">
        <v>424</v>
      </c>
      <c r="DU989" s="1">
        <v>44375</v>
      </c>
      <c r="DV989" s="1">
        <v>44464</v>
      </c>
    </row>
    <row r="990" spans="1:126" ht="15" customHeight="1" x14ac:dyDescent="0.35">
      <c r="A990" t="s">
        <v>16984</v>
      </c>
      <c r="B990" t="s">
        <v>318</v>
      </c>
      <c r="C990" s="1">
        <v>44347</v>
      </c>
      <c r="D990" s="1">
        <v>44375</v>
      </c>
      <c r="H990" t="s">
        <v>319</v>
      </c>
      <c r="I990" t="s">
        <v>1215</v>
      </c>
      <c r="J990" t="s">
        <v>1060</v>
      </c>
      <c r="L990" t="s">
        <v>395</v>
      </c>
      <c r="M990" t="s">
        <v>8948</v>
      </c>
      <c r="O990" t="s">
        <v>5561</v>
      </c>
      <c r="P990" t="s">
        <v>412</v>
      </c>
      <c r="Q990" s="3">
        <v>75067</v>
      </c>
      <c r="R990" t="s">
        <v>128</v>
      </c>
      <c r="T990" s="4">
        <v>19722215296</v>
      </c>
      <c r="V990" t="s">
        <v>8945</v>
      </c>
      <c r="W990" t="s">
        <v>8946</v>
      </c>
      <c r="X990" t="s">
        <v>8947</v>
      </c>
      <c r="Y990" t="s">
        <v>8948</v>
      </c>
      <c r="AA990" t="s">
        <v>5561</v>
      </c>
      <c r="AB990" t="s">
        <v>400</v>
      </c>
      <c r="AC990" s="3" t="str">
        <f>"75067"</f>
        <v>75067</v>
      </c>
      <c r="AD990" t="s">
        <v>128</v>
      </c>
      <c r="AF990" s="4">
        <v>19722215296</v>
      </c>
      <c r="AH990" t="str">
        <f>"561730"</f>
        <v>561730</v>
      </c>
      <c r="AI990" t="s">
        <v>287</v>
      </c>
      <c r="AJ990" t="s">
        <v>6793</v>
      </c>
      <c r="AK990" t="s">
        <v>6794</v>
      </c>
      <c r="AM990" t="s">
        <v>6795</v>
      </c>
      <c r="AO990" t="s">
        <v>6796</v>
      </c>
      <c r="AP990" t="s">
        <v>400</v>
      </c>
      <c r="AQ990" s="5">
        <v>75098</v>
      </c>
      <c r="AR990" t="s">
        <v>128</v>
      </c>
      <c r="AT990" s="4">
        <v>19724424244</v>
      </c>
      <c r="AV990" t="s">
        <v>6797</v>
      </c>
      <c r="AW990" t="s">
        <v>6798</v>
      </c>
      <c r="AX990" t="s">
        <v>131</v>
      </c>
      <c r="AY990" t="s">
        <v>131</v>
      </c>
      <c r="AZ990" t="s">
        <v>131</v>
      </c>
      <c r="BA990" t="s">
        <v>131</v>
      </c>
      <c r="BB990" t="s">
        <v>131</v>
      </c>
      <c r="BC990" t="s">
        <v>131</v>
      </c>
      <c r="BD990" t="s">
        <v>131</v>
      </c>
      <c r="BE990" t="s">
        <v>132</v>
      </c>
      <c r="BH990" t="s">
        <v>2215</v>
      </c>
      <c r="BI990" t="s">
        <v>131</v>
      </c>
      <c r="BL990" t="s">
        <v>167</v>
      </c>
      <c r="BO990" t="s">
        <v>131</v>
      </c>
      <c r="BP990" t="s">
        <v>134</v>
      </c>
      <c r="BQ990" t="s">
        <v>131</v>
      </c>
      <c r="BS990" t="str">
        <f t="shared" si="71"/>
        <v>N/A</v>
      </c>
      <c r="BT990" t="s">
        <v>131</v>
      </c>
      <c r="BV990" t="str">
        <f>""</f>
        <v/>
      </c>
      <c r="BW990" t="s">
        <v>131</v>
      </c>
      <c r="BX990" t="str">
        <f>""</f>
        <v/>
      </c>
      <c r="BY990" t="str">
        <f>""</f>
        <v/>
      </c>
      <c r="BZ990" t="str">
        <f>""</f>
        <v/>
      </c>
      <c r="CA990" t="str">
        <f>""</f>
        <v/>
      </c>
      <c r="CB990" t="s">
        <v>131</v>
      </c>
      <c r="CF990" t="s">
        <v>131</v>
      </c>
      <c r="CH990" t="str">
        <f>""</f>
        <v/>
      </c>
      <c r="CI990" t="s">
        <v>131</v>
      </c>
      <c r="CK990" t="s">
        <v>131</v>
      </c>
      <c r="CL990" t="str">
        <f>""</f>
        <v/>
      </c>
      <c r="CM990" t="str">
        <f>""</f>
        <v/>
      </c>
      <c r="CN990" t="str">
        <f>""</f>
        <v/>
      </c>
      <c r="CO990" t="str">
        <f>""</f>
        <v/>
      </c>
      <c r="CP990" t="str">
        <f>"37-3011.00"</f>
        <v>37-3011.00</v>
      </c>
      <c r="CQ990" t="s">
        <v>920</v>
      </c>
      <c r="CS990" t="s">
        <v>131</v>
      </c>
      <c r="CU990" t="s">
        <v>8948</v>
      </c>
      <c r="CW990" t="s">
        <v>5561</v>
      </c>
      <c r="CX990" t="s">
        <v>400</v>
      </c>
      <c r="CZ990" s="3" t="str">
        <f>"75067"</f>
        <v>75067</v>
      </c>
      <c r="DA990" t="s">
        <v>135</v>
      </c>
      <c r="DB990" t="str">
        <f>"37-3011"</f>
        <v>37-3011</v>
      </c>
      <c r="DC990" t="s">
        <v>920</v>
      </c>
      <c r="DD990" t="s">
        <v>134</v>
      </c>
      <c r="DE990" t="s">
        <v>134</v>
      </c>
      <c r="DF990" t="str">
        <f>""</f>
        <v/>
      </c>
      <c r="DH990" s="6">
        <v>15.23</v>
      </c>
      <c r="DI990" t="s">
        <v>344</v>
      </c>
      <c r="DK990" t="s">
        <v>345</v>
      </c>
      <c r="DS990" s="6">
        <v>15.23</v>
      </c>
      <c r="DT990" s="2" t="s">
        <v>2219</v>
      </c>
      <c r="DU990" s="1">
        <v>44375</v>
      </c>
      <c r="DV990" s="1">
        <v>44464</v>
      </c>
    </row>
    <row r="991" spans="1:126" ht="15" customHeight="1" x14ac:dyDescent="0.35">
      <c r="A991" t="s">
        <v>12937</v>
      </c>
      <c r="B991" t="s">
        <v>318</v>
      </c>
      <c r="C991" s="1">
        <v>44347</v>
      </c>
      <c r="D991" s="1">
        <v>44375</v>
      </c>
      <c r="H991" t="s">
        <v>319</v>
      </c>
      <c r="I991" t="s">
        <v>12938</v>
      </c>
      <c r="J991" t="s">
        <v>1157</v>
      </c>
      <c r="L991" t="s">
        <v>395</v>
      </c>
      <c r="M991" t="s">
        <v>12939</v>
      </c>
      <c r="O991" t="s">
        <v>5561</v>
      </c>
      <c r="P991" t="s">
        <v>412</v>
      </c>
      <c r="Q991" s="3">
        <v>75057</v>
      </c>
      <c r="R991" t="s">
        <v>128</v>
      </c>
      <c r="T991" s="4">
        <v>19723532775</v>
      </c>
      <c r="V991" t="s">
        <v>12940</v>
      </c>
      <c r="W991" t="s">
        <v>12941</v>
      </c>
      <c r="X991" t="s">
        <v>12942</v>
      </c>
      <c r="Y991" t="s">
        <v>12939</v>
      </c>
      <c r="AA991" t="s">
        <v>5561</v>
      </c>
      <c r="AB991" t="s">
        <v>400</v>
      </c>
      <c r="AC991" s="3" t="str">
        <f>"75057"</f>
        <v>75057</v>
      </c>
      <c r="AD991" t="s">
        <v>128</v>
      </c>
      <c r="AF991" s="4">
        <v>19723532775</v>
      </c>
      <c r="AH991" t="str">
        <f>"561730"</f>
        <v>561730</v>
      </c>
      <c r="AI991" t="s">
        <v>287</v>
      </c>
      <c r="AJ991" t="s">
        <v>6793</v>
      </c>
      <c r="AK991" t="s">
        <v>6794</v>
      </c>
      <c r="AM991" t="s">
        <v>6795</v>
      </c>
      <c r="AO991" t="s">
        <v>6796</v>
      </c>
      <c r="AP991" t="s">
        <v>400</v>
      </c>
      <c r="AQ991" s="5">
        <v>75098</v>
      </c>
      <c r="AR991" t="s">
        <v>128</v>
      </c>
      <c r="AT991" s="4">
        <v>19724424244</v>
      </c>
      <c r="AV991" t="s">
        <v>6797</v>
      </c>
      <c r="AW991" t="s">
        <v>6798</v>
      </c>
      <c r="AX991" t="s">
        <v>131</v>
      </c>
      <c r="AY991" t="s">
        <v>131</v>
      </c>
      <c r="AZ991" t="s">
        <v>131</v>
      </c>
      <c r="BA991" t="s">
        <v>131</v>
      </c>
      <c r="BB991" t="s">
        <v>131</v>
      </c>
      <c r="BC991" t="s">
        <v>131</v>
      </c>
      <c r="BD991" t="s">
        <v>131</v>
      </c>
      <c r="BE991" t="s">
        <v>132</v>
      </c>
      <c r="BH991" t="s">
        <v>10006</v>
      </c>
      <c r="BI991" t="s">
        <v>131</v>
      </c>
      <c r="BL991" t="s">
        <v>167</v>
      </c>
      <c r="BO991" t="s">
        <v>131</v>
      </c>
      <c r="BP991" t="s">
        <v>134</v>
      </c>
      <c r="BQ991" t="s">
        <v>131</v>
      </c>
      <c r="BS991" t="str">
        <f t="shared" si="71"/>
        <v>N/A</v>
      </c>
      <c r="BT991" t="s">
        <v>131</v>
      </c>
      <c r="BV991" t="str">
        <f>""</f>
        <v/>
      </c>
      <c r="BW991" t="s">
        <v>131</v>
      </c>
      <c r="BX991" t="str">
        <f>""</f>
        <v/>
      </c>
      <c r="BY991" t="str">
        <f>""</f>
        <v/>
      </c>
      <c r="BZ991" t="str">
        <f>""</f>
        <v/>
      </c>
      <c r="CA991" t="str">
        <f>""</f>
        <v/>
      </c>
      <c r="CB991" t="s">
        <v>131</v>
      </c>
      <c r="CF991" t="s">
        <v>131</v>
      </c>
      <c r="CH991" t="str">
        <f>""</f>
        <v/>
      </c>
      <c r="CI991" t="s">
        <v>131</v>
      </c>
      <c r="CK991" t="s">
        <v>131</v>
      </c>
      <c r="CL991" t="str">
        <f>""</f>
        <v/>
      </c>
      <c r="CM991" t="str">
        <f>""</f>
        <v/>
      </c>
      <c r="CN991" t="str">
        <f>""</f>
        <v/>
      </c>
      <c r="CO991" t="str">
        <f>""</f>
        <v/>
      </c>
      <c r="CP991" t="str">
        <f>"37-3011.00"</f>
        <v>37-3011.00</v>
      </c>
      <c r="CQ991" t="s">
        <v>920</v>
      </c>
      <c r="CR991" t="s">
        <v>395</v>
      </c>
      <c r="CS991" t="s">
        <v>131</v>
      </c>
      <c r="CU991" t="s">
        <v>12939</v>
      </c>
      <c r="CW991" t="s">
        <v>9585</v>
      </c>
      <c r="CX991" t="s">
        <v>400</v>
      </c>
      <c r="CZ991" s="3" t="str">
        <f>"75057"</f>
        <v>75057</v>
      </c>
      <c r="DA991" t="s">
        <v>135</v>
      </c>
      <c r="DB991" t="str">
        <f>"37-3011"</f>
        <v>37-3011</v>
      </c>
      <c r="DC991" t="s">
        <v>920</v>
      </c>
      <c r="DD991" t="s">
        <v>134</v>
      </c>
      <c r="DE991" t="s">
        <v>134</v>
      </c>
      <c r="DF991" t="str">
        <f>""</f>
        <v/>
      </c>
      <c r="DH991" s="6">
        <v>15.23</v>
      </c>
      <c r="DI991" t="s">
        <v>344</v>
      </c>
      <c r="DK991" t="s">
        <v>345</v>
      </c>
      <c r="DS991" s="6">
        <v>15.23</v>
      </c>
      <c r="DT991" s="2" t="s">
        <v>2219</v>
      </c>
      <c r="DU991" s="1">
        <v>44375</v>
      </c>
      <c r="DV991" s="1">
        <v>44464</v>
      </c>
    </row>
    <row r="992" spans="1:126" ht="15" customHeight="1" x14ac:dyDescent="0.35">
      <c r="A992" t="s">
        <v>16786</v>
      </c>
      <c r="B992" t="s">
        <v>318</v>
      </c>
      <c r="C992" s="1">
        <v>44347</v>
      </c>
      <c r="D992" s="1">
        <v>44375</v>
      </c>
      <c r="H992" t="s">
        <v>319</v>
      </c>
      <c r="I992" t="s">
        <v>16787</v>
      </c>
      <c r="J992" t="s">
        <v>901</v>
      </c>
      <c r="L992" t="s">
        <v>3767</v>
      </c>
      <c r="M992" t="s">
        <v>16788</v>
      </c>
      <c r="O992" t="s">
        <v>6080</v>
      </c>
      <c r="P992" t="s">
        <v>412</v>
      </c>
      <c r="Q992" s="3">
        <v>75428</v>
      </c>
      <c r="R992" t="s">
        <v>128</v>
      </c>
      <c r="T992" s="4">
        <v>12143840767</v>
      </c>
      <c r="V992" t="s">
        <v>16789</v>
      </c>
      <c r="W992" t="s">
        <v>16790</v>
      </c>
      <c r="Y992" t="s">
        <v>16788</v>
      </c>
      <c r="AA992" t="s">
        <v>6080</v>
      </c>
      <c r="AB992" t="s">
        <v>400</v>
      </c>
      <c r="AC992" s="3" t="str">
        <f>"75428"</f>
        <v>75428</v>
      </c>
      <c r="AD992" t="s">
        <v>128</v>
      </c>
      <c r="AF992" s="4">
        <v>12143840767</v>
      </c>
      <c r="AH992" t="str">
        <f>"111421"</f>
        <v>111421</v>
      </c>
      <c r="AI992" t="s">
        <v>287</v>
      </c>
      <c r="AJ992" t="s">
        <v>6793</v>
      </c>
      <c r="AK992" t="s">
        <v>6794</v>
      </c>
      <c r="AM992" t="s">
        <v>6795</v>
      </c>
      <c r="AO992" t="s">
        <v>6796</v>
      </c>
      <c r="AP992" t="s">
        <v>400</v>
      </c>
      <c r="AQ992" s="5">
        <v>75098</v>
      </c>
      <c r="AR992" t="s">
        <v>128</v>
      </c>
      <c r="AT992" s="4">
        <v>19724424244</v>
      </c>
      <c r="AV992" t="s">
        <v>6797</v>
      </c>
      <c r="AW992" t="s">
        <v>6798</v>
      </c>
      <c r="AX992" t="s">
        <v>131</v>
      </c>
      <c r="AY992" t="s">
        <v>131</v>
      </c>
      <c r="AZ992" t="s">
        <v>131</v>
      </c>
      <c r="BA992" t="s">
        <v>131</v>
      </c>
      <c r="BB992" t="s">
        <v>131</v>
      </c>
      <c r="BC992" t="s">
        <v>131</v>
      </c>
      <c r="BD992" t="s">
        <v>131</v>
      </c>
      <c r="BE992" t="s">
        <v>132</v>
      </c>
      <c r="BH992" t="s">
        <v>2215</v>
      </c>
      <c r="BI992" t="s">
        <v>131</v>
      </c>
      <c r="BL992" t="s">
        <v>167</v>
      </c>
      <c r="BO992" t="s">
        <v>131</v>
      </c>
      <c r="BP992" t="s">
        <v>134</v>
      </c>
      <c r="BQ992" t="s">
        <v>131</v>
      </c>
      <c r="BS992" t="str">
        <f t="shared" si="71"/>
        <v>N/A</v>
      </c>
      <c r="BT992" t="s">
        <v>131</v>
      </c>
      <c r="BV992" t="str">
        <f>""</f>
        <v/>
      </c>
      <c r="BW992" t="s">
        <v>131</v>
      </c>
      <c r="BX992" t="str">
        <f>""</f>
        <v/>
      </c>
      <c r="BY992" t="str">
        <f>""</f>
        <v/>
      </c>
      <c r="BZ992" t="str">
        <f>""</f>
        <v/>
      </c>
      <c r="CA992" t="str">
        <f>""</f>
        <v/>
      </c>
      <c r="CB992" t="s">
        <v>131</v>
      </c>
      <c r="CF992" t="s">
        <v>131</v>
      </c>
      <c r="CH992" t="str">
        <f>""</f>
        <v/>
      </c>
      <c r="CI992" t="s">
        <v>131</v>
      </c>
      <c r="CK992" t="s">
        <v>131</v>
      </c>
      <c r="CL992" t="str">
        <f>""</f>
        <v/>
      </c>
      <c r="CM992" t="str">
        <f>""</f>
        <v/>
      </c>
      <c r="CN992" t="str">
        <f>""</f>
        <v/>
      </c>
      <c r="CO992" t="str">
        <f>""</f>
        <v/>
      </c>
      <c r="CP992" t="str">
        <f>"45-2092.00"</f>
        <v>45-2092.00</v>
      </c>
      <c r="CQ992" t="s">
        <v>3820</v>
      </c>
      <c r="CR992" t="s">
        <v>16791</v>
      </c>
      <c r="CS992" t="s">
        <v>131</v>
      </c>
      <c r="CU992" t="s">
        <v>16788</v>
      </c>
      <c r="CW992" t="s">
        <v>6080</v>
      </c>
      <c r="CX992" t="s">
        <v>400</v>
      </c>
      <c r="CZ992" s="3" t="str">
        <f>"75428"</f>
        <v>75428</v>
      </c>
      <c r="DA992" t="s">
        <v>135</v>
      </c>
      <c r="DB992" t="str">
        <f>"45-4011"</f>
        <v>45-4011</v>
      </c>
      <c r="DC992" t="s">
        <v>4310</v>
      </c>
      <c r="DD992" t="s">
        <v>134</v>
      </c>
      <c r="DE992" t="s">
        <v>134</v>
      </c>
      <c r="DF992" t="str">
        <f>""</f>
        <v/>
      </c>
      <c r="DH992" s="6">
        <v>17.03</v>
      </c>
      <c r="DI992" t="s">
        <v>344</v>
      </c>
      <c r="DK992" t="s">
        <v>345</v>
      </c>
      <c r="DS992" s="6">
        <v>17.03</v>
      </c>
      <c r="DT992" s="2" t="s">
        <v>2219</v>
      </c>
      <c r="DU992" s="1">
        <v>44375</v>
      </c>
      <c r="DV992" s="1">
        <v>44464</v>
      </c>
    </row>
    <row r="993" spans="1:126" ht="15" customHeight="1" x14ac:dyDescent="0.35">
      <c r="A993" t="s">
        <v>16481</v>
      </c>
      <c r="B993" t="s">
        <v>318</v>
      </c>
      <c r="C993" s="1">
        <v>44347</v>
      </c>
      <c r="D993" s="1">
        <v>44375</v>
      </c>
      <c r="H993" t="s">
        <v>319</v>
      </c>
      <c r="I993" t="s">
        <v>16482</v>
      </c>
      <c r="J993" t="s">
        <v>2381</v>
      </c>
      <c r="L993" t="s">
        <v>1105</v>
      </c>
      <c r="M993" t="s">
        <v>16483</v>
      </c>
      <c r="O993" t="s">
        <v>16484</v>
      </c>
      <c r="P993" t="s">
        <v>412</v>
      </c>
      <c r="Q993" s="3">
        <v>75496</v>
      </c>
      <c r="R993" t="s">
        <v>128</v>
      </c>
      <c r="T993" s="4">
        <v>19034612200</v>
      </c>
      <c r="V993" t="s">
        <v>16485</v>
      </c>
      <c r="W993" t="s">
        <v>16486</v>
      </c>
      <c r="Y993" t="s">
        <v>16483</v>
      </c>
      <c r="AA993" t="s">
        <v>16484</v>
      </c>
      <c r="AB993" t="s">
        <v>400</v>
      </c>
      <c r="AC993" s="3" t="str">
        <f>"75496"</f>
        <v>75496</v>
      </c>
      <c r="AD993" t="s">
        <v>128</v>
      </c>
      <c r="AF993" s="4">
        <v>19034612200</v>
      </c>
      <c r="AH993" t="str">
        <f>"238110"</f>
        <v>238110</v>
      </c>
      <c r="AI993" t="s">
        <v>287</v>
      </c>
      <c r="AJ993" t="s">
        <v>6793</v>
      </c>
      <c r="AK993" t="s">
        <v>6794</v>
      </c>
      <c r="AM993" t="s">
        <v>6795</v>
      </c>
      <c r="AO993" t="s">
        <v>6796</v>
      </c>
      <c r="AP993" t="s">
        <v>400</v>
      </c>
      <c r="AQ993" s="5">
        <v>75098</v>
      </c>
      <c r="AR993" t="s">
        <v>128</v>
      </c>
      <c r="AT993" s="4">
        <v>19724424244</v>
      </c>
      <c r="AV993" t="s">
        <v>6797</v>
      </c>
      <c r="AW993" t="s">
        <v>6798</v>
      </c>
      <c r="AX993" t="s">
        <v>131</v>
      </c>
      <c r="AY993" t="s">
        <v>131</v>
      </c>
      <c r="AZ993" t="s">
        <v>131</v>
      </c>
      <c r="BA993" t="s">
        <v>131</v>
      </c>
      <c r="BB993" t="s">
        <v>131</v>
      </c>
      <c r="BC993" t="s">
        <v>131</v>
      </c>
      <c r="BD993" t="s">
        <v>131</v>
      </c>
      <c r="BE993" t="s">
        <v>132</v>
      </c>
      <c r="BH993" t="s">
        <v>393</v>
      </c>
      <c r="BI993" t="s">
        <v>131</v>
      </c>
      <c r="BL993" t="s">
        <v>167</v>
      </c>
      <c r="BO993" t="s">
        <v>131</v>
      </c>
      <c r="BP993" t="s">
        <v>134</v>
      </c>
      <c r="BQ993" t="s">
        <v>131</v>
      </c>
      <c r="BS993" t="str">
        <f t="shared" ref="BS993:BS1024" si="72">"N/A"</f>
        <v>N/A</v>
      </c>
      <c r="BT993" t="s">
        <v>131</v>
      </c>
      <c r="BV993" t="str">
        <f>""</f>
        <v/>
      </c>
      <c r="BW993" t="s">
        <v>131</v>
      </c>
      <c r="BX993" t="str">
        <f>""</f>
        <v/>
      </c>
      <c r="BY993" t="str">
        <f>""</f>
        <v/>
      </c>
      <c r="BZ993" t="str">
        <f>""</f>
        <v/>
      </c>
      <c r="CA993" t="str">
        <f>""</f>
        <v/>
      </c>
      <c r="CB993" t="s">
        <v>131</v>
      </c>
      <c r="CF993" t="s">
        <v>131</v>
      </c>
      <c r="CH993" t="str">
        <f>""</f>
        <v/>
      </c>
      <c r="CI993" t="s">
        <v>131</v>
      </c>
      <c r="CK993" t="s">
        <v>131</v>
      </c>
      <c r="CL993" t="str">
        <f>""</f>
        <v/>
      </c>
      <c r="CM993" t="str">
        <f>""</f>
        <v/>
      </c>
      <c r="CN993" t="str">
        <f>""</f>
        <v/>
      </c>
      <c r="CO993" t="str">
        <f>""</f>
        <v/>
      </c>
      <c r="CP993" t="str">
        <f>"47-2061.00"</f>
        <v>47-2061.00</v>
      </c>
      <c r="CQ993" t="s">
        <v>393</v>
      </c>
      <c r="CR993" t="s">
        <v>1105</v>
      </c>
      <c r="CS993" t="s">
        <v>131</v>
      </c>
      <c r="CU993" t="s">
        <v>16483</v>
      </c>
      <c r="CW993" t="s">
        <v>16484</v>
      </c>
      <c r="CX993" t="s">
        <v>400</v>
      </c>
      <c r="CZ993" s="3" t="str">
        <f>"75496"</f>
        <v>75496</v>
      </c>
      <c r="DA993" t="s">
        <v>135</v>
      </c>
      <c r="DB993" t="str">
        <f>"47-2061"</f>
        <v>47-2061</v>
      </c>
      <c r="DC993" t="s">
        <v>393</v>
      </c>
      <c r="DD993" t="s">
        <v>134</v>
      </c>
      <c r="DE993" t="s">
        <v>134</v>
      </c>
      <c r="DF993" t="str">
        <f>""</f>
        <v/>
      </c>
      <c r="DH993" s="6">
        <v>16.53</v>
      </c>
      <c r="DI993" t="s">
        <v>344</v>
      </c>
      <c r="DK993" t="s">
        <v>345</v>
      </c>
      <c r="DS993" s="6">
        <v>16.53</v>
      </c>
      <c r="DT993" t="s">
        <v>424</v>
      </c>
      <c r="DU993" s="1">
        <v>44375</v>
      </c>
      <c r="DV993" s="1">
        <v>44464</v>
      </c>
    </row>
    <row r="994" spans="1:126" ht="15" customHeight="1" x14ac:dyDescent="0.35">
      <c r="A994" t="s">
        <v>14854</v>
      </c>
      <c r="B994" t="s">
        <v>318</v>
      </c>
      <c r="C994" s="1">
        <v>44347</v>
      </c>
      <c r="D994" s="1">
        <v>44375</v>
      </c>
      <c r="H994" t="s">
        <v>319</v>
      </c>
      <c r="I994" t="s">
        <v>5327</v>
      </c>
      <c r="J994" t="s">
        <v>9535</v>
      </c>
      <c r="K994" t="s">
        <v>1568</v>
      </c>
      <c r="L994" t="s">
        <v>1502</v>
      </c>
      <c r="M994" t="s">
        <v>14855</v>
      </c>
      <c r="O994" t="s">
        <v>4889</v>
      </c>
      <c r="P994" t="s">
        <v>412</v>
      </c>
      <c r="Q994" s="3">
        <v>76208</v>
      </c>
      <c r="R994" t="s">
        <v>128</v>
      </c>
      <c r="T994" s="4">
        <v>19403838258</v>
      </c>
      <c r="V994" t="s">
        <v>14856</v>
      </c>
      <c r="W994" t="s">
        <v>14857</v>
      </c>
      <c r="X994" t="s">
        <v>14858</v>
      </c>
      <c r="Y994" t="s">
        <v>14855</v>
      </c>
      <c r="AA994" t="s">
        <v>4889</v>
      </c>
      <c r="AB994" t="s">
        <v>400</v>
      </c>
      <c r="AC994" s="3" t="str">
        <f>"76208"</f>
        <v>76208</v>
      </c>
      <c r="AD994" t="s">
        <v>128</v>
      </c>
      <c r="AF994" s="4">
        <v>19403838258</v>
      </c>
      <c r="AH994" t="str">
        <f>"561730"</f>
        <v>561730</v>
      </c>
      <c r="AI994" t="s">
        <v>287</v>
      </c>
      <c r="AJ994" t="s">
        <v>6793</v>
      </c>
      <c r="AK994" t="s">
        <v>6794</v>
      </c>
      <c r="AM994" t="s">
        <v>6795</v>
      </c>
      <c r="AO994" t="s">
        <v>6796</v>
      </c>
      <c r="AP994" t="s">
        <v>400</v>
      </c>
      <c r="AQ994" s="5">
        <v>75098</v>
      </c>
      <c r="AR994" t="s">
        <v>128</v>
      </c>
      <c r="AT994" s="4">
        <v>19724424244</v>
      </c>
      <c r="AV994" t="s">
        <v>6797</v>
      </c>
      <c r="AW994" t="s">
        <v>6798</v>
      </c>
      <c r="AX994" t="s">
        <v>131</v>
      </c>
      <c r="AY994" t="s">
        <v>131</v>
      </c>
      <c r="AZ994" t="s">
        <v>131</v>
      </c>
      <c r="BA994" t="s">
        <v>131</v>
      </c>
      <c r="BB994" t="s">
        <v>131</v>
      </c>
      <c r="BC994" t="s">
        <v>131</v>
      </c>
      <c r="BD994" t="s">
        <v>131</v>
      </c>
      <c r="BE994" t="s">
        <v>132</v>
      </c>
      <c r="BH994" t="s">
        <v>2215</v>
      </c>
      <c r="BI994" t="s">
        <v>131</v>
      </c>
      <c r="BL994" t="s">
        <v>167</v>
      </c>
      <c r="BO994" t="s">
        <v>131</v>
      </c>
      <c r="BP994" t="s">
        <v>134</v>
      </c>
      <c r="BQ994" t="s">
        <v>131</v>
      </c>
      <c r="BS994" t="str">
        <f t="shared" si="72"/>
        <v>N/A</v>
      </c>
      <c r="BT994" t="s">
        <v>131</v>
      </c>
      <c r="BV994" t="str">
        <f>""</f>
        <v/>
      </c>
      <c r="BW994" t="s">
        <v>131</v>
      </c>
      <c r="BX994" t="str">
        <f>""</f>
        <v/>
      </c>
      <c r="BY994" t="str">
        <f>""</f>
        <v/>
      </c>
      <c r="BZ994" t="str">
        <f>""</f>
        <v/>
      </c>
      <c r="CA994" t="str">
        <f>""</f>
        <v/>
      </c>
      <c r="CB994" t="s">
        <v>131</v>
      </c>
      <c r="CF994" t="s">
        <v>131</v>
      </c>
      <c r="CH994" t="str">
        <f>""</f>
        <v/>
      </c>
      <c r="CI994" t="s">
        <v>131</v>
      </c>
      <c r="CK994" t="s">
        <v>131</v>
      </c>
      <c r="CL994" t="str">
        <f>""</f>
        <v/>
      </c>
      <c r="CM994" t="str">
        <f>""</f>
        <v/>
      </c>
      <c r="CN994" t="str">
        <f>""</f>
        <v/>
      </c>
      <c r="CO994" t="str">
        <f>""</f>
        <v/>
      </c>
      <c r="CP994" t="str">
        <f>"37-3011.00"</f>
        <v>37-3011.00</v>
      </c>
      <c r="CQ994" t="s">
        <v>920</v>
      </c>
      <c r="CR994" t="s">
        <v>1105</v>
      </c>
      <c r="CS994" t="s">
        <v>131</v>
      </c>
      <c r="CU994" t="s">
        <v>14855</v>
      </c>
      <c r="CW994" t="s">
        <v>14859</v>
      </c>
      <c r="CX994" t="s">
        <v>400</v>
      </c>
      <c r="CZ994" s="3" t="str">
        <f>"76208"</f>
        <v>76208</v>
      </c>
      <c r="DA994" t="s">
        <v>135</v>
      </c>
      <c r="DB994" t="str">
        <f>"37-3011"</f>
        <v>37-3011</v>
      </c>
      <c r="DC994" t="s">
        <v>920</v>
      </c>
      <c r="DD994" t="s">
        <v>134</v>
      </c>
      <c r="DE994" t="s">
        <v>134</v>
      </c>
      <c r="DF994" t="str">
        <f>""</f>
        <v/>
      </c>
      <c r="DH994" s="6">
        <v>15.23</v>
      </c>
      <c r="DI994" t="s">
        <v>344</v>
      </c>
      <c r="DK994" t="s">
        <v>345</v>
      </c>
      <c r="DS994" s="6">
        <v>15.23</v>
      </c>
      <c r="DT994" s="2" t="s">
        <v>2219</v>
      </c>
      <c r="DU994" s="1">
        <v>44375</v>
      </c>
      <c r="DV994" s="1">
        <v>44464</v>
      </c>
    </row>
    <row r="995" spans="1:126" ht="15" customHeight="1" x14ac:dyDescent="0.35">
      <c r="A995" t="s">
        <v>18090</v>
      </c>
      <c r="B995" t="s">
        <v>318</v>
      </c>
      <c r="C995" s="1">
        <v>44347</v>
      </c>
      <c r="D995" s="1">
        <v>44375</v>
      </c>
      <c r="H995" t="s">
        <v>319</v>
      </c>
      <c r="I995" t="s">
        <v>6787</v>
      </c>
      <c r="J995" t="s">
        <v>348</v>
      </c>
      <c r="L995" t="s">
        <v>6788</v>
      </c>
      <c r="M995" t="s">
        <v>6789</v>
      </c>
      <c r="O995" t="s">
        <v>6790</v>
      </c>
      <c r="P995" t="s">
        <v>539</v>
      </c>
      <c r="Q995" s="3">
        <v>62232</v>
      </c>
      <c r="R995" t="s">
        <v>128</v>
      </c>
      <c r="T995" s="4">
        <v>16183989000</v>
      </c>
      <c r="V995" t="s">
        <v>6791</v>
      </c>
      <c r="W995" t="s">
        <v>6792</v>
      </c>
      <c r="Y995" t="s">
        <v>18091</v>
      </c>
      <c r="AA995" t="s">
        <v>6429</v>
      </c>
      <c r="AB995" t="s">
        <v>258</v>
      </c>
      <c r="AC995" s="3" t="str">
        <f>"65808"</f>
        <v>65808</v>
      </c>
      <c r="AD995" t="s">
        <v>128</v>
      </c>
      <c r="AF995" s="4">
        <v>16183989000</v>
      </c>
      <c r="AH995" t="str">
        <f>"561730"</f>
        <v>561730</v>
      </c>
      <c r="AI995" t="s">
        <v>287</v>
      </c>
      <c r="AJ995" t="s">
        <v>6793</v>
      </c>
      <c r="AK995" t="s">
        <v>6794</v>
      </c>
      <c r="AM995" t="s">
        <v>6795</v>
      </c>
      <c r="AO995" t="s">
        <v>6796</v>
      </c>
      <c r="AP995" t="s">
        <v>400</v>
      </c>
      <c r="AQ995" s="5">
        <v>75098</v>
      </c>
      <c r="AR995" t="s">
        <v>128</v>
      </c>
      <c r="AT995" s="4">
        <v>19724424244</v>
      </c>
      <c r="AV995" t="s">
        <v>6797</v>
      </c>
      <c r="AW995" t="s">
        <v>6798</v>
      </c>
      <c r="AX995" t="s">
        <v>131</v>
      </c>
      <c r="AY995" t="s">
        <v>131</v>
      </c>
      <c r="AZ995" t="s">
        <v>131</v>
      </c>
      <c r="BA995" t="s">
        <v>131</v>
      </c>
      <c r="BB995" t="s">
        <v>131</v>
      </c>
      <c r="BC995" t="s">
        <v>131</v>
      </c>
      <c r="BD995" t="s">
        <v>131</v>
      </c>
      <c r="BE995" t="s">
        <v>132</v>
      </c>
      <c r="BH995" t="s">
        <v>2215</v>
      </c>
      <c r="BI995" t="s">
        <v>131</v>
      </c>
      <c r="BL995" t="s">
        <v>167</v>
      </c>
      <c r="BO995" t="s">
        <v>131</v>
      </c>
      <c r="BP995" t="s">
        <v>134</v>
      </c>
      <c r="BQ995" t="s">
        <v>131</v>
      </c>
      <c r="BS995" t="str">
        <f t="shared" si="72"/>
        <v>N/A</v>
      </c>
      <c r="BT995" t="s">
        <v>131</v>
      </c>
      <c r="BV995" t="str">
        <f>""</f>
        <v/>
      </c>
      <c r="BW995" t="s">
        <v>131</v>
      </c>
      <c r="BX995" t="str">
        <f>""</f>
        <v/>
      </c>
      <c r="BY995" t="str">
        <f>""</f>
        <v/>
      </c>
      <c r="BZ995" t="str">
        <f>""</f>
        <v/>
      </c>
      <c r="CA995" t="str">
        <f>""</f>
        <v/>
      </c>
      <c r="CB995" t="s">
        <v>131</v>
      </c>
      <c r="CF995" t="s">
        <v>131</v>
      </c>
      <c r="CH995" t="str">
        <f>""</f>
        <v/>
      </c>
      <c r="CI995" t="s">
        <v>131</v>
      </c>
      <c r="CK995" t="s">
        <v>131</v>
      </c>
      <c r="CL995" t="str">
        <f>""</f>
        <v/>
      </c>
      <c r="CM995" t="str">
        <f>""</f>
        <v/>
      </c>
      <c r="CN995" t="str">
        <f>""</f>
        <v/>
      </c>
      <c r="CO995" t="str">
        <f>""</f>
        <v/>
      </c>
      <c r="CP995" t="str">
        <f>"37-3011.00"</f>
        <v>37-3011.00</v>
      </c>
      <c r="CQ995" t="s">
        <v>920</v>
      </c>
      <c r="CR995" t="s">
        <v>3086</v>
      </c>
      <c r="CS995" t="s">
        <v>131</v>
      </c>
      <c r="CU995" t="s">
        <v>18091</v>
      </c>
      <c r="CW995" t="s">
        <v>6429</v>
      </c>
      <c r="CX995" t="s">
        <v>258</v>
      </c>
      <c r="CZ995" s="3" t="str">
        <f>"65808"</f>
        <v>65808</v>
      </c>
      <c r="DA995" t="s">
        <v>135</v>
      </c>
      <c r="DB995" t="str">
        <f>"37-3011"</f>
        <v>37-3011</v>
      </c>
      <c r="DC995" t="s">
        <v>920</v>
      </c>
      <c r="DD995" t="s">
        <v>134</v>
      </c>
      <c r="DE995" t="s">
        <v>134</v>
      </c>
      <c r="DF995" t="str">
        <f>""</f>
        <v/>
      </c>
      <c r="DH995" s="6">
        <v>13.23</v>
      </c>
      <c r="DI995" t="s">
        <v>344</v>
      </c>
      <c r="DK995" t="s">
        <v>345</v>
      </c>
      <c r="DS995" s="6">
        <v>14.29</v>
      </c>
      <c r="DT995" s="2" t="s">
        <v>2219</v>
      </c>
      <c r="DU995" s="1">
        <v>44375</v>
      </c>
      <c r="DV995" s="1">
        <v>44464</v>
      </c>
    </row>
    <row r="996" spans="1:126" ht="15" customHeight="1" x14ac:dyDescent="0.35">
      <c r="A996" t="s">
        <v>6655</v>
      </c>
      <c r="B996" t="s">
        <v>318</v>
      </c>
      <c r="C996" s="1">
        <v>44348</v>
      </c>
      <c r="D996" s="1">
        <v>44375</v>
      </c>
      <c r="H996" t="s">
        <v>319</v>
      </c>
      <c r="I996" t="s">
        <v>6656</v>
      </c>
      <c r="J996" t="s">
        <v>6657</v>
      </c>
      <c r="K996" t="s">
        <v>6658</v>
      </c>
      <c r="L996" t="s">
        <v>5793</v>
      </c>
      <c r="M996" t="s">
        <v>6659</v>
      </c>
      <c r="N996" t="s">
        <v>6660</v>
      </c>
      <c r="O996" t="s">
        <v>3461</v>
      </c>
      <c r="P996" t="s">
        <v>3462</v>
      </c>
      <c r="Q996" s="3">
        <v>96950</v>
      </c>
      <c r="R996" t="s">
        <v>128</v>
      </c>
      <c r="S996" t="s">
        <v>134</v>
      </c>
      <c r="T996" s="4">
        <v>16702333839</v>
      </c>
      <c r="V996" t="s">
        <v>6661</v>
      </c>
      <c r="W996" t="s">
        <v>6662</v>
      </c>
      <c r="X996" t="s">
        <v>6663</v>
      </c>
      <c r="Y996" t="s">
        <v>6664</v>
      </c>
      <c r="Z996" t="s">
        <v>6665</v>
      </c>
      <c r="AA996" t="s">
        <v>6666</v>
      </c>
      <c r="AB996" t="s">
        <v>3463</v>
      </c>
      <c r="AC996" s="3" t="str">
        <f>"96950"</f>
        <v>96950</v>
      </c>
      <c r="AD996" t="s">
        <v>128</v>
      </c>
      <c r="AE996" t="s">
        <v>134</v>
      </c>
      <c r="AF996" s="4">
        <v>16702333839</v>
      </c>
      <c r="AH996" t="str">
        <f>"236220"</f>
        <v>236220</v>
      </c>
      <c r="AI996" t="s">
        <v>167</v>
      </c>
      <c r="AX996" t="s">
        <v>131</v>
      </c>
      <c r="AY996" t="s">
        <v>131</v>
      </c>
      <c r="AZ996" t="s">
        <v>131</v>
      </c>
      <c r="BA996" t="s">
        <v>131</v>
      </c>
      <c r="BB996" t="s">
        <v>131</v>
      </c>
      <c r="BC996" t="s">
        <v>131</v>
      </c>
      <c r="BD996" t="s">
        <v>131</v>
      </c>
      <c r="BE996" t="s">
        <v>132</v>
      </c>
      <c r="BH996" t="s">
        <v>6667</v>
      </c>
      <c r="BI996" t="s">
        <v>131</v>
      </c>
      <c r="BL996" t="s">
        <v>401</v>
      </c>
      <c r="BO996" t="s">
        <v>131</v>
      </c>
      <c r="BP996" t="s">
        <v>134</v>
      </c>
      <c r="BQ996" t="s">
        <v>131</v>
      </c>
      <c r="BS996" t="str">
        <f t="shared" si="72"/>
        <v>N/A</v>
      </c>
      <c r="BT996" t="s">
        <v>135</v>
      </c>
      <c r="BU996">
        <v>24</v>
      </c>
      <c r="BV996" t="str">
        <f>"PLUMBER, CONSTRUCTION LABORER, MASON"</f>
        <v>PLUMBER, CONSTRUCTION LABORER, MASON</v>
      </c>
      <c r="BW996" t="s">
        <v>135</v>
      </c>
      <c r="BX996" t="str">
        <f>""</f>
        <v/>
      </c>
      <c r="BY996" t="str">
        <f>""</f>
        <v/>
      </c>
      <c r="BZ996" t="str">
        <f>""</f>
        <v/>
      </c>
      <c r="CA996" t="str">
        <f>" Knowledge of materials, methods, and the tools involved in the construction or repair of houses, buildings, or other structures such as highways and roads."</f>
        <v xml:space="preserve"> Knowledge of materials, methods, and the tools involved in the construction or repair of houses, buildings, or other structures such as highways and roads.</v>
      </c>
      <c r="CB996" t="s">
        <v>131</v>
      </c>
      <c r="CF996" t="s">
        <v>131</v>
      </c>
      <c r="CH996" t="str">
        <f>""</f>
        <v/>
      </c>
      <c r="CI996" t="s">
        <v>131</v>
      </c>
      <c r="CK996" t="s">
        <v>131</v>
      </c>
      <c r="CL996" t="str">
        <f>""</f>
        <v/>
      </c>
      <c r="CM996" t="str">
        <f>""</f>
        <v/>
      </c>
      <c r="CN996" t="str">
        <f>""</f>
        <v/>
      </c>
      <c r="CO996" t="str">
        <f>""</f>
        <v/>
      </c>
      <c r="CP996" t="str">
        <f>"47-2061.00"</f>
        <v>47-2061.00</v>
      </c>
      <c r="CQ996" t="s">
        <v>393</v>
      </c>
      <c r="CR996" t="s">
        <v>6668</v>
      </c>
      <c r="CS996" t="s">
        <v>131</v>
      </c>
      <c r="CU996" t="s">
        <v>6669</v>
      </c>
      <c r="CV996" t="s">
        <v>6660</v>
      </c>
      <c r="CW996" t="s">
        <v>3461</v>
      </c>
      <c r="CX996" t="s">
        <v>3463</v>
      </c>
      <c r="CZ996" s="3" t="str">
        <f>"96950"</f>
        <v>96950</v>
      </c>
      <c r="DA996" t="s">
        <v>131</v>
      </c>
      <c r="DB996" t="str">
        <f>"47-2061"</f>
        <v>47-2061</v>
      </c>
      <c r="DC996" t="s">
        <v>393</v>
      </c>
      <c r="DD996" t="s">
        <v>134</v>
      </c>
      <c r="DE996" t="s">
        <v>134</v>
      </c>
      <c r="DF996" t="str">
        <f>""</f>
        <v/>
      </c>
      <c r="DH996" s="6">
        <v>11.2</v>
      </c>
      <c r="DI996" t="s">
        <v>344</v>
      </c>
      <c r="DK996" t="s">
        <v>345</v>
      </c>
      <c r="DR996" t="s">
        <v>6670</v>
      </c>
      <c r="DS996" s="6">
        <v>11.2</v>
      </c>
      <c r="DT996" t="s">
        <v>424</v>
      </c>
      <c r="DU996" s="1">
        <v>44375</v>
      </c>
      <c r="DV996" s="1">
        <v>44464</v>
      </c>
    </row>
    <row r="997" spans="1:126" ht="15" customHeight="1" x14ac:dyDescent="0.35">
      <c r="A997" t="s">
        <v>13262</v>
      </c>
      <c r="B997" t="s">
        <v>318</v>
      </c>
      <c r="C997" s="1">
        <v>44348</v>
      </c>
      <c r="D997" s="1">
        <v>44375</v>
      </c>
      <c r="H997" t="s">
        <v>319</v>
      </c>
      <c r="I997" t="s">
        <v>1477</v>
      </c>
      <c r="J997" t="s">
        <v>13263</v>
      </c>
      <c r="L997" t="s">
        <v>1793</v>
      </c>
      <c r="M997" t="s">
        <v>13264</v>
      </c>
      <c r="N997" t="s">
        <v>134</v>
      </c>
      <c r="O997" t="s">
        <v>13265</v>
      </c>
      <c r="P997" t="s">
        <v>1804</v>
      </c>
      <c r="Q997" s="3">
        <v>26209</v>
      </c>
      <c r="R997" t="s">
        <v>128</v>
      </c>
      <c r="S997" t="s">
        <v>134</v>
      </c>
      <c r="T997" s="4">
        <v>13045725707</v>
      </c>
      <c r="V997" t="s">
        <v>13266</v>
      </c>
      <c r="W997" t="s">
        <v>13267</v>
      </c>
      <c r="X997" t="s">
        <v>134</v>
      </c>
      <c r="Y997" t="s">
        <v>13264</v>
      </c>
      <c r="Z997" t="s">
        <v>134</v>
      </c>
      <c r="AA997" t="s">
        <v>13265</v>
      </c>
      <c r="AB997" t="s">
        <v>1808</v>
      </c>
      <c r="AC997" s="3" t="str">
        <f>"26209"</f>
        <v>26209</v>
      </c>
      <c r="AD997" t="s">
        <v>128</v>
      </c>
      <c r="AE997" t="s">
        <v>134</v>
      </c>
      <c r="AF997" s="4">
        <v>13045725707</v>
      </c>
      <c r="AH997" t="str">
        <f>"721110"</f>
        <v>721110</v>
      </c>
      <c r="AI997" t="s">
        <v>130</v>
      </c>
      <c r="AJ997" t="s">
        <v>1386</v>
      </c>
      <c r="AK997" t="s">
        <v>1387</v>
      </c>
      <c r="AL997" t="s">
        <v>1036</v>
      </c>
      <c r="AM997" t="s">
        <v>1388</v>
      </c>
      <c r="AN997" t="s">
        <v>997</v>
      </c>
      <c r="AO997" t="s">
        <v>719</v>
      </c>
      <c r="AP997" t="s">
        <v>377</v>
      </c>
      <c r="AQ997" s="5">
        <v>1701</v>
      </c>
      <c r="AR997" t="s">
        <v>128</v>
      </c>
      <c r="AS997" t="s">
        <v>134</v>
      </c>
      <c r="AT997" s="4">
        <v>16179399444</v>
      </c>
      <c r="AV997" t="s">
        <v>1389</v>
      </c>
      <c r="AW997" t="s">
        <v>1390</v>
      </c>
      <c r="AX997" t="s">
        <v>131</v>
      </c>
      <c r="AY997" t="s">
        <v>131</v>
      </c>
      <c r="AZ997" t="s">
        <v>131</v>
      </c>
      <c r="BA997" t="s">
        <v>131</v>
      </c>
      <c r="BB997" t="s">
        <v>131</v>
      </c>
      <c r="BC997" t="s">
        <v>131</v>
      </c>
      <c r="BD997" t="s">
        <v>131</v>
      </c>
      <c r="BE997" t="s">
        <v>132</v>
      </c>
      <c r="BH997" t="s">
        <v>10120</v>
      </c>
      <c r="BI997" t="s">
        <v>131</v>
      </c>
      <c r="BL997" t="s">
        <v>167</v>
      </c>
      <c r="BO997" t="s">
        <v>131</v>
      </c>
      <c r="BP997" t="s">
        <v>134</v>
      </c>
      <c r="BQ997" t="s">
        <v>131</v>
      </c>
      <c r="BS997" t="str">
        <f t="shared" si="72"/>
        <v>N/A</v>
      </c>
      <c r="BT997" t="s">
        <v>135</v>
      </c>
      <c r="BU997">
        <v>3</v>
      </c>
      <c r="BV997" t="str">
        <f>"Room Attendant"</f>
        <v>Room Attendant</v>
      </c>
      <c r="BW997" t="s">
        <v>135</v>
      </c>
      <c r="BX997" t="str">
        <f>""</f>
        <v/>
      </c>
      <c r="BY997" t="str">
        <f>""</f>
        <v/>
      </c>
      <c r="BZ997" t="str">
        <f>""</f>
        <v/>
      </c>
      <c r="CA997" t="str">
        <f>"The Petitioner will consider for employment any person who possesses at least three (3) months of experience at a high-end hotel, resort, or private club."</f>
        <v>The Petitioner will consider for employment any person who possesses at least three (3) months of experience at a high-end hotel, resort, or private club.</v>
      </c>
      <c r="CB997" t="s">
        <v>131</v>
      </c>
      <c r="CF997" t="s">
        <v>131</v>
      </c>
      <c r="CH997" t="str">
        <f>""</f>
        <v/>
      </c>
      <c r="CI997" t="s">
        <v>131</v>
      </c>
      <c r="CK997" t="s">
        <v>131</v>
      </c>
      <c r="CL997" t="str">
        <f>""</f>
        <v/>
      </c>
      <c r="CM997" t="str">
        <f>""</f>
        <v/>
      </c>
      <c r="CN997" t="str">
        <f>""</f>
        <v/>
      </c>
      <c r="CO997" t="str">
        <f>""</f>
        <v/>
      </c>
      <c r="CP997" t="str">
        <f>"37-2012.00"</f>
        <v>37-2012.00</v>
      </c>
      <c r="CQ997" t="s">
        <v>479</v>
      </c>
      <c r="CR997" t="s">
        <v>13268</v>
      </c>
      <c r="CS997" t="s">
        <v>131</v>
      </c>
      <c r="CU997" t="s">
        <v>13264</v>
      </c>
      <c r="CV997" t="s">
        <v>134</v>
      </c>
      <c r="CW997" t="s">
        <v>13265</v>
      </c>
      <c r="CX997" t="s">
        <v>1808</v>
      </c>
      <c r="CZ997" s="3" t="str">
        <f>"26209"</f>
        <v>26209</v>
      </c>
      <c r="DA997" t="s">
        <v>131</v>
      </c>
      <c r="DB997" t="str">
        <f>"37-2012"</f>
        <v>37-2012</v>
      </c>
      <c r="DC997" t="s">
        <v>479</v>
      </c>
      <c r="DD997" t="s">
        <v>134</v>
      </c>
      <c r="DE997" t="s">
        <v>134</v>
      </c>
      <c r="DF997" t="str">
        <f>""</f>
        <v/>
      </c>
      <c r="DH997" s="6">
        <v>10.6</v>
      </c>
      <c r="DI997" t="s">
        <v>344</v>
      </c>
      <c r="DK997" t="s">
        <v>345</v>
      </c>
      <c r="DS997" s="6">
        <v>10.6</v>
      </c>
      <c r="DT997" t="s">
        <v>424</v>
      </c>
      <c r="DU997" s="1">
        <v>44375</v>
      </c>
      <c r="DV997" s="1">
        <v>44464</v>
      </c>
    </row>
    <row r="998" spans="1:126" ht="15" customHeight="1" x14ac:dyDescent="0.35">
      <c r="A998" t="s">
        <v>17228</v>
      </c>
      <c r="B998" t="s">
        <v>318</v>
      </c>
      <c r="C998" s="1">
        <v>44348</v>
      </c>
      <c r="D998" s="1">
        <v>44375</v>
      </c>
      <c r="H998" t="s">
        <v>319</v>
      </c>
      <c r="I998" t="s">
        <v>6272</v>
      </c>
      <c r="J998" t="s">
        <v>7308</v>
      </c>
      <c r="L998" t="s">
        <v>675</v>
      </c>
      <c r="M998" t="s">
        <v>17229</v>
      </c>
      <c r="N998" t="s">
        <v>134</v>
      </c>
      <c r="O998" t="s">
        <v>17230</v>
      </c>
      <c r="P998" t="s">
        <v>2545</v>
      </c>
      <c r="Q998" s="3">
        <v>5464</v>
      </c>
      <c r="R998" t="s">
        <v>128</v>
      </c>
      <c r="S998" t="s">
        <v>134</v>
      </c>
      <c r="T998" s="4">
        <v>18026441239</v>
      </c>
      <c r="V998" t="s">
        <v>17231</v>
      </c>
      <c r="W998" t="s">
        <v>17232</v>
      </c>
      <c r="X998" t="s">
        <v>17233</v>
      </c>
      <c r="Y998" t="s">
        <v>17229</v>
      </c>
      <c r="Z998" t="s">
        <v>134</v>
      </c>
      <c r="AA998" t="s">
        <v>17230</v>
      </c>
      <c r="AB998" t="s">
        <v>2549</v>
      </c>
      <c r="AC998" s="3" t="str">
        <f>"05464"</f>
        <v>05464</v>
      </c>
      <c r="AD998" t="s">
        <v>128</v>
      </c>
      <c r="AE998" t="s">
        <v>134</v>
      </c>
      <c r="AF998" s="4">
        <v>18026441239</v>
      </c>
      <c r="AH998" t="str">
        <f>"721110"</f>
        <v>721110</v>
      </c>
      <c r="AI998" t="s">
        <v>130</v>
      </c>
      <c r="AJ998" t="s">
        <v>1386</v>
      </c>
      <c r="AK998" t="s">
        <v>1387</v>
      </c>
      <c r="AL998" t="s">
        <v>1036</v>
      </c>
      <c r="AM998" t="s">
        <v>1388</v>
      </c>
      <c r="AN998" t="s">
        <v>997</v>
      </c>
      <c r="AO998" t="s">
        <v>719</v>
      </c>
      <c r="AP998" t="s">
        <v>377</v>
      </c>
      <c r="AQ998" s="5">
        <v>1701</v>
      </c>
      <c r="AR998" t="s">
        <v>128</v>
      </c>
      <c r="AS998" t="s">
        <v>134</v>
      </c>
      <c r="AT998" s="4">
        <v>16179399444</v>
      </c>
      <c r="AV998" t="s">
        <v>1389</v>
      </c>
      <c r="AW998" t="s">
        <v>1390</v>
      </c>
      <c r="AX998" t="s">
        <v>131</v>
      </c>
      <c r="AY998" t="s">
        <v>131</v>
      </c>
      <c r="AZ998" t="s">
        <v>131</v>
      </c>
      <c r="BA998" t="s">
        <v>131</v>
      </c>
      <c r="BB998" t="s">
        <v>131</v>
      </c>
      <c r="BC998" t="s">
        <v>131</v>
      </c>
      <c r="BD998" t="s">
        <v>131</v>
      </c>
      <c r="BE998" t="s">
        <v>132</v>
      </c>
      <c r="BH998" t="s">
        <v>1639</v>
      </c>
      <c r="BI998" t="s">
        <v>131</v>
      </c>
      <c r="BL998" t="s">
        <v>167</v>
      </c>
      <c r="BO998" t="s">
        <v>131</v>
      </c>
      <c r="BP998" t="s">
        <v>134</v>
      </c>
      <c r="BQ998" t="s">
        <v>131</v>
      </c>
      <c r="BS998" t="str">
        <f t="shared" si="72"/>
        <v>N/A</v>
      </c>
      <c r="BT998" t="s">
        <v>135</v>
      </c>
      <c r="BU998">
        <v>3</v>
      </c>
      <c r="BV998" t="str">
        <f>"Housekeeper"</f>
        <v>Housekeeper</v>
      </c>
      <c r="BW998" t="s">
        <v>135</v>
      </c>
      <c r="BX998" t="str">
        <f>""</f>
        <v/>
      </c>
      <c r="BY998" t="str">
        <f>""</f>
        <v/>
      </c>
      <c r="BZ998" t="str">
        <f>""</f>
        <v/>
      </c>
      <c r="CA998" t="str">
        <f>"The Petitioner will consider for employment any person who possesses at least three (3) months of housekeeping experience at a high-end hotel, resort, or private club."</f>
        <v>The Petitioner will consider for employment any person who possesses at least three (3) months of housekeeping experience at a high-end hotel, resort, or private club.</v>
      </c>
      <c r="CB998" t="s">
        <v>131</v>
      </c>
      <c r="CF998" t="s">
        <v>131</v>
      </c>
      <c r="CH998" t="str">
        <f>""</f>
        <v/>
      </c>
      <c r="CI998" t="s">
        <v>131</v>
      </c>
      <c r="CK998" t="s">
        <v>131</v>
      </c>
      <c r="CL998" t="str">
        <f>""</f>
        <v/>
      </c>
      <c r="CM998" t="str">
        <f>""</f>
        <v/>
      </c>
      <c r="CN998" t="str">
        <f>""</f>
        <v/>
      </c>
      <c r="CO998" t="str">
        <f>""</f>
        <v/>
      </c>
      <c r="CP998" t="str">
        <f>"37-2012.00"</f>
        <v>37-2012.00</v>
      </c>
      <c r="CQ998" t="s">
        <v>479</v>
      </c>
      <c r="CR998" t="s">
        <v>4851</v>
      </c>
      <c r="CS998" t="s">
        <v>131</v>
      </c>
      <c r="CU998" t="s">
        <v>17229</v>
      </c>
      <c r="CV998" t="s">
        <v>134</v>
      </c>
      <c r="CW998" t="s">
        <v>17230</v>
      </c>
      <c r="CX998" t="s">
        <v>2549</v>
      </c>
      <c r="CZ998" s="3" t="str">
        <f>"05464"</f>
        <v>05464</v>
      </c>
      <c r="DA998" t="s">
        <v>131</v>
      </c>
      <c r="DB998" t="str">
        <f>"37-2012"</f>
        <v>37-2012</v>
      </c>
      <c r="DC998" t="s">
        <v>479</v>
      </c>
      <c r="DD998" t="s">
        <v>134</v>
      </c>
      <c r="DE998" t="s">
        <v>134</v>
      </c>
      <c r="DF998" t="str">
        <f>""</f>
        <v/>
      </c>
      <c r="DH998" s="6">
        <v>12.91</v>
      </c>
      <c r="DI998" t="s">
        <v>344</v>
      </c>
      <c r="DK998" t="s">
        <v>345</v>
      </c>
      <c r="DS998" s="6">
        <v>12.91</v>
      </c>
      <c r="DT998" t="s">
        <v>424</v>
      </c>
      <c r="DU998" s="1">
        <v>44375</v>
      </c>
      <c r="DV998" s="1">
        <v>44464</v>
      </c>
    </row>
    <row r="999" spans="1:126" ht="15" customHeight="1" x14ac:dyDescent="0.35">
      <c r="A999" t="s">
        <v>14464</v>
      </c>
      <c r="B999" t="s">
        <v>318</v>
      </c>
      <c r="C999" s="1">
        <v>44348</v>
      </c>
      <c r="D999" s="1">
        <v>44377</v>
      </c>
      <c r="H999" t="s">
        <v>319</v>
      </c>
      <c r="I999" t="s">
        <v>2728</v>
      </c>
      <c r="J999" t="s">
        <v>1594</v>
      </c>
      <c r="K999" t="s">
        <v>302</v>
      </c>
      <c r="L999" t="s">
        <v>2835</v>
      </c>
      <c r="M999" t="s">
        <v>14465</v>
      </c>
      <c r="O999" t="s">
        <v>2517</v>
      </c>
      <c r="P999" t="s">
        <v>1174</v>
      </c>
      <c r="Q999" s="3">
        <v>97504</v>
      </c>
      <c r="R999" t="s">
        <v>128</v>
      </c>
      <c r="T999" s="4">
        <v>15418403980</v>
      </c>
      <c r="V999" t="s">
        <v>14466</v>
      </c>
      <c r="W999" t="s">
        <v>14467</v>
      </c>
      <c r="Y999" t="s">
        <v>14465</v>
      </c>
      <c r="AA999" t="s">
        <v>2517</v>
      </c>
      <c r="AB999" t="s">
        <v>1512</v>
      </c>
      <c r="AC999" s="3" t="str">
        <f>"97504"</f>
        <v>97504</v>
      </c>
      <c r="AD999" t="s">
        <v>128</v>
      </c>
      <c r="AF999" s="4">
        <v>15418403980</v>
      </c>
      <c r="AH999" t="str">
        <f>"11531"</f>
        <v>11531</v>
      </c>
      <c r="AI999" t="s">
        <v>287</v>
      </c>
      <c r="AJ999" t="s">
        <v>776</v>
      </c>
      <c r="AK999" t="s">
        <v>2901</v>
      </c>
      <c r="AL999" t="s">
        <v>645</v>
      </c>
      <c r="AM999" t="s">
        <v>7932</v>
      </c>
      <c r="AN999" t="s">
        <v>2377</v>
      </c>
      <c r="AO999" t="s">
        <v>4815</v>
      </c>
      <c r="AP999" t="s">
        <v>1243</v>
      </c>
      <c r="AQ999" s="5">
        <v>83814</v>
      </c>
      <c r="AR999" t="s">
        <v>128</v>
      </c>
      <c r="AT999" s="4">
        <v>12087772654</v>
      </c>
      <c r="AV999" t="s">
        <v>8906</v>
      </c>
      <c r="AW999" t="s">
        <v>4715</v>
      </c>
      <c r="AX999" t="s">
        <v>131</v>
      </c>
      <c r="AY999" t="s">
        <v>131</v>
      </c>
      <c r="AZ999" t="s">
        <v>131</v>
      </c>
      <c r="BA999" t="s">
        <v>131</v>
      </c>
      <c r="BB999" t="s">
        <v>131</v>
      </c>
      <c r="BC999" t="s">
        <v>131</v>
      </c>
      <c r="BD999" t="s">
        <v>131</v>
      </c>
      <c r="BE999" t="s">
        <v>132</v>
      </c>
      <c r="BH999" t="s">
        <v>6431</v>
      </c>
      <c r="BI999" t="s">
        <v>131</v>
      </c>
      <c r="BL999" t="s">
        <v>167</v>
      </c>
      <c r="BO999" t="s">
        <v>131</v>
      </c>
      <c r="BP999" t="s">
        <v>134</v>
      </c>
      <c r="BQ999" t="s">
        <v>131</v>
      </c>
      <c r="BS999" t="str">
        <f t="shared" si="72"/>
        <v>N/A</v>
      </c>
      <c r="BT999" t="s">
        <v>135</v>
      </c>
      <c r="BU999">
        <v>3</v>
      </c>
      <c r="BV999" t="str">
        <f>"Forestry"</f>
        <v>Forestry</v>
      </c>
      <c r="BW999" t="s">
        <v>135</v>
      </c>
      <c r="BX999" t="str">
        <f>""</f>
        <v/>
      </c>
      <c r="BY999" t="str">
        <f>""</f>
        <v/>
      </c>
      <c r="BZ999" t="str">
        <f>""</f>
        <v/>
      </c>
      <c r="CA999" t="s">
        <v>8741</v>
      </c>
      <c r="CB999" t="s">
        <v>131</v>
      </c>
      <c r="CF999" t="s">
        <v>131</v>
      </c>
      <c r="CH999" t="str">
        <f>""</f>
        <v/>
      </c>
      <c r="CI999" t="s">
        <v>131</v>
      </c>
      <c r="CK999" t="s">
        <v>131</v>
      </c>
      <c r="CL999" t="str">
        <f>""</f>
        <v/>
      </c>
      <c r="CM999" t="str">
        <f>""</f>
        <v/>
      </c>
      <c r="CN999" t="str">
        <f>""</f>
        <v/>
      </c>
      <c r="CO999" t="str">
        <f>""</f>
        <v/>
      </c>
      <c r="CP999" t="str">
        <f>"45-4011.00"</f>
        <v>45-4011.00</v>
      </c>
      <c r="CQ999" t="s">
        <v>4310</v>
      </c>
      <c r="CR999" t="s">
        <v>134</v>
      </c>
      <c r="CS999" t="s">
        <v>135</v>
      </c>
      <c r="CT999" t="s">
        <v>14468</v>
      </c>
      <c r="CU999" t="s">
        <v>14469</v>
      </c>
      <c r="CW999" t="s">
        <v>2517</v>
      </c>
      <c r="CX999" t="s">
        <v>1512</v>
      </c>
      <c r="CZ999" s="3" t="str">
        <f>"97504"</f>
        <v>97504</v>
      </c>
      <c r="DA999" t="s">
        <v>135</v>
      </c>
      <c r="DB999" t="str">
        <f>"45-4011"</f>
        <v>45-4011</v>
      </c>
      <c r="DC999" t="s">
        <v>4310</v>
      </c>
      <c r="DD999" t="s">
        <v>134</v>
      </c>
      <c r="DE999" t="s">
        <v>134</v>
      </c>
      <c r="DF999" t="str">
        <f>""</f>
        <v/>
      </c>
      <c r="DH999" s="6">
        <v>18.899999999999999</v>
      </c>
      <c r="DI999" t="s">
        <v>344</v>
      </c>
      <c r="DK999" t="s">
        <v>345</v>
      </c>
      <c r="DS999" s="6">
        <v>20.04</v>
      </c>
      <c r="DT999" s="2" t="s">
        <v>14470</v>
      </c>
      <c r="DU999" s="1">
        <v>44377</v>
      </c>
      <c r="DV999" s="1">
        <v>44466</v>
      </c>
    </row>
    <row r="1000" spans="1:126" ht="15" customHeight="1" x14ac:dyDescent="0.35">
      <c r="A1000" t="s">
        <v>15751</v>
      </c>
      <c r="B1000" t="s">
        <v>318</v>
      </c>
      <c r="C1000" s="1">
        <v>44348</v>
      </c>
      <c r="D1000" s="1">
        <v>44375</v>
      </c>
      <c r="H1000" t="s">
        <v>319</v>
      </c>
      <c r="I1000" t="s">
        <v>15752</v>
      </c>
      <c r="J1000" t="s">
        <v>618</v>
      </c>
      <c r="K1000" t="s">
        <v>2314</v>
      </c>
      <c r="L1000" t="s">
        <v>5182</v>
      </c>
      <c r="M1000" t="s">
        <v>15753</v>
      </c>
      <c r="O1000" t="s">
        <v>3477</v>
      </c>
      <c r="P1000" t="s">
        <v>311</v>
      </c>
      <c r="Q1000" s="3">
        <v>19382</v>
      </c>
      <c r="R1000" t="s">
        <v>128</v>
      </c>
      <c r="T1000" s="4">
        <v>16104366580</v>
      </c>
      <c r="V1000" t="s">
        <v>134</v>
      </c>
      <c r="W1000" t="s">
        <v>15754</v>
      </c>
      <c r="Y1000" t="s">
        <v>15753</v>
      </c>
      <c r="AA1000" t="s">
        <v>3477</v>
      </c>
      <c r="AB1000" t="s">
        <v>312</v>
      </c>
      <c r="AC1000" s="3" t="str">
        <f>"19382"</f>
        <v>19382</v>
      </c>
      <c r="AD1000" t="s">
        <v>128</v>
      </c>
      <c r="AF1000" s="4">
        <v>16104366580</v>
      </c>
      <c r="AH1000" t="str">
        <f>"56173"</f>
        <v>56173</v>
      </c>
      <c r="AI1000" t="s">
        <v>287</v>
      </c>
      <c r="AJ1000" t="s">
        <v>2917</v>
      </c>
      <c r="AK1000" t="s">
        <v>2918</v>
      </c>
      <c r="AM1000" t="s">
        <v>2919</v>
      </c>
      <c r="AN1000" t="s">
        <v>2920</v>
      </c>
      <c r="AO1000" t="s">
        <v>2921</v>
      </c>
      <c r="AP1000" t="s">
        <v>306</v>
      </c>
      <c r="AQ1000" s="5">
        <v>22949</v>
      </c>
      <c r="AR1000" t="s">
        <v>128</v>
      </c>
      <c r="AT1000" s="4">
        <v>14342634300</v>
      </c>
      <c r="AV1000" t="s">
        <v>2922</v>
      </c>
      <c r="AW1000" t="s">
        <v>2923</v>
      </c>
      <c r="AX1000" t="s">
        <v>131</v>
      </c>
      <c r="AY1000" t="s">
        <v>131</v>
      </c>
      <c r="AZ1000" t="s">
        <v>131</v>
      </c>
      <c r="BA1000" t="s">
        <v>131</v>
      </c>
      <c r="BB1000" t="s">
        <v>131</v>
      </c>
      <c r="BC1000" t="s">
        <v>131</v>
      </c>
      <c r="BD1000" t="s">
        <v>131</v>
      </c>
      <c r="BE1000" t="s">
        <v>132</v>
      </c>
      <c r="BH1000" t="s">
        <v>3780</v>
      </c>
      <c r="BI1000" t="s">
        <v>131</v>
      </c>
      <c r="BL1000" t="s">
        <v>167</v>
      </c>
      <c r="BO1000" t="s">
        <v>131</v>
      </c>
      <c r="BP1000" t="s">
        <v>134</v>
      </c>
      <c r="BQ1000" t="s">
        <v>131</v>
      </c>
      <c r="BS1000" t="str">
        <f t="shared" si="72"/>
        <v>N/A</v>
      </c>
      <c r="BT1000" t="s">
        <v>131</v>
      </c>
      <c r="BV1000" t="str">
        <f>""</f>
        <v/>
      </c>
      <c r="BW1000" t="s">
        <v>135</v>
      </c>
      <c r="BX1000" t="str">
        <f>""</f>
        <v/>
      </c>
      <c r="BY1000" t="str">
        <f>""</f>
        <v/>
      </c>
      <c r="BZ1000" t="str">
        <f>""</f>
        <v/>
      </c>
      <c r="CA1000" t="str">
        <f>"Must lift/carry 50 lbs., when necessary.  Saturday and Sunday work required, when necessary."</f>
        <v>Must lift/carry 50 lbs., when necessary.  Saturday and Sunday work required, when necessary.</v>
      </c>
      <c r="CB1000" t="s">
        <v>131</v>
      </c>
      <c r="CF1000" t="s">
        <v>131</v>
      </c>
      <c r="CH1000" t="str">
        <f>""</f>
        <v/>
      </c>
      <c r="CI1000" t="s">
        <v>131</v>
      </c>
      <c r="CK1000" t="s">
        <v>131</v>
      </c>
      <c r="CL1000" t="str">
        <f>""</f>
        <v/>
      </c>
      <c r="CM1000" t="str">
        <f>""</f>
        <v/>
      </c>
      <c r="CN1000" t="str">
        <f>""</f>
        <v/>
      </c>
      <c r="CO1000" t="str">
        <f>""</f>
        <v/>
      </c>
      <c r="CP1000" t="str">
        <f>"37-3011.00"</f>
        <v>37-3011.00</v>
      </c>
      <c r="CQ1000" t="s">
        <v>920</v>
      </c>
      <c r="CR1000" t="s">
        <v>2924</v>
      </c>
      <c r="CS1000" t="s">
        <v>135</v>
      </c>
      <c r="CT1000" t="s">
        <v>2925</v>
      </c>
      <c r="CU1000" t="s">
        <v>15755</v>
      </c>
      <c r="CW1000" t="s">
        <v>3477</v>
      </c>
      <c r="CX1000" t="s">
        <v>312</v>
      </c>
      <c r="CZ1000" s="3" t="str">
        <f>"19382"</f>
        <v>19382</v>
      </c>
      <c r="DA1000" t="s">
        <v>135</v>
      </c>
      <c r="DB1000" t="str">
        <f>"37-3011"</f>
        <v>37-3011</v>
      </c>
      <c r="DC1000" t="s">
        <v>920</v>
      </c>
      <c r="DD1000" t="s">
        <v>134</v>
      </c>
      <c r="DE1000" t="s">
        <v>134</v>
      </c>
      <c r="DF1000" t="str">
        <f>""</f>
        <v/>
      </c>
      <c r="DH1000" s="6">
        <v>16.600000000000001</v>
      </c>
      <c r="DI1000" t="s">
        <v>344</v>
      </c>
      <c r="DK1000" t="s">
        <v>345</v>
      </c>
      <c r="DS1000" s="6">
        <v>16.600000000000001</v>
      </c>
      <c r="DT1000" s="2" t="s">
        <v>2219</v>
      </c>
      <c r="DU1000" s="1">
        <v>44375</v>
      </c>
      <c r="DV1000" s="1">
        <v>44464</v>
      </c>
    </row>
    <row r="1001" spans="1:126" ht="15" customHeight="1" x14ac:dyDescent="0.35">
      <c r="A1001" t="s">
        <v>17668</v>
      </c>
      <c r="B1001" t="s">
        <v>318</v>
      </c>
      <c r="C1001" s="1">
        <v>44348</v>
      </c>
      <c r="D1001" s="1">
        <v>44375</v>
      </c>
      <c r="H1001" t="s">
        <v>319</v>
      </c>
      <c r="I1001" t="s">
        <v>17669</v>
      </c>
      <c r="J1001" t="s">
        <v>2240</v>
      </c>
      <c r="L1001" t="s">
        <v>3206</v>
      </c>
      <c r="M1001" t="s">
        <v>17670</v>
      </c>
      <c r="O1001" t="s">
        <v>7037</v>
      </c>
      <c r="P1001" t="s">
        <v>467</v>
      </c>
      <c r="Q1001" s="3">
        <v>80123</v>
      </c>
      <c r="R1001" t="s">
        <v>128</v>
      </c>
      <c r="T1001" s="4">
        <v>13037812331</v>
      </c>
      <c r="V1001" t="s">
        <v>134</v>
      </c>
      <c r="W1001" t="s">
        <v>17671</v>
      </c>
      <c r="Y1001" t="s">
        <v>17670</v>
      </c>
      <c r="Z1001" t="s">
        <v>5552</v>
      </c>
      <c r="AA1001" t="s">
        <v>7037</v>
      </c>
      <c r="AB1001" t="s">
        <v>471</v>
      </c>
      <c r="AC1001" s="3" t="str">
        <f>"80123"</f>
        <v>80123</v>
      </c>
      <c r="AD1001" t="s">
        <v>128</v>
      </c>
      <c r="AF1001" s="4">
        <v>13037812331</v>
      </c>
      <c r="AH1001" t="str">
        <f>"56173"</f>
        <v>56173</v>
      </c>
      <c r="AI1001" t="s">
        <v>130</v>
      </c>
      <c r="AJ1001" t="s">
        <v>4793</v>
      </c>
      <c r="AK1001" t="s">
        <v>3519</v>
      </c>
      <c r="AL1001" t="s">
        <v>301</v>
      </c>
      <c r="AM1001" t="s">
        <v>4794</v>
      </c>
      <c r="AN1001" t="s">
        <v>4795</v>
      </c>
      <c r="AO1001" t="s">
        <v>1040</v>
      </c>
      <c r="AP1001" t="s">
        <v>400</v>
      </c>
      <c r="AQ1001" s="5">
        <v>78746</v>
      </c>
      <c r="AR1001" t="s">
        <v>128</v>
      </c>
      <c r="AT1001" s="4">
        <v>15123470007</v>
      </c>
      <c r="AV1001" t="s">
        <v>17672</v>
      </c>
      <c r="AW1001" t="s">
        <v>7079</v>
      </c>
      <c r="AX1001" t="s">
        <v>131</v>
      </c>
      <c r="AY1001" t="s">
        <v>131</v>
      </c>
      <c r="AZ1001" t="s">
        <v>131</v>
      </c>
      <c r="BA1001" t="s">
        <v>131</v>
      </c>
      <c r="BB1001" t="s">
        <v>131</v>
      </c>
      <c r="BC1001" t="s">
        <v>131</v>
      </c>
      <c r="BD1001" t="s">
        <v>131</v>
      </c>
      <c r="BE1001" t="s">
        <v>132</v>
      </c>
      <c r="BH1001" t="s">
        <v>7502</v>
      </c>
      <c r="BI1001" t="s">
        <v>131</v>
      </c>
      <c r="BL1001" t="s">
        <v>167</v>
      </c>
      <c r="BO1001" t="s">
        <v>131</v>
      </c>
      <c r="BP1001" t="s">
        <v>134</v>
      </c>
      <c r="BQ1001" t="s">
        <v>131</v>
      </c>
      <c r="BS1001" t="str">
        <f t="shared" si="72"/>
        <v>N/A</v>
      </c>
      <c r="BT1001" t="s">
        <v>131</v>
      </c>
      <c r="BV1001" t="str">
        <f>""</f>
        <v/>
      </c>
      <c r="BW1001" t="s">
        <v>131</v>
      </c>
      <c r="BX1001" t="str">
        <f>""</f>
        <v/>
      </c>
      <c r="BY1001" t="str">
        <f>""</f>
        <v/>
      </c>
      <c r="BZ1001" t="str">
        <f>""</f>
        <v/>
      </c>
      <c r="CA1001" t="str">
        <f>""</f>
        <v/>
      </c>
      <c r="CB1001" t="s">
        <v>131</v>
      </c>
      <c r="CF1001" t="s">
        <v>131</v>
      </c>
      <c r="CH1001" t="str">
        <f>""</f>
        <v/>
      </c>
      <c r="CI1001" t="s">
        <v>131</v>
      </c>
      <c r="CK1001" t="s">
        <v>131</v>
      </c>
      <c r="CL1001" t="str">
        <f>""</f>
        <v/>
      </c>
      <c r="CM1001" t="str">
        <f>""</f>
        <v/>
      </c>
      <c r="CN1001" t="str">
        <f>""</f>
        <v/>
      </c>
      <c r="CO1001" t="str">
        <f>""</f>
        <v/>
      </c>
      <c r="CP1001" t="str">
        <f>"37-3011.00"</f>
        <v>37-3011.00</v>
      </c>
      <c r="CQ1001" t="s">
        <v>920</v>
      </c>
      <c r="CS1001" t="s">
        <v>135</v>
      </c>
      <c r="CT1001" s="2" t="s">
        <v>17673</v>
      </c>
      <c r="CU1001" t="s">
        <v>17674</v>
      </c>
      <c r="CW1001" t="s">
        <v>11618</v>
      </c>
      <c r="CX1001" t="s">
        <v>471</v>
      </c>
      <c r="CZ1001" s="3" t="str">
        <f>"80216"</f>
        <v>80216</v>
      </c>
      <c r="DA1001" t="s">
        <v>135</v>
      </c>
      <c r="DB1001" t="str">
        <f>"37-3011"</f>
        <v>37-3011</v>
      </c>
      <c r="DC1001" t="s">
        <v>920</v>
      </c>
      <c r="DD1001" t="s">
        <v>134</v>
      </c>
      <c r="DE1001" t="s">
        <v>134</v>
      </c>
      <c r="DF1001" t="str">
        <f>""</f>
        <v/>
      </c>
      <c r="DH1001" s="6">
        <v>16.98</v>
      </c>
      <c r="DI1001" t="s">
        <v>344</v>
      </c>
      <c r="DK1001" t="s">
        <v>345</v>
      </c>
      <c r="DR1001" t="s">
        <v>9925</v>
      </c>
      <c r="DS1001" s="6">
        <v>18.670000000000002</v>
      </c>
      <c r="DT1001" s="2" t="s">
        <v>2219</v>
      </c>
      <c r="DU1001" s="1">
        <v>44375</v>
      </c>
      <c r="DV1001" s="1">
        <v>44464</v>
      </c>
    </row>
    <row r="1002" spans="1:126" ht="15" customHeight="1" x14ac:dyDescent="0.35">
      <c r="A1002" t="s">
        <v>18309</v>
      </c>
      <c r="B1002" t="s">
        <v>318</v>
      </c>
      <c r="C1002" s="1">
        <v>44348</v>
      </c>
      <c r="D1002" s="1">
        <v>44375</v>
      </c>
      <c r="H1002" t="s">
        <v>319</v>
      </c>
      <c r="I1002" t="s">
        <v>4830</v>
      </c>
      <c r="J1002" t="s">
        <v>1623</v>
      </c>
      <c r="K1002" t="s">
        <v>134</v>
      </c>
      <c r="L1002" t="s">
        <v>395</v>
      </c>
      <c r="M1002" t="s">
        <v>18310</v>
      </c>
      <c r="O1002" t="s">
        <v>18311</v>
      </c>
      <c r="P1002" t="s">
        <v>539</v>
      </c>
      <c r="Q1002" s="3">
        <v>60090</v>
      </c>
      <c r="R1002" t="s">
        <v>128</v>
      </c>
      <c r="T1002" s="4">
        <v>18474651160</v>
      </c>
      <c r="V1002" t="s">
        <v>18312</v>
      </c>
      <c r="W1002" t="s">
        <v>18313</v>
      </c>
      <c r="Y1002" t="s">
        <v>18310</v>
      </c>
      <c r="AA1002" t="s">
        <v>18311</v>
      </c>
      <c r="AB1002" t="s">
        <v>263</v>
      </c>
      <c r="AC1002" s="3" t="str">
        <f>"60090"</f>
        <v>60090</v>
      </c>
      <c r="AD1002" t="s">
        <v>128</v>
      </c>
      <c r="AF1002" s="4">
        <v>18474651160</v>
      </c>
      <c r="AH1002" t="str">
        <f>"56173"</f>
        <v>56173</v>
      </c>
      <c r="AI1002" t="s">
        <v>287</v>
      </c>
      <c r="AJ1002" t="s">
        <v>776</v>
      </c>
      <c r="AK1002" t="s">
        <v>2901</v>
      </c>
      <c r="AL1002" t="s">
        <v>645</v>
      </c>
      <c r="AM1002" t="s">
        <v>7932</v>
      </c>
      <c r="AN1002" t="s">
        <v>2377</v>
      </c>
      <c r="AO1002" t="s">
        <v>4815</v>
      </c>
      <c r="AP1002" t="s">
        <v>1243</v>
      </c>
      <c r="AQ1002" s="5">
        <v>83814</v>
      </c>
      <c r="AR1002" t="s">
        <v>128</v>
      </c>
      <c r="AT1002" s="4">
        <v>12087772654</v>
      </c>
      <c r="AV1002" t="s">
        <v>8906</v>
      </c>
      <c r="AW1002" t="s">
        <v>4715</v>
      </c>
      <c r="AX1002" t="s">
        <v>131</v>
      </c>
      <c r="AY1002" t="s">
        <v>131</v>
      </c>
      <c r="AZ1002" t="s">
        <v>131</v>
      </c>
      <c r="BA1002" t="s">
        <v>131</v>
      </c>
      <c r="BB1002" t="s">
        <v>131</v>
      </c>
      <c r="BC1002" t="s">
        <v>131</v>
      </c>
      <c r="BD1002" t="s">
        <v>131</v>
      </c>
      <c r="BE1002" t="s">
        <v>132</v>
      </c>
      <c r="BH1002" t="s">
        <v>2215</v>
      </c>
      <c r="BI1002" t="s">
        <v>131</v>
      </c>
      <c r="BL1002" t="s">
        <v>167</v>
      </c>
      <c r="BO1002" t="s">
        <v>131</v>
      </c>
      <c r="BP1002" t="s">
        <v>134</v>
      </c>
      <c r="BQ1002" t="s">
        <v>131</v>
      </c>
      <c r="BS1002" t="str">
        <f t="shared" si="72"/>
        <v>N/A</v>
      </c>
      <c r="BT1002" t="s">
        <v>131</v>
      </c>
      <c r="BV1002" t="str">
        <f>""</f>
        <v/>
      </c>
      <c r="BW1002" t="s">
        <v>135</v>
      </c>
      <c r="BX1002" t="str">
        <f>""</f>
        <v/>
      </c>
      <c r="BY1002" t="str">
        <f>""</f>
        <v/>
      </c>
      <c r="BZ1002" t="str">
        <f>""</f>
        <v/>
      </c>
      <c r="CA1002" t="s">
        <v>10909</v>
      </c>
      <c r="CB1002" t="s">
        <v>131</v>
      </c>
      <c r="CF1002" t="s">
        <v>131</v>
      </c>
      <c r="CH1002" t="str">
        <f>""</f>
        <v/>
      </c>
      <c r="CI1002" t="s">
        <v>131</v>
      </c>
      <c r="CK1002" t="s">
        <v>131</v>
      </c>
      <c r="CL1002" t="str">
        <f>""</f>
        <v/>
      </c>
      <c r="CM1002" t="str">
        <f>""</f>
        <v/>
      </c>
      <c r="CN1002" t="str">
        <f>""</f>
        <v/>
      </c>
      <c r="CO1002" t="str">
        <f>""</f>
        <v/>
      </c>
      <c r="CP1002" t="str">
        <f>"37-3011.00"</f>
        <v>37-3011.00</v>
      </c>
      <c r="CQ1002" t="s">
        <v>920</v>
      </c>
      <c r="CR1002" t="s">
        <v>2215</v>
      </c>
      <c r="CS1002" t="s">
        <v>135</v>
      </c>
      <c r="CT1002" t="s">
        <v>18314</v>
      </c>
      <c r="CU1002" t="s">
        <v>18315</v>
      </c>
      <c r="CW1002" t="s">
        <v>18311</v>
      </c>
      <c r="CX1002" t="s">
        <v>263</v>
      </c>
      <c r="CZ1002" s="3" t="str">
        <f>"60090"</f>
        <v>60090</v>
      </c>
      <c r="DA1002" t="s">
        <v>135</v>
      </c>
      <c r="DB1002" t="str">
        <f>"37-3011"</f>
        <v>37-3011</v>
      </c>
      <c r="DC1002" t="s">
        <v>920</v>
      </c>
      <c r="DD1002" t="s">
        <v>134</v>
      </c>
      <c r="DE1002" t="s">
        <v>134</v>
      </c>
      <c r="DF1002" t="str">
        <f>""</f>
        <v/>
      </c>
      <c r="DH1002" s="6">
        <v>16.34</v>
      </c>
      <c r="DI1002" t="s">
        <v>344</v>
      </c>
      <c r="DK1002" t="s">
        <v>345</v>
      </c>
      <c r="DR1002" t="s">
        <v>8471</v>
      </c>
      <c r="DS1002" s="6">
        <v>16.34</v>
      </c>
      <c r="DT1002" s="2" t="s">
        <v>2219</v>
      </c>
      <c r="DU1002" s="1">
        <v>44375</v>
      </c>
      <c r="DV1002" s="1">
        <v>44464</v>
      </c>
    </row>
    <row r="1003" spans="1:126" ht="15" customHeight="1" x14ac:dyDescent="0.35">
      <c r="A1003" t="s">
        <v>18909</v>
      </c>
      <c r="B1003" t="s">
        <v>318</v>
      </c>
      <c r="C1003" s="1">
        <v>44348</v>
      </c>
      <c r="D1003" s="1">
        <v>44375</v>
      </c>
      <c r="H1003" t="s">
        <v>319</v>
      </c>
      <c r="I1003" t="s">
        <v>4952</v>
      </c>
      <c r="J1003" t="s">
        <v>4340</v>
      </c>
      <c r="L1003" t="s">
        <v>8519</v>
      </c>
      <c r="M1003" t="s">
        <v>8520</v>
      </c>
      <c r="O1003" t="s">
        <v>8521</v>
      </c>
      <c r="P1003" t="s">
        <v>412</v>
      </c>
      <c r="Q1003" s="3">
        <v>77539</v>
      </c>
      <c r="R1003" t="s">
        <v>128</v>
      </c>
      <c r="T1003" s="4">
        <v>12813391435</v>
      </c>
      <c r="V1003" t="s">
        <v>134</v>
      </c>
      <c r="W1003" t="s">
        <v>8522</v>
      </c>
      <c r="X1003" t="s">
        <v>134</v>
      </c>
      <c r="Y1003" t="s">
        <v>8520</v>
      </c>
      <c r="Z1003" t="s">
        <v>134</v>
      </c>
      <c r="AA1003" t="s">
        <v>8521</v>
      </c>
      <c r="AB1003" t="s">
        <v>400</v>
      </c>
      <c r="AC1003" s="3" t="str">
        <f>"77539"</f>
        <v>77539</v>
      </c>
      <c r="AD1003" t="s">
        <v>128</v>
      </c>
      <c r="AE1003" t="s">
        <v>134</v>
      </c>
      <c r="AF1003" s="4">
        <v>18325124351</v>
      </c>
      <c r="AH1003" t="str">
        <f>"4244"</f>
        <v>4244</v>
      </c>
      <c r="AI1003" t="s">
        <v>287</v>
      </c>
      <c r="AJ1003" t="s">
        <v>2588</v>
      </c>
      <c r="AK1003" t="s">
        <v>2086</v>
      </c>
      <c r="AM1003" t="s">
        <v>2589</v>
      </c>
      <c r="AO1003" t="s">
        <v>2590</v>
      </c>
      <c r="AP1003" t="s">
        <v>643</v>
      </c>
      <c r="AQ1003" s="5">
        <v>31606</v>
      </c>
      <c r="AR1003" t="s">
        <v>128</v>
      </c>
      <c r="AT1003" s="4">
        <v>12295590241</v>
      </c>
      <c r="AV1003" t="s">
        <v>2591</v>
      </c>
      <c r="AW1003" t="s">
        <v>2592</v>
      </c>
      <c r="AX1003" t="s">
        <v>131</v>
      </c>
      <c r="AY1003" t="s">
        <v>131</v>
      </c>
      <c r="AZ1003" t="s">
        <v>131</v>
      </c>
      <c r="BA1003" t="s">
        <v>131</v>
      </c>
      <c r="BB1003" t="s">
        <v>131</v>
      </c>
      <c r="BC1003" t="s">
        <v>131</v>
      </c>
      <c r="BD1003" t="s">
        <v>131</v>
      </c>
      <c r="BE1003" t="s">
        <v>132</v>
      </c>
      <c r="BH1003" t="s">
        <v>8523</v>
      </c>
      <c r="BI1003" t="s">
        <v>131</v>
      </c>
      <c r="BL1003" t="s">
        <v>167</v>
      </c>
      <c r="BO1003" t="s">
        <v>131</v>
      </c>
      <c r="BP1003" t="s">
        <v>134</v>
      </c>
      <c r="BQ1003" t="s">
        <v>131</v>
      </c>
      <c r="BS1003" t="str">
        <f t="shared" si="72"/>
        <v>N/A</v>
      </c>
      <c r="BT1003" t="s">
        <v>131</v>
      </c>
      <c r="BV1003" t="str">
        <f>""</f>
        <v/>
      </c>
      <c r="BW1003" t="s">
        <v>135</v>
      </c>
      <c r="BX1003" t="str">
        <f>""</f>
        <v/>
      </c>
      <c r="BY1003" t="str">
        <f>""</f>
        <v/>
      </c>
      <c r="BZ1003" t="str">
        <f>""</f>
        <v/>
      </c>
      <c r="CA1003" t="str">
        <f>"No overtime promised. Hours may vary due to weather and other Acts of God"</f>
        <v>No overtime promised. Hours may vary due to weather and other Acts of God</v>
      </c>
      <c r="CB1003" t="s">
        <v>131</v>
      </c>
      <c r="CF1003" t="s">
        <v>131</v>
      </c>
      <c r="CH1003" t="str">
        <f>""</f>
        <v/>
      </c>
      <c r="CI1003" t="s">
        <v>131</v>
      </c>
      <c r="CK1003" t="s">
        <v>131</v>
      </c>
      <c r="CL1003" t="str">
        <f>""</f>
        <v/>
      </c>
      <c r="CM1003" t="str">
        <f>""</f>
        <v/>
      </c>
      <c r="CN1003" t="str">
        <f>""</f>
        <v/>
      </c>
      <c r="CO1003" t="str">
        <f>""</f>
        <v/>
      </c>
      <c r="CP1003" t="str">
        <f>"45-3011.00"</f>
        <v>45-3011.00</v>
      </c>
      <c r="CQ1003" t="s">
        <v>1770</v>
      </c>
      <c r="CR1003" t="s">
        <v>1770</v>
      </c>
      <c r="CS1003" t="s">
        <v>131</v>
      </c>
      <c r="CU1003" t="s">
        <v>8520</v>
      </c>
      <c r="CW1003" t="s">
        <v>8521</v>
      </c>
      <c r="CX1003" t="s">
        <v>400</v>
      </c>
      <c r="CZ1003" s="3" t="str">
        <f>"77539"</f>
        <v>77539</v>
      </c>
      <c r="DA1003" t="s">
        <v>135</v>
      </c>
      <c r="DB1003" t="str">
        <f>"45-3011"</f>
        <v>45-3011</v>
      </c>
      <c r="DC1003" t="s">
        <v>1770</v>
      </c>
      <c r="DD1003" t="s">
        <v>134</v>
      </c>
      <c r="DE1003" t="s">
        <v>134</v>
      </c>
      <c r="DF1003" t="str">
        <f>""</f>
        <v/>
      </c>
      <c r="DH1003" s="6">
        <v>16.649999999999999</v>
      </c>
      <c r="DI1003" t="s">
        <v>344</v>
      </c>
      <c r="DK1003" t="s">
        <v>345</v>
      </c>
      <c r="DR1003" t="s">
        <v>8525</v>
      </c>
      <c r="DS1003" s="6">
        <v>16.649999999999999</v>
      </c>
      <c r="DT1003" t="s">
        <v>424</v>
      </c>
      <c r="DU1003" s="1">
        <v>44375</v>
      </c>
      <c r="DV1003" s="1">
        <v>44464</v>
      </c>
    </row>
    <row r="1004" spans="1:126" ht="15" customHeight="1" x14ac:dyDescent="0.35">
      <c r="A1004" t="s">
        <v>9163</v>
      </c>
      <c r="B1004" t="s">
        <v>318</v>
      </c>
      <c r="C1004" s="1">
        <v>44348</v>
      </c>
      <c r="D1004" s="1">
        <v>44375</v>
      </c>
      <c r="H1004" t="s">
        <v>319</v>
      </c>
      <c r="I1004" t="s">
        <v>4952</v>
      </c>
      <c r="J1004" t="s">
        <v>4340</v>
      </c>
      <c r="L1004" t="s">
        <v>8519</v>
      </c>
      <c r="M1004" t="s">
        <v>8520</v>
      </c>
      <c r="O1004" t="s">
        <v>8521</v>
      </c>
      <c r="P1004" t="s">
        <v>412</v>
      </c>
      <c r="Q1004" s="3">
        <v>77539</v>
      </c>
      <c r="R1004" t="s">
        <v>128</v>
      </c>
      <c r="T1004" s="4">
        <v>12813391435</v>
      </c>
      <c r="V1004" t="s">
        <v>134</v>
      </c>
      <c r="W1004" t="s">
        <v>8522</v>
      </c>
      <c r="X1004" t="s">
        <v>134</v>
      </c>
      <c r="Y1004" t="s">
        <v>8520</v>
      </c>
      <c r="Z1004" t="s">
        <v>134</v>
      </c>
      <c r="AA1004" t="s">
        <v>8521</v>
      </c>
      <c r="AB1004" t="s">
        <v>400</v>
      </c>
      <c r="AC1004" s="3" t="str">
        <f>"77539"</f>
        <v>77539</v>
      </c>
      <c r="AD1004" t="s">
        <v>128</v>
      </c>
      <c r="AE1004" t="s">
        <v>134</v>
      </c>
      <c r="AF1004" s="4">
        <v>18325124351</v>
      </c>
      <c r="AH1004" t="str">
        <f>"4244"</f>
        <v>4244</v>
      </c>
      <c r="AI1004" t="s">
        <v>287</v>
      </c>
      <c r="AJ1004" t="s">
        <v>2588</v>
      </c>
      <c r="AK1004" t="s">
        <v>2086</v>
      </c>
      <c r="AM1004" t="s">
        <v>2589</v>
      </c>
      <c r="AO1004" t="s">
        <v>2590</v>
      </c>
      <c r="AP1004" t="s">
        <v>643</v>
      </c>
      <c r="AQ1004" s="5">
        <v>31606</v>
      </c>
      <c r="AR1004" t="s">
        <v>128</v>
      </c>
      <c r="AT1004" s="4">
        <v>12295590241</v>
      </c>
      <c r="AV1004" t="s">
        <v>2591</v>
      </c>
      <c r="AW1004" t="s">
        <v>2592</v>
      </c>
      <c r="AX1004" t="s">
        <v>131</v>
      </c>
      <c r="AY1004" t="s">
        <v>131</v>
      </c>
      <c r="AZ1004" t="s">
        <v>131</v>
      </c>
      <c r="BA1004" t="s">
        <v>131</v>
      </c>
      <c r="BB1004" t="s">
        <v>131</v>
      </c>
      <c r="BC1004" t="s">
        <v>131</v>
      </c>
      <c r="BD1004" t="s">
        <v>131</v>
      </c>
      <c r="BE1004" t="s">
        <v>132</v>
      </c>
      <c r="BH1004" t="s">
        <v>8523</v>
      </c>
      <c r="BI1004" t="s">
        <v>131</v>
      </c>
      <c r="BL1004" t="s">
        <v>167</v>
      </c>
      <c r="BO1004" t="s">
        <v>131</v>
      </c>
      <c r="BP1004" t="s">
        <v>134</v>
      </c>
      <c r="BQ1004" t="s">
        <v>131</v>
      </c>
      <c r="BS1004" t="str">
        <f t="shared" si="72"/>
        <v>N/A</v>
      </c>
      <c r="BT1004" t="s">
        <v>131</v>
      </c>
      <c r="BV1004" t="str">
        <f>""</f>
        <v/>
      </c>
      <c r="BW1004" t="s">
        <v>135</v>
      </c>
      <c r="BX1004" t="str">
        <f>""</f>
        <v/>
      </c>
      <c r="BY1004" t="str">
        <f>""</f>
        <v/>
      </c>
      <c r="BZ1004" t="str">
        <f>""</f>
        <v/>
      </c>
      <c r="CA1004" t="str">
        <f>"No overtime promised. Hours may vary due to weather and other Acts of God"</f>
        <v>No overtime promised. Hours may vary due to weather and other Acts of God</v>
      </c>
      <c r="CB1004" t="s">
        <v>131</v>
      </c>
      <c r="CF1004" t="s">
        <v>131</v>
      </c>
      <c r="CH1004" t="str">
        <f>""</f>
        <v/>
      </c>
      <c r="CI1004" t="s">
        <v>131</v>
      </c>
      <c r="CK1004" t="s">
        <v>131</v>
      </c>
      <c r="CL1004" t="str">
        <f>""</f>
        <v/>
      </c>
      <c r="CM1004" t="str">
        <f>""</f>
        <v/>
      </c>
      <c r="CN1004" t="str">
        <f>""</f>
        <v/>
      </c>
      <c r="CO1004" t="str">
        <f>""</f>
        <v/>
      </c>
      <c r="CP1004" t="str">
        <f>"45-3011.00"</f>
        <v>45-3011.00</v>
      </c>
      <c r="CQ1004" t="s">
        <v>1770</v>
      </c>
      <c r="CR1004" t="s">
        <v>1770</v>
      </c>
      <c r="CS1004" t="s">
        <v>131</v>
      </c>
      <c r="CU1004" t="s">
        <v>8520</v>
      </c>
      <c r="CW1004" t="s">
        <v>8521</v>
      </c>
      <c r="CX1004" t="s">
        <v>400</v>
      </c>
      <c r="CZ1004" s="3" t="str">
        <f>"77239"</f>
        <v>77239</v>
      </c>
      <c r="DA1004" t="s">
        <v>135</v>
      </c>
      <c r="DB1004" t="str">
        <f>"45-3011"</f>
        <v>45-3011</v>
      </c>
      <c r="DC1004" t="s">
        <v>1770</v>
      </c>
      <c r="DD1004" t="s">
        <v>134</v>
      </c>
      <c r="DE1004" t="s">
        <v>134</v>
      </c>
      <c r="DF1004" t="str">
        <f>""</f>
        <v/>
      </c>
      <c r="DH1004" s="6">
        <v>16.649999999999999</v>
      </c>
      <c r="DI1004" t="s">
        <v>344</v>
      </c>
      <c r="DK1004" t="s">
        <v>345</v>
      </c>
      <c r="DS1004" s="6">
        <v>16.649999999999999</v>
      </c>
      <c r="DT1004" t="s">
        <v>424</v>
      </c>
      <c r="DU1004" s="1">
        <v>44375</v>
      </c>
      <c r="DV1004" s="1">
        <v>44464</v>
      </c>
    </row>
    <row r="1005" spans="1:126" ht="15" customHeight="1" x14ac:dyDescent="0.35">
      <c r="A1005" t="s">
        <v>19750</v>
      </c>
      <c r="B1005" t="s">
        <v>318</v>
      </c>
      <c r="C1005" s="1">
        <v>44348</v>
      </c>
      <c r="D1005" s="1">
        <v>44377</v>
      </c>
      <c r="H1005" t="s">
        <v>319</v>
      </c>
      <c r="I1005" t="s">
        <v>17211</v>
      </c>
      <c r="J1005" t="s">
        <v>1071</v>
      </c>
      <c r="L1005" t="s">
        <v>17212</v>
      </c>
      <c r="M1005" t="s">
        <v>19751</v>
      </c>
      <c r="O1005" t="s">
        <v>7997</v>
      </c>
      <c r="P1005" t="s">
        <v>629</v>
      </c>
      <c r="Q1005" s="3">
        <v>38655</v>
      </c>
      <c r="R1005" t="s">
        <v>128</v>
      </c>
      <c r="T1005" s="4">
        <v>16622344348</v>
      </c>
      <c r="V1005" t="s">
        <v>134</v>
      </c>
      <c r="W1005" t="s">
        <v>17214</v>
      </c>
      <c r="Y1005" t="s">
        <v>17215</v>
      </c>
      <c r="AA1005" t="s">
        <v>7997</v>
      </c>
      <c r="AB1005" t="s">
        <v>630</v>
      </c>
      <c r="AC1005" s="3" t="str">
        <f>"38655"</f>
        <v>38655</v>
      </c>
      <c r="AD1005" t="s">
        <v>128</v>
      </c>
      <c r="AF1005" s="4">
        <v>16622344348</v>
      </c>
      <c r="AH1005" t="str">
        <f>"11531"</f>
        <v>11531</v>
      </c>
      <c r="AI1005" t="s">
        <v>287</v>
      </c>
      <c r="AJ1005" t="s">
        <v>2588</v>
      </c>
      <c r="AK1005" t="s">
        <v>2086</v>
      </c>
      <c r="AM1005" t="s">
        <v>2589</v>
      </c>
      <c r="AO1005" t="s">
        <v>2590</v>
      </c>
      <c r="AP1005" t="s">
        <v>643</v>
      </c>
      <c r="AQ1005" s="5">
        <v>31606</v>
      </c>
      <c r="AR1005" t="s">
        <v>128</v>
      </c>
      <c r="AT1005" s="4">
        <v>12295590241</v>
      </c>
      <c r="AV1005" t="s">
        <v>2591</v>
      </c>
      <c r="AW1005" t="s">
        <v>2592</v>
      </c>
      <c r="AX1005" t="s">
        <v>131</v>
      </c>
      <c r="AY1005" t="s">
        <v>131</v>
      </c>
      <c r="AZ1005" t="s">
        <v>131</v>
      </c>
      <c r="BA1005" t="s">
        <v>131</v>
      </c>
      <c r="BB1005" t="s">
        <v>131</v>
      </c>
      <c r="BC1005" t="s">
        <v>131</v>
      </c>
      <c r="BD1005" t="s">
        <v>131</v>
      </c>
      <c r="BE1005" t="s">
        <v>132</v>
      </c>
      <c r="BH1005" t="s">
        <v>10165</v>
      </c>
      <c r="BI1005" t="s">
        <v>131</v>
      </c>
      <c r="BL1005" t="s">
        <v>167</v>
      </c>
      <c r="BO1005" t="s">
        <v>131</v>
      </c>
      <c r="BP1005" t="s">
        <v>134</v>
      </c>
      <c r="BQ1005" t="s">
        <v>131</v>
      </c>
      <c r="BS1005" t="str">
        <f t="shared" si="72"/>
        <v>N/A</v>
      </c>
      <c r="BT1005" t="s">
        <v>131</v>
      </c>
      <c r="BV1005" t="str">
        <f>""</f>
        <v/>
      </c>
      <c r="BW1005" t="s">
        <v>135</v>
      </c>
      <c r="BX1005" t="str">
        <f>""</f>
        <v/>
      </c>
      <c r="BY1005" t="str">
        <f>""</f>
        <v/>
      </c>
      <c r="BZ1005" t="str">
        <f>""</f>
        <v/>
      </c>
      <c r="CA1005" t="str">
        <f>"CONSTANT BENDING AND STOOPING. 1 HR LUNCH PAID. AFTER WEEK MUST BE ABLE TO PLANT 2000 SEEDLINGS PER 8 HRS. WILL FREQUENTLY LIFT AND CARRY 50 LBS. NO OVERTIME PROMISED."</f>
        <v>CONSTANT BENDING AND STOOPING. 1 HR LUNCH PAID. AFTER WEEK MUST BE ABLE TO PLANT 2000 SEEDLINGS PER 8 HRS. WILL FREQUENTLY LIFT AND CARRY 50 LBS. NO OVERTIME PROMISED.</v>
      </c>
      <c r="CB1005" t="s">
        <v>131</v>
      </c>
      <c r="CF1005" t="s">
        <v>131</v>
      </c>
      <c r="CH1005" t="str">
        <f>""</f>
        <v/>
      </c>
      <c r="CI1005" t="s">
        <v>131</v>
      </c>
      <c r="CK1005" t="s">
        <v>131</v>
      </c>
      <c r="CL1005" t="str">
        <f>""</f>
        <v/>
      </c>
      <c r="CM1005" t="str">
        <f>""</f>
        <v/>
      </c>
      <c r="CN1005" t="str">
        <f>""</f>
        <v/>
      </c>
      <c r="CO1005" t="str">
        <f>""</f>
        <v/>
      </c>
      <c r="CP1005" t="str">
        <f>"45-4011.00"</f>
        <v>45-4011.00</v>
      </c>
      <c r="CQ1005" t="s">
        <v>4310</v>
      </c>
      <c r="CR1005" t="s">
        <v>4310</v>
      </c>
      <c r="CS1005" t="s">
        <v>131</v>
      </c>
      <c r="CU1005" t="s">
        <v>17216</v>
      </c>
      <c r="CW1005" t="s">
        <v>7997</v>
      </c>
      <c r="CX1005" t="s">
        <v>630</v>
      </c>
      <c r="CZ1005" s="3" t="str">
        <f>"38655"</f>
        <v>38655</v>
      </c>
      <c r="DA1005" t="s">
        <v>135</v>
      </c>
      <c r="DB1005" t="str">
        <f>"45-4011"</f>
        <v>45-4011</v>
      </c>
      <c r="DC1005" t="s">
        <v>4310</v>
      </c>
      <c r="DD1005" t="s">
        <v>134</v>
      </c>
      <c r="DE1005" t="s">
        <v>134</v>
      </c>
      <c r="DF1005" t="str">
        <f>""</f>
        <v/>
      </c>
      <c r="DH1005" s="6">
        <v>15.76</v>
      </c>
      <c r="DI1005" t="s">
        <v>344</v>
      </c>
      <c r="DK1005" t="s">
        <v>345</v>
      </c>
      <c r="DR1005" t="s">
        <v>6091</v>
      </c>
      <c r="DS1005" s="6">
        <v>15.76</v>
      </c>
      <c r="DT1005" s="2" t="s">
        <v>2219</v>
      </c>
      <c r="DU1005" s="1">
        <v>44377</v>
      </c>
      <c r="DV1005" s="1">
        <v>44466</v>
      </c>
    </row>
    <row r="1006" spans="1:126" ht="15" customHeight="1" x14ac:dyDescent="0.35">
      <c r="A1006" t="s">
        <v>19852</v>
      </c>
      <c r="B1006" t="s">
        <v>318</v>
      </c>
      <c r="C1006" s="1">
        <v>44348</v>
      </c>
      <c r="D1006" s="1">
        <v>44375</v>
      </c>
      <c r="H1006" t="s">
        <v>319</v>
      </c>
      <c r="I1006" t="s">
        <v>2583</v>
      </c>
      <c r="J1006" t="s">
        <v>2410</v>
      </c>
      <c r="L1006" t="s">
        <v>460</v>
      </c>
      <c r="M1006" t="s">
        <v>2584</v>
      </c>
      <c r="O1006" t="s">
        <v>2585</v>
      </c>
      <c r="P1006" t="s">
        <v>412</v>
      </c>
      <c r="Q1006" s="3">
        <v>77979</v>
      </c>
      <c r="R1006" t="s">
        <v>128</v>
      </c>
      <c r="T1006" s="4">
        <v>13615526423</v>
      </c>
      <c r="V1006" t="s">
        <v>134</v>
      </c>
      <c r="W1006" t="s">
        <v>2586</v>
      </c>
      <c r="Y1006" t="s">
        <v>2587</v>
      </c>
      <c r="AA1006" t="s">
        <v>2585</v>
      </c>
      <c r="AB1006" t="s">
        <v>400</v>
      </c>
      <c r="AC1006" s="3" t="str">
        <f>"77979"</f>
        <v>77979</v>
      </c>
      <c r="AD1006" t="s">
        <v>128</v>
      </c>
      <c r="AF1006" s="4">
        <v>13615526423</v>
      </c>
      <c r="AH1006" t="str">
        <f>"4244"</f>
        <v>4244</v>
      </c>
      <c r="AI1006" t="s">
        <v>287</v>
      </c>
      <c r="AJ1006" t="s">
        <v>2588</v>
      </c>
      <c r="AK1006" t="s">
        <v>2086</v>
      </c>
      <c r="AM1006" t="s">
        <v>2589</v>
      </c>
      <c r="AO1006" t="s">
        <v>2590</v>
      </c>
      <c r="AP1006" t="s">
        <v>643</v>
      </c>
      <c r="AQ1006" s="5">
        <v>31606</v>
      </c>
      <c r="AR1006" t="s">
        <v>128</v>
      </c>
      <c r="AT1006" s="4">
        <v>12295590241</v>
      </c>
      <c r="AV1006" t="s">
        <v>2591</v>
      </c>
      <c r="AW1006" t="s">
        <v>2592</v>
      </c>
      <c r="AX1006" t="s">
        <v>131</v>
      </c>
      <c r="AY1006" t="s">
        <v>131</v>
      </c>
      <c r="AZ1006" t="s">
        <v>131</v>
      </c>
      <c r="BA1006" t="s">
        <v>131</v>
      </c>
      <c r="BB1006" t="s">
        <v>131</v>
      </c>
      <c r="BC1006" t="s">
        <v>131</v>
      </c>
      <c r="BD1006" t="s">
        <v>131</v>
      </c>
      <c r="BE1006" t="s">
        <v>132</v>
      </c>
      <c r="BH1006" t="s">
        <v>2593</v>
      </c>
      <c r="BI1006" t="s">
        <v>131</v>
      </c>
      <c r="BL1006" t="s">
        <v>167</v>
      </c>
      <c r="BO1006" t="s">
        <v>131</v>
      </c>
      <c r="BP1006" t="s">
        <v>134</v>
      </c>
      <c r="BQ1006" t="s">
        <v>131</v>
      </c>
      <c r="BS1006" t="str">
        <f t="shared" si="72"/>
        <v>N/A</v>
      </c>
      <c r="BT1006" t="s">
        <v>131</v>
      </c>
      <c r="BV1006" t="str">
        <f>""</f>
        <v/>
      </c>
      <c r="BW1006" t="s">
        <v>135</v>
      </c>
      <c r="BX1006" t="str">
        <f>""</f>
        <v/>
      </c>
      <c r="BY1006" t="str">
        <f>""</f>
        <v/>
      </c>
      <c r="BZ1006" t="str">
        <f>""</f>
        <v/>
      </c>
      <c r="CA1006" t="str">
        <f>"No ed, exp, or training required. Hours vary due to weather and other Acts of God. Performance bonus may be paid."</f>
        <v>No ed, exp, or training required. Hours vary due to weather and other Acts of God. Performance bonus may be paid.</v>
      </c>
      <c r="CB1006" t="s">
        <v>131</v>
      </c>
      <c r="CF1006" t="s">
        <v>131</v>
      </c>
      <c r="CH1006" t="str">
        <f>""</f>
        <v/>
      </c>
      <c r="CI1006" t="s">
        <v>131</v>
      </c>
      <c r="CK1006" t="s">
        <v>131</v>
      </c>
      <c r="CL1006" t="str">
        <f>""</f>
        <v/>
      </c>
      <c r="CM1006" t="str">
        <f>""</f>
        <v/>
      </c>
      <c r="CN1006" t="str">
        <f>""</f>
        <v/>
      </c>
      <c r="CO1006" t="str">
        <f>""</f>
        <v/>
      </c>
      <c r="CP1006" t="str">
        <f>"45-3011.00"</f>
        <v>45-3011.00</v>
      </c>
      <c r="CQ1006" t="s">
        <v>1770</v>
      </c>
      <c r="CR1006" t="s">
        <v>1770</v>
      </c>
      <c r="CS1006" t="s">
        <v>131</v>
      </c>
      <c r="CU1006" t="s">
        <v>2587</v>
      </c>
      <c r="CW1006" t="s">
        <v>2594</v>
      </c>
      <c r="CX1006" t="s">
        <v>400</v>
      </c>
      <c r="CZ1006" s="3" t="str">
        <f>"77979"</f>
        <v>77979</v>
      </c>
      <c r="DA1006" t="s">
        <v>135</v>
      </c>
      <c r="DB1006" t="str">
        <f>"45-3011"</f>
        <v>45-3011</v>
      </c>
      <c r="DC1006" t="s">
        <v>1770</v>
      </c>
      <c r="DD1006" t="s">
        <v>134</v>
      </c>
      <c r="DE1006" t="s">
        <v>134</v>
      </c>
      <c r="DF1006" t="str">
        <f>""</f>
        <v/>
      </c>
      <c r="DH1006" s="6">
        <v>14.29</v>
      </c>
      <c r="DI1006" t="s">
        <v>344</v>
      </c>
      <c r="DK1006" t="s">
        <v>345</v>
      </c>
      <c r="DR1006" t="s">
        <v>15675</v>
      </c>
      <c r="DS1006" s="6">
        <v>14.29</v>
      </c>
      <c r="DT1006" t="s">
        <v>424</v>
      </c>
      <c r="DU1006" s="1">
        <v>44375</v>
      </c>
      <c r="DV1006" s="1">
        <v>44464</v>
      </c>
    </row>
    <row r="1007" spans="1:126" ht="15" customHeight="1" x14ac:dyDescent="0.35">
      <c r="A1007" t="s">
        <v>5372</v>
      </c>
      <c r="B1007" t="s">
        <v>318</v>
      </c>
      <c r="C1007" s="1">
        <v>44348</v>
      </c>
      <c r="D1007" s="1">
        <v>44375</v>
      </c>
      <c r="H1007" t="s">
        <v>319</v>
      </c>
      <c r="I1007" t="s">
        <v>5373</v>
      </c>
      <c r="J1007" t="s">
        <v>5364</v>
      </c>
      <c r="K1007" t="s">
        <v>2122</v>
      </c>
      <c r="L1007" t="s">
        <v>303</v>
      </c>
      <c r="M1007" t="s">
        <v>5374</v>
      </c>
      <c r="O1007" t="s">
        <v>5375</v>
      </c>
      <c r="P1007" t="s">
        <v>1804</v>
      </c>
      <c r="Q1007" s="3">
        <v>25560</v>
      </c>
      <c r="R1007" t="s">
        <v>128</v>
      </c>
      <c r="T1007" s="4">
        <v>13047572567</v>
      </c>
      <c r="V1007" t="s">
        <v>134</v>
      </c>
      <c r="W1007" t="s">
        <v>5376</v>
      </c>
      <c r="Y1007" t="s">
        <v>5374</v>
      </c>
      <c r="AA1007" t="s">
        <v>5375</v>
      </c>
      <c r="AB1007" t="s">
        <v>1808</v>
      </c>
      <c r="AC1007" s="3" t="str">
        <f>"25560"</f>
        <v>25560</v>
      </c>
      <c r="AD1007" t="s">
        <v>128</v>
      </c>
      <c r="AF1007" s="4">
        <v>13047572567</v>
      </c>
      <c r="AH1007" t="str">
        <f>"56173"</f>
        <v>56173</v>
      </c>
      <c r="AI1007" t="s">
        <v>287</v>
      </c>
      <c r="AJ1007" t="s">
        <v>2917</v>
      </c>
      <c r="AK1007" t="s">
        <v>2918</v>
      </c>
      <c r="AL1007" t="s">
        <v>387</v>
      </c>
      <c r="AM1007" t="s">
        <v>2919</v>
      </c>
      <c r="AN1007" t="s">
        <v>2920</v>
      </c>
      <c r="AO1007" t="s">
        <v>2921</v>
      </c>
      <c r="AP1007" t="s">
        <v>306</v>
      </c>
      <c r="AQ1007" s="5">
        <v>22949</v>
      </c>
      <c r="AR1007" t="s">
        <v>128</v>
      </c>
      <c r="AT1007" s="4">
        <v>14342634300</v>
      </c>
      <c r="AV1007" t="s">
        <v>5233</v>
      </c>
      <c r="AW1007" t="s">
        <v>2923</v>
      </c>
      <c r="AX1007" t="s">
        <v>131</v>
      </c>
      <c r="AY1007" t="s">
        <v>131</v>
      </c>
      <c r="AZ1007" t="s">
        <v>131</v>
      </c>
      <c r="BA1007" t="s">
        <v>131</v>
      </c>
      <c r="BB1007" t="s">
        <v>131</v>
      </c>
      <c r="BC1007" t="s">
        <v>131</v>
      </c>
      <c r="BD1007" t="s">
        <v>131</v>
      </c>
      <c r="BE1007" t="s">
        <v>132</v>
      </c>
      <c r="BH1007" t="s">
        <v>5049</v>
      </c>
      <c r="BI1007" t="s">
        <v>131</v>
      </c>
      <c r="BL1007" t="s">
        <v>167</v>
      </c>
      <c r="BO1007" t="s">
        <v>131</v>
      </c>
      <c r="BP1007" t="s">
        <v>134</v>
      </c>
      <c r="BQ1007" t="s">
        <v>131</v>
      </c>
      <c r="BS1007" t="str">
        <f t="shared" si="72"/>
        <v>N/A</v>
      </c>
      <c r="BT1007" t="s">
        <v>135</v>
      </c>
      <c r="BU1007">
        <v>3</v>
      </c>
      <c r="BV1007" t="str">
        <f>"Requires three months of previous exterior holiday lighting experience. "</f>
        <v xml:space="preserve">Requires three months of previous exterior holiday lighting experience. </v>
      </c>
      <c r="BW1007" t="s">
        <v>135</v>
      </c>
      <c r="BX1007" t="str">
        <f>""</f>
        <v/>
      </c>
      <c r="BY1007" t="str">
        <f>""</f>
        <v/>
      </c>
      <c r="BZ1007" t="str">
        <f>""</f>
        <v/>
      </c>
      <c r="CA1007" t="s">
        <v>5184</v>
      </c>
      <c r="CB1007" t="s">
        <v>131</v>
      </c>
      <c r="CF1007" t="s">
        <v>131</v>
      </c>
      <c r="CH1007" t="str">
        <f>""</f>
        <v/>
      </c>
      <c r="CI1007" t="s">
        <v>131</v>
      </c>
      <c r="CK1007" t="s">
        <v>131</v>
      </c>
      <c r="CL1007" t="str">
        <f>""</f>
        <v/>
      </c>
      <c r="CM1007" t="str">
        <f>""</f>
        <v/>
      </c>
      <c r="CN1007" t="str">
        <f>""</f>
        <v/>
      </c>
      <c r="CO1007" t="str">
        <f>""</f>
        <v/>
      </c>
      <c r="CP1007" t="str">
        <f>"37-3011.00"</f>
        <v>37-3011.00</v>
      </c>
      <c r="CQ1007" t="s">
        <v>920</v>
      </c>
      <c r="CR1007" t="s">
        <v>2924</v>
      </c>
      <c r="CS1007" t="s">
        <v>135</v>
      </c>
      <c r="CT1007" t="s">
        <v>2925</v>
      </c>
      <c r="CU1007" t="s">
        <v>5374</v>
      </c>
      <c r="CW1007" t="s">
        <v>5375</v>
      </c>
      <c r="CX1007" t="s">
        <v>1808</v>
      </c>
      <c r="CZ1007" s="3" t="str">
        <f>"25560"</f>
        <v>25560</v>
      </c>
      <c r="DA1007" t="s">
        <v>135</v>
      </c>
      <c r="DB1007" t="str">
        <f>"37-3011"</f>
        <v>37-3011</v>
      </c>
      <c r="DC1007" t="s">
        <v>920</v>
      </c>
      <c r="DD1007" t="s">
        <v>134</v>
      </c>
      <c r="DE1007" t="s">
        <v>134</v>
      </c>
      <c r="DF1007" t="str">
        <f>""</f>
        <v/>
      </c>
      <c r="DH1007" s="6">
        <v>12.66</v>
      </c>
      <c r="DI1007" t="s">
        <v>344</v>
      </c>
      <c r="DK1007" t="s">
        <v>345</v>
      </c>
      <c r="DS1007" s="6">
        <v>12.66</v>
      </c>
      <c r="DT1007" s="2" t="s">
        <v>2219</v>
      </c>
      <c r="DU1007" s="1">
        <v>44375</v>
      </c>
      <c r="DV1007" s="1">
        <v>44464</v>
      </c>
    </row>
    <row r="1008" spans="1:126" ht="15" customHeight="1" x14ac:dyDescent="0.35">
      <c r="A1008" t="s">
        <v>10993</v>
      </c>
      <c r="B1008" t="s">
        <v>318</v>
      </c>
      <c r="C1008" s="1">
        <v>44348</v>
      </c>
      <c r="D1008" s="1">
        <v>44375</v>
      </c>
      <c r="H1008" t="s">
        <v>319</v>
      </c>
      <c r="I1008" t="s">
        <v>3354</v>
      </c>
      <c r="J1008" t="s">
        <v>8925</v>
      </c>
      <c r="L1008" t="s">
        <v>8414</v>
      </c>
      <c r="M1008" t="s">
        <v>8926</v>
      </c>
      <c r="O1008" t="s">
        <v>1674</v>
      </c>
      <c r="P1008" t="s">
        <v>1675</v>
      </c>
      <c r="Q1008" s="3">
        <v>68512</v>
      </c>
      <c r="R1008" t="s">
        <v>128</v>
      </c>
      <c r="T1008" s="4">
        <v>14024236653</v>
      </c>
      <c r="V1008" t="s">
        <v>8927</v>
      </c>
      <c r="W1008" t="s">
        <v>8928</v>
      </c>
      <c r="Y1008" t="s">
        <v>8926</v>
      </c>
      <c r="AA1008" t="s">
        <v>1674</v>
      </c>
      <c r="AB1008" t="s">
        <v>1176</v>
      </c>
      <c r="AC1008" s="3" t="str">
        <f>"68512"</f>
        <v>68512</v>
      </c>
      <c r="AD1008" t="s">
        <v>128</v>
      </c>
      <c r="AF1008" s="4">
        <v>14024236653</v>
      </c>
      <c r="AH1008" t="str">
        <f>"237990"</f>
        <v>237990</v>
      </c>
      <c r="AI1008" t="s">
        <v>130</v>
      </c>
      <c r="AJ1008" t="s">
        <v>4566</v>
      </c>
      <c r="AK1008" t="s">
        <v>4567</v>
      </c>
      <c r="AL1008" t="s">
        <v>4568</v>
      </c>
      <c r="AM1008" t="s">
        <v>4569</v>
      </c>
      <c r="AN1008" t="s">
        <v>4570</v>
      </c>
      <c r="AO1008" t="s">
        <v>433</v>
      </c>
      <c r="AP1008" t="s">
        <v>400</v>
      </c>
      <c r="AQ1008" s="5">
        <v>75234</v>
      </c>
      <c r="AR1008" t="s">
        <v>128</v>
      </c>
      <c r="AT1008" s="4">
        <v>19722416445</v>
      </c>
      <c r="AV1008" t="s">
        <v>4571</v>
      </c>
      <c r="AW1008" t="s">
        <v>4572</v>
      </c>
      <c r="AX1008" t="s">
        <v>131</v>
      </c>
      <c r="AY1008" t="s">
        <v>131</v>
      </c>
      <c r="AZ1008" t="s">
        <v>131</v>
      </c>
      <c r="BA1008" t="s">
        <v>131</v>
      </c>
      <c r="BB1008" t="s">
        <v>131</v>
      </c>
      <c r="BC1008" t="s">
        <v>131</v>
      </c>
      <c r="BD1008" t="s">
        <v>131</v>
      </c>
      <c r="BE1008" t="s">
        <v>132</v>
      </c>
      <c r="BH1008" t="s">
        <v>8929</v>
      </c>
      <c r="BI1008" t="s">
        <v>131</v>
      </c>
      <c r="BL1008" t="s">
        <v>167</v>
      </c>
      <c r="BO1008" t="s">
        <v>131</v>
      </c>
      <c r="BP1008" t="s">
        <v>134</v>
      </c>
      <c r="BQ1008" t="s">
        <v>131</v>
      </c>
      <c r="BS1008" t="str">
        <f t="shared" si="72"/>
        <v>N/A</v>
      </c>
      <c r="BT1008" t="s">
        <v>135</v>
      </c>
      <c r="BU1008">
        <v>6</v>
      </c>
      <c r="BV1008" t="str">
        <f>"Landscape Laborer"</f>
        <v>Landscape Laborer</v>
      </c>
      <c r="BW1008" t="s">
        <v>135</v>
      </c>
      <c r="BX1008" t="str">
        <f>""</f>
        <v/>
      </c>
      <c r="BY1008" t="str">
        <f>""</f>
        <v/>
      </c>
      <c r="BZ1008" t="str">
        <f>""</f>
        <v/>
      </c>
      <c r="CA1008" t="s">
        <v>9095</v>
      </c>
      <c r="CB1008" t="s">
        <v>131</v>
      </c>
      <c r="CF1008" t="s">
        <v>131</v>
      </c>
      <c r="CH1008" t="str">
        <f>""</f>
        <v/>
      </c>
      <c r="CI1008" t="s">
        <v>131</v>
      </c>
      <c r="CK1008" t="s">
        <v>131</v>
      </c>
      <c r="CL1008" t="str">
        <f>""</f>
        <v/>
      </c>
      <c r="CM1008" t="str">
        <f>""</f>
        <v/>
      </c>
      <c r="CN1008" t="str">
        <f>""</f>
        <v/>
      </c>
      <c r="CO1008" t="str">
        <f>""</f>
        <v/>
      </c>
      <c r="CP1008" t="str">
        <f>"37-3011.00"</f>
        <v>37-3011.00</v>
      </c>
      <c r="CQ1008" t="s">
        <v>920</v>
      </c>
      <c r="CR1008" t="s">
        <v>8930</v>
      </c>
      <c r="CS1008" t="s">
        <v>131</v>
      </c>
      <c r="CU1008" t="s">
        <v>10994</v>
      </c>
      <c r="CV1008" t="s">
        <v>8932</v>
      </c>
      <c r="CW1008" t="s">
        <v>148</v>
      </c>
      <c r="CX1008" t="s">
        <v>1512</v>
      </c>
      <c r="CZ1008" s="3" t="str">
        <f>"97756"</f>
        <v>97756</v>
      </c>
      <c r="DA1008" t="s">
        <v>131</v>
      </c>
      <c r="DB1008" t="str">
        <f>"37-3011"</f>
        <v>37-3011</v>
      </c>
      <c r="DC1008" t="s">
        <v>920</v>
      </c>
      <c r="DD1008" t="s">
        <v>134</v>
      </c>
      <c r="DE1008" t="s">
        <v>134</v>
      </c>
      <c r="DF1008" t="str">
        <f>""</f>
        <v/>
      </c>
      <c r="DH1008" s="6">
        <v>17.27</v>
      </c>
      <c r="DI1008" t="s">
        <v>344</v>
      </c>
      <c r="DK1008" t="s">
        <v>345</v>
      </c>
      <c r="DS1008" s="6">
        <v>17.27</v>
      </c>
      <c r="DT1008" t="s">
        <v>424</v>
      </c>
      <c r="DU1008" s="1">
        <v>44375</v>
      </c>
      <c r="DV1008" s="1">
        <v>44464</v>
      </c>
    </row>
    <row r="1009" spans="1:126" ht="15" customHeight="1" x14ac:dyDescent="0.35">
      <c r="A1009" t="s">
        <v>19677</v>
      </c>
      <c r="B1009" t="s">
        <v>318</v>
      </c>
      <c r="C1009" s="1">
        <v>44348</v>
      </c>
      <c r="D1009" s="1">
        <v>44375</v>
      </c>
      <c r="H1009" t="s">
        <v>319</v>
      </c>
      <c r="I1009" t="s">
        <v>3354</v>
      </c>
      <c r="J1009" t="s">
        <v>8925</v>
      </c>
      <c r="L1009" t="s">
        <v>8414</v>
      </c>
      <c r="M1009" t="s">
        <v>8926</v>
      </c>
      <c r="O1009" t="s">
        <v>1674</v>
      </c>
      <c r="P1009" t="s">
        <v>1675</v>
      </c>
      <c r="Q1009" s="3">
        <v>68512</v>
      </c>
      <c r="R1009" t="s">
        <v>128</v>
      </c>
      <c r="T1009" s="4">
        <v>14024236653</v>
      </c>
      <c r="V1009" t="s">
        <v>8927</v>
      </c>
      <c r="W1009" t="s">
        <v>8928</v>
      </c>
      <c r="Y1009" t="s">
        <v>8926</v>
      </c>
      <c r="AA1009" t="s">
        <v>1674</v>
      </c>
      <c r="AB1009" t="s">
        <v>1176</v>
      </c>
      <c r="AC1009" s="3" t="str">
        <f>"68512"</f>
        <v>68512</v>
      </c>
      <c r="AD1009" t="s">
        <v>128</v>
      </c>
      <c r="AF1009" s="4">
        <v>14024236653</v>
      </c>
      <c r="AH1009" t="str">
        <f>"237990"</f>
        <v>237990</v>
      </c>
      <c r="AI1009" t="s">
        <v>130</v>
      </c>
      <c r="AJ1009" t="s">
        <v>4566</v>
      </c>
      <c r="AK1009" t="s">
        <v>4567</v>
      </c>
      <c r="AL1009" t="s">
        <v>4568</v>
      </c>
      <c r="AM1009" t="s">
        <v>4569</v>
      </c>
      <c r="AN1009" t="s">
        <v>4570</v>
      </c>
      <c r="AO1009" t="s">
        <v>433</v>
      </c>
      <c r="AP1009" t="s">
        <v>400</v>
      </c>
      <c r="AQ1009" s="5">
        <v>75234</v>
      </c>
      <c r="AR1009" t="s">
        <v>128</v>
      </c>
      <c r="AT1009" s="4">
        <v>19722416445</v>
      </c>
      <c r="AV1009" t="s">
        <v>4571</v>
      </c>
      <c r="AW1009" t="s">
        <v>4572</v>
      </c>
      <c r="AX1009" t="s">
        <v>131</v>
      </c>
      <c r="AY1009" t="s">
        <v>131</v>
      </c>
      <c r="AZ1009" t="s">
        <v>131</v>
      </c>
      <c r="BA1009" t="s">
        <v>131</v>
      </c>
      <c r="BB1009" t="s">
        <v>131</v>
      </c>
      <c r="BC1009" t="s">
        <v>131</v>
      </c>
      <c r="BD1009" t="s">
        <v>131</v>
      </c>
      <c r="BE1009" t="s">
        <v>132</v>
      </c>
      <c r="BH1009" t="s">
        <v>8929</v>
      </c>
      <c r="BI1009" t="s">
        <v>131</v>
      </c>
      <c r="BL1009" t="s">
        <v>167</v>
      </c>
      <c r="BO1009" t="s">
        <v>131</v>
      </c>
      <c r="BP1009" t="s">
        <v>134</v>
      </c>
      <c r="BQ1009" t="s">
        <v>131</v>
      </c>
      <c r="BS1009" t="str">
        <f t="shared" si="72"/>
        <v>N/A</v>
      </c>
      <c r="BT1009" t="s">
        <v>135</v>
      </c>
      <c r="BU1009">
        <v>6</v>
      </c>
      <c r="BV1009" t="str">
        <f>"Landscape Laborer"</f>
        <v>Landscape Laborer</v>
      </c>
      <c r="BW1009" t="s">
        <v>135</v>
      </c>
      <c r="BX1009" t="str">
        <f>""</f>
        <v/>
      </c>
      <c r="BY1009" t="str">
        <f>""</f>
        <v/>
      </c>
      <c r="BZ1009" t="str">
        <f>""</f>
        <v/>
      </c>
      <c r="CA1009" t="s">
        <v>9095</v>
      </c>
      <c r="CB1009" t="s">
        <v>131</v>
      </c>
      <c r="CF1009" t="s">
        <v>131</v>
      </c>
      <c r="CH1009" t="str">
        <f>""</f>
        <v/>
      </c>
      <c r="CI1009" t="s">
        <v>131</v>
      </c>
      <c r="CK1009" t="s">
        <v>131</v>
      </c>
      <c r="CL1009" t="str">
        <f>""</f>
        <v/>
      </c>
      <c r="CM1009" t="str">
        <f>""</f>
        <v/>
      </c>
      <c r="CN1009" t="str">
        <f>""</f>
        <v/>
      </c>
      <c r="CO1009" t="str">
        <f>""</f>
        <v/>
      </c>
      <c r="CP1009" t="str">
        <f>"37-3011.00"</f>
        <v>37-3011.00</v>
      </c>
      <c r="CQ1009" t="s">
        <v>920</v>
      </c>
      <c r="CR1009" t="s">
        <v>8930</v>
      </c>
      <c r="CS1009" t="s">
        <v>131</v>
      </c>
      <c r="CU1009" t="s">
        <v>19678</v>
      </c>
      <c r="CV1009" t="s">
        <v>8932</v>
      </c>
      <c r="CW1009" t="s">
        <v>19679</v>
      </c>
      <c r="CX1009" t="s">
        <v>1008</v>
      </c>
      <c r="CZ1009" s="3" t="str">
        <f>"84401"</f>
        <v>84401</v>
      </c>
      <c r="DA1009" t="s">
        <v>131</v>
      </c>
      <c r="DB1009" t="str">
        <f>"37-3011"</f>
        <v>37-3011</v>
      </c>
      <c r="DC1009" t="s">
        <v>920</v>
      </c>
      <c r="DD1009" t="s">
        <v>134</v>
      </c>
      <c r="DE1009" t="s">
        <v>134</v>
      </c>
      <c r="DF1009" t="str">
        <f>""</f>
        <v/>
      </c>
      <c r="DH1009" s="6">
        <v>14.57</v>
      </c>
      <c r="DI1009" t="s">
        <v>344</v>
      </c>
      <c r="DK1009" t="s">
        <v>345</v>
      </c>
      <c r="DS1009" s="6">
        <v>14.57</v>
      </c>
      <c r="DT1009" t="s">
        <v>424</v>
      </c>
      <c r="DU1009" s="1">
        <v>44375</v>
      </c>
      <c r="DV1009" s="1">
        <v>44464</v>
      </c>
    </row>
    <row r="1010" spans="1:126" ht="15" customHeight="1" x14ac:dyDescent="0.35">
      <c r="A1010" t="s">
        <v>19573</v>
      </c>
      <c r="B1010" t="s">
        <v>318</v>
      </c>
      <c r="C1010" s="1">
        <v>44348</v>
      </c>
      <c r="D1010" s="1">
        <v>44375</v>
      </c>
      <c r="H1010" t="s">
        <v>319</v>
      </c>
      <c r="I1010" t="s">
        <v>3354</v>
      </c>
      <c r="J1010" t="s">
        <v>8925</v>
      </c>
      <c r="L1010" t="s">
        <v>8414</v>
      </c>
      <c r="M1010" t="s">
        <v>8926</v>
      </c>
      <c r="O1010" t="s">
        <v>1674</v>
      </c>
      <c r="P1010" t="s">
        <v>1675</v>
      </c>
      <c r="Q1010" s="3">
        <v>68512</v>
      </c>
      <c r="R1010" t="s">
        <v>128</v>
      </c>
      <c r="T1010" s="4">
        <v>14024236653</v>
      </c>
      <c r="V1010" t="s">
        <v>8927</v>
      </c>
      <c r="W1010" t="s">
        <v>8928</v>
      </c>
      <c r="Y1010" t="s">
        <v>8926</v>
      </c>
      <c r="AA1010" t="s">
        <v>1674</v>
      </c>
      <c r="AB1010" t="s">
        <v>1176</v>
      </c>
      <c r="AC1010" s="3" t="str">
        <f>"68512"</f>
        <v>68512</v>
      </c>
      <c r="AD1010" t="s">
        <v>128</v>
      </c>
      <c r="AF1010" s="4">
        <v>14024236653</v>
      </c>
      <c r="AH1010" t="str">
        <f>"237990"</f>
        <v>237990</v>
      </c>
      <c r="AI1010" t="s">
        <v>130</v>
      </c>
      <c r="AJ1010" t="s">
        <v>4566</v>
      </c>
      <c r="AK1010" t="s">
        <v>4567</v>
      </c>
      <c r="AL1010" t="s">
        <v>4568</v>
      </c>
      <c r="AM1010" t="s">
        <v>4569</v>
      </c>
      <c r="AN1010" t="s">
        <v>4570</v>
      </c>
      <c r="AO1010" t="s">
        <v>433</v>
      </c>
      <c r="AP1010" t="s">
        <v>400</v>
      </c>
      <c r="AQ1010" s="5">
        <v>75234</v>
      </c>
      <c r="AR1010" t="s">
        <v>128</v>
      </c>
      <c r="AT1010" s="4">
        <v>19722416445</v>
      </c>
      <c r="AV1010" t="s">
        <v>4571</v>
      </c>
      <c r="AW1010" t="s">
        <v>4572</v>
      </c>
      <c r="AX1010" t="s">
        <v>131</v>
      </c>
      <c r="AY1010" t="s">
        <v>131</v>
      </c>
      <c r="AZ1010" t="s">
        <v>131</v>
      </c>
      <c r="BA1010" t="s">
        <v>131</v>
      </c>
      <c r="BB1010" t="s">
        <v>131</v>
      </c>
      <c r="BC1010" t="s">
        <v>131</v>
      </c>
      <c r="BD1010" t="s">
        <v>131</v>
      </c>
      <c r="BE1010" t="s">
        <v>132</v>
      </c>
      <c r="BH1010" t="s">
        <v>3086</v>
      </c>
      <c r="BI1010" t="s">
        <v>135</v>
      </c>
      <c r="BJ1010" t="s">
        <v>919</v>
      </c>
      <c r="BK1010" t="s">
        <v>920</v>
      </c>
      <c r="BL1010" t="s">
        <v>167</v>
      </c>
      <c r="BO1010" t="s">
        <v>131</v>
      </c>
      <c r="BP1010" t="s">
        <v>134</v>
      </c>
      <c r="BQ1010" t="s">
        <v>131</v>
      </c>
      <c r="BS1010" t="str">
        <f t="shared" si="72"/>
        <v>N/A</v>
      </c>
      <c r="BT1010" t="s">
        <v>135</v>
      </c>
      <c r="BU1010">
        <v>12</v>
      </c>
      <c r="BV1010" t="str">
        <f>"Foreman or related"</f>
        <v>Foreman or related</v>
      </c>
      <c r="BW1010" t="s">
        <v>135</v>
      </c>
      <c r="BX1010" t="str">
        <f>"Requires certification as Certified Pipe Fuser by recognized vendor, i.e. ISCO, Ewing Irrigation, ADS Hancor. "</f>
        <v xml:space="preserve">Requires certification as Certified Pipe Fuser by recognized vendor, i.e. ISCO, Ewing Irrigation, ADS Hancor. </v>
      </c>
      <c r="BY1010" t="str">
        <f>""</f>
        <v/>
      </c>
      <c r="BZ1010" t="str">
        <f>""</f>
        <v/>
      </c>
      <c r="CA1010" t="str">
        <f>"12 months of experience in irrigation, green space construction, and renovation. OT as needed."</f>
        <v>12 months of experience in irrigation, green space construction, and renovation. OT as needed.</v>
      </c>
      <c r="CB1010" t="s">
        <v>131</v>
      </c>
      <c r="CF1010" t="s">
        <v>131</v>
      </c>
      <c r="CH1010" t="str">
        <f>""</f>
        <v/>
      </c>
      <c r="CI1010" t="s">
        <v>131</v>
      </c>
      <c r="CK1010" t="s">
        <v>131</v>
      </c>
      <c r="CL1010" t="str">
        <f>""</f>
        <v/>
      </c>
      <c r="CM1010" t="str">
        <f>""</f>
        <v/>
      </c>
      <c r="CN1010" t="str">
        <f>""</f>
        <v/>
      </c>
      <c r="CO1010" t="str">
        <f>""</f>
        <v/>
      </c>
      <c r="CP1010" t="str">
        <f>"37-1012.00"</f>
        <v>37-1012.00</v>
      </c>
      <c r="CQ1010" t="s">
        <v>921</v>
      </c>
      <c r="CR1010" t="s">
        <v>8930</v>
      </c>
      <c r="CS1010" t="s">
        <v>131</v>
      </c>
      <c r="CU1010" t="s">
        <v>8931</v>
      </c>
      <c r="CV1010" t="s">
        <v>8932</v>
      </c>
      <c r="CW1010" t="s">
        <v>8933</v>
      </c>
      <c r="CX1010" t="s">
        <v>471</v>
      </c>
      <c r="CZ1010" s="3" t="str">
        <f>"80033"</f>
        <v>80033</v>
      </c>
      <c r="DA1010" t="s">
        <v>131</v>
      </c>
      <c r="DB1010" t="str">
        <f>"37-1012"</f>
        <v>37-1012</v>
      </c>
      <c r="DC1010" t="s">
        <v>921</v>
      </c>
      <c r="DD1010" t="s">
        <v>134</v>
      </c>
      <c r="DE1010" t="s">
        <v>134</v>
      </c>
      <c r="DF1010" t="str">
        <f>""</f>
        <v/>
      </c>
      <c r="DH1010" s="6">
        <v>29.34</v>
      </c>
      <c r="DI1010" t="s">
        <v>344</v>
      </c>
      <c r="DK1010" t="s">
        <v>345</v>
      </c>
      <c r="DS1010" s="6">
        <v>29.34</v>
      </c>
      <c r="DT1010" t="s">
        <v>424</v>
      </c>
      <c r="DU1010" s="1">
        <v>44375</v>
      </c>
      <c r="DV1010" s="1">
        <v>44464</v>
      </c>
    </row>
    <row r="1011" spans="1:126" ht="15" customHeight="1" x14ac:dyDescent="0.35">
      <c r="A1011" t="s">
        <v>19311</v>
      </c>
      <c r="B1011" t="s">
        <v>318</v>
      </c>
      <c r="C1011" s="1">
        <v>44348</v>
      </c>
      <c r="D1011" s="1">
        <v>44375</v>
      </c>
      <c r="H1011" t="s">
        <v>319</v>
      </c>
      <c r="I1011" t="s">
        <v>4793</v>
      </c>
      <c r="J1011" t="s">
        <v>3519</v>
      </c>
      <c r="K1011" t="s">
        <v>301</v>
      </c>
      <c r="L1011" t="s">
        <v>668</v>
      </c>
      <c r="M1011" t="s">
        <v>4794</v>
      </c>
      <c r="N1011">
        <v>307</v>
      </c>
      <c r="O1011" t="s">
        <v>1040</v>
      </c>
      <c r="P1011" t="s">
        <v>412</v>
      </c>
      <c r="Q1011" s="3">
        <v>78746</v>
      </c>
      <c r="R1011" t="s">
        <v>128</v>
      </c>
      <c r="T1011" s="4">
        <v>15123470007</v>
      </c>
      <c r="V1011" t="s">
        <v>4857</v>
      </c>
      <c r="W1011" t="s">
        <v>19312</v>
      </c>
      <c r="Y1011" t="s">
        <v>19313</v>
      </c>
      <c r="AA1011" t="s">
        <v>19314</v>
      </c>
      <c r="AB1011" t="s">
        <v>229</v>
      </c>
      <c r="AC1011" s="3" t="str">
        <f>"46055"</f>
        <v>46055</v>
      </c>
      <c r="AD1011" t="s">
        <v>128</v>
      </c>
      <c r="AF1011" s="4">
        <v>13173352628</v>
      </c>
      <c r="AH1011" t="str">
        <f>"56173"</f>
        <v>56173</v>
      </c>
      <c r="AI1011" t="s">
        <v>130</v>
      </c>
      <c r="AJ1011" t="s">
        <v>4793</v>
      </c>
      <c r="AK1011" t="s">
        <v>3519</v>
      </c>
      <c r="AL1011" t="s">
        <v>301</v>
      </c>
      <c r="AM1011" t="s">
        <v>19315</v>
      </c>
      <c r="AN1011">
        <v>307</v>
      </c>
      <c r="AO1011" t="s">
        <v>1040</v>
      </c>
      <c r="AP1011" t="s">
        <v>400</v>
      </c>
      <c r="AQ1011" s="5">
        <v>78756</v>
      </c>
      <c r="AR1011" t="s">
        <v>128</v>
      </c>
      <c r="AT1011" s="4">
        <v>15123470007</v>
      </c>
      <c r="AV1011" t="s">
        <v>4857</v>
      </c>
      <c r="AW1011" t="s">
        <v>7501</v>
      </c>
      <c r="AX1011" t="s">
        <v>131</v>
      </c>
      <c r="AY1011" t="s">
        <v>131</v>
      </c>
      <c r="AZ1011" t="s">
        <v>131</v>
      </c>
      <c r="BA1011" t="s">
        <v>131</v>
      </c>
      <c r="BB1011" t="s">
        <v>131</v>
      </c>
      <c r="BC1011" t="s">
        <v>131</v>
      </c>
      <c r="BD1011" t="s">
        <v>131</v>
      </c>
      <c r="BE1011" t="s">
        <v>132</v>
      </c>
      <c r="BH1011" t="s">
        <v>3994</v>
      </c>
      <c r="BI1011" t="s">
        <v>131</v>
      </c>
      <c r="BL1011" t="s">
        <v>167</v>
      </c>
      <c r="BO1011" t="s">
        <v>131</v>
      </c>
      <c r="BP1011" t="s">
        <v>134</v>
      </c>
      <c r="BQ1011" t="s">
        <v>131</v>
      </c>
      <c r="BS1011" t="str">
        <f t="shared" si="72"/>
        <v>N/A</v>
      </c>
      <c r="BT1011" t="s">
        <v>131</v>
      </c>
      <c r="BV1011" t="str">
        <f>""</f>
        <v/>
      </c>
      <c r="BW1011" t="s">
        <v>131</v>
      </c>
      <c r="BX1011" t="str">
        <f>""</f>
        <v/>
      </c>
      <c r="BY1011" t="str">
        <f>""</f>
        <v/>
      </c>
      <c r="BZ1011" t="str">
        <f>""</f>
        <v/>
      </c>
      <c r="CA1011" t="str">
        <f>""</f>
        <v/>
      </c>
      <c r="CB1011" t="s">
        <v>131</v>
      </c>
      <c r="CF1011" t="s">
        <v>131</v>
      </c>
      <c r="CH1011" t="str">
        <f>""</f>
        <v/>
      </c>
      <c r="CI1011" t="s">
        <v>131</v>
      </c>
      <c r="CK1011" t="s">
        <v>131</v>
      </c>
      <c r="CL1011" t="str">
        <f>""</f>
        <v/>
      </c>
      <c r="CM1011" t="str">
        <f>""</f>
        <v/>
      </c>
      <c r="CN1011" t="str">
        <f>""</f>
        <v/>
      </c>
      <c r="CO1011" t="str">
        <f>""</f>
        <v/>
      </c>
      <c r="CP1011" t="str">
        <f>"37-3011.00"</f>
        <v>37-3011.00</v>
      </c>
      <c r="CQ1011" t="s">
        <v>920</v>
      </c>
      <c r="CR1011" t="s">
        <v>12233</v>
      </c>
      <c r="CS1011" t="s">
        <v>135</v>
      </c>
      <c r="CT1011" t="s">
        <v>19316</v>
      </c>
      <c r="CU1011" t="s">
        <v>19313</v>
      </c>
      <c r="CW1011" t="s">
        <v>19317</v>
      </c>
      <c r="CX1011" t="s">
        <v>229</v>
      </c>
      <c r="CZ1011" s="3" t="str">
        <f>"46055"</f>
        <v>46055</v>
      </c>
      <c r="DA1011" t="s">
        <v>135</v>
      </c>
      <c r="DB1011" t="str">
        <f>"37-3011"</f>
        <v>37-3011</v>
      </c>
      <c r="DC1011" t="s">
        <v>920</v>
      </c>
      <c r="DD1011" t="s">
        <v>134</v>
      </c>
      <c r="DE1011" t="s">
        <v>134</v>
      </c>
      <c r="DF1011" t="str">
        <f>""</f>
        <v/>
      </c>
      <c r="DH1011" s="6">
        <v>15.51</v>
      </c>
      <c r="DI1011" t="s">
        <v>344</v>
      </c>
      <c r="DK1011" t="s">
        <v>345</v>
      </c>
      <c r="DR1011" t="s">
        <v>2656</v>
      </c>
      <c r="DS1011" s="6">
        <v>15.51</v>
      </c>
      <c r="DT1011" s="2" t="s">
        <v>347</v>
      </c>
      <c r="DU1011" s="1">
        <v>44375</v>
      </c>
      <c r="DV1011" s="1">
        <v>44464</v>
      </c>
    </row>
    <row r="1012" spans="1:126" ht="15" customHeight="1" x14ac:dyDescent="0.35">
      <c r="A1012" t="s">
        <v>7038</v>
      </c>
      <c r="B1012" t="s">
        <v>318</v>
      </c>
      <c r="C1012" s="1">
        <v>44348</v>
      </c>
      <c r="D1012" s="1">
        <v>44375</v>
      </c>
      <c r="H1012" t="s">
        <v>319</v>
      </c>
      <c r="I1012" t="s">
        <v>7039</v>
      </c>
      <c r="J1012" t="s">
        <v>1908</v>
      </c>
      <c r="L1012" t="s">
        <v>1205</v>
      </c>
      <c r="M1012" t="s">
        <v>7040</v>
      </c>
      <c r="N1012" t="s">
        <v>134</v>
      </c>
      <c r="O1012" t="s">
        <v>4408</v>
      </c>
      <c r="P1012" t="s">
        <v>194</v>
      </c>
      <c r="Q1012" s="3">
        <v>34120</v>
      </c>
      <c r="R1012" t="s">
        <v>128</v>
      </c>
      <c r="S1012" t="s">
        <v>134</v>
      </c>
      <c r="T1012" s="4">
        <v>12393040172</v>
      </c>
      <c r="V1012" t="s">
        <v>7041</v>
      </c>
      <c r="W1012" t="s">
        <v>7042</v>
      </c>
      <c r="X1012" t="s">
        <v>7043</v>
      </c>
      <c r="Y1012" t="s">
        <v>7040</v>
      </c>
      <c r="Z1012" t="s">
        <v>134</v>
      </c>
      <c r="AA1012" t="s">
        <v>4408</v>
      </c>
      <c r="AB1012" t="s">
        <v>195</v>
      </c>
      <c r="AC1012" s="3" t="str">
        <f>"34120"</f>
        <v>34120</v>
      </c>
      <c r="AD1012" t="s">
        <v>128</v>
      </c>
      <c r="AE1012" t="s">
        <v>134</v>
      </c>
      <c r="AF1012" s="4">
        <v>12393040172</v>
      </c>
      <c r="AH1012" t="str">
        <f>"713910"</f>
        <v>713910</v>
      </c>
      <c r="AI1012" t="s">
        <v>130</v>
      </c>
      <c r="AJ1012" t="s">
        <v>1386</v>
      </c>
      <c r="AK1012" t="s">
        <v>1387</v>
      </c>
      <c r="AL1012" t="s">
        <v>1036</v>
      </c>
      <c r="AM1012" t="s">
        <v>1388</v>
      </c>
      <c r="AN1012" t="s">
        <v>997</v>
      </c>
      <c r="AO1012" t="s">
        <v>719</v>
      </c>
      <c r="AP1012" t="s">
        <v>377</v>
      </c>
      <c r="AQ1012" s="5">
        <v>1701</v>
      </c>
      <c r="AR1012" t="s">
        <v>128</v>
      </c>
      <c r="AS1012" t="s">
        <v>134</v>
      </c>
      <c r="AT1012" s="4">
        <v>16179399444</v>
      </c>
      <c r="AV1012" t="s">
        <v>1389</v>
      </c>
      <c r="AW1012" t="s">
        <v>1390</v>
      </c>
      <c r="AX1012" t="s">
        <v>131</v>
      </c>
      <c r="AY1012" t="s">
        <v>131</v>
      </c>
      <c r="AZ1012" t="s">
        <v>131</v>
      </c>
      <c r="BA1012" t="s">
        <v>131</v>
      </c>
      <c r="BB1012" t="s">
        <v>131</v>
      </c>
      <c r="BC1012" t="s">
        <v>131</v>
      </c>
      <c r="BD1012" t="s">
        <v>131</v>
      </c>
      <c r="BE1012" t="s">
        <v>132</v>
      </c>
      <c r="BH1012" t="s">
        <v>7044</v>
      </c>
      <c r="BI1012" t="s">
        <v>131</v>
      </c>
      <c r="BL1012" t="s">
        <v>167</v>
      </c>
      <c r="BO1012" t="s">
        <v>131</v>
      </c>
      <c r="BP1012" t="s">
        <v>134</v>
      </c>
      <c r="BQ1012" t="s">
        <v>131</v>
      </c>
      <c r="BS1012" t="str">
        <f t="shared" si="72"/>
        <v>N/A</v>
      </c>
      <c r="BT1012" t="s">
        <v>135</v>
      </c>
      <c r="BU1012">
        <v>3</v>
      </c>
      <c r="BV1012" t="str">
        <f>"Dishwasher/Steward"</f>
        <v>Dishwasher/Steward</v>
      </c>
      <c r="BW1012" t="s">
        <v>135</v>
      </c>
      <c r="BX1012" t="str">
        <f>""</f>
        <v/>
      </c>
      <c r="BY1012" t="str">
        <f>""</f>
        <v/>
      </c>
      <c r="BZ1012" t="str">
        <f>""</f>
        <v/>
      </c>
      <c r="CA1012" t="str">
        <f>"The Petitioner will consider for employment any person who possesses at least three (3) months of experience at a high-end restaurant, resort, or private club.  Applicant must complete pre-employment background check and drug screening.
"</f>
        <v xml:space="preserve">The Petitioner will consider for employment any person who possesses at least three (3) months of experience at a high-end restaurant, resort, or private club.  Applicant must complete pre-employment background check and drug screening.
</v>
      </c>
      <c r="CB1012" t="s">
        <v>131</v>
      </c>
      <c r="CF1012" t="s">
        <v>131</v>
      </c>
      <c r="CH1012" t="str">
        <f>""</f>
        <v/>
      </c>
      <c r="CI1012" t="s">
        <v>131</v>
      </c>
      <c r="CK1012" t="s">
        <v>131</v>
      </c>
      <c r="CL1012" t="str">
        <f>""</f>
        <v/>
      </c>
      <c r="CM1012" t="str">
        <f>""</f>
        <v/>
      </c>
      <c r="CN1012" t="str">
        <f>""</f>
        <v/>
      </c>
      <c r="CO1012" t="str">
        <f>""</f>
        <v/>
      </c>
      <c r="CP1012" t="str">
        <f>"35-9021.00"</f>
        <v>35-9021.00</v>
      </c>
      <c r="CQ1012" t="s">
        <v>2552</v>
      </c>
      <c r="CR1012" t="s">
        <v>7045</v>
      </c>
      <c r="CS1012" t="s">
        <v>131</v>
      </c>
      <c r="CU1012" t="s">
        <v>7040</v>
      </c>
      <c r="CV1012" t="s">
        <v>134</v>
      </c>
      <c r="CW1012" t="s">
        <v>4408</v>
      </c>
      <c r="CX1012" t="s">
        <v>195</v>
      </c>
      <c r="CZ1012" s="3" t="str">
        <f>"34120"</f>
        <v>34120</v>
      </c>
      <c r="DA1012" t="s">
        <v>131</v>
      </c>
      <c r="DB1012" t="str">
        <f>"35-9021"</f>
        <v>35-9021</v>
      </c>
      <c r="DC1012" t="s">
        <v>2552</v>
      </c>
      <c r="DD1012" t="s">
        <v>134</v>
      </c>
      <c r="DE1012" t="s">
        <v>134</v>
      </c>
      <c r="DF1012" t="str">
        <f>""</f>
        <v/>
      </c>
      <c r="DH1012" s="6">
        <v>11.77</v>
      </c>
      <c r="DI1012" t="s">
        <v>344</v>
      </c>
      <c r="DK1012" t="s">
        <v>345</v>
      </c>
      <c r="DS1012" s="6">
        <v>11.77</v>
      </c>
      <c r="DT1012" t="s">
        <v>424</v>
      </c>
      <c r="DU1012" s="1">
        <v>44375</v>
      </c>
      <c r="DV1012" s="1">
        <v>44464</v>
      </c>
    </row>
    <row r="1013" spans="1:126" ht="15" customHeight="1" x14ac:dyDescent="0.35">
      <c r="A1013" t="s">
        <v>19579</v>
      </c>
      <c r="B1013" t="s">
        <v>318</v>
      </c>
      <c r="C1013" s="1">
        <v>44348</v>
      </c>
      <c r="D1013" s="1">
        <v>44375</v>
      </c>
      <c r="H1013" t="s">
        <v>319</v>
      </c>
      <c r="I1013" t="s">
        <v>7039</v>
      </c>
      <c r="J1013" t="s">
        <v>1908</v>
      </c>
      <c r="L1013" t="s">
        <v>1205</v>
      </c>
      <c r="M1013" t="s">
        <v>7040</v>
      </c>
      <c r="N1013" t="s">
        <v>134</v>
      </c>
      <c r="O1013" t="s">
        <v>4408</v>
      </c>
      <c r="P1013" t="s">
        <v>194</v>
      </c>
      <c r="Q1013" s="3">
        <v>34120</v>
      </c>
      <c r="R1013" t="s">
        <v>128</v>
      </c>
      <c r="S1013" t="s">
        <v>134</v>
      </c>
      <c r="T1013" s="4">
        <v>12393040172</v>
      </c>
      <c r="V1013" t="s">
        <v>7041</v>
      </c>
      <c r="W1013" t="s">
        <v>7042</v>
      </c>
      <c r="X1013" t="s">
        <v>7043</v>
      </c>
      <c r="Y1013" t="s">
        <v>7040</v>
      </c>
      <c r="Z1013" t="s">
        <v>134</v>
      </c>
      <c r="AA1013" t="s">
        <v>4408</v>
      </c>
      <c r="AB1013" t="s">
        <v>195</v>
      </c>
      <c r="AC1013" s="3" t="str">
        <f>"34120"</f>
        <v>34120</v>
      </c>
      <c r="AD1013" t="s">
        <v>128</v>
      </c>
      <c r="AE1013" t="s">
        <v>134</v>
      </c>
      <c r="AF1013" s="4">
        <v>12393040172</v>
      </c>
      <c r="AH1013" t="str">
        <f>"713910"</f>
        <v>713910</v>
      </c>
      <c r="AI1013" t="s">
        <v>130</v>
      </c>
      <c r="AJ1013" t="s">
        <v>1386</v>
      </c>
      <c r="AK1013" t="s">
        <v>1387</v>
      </c>
      <c r="AL1013" t="s">
        <v>1036</v>
      </c>
      <c r="AM1013" t="s">
        <v>1388</v>
      </c>
      <c r="AN1013" t="s">
        <v>997</v>
      </c>
      <c r="AO1013" t="s">
        <v>719</v>
      </c>
      <c r="AP1013" t="s">
        <v>377</v>
      </c>
      <c r="AQ1013" s="5">
        <v>1701</v>
      </c>
      <c r="AR1013" t="s">
        <v>128</v>
      </c>
      <c r="AS1013" t="s">
        <v>134</v>
      </c>
      <c r="AT1013" s="4">
        <v>16179399444</v>
      </c>
      <c r="AV1013" t="s">
        <v>1389</v>
      </c>
      <c r="AW1013" t="s">
        <v>1390</v>
      </c>
      <c r="AX1013" t="s">
        <v>131</v>
      </c>
      <c r="AY1013" t="s">
        <v>131</v>
      </c>
      <c r="AZ1013" t="s">
        <v>131</v>
      </c>
      <c r="BA1013" t="s">
        <v>131</v>
      </c>
      <c r="BB1013" t="s">
        <v>131</v>
      </c>
      <c r="BC1013" t="s">
        <v>131</v>
      </c>
      <c r="BD1013" t="s">
        <v>131</v>
      </c>
      <c r="BE1013" t="s">
        <v>132</v>
      </c>
      <c r="BH1013" t="s">
        <v>1213</v>
      </c>
      <c r="BI1013" t="s">
        <v>131</v>
      </c>
      <c r="BL1013" t="s">
        <v>167</v>
      </c>
      <c r="BO1013" t="s">
        <v>131</v>
      </c>
      <c r="BP1013" t="s">
        <v>134</v>
      </c>
      <c r="BQ1013" t="s">
        <v>131</v>
      </c>
      <c r="BS1013" t="str">
        <f t="shared" si="72"/>
        <v>N/A</v>
      </c>
      <c r="BT1013" t="s">
        <v>135</v>
      </c>
      <c r="BU1013">
        <v>6</v>
      </c>
      <c r="BV1013" t="str">
        <f>"Server"</f>
        <v>Server</v>
      </c>
      <c r="BW1013" t="s">
        <v>135</v>
      </c>
      <c r="BX1013" t="str">
        <f>""</f>
        <v/>
      </c>
      <c r="BY1013" t="str">
        <f>""</f>
        <v/>
      </c>
      <c r="BZ1013" t="str">
        <f>""</f>
        <v/>
      </c>
      <c r="CA1013" t="s">
        <v>19580</v>
      </c>
      <c r="CB1013" t="s">
        <v>131</v>
      </c>
      <c r="CF1013" t="s">
        <v>131</v>
      </c>
      <c r="CH1013" t="str">
        <f>""</f>
        <v/>
      </c>
      <c r="CI1013" t="s">
        <v>131</v>
      </c>
      <c r="CK1013" t="s">
        <v>131</v>
      </c>
      <c r="CL1013" t="str">
        <f>""</f>
        <v/>
      </c>
      <c r="CM1013" t="str">
        <f>""</f>
        <v/>
      </c>
      <c r="CN1013" t="str">
        <f>""</f>
        <v/>
      </c>
      <c r="CO1013" t="str">
        <f>""</f>
        <v/>
      </c>
      <c r="CP1013" t="str">
        <f>"35-3031.00"</f>
        <v>35-3031.00</v>
      </c>
      <c r="CQ1013" t="s">
        <v>1214</v>
      </c>
      <c r="CR1013" t="s">
        <v>7045</v>
      </c>
      <c r="CS1013" t="s">
        <v>131</v>
      </c>
      <c r="CU1013" t="s">
        <v>7040</v>
      </c>
      <c r="CV1013" t="s">
        <v>134</v>
      </c>
      <c r="CW1013" t="s">
        <v>4408</v>
      </c>
      <c r="CX1013" t="s">
        <v>195</v>
      </c>
      <c r="CZ1013" s="3" t="str">
        <f>"34120"</f>
        <v>34120</v>
      </c>
      <c r="DA1013" t="s">
        <v>131</v>
      </c>
      <c r="DB1013" t="str">
        <f>"35-3031"</f>
        <v>35-3031</v>
      </c>
      <c r="DC1013" t="s">
        <v>1214</v>
      </c>
      <c r="DD1013" t="s">
        <v>134</v>
      </c>
      <c r="DE1013" t="s">
        <v>134</v>
      </c>
      <c r="DF1013" t="str">
        <f>""</f>
        <v/>
      </c>
      <c r="DH1013" s="6">
        <v>15.48</v>
      </c>
      <c r="DI1013" t="s">
        <v>344</v>
      </c>
      <c r="DK1013" t="s">
        <v>345</v>
      </c>
      <c r="DS1013" s="6">
        <v>15.48</v>
      </c>
      <c r="DT1013" t="s">
        <v>424</v>
      </c>
      <c r="DU1013" s="1">
        <v>44375</v>
      </c>
      <c r="DV1013" s="1">
        <v>44464</v>
      </c>
    </row>
    <row r="1014" spans="1:126" ht="15" customHeight="1" x14ac:dyDescent="0.35">
      <c r="A1014" t="s">
        <v>14565</v>
      </c>
      <c r="B1014" t="s">
        <v>318</v>
      </c>
      <c r="C1014" s="1">
        <v>44348</v>
      </c>
      <c r="D1014" s="1">
        <v>44375</v>
      </c>
      <c r="H1014" t="s">
        <v>319</v>
      </c>
      <c r="I1014" t="s">
        <v>7039</v>
      </c>
      <c r="J1014" t="s">
        <v>1908</v>
      </c>
      <c r="L1014" t="s">
        <v>1205</v>
      </c>
      <c r="M1014" t="s">
        <v>7040</v>
      </c>
      <c r="N1014" t="s">
        <v>134</v>
      </c>
      <c r="O1014" t="s">
        <v>4408</v>
      </c>
      <c r="P1014" t="s">
        <v>194</v>
      </c>
      <c r="Q1014" s="3">
        <v>34120</v>
      </c>
      <c r="R1014" t="s">
        <v>128</v>
      </c>
      <c r="S1014" t="s">
        <v>134</v>
      </c>
      <c r="T1014" s="4">
        <v>12393040172</v>
      </c>
      <c r="V1014" t="s">
        <v>7041</v>
      </c>
      <c r="W1014" t="s">
        <v>7042</v>
      </c>
      <c r="X1014" t="s">
        <v>7043</v>
      </c>
      <c r="Y1014" t="s">
        <v>7040</v>
      </c>
      <c r="Z1014" t="s">
        <v>134</v>
      </c>
      <c r="AA1014" t="s">
        <v>4408</v>
      </c>
      <c r="AB1014" t="s">
        <v>195</v>
      </c>
      <c r="AC1014" s="3" t="str">
        <f>"34120"</f>
        <v>34120</v>
      </c>
      <c r="AD1014" t="s">
        <v>128</v>
      </c>
      <c r="AE1014" t="s">
        <v>134</v>
      </c>
      <c r="AF1014" s="4">
        <v>12393040172</v>
      </c>
      <c r="AH1014" t="str">
        <f>"713910"</f>
        <v>713910</v>
      </c>
      <c r="AI1014" t="s">
        <v>130</v>
      </c>
      <c r="AJ1014" t="s">
        <v>1386</v>
      </c>
      <c r="AK1014" t="s">
        <v>1387</v>
      </c>
      <c r="AL1014" t="s">
        <v>1036</v>
      </c>
      <c r="AM1014" t="s">
        <v>1388</v>
      </c>
      <c r="AN1014" t="s">
        <v>997</v>
      </c>
      <c r="AO1014" t="s">
        <v>719</v>
      </c>
      <c r="AP1014" t="s">
        <v>377</v>
      </c>
      <c r="AQ1014" s="5">
        <v>1701</v>
      </c>
      <c r="AR1014" t="s">
        <v>128</v>
      </c>
      <c r="AS1014" t="s">
        <v>134</v>
      </c>
      <c r="AT1014" s="4">
        <v>16179399444</v>
      </c>
      <c r="AV1014" t="s">
        <v>1389</v>
      </c>
      <c r="AW1014" t="s">
        <v>1390</v>
      </c>
      <c r="AX1014" t="s">
        <v>131</v>
      </c>
      <c r="AY1014" t="s">
        <v>131</v>
      </c>
      <c r="AZ1014" t="s">
        <v>131</v>
      </c>
      <c r="BA1014" t="s">
        <v>131</v>
      </c>
      <c r="BB1014" t="s">
        <v>131</v>
      </c>
      <c r="BC1014" t="s">
        <v>131</v>
      </c>
      <c r="BD1014" t="s">
        <v>131</v>
      </c>
      <c r="BE1014" t="s">
        <v>132</v>
      </c>
      <c r="BH1014" t="s">
        <v>1080</v>
      </c>
      <c r="BI1014" t="s">
        <v>131</v>
      </c>
      <c r="BL1014" t="s">
        <v>167</v>
      </c>
      <c r="BO1014" t="s">
        <v>131</v>
      </c>
      <c r="BP1014" t="s">
        <v>134</v>
      </c>
      <c r="BQ1014" t="s">
        <v>131</v>
      </c>
      <c r="BS1014" t="str">
        <f t="shared" si="72"/>
        <v>N/A</v>
      </c>
      <c r="BT1014" t="s">
        <v>135</v>
      </c>
      <c r="BU1014">
        <v>6</v>
      </c>
      <c r="BV1014" t="str">
        <f>"Cook"</f>
        <v>Cook</v>
      </c>
      <c r="BW1014" t="s">
        <v>135</v>
      </c>
      <c r="BX1014" t="str">
        <f>""</f>
        <v/>
      </c>
      <c r="BY1014" t="str">
        <f>""</f>
        <v/>
      </c>
      <c r="BZ1014" t="str">
        <f>""</f>
        <v/>
      </c>
      <c r="CA1014" t="s">
        <v>7917</v>
      </c>
      <c r="CB1014" t="s">
        <v>131</v>
      </c>
      <c r="CF1014" t="s">
        <v>131</v>
      </c>
      <c r="CH1014" t="str">
        <f>""</f>
        <v/>
      </c>
      <c r="CI1014" t="s">
        <v>131</v>
      </c>
      <c r="CK1014" t="s">
        <v>131</v>
      </c>
      <c r="CL1014" t="str">
        <f>""</f>
        <v/>
      </c>
      <c r="CM1014" t="str">
        <f>""</f>
        <v/>
      </c>
      <c r="CN1014" t="str">
        <f>""</f>
        <v/>
      </c>
      <c r="CO1014" t="str">
        <f>""</f>
        <v/>
      </c>
      <c r="CP1014" t="str">
        <f>"35-2014.00"</f>
        <v>35-2014.00</v>
      </c>
      <c r="CQ1014" t="s">
        <v>581</v>
      </c>
      <c r="CR1014" t="s">
        <v>14566</v>
      </c>
      <c r="CS1014" t="s">
        <v>131</v>
      </c>
      <c r="CU1014" t="s">
        <v>7040</v>
      </c>
      <c r="CV1014" t="s">
        <v>134</v>
      </c>
      <c r="CW1014" t="s">
        <v>4408</v>
      </c>
      <c r="CX1014" t="s">
        <v>195</v>
      </c>
      <c r="CZ1014" s="3" t="str">
        <f>"34120"</f>
        <v>34120</v>
      </c>
      <c r="DA1014" t="s">
        <v>131</v>
      </c>
      <c r="DB1014" t="str">
        <f>"35-2014"</f>
        <v>35-2014</v>
      </c>
      <c r="DC1014" t="s">
        <v>581</v>
      </c>
      <c r="DD1014" t="s">
        <v>134</v>
      </c>
      <c r="DE1014" t="s">
        <v>134</v>
      </c>
      <c r="DF1014" t="str">
        <f>""</f>
        <v/>
      </c>
      <c r="DH1014" s="6">
        <v>15.46</v>
      </c>
      <c r="DI1014" t="s">
        <v>344</v>
      </c>
      <c r="DK1014" t="s">
        <v>345</v>
      </c>
      <c r="DS1014" s="6">
        <v>15.46</v>
      </c>
      <c r="DT1014" t="s">
        <v>424</v>
      </c>
      <c r="DU1014" s="1">
        <v>44375</v>
      </c>
      <c r="DV1014" s="1">
        <v>44464</v>
      </c>
    </row>
    <row r="1015" spans="1:126" ht="15" customHeight="1" x14ac:dyDescent="0.35">
      <c r="A1015" t="s">
        <v>11396</v>
      </c>
      <c r="B1015" t="s">
        <v>318</v>
      </c>
      <c r="C1015" s="1">
        <v>44348</v>
      </c>
      <c r="D1015" s="1">
        <v>44375</v>
      </c>
      <c r="H1015" t="s">
        <v>319</v>
      </c>
      <c r="I1015" t="s">
        <v>5373</v>
      </c>
      <c r="J1015" t="s">
        <v>5364</v>
      </c>
      <c r="K1015" t="s">
        <v>2122</v>
      </c>
      <c r="L1015" t="s">
        <v>303</v>
      </c>
      <c r="M1015" t="s">
        <v>5374</v>
      </c>
      <c r="O1015" t="s">
        <v>5375</v>
      </c>
      <c r="P1015" t="s">
        <v>1804</v>
      </c>
      <c r="Q1015" s="3">
        <v>25560</v>
      </c>
      <c r="R1015" t="s">
        <v>128</v>
      </c>
      <c r="T1015" s="4">
        <v>13047572567</v>
      </c>
      <c r="V1015" t="s">
        <v>134</v>
      </c>
      <c r="W1015" t="s">
        <v>5376</v>
      </c>
      <c r="Y1015" t="s">
        <v>5374</v>
      </c>
      <c r="AA1015" t="s">
        <v>5375</v>
      </c>
      <c r="AB1015" t="s">
        <v>1808</v>
      </c>
      <c r="AC1015" s="3" t="str">
        <f>"25560"</f>
        <v>25560</v>
      </c>
      <c r="AD1015" t="s">
        <v>128</v>
      </c>
      <c r="AF1015" s="4">
        <v>13047572567</v>
      </c>
      <c r="AH1015" t="str">
        <f>"56173"</f>
        <v>56173</v>
      </c>
      <c r="AI1015" t="s">
        <v>287</v>
      </c>
      <c r="AJ1015" t="s">
        <v>11397</v>
      </c>
      <c r="AK1015" t="s">
        <v>1010</v>
      </c>
      <c r="AM1015" t="s">
        <v>2919</v>
      </c>
      <c r="AN1015" t="s">
        <v>2920</v>
      </c>
      <c r="AO1015" t="s">
        <v>2921</v>
      </c>
      <c r="AP1015" t="s">
        <v>306</v>
      </c>
      <c r="AQ1015" s="5">
        <v>22949</v>
      </c>
      <c r="AR1015" t="s">
        <v>128</v>
      </c>
      <c r="AT1015" s="4">
        <v>14342634300</v>
      </c>
      <c r="AV1015" t="s">
        <v>5233</v>
      </c>
      <c r="AW1015" t="s">
        <v>2923</v>
      </c>
      <c r="AX1015" t="s">
        <v>131</v>
      </c>
      <c r="AY1015" t="s">
        <v>131</v>
      </c>
      <c r="AZ1015" t="s">
        <v>131</v>
      </c>
      <c r="BA1015" t="s">
        <v>131</v>
      </c>
      <c r="BB1015" t="s">
        <v>131</v>
      </c>
      <c r="BC1015" t="s">
        <v>131</v>
      </c>
      <c r="BD1015" t="s">
        <v>131</v>
      </c>
      <c r="BE1015" t="s">
        <v>132</v>
      </c>
      <c r="BH1015" t="s">
        <v>5049</v>
      </c>
      <c r="BI1015" t="s">
        <v>131</v>
      </c>
      <c r="BL1015" t="s">
        <v>167</v>
      </c>
      <c r="BO1015" t="s">
        <v>131</v>
      </c>
      <c r="BP1015" t="s">
        <v>134</v>
      </c>
      <c r="BQ1015" t="s">
        <v>131</v>
      </c>
      <c r="BS1015" t="str">
        <f t="shared" si="72"/>
        <v>N/A</v>
      </c>
      <c r="BT1015" t="s">
        <v>131</v>
      </c>
      <c r="BV1015" t="str">
        <f>""</f>
        <v/>
      </c>
      <c r="BW1015" t="s">
        <v>135</v>
      </c>
      <c r="BX1015" t="str">
        <f>""</f>
        <v/>
      </c>
      <c r="BY1015" t="str">
        <f>""</f>
        <v/>
      </c>
      <c r="BZ1015" t="str">
        <f>""</f>
        <v/>
      </c>
      <c r="CA1015" t="s">
        <v>5184</v>
      </c>
      <c r="CB1015" t="s">
        <v>131</v>
      </c>
      <c r="CF1015" t="s">
        <v>131</v>
      </c>
      <c r="CH1015" t="str">
        <f>""</f>
        <v/>
      </c>
      <c r="CI1015" t="s">
        <v>131</v>
      </c>
      <c r="CK1015" t="s">
        <v>131</v>
      </c>
      <c r="CL1015" t="str">
        <f>""</f>
        <v/>
      </c>
      <c r="CM1015" t="str">
        <f>""</f>
        <v/>
      </c>
      <c r="CN1015" t="str">
        <f>""</f>
        <v/>
      </c>
      <c r="CO1015" t="str">
        <f>""</f>
        <v/>
      </c>
      <c r="CP1015" t="str">
        <f>"37-3011.00"</f>
        <v>37-3011.00</v>
      </c>
      <c r="CQ1015" t="s">
        <v>920</v>
      </c>
      <c r="CR1015" t="s">
        <v>2924</v>
      </c>
      <c r="CS1015" t="s">
        <v>135</v>
      </c>
      <c r="CT1015" t="s">
        <v>2925</v>
      </c>
      <c r="CU1015" t="s">
        <v>5374</v>
      </c>
      <c r="CW1015" t="s">
        <v>5375</v>
      </c>
      <c r="CX1015" t="s">
        <v>1808</v>
      </c>
      <c r="CZ1015" s="3" t="str">
        <f>"25560"</f>
        <v>25560</v>
      </c>
      <c r="DA1015" t="s">
        <v>135</v>
      </c>
      <c r="DB1015" t="str">
        <f>"37-3011"</f>
        <v>37-3011</v>
      </c>
      <c r="DC1015" t="s">
        <v>920</v>
      </c>
      <c r="DD1015" t="s">
        <v>134</v>
      </c>
      <c r="DE1015" t="s">
        <v>134</v>
      </c>
      <c r="DF1015" t="str">
        <f>""</f>
        <v/>
      </c>
      <c r="DH1015" s="6">
        <v>12.66</v>
      </c>
      <c r="DI1015" t="s">
        <v>344</v>
      </c>
      <c r="DK1015" t="s">
        <v>345</v>
      </c>
      <c r="DR1015" t="s">
        <v>11398</v>
      </c>
      <c r="DS1015" s="6">
        <v>12.66</v>
      </c>
      <c r="DT1015" s="2" t="s">
        <v>347</v>
      </c>
      <c r="DU1015" s="1">
        <v>44375</v>
      </c>
      <c r="DV1015" s="1">
        <v>44464</v>
      </c>
    </row>
    <row r="1016" spans="1:126" ht="15" customHeight="1" x14ac:dyDescent="0.35">
      <c r="A1016" t="s">
        <v>19845</v>
      </c>
      <c r="B1016" t="s">
        <v>318</v>
      </c>
      <c r="C1016" s="1">
        <v>44348</v>
      </c>
      <c r="D1016" s="1">
        <v>44375</v>
      </c>
      <c r="H1016" t="s">
        <v>319</v>
      </c>
      <c r="I1016" t="s">
        <v>19846</v>
      </c>
      <c r="J1016" t="s">
        <v>1059</v>
      </c>
      <c r="K1016" t="s">
        <v>19847</v>
      </c>
      <c r="L1016" t="s">
        <v>395</v>
      </c>
      <c r="M1016" t="s">
        <v>19313</v>
      </c>
      <c r="O1016" t="s">
        <v>19317</v>
      </c>
      <c r="P1016" t="s">
        <v>226</v>
      </c>
      <c r="Q1016" s="3">
        <v>46055</v>
      </c>
      <c r="R1016" t="s">
        <v>128</v>
      </c>
      <c r="T1016" s="4">
        <v>13173352628</v>
      </c>
      <c r="V1016" t="s">
        <v>134</v>
      </c>
      <c r="W1016" t="s">
        <v>19312</v>
      </c>
      <c r="Y1016" t="s">
        <v>19848</v>
      </c>
      <c r="AA1016" t="s">
        <v>19317</v>
      </c>
      <c r="AB1016" t="s">
        <v>229</v>
      </c>
      <c r="AC1016" s="3" t="str">
        <f>"46055"</f>
        <v>46055</v>
      </c>
      <c r="AD1016" t="s">
        <v>128</v>
      </c>
      <c r="AF1016" s="4">
        <v>13173352628</v>
      </c>
      <c r="AH1016" t="str">
        <f>"56173"</f>
        <v>56173</v>
      </c>
      <c r="AI1016" t="s">
        <v>130</v>
      </c>
      <c r="AJ1016" t="s">
        <v>4793</v>
      </c>
      <c r="AK1016" t="s">
        <v>3519</v>
      </c>
      <c r="AL1016" t="s">
        <v>301</v>
      </c>
      <c r="AM1016" t="s">
        <v>4794</v>
      </c>
      <c r="AN1016">
        <v>307</v>
      </c>
      <c r="AO1016" t="s">
        <v>1040</v>
      </c>
      <c r="AP1016" t="s">
        <v>400</v>
      </c>
      <c r="AQ1016" s="5">
        <v>78746</v>
      </c>
      <c r="AR1016" t="s">
        <v>128</v>
      </c>
      <c r="AT1016" s="4">
        <v>15123470007</v>
      </c>
      <c r="AV1016" t="s">
        <v>4857</v>
      </c>
      <c r="AW1016" t="s">
        <v>7501</v>
      </c>
      <c r="AX1016" t="s">
        <v>131</v>
      </c>
      <c r="AY1016" t="s">
        <v>131</v>
      </c>
      <c r="AZ1016" t="s">
        <v>131</v>
      </c>
      <c r="BA1016" t="s">
        <v>131</v>
      </c>
      <c r="BB1016" t="s">
        <v>131</v>
      </c>
      <c r="BC1016" t="s">
        <v>131</v>
      </c>
      <c r="BD1016" t="s">
        <v>131</v>
      </c>
      <c r="BE1016" t="s">
        <v>132</v>
      </c>
      <c r="BH1016" t="s">
        <v>3994</v>
      </c>
      <c r="BI1016" t="s">
        <v>131</v>
      </c>
      <c r="BL1016" t="s">
        <v>167</v>
      </c>
      <c r="BO1016" t="s">
        <v>131</v>
      </c>
      <c r="BP1016" t="s">
        <v>134</v>
      </c>
      <c r="BQ1016" t="s">
        <v>131</v>
      </c>
      <c r="BS1016" t="str">
        <f t="shared" si="72"/>
        <v>N/A</v>
      </c>
      <c r="BT1016" t="s">
        <v>131</v>
      </c>
      <c r="BV1016" t="str">
        <f>""</f>
        <v/>
      </c>
      <c r="BW1016" t="s">
        <v>131</v>
      </c>
      <c r="BX1016" t="str">
        <f>""</f>
        <v/>
      </c>
      <c r="BY1016" t="str">
        <f>""</f>
        <v/>
      </c>
      <c r="BZ1016" t="str">
        <f>""</f>
        <v/>
      </c>
      <c r="CA1016" t="str">
        <f>""</f>
        <v/>
      </c>
      <c r="CB1016" t="s">
        <v>131</v>
      </c>
      <c r="CF1016" t="s">
        <v>131</v>
      </c>
      <c r="CH1016" t="str">
        <f>""</f>
        <v/>
      </c>
      <c r="CI1016" t="s">
        <v>131</v>
      </c>
      <c r="CK1016" t="s">
        <v>131</v>
      </c>
      <c r="CL1016" t="str">
        <f>""</f>
        <v/>
      </c>
      <c r="CM1016" t="str">
        <f>""</f>
        <v/>
      </c>
      <c r="CN1016" t="str">
        <f>""</f>
        <v/>
      </c>
      <c r="CO1016" t="str">
        <f>""</f>
        <v/>
      </c>
      <c r="CP1016" t="str">
        <f>"37-3011.00"</f>
        <v>37-3011.00</v>
      </c>
      <c r="CQ1016" t="s">
        <v>920</v>
      </c>
      <c r="CR1016" t="s">
        <v>918</v>
      </c>
      <c r="CS1016" t="s">
        <v>135</v>
      </c>
      <c r="CT1016" t="s">
        <v>19849</v>
      </c>
      <c r="CU1016" t="s">
        <v>19313</v>
      </c>
      <c r="CW1016" t="s">
        <v>19850</v>
      </c>
      <c r="CX1016" t="s">
        <v>229</v>
      </c>
      <c r="CZ1016" s="3" t="str">
        <f>"46055"</f>
        <v>46055</v>
      </c>
      <c r="DA1016" t="s">
        <v>135</v>
      </c>
      <c r="DB1016" t="str">
        <f>"37-3011"</f>
        <v>37-3011</v>
      </c>
      <c r="DC1016" t="s">
        <v>920</v>
      </c>
      <c r="DD1016" t="s">
        <v>134</v>
      </c>
      <c r="DE1016" t="s">
        <v>134</v>
      </c>
      <c r="DF1016" t="str">
        <f>""</f>
        <v/>
      </c>
      <c r="DH1016" s="6">
        <v>15.51</v>
      </c>
      <c r="DI1016" t="s">
        <v>344</v>
      </c>
      <c r="DK1016" t="s">
        <v>345</v>
      </c>
      <c r="DR1016" t="s">
        <v>2656</v>
      </c>
      <c r="DS1016" s="6">
        <v>15.51</v>
      </c>
      <c r="DT1016" s="2" t="s">
        <v>347</v>
      </c>
      <c r="DU1016" s="1">
        <v>44375</v>
      </c>
      <c r="DV1016" s="1">
        <v>44464</v>
      </c>
    </row>
    <row r="1017" spans="1:126" ht="15" customHeight="1" x14ac:dyDescent="0.35">
      <c r="A1017" t="s">
        <v>17040</v>
      </c>
      <c r="B1017" t="s">
        <v>318</v>
      </c>
      <c r="C1017" s="1">
        <v>44348</v>
      </c>
      <c r="D1017" s="1">
        <v>44375</v>
      </c>
      <c r="H1017" t="s">
        <v>319</v>
      </c>
      <c r="I1017" t="s">
        <v>913</v>
      </c>
      <c r="J1017" t="s">
        <v>1616</v>
      </c>
      <c r="L1017" t="s">
        <v>583</v>
      </c>
      <c r="M1017" t="s">
        <v>17041</v>
      </c>
      <c r="N1017" t="s">
        <v>10362</v>
      </c>
      <c r="O1017" t="s">
        <v>928</v>
      </c>
      <c r="P1017" t="s">
        <v>924</v>
      </c>
      <c r="Q1017" s="3">
        <v>4101</v>
      </c>
      <c r="R1017" t="s">
        <v>128</v>
      </c>
      <c r="T1017" s="4">
        <v>12078317373</v>
      </c>
      <c r="V1017" t="s">
        <v>17042</v>
      </c>
      <c r="W1017" t="s">
        <v>17043</v>
      </c>
      <c r="X1017" t="s">
        <v>17044</v>
      </c>
      <c r="Y1017" t="s">
        <v>17041</v>
      </c>
      <c r="Z1017" t="s">
        <v>10362</v>
      </c>
      <c r="AA1017" t="s">
        <v>928</v>
      </c>
      <c r="AB1017" t="s">
        <v>925</v>
      </c>
      <c r="AC1017" s="3" t="str">
        <f>"04101"</f>
        <v>04101</v>
      </c>
      <c r="AD1017" t="s">
        <v>128</v>
      </c>
      <c r="AF1017" s="4">
        <v>12078317373</v>
      </c>
      <c r="AH1017" t="str">
        <f>"721110"</f>
        <v>721110</v>
      </c>
      <c r="AI1017" t="s">
        <v>130</v>
      </c>
      <c r="AJ1017" t="s">
        <v>16275</v>
      </c>
      <c r="AK1017" t="s">
        <v>14971</v>
      </c>
      <c r="AL1017" t="s">
        <v>365</v>
      </c>
      <c r="AM1017" t="s">
        <v>16276</v>
      </c>
      <c r="AN1017" t="s">
        <v>16277</v>
      </c>
      <c r="AO1017" t="s">
        <v>928</v>
      </c>
      <c r="AP1017" t="s">
        <v>925</v>
      </c>
      <c r="AQ1017" s="5">
        <v>4102</v>
      </c>
      <c r="AR1017" t="s">
        <v>128</v>
      </c>
      <c r="AS1017" t="s">
        <v>925</v>
      </c>
      <c r="AT1017" s="4">
        <v>12077756371</v>
      </c>
      <c r="AV1017" t="s">
        <v>16278</v>
      </c>
      <c r="AW1017" t="s">
        <v>16279</v>
      </c>
      <c r="AX1017" t="s">
        <v>131</v>
      </c>
      <c r="AY1017" t="s">
        <v>131</v>
      </c>
      <c r="AZ1017" t="s">
        <v>131</v>
      </c>
      <c r="BA1017" t="s">
        <v>131</v>
      </c>
      <c r="BB1017" t="s">
        <v>131</v>
      </c>
      <c r="BC1017" t="s">
        <v>131</v>
      </c>
      <c r="BD1017" t="s">
        <v>131</v>
      </c>
      <c r="BE1017" t="s">
        <v>132</v>
      </c>
      <c r="BH1017" t="s">
        <v>1080</v>
      </c>
      <c r="BI1017" t="s">
        <v>131</v>
      </c>
      <c r="BL1017" t="s">
        <v>167</v>
      </c>
      <c r="BO1017" t="s">
        <v>131</v>
      </c>
      <c r="BP1017" t="s">
        <v>134</v>
      </c>
      <c r="BQ1017" t="s">
        <v>131</v>
      </c>
      <c r="BS1017" t="str">
        <f t="shared" si="72"/>
        <v>N/A</v>
      </c>
      <c r="BT1017" t="s">
        <v>131</v>
      </c>
      <c r="BV1017" t="str">
        <f>""</f>
        <v/>
      </c>
      <c r="BW1017" t="s">
        <v>131</v>
      </c>
      <c r="BX1017" t="str">
        <f>""</f>
        <v/>
      </c>
      <c r="BY1017" t="str">
        <f>""</f>
        <v/>
      </c>
      <c r="BZ1017" t="str">
        <f>""</f>
        <v/>
      </c>
      <c r="CA1017" t="str">
        <f>""</f>
        <v/>
      </c>
      <c r="CB1017" t="s">
        <v>131</v>
      </c>
      <c r="CF1017" t="s">
        <v>131</v>
      </c>
      <c r="CH1017" t="str">
        <f>""</f>
        <v/>
      </c>
      <c r="CI1017" t="s">
        <v>131</v>
      </c>
      <c r="CK1017" t="s">
        <v>131</v>
      </c>
      <c r="CL1017" t="str">
        <f>""</f>
        <v/>
      </c>
      <c r="CM1017" t="str">
        <f>""</f>
        <v/>
      </c>
      <c r="CN1017" t="str">
        <f>""</f>
        <v/>
      </c>
      <c r="CO1017" t="str">
        <f>""</f>
        <v/>
      </c>
      <c r="CP1017" t="str">
        <f>"35-2014.00"</f>
        <v>35-2014.00</v>
      </c>
      <c r="CQ1017" t="s">
        <v>581</v>
      </c>
      <c r="CR1017" t="s">
        <v>1205</v>
      </c>
      <c r="CS1017" t="s">
        <v>131</v>
      </c>
      <c r="CU1017" t="s">
        <v>17045</v>
      </c>
      <c r="CV1017" t="s">
        <v>17046</v>
      </c>
      <c r="CW1017" t="s">
        <v>17047</v>
      </c>
      <c r="CX1017" t="s">
        <v>925</v>
      </c>
      <c r="CZ1017" s="3" t="str">
        <f>"04261"</f>
        <v>04261</v>
      </c>
      <c r="DA1017" t="s">
        <v>135</v>
      </c>
      <c r="DB1017" t="str">
        <f>"35-2014"</f>
        <v>35-2014</v>
      </c>
      <c r="DC1017" t="s">
        <v>581</v>
      </c>
      <c r="DD1017" t="s">
        <v>134</v>
      </c>
      <c r="DE1017" t="s">
        <v>134</v>
      </c>
      <c r="DF1017" t="str">
        <f>""</f>
        <v/>
      </c>
      <c r="DH1017" s="6">
        <v>14.42</v>
      </c>
      <c r="DI1017" t="s">
        <v>344</v>
      </c>
      <c r="DK1017" t="s">
        <v>345</v>
      </c>
      <c r="DS1017" s="6">
        <v>14.42</v>
      </c>
      <c r="DT1017" t="s">
        <v>424</v>
      </c>
      <c r="DU1017" s="1">
        <v>44375</v>
      </c>
      <c r="DV1017" s="1">
        <v>44464</v>
      </c>
    </row>
    <row r="1018" spans="1:126" ht="15" customHeight="1" x14ac:dyDescent="0.35">
      <c r="A1018" t="s">
        <v>18881</v>
      </c>
      <c r="B1018" t="s">
        <v>318</v>
      </c>
      <c r="C1018" s="1">
        <v>44348</v>
      </c>
      <c r="D1018" s="1">
        <v>44375</v>
      </c>
      <c r="H1018" t="s">
        <v>319</v>
      </c>
      <c r="I1018" t="s">
        <v>5222</v>
      </c>
      <c r="J1018" t="s">
        <v>1481</v>
      </c>
      <c r="L1018" t="s">
        <v>5182</v>
      </c>
      <c r="M1018" t="s">
        <v>18882</v>
      </c>
      <c r="O1018" t="s">
        <v>18883</v>
      </c>
      <c r="P1018" t="s">
        <v>826</v>
      </c>
      <c r="Q1018" s="3">
        <v>21102</v>
      </c>
      <c r="R1018" t="s">
        <v>128</v>
      </c>
      <c r="T1018" s="4">
        <v>14103296662</v>
      </c>
      <c r="U1018">
        <v>102</v>
      </c>
      <c r="V1018" t="s">
        <v>134</v>
      </c>
      <c r="W1018" t="s">
        <v>18884</v>
      </c>
      <c r="Y1018" t="s">
        <v>18882</v>
      </c>
      <c r="AA1018" t="s">
        <v>18883</v>
      </c>
      <c r="AB1018" t="s">
        <v>382</v>
      </c>
      <c r="AC1018" s="3" t="str">
        <f>"21102"</f>
        <v>21102</v>
      </c>
      <c r="AD1018" t="s">
        <v>128</v>
      </c>
      <c r="AF1018" s="4">
        <v>14103296662</v>
      </c>
      <c r="AH1018" t="str">
        <f>"56173"</f>
        <v>56173</v>
      </c>
      <c r="AI1018" t="s">
        <v>287</v>
      </c>
      <c r="AJ1018" t="s">
        <v>2917</v>
      </c>
      <c r="AK1018" t="s">
        <v>2918</v>
      </c>
      <c r="AM1018" t="s">
        <v>2919</v>
      </c>
      <c r="AN1018" t="s">
        <v>2920</v>
      </c>
      <c r="AO1018" t="s">
        <v>2921</v>
      </c>
      <c r="AP1018" t="s">
        <v>306</v>
      </c>
      <c r="AQ1018" s="5">
        <v>22949</v>
      </c>
      <c r="AR1018" t="s">
        <v>128</v>
      </c>
      <c r="AT1018" s="4">
        <v>14342634300</v>
      </c>
      <c r="AV1018" t="s">
        <v>5183</v>
      </c>
      <c r="AW1018" t="s">
        <v>2923</v>
      </c>
      <c r="AX1018" t="s">
        <v>131</v>
      </c>
      <c r="AY1018" t="s">
        <v>131</v>
      </c>
      <c r="AZ1018" t="s">
        <v>131</v>
      </c>
      <c r="BA1018" t="s">
        <v>131</v>
      </c>
      <c r="BB1018" t="s">
        <v>131</v>
      </c>
      <c r="BC1018" t="s">
        <v>131</v>
      </c>
      <c r="BD1018" t="s">
        <v>131</v>
      </c>
      <c r="BE1018" t="s">
        <v>132</v>
      </c>
      <c r="BH1018" t="s">
        <v>2215</v>
      </c>
      <c r="BI1018" t="s">
        <v>131</v>
      </c>
      <c r="BL1018" t="s">
        <v>167</v>
      </c>
      <c r="BO1018" t="s">
        <v>131</v>
      </c>
      <c r="BP1018" t="s">
        <v>134</v>
      </c>
      <c r="BQ1018" t="s">
        <v>131</v>
      </c>
      <c r="BS1018" t="str">
        <f t="shared" si="72"/>
        <v>N/A</v>
      </c>
      <c r="BT1018" t="s">
        <v>131</v>
      </c>
      <c r="BV1018" t="str">
        <f>""</f>
        <v/>
      </c>
      <c r="BW1018" t="s">
        <v>135</v>
      </c>
      <c r="BX1018" t="str">
        <f>""</f>
        <v/>
      </c>
      <c r="BY1018" t="str">
        <f>""</f>
        <v/>
      </c>
      <c r="BZ1018" t="str">
        <f>""</f>
        <v/>
      </c>
      <c r="CA1018" t="str">
        <f>"Must lift/carry 50 lbs., when necessary.  Saturday and Sunday work required, when necessary.  Post-hire random and post-accident drug testing required of foreign and domestic workers. Post-hire background check required of foreign and domestic workers."</f>
        <v>Must lift/carry 50 lbs., when necessary.  Saturday and Sunday work required, when necessary.  Post-hire random and post-accident drug testing required of foreign and domestic workers. Post-hire background check required of foreign and domestic workers.</v>
      </c>
      <c r="CB1018" t="s">
        <v>131</v>
      </c>
      <c r="CF1018" t="s">
        <v>131</v>
      </c>
      <c r="CH1018" t="str">
        <f>""</f>
        <v/>
      </c>
      <c r="CI1018" t="s">
        <v>131</v>
      </c>
      <c r="CK1018" t="s">
        <v>131</v>
      </c>
      <c r="CL1018" t="str">
        <f>""</f>
        <v/>
      </c>
      <c r="CM1018" t="str">
        <f>""</f>
        <v/>
      </c>
      <c r="CN1018" t="str">
        <f>""</f>
        <v/>
      </c>
      <c r="CO1018" t="str">
        <f>""</f>
        <v/>
      </c>
      <c r="CP1018" t="str">
        <f>"37-3011.00"</f>
        <v>37-3011.00</v>
      </c>
      <c r="CQ1018" t="s">
        <v>920</v>
      </c>
      <c r="CR1018" t="s">
        <v>2924</v>
      </c>
      <c r="CS1018" t="s">
        <v>135</v>
      </c>
      <c r="CT1018" t="s">
        <v>2925</v>
      </c>
      <c r="CU1018" t="s">
        <v>18882</v>
      </c>
      <c r="CW1018" t="s">
        <v>18883</v>
      </c>
      <c r="CX1018" t="s">
        <v>382</v>
      </c>
      <c r="CZ1018" s="3" t="str">
        <f>"21102"</f>
        <v>21102</v>
      </c>
      <c r="DA1018" t="s">
        <v>135</v>
      </c>
      <c r="DB1018" t="str">
        <f>"37-3011"</f>
        <v>37-3011</v>
      </c>
      <c r="DC1018" t="s">
        <v>920</v>
      </c>
      <c r="DD1018" t="s">
        <v>134</v>
      </c>
      <c r="DE1018" t="s">
        <v>134</v>
      </c>
      <c r="DF1018" t="str">
        <f>""</f>
        <v/>
      </c>
      <c r="DH1018" s="6">
        <v>16.89</v>
      </c>
      <c r="DI1018" t="s">
        <v>344</v>
      </c>
      <c r="DK1018" t="s">
        <v>345</v>
      </c>
      <c r="DS1018" s="6">
        <v>16.89</v>
      </c>
      <c r="DT1018" s="2" t="s">
        <v>347</v>
      </c>
      <c r="DU1018" s="1">
        <v>44375</v>
      </c>
      <c r="DV1018" s="1">
        <v>44464</v>
      </c>
    </row>
    <row r="1019" spans="1:126" ht="15" customHeight="1" x14ac:dyDescent="0.35">
      <c r="A1019" t="s">
        <v>13958</v>
      </c>
      <c r="B1019" t="s">
        <v>318</v>
      </c>
      <c r="C1019" s="1">
        <v>44348</v>
      </c>
      <c r="D1019" s="1">
        <v>44375</v>
      </c>
      <c r="H1019" t="s">
        <v>319</v>
      </c>
      <c r="I1019" t="s">
        <v>13959</v>
      </c>
      <c r="J1019" t="s">
        <v>5173</v>
      </c>
      <c r="L1019" t="s">
        <v>1105</v>
      </c>
      <c r="M1019" t="s">
        <v>13960</v>
      </c>
      <c r="O1019" t="s">
        <v>13961</v>
      </c>
      <c r="P1019" t="s">
        <v>1334</v>
      </c>
      <c r="Q1019" s="3">
        <v>74019</v>
      </c>
      <c r="R1019" t="s">
        <v>128</v>
      </c>
      <c r="T1019" s="4">
        <v>18335228483</v>
      </c>
      <c r="V1019" t="s">
        <v>134</v>
      </c>
      <c r="W1019" t="s">
        <v>13962</v>
      </c>
      <c r="Y1019" t="s">
        <v>13960</v>
      </c>
      <c r="AA1019" t="s">
        <v>13961</v>
      </c>
      <c r="AB1019" t="s">
        <v>400</v>
      </c>
      <c r="AC1019" s="3" t="str">
        <f>"74019"</f>
        <v>74019</v>
      </c>
      <c r="AD1019" t="s">
        <v>128</v>
      </c>
      <c r="AF1019" s="4">
        <v>19188105596</v>
      </c>
      <c r="AH1019" t="str">
        <f>"236118"</f>
        <v>236118</v>
      </c>
      <c r="AI1019" t="s">
        <v>130</v>
      </c>
      <c r="AJ1019" t="s">
        <v>4793</v>
      </c>
      <c r="AK1019" t="s">
        <v>3519</v>
      </c>
      <c r="AL1019" t="s">
        <v>301</v>
      </c>
      <c r="AM1019" t="s">
        <v>4794</v>
      </c>
      <c r="AN1019">
        <v>307</v>
      </c>
      <c r="AO1019" t="s">
        <v>1040</v>
      </c>
      <c r="AP1019" t="s">
        <v>400</v>
      </c>
      <c r="AQ1019" s="5">
        <v>78746</v>
      </c>
      <c r="AR1019" t="s">
        <v>128</v>
      </c>
      <c r="AT1019" s="4">
        <v>15123470007</v>
      </c>
      <c r="AV1019" t="s">
        <v>4857</v>
      </c>
      <c r="AW1019" t="s">
        <v>7501</v>
      </c>
      <c r="AX1019" t="s">
        <v>131</v>
      </c>
      <c r="AY1019" t="s">
        <v>131</v>
      </c>
      <c r="AZ1019" t="s">
        <v>131</v>
      </c>
      <c r="BA1019" t="s">
        <v>131</v>
      </c>
      <c r="BB1019" t="s">
        <v>131</v>
      </c>
      <c r="BC1019" t="s">
        <v>131</v>
      </c>
      <c r="BD1019" t="s">
        <v>131</v>
      </c>
      <c r="BE1019" t="s">
        <v>132</v>
      </c>
      <c r="BH1019" t="s">
        <v>7502</v>
      </c>
      <c r="BI1019" t="s">
        <v>131</v>
      </c>
      <c r="BL1019" t="s">
        <v>167</v>
      </c>
      <c r="BO1019" t="s">
        <v>131</v>
      </c>
      <c r="BP1019" t="s">
        <v>134</v>
      </c>
      <c r="BQ1019" t="s">
        <v>131</v>
      </c>
      <c r="BS1019" t="str">
        <f t="shared" si="72"/>
        <v>N/A</v>
      </c>
      <c r="BT1019" t="s">
        <v>131</v>
      </c>
      <c r="BV1019" t="str">
        <f>""</f>
        <v/>
      </c>
      <c r="BW1019" t="s">
        <v>131</v>
      </c>
      <c r="BX1019" t="str">
        <f>""</f>
        <v/>
      </c>
      <c r="BY1019" t="str">
        <f>""</f>
        <v/>
      </c>
      <c r="BZ1019" t="str">
        <f>""</f>
        <v/>
      </c>
      <c r="CA1019" t="str">
        <f>""</f>
        <v/>
      </c>
      <c r="CB1019" t="s">
        <v>131</v>
      </c>
      <c r="CF1019" t="s">
        <v>131</v>
      </c>
      <c r="CH1019" t="str">
        <f>""</f>
        <v/>
      </c>
      <c r="CI1019" t="s">
        <v>131</v>
      </c>
      <c r="CK1019" t="s">
        <v>131</v>
      </c>
      <c r="CL1019" t="str">
        <f>""</f>
        <v/>
      </c>
      <c r="CM1019" t="str">
        <f>""</f>
        <v/>
      </c>
      <c r="CN1019" t="str">
        <f>""</f>
        <v/>
      </c>
      <c r="CO1019" t="str">
        <f>""</f>
        <v/>
      </c>
      <c r="CP1019" t="str">
        <f>"47-2081.00"</f>
        <v>47-2081.00</v>
      </c>
      <c r="CQ1019" t="s">
        <v>5191</v>
      </c>
      <c r="CR1019" t="s">
        <v>9084</v>
      </c>
      <c r="CS1019" t="s">
        <v>135</v>
      </c>
      <c r="CT1019" t="s">
        <v>13963</v>
      </c>
      <c r="CU1019" t="s">
        <v>13964</v>
      </c>
      <c r="CW1019" t="s">
        <v>13965</v>
      </c>
      <c r="CX1019" t="s">
        <v>1336</v>
      </c>
      <c r="CZ1019" s="3" t="str">
        <f>"74019"</f>
        <v>74019</v>
      </c>
      <c r="DA1019" t="s">
        <v>135</v>
      </c>
      <c r="DB1019" t="str">
        <f>"47-2081"</f>
        <v>47-2081</v>
      </c>
      <c r="DC1019" t="s">
        <v>5191</v>
      </c>
      <c r="DD1019" t="s">
        <v>134</v>
      </c>
      <c r="DE1019" t="s">
        <v>134</v>
      </c>
      <c r="DF1019" t="str">
        <f>""</f>
        <v/>
      </c>
      <c r="DH1019" s="6">
        <v>24.94</v>
      </c>
      <c r="DI1019" t="s">
        <v>344</v>
      </c>
      <c r="DK1019" t="s">
        <v>345</v>
      </c>
      <c r="DR1019" t="s">
        <v>13966</v>
      </c>
      <c r="DS1019" s="6">
        <v>24.94</v>
      </c>
      <c r="DT1019" s="2" t="s">
        <v>347</v>
      </c>
      <c r="DU1019" s="1">
        <v>44375</v>
      </c>
      <c r="DV1019" s="1">
        <v>44464</v>
      </c>
    </row>
    <row r="1020" spans="1:126" ht="15" customHeight="1" x14ac:dyDescent="0.35">
      <c r="A1020" t="s">
        <v>11887</v>
      </c>
      <c r="B1020" t="s">
        <v>318</v>
      </c>
      <c r="C1020" s="1">
        <v>44348</v>
      </c>
      <c r="D1020" s="1">
        <v>44375</v>
      </c>
      <c r="H1020" t="s">
        <v>319</v>
      </c>
      <c r="I1020" t="s">
        <v>9025</v>
      </c>
      <c r="J1020" t="s">
        <v>1060</v>
      </c>
      <c r="L1020" t="s">
        <v>395</v>
      </c>
      <c r="M1020" t="s">
        <v>9026</v>
      </c>
      <c r="O1020" t="s">
        <v>699</v>
      </c>
      <c r="P1020" t="s">
        <v>412</v>
      </c>
      <c r="Q1020" s="3">
        <v>78201</v>
      </c>
      <c r="R1020" t="s">
        <v>128</v>
      </c>
      <c r="T1020" s="4">
        <v>12106673603</v>
      </c>
      <c r="V1020" t="s">
        <v>134</v>
      </c>
      <c r="W1020" t="s">
        <v>9027</v>
      </c>
      <c r="Y1020" t="s">
        <v>11888</v>
      </c>
      <c r="AA1020" t="s">
        <v>699</v>
      </c>
      <c r="AB1020" t="s">
        <v>400</v>
      </c>
      <c r="AC1020" s="3" t="str">
        <f>"78255"</f>
        <v>78255</v>
      </c>
      <c r="AD1020" t="s">
        <v>128</v>
      </c>
      <c r="AF1020" s="4">
        <v>12106673603</v>
      </c>
      <c r="AH1020" t="str">
        <f>"238210"</f>
        <v>238210</v>
      </c>
      <c r="AI1020" t="s">
        <v>130</v>
      </c>
      <c r="AJ1020" t="s">
        <v>4793</v>
      </c>
      <c r="AK1020" t="s">
        <v>3519</v>
      </c>
      <c r="AL1020" t="s">
        <v>301</v>
      </c>
      <c r="AM1020" t="s">
        <v>4856</v>
      </c>
      <c r="AN1020" t="s">
        <v>334</v>
      </c>
      <c r="AO1020" t="s">
        <v>1040</v>
      </c>
      <c r="AP1020" t="s">
        <v>400</v>
      </c>
      <c r="AQ1020" s="5">
        <v>78746</v>
      </c>
      <c r="AR1020" t="s">
        <v>128</v>
      </c>
      <c r="AT1020" s="4">
        <v>15123470007</v>
      </c>
      <c r="AV1020" t="s">
        <v>4857</v>
      </c>
      <c r="AW1020" t="s">
        <v>4858</v>
      </c>
      <c r="AX1020" t="s">
        <v>131</v>
      </c>
      <c r="AY1020" t="s">
        <v>131</v>
      </c>
      <c r="AZ1020" t="s">
        <v>131</v>
      </c>
      <c r="BA1020" t="s">
        <v>131</v>
      </c>
      <c r="BB1020" t="s">
        <v>131</v>
      </c>
      <c r="BC1020" t="s">
        <v>131</v>
      </c>
      <c r="BD1020" t="s">
        <v>131</v>
      </c>
      <c r="BE1020" t="s">
        <v>132</v>
      </c>
      <c r="BH1020" t="s">
        <v>9028</v>
      </c>
      <c r="BI1020" t="s">
        <v>131</v>
      </c>
      <c r="BL1020" t="s">
        <v>167</v>
      </c>
      <c r="BO1020" t="s">
        <v>131</v>
      </c>
      <c r="BP1020" t="s">
        <v>134</v>
      </c>
      <c r="BQ1020" t="s">
        <v>131</v>
      </c>
      <c r="BS1020" t="str">
        <f t="shared" si="72"/>
        <v>N/A</v>
      </c>
      <c r="BT1020" t="s">
        <v>135</v>
      </c>
      <c r="BU1020">
        <v>3</v>
      </c>
      <c r="BV1020" t="str">
        <f>"Holiday Lighting Installation"</f>
        <v>Holiday Lighting Installation</v>
      </c>
      <c r="BW1020" t="s">
        <v>131</v>
      </c>
      <c r="BX1020" t="str">
        <f>""</f>
        <v/>
      </c>
      <c r="BY1020" t="str">
        <f>""</f>
        <v/>
      </c>
      <c r="BZ1020" t="str">
        <f>""</f>
        <v/>
      </c>
      <c r="CA1020" t="str">
        <f>""</f>
        <v/>
      </c>
      <c r="CB1020" t="s">
        <v>131</v>
      </c>
      <c r="CF1020" t="s">
        <v>131</v>
      </c>
      <c r="CH1020" t="str">
        <f>""</f>
        <v/>
      </c>
      <c r="CI1020" t="s">
        <v>131</v>
      </c>
      <c r="CK1020" t="s">
        <v>131</v>
      </c>
      <c r="CL1020" t="str">
        <f>""</f>
        <v/>
      </c>
      <c r="CM1020" t="str">
        <f>""</f>
        <v/>
      </c>
      <c r="CN1020" t="str">
        <f>""</f>
        <v/>
      </c>
      <c r="CO1020" t="str">
        <f>""</f>
        <v/>
      </c>
      <c r="CP1020" t="str">
        <f>"53-7062.00"</f>
        <v>53-7062.00</v>
      </c>
      <c r="CQ1020" t="s">
        <v>1030</v>
      </c>
      <c r="CS1020" t="s">
        <v>135</v>
      </c>
      <c r="CT1020" t="s">
        <v>11889</v>
      </c>
      <c r="CU1020" t="s">
        <v>11890</v>
      </c>
      <c r="CW1020" t="s">
        <v>699</v>
      </c>
      <c r="CX1020" t="s">
        <v>400</v>
      </c>
      <c r="CZ1020" s="3" t="str">
        <f>"78245"</f>
        <v>78245</v>
      </c>
      <c r="DA1020" t="s">
        <v>135</v>
      </c>
      <c r="DB1020" t="str">
        <f>"53-7062"</f>
        <v>53-7062</v>
      </c>
      <c r="DC1020" t="s">
        <v>1030</v>
      </c>
      <c r="DD1020" t="s">
        <v>134</v>
      </c>
      <c r="DE1020" t="s">
        <v>134</v>
      </c>
      <c r="DF1020" t="str">
        <f>""</f>
        <v/>
      </c>
      <c r="DH1020" s="6">
        <v>14.85</v>
      </c>
      <c r="DI1020" t="s">
        <v>344</v>
      </c>
      <c r="DK1020" t="s">
        <v>345</v>
      </c>
      <c r="DS1020" s="6">
        <v>16.97</v>
      </c>
      <c r="DT1020" s="2" t="s">
        <v>347</v>
      </c>
      <c r="DU1020" s="1">
        <v>44375</v>
      </c>
      <c r="DV1020" s="1">
        <v>44464</v>
      </c>
    </row>
    <row r="1021" spans="1:126" ht="15" customHeight="1" x14ac:dyDescent="0.35">
      <c r="A1021" t="s">
        <v>15937</v>
      </c>
      <c r="B1021" t="s">
        <v>318</v>
      </c>
      <c r="C1021" s="1">
        <v>44348</v>
      </c>
      <c r="D1021" s="1">
        <v>44375</v>
      </c>
      <c r="H1021" t="s">
        <v>319</v>
      </c>
      <c r="I1021" t="s">
        <v>15938</v>
      </c>
      <c r="J1021" t="s">
        <v>3804</v>
      </c>
      <c r="L1021" t="s">
        <v>7565</v>
      </c>
      <c r="M1021" t="s">
        <v>15939</v>
      </c>
      <c r="O1021" t="s">
        <v>801</v>
      </c>
      <c r="P1021" t="s">
        <v>412</v>
      </c>
      <c r="Q1021" s="3">
        <v>79705</v>
      </c>
      <c r="R1021" t="s">
        <v>128</v>
      </c>
      <c r="T1021" s="4">
        <v>14325534423</v>
      </c>
      <c r="V1021" t="s">
        <v>134</v>
      </c>
      <c r="W1021" t="s">
        <v>15940</v>
      </c>
      <c r="Y1021" t="s">
        <v>15939</v>
      </c>
      <c r="AA1021" t="s">
        <v>801</v>
      </c>
      <c r="AB1021" t="s">
        <v>400</v>
      </c>
      <c r="AC1021" s="3" t="str">
        <f>"79705"</f>
        <v>79705</v>
      </c>
      <c r="AD1021" t="s">
        <v>128</v>
      </c>
      <c r="AF1021" s="4">
        <v>14325534423</v>
      </c>
      <c r="AH1021" t="str">
        <f>"238210"</f>
        <v>238210</v>
      </c>
      <c r="AI1021" t="s">
        <v>130</v>
      </c>
      <c r="AJ1021" t="s">
        <v>4793</v>
      </c>
      <c r="AK1021" t="s">
        <v>3519</v>
      </c>
      <c r="AL1021" t="s">
        <v>301</v>
      </c>
      <c r="AM1021" t="s">
        <v>4856</v>
      </c>
      <c r="AN1021" t="s">
        <v>334</v>
      </c>
      <c r="AO1021" t="s">
        <v>1040</v>
      </c>
      <c r="AP1021" t="s">
        <v>400</v>
      </c>
      <c r="AQ1021" s="5">
        <v>78746</v>
      </c>
      <c r="AR1021" t="s">
        <v>128</v>
      </c>
      <c r="AT1021" s="4">
        <v>15123470007</v>
      </c>
      <c r="AV1021" t="s">
        <v>4857</v>
      </c>
      <c r="AW1021" t="s">
        <v>4858</v>
      </c>
      <c r="AX1021" t="s">
        <v>131</v>
      </c>
      <c r="AY1021" t="s">
        <v>131</v>
      </c>
      <c r="AZ1021" t="s">
        <v>131</v>
      </c>
      <c r="BA1021" t="s">
        <v>131</v>
      </c>
      <c r="BB1021" t="s">
        <v>131</v>
      </c>
      <c r="BC1021" t="s">
        <v>131</v>
      </c>
      <c r="BD1021" t="s">
        <v>131</v>
      </c>
      <c r="BE1021" t="s">
        <v>132</v>
      </c>
      <c r="BH1021" t="s">
        <v>3994</v>
      </c>
      <c r="BI1021" t="s">
        <v>131</v>
      </c>
      <c r="BL1021" t="s">
        <v>167</v>
      </c>
      <c r="BO1021" t="s">
        <v>131</v>
      </c>
      <c r="BP1021" t="s">
        <v>134</v>
      </c>
      <c r="BQ1021" t="s">
        <v>131</v>
      </c>
      <c r="BS1021" t="str">
        <f t="shared" si="72"/>
        <v>N/A</v>
      </c>
      <c r="BT1021" t="s">
        <v>131</v>
      </c>
      <c r="BV1021" t="str">
        <f>""</f>
        <v/>
      </c>
      <c r="BW1021" t="s">
        <v>131</v>
      </c>
      <c r="BX1021" t="str">
        <f>""</f>
        <v/>
      </c>
      <c r="BY1021" t="str">
        <f>""</f>
        <v/>
      </c>
      <c r="BZ1021" t="str">
        <f>""</f>
        <v/>
      </c>
      <c r="CA1021" t="str">
        <f>""</f>
        <v/>
      </c>
      <c r="CB1021" t="s">
        <v>131</v>
      </c>
      <c r="CF1021" t="s">
        <v>131</v>
      </c>
      <c r="CH1021" t="str">
        <f>""</f>
        <v/>
      </c>
      <c r="CI1021" t="s">
        <v>131</v>
      </c>
      <c r="CK1021" t="s">
        <v>131</v>
      </c>
      <c r="CL1021" t="str">
        <f>""</f>
        <v/>
      </c>
      <c r="CM1021" t="str">
        <f>""</f>
        <v/>
      </c>
      <c r="CN1021" t="str">
        <f>""</f>
        <v/>
      </c>
      <c r="CO1021" t="str">
        <f>""</f>
        <v/>
      </c>
      <c r="CP1021" t="str">
        <f>"53-7062.00"</f>
        <v>53-7062.00</v>
      </c>
      <c r="CQ1021" t="s">
        <v>1030</v>
      </c>
      <c r="CS1021" t="s">
        <v>135</v>
      </c>
      <c r="CT1021" t="s">
        <v>11889</v>
      </c>
      <c r="CU1021" t="s">
        <v>15941</v>
      </c>
      <c r="CW1021" t="s">
        <v>801</v>
      </c>
      <c r="CX1021" t="s">
        <v>400</v>
      </c>
      <c r="CZ1021" s="3" t="str">
        <f>"79706"</f>
        <v>79706</v>
      </c>
      <c r="DA1021" t="s">
        <v>135</v>
      </c>
      <c r="DB1021" t="str">
        <f>"53-7062"</f>
        <v>53-7062</v>
      </c>
      <c r="DC1021" t="s">
        <v>1030</v>
      </c>
      <c r="DD1021" t="s">
        <v>134</v>
      </c>
      <c r="DE1021" t="s">
        <v>134</v>
      </c>
      <c r="DF1021" t="str">
        <f>""</f>
        <v/>
      </c>
      <c r="DH1021" s="6">
        <v>15.44</v>
      </c>
      <c r="DI1021" t="s">
        <v>344</v>
      </c>
      <c r="DK1021" t="s">
        <v>345</v>
      </c>
      <c r="DR1021" t="s">
        <v>13188</v>
      </c>
      <c r="DS1021" s="6">
        <v>17.41</v>
      </c>
      <c r="DT1021" s="2" t="s">
        <v>347</v>
      </c>
      <c r="DU1021" s="1">
        <v>44375</v>
      </c>
      <c r="DV1021" s="1">
        <v>44464</v>
      </c>
    </row>
    <row r="1022" spans="1:126" ht="15" customHeight="1" x14ac:dyDescent="0.35">
      <c r="A1022" t="s">
        <v>17217</v>
      </c>
      <c r="B1022" t="s">
        <v>318</v>
      </c>
      <c r="C1022" s="1">
        <v>44348</v>
      </c>
      <c r="D1022" s="1">
        <v>44375</v>
      </c>
      <c r="H1022" t="s">
        <v>319</v>
      </c>
      <c r="I1022" t="s">
        <v>15606</v>
      </c>
      <c r="J1022" t="s">
        <v>3227</v>
      </c>
      <c r="L1022" t="s">
        <v>9534</v>
      </c>
      <c r="M1022" t="s">
        <v>15607</v>
      </c>
      <c r="N1022" t="s">
        <v>788</v>
      </c>
      <c r="O1022" t="s">
        <v>15608</v>
      </c>
      <c r="P1022" t="s">
        <v>1217</v>
      </c>
      <c r="Q1022" s="3">
        <v>35216</v>
      </c>
      <c r="R1022" t="s">
        <v>128</v>
      </c>
      <c r="T1022" s="4">
        <v>12055473945</v>
      </c>
      <c r="V1022" t="s">
        <v>15609</v>
      </c>
      <c r="W1022" t="s">
        <v>15610</v>
      </c>
      <c r="Y1022" t="s">
        <v>15607</v>
      </c>
      <c r="Z1022" t="s">
        <v>788</v>
      </c>
      <c r="AA1022" t="s">
        <v>15608</v>
      </c>
      <c r="AB1022" t="s">
        <v>1218</v>
      </c>
      <c r="AC1022" s="3" t="str">
        <f>"35216"</f>
        <v>35216</v>
      </c>
      <c r="AD1022" t="s">
        <v>128</v>
      </c>
      <c r="AF1022" s="4">
        <v>12055473945</v>
      </c>
      <c r="AH1022" t="str">
        <f>"56173"</f>
        <v>56173</v>
      </c>
      <c r="AI1022" t="s">
        <v>287</v>
      </c>
      <c r="AJ1022" t="s">
        <v>2209</v>
      </c>
      <c r="AK1022" t="s">
        <v>1459</v>
      </c>
      <c r="AL1022" t="s">
        <v>2210</v>
      </c>
      <c r="AM1022" t="s">
        <v>2211</v>
      </c>
      <c r="AN1022" t="s">
        <v>788</v>
      </c>
      <c r="AO1022" t="s">
        <v>2212</v>
      </c>
      <c r="AP1022" t="s">
        <v>400</v>
      </c>
      <c r="AQ1022" s="5">
        <v>75033</v>
      </c>
      <c r="AR1022" t="s">
        <v>128</v>
      </c>
      <c r="AT1022" s="4">
        <v>19727789690</v>
      </c>
      <c r="AV1022" t="s">
        <v>6834</v>
      </c>
      <c r="AW1022" t="s">
        <v>2214</v>
      </c>
      <c r="AX1022" t="s">
        <v>131</v>
      </c>
      <c r="AY1022" t="s">
        <v>131</v>
      </c>
      <c r="AZ1022" t="s">
        <v>131</v>
      </c>
      <c r="BA1022" t="s">
        <v>131</v>
      </c>
      <c r="BB1022" t="s">
        <v>131</v>
      </c>
      <c r="BC1022" t="s">
        <v>131</v>
      </c>
      <c r="BD1022" t="s">
        <v>131</v>
      </c>
      <c r="BE1022" t="s">
        <v>132</v>
      </c>
      <c r="BH1022" t="s">
        <v>2215</v>
      </c>
      <c r="BI1022" t="s">
        <v>131</v>
      </c>
      <c r="BL1022" t="s">
        <v>167</v>
      </c>
      <c r="BO1022" t="s">
        <v>131</v>
      </c>
      <c r="BP1022" t="s">
        <v>134</v>
      </c>
      <c r="BQ1022" t="s">
        <v>131</v>
      </c>
      <c r="BS1022" t="str">
        <f t="shared" si="72"/>
        <v>N/A</v>
      </c>
      <c r="BT1022" t="s">
        <v>131</v>
      </c>
      <c r="BV1022" t="str">
        <f>""</f>
        <v/>
      </c>
      <c r="BW1022" t="s">
        <v>135</v>
      </c>
      <c r="BX1022" t="str">
        <f>""</f>
        <v/>
      </c>
      <c r="BY1022" t="str">
        <f>""</f>
        <v/>
      </c>
      <c r="BZ1022" t="str">
        <f>""</f>
        <v/>
      </c>
      <c r="CA1022" t="str">
        <f>"POST-EMPLOYMENT CRIMINAL BACKGROUND CHECK AND E-VERIFY REQUIRED, COST PAID BY EMPLOYER. MUST BE ABLE TO WORK A 5 DAY SCHEDULE, MAY INCLUDE WEEKENDS AND HOLIDAYS. APPLICANTS MUST COMPLETE AN EMPLOYMENT APPLICATION."</f>
        <v>POST-EMPLOYMENT CRIMINAL BACKGROUND CHECK AND E-VERIFY REQUIRED, COST PAID BY EMPLOYER. MUST BE ABLE TO WORK A 5 DAY SCHEDULE, MAY INCLUDE WEEKENDS AND HOLIDAYS. APPLICANTS MUST COMPLETE AN EMPLOYMENT APPLICATION.</v>
      </c>
      <c r="CB1022" t="s">
        <v>131</v>
      </c>
      <c r="CF1022" t="s">
        <v>131</v>
      </c>
      <c r="CH1022" t="str">
        <f>""</f>
        <v/>
      </c>
      <c r="CI1022" t="s">
        <v>131</v>
      </c>
      <c r="CK1022" t="s">
        <v>131</v>
      </c>
      <c r="CL1022" t="str">
        <f>""</f>
        <v/>
      </c>
      <c r="CM1022" t="str">
        <f>""</f>
        <v/>
      </c>
      <c r="CN1022" t="str">
        <f>""</f>
        <v/>
      </c>
      <c r="CO1022" t="str">
        <f>""</f>
        <v/>
      </c>
      <c r="CP1022" t="str">
        <f>"37-3011.00"</f>
        <v>37-3011.00</v>
      </c>
      <c r="CQ1022" t="s">
        <v>920</v>
      </c>
      <c r="CS1022" t="s">
        <v>135</v>
      </c>
      <c r="CT1022" t="s">
        <v>15611</v>
      </c>
      <c r="CU1022" t="s">
        <v>17218</v>
      </c>
      <c r="CW1022" t="s">
        <v>2150</v>
      </c>
      <c r="CX1022" t="s">
        <v>779</v>
      </c>
      <c r="CZ1022" s="3" t="str">
        <f>"37211"</f>
        <v>37211</v>
      </c>
      <c r="DA1022" t="s">
        <v>135</v>
      </c>
      <c r="DB1022" t="str">
        <f>"37-3011"</f>
        <v>37-3011</v>
      </c>
      <c r="DC1022" t="s">
        <v>920</v>
      </c>
      <c r="DD1022" t="s">
        <v>134</v>
      </c>
      <c r="DE1022" t="s">
        <v>134</v>
      </c>
      <c r="DF1022" t="str">
        <f>""</f>
        <v/>
      </c>
      <c r="DH1022" s="6">
        <v>12.71</v>
      </c>
      <c r="DI1022" t="s">
        <v>344</v>
      </c>
      <c r="DK1022" t="s">
        <v>345</v>
      </c>
      <c r="DS1022" s="6">
        <v>12.71</v>
      </c>
      <c r="DT1022" s="2" t="s">
        <v>347</v>
      </c>
      <c r="DU1022" s="1">
        <v>44375</v>
      </c>
      <c r="DV1022" s="1">
        <v>44464</v>
      </c>
    </row>
    <row r="1023" spans="1:126" ht="15" customHeight="1" x14ac:dyDescent="0.35">
      <c r="A1023" t="s">
        <v>15605</v>
      </c>
      <c r="B1023" t="s">
        <v>318</v>
      </c>
      <c r="C1023" s="1">
        <v>44348</v>
      </c>
      <c r="D1023" s="1">
        <v>44375</v>
      </c>
      <c r="H1023" t="s">
        <v>319</v>
      </c>
      <c r="I1023" t="s">
        <v>15606</v>
      </c>
      <c r="J1023" t="s">
        <v>3227</v>
      </c>
      <c r="L1023" t="s">
        <v>9534</v>
      </c>
      <c r="M1023" t="s">
        <v>15607</v>
      </c>
      <c r="N1023" t="s">
        <v>788</v>
      </c>
      <c r="O1023" t="s">
        <v>15608</v>
      </c>
      <c r="P1023" t="s">
        <v>1217</v>
      </c>
      <c r="Q1023" s="3">
        <v>35216</v>
      </c>
      <c r="R1023" t="s">
        <v>128</v>
      </c>
      <c r="T1023" s="4">
        <v>12055473945</v>
      </c>
      <c r="V1023" t="s">
        <v>15609</v>
      </c>
      <c r="W1023" t="s">
        <v>15610</v>
      </c>
      <c r="Y1023" t="s">
        <v>15607</v>
      </c>
      <c r="Z1023" t="s">
        <v>788</v>
      </c>
      <c r="AA1023" t="s">
        <v>15608</v>
      </c>
      <c r="AB1023" t="s">
        <v>1218</v>
      </c>
      <c r="AC1023" s="3" t="str">
        <f>"35216"</f>
        <v>35216</v>
      </c>
      <c r="AD1023" t="s">
        <v>128</v>
      </c>
      <c r="AF1023" s="4">
        <v>12055473945</v>
      </c>
      <c r="AH1023" t="str">
        <f>"56173"</f>
        <v>56173</v>
      </c>
      <c r="AI1023" t="s">
        <v>287</v>
      </c>
      <c r="AJ1023" t="s">
        <v>2209</v>
      </c>
      <c r="AK1023" t="s">
        <v>1459</v>
      </c>
      <c r="AL1023" t="s">
        <v>2210</v>
      </c>
      <c r="AM1023" t="s">
        <v>2211</v>
      </c>
      <c r="AN1023" t="s">
        <v>788</v>
      </c>
      <c r="AO1023" t="s">
        <v>2212</v>
      </c>
      <c r="AP1023" t="s">
        <v>400</v>
      </c>
      <c r="AQ1023" s="5">
        <v>75033</v>
      </c>
      <c r="AR1023" t="s">
        <v>128</v>
      </c>
      <c r="AT1023" s="4">
        <v>19727789690</v>
      </c>
      <c r="AV1023" t="s">
        <v>6834</v>
      </c>
      <c r="AW1023" t="s">
        <v>2214</v>
      </c>
      <c r="AX1023" t="s">
        <v>131</v>
      </c>
      <c r="AY1023" t="s">
        <v>131</v>
      </c>
      <c r="AZ1023" t="s">
        <v>131</v>
      </c>
      <c r="BA1023" t="s">
        <v>131</v>
      </c>
      <c r="BB1023" t="s">
        <v>131</v>
      </c>
      <c r="BC1023" t="s">
        <v>131</v>
      </c>
      <c r="BD1023" t="s">
        <v>131</v>
      </c>
      <c r="BE1023" t="s">
        <v>132</v>
      </c>
      <c r="BH1023" t="s">
        <v>2215</v>
      </c>
      <c r="BI1023" t="s">
        <v>131</v>
      </c>
      <c r="BL1023" t="s">
        <v>167</v>
      </c>
      <c r="BO1023" t="s">
        <v>131</v>
      </c>
      <c r="BP1023" t="s">
        <v>134</v>
      </c>
      <c r="BQ1023" t="s">
        <v>131</v>
      </c>
      <c r="BS1023" t="str">
        <f t="shared" si="72"/>
        <v>N/A</v>
      </c>
      <c r="BT1023" t="s">
        <v>131</v>
      </c>
      <c r="BV1023" t="str">
        <f>""</f>
        <v/>
      </c>
      <c r="BW1023" t="s">
        <v>135</v>
      </c>
      <c r="BX1023" t="str">
        <f>""</f>
        <v/>
      </c>
      <c r="BY1023" t="str">
        <f>""</f>
        <v/>
      </c>
      <c r="BZ1023" t="str">
        <f>""</f>
        <v/>
      </c>
      <c r="CA1023" t="str">
        <f>"POST-EMPLOYMENT CRIMINAL BACKGROUND CHECK AND E-VERIFY REQUIRED, COST PAID BY EMPLOYER. MUST BE ABLE TO WORK A 5 DAY SCHEDULE, MAY INCLUDE WEEKENDS AND HOLIDAYS. APPLICANTS MUST COMPLETE AN EMPLOYMENT APPLICATION."</f>
        <v>POST-EMPLOYMENT CRIMINAL BACKGROUND CHECK AND E-VERIFY REQUIRED, COST PAID BY EMPLOYER. MUST BE ABLE TO WORK A 5 DAY SCHEDULE, MAY INCLUDE WEEKENDS AND HOLIDAYS. APPLICANTS MUST COMPLETE AN EMPLOYMENT APPLICATION.</v>
      </c>
      <c r="CB1023" t="s">
        <v>131</v>
      </c>
      <c r="CF1023" t="s">
        <v>131</v>
      </c>
      <c r="CH1023" t="str">
        <f>""</f>
        <v/>
      </c>
      <c r="CI1023" t="s">
        <v>131</v>
      </c>
      <c r="CK1023" t="s">
        <v>131</v>
      </c>
      <c r="CL1023" t="str">
        <f>""</f>
        <v/>
      </c>
      <c r="CM1023" t="str">
        <f>""</f>
        <v/>
      </c>
      <c r="CN1023" t="str">
        <f>""</f>
        <v/>
      </c>
      <c r="CO1023" t="str">
        <f>""</f>
        <v/>
      </c>
      <c r="CP1023" t="str">
        <f>"37-3011.00"</f>
        <v>37-3011.00</v>
      </c>
      <c r="CQ1023" t="s">
        <v>920</v>
      </c>
      <c r="CS1023" t="s">
        <v>135</v>
      </c>
      <c r="CT1023" t="s">
        <v>15611</v>
      </c>
      <c r="CU1023" t="s">
        <v>15612</v>
      </c>
      <c r="CW1023" t="s">
        <v>712</v>
      </c>
      <c r="CX1023" t="s">
        <v>2436</v>
      </c>
      <c r="CZ1023" s="3" t="str">
        <f>"40508"</f>
        <v>40508</v>
      </c>
      <c r="DA1023" t="s">
        <v>135</v>
      </c>
      <c r="DB1023" t="str">
        <f>"37-3011"</f>
        <v>37-3011</v>
      </c>
      <c r="DC1023" t="s">
        <v>920</v>
      </c>
      <c r="DD1023" t="s">
        <v>134</v>
      </c>
      <c r="DE1023" t="s">
        <v>134</v>
      </c>
      <c r="DF1023" t="str">
        <f>""</f>
        <v/>
      </c>
      <c r="DH1023" s="6">
        <v>15.44</v>
      </c>
      <c r="DI1023" t="s">
        <v>344</v>
      </c>
      <c r="DK1023" t="s">
        <v>345</v>
      </c>
      <c r="DS1023" s="6">
        <v>15.44</v>
      </c>
      <c r="DT1023" s="2" t="s">
        <v>347</v>
      </c>
      <c r="DU1023" s="1">
        <v>44375</v>
      </c>
      <c r="DV1023" s="1">
        <v>44464</v>
      </c>
    </row>
    <row r="1024" spans="1:126" ht="15" customHeight="1" x14ac:dyDescent="0.35">
      <c r="A1024" t="s">
        <v>19729</v>
      </c>
      <c r="B1024" t="s">
        <v>318</v>
      </c>
      <c r="C1024" s="1">
        <v>44348</v>
      </c>
      <c r="D1024" s="1">
        <v>44375</v>
      </c>
      <c r="H1024" t="s">
        <v>319</v>
      </c>
      <c r="I1024" t="s">
        <v>4266</v>
      </c>
      <c r="J1024" t="s">
        <v>618</v>
      </c>
      <c r="L1024" t="s">
        <v>4270</v>
      </c>
      <c r="M1024" t="s">
        <v>4268</v>
      </c>
      <c r="O1024" t="s">
        <v>4269</v>
      </c>
      <c r="P1024" t="s">
        <v>194</v>
      </c>
      <c r="Q1024" s="3">
        <v>33314</v>
      </c>
      <c r="R1024" t="s">
        <v>128</v>
      </c>
      <c r="T1024" s="4">
        <v>19547975463</v>
      </c>
      <c r="V1024" t="s">
        <v>4270</v>
      </c>
      <c r="W1024" t="s">
        <v>9294</v>
      </c>
      <c r="X1024" t="s">
        <v>4271</v>
      </c>
      <c r="Y1024" t="s">
        <v>4268</v>
      </c>
      <c r="AA1024" t="s">
        <v>4269</v>
      </c>
      <c r="AB1024" t="s">
        <v>195</v>
      </c>
      <c r="AC1024" s="3" t="str">
        <f>"33314"</f>
        <v>33314</v>
      </c>
      <c r="AD1024" t="s">
        <v>128</v>
      </c>
      <c r="AF1024" s="4">
        <v>19547975463</v>
      </c>
      <c r="AH1024" t="str">
        <f>"72112"</f>
        <v>72112</v>
      </c>
      <c r="AI1024" t="s">
        <v>287</v>
      </c>
      <c r="AJ1024" t="s">
        <v>2209</v>
      </c>
      <c r="AK1024" t="s">
        <v>1459</v>
      </c>
      <c r="AL1024" t="s">
        <v>2210</v>
      </c>
      <c r="AM1024" t="s">
        <v>2211</v>
      </c>
      <c r="AN1024" t="s">
        <v>788</v>
      </c>
      <c r="AO1024" t="s">
        <v>2212</v>
      </c>
      <c r="AP1024" t="s">
        <v>400</v>
      </c>
      <c r="AQ1024" s="5">
        <v>75033</v>
      </c>
      <c r="AR1024" t="s">
        <v>128</v>
      </c>
      <c r="AT1024" s="4">
        <v>19727789690</v>
      </c>
      <c r="AV1024" t="s">
        <v>2213</v>
      </c>
      <c r="AW1024" t="s">
        <v>2214</v>
      </c>
      <c r="AX1024" t="s">
        <v>131</v>
      </c>
      <c r="AY1024" t="s">
        <v>131</v>
      </c>
      <c r="AZ1024" t="s">
        <v>131</v>
      </c>
      <c r="BA1024" t="s">
        <v>131</v>
      </c>
      <c r="BB1024" t="s">
        <v>131</v>
      </c>
      <c r="BC1024" t="s">
        <v>131</v>
      </c>
      <c r="BD1024" t="s">
        <v>131</v>
      </c>
      <c r="BE1024" t="s">
        <v>132</v>
      </c>
      <c r="BH1024" t="s">
        <v>1945</v>
      </c>
      <c r="BI1024" t="s">
        <v>131</v>
      </c>
      <c r="BL1024" t="s">
        <v>167</v>
      </c>
      <c r="BO1024" t="s">
        <v>131</v>
      </c>
      <c r="BP1024" t="s">
        <v>134</v>
      </c>
      <c r="BQ1024" t="s">
        <v>131</v>
      </c>
      <c r="BS1024" t="str">
        <f t="shared" si="72"/>
        <v>N/A</v>
      </c>
      <c r="BT1024" t="s">
        <v>135</v>
      </c>
      <c r="BU1024">
        <v>3</v>
      </c>
      <c r="BV1024" t="str">
        <f>"Food Preparation Worker experience required."</f>
        <v>Food Preparation Worker experience required.</v>
      </c>
      <c r="BW1024" t="s">
        <v>135</v>
      </c>
      <c r="BX1024" t="str">
        <f>""</f>
        <v/>
      </c>
      <c r="BY1024" t="str">
        <f>""</f>
        <v/>
      </c>
      <c r="BZ1024" t="str">
        <f>""</f>
        <v/>
      </c>
      <c r="CA1024" t="str">
        <f>"Must be able to work a 5 day schedule, including weekends and holidays as required. Applicant must complete an employment application."</f>
        <v>Must be able to work a 5 day schedule, including weekends and holidays as required. Applicant must complete an employment application.</v>
      </c>
      <c r="CB1024" t="s">
        <v>131</v>
      </c>
      <c r="CF1024" t="s">
        <v>131</v>
      </c>
      <c r="CH1024" t="str">
        <f>""</f>
        <v/>
      </c>
      <c r="CI1024" t="s">
        <v>131</v>
      </c>
      <c r="CK1024" t="s">
        <v>131</v>
      </c>
      <c r="CL1024" t="str">
        <f>""</f>
        <v/>
      </c>
      <c r="CM1024" t="str">
        <f>""</f>
        <v/>
      </c>
      <c r="CN1024" t="str">
        <f>""</f>
        <v/>
      </c>
      <c r="CO1024" t="str">
        <f>""</f>
        <v/>
      </c>
      <c r="CP1024" t="str">
        <f>"35-2021.00"</f>
        <v>35-2021.00</v>
      </c>
      <c r="CQ1024" t="s">
        <v>1749</v>
      </c>
      <c r="CS1024" t="s">
        <v>131</v>
      </c>
      <c r="CU1024" t="s">
        <v>4273</v>
      </c>
      <c r="CW1024" t="s">
        <v>4674</v>
      </c>
      <c r="CX1024" t="s">
        <v>195</v>
      </c>
      <c r="CZ1024" s="3" t="str">
        <f>"33314"</f>
        <v>33314</v>
      </c>
      <c r="DA1024" t="s">
        <v>135</v>
      </c>
      <c r="DB1024" t="str">
        <f>"35-2021"</f>
        <v>35-2021</v>
      </c>
      <c r="DC1024" t="s">
        <v>1749</v>
      </c>
      <c r="DD1024" t="s">
        <v>134</v>
      </c>
      <c r="DE1024" t="s">
        <v>134</v>
      </c>
      <c r="DF1024" t="str">
        <f>""</f>
        <v/>
      </c>
      <c r="DH1024" s="6">
        <v>12.26</v>
      </c>
      <c r="DI1024" t="s">
        <v>344</v>
      </c>
      <c r="DK1024" t="s">
        <v>345</v>
      </c>
      <c r="DR1024" t="s">
        <v>2160</v>
      </c>
      <c r="DS1024" s="6">
        <v>12.26</v>
      </c>
      <c r="DT1024" t="s">
        <v>424</v>
      </c>
      <c r="DU1024" s="1">
        <v>44375</v>
      </c>
      <c r="DV1024" s="1">
        <v>44464</v>
      </c>
    </row>
    <row r="1025" spans="1:126" ht="15" customHeight="1" x14ac:dyDescent="0.35">
      <c r="A1025" t="s">
        <v>18088</v>
      </c>
      <c r="B1025" t="s">
        <v>318</v>
      </c>
      <c r="C1025" s="1">
        <v>44348</v>
      </c>
      <c r="D1025" s="1">
        <v>44375</v>
      </c>
      <c r="H1025" t="s">
        <v>319</v>
      </c>
      <c r="I1025" t="s">
        <v>4266</v>
      </c>
      <c r="J1025" t="s">
        <v>618</v>
      </c>
      <c r="L1025" t="s">
        <v>4270</v>
      </c>
      <c r="M1025" t="s">
        <v>4268</v>
      </c>
      <c r="O1025" t="s">
        <v>4269</v>
      </c>
      <c r="P1025" t="s">
        <v>194</v>
      </c>
      <c r="Q1025" s="3">
        <v>33314</v>
      </c>
      <c r="R1025" t="s">
        <v>128</v>
      </c>
      <c r="T1025" s="4">
        <v>19547975463</v>
      </c>
      <c r="V1025" t="s">
        <v>4270</v>
      </c>
      <c r="W1025" t="s">
        <v>9294</v>
      </c>
      <c r="X1025" t="s">
        <v>4271</v>
      </c>
      <c r="Y1025" t="s">
        <v>4268</v>
      </c>
      <c r="AA1025" t="s">
        <v>4269</v>
      </c>
      <c r="AB1025" t="s">
        <v>195</v>
      </c>
      <c r="AC1025" s="3" t="str">
        <f>"33314"</f>
        <v>33314</v>
      </c>
      <c r="AD1025" t="s">
        <v>128</v>
      </c>
      <c r="AF1025" s="4">
        <v>19547975463</v>
      </c>
      <c r="AH1025" t="str">
        <f>"7211"</f>
        <v>7211</v>
      </c>
      <c r="AI1025" t="s">
        <v>287</v>
      </c>
      <c r="AJ1025" t="s">
        <v>2209</v>
      </c>
      <c r="AK1025" t="s">
        <v>1459</v>
      </c>
      <c r="AL1025" t="s">
        <v>2210</v>
      </c>
      <c r="AM1025" t="s">
        <v>2211</v>
      </c>
      <c r="AN1025" t="s">
        <v>788</v>
      </c>
      <c r="AO1025" t="s">
        <v>2212</v>
      </c>
      <c r="AP1025" t="s">
        <v>400</v>
      </c>
      <c r="AQ1025" s="5">
        <v>75033</v>
      </c>
      <c r="AR1025" t="s">
        <v>128</v>
      </c>
      <c r="AT1025" s="4">
        <v>19727789690</v>
      </c>
      <c r="AV1025" t="s">
        <v>2213</v>
      </c>
      <c r="AW1025" t="s">
        <v>2214</v>
      </c>
      <c r="AX1025" t="s">
        <v>131</v>
      </c>
      <c r="AY1025" t="s">
        <v>131</v>
      </c>
      <c r="AZ1025" t="s">
        <v>131</v>
      </c>
      <c r="BA1025" t="s">
        <v>131</v>
      </c>
      <c r="BB1025" t="s">
        <v>131</v>
      </c>
      <c r="BC1025" t="s">
        <v>131</v>
      </c>
      <c r="BD1025" t="s">
        <v>131</v>
      </c>
      <c r="BE1025" t="s">
        <v>132</v>
      </c>
      <c r="BH1025" t="s">
        <v>1080</v>
      </c>
      <c r="BI1025" t="s">
        <v>131</v>
      </c>
      <c r="BL1025" t="s">
        <v>167</v>
      </c>
      <c r="BO1025" t="s">
        <v>131</v>
      </c>
      <c r="BP1025" t="s">
        <v>134</v>
      </c>
      <c r="BQ1025" t="s">
        <v>131</v>
      </c>
      <c r="BS1025" t="str">
        <f t="shared" ref="BS1025:BS1031" si="73">"N/A"</f>
        <v>N/A</v>
      </c>
      <c r="BT1025" t="s">
        <v>135</v>
      </c>
      <c r="BU1025">
        <v>3</v>
      </c>
      <c r="BV1025" t="str">
        <f>"Cook(restaurant)"</f>
        <v>Cook(restaurant)</v>
      </c>
      <c r="BW1025" t="s">
        <v>135</v>
      </c>
      <c r="BX1025" t="str">
        <f>""</f>
        <v/>
      </c>
      <c r="BY1025" t="str">
        <f>""</f>
        <v/>
      </c>
      <c r="BZ1025" t="str">
        <f>""</f>
        <v/>
      </c>
      <c r="CA1025" t="str">
        <f>"Must be able to work a 5 day schedule, including weekends and holidays as required. Applicant must complete an employment application."</f>
        <v>Must be able to work a 5 day schedule, including weekends and holidays as required. Applicant must complete an employment application.</v>
      </c>
      <c r="CB1025" t="s">
        <v>131</v>
      </c>
      <c r="CF1025" t="s">
        <v>131</v>
      </c>
      <c r="CH1025" t="str">
        <f>""</f>
        <v/>
      </c>
      <c r="CI1025" t="s">
        <v>131</v>
      </c>
      <c r="CK1025" t="s">
        <v>131</v>
      </c>
      <c r="CL1025" t="str">
        <f>""</f>
        <v/>
      </c>
      <c r="CM1025" t="str">
        <f>""</f>
        <v/>
      </c>
      <c r="CN1025" t="str">
        <f>""</f>
        <v/>
      </c>
      <c r="CO1025" t="str">
        <f>""</f>
        <v/>
      </c>
      <c r="CP1025" t="str">
        <f>"35-2014.00"</f>
        <v>35-2014.00</v>
      </c>
      <c r="CQ1025" t="s">
        <v>581</v>
      </c>
      <c r="CS1025" t="s">
        <v>131</v>
      </c>
      <c r="CU1025" t="s">
        <v>18089</v>
      </c>
      <c r="CW1025" t="s">
        <v>2024</v>
      </c>
      <c r="CX1025" t="s">
        <v>195</v>
      </c>
      <c r="CZ1025" s="3" t="str">
        <f>"33073"</f>
        <v>33073</v>
      </c>
      <c r="DA1025" t="s">
        <v>131</v>
      </c>
      <c r="DB1025" t="str">
        <f>"35-2014"</f>
        <v>35-2014</v>
      </c>
      <c r="DC1025" t="s">
        <v>581</v>
      </c>
      <c r="DD1025" t="s">
        <v>134</v>
      </c>
      <c r="DE1025" t="s">
        <v>134</v>
      </c>
      <c r="DF1025" t="str">
        <f>""</f>
        <v/>
      </c>
      <c r="DH1025" s="6">
        <v>14.63</v>
      </c>
      <c r="DI1025" t="s">
        <v>344</v>
      </c>
      <c r="DK1025" t="s">
        <v>345</v>
      </c>
      <c r="DR1025" t="s">
        <v>2160</v>
      </c>
      <c r="DS1025" s="6">
        <v>14.63</v>
      </c>
      <c r="DT1025" t="s">
        <v>424</v>
      </c>
      <c r="DU1025" s="1">
        <v>44375</v>
      </c>
      <c r="DV1025" s="1">
        <v>44464</v>
      </c>
    </row>
    <row r="1026" spans="1:126" ht="15" customHeight="1" x14ac:dyDescent="0.35">
      <c r="A1026" t="s">
        <v>19015</v>
      </c>
      <c r="B1026" t="s">
        <v>318</v>
      </c>
      <c r="C1026" s="1">
        <v>44348</v>
      </c>
      <c r="D1026" s="1">
        <v>44377</v>
      </c>
      <c r="H1026" t="s">
        <v>319</v>
      </c>
      <c r="I1026" t="s">
        <v>11947</v>
      </c>
      <c r="J1026" t="s">
        <v>6386</v>
      </c>
      <c r="L1026" t="s">
        <v>303</v>
      </c>
      <c r="M1026" t="s">
        <v>19016</v>
      </c>
      <c r="O1026" t="s">
        <v>3874</v>
      </c>
      <c r="P1026" t="s">
        <v>1760</v>
      </c>
      <c r="Q1026" s="3">
        <v>70809</v>
      </c>
      <c r="R1026" t="s">
        <v>128</v>
      </c>
      <c r="T1026" s="4">
        <v>12518241443</v>
      </c>
      <c r="V1026" t="s">
        <v>19017</v>
      </c>
      <c r="W1026" t="s">
        <v>19018</v>
      </c>
      <c r="Y1026" t="s">
        <v>19016</v>
      </c>
      <c r="AA1026" t="s">
        <v>3874</v>
      </c>
      <c r="AB1026" t="s">
        <v>1763</v>
      </c>
      <c r="AC1026" s="3" t="str">
        <f>"70809"</f>
        <v>70809</v>
      </c>
      <c r="AD1026" t="s">
        <v>128</v>
      </c>
      <c r="AF1026" s="4">
        <v>12518241443</v>
      </c>
      <c r="AH1026" t="str">
        <f>"3117"</f>
        <v>3117</v>
      </c>
      <c r="AI1026" t="s">
        <v>130</v>
      </c>
      <c r="AJ1026" t="s">
        <v>2981</v>
      </c>
      <c r="AK1026" t="s">
        <v>5176</v>
      </c>
      <c r="AL1026" t="s">
        <v>655</v>
      </c>
      <c r="AM1026" t="s">
        <v>5177</v>
      </c>
      <c r="AO1026" t="s">
        <v>5178</v>
      </c>
      <c r="AP1026" t="s">
        <v>312</v>
      </c>
      <c r="AQ1026" s="5">
        <v>17025</v>
      </c>
      <c r="AR1026" t="s">
        <v>128</v>
      </c>
      <c r="AT1026" s="4">
        <v>17175065207</v>
      </c>
      <c r="AV1026" t="s">
        <v>19019</v>
      </c>
      <c r="AW1026" t="s">
        <v>5179</v>
      </c>
      <c r="AX1026" t="s">
        <v>131</v>
      </c>
      <c r="AY1026" t="s">
        <v>131</v>
      </c>
      <c r="AZ1026" t="s">
        <v>131</v>
      </c>
      <c r="BA1026" t="s">
        <v>131</v>
      </c>
      <c r="BB1026" t="s">
        <v>131</v>
      </c>
      <c r="BC1026" t="s">
        <v>131</v>
      </c>
      <c r="BD1026" t="s">
        <v>131</v>
      </c>
      <c r="BE1026" t="s">
        <v>132</v>
      </c>
      <c r="BH1026" t="s">
        <v>19020</v>
      </c>
      <c r="BI1026" t="s">
        <v>131</v>
      </c>
      <c r="BL1026" t="s">
        <v>167</v>
      </c>
      <c r="BO1026" t="s">
        <v>131</v>
      </c>
      <c r="BP1026" t="s">
        <v>134</v>
      </c>
      <c r="BQ1026" t="s">
        <v>131</v>
      </c>
      <c r="BS1026" t="str">
        <f t="shared" si="73"/>
        <v>N/A</v>
      </c>
      <c r="BT1026" t="s">
        <v>131</v>
      </c>
      <c r="BV1026" t="str">
        <f>""</f>
        <v/>
      </c>
      <c r="BW1026" t="s">
        <v>135</v>
      </c>
      <c r="BX1026" t="str">
        <f>""</f>
        <v/>
      </c>
      <c r="BY1026" t="str">
        <f>""</f>
        <v/>
      </c>
      <c r="BZ1026" t="str">
        <f>""</f>
        <v/>
      </c>
      <c r="CA1026" t="str">
        <f>"Applicants may be reqd to undergo post-hire/pre-employment drug screen."</f>
        <v>Applicants may be reqd to undergo post-hire/pre-employment drug screen.</v>
      </c>
      <c r="CB1026" t="s">
        <v>131</v>
      </c>
      <c r="CF1026" t="s">
        <v>131</v>
      </c>
      <c r="CH1026" t="str">
        <f>""</f>
        <v/>
      </c>
      <c r="CI1026" t="s">
        <v>131</v>
      </c>
      <c r="CK1026" t="s">
        <v>131</v>
      </c>
      <c r="CL1026" t="str">
        <f>""</f>
        <v/>
      </c>
      <c r="CM1026" t="str">
        <f>""</f>
        <v/>
      </c>
      <c r="CN1026" t="str">
        <f>""</f>
        <v/>
      </c>
      <c r="CO1026" t="str">
        <f>""</f>
        <v/>
      </c>
      <c r="CP1026" t="str">
        <f>"51-3022.00"</f>
        <v>51-3022.00</v>
      </c>
      <c r="CQ1026" t="s">
        <v>1114</v>
      </c>
      <c r="CR1026" t="s">
        <v>460</v>
      </c>
      <c r="CS1026" t="s">
        <v>131</v>
      </c>
      <c r="CU1026" t="s">
        <v>19021</v>
      </c>
      <c r="CW1026" t="s">
        <v>15313</v>
      </c>
      <c r="CX1026" t="s">
        <v>1218</v>
      </c>
      <c r="CZ1026" s="3" t="str">
        <f>"36544"</f>
        <v>36544</v>
      </c>
      <c r="DA1026" t="s">
        <v>131</v>
      </c>
      <c r="DB1026" t="str">
        <f>"51-3022"</f>
        <v>51-3022</v>
      </c>
      <c r="DC1026" t="s">
        <v>1114</v>
      </c>
      <c r="DD1026" t="s">
        <v>134</v>
      </c>
      <c r="DE1026" t="s">
        <v>134</v>
      </c>
      <c r="DF1026" t="str">
        <f>""</f>
        <v/>
      </c>
      <c r="DH1026" s="6">
        <v>10.76</v>
      </c>
      <c r="DI1026" t="s">
        <v>344</v>
      </c>
      <c r="DK1026" t="s">
        <v>345</v>
      </c>
      <c r="DR1026" t="s">
        <v>9406</v>
      </c>
      <c r="DS1026" s="6">
        <v>10.76</v>
      </c>
      <c r="DT1026" t="s">
        <v>424</v>
      </c>
      <c r="DU1026" s="1">
        <v>44377</v>
      </c>
      <c r="DV1026" s="1">
        <v>44466</v>
      </c>
    </row>
    <row r="1027" spans="1:126" ht="15" customHeight="1" x14ac:dyDescent="0.35">
      <c r="A1027" t="s">
        <v>18487</v>
      </c>
      <c r="B1027" t="s">
        <v>318</v>
      </c>
      <c r="C1027" s="1">
        <v>44348</v>
      </c>
      <c r="D1027" s="1">
        <v>44375</v>
      </c>
      <c r="H1027" t="s">
        <v>319</v>
      </c>
      <c r="I1027" t="s">
        <v>13749</v>
      </c>
      <c r="J1027" t="s">
        <v>1487</v>
      </c>
      <c r="L1027" t="s">
        <v>13750</v>
      </c>
      <c r="M1027" t="s">
        <v>13751</v>
      </c>
      <c r="N1027" t="s">
        <v>788</v>
      </c>
      <c r="O1027" t="s">
        <v>5282</v>
      </c>
      <c r="P1027" t="s">
        <v>194</v>
      </c>
      <c r="Q1027" s="3">
        <v>33037</v>
      </c>
      <c r="R1027" t="s">
        <v>128</v>
      </c>
      <c r="S1027" t="s">
        <v>134</v>
      </c>
      <c r="T1027" s="4">
        <v>13053675902</v>
      </c>
      <c r="V1027" t="s">
        <v>13752</v>
      </c>
      <c r="W1027" t="s">
        <v>13753</v>
      </c>
      <c r="X1027" t="s">
        <v>134</v>
      </c>
      <c r="Y1027" t="s">
        <v>13751</v>
      </c>
      <c r="Z1027" t="s">
        <v>788</v>
      </c>
      <c r="AA1027" t="s">
        <v>5282</v>
      </c>
      <c r="AB1027" t="s">
        <v>195</v>
      </c>
      <c r="AC1027" s="3" t="str">
        <f>"33037"</f>
        <v>33037</v>
      </c>
      <c r="AD1027" t="s">
        <v>128</v>
      </c>
      <c r="AE1027" t="s">
        <v>134</v>
      </c>
      <c r="AF1027" s="4">
        <v>13053675902</v>
      </c>
      <c r="AH1027" t="str">
        <f>"721110"</f>
        <v>721110</v>
      </c>
      <c r="AI1027" t="s">
        <v>130</v>
      </c>
      <c r="AJ1027" t="s">
        <v>1386</v>
      </c>
      <c r="AK1027" t="s">
        <v>1387</v>
      </c>
      <c r="AL1027" t="s">
        <v>1036</v>
      </c>
      <c r="AM1027" t="s">
        <v>1388</v>
      </c>
      <c r="AN1027" t="s">
        <v>997</v>
      </c>
      <c r="AO1027" t="s">
        <v>719</v>
      </c>
      <c r="AP1027" t="s">
        <v>377</v>
      </c>
      <c r="AQ1027" s="5">
        <v>1701</v>
      </c>
      <c r="AR1027" t="s">
        <v>128</v>
      </c>
      <c r="AS1027" t="s">
        <v>134</v>
      </c>
      <c r="AT1027" s="4">
        <v>16179399444</v>
      </c>
      <c r="AV1027" t="s">
        <v>1389</v>
      </c>
      <c r="AW1027" t="s">
        <v>1390</v>
      </c>
      <c r="AX1027" t="s">
        <v>131</v>
      </c>
      <c r="AY1027" t="s">
        <v>131</v>
      </c>
      <c r="AZ1027" t="s">
        <v>131</v>
      </c>
      <c r="BA1027" t="s">
        <v>131</v>
      </c>
      <c r="BB1027" t="s">
        <v>131</v>
      </c>
      <c r="BC1027" t="s">
        <v>131</v>
      </c>
      <c r="BD1027" t="s">
        <v>131</v>
      </c>
      <c r="BE1027" t="s">
        <v>132</v>
      </c>
      <c r="BH1027" t="s">
        <v>1639</v>
      </c>
      <c r="BI1027" t="s">
        <v>131</v>
      </c>
      <c r="BL1027" t="s">
        <v>167</v>
      </c>
      <c r="BO1027" t="s">
        <v>131</v>
      </c>
      <c r="BP1027" t="s">
        <v>134</v>
      </c>
      <c r="BQ1027" t="s">
        <v>131</v>
      </c>
      <c r="BS1027" t="str">
        <f t="shared" si="73"/>
        <v>N/A</v>
      </c>
      <c r="BT1027" t="s">
        <v>135</v>
      </c>
      <c r="BU1027">
        <v>3</v>
      </c>
      <c r="BV1027" t="str">
        <f>"Housekeeper"</f>
        <v>Housekeeper</v>
      </c>
      <c r="BW1027" t="s">
        <v>135</v>
      </c>
      <c r="BX1027" t="str">
        <f>""</f>
        <v/>
      </c>
      <c r="BY1027" t="str">
        <f>""</f>
        <v/>
      </c>
      <c r="BZ1027" t="str">
        <f>""</f>
        <v/>
      </c>
      <c r="CA1027" t="str">
        <f>"The Petitioner will consider for employment any person who possesses at least three (3) months of housekeeping experience in a high-end hotel, resort, or private club.  Applicant must complete pre-employment background check and drug screening."</f>
        <v>The Petitioner will consider for employment any person who possesses at least three (3) months of housekeeping experience in a high-end hotel, resort, or private club.  Applicant must complete pre-employment background check and drug screening.</v>
      </c>
      <c r="CB1027" t="s">
        <v>131</v>
      </c>
      <c r="CF1027" t="s">
        <v>131</v>
      </c>
      <c r="CH1027" t="str">
        <f>""</f>
        <v/>
      </c>
      <c r="CI1027" t="s">
        <v>131</v>
      </c>
      <c r="CK1027" t="s">
        <v>131</v>
      </c>
      <c r="CL1027" t="str">
        <f>""</f>
        <v/>
      </c>
      <c r="CM1027" t="str">
        <f>""</f>
        <v/>
      </c>
      <c r="CN1027" t="str">
        <f>""</f>
        <v/>
      </c>
      <c r="CO1027" t="str">
        <f>""</f>
        <v/>
      </c>
      <c r="CP1027" t="str">
        <f>"37-2012.00"</f>
        <v>37-2012.00</v>
      </c>
      <c r="CQ1027" t="s">
        <v>479</v>
      </c>
      <c r="CR1027" t="s">
        <v>4851</v>
      </c>
      <c r="CS1027" t="s">
        <v>131</v>
      </c>
      <c r="CU1027" t="s">
        <v>13751</v>
      </c>
      <c r="CV1027" t="s">
        <v>134</v>
      </c>
      <c r="CW1027" t="s">
        <v>5282</v>
      </c>
      <c r="CX1027" t="s">
        <v>195</v>
      </c>
      <c r="CZ1027" s="3" t="str">
        <f>"33037"</f>
        <v>33037</v>
      </c>
      <c r="DA1027" t="s">
        <v>131</v>
      </c>
      <c r="DB1027" t="str">
        <f>"37-2012"</f>
        <v>37-2012</v>
      </c>
      <c r="DC1027" t="s">
        <v>479</v>
      </c>
      <c r="DD1027" t="s">
        <v>134</v>
      </c>
      <c r="DE1027" t="s">
        <v>134</v>
      </c>
      <c r="DF1027" t="str">
        <f>""</f>
        <v/>
      </c>
      <c r="DH1027" s="6">
        <v>12.28</v>
      </c>
      <c r="DI1027" t="s">
        <v>344</v>
      </c>
      <c r="DK1027" t="s">
        <v>345</v>
      </c>
      <c r="DS1027" s="6">
        <v>12.28</v>
      </c>
      <c r="DT1027" t="s">
        <v>424</v>
      </c>
      <c r="DU1027" s="1">
        <v>44375</v>
      </c>
      <c r="DV1027" s="1">
        <v>44464</v>
      </c>
    </row>
    <row r="1028" spans="1:126" ht="15" customHeight="1" x14ac:dyDescent="0.35">
      <c r="A1028" t="s">
        <v>13748</v>
      </c>
      <c r="B1028" t="s">
        <v>318</v>
      </c>
      <c r="C1028" s="1">
        <v>44348</v>
      </c>
      <c r="D1028" s="1">
        <v>44375</v>
      </c>
      <c r="H1028" t="s">
        <v>319</v>
      </c>
      <c r="I1028" t="s">
        <v>13749</v>
      </c>
      <c r="J1028" t="s">
        <v>1487</v>
      </c>
      <c r="L1028" t="s">
        <v>13750</v>
      </c>
      <c r="M1028" t="s">
        <v>13751</v>
      </c>
      <c r="N1028" t="s">
        <v>788</v>
      </c>
      <c r="O1028" t="s">
        <v>5282</v>
      </c>
      <c r="P1028" t="s">
        <v>194</v>
      </c>
      <c r="Q1028" s="3">
        <v>33037</v>
      </c>
      <c r="R1028" t="s">
        <v>128</v>
      </c>
      <c r="S1028" t="s">
        <v>134</v>
      </c>
      <c r="T1028" s="4">
        <v>13053675902</v>
      </c>
      <c r="V1028" t="s">
        <v>13752</v>
      </c>
      <c r="W1028" t="s">
        <v>13753</v>
      </c>
      <c r="X1028" t="s">
        <v>134</v>
      </c>
      <c r="Y1028" t="s">
        <v>13751</v>
      </c>
      <c r="Z1028" t="s">
        <v>788</v>
      </c>
      <c r="AA1028" t="s">
        <v>5282</v>
      </c>
      <c r="AB1028" t="s">
        <v>195</v>
      </c>
      <c r="AC1028" s="3" t="str">
        <f>"33037"</f>
        <v>33037</v>
      </c>
      <c r="AD1028" t="s">
        <v>128</v>
      </c>
      <c r="AE1028" t="s">
        <v>134</v>
      </c>
      <c r="AF1028" s="4">
        <v>13053675902</v>
      </c>
      <c r="AH1028" t="str">
        <f>"721110"</f>
        <v>721110</v>
      </c>
      <c r="AI1028" t="s">
        <v>130</v>
      </c>
      <c r="AJ1028" t="s">
        <v>1386</v>
      </c>
      <c r="AK1028" t="s">
        <v>1387</v>
      </c>
      <c r="AL1028" t="s">
        <v>1036</v>
      </c>
      <c r="AM1028" t="s">
        <v>1388</v>
      </c>
      <c r="AN1028" t="s">
        <v>997</v>
      </c>
      <c r="AO1028" t="s">
        <v>719</v>
      </c>
      <c r="AP1028" t="s">
        <v>377</v>
      </c>
      <c r="AQ1028" s="5">
        <v>1701</v>
      </c>
      <c r="AR1028" t="s">
        <v>128</v>
      </c>
      <c r="AS1028" t="s">
        <v>134</v>
      </c>
      <c r="AT1028" s="4">
        <v>16179399444</v>
      </c>
      <c r="AV1028" t="s">
        <v>1389</v>
      </c>
      <c r="AW1028" t="s">
        <v>1390</v>
      </c>
      <c r="AX1028" t="s">
        <v>131</v>
      </c>
      <c r="AY1028" t="s">
        <v>131</v>
      </c>
      <c r="AZ1028" t="s">
        <v>131</v>
      </c>
      <c r="BA1028" t="s">
        <v>131</v>
      </c>
      <c r="BB1028" t="s">
        <v>131</v>
      </c>
      <c r="BC1028" t="s">
        <v>131</v>
      </c>
      <c r="BD1028" t="s">
        <v>131</v>
      </c>
      <c r="BE1028" t="s">
        <v>132</v>
      </c>
      <c r="BH1028" t="s">
        <v>5764</v>
      </c>
      <c r="BI1028" t="s">
        <v>131</v>
      </c>
      <c r="BL1028" t="s">
        <v>167</v>
      </c>
      <c r="BO1028" t="s">
        <v>131</v>
      </c>
      <c r="BP1028" t="s">
        <v>134</v>
      </c>
      <c r="BQ1028" t="s">
        <v>131</v>
      </c>
      <c r="BS1028" t="str">
        <f t="shared" si="73"/>
        <v>N/A</v>
      </c>
      <c r="BT1028" t="s">
        <v>135</v>
      </c>
      <c r="BU1028">
        <v>12</v>
      </c>
      <c r="BV1028" t="str">
        <f>"Line Cook"</f>
        <v>Line Cook</v>
      </c>
      <c r="BW1028" t="s">
        <v>135</v>
      </c>
      <c r="BX1028" t="str">
        <f>""</f>
        <v/>
      </c>
      <c r="BY1028" t="str">
        <f>""</f>
        <v/>
      </c>
      <c r="BZ1028" t="str">
        <f>""</f>
        <v/>
      </c>
      <c r="CA1028" t="s">
        <v>13754</v>
      </c>
      <c r="CB1028" t="s">
        <v>131</v>
      </c>
      <c r="CF1028" t="s">
        <v>131</v>
      </c>
      <c r="CH1028" t="str">
        <f>""</f>
        <v/>
      </c>
      <c r="CI1028" t="s">
        <v>131</v>
      </c>
      <c r="CK1028" t="s">
        <v>131</v>
      </c>
      <c r="CL1028" t="str">
        <f>""</f>
        <v/>
      </c>
      <c r="CM1028" t="str">
        <f>""</f>
        <v/>
      </c>
      <c r="CN1028" t="str">
        <f>""</f>
        <v/>
      </c>
      <c r="CO1028" t="str">
        <f>""</f>
        <v/>
      </c>
      <c r="CP1028" t="str">
        <f>"35-2014.00"</f>
        <v>35-2014.00</v>
      </c>
      <c r="CQ1028" t="s">
        <v>581</v>
      </c>
      <c r="CR1028" t="s">
        <v>13755</v>
      </c>
      <c r="CS1028" t="s">
        <v>131</v>
      </c>
      <c r="CU1028" t="s">
        <v>13751</v>
      </c>
      <c r="CV1028" t="s">
        <v>134</v>
      </c>
      <c r="CW1028" t="s">
        <v>5282</v>
      </c>
      <c r="CX1028" t="s">
        <v>195</v>
      </c>
      <c r="CZ1028" s="3" t="str">
        <f>"33037"</f>
        <v>33037</v>
      </c>
      <c r="DA1028" t="s">
        <v>131</v>
      </c>
      <c r="DB1028" t="str">
        <f>"35-2014"</f>
        <v>35-2014</v>
      </c>
      <c r="DC1028" t="s">
        <v>581</v>
      </c>
      <c r="DD1028" t="s">
        <v>134</v>
      </c>
      <c r="DE1028" t="s">
        <v>134</v>
      </c>
      <c r="DF1028" t="str">
        <f>""</f>
        <v/>
      </c>
      <c r="DH1028" s="6">
        <v>15.55</v>
      </c>
      <c r="DI1028" t="s">
        <v>344</v>
      </c>
      <c r="DK1028" t="s">
        <v>345</v>
      </c>
      <c r="DS1028" s="6">
        <v>15.55</v>
      </c>
      <c r="DT1028" t="s">
        <v>424</v>
      </c>
      <c r="DU1028" s="1">
        <v>44375</v>
      </c>
      <c r="DV1028" s="1">
        <v>44464</v>
      </c>
    </row>
    <row r="1029" spans="1:126" ht="15" customHeight="1" x14ac:dyDescent="0.35">
      <c r="A1029" t="s">
        <v>16935</v>
      </c>
      <c r="B1029" t="s">
        <v>318</v>
      </c>
      <c r="C1029" s="1">
        <v>44348</v>
      </c>
      <c r="D1029" s="1">
        <v>44375</v>
      </c>
      <c r="H1029" t="s">
        <v>319</v>
      </c>
      <c r="I1029" t="s">
        <v>4266</v>
      </c>
      <c r="J1029" t="s">
        <v>618</v>
      </c>
      <c r="L1029" t="s">
        <v>4270</v>
      </c>
      <c r="M1029" t="s">
        <v>4268</v>
      </c>
      <c r="O1029" t="s">
        <v>4269</v>
      </c>
      <c r="P1029" t="s">
        <v>194</v>
      </c>
      <c r="Q1029" s="3">
        <v>33314</v>
      </c>
      <c r="R1029" t="s">
        <v>128</v>
      </c>
      <c r="T1029" s="4">
        <v>19547975463</v>
      </c>
      <c r="V1029" t="s">
        <v>4270</v>
      </c>
      <c r="W1029" t="s">
        <v>9294</v>
      </c>
      <c r="X1029" t="s">
        <v>4271</v>
      </c>
      <c r="Y1029" t="s">
        <v>4268</v>
      </c>
      <c r="AA1029" t="s">
        <v>4269</v>
      </c>
      <c r="AB1029" t="s">
        <v>195</v>
      </c>
      <c r="AC1029" s="3" t="str">
        <f>"33314"</f>
        <v>33314</v>
      </c>
      <c r="AD1029" t="s">
        <v>128</v>
      </c>
      <c r="AF1029" s="4">
        <v>19547975463</v>
      </c>
      <c r="AH1029" t="str">
        <f>"72112"</f>
        <v>72112</v>
      </c>
      <c r="AI1029" t="s">
        <v>287</v>
      </c>
      <c r="AJ1029" t="s">
        <v>2209</v>
      </c>
      <c r="AK1029" t="s">
        <v>1459</v>
      </c>
      <c r="AL1029" t="s">
        <v>2210</v>
      </c>
      <c r="AM1029" t="s">
        <v>2211</v>
      </c>
      <c r="AN1029" t="s">
        <v>788</v>
      </c>
      <c r="AO1029" t="s">
        <v>2212</v>
      </c>
      <c r="AP1029" t="s">
        <v>400</v>
      </c>
      <c r="AQ1029" s="5">
        <v>75033</v>
      </c>
      <c r="AR1029" t="s">
        <v>128</v>
      </c>
      <c r="AT1029" s="4">
        <v>19727789690</v>
      </c>
      <c r="AV1029" t="s">
        <v>2213</v>
      </c>
      <c r="AW1029" t="s">
        <v>2214</v>
      </c>
      <c r="AX1029" t="s">
        <v>131</v>
      </c>
      <c r="AY1029" t="s">
        <v>131</v>
      </c>
      <c r="AZ1029" t="s">
        <v>131</v>
      </c>
      <c r="BA1029" t="s">
        <v>131</v>
      </c>
      <c r="BB1029" t="s">
        <v>131</v>
      </c>
      <c r="BC1029" t="s">
        <v>131</v>
      </c>
      <c r="BD1029" t="s">
        <v>131</v>
      </c>
      <c r="BE1029" t="s">
        <v>132</v>
      </c>
      <c r="BH1029" t="s">
        <v>4272</v>
      </c>
      <c r="BI1029" t="s">
        <v>131</v>
      </c>
      <c r="BL1029" t="s">
        <v>167</v>
      </c>
      <c r="BO1029" t="s">
        <v>131</v>
      </c>
      <c r="BP1029" t="s">
        <v>134</v>
      </c>
      <c r="BQ1029" t="s">
        <v>131</v>
      </c>
      <c r="BS1029" t="str">
        <f t="shared" si="73"/>
        <v>N/A</v>
      </c>
      <c r="BT1029" t="s">
        <v>135</v>
      </c>
      <c r="BU1029">
        <v>3</v>
      </c>
      <c r="BV1029" t="str">
        <f>"Busser"</f>
        <v>Busser</v>
      </c>
      <c r="BW1029" t="s">
        <v>135</v>
      </c>
      <c r="BX1029" t="str">
        <f>""</f>
        <v/>
      </c>
      <c r="BY1029" t="str">
        <f>""</f>
        <v/>
      </c>
      <c r="BZ1029" t="str">
        <f>""</f>
        <v/>
      </c>
      <c r="CA1029" t="str">
        <f>"Must be able to work a 5 day schedule, including weekends and holidays as required. Applicant must complete an employment application."</f>
        <v>Must be able to work a 5 day schedule, including weekends and holidays as required. Applicant must complete an employment application.</v>
      </c>
      <c r="CB1029" t="s">
        <v>131</v>
      </c>
      <c r="CF1029" t="s">
        <v>131</v>
      </c>
      <c r="CH1029" t="str">
        <f>""</f>
        <v/>
      </c>
      <c r="CI1029" t="s">
        <v>131</v>
      </c>
      <c r="CK1029" t="s">
        <v>131</v>
      </c>
      <c r="CL1029" t="str">
        <f>""</f>
        <v/>
      </c>
      <c r="CM1029" t="str">
        <f>""</f>
        <v/>
      </c>
      <c r="CN1029" t="str">
        <f>""</f>
        <v/>
      </c>
      <c r="CO1029" t="str">
        <f>""</f>
        <v/>
      </c>
      <c r="CP1029" t="str">
        <f>"35-9011.00"</f>
        <v>35-9011.00</v>
      </c>
      <c r="CQ1029" t="s">
        <v>1016</v>
      </c>
      <c r="CS1029" t="s">
        <v>131</v>
      </c>
      <c r="CU1029" t="s">
        <v>4268</v>
      </c>
      <c r="CW1029" t="s">
        <v>4269</v>
      </c>
      <c r="CX1029" t="s">
        <v>195</v>
      </c>
      <c r="CZ1029" s="3" t="str">
        <f>"33314"</f>
        <v>33314</v>
      </c>
      <c r="DA1029" t="s">
        <v>135</v>
      </c>
      <c r="DB1029" t="str">
        <f>"35-9011"</f>
        <v>35-9011</v>
      </c>
      <c r="DC1029" t="s">
        <v>1016</v>
      </c>
      <c r="DD1029" t="s">
        <v>134</v>
      </c>
      <c r="DE1029" t="s">
        <v>134</v>
      </c>
      <c r="DF1029" t="str">
        <f>""</f>
        <v/>
      </c>
      <c r="DH1029" s="6">
        <v>10.5</v>
      </c>
      <c r="DI1029" t="s">
        <v>344</v>
      </c>
      <c r="DK1029" t="s">
        <v>345</v>
      </c>
      <c r="DR1029" t="s">
        <v>2160</v>
      </c>
      <c r="DS1029" s="6">
        <v>10.5</v>
      </c>
      <c r="DT1029" t="s">
        <v>424</v>
      </c>
      <c r="DU1029" s="1">
        <v>44375</v>
      </c>
      <c r="DV1029" s="1">
        <v>44464</v>
      </c>
    </row>
    <row r="1030" spans="1:126" ht="15" customHeight="1" x14ac:dyDescent="0.35">
      <c r="A1030" t="s">
        <v>18843</v>
      </c>
      <c r="B1030" t="s">
        <v>318</v>
      </c>
      <c r="C1030" s="1">
        <v>44348</v>
      </c>
      <c r="D1030" s="1">
        <v>44375</v>
      </c>
      <c r="H1030" t="s">
        <v>319</v>
      </c>
      <c r="I1030" t="s">
        <v>4266</v>
      </c>
      <c r="J1030" t="s">
        <v>618</v>
      </c>
      <c r="L1030" t="s">
        <v>4270</v>
      </c>
      <c r="M1030" t="s">
        <v>4268</v>
      </c>
      <c r="O1030" t="s">
        <v>4269</v>
      </c>
      <c r="P1030" t="s">
        <v>194</v>
      </c>
      <c r="Q1030" s="3">
        <v>33314</v>
      </c>
      <c r="R1030" t="s">
        <v>128</v>
      </c>
      <c r="T1030" s="4">
        <v>19547975463</v>
      </c>
      <c r="V1030" t="s">
        <v>4270</v>
      </c>
      <c r="W1030" t="s">
        <v>9294</v>
      </c>
      <c r="X1030" t="s">
        <v>4271</v>
      </c>
      <c r="Y1030" t="s">
        <v>4268</v>
      </c>
      <c r="AA1030" t="s">
        <v>4269</v>
      </c>
      <c r="AB1030" t="s">
        <v>195</v>
      </c>
      <c r="AC1030" s="3" t="str">
        <f>"33314"</f>
        <v>33314</v>
      </c>
      <c r="AD1030" t="s">
        <v>128</v>
      </c>
      <c r="AF1030" s="4">
        <v>19547975463</v>
      </c>
      <c r="AH1030" t="str">
        <f>"7211"</f>
        <v>7211</v>
      </c>
      <c r="AI1030" t="s">
        <v>287</v>
      </c>
      <c r="AJ1030" t="s">
        <v>2209</v>
      </c>
      <c r="AK1030" t="s">
        <v>1459</v>
      </c>
      <c r="AL1030" t="s">
        <v>2210</v>
      </c>
      <c r="AM1030" t="s">
        <v>2211</v>
      </c>
      <c r="AN1030" t="s">
        <v>788</v>
      </c>
      <c r="AO1030" t="s">
        <v>2212</v>
      </c>
      <c r="AP1030" t="s">
        <v>400</v>
      </c>
      <c r="AQ1030" s="5">
        <v>75033</v>
      </c>
      <c r="AR1030" t="s">
        <v>128</v>
      </c>
      <c r="AT1030" s="4">
        <v>19727789690</v>
      </c>
      <c r="AV1030" t="s">
        <v>2213</v>
      </c>
      <c r="AW1030" t="s">
        <v>2214</v>
      </c>
      <c r="AX1030" t="s">
        <v>131</v>
      </c>
      <c r="AY1030" t="s">
        <v>131</v>
      </c>
      <c r="AZ1030" t="s">
        <v>131</v>
      </c>
      <c r="BA1030" t="s">
        <v>131</v>
      </c>
      <c r="BB1030" t="s">
        <v>131</v>
      </c>
      <c r="BC1030" t="s">
        <v>131</v>
      </c>
      <c r="BD1030" t="s">
        <v>131</v>
      </c>
      <c r="BE1030" t="s">
        <v>132</v>
      </c>
      <c r="BH1030" t="s">
        <v>1213</v>
      </c>
      <c r="BI1030" t="s">
        <v>131</v>
      </c>
      <c r="BL1030" t="s">
        <v>167</v>
      </c>
      <c r="BO1030" t="s">
        <v>131</v>
      </c>
      <c r="BP1030" t="s">
        <v>134</v>
      </c>
      <c r="BQ1030" t="s">
        <v>131</v>
      </c>
      <c r="BS1030" t="str">
        <f t="shared" si="73"/>
        <v>N/A</v>
      </c>
      <c r="BT1030" t="s">
        <v>135</v>
      </c>
      <c r="BU1030">
        <v>3</v>
      </c>
      <c r="BV1030" t="str">
        <f>"Server"</f>
        <v>Server</v>
      </c>
      <c r="BW1030" t="s">
        <v>135</v>
      </c>
      <c r="BX1030" t="str">
        <f>""</f>
        <v/>
      </c>
      <c r="BY1030" t="str">
        <f>""</f>
        <v/>
      </c>
      <c r="BZ1030" t="str">
        <f>""</f>
        <v/>
      </c>
      <c r="CA1030" t="str">
        <f>"Must be able to work a 5 day schedule, including weekends and holidays as required. Applicant must complete an employment application."</f>
        <v>Must be able to work a 5 day schedule, including weekends and holidays as required. Applicant must complete an employment application.</v>
      </c>
      <c r="CB1030" t="s">
        <v>131</v>
      </c>
      <c r="CF1030" t="s">
        <v>131</v>
      </c>
      <c r="CH1030" t="str">
        <f>""</f>
        <v/>
      </c>
      <c r="CI1030" t="s">
        <v>131</v>
      </c>
      <c r="CK1030" t="s">
        <v>131</v>
      </c>
      <c r="CL1030" t="str">
        <f>""</f>
        <v/>
      </c>
      <c r="CM1030" t="str">
        <f>""</f>
        <v/>
      </c>
      <c r="CN1030" t="str">
        <f>""</f>
        <v/>
      </c>
      <c r="CO1030" t="str">
        <f>""</f>
        <v/>
      </c>
      <c r="CP1030" t="str">
        <f>"35-3041.00"</f>
        <v>35-3041.00</v>
      </c>
      <c r="CQ1030" t="s">
        <v>9241</v>
      </c>
      <c r="CR1030" t="s">
        <v>1213</v>
      </c>
      <c r="CS1030" t="s">
        <v>131</v>
      </c>
      <c r="CU1030" t="s">
        <v>4273</v>
      </c>
      <c r="CW1030" t="s">
        <v>4269</v>
      </c>
      <c r="CX1030" t="s">
        <v>195</v>
      </c>
      <c r="CZ1030" s="3" t="str">
        <f>"33314"</f>
        <v>33314</v>
      </c>
      <c r="DA1030" t="s">
        <v>131</v>
      </c>
      <c r="DB1030" t="str">
        <f>"35-3041"</f>
        <v>35-3041</v>
      </c>
      <c r="DC1030" t="s">
        <v>9241</v>
      </c>
      <c r="DD1030" t="s">
        <v>134</v>
      </c>
      <c r="DE1030" t="s">
        <v>134</v>
      </c>
      <c r="DF1030" t="str">
        <f>""</f>
        <v/>
      </c>
      <c r="DH1030" s="6">
        <v>11.56</v>
      </c>
      <c r="DI1030" t="s">
        <v>344</v>
      </c>
      <c r="DK1030" t="s">
        <v>345</v>
      </c>
      <c r="DR1030" t="s">
        <v>2160</v>
      </c>
      <c r="DS1030" s="6">
        <v>11.56</v>
      </c>
      <c r="DT1030" t="s">
        <v>424</v>
      </c>
      <c r="DU1030" s="1">
        <v>44375</v>
      </c>
      <c r="DV1030" s="1">
        <v>44464</v>
      </c>
    </row>
    <row r="1031" spans="1:126" ht="15" customHeight="1" x14ac:dyDescent="0.35">
      <c r="A1031" t="s">
        <v>15724</v>
      </c>
      <c r="B1031" t="s">
        <v>318</v>
      </c>
      <c r="C1031" s="1">
        <v>44348</v>
      </c>
      <c r="D1031" s="1">
        <v>44375</v>
      </c>
      <c r="H1031" t="s">
        <v>319</v>
      </c>
      <c r="I1031" t="s">
        <v>5525</v>
      </c>
      <c r="J1031" t="s">
        <v>6978</v>
      </c>
      <c r="L1031" t="s">
        <v>1105</v>
      </c>
      <c r="M1031" t="s">
        <v>15725</v>
      </c>
      <c r="O1031" t="s">
        <v>5979</v>
      </c>
      <c r="P1031" t="s">
        <v>412</v>
      </c>
      <c r="Q1031" s="3">
        <v>79927</v>
      </c>
      <c r="R1031" t="s">
        <v>128</v>
      </c>
      <c r="T1031" s="4">
        <v>19152539702</v>
      </c>
      <c r="V1031" t="s">
        <v>134</v>
      </c>
      <c r="W1031" t="s">
        <v>15726</v>
      </c>
      <c r="Y1031" t="s">
        <v>15725</v>
      </c>
      <c r="AA1031" t="s">
        <v>5979</v>
      </c>
      <c r="AB1031" t="s">
        <v>400</v>
      </c>
      <c r="AC1031" s="3" t="str">
        <f>"79927"</f>
        <v>79927</v>
      </c>
      <c r="AD1031" t="s">
        <v>128</v>
      </c>
      <c r="AF1031" s="4">
        <v>19152539702</v>
      </c>
      <c r="AH1031" t="str">
        <f>"56173"</f>
        <v>56173</v>
      </c>
      <c r="AI1031" t="s">
        <v>130</v>
      </c>
      <c r="AJ1031" t="s">
        <v>4793</v>
      </c>
      <c r="AK1031" t="s">
        <v>3519</v>
      </c>
      <c r="AL1031" t="s">
        <v>301</v>
      </c>
      <c r="AM1031" t="s">
        <v>7500</v>
      </c>
      <c r="AO1031" t="s">
        <v>1040</v>
      </c>
      <c r="AP1031" t="s">
        <v>400</v>
      </c>
      <c r="AQ1031" s="5">
        <v>78746</v>
      </c>
      <c r="AR1031" t="s">
        <v>128</v>
      </c>
      <c r="AT1031" s="4">
        <v>15123470007</v>
      </c>
      <c r="AV1031" t="s">
        <v>15727</v>
      </c>
      <c r="AW1031" t="s">
        <v>7501</v>
      </c>
      <c r="AX1031" t="s">
        <v>131</v>
      </c>
      <c r="AY1031" t="s">
        <v>131</v>
      </c>
      <c r="AZ1031" t="s">
        <v>131</v>
      </c>
      <c r="BA1031" t="s">
        <v>131</v>
      </c>
      <c r="BB1031" t="s">
        <v>131</v>
      </c>
      <c r="BC1031" t="s">
        <v>131</v>
      </c>
      <c r="BD1031" t="s">
        <v>131</v>
      </c>
      <c r="BE1031" t="s">
        <v>132</v>
      </c>
      <c r="BH1031" t="s">
        <v>11165</v>
      </c>
      <c r="BI1031" t="s">
        <v>131</v>
      </c>
      <c r="BL1031" t="s">
        <v>167</v>
      </c>
      <c r="BO1031" t="s">
        <v>131</v>
      </c>
      <c r="BP1031" t="s">
        <v>134</v>
      </c>
      <c r="BQ1031" t="s">
        <v>131</v>
      </c>
      <c r="BS1031" t="str">
        <f t="shared" si="73"/>
        <v>N/A</v>
      </c>
      <c r="BT1031" t="s">
        <v>131</v>
      </c>
      <c r="BV1031" t="str">
        <f>""</f>
        <v/>
      </c>
      <c r="BW1031" t="s">
        <v>131</v>
      </c>
      <c r="BX1031" t="str">
        <f>""</f>
        <v/>
      </c>
      <c r="BY1031" t="str">
        <f>""</f>
        <v/>
      </c>
      <c r="BZ1031" t="str">
        <f>""</f>
        <v/>
      </c>
      <c r="CA1031" t="str">
        <f>""</f>
        <v/>
      </c>
      <c r="CB1031" t="s">
        <v>131</v>
      </c>
      <c r="CF1031" t="s">
        <v>131</v>
      </c>
      <c r="CH1031" t="str">
        <f>""</f>
        <v/>
      </c>
      <c r="CI1031" t="s">
        <v>131</v>
      </c>
      <c r="CK1031" t="s">
        <v>131</v>
      </c>
      <c r="CL1031" t="str">
        <f>""</f>
        <v/>
      </c>
      <c r="CM1031" t="str">
        <f>""</f>
        <v/>
      </c>
      <c r="CN1031" t="str">
        <f>""</f>
        <v/>
      </c>
      <c r="CO1031" t="str">
        <f>""</f>
        <v/>
      </c>
      <c r="CP1031" t="str">
        <f>"37-3011.00"</f>
        <v>37-3011.00</v>
      </c>
      <c r="CQ1031" t="s">
        <v>920</v>
      </c>
      <c r="CR1031" t="s">
        <v>15728</v>
      </c>
      <c r="CS1031" t="s">
        <v>135</v>
      </c>
      <c r="CT1031" t="s">
        <v>15729</v>
      </c>
      <c r="CU1031" t="s">
        <v>15730</v>
      </c>
      <c r="CW1031" t="s">
        <v>9667</v>
      </c>
      <c r="CX1031" t="s">
        <v>400</v>
      </c>
      <c r="CZ1031" s="3" t="str">
        <f>"79927"</f>
        <v>79927</v>
      </c>
      <c r="DA1031" t="s">
        <v>135</v>
      </c>
      <c r="DB1031" t="str">
        <f>"37-3011"</f>
        <v>37-3011</v>
      </c>
      <c r="DC1031" t="s">
        <v>920</v>
      </c>
      <c r="DD1031" t="s">
        <v>134</v>
      </c>
      <c r="DE1031" t="s">
        <v>134</v>
      </c>
      <c r="DF1031" t="str">
        <f>""</f>
        <v/>
      </c>
      <c r="DH1031" s="6">
        <v>11.12</v>
      </c>
      <c r="DI1031" t="s">
        <v>344</v>
      </c>
      <c r="DK1031" t="s">
        <v>345</v>
      </c>
      <c r="DS1031" s="6">
        <v>11.12</v>
      </c>
      <c r="DT1031" s="2" t="s">
        <v>347</v>
      </c>
      <c r="DU1031" s="1">
        <v>44375</v>
      </c>
      <c r="DV1031" s="1">
        <v>44464</v>
      </c>
    </row>
    <row r="1032" spans="1:126" ht="15" customHeight="1" x14ac:dyDescent="0.35">
      <c r="A1032" t="s">
        <v>11038</v>
      </c>
      <c r="B1032" t="s">
        <v>318</v>
      </c>
      <c r="C1032" s="1">
        <v>44348</v>
      </c>
      <c r="D1032" s="1">
        <v>44375</v>
      </c>
      <c r="H1032" t="s">
        <v>319</v>
      </c>
      <c r="I1032" t="s">
        <v>11039</v>
      </c>
      <c r="J1032" t="s">
        <v>11040</v>
      </c>
      <c r="L1032" t="s">
        <v>1205</v>
      </c>
      <c r="M1032" t="s">
        <v>11041</v>
      </c>
      <c r="O1032" t="s">
        <v>11042</v>
      </c>
      <c r="P1032" t="s">
        <v>388</v>
      </c>
      <c r="Q1032" s="3">
        <v>54902</v>
      </c>
      <c r="R1032" t="s">
        <v>128</v>
      </c>
      <c r="T1032" s="4">
        <v>19206889047</v>
      </c>
      <c r="V1032" t="s">
        <v>11043</v>
      </c>
      <c r="W1032" t="s">
        <v>11044</v>
      </c>
      <c r="X1032" t="s">
        <v>11044</v>
      </c>
      <c r="Y1032" t="s">
        <v>11041</v>
      </c>
      <c r="AA1032" t="s">
        <v>11042</v>
      </c>
      <c r="AB1032" t="s">
        <v>389</v>
      </c>
      <c r="AC1032" s="3" t="str">
        <f>"54902"</f>
        <v>54902</v>
      </c>
      <c r="AD1032" t="s">
        <v>128</v>
      </c>
      <c r="AF1032" s="4">
        <v>19206889047</v>
      </c>
      <c r="AH1032" t="str">
        <f>"722511"</f>
        <v>722511</v>
      </c>
      <c r="AI1032" t="s">
        <v>167</v>
      </c>
      <c r="AX1032" t="s">
        <v>131</v>
      </c>
      <c r="AY1032" t="s">
        <v>131</v>
      </c>
      <c r="AZ1032" t="s">
        <v>131</v>
      </c>
      <c r="BA1032" t="s">
        <v>131</v>
      </c>
      <c r="BB1032" t="s">
        <v>131</v>
      </c>
      <c r="BC1032" t="s">
        <v>131</v>
      </c>
      <c r="BD1032" t="s">
        <v>131</v>
      </c>
      <c r="BE1032" t="s">
        <v>132</v>
      </c>
      <c r="BH1032" t="s">
        <v>10704</v>
      </c>
      <c r="BI1032" t="s">
        <v>135</v>
      </c>
      <c r="BJ1032" t="s">
        <v>5714</v>
      </c>
      <c r="BK1032" t="s">
        <v>581</v>
      </c>
      <c r="BL1032" t="s">
        <v>307</v>
      </c>
      <c r="BN1032" t="s">
        <v>11045</v>
      </c>
      <c r="BO1032" t="s">
        <v>131</v>
      </c>
      <c r="BP1032" t="s">
        <v>134</v>
      </c>
      <c r="BQ1032" t="s">
        <v>135</v>
      </c>
      <c r="BR1032">
        <v>1</v>
      </c>
      <c r="BS1032" t="str">
        <f>"Cooking and baking under a supervisor for one month."</f>
        <v>Cooking and baking under a supervisor for one month.</v>
      </c>
      <c r="BT1032" t="s">
        <v>135</v>
      </c>
      <c r="BU1032">
        <v>1</v>
      </c>
      <c r="BV1032" t="str">
        <f>"Cooking or baking for a restaurant for a period of at least 1 month."</f>
        <v>Cooking or baking for a restaurant for a period of at least 1 month.</v>
      </c>
      <c r="BW1032" t="s">
        <v>131</v>
      </c>
      <c r="BX1032" t="str">
        <f>""</f>
        <v/>
      </c>
      <c r="BY1032" t="str">
        <f>""</f>
        <v/>
      </c>
      <c r="BZ1032" t="str">
        <f>""</f>
        <v/>
      </c>
      <c r="CA1032" t="str">
        <f>""</f>
        <v/>
      </c>
      <c r="CB1032" t="s">
        <v>131</v>
      </c>
      <c r="CF1032" t="s">
        <v>131</v>
      </c>
      <c r="CH1032" t="str">
        <f>""</f>
        <v/>
      </c>
      <c r="CI1032" t="s">
        <v>131</v>
      </c>
      <c r="CK1032" t="s">
        <v>131</v>
      </c>
      <c r="CL1032" t="str">
        <f>""</f>
        <v/>
      </c>
      <c r="CM1032" t="str">
        <f>""</f>
        <v/>
      </c>
      <c r="CN1032" t="str">
        <f>""</f>
        <v/>
      </c>
      <c r="CO1032" t="str">
        <f>""</f>
        <v/>
      </c>
      <c r="CP1032" t="str">
        <f>"35-1011.00"</f>
        <v>35-1011.00</v>
      </c>
      <c r="CQ1032" t="s">
        <v>1392</v>
      </c>
      <c r="CR1032" t="s">
        <v>1745</v>
      </c>
      <c r="CS1032" t="s">
        <v>131</v>
      </c>
      <c r="CU1032" t="s">
        <v>11046</v>
      </c>
      <c r="CW1032" t="s">
        <v>11042</v>
      </c>
      <c r="CX1032" t="s">
        <v>389</v>
      </c>
      <c r="CZ1032" s="3" t="str">
        <f>"54902-8812"</f>
        <v>54902-8812</v>
      </c>
      <c r="DA1032" t="s">
        <v>131</v>
      </c>
      <c r="DB1032" t="str">
        <f>"35-1011"</f>
        <v>35-1011</v>
      </c>
      <c r="DC1032" t="s">
        <v>1392</v>
      </c>
      <c r="DD1032" t="s">
        <v>134</v>
      </c>
      <c r="DE1032" t="s">
        <v>134</v>
      </c>
      <c r="DF1032" t="str">
        <f>""</f>
        <v/>
      </c>
      <c r="DH1032" s="6">
        <v>15.86</v>
      </c>
      <c r="DI1032" t="s">
        <v>344</v>
      </c>
      <c r="DK1032" t="s">
        <v>345</v>
      </c>
      <c r="DR1032" t="s">
        <v>11047</v>
      </c>
      <c r="DS1032" s="6">
        <v>15.86</v>
      </c>
      <c r="DT1032" t="s">
        <v>424</v>
      </c>
      <c r="DU1032" s="1">
        <v>44375</v>
      </c>
      <c r="DV1032" s="1">
        <v>44464</v>
      </c>
    </row>
    <row r="1033" spans="1:126" ht="15" customHeight="1" x14ac:dyDescent="0.35">
      <c r="A1033" t="s">
        <v>17474</v>
      </c>
      <c r="B1033" t="s">
        <v>318</v>
      </c>
      <c r="C1033" s="1">
        <v>44348</v>
      </c>
      <c r="D1033" s="1">
        <v>44375</v>
      </c>
      <c r="H1033" t="s">
        <v>319</v>
      </c>
      <c r="I1033" t="s">
        <v>17475</v>
      </c>
      <c r="J1033" t="s">
        <v>4365</v>
      </c>
      <c r="L1033" t="s">
        <v>303</v>
      </c>
      <c r="M1033" t="s">
        <v>17476</v>
      </c>
      <c r="O1033" t="s">
        <v>3878</v>
      </c>
      <c r="P1033" t="s">
        <v>1675</v>
      </c>
      <c r="Q1033" s="3">
        <v>68845</v>
      </c>
      <c r="R1033" t="s">
        <v>128</v>
      </c>
      <c r="T1033" s="4">
        <v>13084405810</v>
      </c>
      <c r="V1033" t="s">
        <v>2647</v>
      </c>
      <c r="W1033" t="s">
        <v>17477</v>
      </c>
      <c r="X1033" t="s">
        <v>17478</v>
      </c>
      <c r="Y1033" t="s">
        <v>17479</v>
      </c>
      <c r="AA1033" t="s">
        <v>881</v>
      </c>
      <c r="AB1033" t="s">
        <v>1176</v>
      </c>
      <c r="AC1033" s="3" t="str">
        <f>"67801"</f>
        <v>67801</v>
      </c>
      <c r="AD1033" t="s">
        <v>128</v>
      </c>
      <c r="AF1033" s="4">
        <v>13084405810</v>
      </c>
      <c r="AH1033" t="str">
        <f>"721110"</f>
        <v>721110</v>
      </c>
      <c r="AI1033" t="s">
        <v>287</v>
      </c>
      <c r="AJ1033" t="s">
        <v>2649</v>
      </c>
      <c r="AK1033" t="s">
        <v>2371</v>
      </c>
      <c r="AM1033" t="s">
        <v>2650</v>
      </c>
      <c r="AO1033" t="s">
        <v>2651</v>
      </c>
      <c r="AP1033" t="s">
        <v>1336</v>
      </c>
      <c r="AQ1033" s="5">
        <v>74132</v>
      </c>
      <c r="AR1033" t="s">
        <v>128</v>
      </c>
      <c r="AS1033" t="s">
        <v>2652</v>
      </c>
      <c r="AT1033" s="4">
        <v>19189065212</v>
      </c>
      <c r="AV1033" t="s">
        <v>2647</v>
      </c>
      <c r="AW1033" t="s">
        <v>2653</v>
      </c>
      <c r="AX1033" t="s">
        <v>131</v>
      </c>
      <c r="AY1033" t="s">
        <v>131</v>
      </c>
      <c r="AZ1033" t="s">
        <v>131</v>
      </c>
      <c r="BA1033" t="s">
        <v>131</v>
      </c>
      <c r="BB1033" t="s">
        <v>131</v>
      </c>
      <c r="BC1033" t="s">
        <v>131</v>
      </c>
      <c r="BD1033" t="s">
        <v>131</v>
      </c>
      <c r="BE1033" t="s">
        <v>132</v>
      </c>
      <c r="BH1033" t="s">
        <v>479</v>
      </c>
      <c r="BI1033" t="s">
        <v>131</v>
      </c>
      <c r="BL1033" t="s">
        <v>167</v>
      </c>
      <c r="BO1033" t="s">
        <v>131</v>
      </c>
      <c r="BP1033" t="s">
        <v>134</v>
      </c>
      <c r="BQ1033" t="s">
        <v>131</v>
      </c>
      <c r="BS1033" t="str">
        <f t="shared" ref="BS1033:BS1052" si="74">"N/A"</f>
        <v>N/A</v>
      </c>
      <c r="BT1033" t="s">
        <v>131</v>
      </c>
      <c r="BV1033" t="str">
        <f>""</f>
        <v/>
      </c>
      <c r="BW1033" t="s">
        <v>135</v>
      </c>
      <c r="BX1033" t="str">
        <f>""</f>
        <v/>
      </c>
      <c r="BY1033" t="str">
        <f>""</f>
        <v/>
      </c>
      <c r="BZ1033" t="str">
        <f>""</f>
        <v/>
      </c>
      <c r="CA1033" t="str">
        <f>"Ability to lift 20lbs"</f>
        <v>Ability to lift 20lbs</v>
      </c>
      <c r="CB1033" t="s">
        <v>131</v>
      </c>
      <c r="CF1033" t="s">
        <v>131</v>
      </c>
      <c r="CH1033" t="str">
        <f>""</f>
        <v/>
      </c>
      <c r="CI1033" t="s">
        <v>131</v>
      </c>
      <c r="CK1033" t="s">
        <v>131</v>
      </c>
      <c r="CL1033" t="str">
        <f>""</f>
        <v/>
      </c>
      <c r="CM1033" t="str">
        <f>""</f>
        <v/>
      </c>
      <c r="CN1033" t="str">
        <f>""</f>
        <v/>
      </c>
      <c r="CO1033" t="str">
        <f>""</f>
        <v/>
      </c>
      <c r="CP1033" t="str">
        <f>"37-2012.00"</f>
        <v>37-2012.00</v>
      </c>
      <c r="CQ1033" t="s">
        <v>479</v>
      </c>
      <c r="CR1033" t="s">
        <v>918</v>
      </c>
      <c r="CS1033" t="s">
        <v>131</v>
      </c>
      <c r="CU1033" t="s">
        <v>17479</v>
      </c>
      <c r="CW1033" t="s">
        <v>881</v>
      </c>
      <c r="CX1033" t="s">
        <v>1176</v>
      </c>
      <c r="CZ1033" s="3" t="str">
        <f>"68701"</f>
        <v>68701</v>
      </c>
      <c r="DA1033" t="s">
        <v>131</v>
      </c>
      <c r="DB1033" t="str">
        <f>"37-2012"</f>
        <v>37-2012</v>
      </c>
      <c r="DC1033" t="s">
        <v>479</v>
      </c>
      <c r="DD1033" t="s">
        <v>134</v>
      </c>
      <c r="DE1033" t="s">
        <v>134</v>
      </c>
      <c r="DF1033" t="str">
        <f>""</f>
        <v/>
      </c>
      <c r="DH1033" s="6">
        <v>12.48</v>
      </c>
      <c r="DI1033" t="s">
        <v>344</v>
      </c>
      <c r="DK1033" t="s">
        <v>345</v>
      </c>
      <c r="DR1033" t="s">
        <v>10777</v>
      </c>
      <c r="DS1033" s="6">
        <v>12.48</v>
      </c>
      <c r="DT1033" t="s">
        <v>424</v>
      </c>
      <c r="DU1033" s="1">
        <v>44375</v>
      </c>
      <c r="DV1033" s="1">
        <v>44464</v>
      </c>
    </row>
    <row r="1034" spans="1:126" ht="15" customHeight="1" x14ac:dyDescent="0.35">
      <c r="A1034" t="s">
        <v>19304</v>
      </c>
      <c r="B1034" t="s">
        <v>318</v>
      </c>
      <c r="C1034" s="1">
        <v>44348</v>
      </c>
      <c r="D1034" s="1">
        <v>44375</v>
      </c>
      <c r="H1034" t="s">
        <v>319</v>
      </c>
      <c r="I1034" t="s">
        <v>4266</v>
      </c>
      <c r="J1034" t="s">
        <v>618</v>
      </c>
      <c r="L1034" t="s">
        <v>4270</v>
      </c>
      <c r="M1034" t="s">
        <v>4268</v>
      </c>
      <c r="O1034" t="s">
        <v>4269</v>
      </c>
      <c r="P1034" t="s">
        <v>194</v>
      </c>
      <c r="Q1034" s="3">
        <v>33314</v>
      </c>
      <c r="R1034" t="s">
        <v>128</v>
      </c>
      <c r="T1034" s="4">
        <v>19547975463</v>
      </c>
      <c r="V1034" t="s">
        <v>4270</v>
      </c>
      <c r="W1034" t="s">
        <v>9294</v>
      </c>
      <c r="X1034" t="s">
        <v>4271</v>
      </c>
      <c r="Y1034" t="s">
        <v>4268</v>
      </c>
      <c r="AA1034" t="s">
        <v>4269</v>
      </c>
      <c r="AB1034" t="s">
        <v>195</v>
      </c>
      <c r="AC1034" s="3" t="str">
        <f>"33314"</f>
        <v>33314</v>
      </c>
      <c r="AD1034" t="s">
        <v>128</v>
      </c>
      <c r="AF1034" s="4">
        <v>19547975463</v>
      </c>
      <c r="AH1034" t="str">
        <f>"72112"</f>
        <v>72112</v>
      </c>
      <c r="AI1034" t="s">
        <v>287</v>
      </c>
      <c r="AJ1034" t="s">
        <v>2209</v>
      </c>
      <c r="AK1034" t="s">
        <v>1459</v>
      </c>
      <c r="AL1034" t="s">
        <v>2210</v>
      </c>
      <c r="AM1034" t="s">
        <v>2211</v>
      </c>
      <c r="AN1034" t="s">
        <v>788</v>
      </c>
      <c r="AO1034" t="s">
        <v>2212</v>
      </c>
      <c r="AP1034" t="s">
        <v>400</v>
      </c>
      <c r="AQ1034" s="5">
        <v>75033</v>
      </c>
      <c r="AR1034" t="s">
        <v>128</v>
      </c>
      <c r="AT1034" s="4">
        <v>19727789690</v>
      </c>
      <c r="AV1034" t="s">
        <v>2213</v>
      </c>
      <c r="AW1034" t="s">
        <v>2214</v>
      </c>
      <c r="AX1034" t="s">
        <v>131</v>
      </c>
      <c r="AY1034" t="s">
        <v>131</v>
      </c>
      <c r="AZ1034" t="s">
        <v>131</v>
      </c>
      <c r="BA1034" t="s">
        <v>131</v>
      </c>
      <c r="BB1034" t="s">
        <v>131</v>
      </c>
      <c r="BC1034" t="s">
        <v>131</v>
      </c>
      <c r="BD1034" t="s">
        <v>131</v>
      </c>
      <c r="BE1034" t="s">
        <v>132</v>
      </c>
      <c r="BH1034" t="s">
        <v>1639</v>
      </c>
      <c r="BI1034" t="s">
        <v>131</v>
      </c>
      <c r="BL1034" t="s">
        <v>167</v>
      </c>
      <c r="BO1034" t="s">
        <v>131</v>
      </c>
      <c r="BP1034" t="s">
        <v>134</v>
      </c>
      <c r="BQ1034" t="s">
        <v>131</v>
      </c>
      <c r="BS1034" t="str">
        <f t="shared" si="74"/>
        <v>N/A</v>
      </c>
      <c r="BT1034" t="s">
        <v>135</v>
      </c>
      <c r="BU1034">
        <v>3</v>
      </c>
      <c r="BV1034" t="str">
        <f>"Housekeeper"</f>
        <v>Housekeeper</v>
      </c>
      <c r="BW1034" t="s">
        <v>135</v>
      </c>
      <c r="BX1034" t="str">
        <f>""</f>
        <v/>
      </c>
      <c r="BY1034" t="str">
        <f>""</f>
        <v/>
      </c>
      <c r="BZ1034" t="str">
        <f>""</f>
        <v/>
      </c>
      <c r="CA1034" t="str">
        <f>"Must be able to work a 5 day schedule, including weekends and holidays as required. Applicant must complete an employment application."</f>
        <v>Must be able to work a 5 day schedule, including weekends and holidays as required. Applicant must complete an employment application.</v>
      </c>
      <c r="CB1034" t="s">
        <v>131</v>
      </c>
      <c r="CF1034" t="s">
        <v>131</v>
      </c>
      <c r="CH1034" t="str">
        <f>""</f>
        <v/>
      </c>
      <c r="CI1034" t="s">
        <v>131</v>
      </c>
      <c r="CK1034" t="s">
        <v>131</v>
      </c>
      <c r="CL1034" t="str">
        <f>""</f>
        <v/>
      </c>
      <c r="CM1034" t="str">
        <f>""</f>
        <v/>
      </c>
      <c r="CN1034" t="str">
        <f>""</f>
        <v/>
      </c>
      <c r="CO1034" t="str">
        <f>""</f>
        <v/>
      </c>
      <c r="CP1034" t="str">
        <f>"37-2012.00"</f>
        <v>37-2012.00</v>
      </c>
      <c r="CQ1034" t="s">
        <v>479</v>
      </c>
      <c r="CS1034" t="s">
        <v>131</v>
      </c>
      <c r="CU1034" t="s">
        <v>4273</v>
      </c>
      <c r="CW1034" t="s">
        <v>4674</v>
      </c>
      <c r="CX1034" t="s">
        <v>195</v>
      </c>
      <c r="CZ1034" s="3" t="str">
        <f>"33314"</f>
        <v>33314</v>
      </c>
      <c r="DA1034" t="s">
        <v>135</v>
      </c>
      <c r="DB1034" t="str">
        <f>"37-2012"</f>
        <v>37-2012</v>
      </c>
      <c r="DC1034" t="s">
        <v>479</v>
      </c>
      <c r="DD1034" t="s">
        <v>134</v>
      </c>
      <c r="DE1034" t="s">
        <v>134</v>
      </c>
      <c r="DF1034" t="str">
        <f>""</f>
        <v/>
      </c>
      <c r="DH1034" s="6">
        <v>11.7</v>
      </c>
      <c r="DI1034" t="s">
        <v>344</v>
      </c>
      <c r="DK1034" t="s">
        <v>345</v>
      </c>
      <c r="DR1034" t="s">
        <v>2160</v>
      </c>
      <c r="DS1034" s="6">
        <v>11.7</v>
      </c>
      <c r="DT1034" t="s">
        <v>424</v>
      </c>
      <c r="DU1034" s="1">
        <v>44375</v>
      </c>
      <c r="DV1034" s="1">
        <v>44464</v>
      </c>
    </row>
    <row r="1035" spans="1:126" ht="15" customHeight="1" x14ac:dyDescent="0.35">
      <c r="A1035" t="s">
        <v>9293</v>
      </c>
      <c r="B1035" t="s">
        <v>318</v>
      </c>
      <c r="C1035" s="1">
        <v>44348</v>
      </c>
      <c r="D1035" s="1">
        <v>44375</v>
      </c>
      <c r="H1035" t="s">
        <v>319</v>
      </c>
      <c r="I1035" t="s">
        <v>4266</v>
      </c>
      <c r="J1035" t="s">
        <v>618</v>
      </c>
      <c r="L1035" t="s">
        <v>4270</v>
      </c>
      <c r="M1035" t="s">
        <v>4268</v>
      </c>
      <c r="O1035" t="s">
        <v>4269</v>
      </c>
      <c r="P1035" t="s">
        <v>194</v>
      </c>
      <c r="Q1035" s="3">
        <v>33314</v>
      </c>
      <c r="R1035" t="s">
        <v>128</v>
      </c>
      <c r="T1035" s="4">
        <v>19547975463</v>
      </c>
      <c r="V1035" t="s">
        <v>4270</v>
      </c>
      <c r="W1035" t="s">
        <v>9294</v>
      </c>
      <c r="X1035" t="s">
        <v>4271</v>
      </c>
      <c r="Y1035" t="s">
        <v>4268</v>
      </c>
      <c r="AA1035" t="s">
        <v>4269</v>
      </c>
      <c r="AB1035" t="s">
        <v>195</v>
      </c>
      <c r="AC1035" s="3" t="str">
        <f>"33314"</f>
        <v>33314</v>
      </c>
      <c r="AD1035" t="s">
        <v>128</v>
      </c>
      <c r="AF1035" s="4">
        <v>19547975463</v>
      </c>
      <c r="AH1035" t="str">
        <f>"7211"</f>
        <v>7211</v>
      </c>
      <c r="AI1035" t="s">
        <v>287</v>
      </c>
      <c r="AJ1035" t="s">
        <v>2209</v>
      </c>
      <c r="AK1035" t="s">
        <v>1459</v>
      </c>
      <c r="AL1035" t="s">
        <v>2210</v>
      </c>
      <c r="AM1035" t="s">
        <v>2211</v>
      </c>
      <c r="AN1035" t="s">
        <v>788</v>
      </c>
      <c r="AO1035" t="s">
        <v>2212</v>
      </c>
      <c r="AP1035" t="s">
        <v>400</v>
      </c>
      <c r="AQ1035" s="5">
        <v>75033</v>
      </c>
      <c r="AR1035" t="s">
        <v>128</v>
      </c>
      <c r="AT1035" s="4">
        <v>19727789690</v>
      </c>
      <c r="AV1035" t="s">
        <v>2213</v>
      </c>
      <c r="AW1035" t="s">
        <v>2214</v>
      </c>
      <c r="AX1035" t="s">
        <v>131</v>
      </c>
      <c r="AY1035" t="s">
        <v>131</v>
      </c>
      <c r="AZ1035" t="s">
        <v>131</v>
      </c>
      <c r="BA1035" t="s">
        <v>131</v>
      </c>
      <c r="BB1035" t="s">
        <v>131</v>
      </c>
      <c r="BC1035" t="s">
        <v>131</v>
      </c>
      <c r="BD1035" t="s">
        <v>131</v>
      </c>
      <c r="BE1035" t="s">
        <v>132</v>
      </c>
      <c r="BH1035" t="s">
        <v>2550</v>
      </c>
      <c r="BI1035" t="s">
        <v>131</v>
      </c>
      <c r="BL1035" t="s">
        <v>167</v>
      </c>
      <c r="BO1035" t="s">
        <v>131</v>
      </c>
      <c r="BP1035" t="s">
        <v>134</v>
      </c>
      <c r="BQ1035" t="s">
        <v>131</v>
      </c>
      <c r="BS1035" t="str">
        <f t="shared" si="74"/>
        <v>N/A</v>
      </c>
      <c r="BT1035" t="s">
        <v>135</v>
      </c>
      <c r="BU1035">
        <v>3</v>
      </c>
      <c r="BV1035" t="str">
        <f>"Dishwasher (Steward)"</f>
        <v>Dishwasher (Steward)</v>
      </c>
      <c r="BW1035" t="s">
        <v>131</v>
      </c>
      <c r="BX1035" t="str">
        <f>""</f>
        <v/>
      </c>
      <c r="BY1035" t="str">
        <f>""</f>
        <v/>
      </c>
      <c r="BZ1035" t="str">
        <f>""</f>
        <v/>
      </c>
      <c r="CA1035" t="str">
        <f>""</f>
        <v/>
      </c>
      <c r="CB1035" t="s">
        <v>131</v>
      </c>
      <c r="CF1035" t="s">
        <v>131</v>
      </c>
      <c r="CH1035" t="str">
        <f>""</f>
        <v/>
      </c>
      <c r="CI1035" t="s">
        <v>131</v>
      </c>
      <c r="CK1035" t="s">
        <v>131</v>
      </c>
      <c r="CL1035" t="str">
        <f>""</f>
        <v/>
      </c>
      <c r="CM1035" t="str">
        <f>""</f>
        <v/>
      </c>
      <c r="CN1035" t="str">
        <f>""</f>
        <v/>
      </c>
      <c r="CO1035" t="str">
        <f>""</f>
        <v/>
      </c>
      <c r="CP1035" t="str">
        <f>"35-9021.00"</f>
        <v>35-9021.00</v>
      </c>
      <c r="CQ1035" t="s">
        <v>2552</v>
      </c>
      <c r="CS1035" t="s">
        <v>131</v>
      </c>
      <c r="CU1035" t="s">
        <v>4273</v>
      </c>
      <c r="CW1035" t="s">
        <v>4674</v>
      </c>
      <c r="CX1035" t="s">
        <v>195</v>
      </c>
      <c r="CZ1035" s="3" t="str">
        <f>"33314"</f>
        <v>33314</v>
      </c>
      <c r="DA1035" t="s">
        <v>131</v>
      </c>
      <c r="DB1035" t="str">
        <f>"35-9021"</f>
        <v>35-9021</v>
      </c>
      <c r="DC1035" t="s">
        <v>2552</v>
      </c>
      <c r="DD1035" t="s">
        <v>134</v>
      </c>
      <c r="DE1035" t="s">
        <v>134</v>
      </c>
      <c r="DF1035" t="str">
        <f>""</f>
        <v/>
      </c>
      <c r="DH1035" s="6">
        <v>11.01</v>
      </c>
      <c r="DI1035" t="s">
        <v>344</v>
      </c>
      <c r="DK1035" t="s">
        <v>345</v>
      </c>
      <c r="DR1035" t="s">
        <v>2160</v>
      </c>
      <c r="DS1035" s="6">
        <v>11.01</v>
      </c>
      <c r="DT1035" t="s">
        <v>424</v>
      </c>
      <c r="DU1035" s="1">
        <v>44375</v>
      </c>
      <c r="DV1035" s="1">
        <v>44464</v>
      </c>
    </row>
    <row r="1036" spans="1:126" ht="15" customHeight="1" x14ac:dyDescent="0.35">
      <c r="A1036" t="s">
        <v>19408</v>
      </c>
      <c r="B1036" t="s">
        <v>318</v>
      </c>
      <c r="C1036" s="1">
        <v>44348</v>
      </c>
      <c r="D1036" s="1">
        <v>44375</v>
      </c>
      <c r="H1036" t="s">
        <v>319</v>
      </c>
      <c r="I1036" t="s">
        <v>6675</v>
      </c>
      <c r="J1036" t="s">
        <v>3139</v>
      </c>
      <c r="L1036" t="s">
        <v>628</v>
      </c>
      <c r="M1036" t="s">
        <v>19409</v>
      </c>
      <c r="O1036" t="s">
        <v>6445</v>
      </c>
      <c r="P1036" t="s">
        <v>194</v>
      </c>
      <c r="Q1036" s="3">
        <v>32043</v>
      </c>
      <c r="R1036" t="s">
        <v>128</v>
      </c>
      <c r="T1036" s="4">
        <v>19048299255</v>
      </c>
      <c r="V1036" t="s">
        <v>19410</v>
      </c>
      <c r="W1036" t="s">
        <v>16228</v>
      </c>
      <c r="X1036" t="s">
        <v>19411</v>
      </c>
      <c r="Y1036" t="s">
        <v>19409</v>
      </c>
      <c r="Z1036" t="s">
        <v>18649</v>
      </c>
      <c r="AA1036" t="s">
        <v>6445</v>
      </c>
      <c r="AB1036" t="s">
        <v>195</v>
      </c>
      <c r="AC1036" s="3" t="str">
        <f>"32043"</f>
        <v>32043</v>
      </c>
      <c r="AD1036" t="s">
        <v>128</v>
      </c>
      <c r="AF1036" s="4">
        <v>19048299255</v>
      </c>
      <c r="AH1036" t="str">
        <f>"56173"</f>
        <v>56173</v>
      </c>
      <c r="AI1036" t="s">
        <v>287</v>
      </c>
      <c r="AJ1036" t="s">
        <v>2209</v>
      </c>
      <c r="AK1036" t="s">
        <v>1459</v>
      </c>
      <c r="AL1036" t="s">
        <v>2210</v>
      </c>
      <c r="AM1036" t="s">
        <v>2211</v>
      </c>
      <c r="AN1036" t="s">
        <v>788</v>
      </c>
      <c r="AO1036" t="s">
        <v>2212</v>
      </c>
      <c r="AP1036" t="s">
        <v>400</v>
      </c>
      <c r="AQ1036" s="5">
        <v>75033</v>
      </c>
      <c r="AR1036" t="s">
        <v>128</v>
      </c>
      <c r="AT1036" s="4">
        <v>19727789690</v>
      </c>
      <c r="AV1036" t="s">
        <v>2213</v>
      </c>
      <c r="AW1036" t="s">
        <v>2214</v>
      </c>
      <c r="AX1036" t="s">
        <v>131</v>
      </c>
      <c r="AY1036" t="s">
        <v>131</v>
      </c>
      <c r="AZ1036" t="s">
        <v>131</v>
      </c>
      <c r="BA1036" t="s">
        <v>131</v>
      </c>
      <c r="BB1036" t="s">
        <v>131</v>
      </c>
      <c r="BC1036" t="s">
        <v>131</v>
      </c>
      <c r="BD1036" t="s">
        <v>131</v>
      </c>
      <c r="BE1036" t="s">
        <v>132</v>
      </c>
      <c r="BH1036" t="s">
        <v>2215</v>
      </c>
      <c r="BI1036" t="s">
        <v>131</v>
      </c>
      <c r="BL1036" t="s">
        <v>167</v>
      </c>
      <c r="BO1036" t="s">
        <v>131</v>
      </c>
      <c r="BP1036" t="s">
        <v>134</v>
      </c>
      <c r="BQ1036" t="s">
        <v>131</v>
      </c>
      <c r="BS1036" t="str">
        <f t="shared" si="74"/>
        <v>N/A</v>
      </c>
      <c r="BT1036" t="s">
        <v>131</v>
      </c>
      <c r="BV1036" t="str">
        <f>""</f>
        <v/>
      </c>
      <c r="BW1036" t="s">
        <v>135</v>
      </c>
      <c r="BX1036" t="str">
        <f>""</f>
        <v/>
      </c>
      <c r="BY1036" t="str">
        <f>""</f>
        <v/>
      </c>
      <c r="BZ1036" t="str">
        <f>""</f>
        <v/>
      </c>
      <c r="CA1036" t="str">
        <f>"Must be able to work a 5 day schedule, including weekends and holidays as required. Applicant must complete an employment application."</f>
        <v>Must be able to work a 5 day schedule, including weekends and holidays as required. Applicant must complete an employment application.</v>
      </c>
      <c r="CB1036" t="s">
        <v>131</v>
      </c>
      <c r="CF1036" t="s">
        <v>131</v>
      </c>
      <c r="CH1036" t="str">
        <f>""</f>
        <v/>
      </c>
      <c r="CI1036" t="s">
        <v>131</v>
      </c>
      <c r="CK1036" t="s">
        <v>131</v>
      </c>
      <c r="CL1036" t="str">
        <f>""</f>
        <v/>
      </c>
      <c r="CM1036" t="str">
        <f>""</f>
        <v/>
      </c>
      <c r="CN1036" t="str">
        <f>""</f>
        <v/>
      </c>
      <c r="CO1036" t="str">
        <f>""</f>
        <v/>
      </c>
      <c r="CP1036" t="str">
        <f>"37-3011.00"</f>
        <v>37-3011.00</v>
      </c>
      <c r="CQ1036" t="s">
        <v>920</v>
      </c>
      <c r="CS1036" t="s">
        <v>135</v>
      </c>
      <c r="CT1036" t="s">
        <v>19412</v>
      </c>
      <c r="CU1036" t="s">
        <v>19409</v>
      </c>
      <c r="CW1036" t="s">
        <v>6445</v>
      </c>
      <c r="CX1036" t="s">
        <v>195</v>
      </c>
      <c r="CZ1036" s="3" t="str">
        <f>"32043"</f>
        <v>32043</v>
      </c>
      <c r="DA1036" t="s">
        <v>135</v>
      </c>
      <c r="DB1036" t="str">
        <f>"37-3011"</f>
        <v>37-3011</v>
      </c>
      <c r="DC1036" t="s">
        <v>920</v>
      </c>
      <c r="DD1036" t="s">
        <v>134</v>
      </c>
      <c r="DE1036" t="s">
        <v>134</v>
      </c>
      <c r="DF1036" t="str">
        <f>""</f>
        <v/>
      </c>
      <c r="DH1036" s="6">
        <v>13.51</v>
      </c>
      <c r="DI1036" t="s">
        <v>344</v>
      </c>
      <c r="DK1036" t="s">
        <v>345</v>
      </c>
      <c r="DR1036" t="s">
        <v>6681</v>
      </c>
      <c r="DS1036" s="6">
        <v>13.51</v>
      </c>
      <c r="DT1036" s="2" t="s">
        <v>347</v>
      </c>
      <c r="DU1036" s="1">
        <v>44375</v>
      </c>
      <c r="DV1036" s="1">
        <v>44464</v>
      </c>
    </row>
    <row r="1037" spans="1:126" ht="15" customHeight="1" x14ac:dyDescent="0.35">
      <c r="A1037" t="s">
        <v>15056</v>
      </c>
      <c r="B1037" t="s">
        <v>318</v>
      </c>
      <c r="C1037" s="1">
        <v>44348</v>
      </c>
      <c r="D1037" s="1">
        <v>44375</v>
      </c>
      <c r="H1037" t="s">
        <v>319</v>
      </c>
      <c r="I1037" t="s">
        <v>1732</v>
      </c>
      <c r="J1037" t="s">
        <v>560</v>
      </c>
      <c r="K1037" t="s">
        <v>803</v>
      </c>
      <c r="L1037" t="s">
        <v>130</v>
      </c>
      <c r="M1037" t="s">
        <v>15057</v>
      </c>
      <c r="N1037" t="s">
        <v>15058</v>
      </c>
      <c r="O1037" t="s">
        <v>1735</v>
      </c>
      <c r="P1037" t="s">
        <v>467</v>
      </c>
      <c r="Q1037" s="3">
        <v>81658</v>
      </c>
      <c r="R1037" t="s">
        <v>128</v>
      </c>
      <c r="T1037" s="4">
        <v>19703066476</v>
      </c>
      <c r="V1037" t="s">
        <v>1736</v>
      </c>
      <c r="W1037" t="s">
        <v>15059</v>
      </c>
      <c r="X1037" t="s">
        <v>13847</v>
      </c>
      <c r="Y1037" t="s">
        <v>15060</v>
      </c>
      <c r="Z1037" t="s">
        <v>15061</v>
      </c>
      <c r="AA1037" t="s">
        <v>915</v>
      </c>
      <c r="AB1037" t="s">
        <v>471</v>
      </c>
      <c r="AC1037" s="3" t="str">
        <f>"81620"</f>
        <v>81620</v>
      </c>
      <c r="AD1037" t="s">
        <v>128</v>
      </c>
      <c r="AF1037" s="4">
        <v>19707481156</v>
      </c>
      <c r="AH1037" t="str">
        <f>"813910"</f>
        <v>813910</v>
      </c>
      <c r="AI1037" t="s">
        <v>130</v>
      </c>
      <c r="AJ1037" t="s">
        <v>1732</v>
      </c>
      <c r="AK1037" t="s">
        <v>560</v>
      </c>
      <c r="AL1037" t="s">
        <v>803</v>
      </c>
      <c r="AM1037" t="s">
        <v>15057</v>
      </c>
      <c r="AN1037" t="s">
        <v>15062</v>
      </c>
      <c r="AO1037" t="s">
        <v>1735</v>
      </c>
      <c r="AP1037" t="s">
        <v>471</v>
      </c>
      <c r="AQ1037" s="5">
        <v>81658</v>
      </c>
      <c r="AR1037" t="s">
        <v>128</v>
      </c>
      <c r="AT1037" s="4">
        <v>19703066476</v>
      </c>
      <c r="AV1037" t="s">
        <v>1736</v>
      </c>
      <c r="AW1037" t="s">
        <v>1743</v>
      </c>
      <c r="AX1037" t="s">
        <v>131</v>
      </c>
      <c r="AY1037" t="s">
        <v>131</v>
      </c>
      <c r="AZ1037" t="s">
        <v>131</v>
      </c>
      <c r="BA1037" t="s">
        <v>131</v>
      </c>
      <c r="BB1037" t="s">
        <v>131</v>
      </c>
      <c r="BC1037" t="s">
        <v>131</v>
      </c>
      <c r="BD1037" t="s">
        <v>131</v>
      </c>
      <c r="BE1037" t="s">
        <v>132</v>
      </c>
      <c r="BH1037" t="s">
        <v>15063</v>
      </c>
      <c r="BI1037" t="s">
        <v>131</v>
      </c>
      <c r="BL1037" t="s">
        <v>167</v>
      </c>
      <c r="BO1037" t="s">
        <v>131</v>
      </c>
      <c r="BP1037" t="s">
        <v>134</v>
      </c>
      <c r="BQ1037" t="s">
        <v>131</v>
      </c>
      <c r="BS1037" t="str">
        <f t="shared" si="74"/>
        <v>N/A</v>
      </c>
      <c r="BT1037" t="s">
        <v>131</v>
      </c>
      <c r="BV1037" t="str">
        <f>""</f>
        <v/>
      </c>
      <c r="BW1037" t="s">
        <v>131</v>
      </c>
      <c r="BX1037" t="str">
        <f>""</f>
        <v/>
      </c>
      <c r="BY1037" t="str">
        <f>""</f>
        <v/>
      </c>
      <c r="BZ1037" t="str">
        <f>""</f>
        <v/>
      </c>
      <c r="CA1037" t="str">
        <f>""</f>
        <v/>
      </c>
      <c r="CB1037" t="s">
        <v>131</v>
      </c>
      <c r="CF1037" t="s">
        <v>131</v>
      </c>
      <c r="CH1037" t="str">
        <f>""</f>
        <v/>
      </c>
      <c r="CI1037" t="s">
        <v>131</v>
      </c>
      <c r="CK1037" t="s">
        <v>131</v>
      </c>
      <c r="CL1037" t="str">
        <f>""</f>
        <v/>
      </c>
      <c r="CM1037" t="str">
        <f>""</f>
        <v/>
      </c>
      <c r="CN1037" t="str">
        <f>""</f>
        <v/>
      </c>
      <c r="CO1037" t="str">
        <f>""</f>
        <v/>
      </c>
      <c r="CP1037" t="str">
        <f>"35-9021.00"</f>
        <v>35-9021.00</v>
      </c>
      <c r="CQ1037" t="s">
        <v>2552</v>
      </c>
      <c r="CR1037" t="s">
        <v>1745</v>
      </c>
      <c r="CS1037" t="s">
        <v>131</v>
      </c>
      <c r="CU1037" t="s">
        <v>15064</v>
      </c>
      <c r="CV1037" t="s">
        <v>15065</v>
      </c>
      <c r="CW1037" t="s">
        <v>915</v>
      </c>
      <c r="CX1037" t="s">
        <v>471</v>
      </c>
      <c r="CZ1037" s="3" t="str">
        <f>"81620"</f>
        <v>81620</v>
      </c>
      <c r="DA1037" t="s">
        <v>131</v>
      </c>
      <c r="DB1037" t="str">
        <f>"35-9011"</f>
        <v>35-9011</v>
      </c>
      <c r="DC1037" t="s">
        <v>1016</v>
      </c>
      <c r="DD1037" t="s">
        <v>134</v>
      </c>
      <c r="DE1037" t="s">
        <v>134</v>
      </c>
      <c r="DF1037" t="str">
        <f>""</f>
        <v/>
      </c>
      <c r="DH1037" s="6">
        <v>12.53</v>
      </c>
      <c r="DI1037" t="s">
        <v>344</v>
      </c>
      <c r="DK1037" t="s">
        <v>345</v>
      </c>
      <c r="DS1037" s="6">
        <v>12.53</v>
      </c>
      <c r="DT1037" t="s">
        <v>424</v>
      </c>
      <c r="DU1037" s="1">
        <v>44375</v>
      </c>
      <c r="DV1037" s="1">
        <v>44464</v>
      </c>
    </row>
    <row r="1038" spans="1:126" ht="15" customHeight="1" x14ac:dyDescent="0.35">
      <c r="A1038" t="s">
        <v>19172</v>
      </c>
      <c r="B1038" t="s">
        <v>318</v>
      </c>
      <c r="C1038" s="1">
        <v>44348</v>
      </c>
      <c r="D1038" s="1">
        <v>44375</v>
      </c>
      <c r="H1038" t="s">
        <v>319</v>
      </c>
      <c r="I1038" t="s">
        <v>12017</v>
      </c>
      <c r="J1038" t="s">
        <v>1623</v>
      </c>
      <c r="K1038" t="s">
        <v>730</v>
      </c>
      <c r="L1038" t="s">
        <v>395</v>
      </c>
      <c r="M1038" t="s">
        <v>19173</v>
      </c>
      <c r="O1038" t="s">
        <v>1674</v>
      </c>
      <c r="P1038" t="s">
        <v>1675</v>
      </c>
      <c r="Q1038" s="3">
        <v>68516</v>
      </c>
      <c r="R1038" t="s">
        <v>128</v>
      </c>
      <c r="T1038" s="4">
        <v>14025703512</v>
      </c>
      <c r="V1038" t="s">
        <v>19174</v>
      </c>
      <c r="W1038" t="s">
        <v>19175</v>
      </c>
      <c r="X1038" t="s">
        <v>19176</v>
      </c>
      <c r="Y1038" t="s">
        <v>19173</v>
      </c>
      <c r="AA1038" t="s">
        <v>1674</v>
      </c>
      <c r="AB1038" t="s">
        <v>1176</v>
      </c>
      <c r="AC1038" s="3" t="str">
        <f>"68516"</f>
        <v>68516</v>
      </c>
      <c r="AD1038" t="s">
        <v>128</v>
      </c>
      <c r="AF1038" s="4">
        <v>14025703512</v>
      </c>
      <c r="AH1038" t="str">
        <f>"56173"</f>
        <v>56173</v>
      </c>
      <c r="AI1038" t="s">
        <v>130</v>
      </c>
      <c r="AJ1038" t="s">
        <v>4018</v>
      </c>
      <c r="AK1038" t="s">
        <v>2069</v>
      </c>
      <c r="AM1038" t="s">
        <v>4019</v>
      </c>
      <c r="AO1038" t="s">
        <v>1040</v>
      </c>
      <c r="AP1038" t="s">
        <v>400</v>
      </c>
      <c r="AQ1038" s="5">
        <v>78737</v>
      </c>
      <c r="AR1038" t="s">
        <v>128</v>
      </c>
      <c r="AT1038" s="4">
        <v>15128942128</v>
      </c>
      <c r="AV1038" t="s">
        <v>4020</v>
      </c>
      <c r="AW1038" t="s">
        <v>4021</v>
      </c>
      <c r="AX1038" t="s">
        <v>131</v>
      </c>
      <c r="AY1038" t="s">
        <v>131</v>
      </c>
      <c r="AZ1038" t="s">
        <v>131</v>
      </c>
      <c r="BA1038" t="s">
        <v>131</v>
      </c>
      <c r="BB1038" t="s">
        <v>131</v>
      </c>
      <c r="BC1038" t="s">
        <v>131</v>
      </c>
      <c r="BD1038" t="s">
        <v>131</v>
      </c>
      <c r="BE1038" t="s">
        <v>132</v>
      </c>
      <c r="BH1038" t="s">
        <v>4509</v>
      </c>
      <c r="BI1038" t="s">
        <v>131</v>
      </c>
      <c r="BL1038" t="s">
        <v>167</v>
      </c>
      <c r="BO1038" t="s">
        <v>131</v>
      </c>
      <c r="BP1038" t="s">
        <v>134</v>
      </c>
      <c r="BQ1038" t="s">
        <v>131</v>
      </c>
      <c r="BS1038" t="str">
        <f t="shared" si="74"/>
        <v>N/A</v>
      </c>
      <c r="BT1038" t="s">
        <v>135</v>
      </c>
      <c r="BU1038">
        <v>1</v>
      </c>
      <c r="BV1038" t="str">
        <f>"See F.b.5.a"</f>
        <v>See F.b.5.a</v>
      </c>
      <c r="BW1038" t="s">
        <v>135</v>
      </c>
      <c r="BX1038" t="str">
        <f>""</f>
        <v/>
      </c>
      <c r="BY1038" t="str">
        <f>""</f>
        <v/>
      </c>
      <c r="BZ1038" t="str">
        <f>""</f>
        <v/>
      </c>
      <c r="CA1038" t="str">
        <f>"POSITION REQUIRES ONE (1) MONTH OF LAWN CARE AND MAINTENANCE EXPERIENCE. MUST BE ABLE TO LIFT AND CARRY UP TO 75 POUNDS AND PERFORM PHYSICAL WORK."</f>
        <v>POSITION REQUIRES ONE (1) MONTH OF LAWN CARE AND MAINTENANCE EXPERIENCE. MUST BE ABLE TO LIFT AND CARRY UP TO 75 POUNDS AND PERFORM PHYSICAL WORK.</v>
      </c>
      <c r="CB1038" t="s">
        <v>131</v>
      </c>
      <c r="CF1038" t="s">
        <v>131</v>
      </c>
      <c r="CH1038" t="str">
        <f>""</f>
        <v/>
      </c>
      <c r="CI1038" t="s">
        <v>131</v>
      </c>
      <c r="CK1038" t="s">
        <v>131</v>
      </c>
      <c r="CL1038" t="str">
        <f>""</f>
        <v/>
      </c>
      <c r="CM1038" t="str">
        <f>""</f>
        <v/>
      </c>
      <c r="CN1038" t="str">
        <f>""</f>
        <v/>
      </c>
      <c r="CO1038" t="str">
        <f>""</f>
        <v/>
      </c>
      <c r="CP1038" t="str">
        <f>"37-3011.00"</f>
        <v>37-3011.00</v>
      </c>
      <c r="CQ1038" t="s">
        <v>920</v>
      </c>
      <c r="CR1038" t="s">
        <v>5117</v>
      </c>
      <c r="CS1038" t="s">
        <v>135</v>
      </c>
      <c r="CT1038" t="s">
        <v>19177</v>
      </c>
      <c r="CU1038" t="s">
        <v>19178</v>
      </c>
      <c r="CW1038" t="s">
        <v>1674</v>
      </c>
      <c r="CX1038" t="s">
        <v>1176</v>
      </c>
      <c r="CZ1038" s="3" t="str">
        <f>"68502"</f>
        <v>68502</v>
      </c>
      <c r="DA1038" t="s">
        <v>135</v>
      </c>
      <c r="DB1038" t="str">
        <f>"37-3011"</f>
        <v>37-3011</v>
      </c>
      <c r="DC1038" t="s">
        <v>920</v>
      </c>
      <c r="DD1038" t="s">
        <v>134</v>
      </c>
      <c r="DE1038" t="s">
        <v>134</v>
      </c>
      <c r="DF1038" t="str">
        <f>""</f>
        <v/>
      </c>
      <c r="DH1038" s="6">
        <v>13.86</v>
      </c>
      <c r="DI1038" t="s">
        <v>344</v>
      </c>
      <c r="DK1038" t="s">
        <v>345</v>
      </c>
      <c r="DS1038" s="6">
        <v>13.86</v>
      </c>
      <c r="DT1038" s="2" t="s">
        <v>347</v>
      </c>
      <c r="DU1038" s="1">
        <v>44375</v>
      </c>
      <c r="DV1038" s="1">
        <v>44464</v>
      </c>
    </row>
    <row r="1039" spans="1:126" ht="15" customHeight="1" x14ac:dyDescent="0.35">
      <c r="A1039" t="s">
        <v>16225</v>
      </c>
      <c r="B1039" t="s">
        <v>318</v>
      </c>
      <c r="C1039" s="1">
        <v>44348</v>
      </c>
      <c r="D1039" s="1">
        <v>44375</v>
      </c>
      <c r="H1039" t="s">
        <v>319</v>
      </c>
      <c r="I1039" t="s">
        <v>10618</v>
      </c>
      <c r="J1039" t="s">
        <v>1601</v>
      </c>
      <c r="L1039" t="s">
        <v>3817</v>
      </c>
      <c r="M1039" t="s">
        <v>16226</v>
      </c>
      <c r="O1039" t="s">
        <v>2482</v>
      </c>
      <c r="P1039" t="s">
        <v>194</v>
      </c>
      <c r="Q1039" s="3">
        <v>32824</v>
      </c>
      <c r="R1039" t="s">
        <v>128</v>
      </c>
      <c r="T1039" s="4">
        <v>19048299255</v>
      </c>
      <c r="V1039" t="s">
        <v>16227</v>
      </c>
      <c r="W1039" t="s">
        <v>16228</v>
      </c>
      <c r="X1039" t="s">
        <v>16229</v>
      </c>
      <c r="Y1039" t="s">
        <v>16226</v>
      </c>
      <c r="AA1039" t="s">
        <v>2482</v>
      </c>
      <c r="AB1039" t="s">
        <v>195</v>
      </c>
      <c r="AC1039" s="3" t="str">
        <f>"32824"</f>
        <v>32824</v>
      </c>
      <c r="AD1039" t="s">
        <v>128</v>
      </c>
      <c r="AF1039" s="4">
        <v>19048299255</v>
      </c>
      <c r="AH1039" t="str">
        <f>"56173"</f>
        <v>56173</v>
      </c>
      <c r="AI1039" t="s">
        <v>287</v>
      </c>
      <c r="AJ1039" t="s">
        <v>2209</v>
      </c>
      <c r="AK1039" t="s">
        <v>1459</v>
      </c>
      <c r="AL1039" t="s">
        <v>2210</v>
      </c>
      <c r="AM1039" t="s">
        <v>2211</v>
      </c>
      <c r="AN1039" t="s">
        <v>788</v>
      </c>
      <c r="AO1039" t="s">
        <v>2212</v>
      </c>
      <c r="AP1039" t="s">
        <v>400</v>
      </c>
      <c r="AQ1039" s="5">
        <v>75033</v>
      </c>
      <c r="AR1039" t="s">
        <v>128</v>
      </c>
      <c r="AT1039" s="4">
        <v>19727789690</v>
      </c>
      <c r="AV1039" t="s">
        <v>2213</v>
      </c>
      <c r="AW1039" t="s">
        <v>2214</v>
      </c>
      <c r="AX1039" t="s">
        <v>131</v>
      </c>
      <c r="AY1039" t="s">
        <v>131</v>
      </c>
      <c r="AZ1039" t="s">
        <v>131</v>
      </c>
      <c r="BA1039" t="s">
        <v>131</v>
      </c>
      <c r="BB1039" t="s">
        <v>131</v>
      </c>
      <c r="BC1039" t="s">
        <v>131</v>
      </c>
      <c r="BD1039" t="s">
        <v>131</v>
      </c>
      <c r="BE1039" t="s">
        <v>132</v>
      </c>
      <c r="BH1039" t="s">
        <v>2215</v>
      </c>
      <c r="BI1039" t="s">
        <v>131</v>
      </c>
      <c r="BL1039" t="s">
        <v>167</v>
      </c>
      <c r="BO1039" t="s">
        <v>131</v>
      </c>
      <c r="BP1039" t="s">
        <v>134</v>
      </c>
      <c r="BQ1039" t="s">
        <v>131</v>
      </c>
      <c r="BS1039" t="str">
        <f t="shared" si="74"/>
        <v>N/A</v>
      </c>
      <c r="BT1039" t="s">
        <v>131</v>
      </c>
      <c r="BV1039" t="str">
        <f>""</f>
        <v/>
      </c>
      <c r="BW1039" t="s">
        <v>135</v>
      </c>
      <c r="BX1039" t="str">
        <f>""</f>
        <v/>
      </c>
      <c r="BY1039" t="str">
        <f>""</f>
        <v/>
      </c>
      <c r="BZ1039" t="str">
        <f>""</f>
        <v/>
      </c>
      <c r="CA1039" t="str">
        <f>"Must be able to work a 5 day schedule, including weekends and holidays as required. Applicant must complete an employment application."</f>
        <v>Must be able to work a 5 day schedule, including weekends and holidays as required. Applicant must complete an employment application.</v>
      </c>
      <c r="CB1039" t="s">
        <v>131</v>
      </c>
      <c r="CF1039" t="s">
        <v>131</v>
      </c>
      <c r="CH1039" t="str">
        <f>""</f>
        <v/>
      </c>
      <c r="CI1039" t="s">
        <v>131</v>
      </c>
      <c r="CK1039" t="s">
        <v>131</v>
      </c>
      <c r="CL1039" t="str">
        <f>""</f>
        <v/>
      </c>
      <c r="CM1039" t="str">
        <f>""</f>
        <v/>
      </c>
      <c r="CN1039" t="str">
        <f>""</f>
        <v/>
      </c>
      <c r="CO1039" t="str">
        <f>""</f>
        <v/>
      </c>
      <c r="CP1039" t="str">
        <f>"37-3011.00"</f>
        <v>37-3011.00</v>
      </c>
      <c r="CQ1039" t="s">
        <v>920</v>
      </c>
      <c r="CS1039" t="s">
        <v>135</v>
      </c>
      <c r="CT1039" t="s">
        <v>6680</v>
      </c>
      <c r="CU1039" t="s">
        <v>16226</v>
      </c>
      <c r="CW1039" t="s">
        <v>2482</v>
      </c>
      <c r="CX1039" t="s">
        <v>195</v>
      </c>
      <c r="CZ1039" s="3" t="str">
        <f>"32824"</f>
        <v>32824</v>
      </c>
      <c r="DA1039" t="s">
        <v>135</v>
      </c>
      <c r="DB1039" t="str">
        <f>"37-3011"</f>
        <v>37-3011</v>
      </c>
      <c r="DC1039" t="s">
        <v>920</v>
      </c>
      <c r="DD1039" t="s">
        <v>134</v>
      </c>
      <c r="DE1039" t="s">
        <v>134</v>
      </c>
      <c r="DF1039" t="str">
        <f>""</f>
        <v/>
      </c>
      <c r="DH1039" s="6">
        <v>13.34</v>
      </c>
      <c r="DI1039" t="s">
        <v>344</v>
      </c>
      <c r="DK1039" t="s">
        <v>345</v>
      </c>
      <c r="DR1039" t="s">
        <v>15254</v>
      </c>
      <c r="DS1039" s="6">
        <v>13.5</v>
      </c>
      <c r="DT1039" s="2" t="s">
        <v>347</v>
      </c>
      <c r="DU1039" s="1">
        <v>44375</v>
      </c>
      <c r="DV1039" s="1">
        <v>44464</v>
      </c>
    </row>
    <row r="1040" spans="1:126" ht="15" customHeight="1" x14ac:dyDescent="0.35">
      <c r="A1040" t="s">
        <v>15655</v>
      </c>
      <c r="B1040" t="s">
        <v>318</v>
      </c>
      <c r="C1040" s="1">
        <v>44348</v>
      </c>
      <c r="D1040" s="1">
        <v>44375</v>
      </c>
      <c r="H1040" t="s">
        <v>319</v>
      </c>
      <c r="I1040" t="s">
        <v>1035</v>
      </c>
      <c r="J1040" t="s">
        <v>11221</v>
      </c>
      <c r="L1040" t="s">
        <v>2561</v>
      </c>
      <c r="M1040" t="s">
        <v>15656</v>
      </c>
      <c r="O1040" t="s">
        <v>12396</v>
      </c>
      <c r="P1040" t="s">
        <v>826</v>
      </c>
      <c r="Q1040" s="3">
        <v>20706</v>
      </c>
      <c r="R1040" t="s">
        <v>128</v>
      </c>
      <c r="T1040" s="4">
        <v>13018059222</v>
      </c>
      <c r="V1040" t="s">
        <v>134</v>
      </c>
      <c r="W1040" t="s">
        <v>15657</v>
      </c>
      <c r="Y1040" t="s">
        <v>15656</v>
      </c>
      <c r="AA1040" t="s">
        <v>12396</v>
      </c>
      <c r="AB1040" t="s">
        <v>382</v>
      </c>
      <c r="AC1040" s="3" t="str">
        <f>"20706"</f>
        <v>20706</v>
      </c>
      <c r="AD1040" t="s">
        <v>128</v>
      </c>
      <c r="AF1040" s="4">
        <v>13018059222</v>
      </c>
      <c r="AH1040" t="str">
        <f>"56173"</f>
        <v>56173</v>
      </c>
      <c r="AI1040" t="s">
        <v>130</v>
      </c>
      <c r="AJ1040" t="s">
        <v>4793</v>
      </c>
      <c r="AK1040" t="s">
        <v>3519</v>
      </c>
      <c r="AL1040" t="s">
        <v>301</v>
      </c>
      <c r="AM1040" t="s">
        <v>4794</v>
      </c>
      <c r="AN1040" t="s">
        <v>334</v>
      </c>
      <c r="AO1040" t="s">
        <v>1040</v>
      </c>
      <c r="AP1040" t="s">
        <v>400</v>
      </c>
      <c r="AQ1040" s="5">
        <v>78746</v>
      </c>
      <c r="AR1040" t="s">
        <v>128</v>
      </c>
      <c r="AT1040" s="4">
        <v>15123470007</v>
      </c>
      <c r="AV1040" t="s">
        <v>4857</v>
      </c>
      <c r="AW1040" t="s">
        <v>9862</v>
      </c>
      <c r="AX1040" t="s">
        <v>131</v>
      </c>
      <c r="AY1040" t="s">
        <v>131</v>
      </c>
      <c r="AZ1040" t="s">
        <v>131</v>
      </c>
      <c r="BA1040" t="s">
        <v>131</v>
      </c>
      <c r="BB1040" t="s">
        <v>131</v>
      </c>
      <c r="BC1040" t="s">
        <v>131</v>
      </c>
      <c r="BD1040" t="s">
        <v>131</v>
      </c>
      <c r="BE1040" t="s">
        <v>132</v>
      </c>
      <c r="BH1040" t="s">
        <v>3994</v>
      </c>
      <c r="BI1040" t="s">
        <v>131</v>
      </c>
      <c r="BL1040" t="s">
        <v>167</v>
      </c>
      <c r="BO1040" t="s">
        <v>131</v>
      </c>
      <c r="BP1040" t="s">
        <v>134</v>
      </c>
      <c r="BQ1040" t="s">
        <v>131</v>
      </c>
      <c r="BS1040" t="str">
        <f t="shared" si="74"/>
        <v>N/A</v>
      </c>
      <c r="BT1040" t="s">
        <v>131</v>
      </c>
      <c r="BV1040" t="str">
        <f>""</f>
        <v/>
      </c>
      <c r="BW1040" t="s">
        <v>131</v>
      </c>
      <c r="BX1040" t="str">
        <f>""</f>
        <v/>
      </c>
      <c r="BY1040" t="str">
        <f>""</f>
        <v/>
      </c>
      <c r="BZ1040" t="str">
        <f>""</f>
        <v/>
      </c>
      <c r="CA1040" t="str">
        <f>""</f>
        <v/>
      </c>
      <c r="CB1040" t="s">
        <v>131</v>
      </c>
      <c r="CF1040" t="s">
        <v>131</v>
      </c>
      <c r="CH1040" t="str">
        <f>""</f>
        <v/>
      </c>
      <c r="CI1040" t="s">
        <v>131</v>
      </c>
      <c r="CK1040" t="s">
        <v>131</v>
      </c>
      <c r="CL1040" t="str">
        <f>""</f>
        <v/>
      </c>
      <c r="CM1040" t="str">
        <f>""</f>
        <v/>
      </c>
      <c r="CN1040" t="str">
        <f>""</f>
        <v/>
      </c>
      <c r="CO1040" t="str">
        <f>""</f>
        <v/>
      </c>
      <c r="CP1040" t="str">
        <f>"37-3011.00"</f>
        <v>37-3011.00</v>
      </c>
      <c r="CQ1040" t="s">
        <v>920</v>
      </c>
      <c r="CS1040" t="s">
        <v>135</v>
      </c>
      <c r="CT1040" t="s">
        <v>15658</v>
      </c>
      <c r="CU1040" t="s">
        <v>15656</v>
      </c>
      <c r="CW1040" t="s">
        <v>12396</v>
      </c>
      <c r="CX1040" t="s">
        <v>382</v>
      </c>
      <c r="CZ1040" s="3" t="str">
        <f>"20706"</f>
        <v>20706</v>
      </c>
      <c r="DA1040" t="s">
        <v>135</v>
      </c>
      <c r="DB1040" t="str">
        <f>"37-3011"</f>
        <v>37-3011</v>
      </c>
      <c r="DC1040" t="s">
        <v>920</v>
      </c>
      <c r="DD1040" t="s">
        <v>134</v>
      </c>
      <c r="DE1040" t="s">
        <v>134</v>
      </c>
      <c r="DF1040" t="str">
        <f>""</f>
        <v/>
      </c>
      <c r="DH1040" s="6">
        <v>16.25</v>
      </c>
      <c r="DI1040" t="s">
        <v>344</v>
      </c>
      <c r="DK1040" t="s">
        <v>345</v>
      </c>
      <c r="DR1040" t="s">
        <v>9742</v>
      </c>
      <c r="DS1040" s="6">
        <v>16.89</v>
      </c>
      <c r="DT1040" s="2" t="s">
        <v>347</v>
      </c>
      <c r="DU1040" s="1">
        <v>44375</v>
      </c>
      <c r="DV1040" s="1">
        <v>44464</v>
      </c>
    </row>
    <row r="1041" spans="1:126" ht="15" customHeight="1" x14ac:dyDescent="0.35">
      <c r="A1041" t="s">
        <v>11208</v>
      </c>
      <c r="B1041" t="s">
        <v>318</v>
      </c>
      <c r="C1041" s="1">
        <v>44348</v>
      </c>
      <c r="D1041" s="1">
        <v>44375</v>
      </c>
      <c r="H1041" t="s">
        <v>319</v>
      </c>
      <c r="I1041" t="s">
        <v>11209</v>
      </c>
      <c r="J1041" t="s">
        <v>11210</v>
      </c>
      <c r="L1041" t="s">
        <v>4444</v>
      </c>
      <c r="M1041" t="s">
        <v>11211</v>
      </c>
      <c r="O1041" t="s">
        <v>11212</v>
      </c>
      <c r="P1041" t="s">
        <v>248</v>
      </c>
      <c r="Q1041" s="3">
        <v>56201</v>
      </c>
      <c r="R1041" t="s">
        <v>128</v>
      </c>
      <c r="T1041" s="4">
        <v>14077185570</v>
      </c>
      <c r="V1041" t="s">
        <v>11213</v>
      </c>
      <c r="W1041" t="s">
        <v>11214</v>
      </c>
      <c r="X1041" t="s">
        <v>11215</v>
      </c>
      <c r="Y1041" t="s">
        <v>11216</v>
      </c>
      <c r="AA1041" t="s">
        <v>11212</v>
      </c>
      <c r="AB1041" t="s">
        <v>249</v>
      </c>
      <c r="AC1041" s="3" t="str">
        <f>"56201"</f>
        <v>56201</v>
      </c>
      <c r="AD1041" t="s">
        <v>128</v>
      </c>
      <c r="AF1041" s="4">
        <v>14077185570</v>
      </c>
      <c r="AH1041" t="str">
        <f>"72111"</f>
        <v>72111</v>
      </c>
      <c r="AI1041" t="s">
        <v>287</v>
      </c>
      <c r="AJ1041" t="s">
        <v>2209</v>
      </c>
      <c r="AK1041" t="s">
        <v>1459</v>
      </c>
      <c r="AL1041" t="s">
        <v>2210</v>
      </c>
      <c r="AM1041" t="s">
        <v>2211</v>
      </c>
      <c r="AN1041" t="s">
        <v>788</v>
      </c>
      <c r="AO1041" t="s">
        <v>2212</v>
      </c>
      <c r="AP1041" t="s">
        <v>400</v>
      </c>
      <c r="AQ1041" s="5">
        <v>75033</v>
      </c>
      <c r="AR1041" t="s">
        <v>128</v>
      </c>
      <c r="AT1041" s="4">
        <v>19727789690</v>
      </c>
      <c r="AV1041" t="s">
        <v>7179</v>
      </c>
      <c r="AW1041" t="s">
        <v>2214</v>
      </c>
      <c r="AX1041" t="s">
        <v>131</v>
      </c>
      <c r="AY1041" t="s">
        <v>131</v>
      </c>
      <c r="AZ1041" t="s">
        <v>131</v>
      </c>
      <c r="BA1041" t="s">
        <v>131</v>
      </c>
      <c r="BB1041" t="s">
        <v>131</v>
      </c>
      <c r="BC1041" t="s">
        <v>131</v>
      </c>
      <c r="BD1041" t="s">
        <v>131</v>
      </c>
      <c r="BE1041" t="s">
        <v>132</v>
      </c>
      <c r="BH1041" t="s">
        <v>7952</v>
      </c>
      <c r="BI1041" t="s">
        <v>131</v>
      </c>
      <c r="BL1041" t="s">
        <v>167</v>
      </c>
      <c r="BO1041" t="s">
        <v>131</v>
      </c>
      <c r="BP1041" t="s">
        <v>134</v>
      </c>
      <c r="BQ1041" t="s">
        <v>131</v>
      </c>
      <c r="BS1041" t="str">
        <f t="shared" si="74"/>
        <v>N/A</v>
      </c>
      <c r="BT1041" t="s">
        <v>135</v>
      </c>
      <c r="BU1041">
        <v>3</v>
      </c>
      <c r="BV1041" t="str">
        <f>"Hotel/resort Housekeeper experience."</f>
        <v>Hotel/resort Housekeeper experience.</v>
      </c>
      <c r="BW1041" t="s">
        <v>135</v>
      </c>
      <c r="BX1041" t="str">
        <f>""</f>
        <v/>
      </c>
      <c r="BY1041" t="str">
        <f>""</f>
        <v/>
      </c>
      <c r="BZ1041" t="str">
        <f>""</f>
        <v/>
      </c>
      <c r="CA1041" t="str">
        <f>"Must be able to work a 5 day schedule, including weekends and holidays as required. Applicant must complete an employment application.  
"</f>
        <v xml:space="preserve">Must be able to work a 5 day schedule, including weekends and holidays as required. Applicant must complete an employment application.  
</v>
      </c>
      <c r="CB1041" t="s">
        <v>131</v>
      </c>
      <c r="CF1041" t="s">
        <v>131</v>
      </c>
      <c r="CH1041" t="str">
        <f>""</f>
        <v/>
      </c>
      <c r="CI1041" t="s">
        <v>131</v>
      </c>
      <c r="CK1041" t="s">
        <v>131</v>
      </c>
      <c r="CL1041" t="str">
        <f>""</f>
        <v/>
      </c>
      <c r="CM1041" t="str">
        <f>""</f>
        <v/>
      </c>
      <c r="CN1041" t="str">
        <f>""</f>
        <v/>
      </c>
      <c r="CO1041" t="str">
        <f>""</f>
        <v/>
      </c>
      <c r="CP1041" t="str">
        <f>"37-2012.00"</f>
        <v>37-2012.00</v>
      </c>
      <c r="CQ1041" t="s">
        <v>479</v>
      </c>
      <c r="CS1041" t="s">
        <v>135</v>
      </c>
      <c r="CT1041" t="s">
        <v>11217</v>
      </c>
      <c r="CU1041" t="s">
        <v>11218</v>
      </c>
      <c r="CW1041" t="s">
        <v>11219</v>
      </c>
      <c r="CX1041" t="s">
        <v>249</v>
      </c>
      <c r="CZ1041" s="3" t="str">
        <f>"55416"</f>
        <v>55416</v>
      </c>
      <c r="DA1041" t="s">
        <v>135</v>
      </c>
      <c r="DB1041" t="str">
        <f>"37-2012"</f>
        <v>37-2012</v>
      </c>
      <c r="DC1041" t="s">
        <v>479</v>
      </c>
      <c r="DD1041" t="s">
        <v>134</v>
      </c>
      <c r="DE1041" t="s">
        <v>134</v>
      </c>
      <c r="DF1041" t="str">
        <f>""</f>
        <v/>
      </c>
      <c r="DH1041" s="6">
        <v>14.53</v>
      </c>
      <c r="DI1041" t="s">
        <v>344</v>
      </c>
      <c r="DK1041" t="s">
        <v>345</v>
      </c>
      <c r="DR1041" t="s">
        <v>11087</v>
      </c>
      <c r="DS1041" s="6">
        <v>14.53</v>
      </c>
      <c r="DT1041" s="2" t="s">
        <v>347</v>
      </c>
      <c r="DU1041" s="1">
        <v>44375</v>
      </c>
      <c r="DV1041" s="1">
        <v>44464</v>
      </c>
    </row>
    <row r="1042" spans="1:126" ht="15" customHeight="1" x14ac:dyDescent="0.35">
      <c r="A1042" t="s">
        <v>19945</v>
      </c>
      <c r="B1042" t="s">
        <v>318</v>
      </c>
      <c r="C1042" s="1">
        <v>44348</v>
      </c>
      <c r="D1042" s="1">
        <v>44375</v>
      </c>
      <c r="H1042" t="s">
        <v>319</v>
      </c>
      <c r="I1042" t="s">
        <v>1361</v>
      </c>
      <c r="J1042" t="s">
        <v>348</v>
      </c>
      <c r="K1042" t="s">
        <v>1253</v>
      </c>
      <c r="L1042" t="s">
        <v>701</v>
      </c>
      <c r="M1042" t="s">
        <v>9953</v>
      </c>
      <c r="N1042" t="s">
        <v>985</v>
      </c>
      <c r="O1042" t="s">
        <v>642</v>
      </c>
      <c r="P1042" t="s">
        <v>818</v>
      </c>
      <c r="Q1042" s="3">
        <v>30339</v>
      </c>
      <c r="R1042" t="s">
        <v>128</v>
      </c>
      <c r="T1042" s="4">
        <v>17703734593</v>
      </c>
      <c r="V1042" t="s">
        <v>13180</v>
      </c>
      <c r="W1042" t="s">
        <v>13181</v>
      </c>
      <c r="Y1042" t="s">
        <v>9953</v>
      </c>
      <c r="Z1042" t="s">
        <v>985</v>
      </c>
      <c r="AA1042" t="s">
        <v>642</v>
      </c>
      <c r="AB1042" t="s">
        <v>643</v>
      </c>
      <c r="AC1042" s="3" t="str">
        <f>"30339"</f>
        <v>30339</v>
      </c>
      <c r="AD1042" t="s">
        <v>128</v>
      </c>
      <c r="AF1042" s="4">
        <v>17703734593</v>
      </c>
      <c r="AH1042" t="str">
        <f>"56173"</f>
        <v>56173</v>
      </c>
      <c r="AI1042" t="s">
        <v>287</v>
      </c>
      <c r="AJ1042" t="s">
        <v>2046</v>
      </c>
      <c r="AK1042" t="s">
        <v>2047</v>
      </c>
      <c r="AL1042" t="s">
        <v>11175</v>
      </c>
      <c r="AM1042" t="s">
        <v>2048</v>
      </c>
      <c r="AN1042" t="s">
        <v>2049</v>
      </c>
      <c r="AO1042" t="s">
        <v>2050</v>
      </c>
      <c r="AP1042" t="s">
        <v>1243</v>
      </c>
      <c r="AQ1042" s="5">
        <v>83814</v>
      </c>
      <c r="AR1042" t="s">
        <v>128</v>
      </c>
      <c r="AT1042" s="4">
        <v>12087772654</v>
      </c>
      <c r="AV1042" t="s">
        <v>19946</v>
      </c>
      <c r="AW1042" t="s">
        <v>4715</v>
      </c>
      <c r="AX1042" t="s">
        <v>131</v>
      </c>
      <c r="AY1042" t="s">
        <v>131</v>
      </c>
      <c r="AZ1042" t="s">
        <v>131</v>
      </c>
      <c r="BA1042" t="s">
        <v>131</v>
      </c>
      <c r="BB1042" t="s">
        <v>131</v>
      </c>
      <c r="BC1042" t="s">
        <v>131</v>
      </c>
      <c r="BD1042" t="s">
        <v>131</v>
      </c>
      <c r="BE1042" t="s">
        <v>132</v>
      </c>
      <c r="BH1042" t="s">
        <v>2095</v>
      </c>
      <c r="BI1042" t="s">
        <v>131</v>
      </c>
      <c r="BL1042" t="s">
        <v>167</v>
      </c>
      <c r="BO1042" t="s">
        <v>131</v>
      </c>
      <c r="BP1042" t="s">
        <v>134</v>
      </c>
      <c r="BQ1042" t="s">
        <v>131</v>
      </c>
      <c r="BS1042" t="str">
        <f t="shared" si="74"/>
        <v>N/A</v>
      </c>
      <c r="BT1042" t="s">
        <v>131</v>
      </c>
      <c r="BV1042" t="str">
        <f>""</f>
        <v/>
      </c>
      <c r="BW1042" t="s">
        <v>135</v>
      </c>
      <c r="BX1042" t="str">
        <f>""</f>
        <v/>
      </c>
      <c r="BY1042" t="str">
        <f>""</f>
        <v/>
      </c>
      <c r="BZ1042" t="str">
        <f>""</f>
        <v/>
      </c>
      <c r="CA1042" t="s">
        <v>11805</v>
      </c>
      <c r="CB1042" t="s">
        <v>131</v>
      </c>
      <c r="CF1042" t="s">
        <v>131</v>
      </c>
      <c r="CH1042" t="str">
        <f>""</f>
        <v/>
      </c>
      <c r="CI1042" t="s">
        <v>131</v>
      </c>
      <c r="CK1042" t="s">
        <v>131</v>
      </c>
      <c r="CL1042" t="str">
        <f>""</f>
        <v/>
      </c>
      <c r="CM1042" t="str">
        <f>""</f>
        <v/>
      </c>
      <c r="CN1042" t="str">
        <f>""</f>
        <v/>
      </c>
      <c r="CO1042" t="str">
        <f>""</f>
        <v/>
      </c>
      <c r="CP1042" t="str">
        <f>"37-3011.00"</f>
        <v>37-3011.00</v>
      </c>
      <c r="CQ1042" t="s">
        <v>920</v>
      </c>
      <c r="CS1042" t="s">
        <v>135</v>
      </c>
      <c r="CT1042" t="s">
        <v>14056</v>
      </c>
      <c r="CU1042" t="s">
        <v>19947</v>
      </c>
      <c r="CW1042" t="s">
        <v>14053</v>
      </c>
      <c r="CX1042" t="s">
        <v>630</v>
      </c>
      <c r="CZ1042" s="3" t="str">
        <f>"39475"</f>
        <v>39475</v>
      </c>
      <c r="DA1042" t="s">
        <v>135</v>
      </c>
      <c r="DB1042" t="str">
        <f>"37-3011"</f>
        <v>37-3011</v>
      </c>
      <c r="DC1042" t="s">
        <v>920</v>
      </c>
      <c r="DD1042" t="s">
        <v>134</v>
      </c>
      <c r="DE1042" t="s">
        <v>134</v>
      </c>
      <c r="DF1042" t="str">
        <f>""</f>
        <v/>
      </c>
      <c r="DH1042" s="6">
        <v>13.2</v>
      </c>
      <c r="DI1042" t="s">
        <v>344</v>
      </c>
      <c r="DK1042" t="s">
        <v>345</v>
      </c>
      <c r="DS1042" s="6">
        <v>13.2</v>
      </c>
      <c r="DT1042" s="2" t="s">
        <v>347</v>
      </c>
      <c r="DU1042" s="1">
        <v>44375</v>
      </c>
      <c r="DV1042" s="1">
        <v>44464</v>
      </c>
    </row>
    <row r="1043" spans="1:126" ht="15" customHeight="1" x14ac:dyDescent="0.35">
      <c r="A1043" t="s">
        <v>6674</v>
      </c>
      <c r="B1043" t="s">
        <v>318</v>
      </c>
      <c r="C1043" s="1">
        <v>44348</v>
      </c>
      <c r="D1043" s="1">
        <v>44375</v>
      </c>
      <c r="H1043" t="s">
        <v>319</v>
      </c>
      <c r="I1043" t="s">
        <v>6675</v>
      </c>
      <c r="J1043" t="s">
        <v>3139</v>
      </c>
      <c r="L1043" t="s">
        <v>628</v>
      </c>
      <c r="M1043" t="s">
        <v>6676</v>
      </c>
      <c r="O1043" t="s">
        <v>6677</v>
      </c>
      <c r="P1043" t="s">
        <v>194</v>
      </c>
      <c r="Q1043" s="3">
        <v>32043</v>
      </c>
      <c r="R1043" t="s">
        <v>128</v>
      </c>
      <c r="T1043" s="4">
        <v>19045291266</v>
      </c>
      <c r="V1043" t="s">
        <v>6678</v>
      </c>
      <c r="W1043" t="s">
        <v>6679</v>
      </c>
      <c r="Y1043" t="s">
        <v>6676</v>
      </c>
      <c r="AA1043" t="s">
        <v>6677</v>
      </c>
      <c r="AB1043" t="s">
        <v>195</v>
      </c>
      <c r="AC1043" s="3" t="str">
        <f>"32043"</f>
        <v>32043</v>
      </c>
      <c r="AD1043" t="s">
        <v>128</v>
      </c>
      <c r="AF1043" s="4">
        <v>19045291266</v>
      </c>
      <c r="AH1043" t="str">
        <f>"56173"</f>
        <v>56173</v>
      </c>
      <c r="AI1043" t="s">
        <v>287</v>
      </c>
      <c r="AJ1043" t="s">
        <v>2209</v>
      </c>
      <c r="AK1043" t="s">
        <v>1459</v>
      </c>
      <c r="AL1043" t="s">
        <v>2210</v>
      </c>
      <c r="AM1043" t="s">
        <v>2211</v>
      </c>
      <c r="AN1043" t="s">
        <v>788</v>
      </c>
      <c r="AO1043" t="s">
        <v>2212</v>
      </c>
      <c r="AP1043" t="s">
        <v>400</v>
      </c>
      <c r="AQ1043" s="5">
        <v>75033</v>
      </c>
      <c r="AR1043" t="s">
        <v>128</v>
      </c>
      <c r="AT1043" s="4">
        <v>19727789690</v>
      </c>
      <c r="AV1043" t="s">
        <v>2213</v>
      </c>
      <c r="AW1043" t="s">
        <v>2214</v>
      </c>
      <c r="AX1043" t="s">
        <v>131</v>
      </c>
      <c r="AY1043" t="s">
        <v>131</v>
      </c>
      <c r="AZ1043" t="s">
        <v>131</v>
      </c>
      <c r="BA1043" t="s">
        <v>131</v>
      </c>
      <c r="BB1043" t="s">
        <v>131</v>
      </c>
      <c r="BC1043" t="s">
        <v>131</v>
      </c>
      <c r="BD1043" t="s">
        <v>131</v>
      </c>
      <c r="BE1043" t="s">
        <v>132</v>
      </c>
      <c r="BH1043" t="s">
        <v>2215</v>
      </c>
      <c r="BI1043" t="s">
        <v>131</v>
      </c>
      <c r="BL1043" t="s">
        <v>167</v>
      </c>
      <c r="BO1043" t="s">
        <v>131</v>
      </c>
      <c r="BP1043" t="s">
        <v>134</v>
      </c>
      <c r="BQ1043" t="s">
        <v>131</v>
      </c>
      <c r="BS1043" t="str">
        <f t="shared" si="74"/>
        <v>N/A</v>
      </c>
      <c r="BT1043" t="s">
        <v>131</v>
      </c>
      <c r="BV1043" t="str">
        <f>""</f>
        <v/>
      </c>
      <c r="BW1043" t="s">
        <v>135</v>
      </c>
      <c r="BX1043" t="str">
        <f>""</f>
        <v/>
      </c>
      <c r="BY1043" t="str">
        <f>""</f>
        <v/>
      </c>
      <c r="BZ1043" t="str">
        <f>""</f>
        <v/>
      </c>
      <c r="CA1043" t="str">
        <f>"Must be able to work a 5 day schedule, including weekends and holidays as required. Applicant must complete an employment application."</f>
        <v>Must be able to work a 5 day schedule, including weekends and holidays as required. Applicant must complete an employment application.</v>
      </c>
      <c r="CB1043" t="s">
        <v>131</v>
      </c>
      <c r="CF1043" t="s">
        <v>131</v>
      </c>
      <c r="CH1043" t="str">
        <f>""</f>
        <v/>
      </c>
      <c r="CI1043" t="s">
        <v>131</v>
      </c>
      <c r="CK1043" t="s">
        <v>131</v>
      </c>
      <c r="CL1043" t="str">
        <f>""</f>
        <v/>
      </c>
      <c r="CM1043" t="str">
        <f>""</f>
        <v/>
      </c>
      <c r="CN1043" t="str">
        <f>""</f>
        <v/>
      </c>
      <c r="CO1043" t="str">
        <f>""</f>
        <v/>
      </c>
      <c r="CP1043" t="str">
        <f>"37-3011.00"</f>
        <v>37-3011.00</v>
      </c>
      <c r="CQ1043" t="s">
        <v>920</v>
      </c>
      <c r="CS1043" t="s">
        <v>135</v>
      </c>
      <c r="CT1043" t="s">
        <v>6680</v>
      </c>
      <c r="CU1043" t="s">
        <v>6676</v>
      </c>
      <c r="CW1043" t="s">
        <v>6677</v>
      </c>
      <c r="CX1043" t="s">
        <v>195</v>
      </c>
      <c r="CZ1043" s="3" t="str">
        <f>"32043"</f>
        <v>32043</v>
      </c>
      <c r="DA1043" t="s">
        <v>135</v>
      </c>
      <c r="DB1043" t="str">
        <f>"37-3011"</f>
        <v>37-3011</v>
      </c>
      <c r="DC1043" t="s">
        <v>920</v>
      </c>
      <c r="DD1043" t="s">
        <v>134</v>
      </c>
      <c r="DE1043" t="s">
        <v>134</v>
      </c>
      <c r="DF1043" t="str">
        <f>""</f>
        <v/>
      </c>
      <c r="DH1043" s="6">
        <v>13.51</v>
      </c>
      <c r="DI1043" t="s">
        <v>344</v>
      </c>
      <c r="DK1043" t="s">
        <v>345</v>
      </c>
      <c r="DR1043" t="s">
        <v>6681</v>
      </c>
      <c r="DS1043" s="6">
        <v>13.51</v>
      </c>
      <c r="DT1043" s="2" t="s">
        <v>347</v>
      </c>
      <c r="DU1043" s="1">
        <v>44375</v>
      </c>
      <c r="DV1043" s="1">
        <v>44464</v>
      </c>
    </row>
    <row r="1044" spans="1:126" ht="15" customHeight="1" x14ac:dyDescent="0.35">
      <c r="A1044" t="s">
        <v>17373</v>
      </c>
      <c r="B1044" t="s">
        <v>318</v>
      </c>
      <c r="C1044" s="1">
        <v>44348</v>
      </c>
      <c r="D1044" s="1">
        <v>44375</v>
      </c>
      <c r="H1044" t="s">
        <v>319</v>
      </c>
      <c r="I1044" t="s">
        <v>17374</v>
      </c>
      <c r="J1044" t="s">
        <v>4256</v>
      </c>
      <c r="L1044" t="s">
        <v>5781</v>
      </c>
      <c r="M1044" t="s">
        <v>17375</v>
      </c>
      <c r="O1044" t="s">
        <v>8661</v>
      </c>
      <c r="P1044" t="s">
        <v>412</v>
      </c>
      <c r="Q1044" s="3">
        <v>78130</v>
      </c>
      <c r="R1044" t="s">
        <v>128</v>
      </c>
      <c r="T1044" s="4">
        <v>18307080754</v>
      </c>
      <c r="V1044" t="s">
        <v>134</v>
      </c>
      <c r="W1044" t="s">
        <v>17376</v>
      </c>
      <c r="X1044" t="s">
        <v>17377</v>
      </c>
      <c r="Y1044" t="s">
        <v>17375</v>
      </c>
      <c r="AA1044" t="s">
        <v>8661</v>
      </c>
      <c r="AB1044" t="s">
        <v>400</v>
      </c>
      <c r="AC1044" s="3" t="str">
        <f>"78130"</f>
        <v>78130</v>
      </c>
      <c r="AD1044" t="s">
        <v>128</v>
      </c>
      <c r="AF1044" s="4">
        <v>18307080754</v>
      </c>
      <c r="AH1044" t="str">
        <f>"238210"</f>
        <v>238210</v>
      </c>
      <c r="AI1044" t="s">
        <v>130</v>
      </c>
      <c r="AJ1044" t="s">
        <v>4793</v>
      </c>
      <c r="AK1044" t="s">
        <v>3519</v>
      </c>
      <c r="AL1044" t="s">
        <v>301</v>
      </c>
      <c r="AM1044" t="s">
        <v>4856</v>
      </c>
      <c r="AN1044" t="s">
        <v>334</v>
      </c>
      <c r="AO1044" t="s">
        <v>1040</v>
      </c>
      <c r="AP1044" t="s">
        <v>400</v>
      </c>
      <c r="AQ1044" s="5">
        <v>78746</v>
      </c>
      <c r="AR1044" t="s">
        <v>128</v>
      </c>
      <c r="AT1044" s="4">
        <v>15123470007</v>
      </c>
      <c r="AV1044" t="s">
        <v>17378</v>
      </c>
      <c r="AW1044" t="s">
        <v>9862</v>
      </c>
      <c r="AX1044" t="s">
        <v>131</v>
      </c>
      <c r="AY1044" t="s">
        <v>131</v>
      </c>
      <c r="AZ1044" t="s">
        <v>131</v>
      </c>
      <c r="BA1044" t="s">
        <v>131</v>
      </c>
      <c r="BB1044" t="s">
        <v>131</v>
      </c>
      <c r="BC1044" t="s">
        <v>131</v>
      </c>
      <c r="BD1044" t="s">
        <v>131</v>
      </c>
      <c r="BE1044" t="s">
        <v>132</v>
      </c>
      <c r="BH1044" t="s">
        <v>5346</v>
      </c>
      <c r="BI1044" t="s">
        <v>131</v>
      </c>
      <c r="BL1044" t="s">
        <v>167</v>
      </c>
      <c r="BO1044" t="s">
        <v>131</v>
      </c>
      <c r="BP1044" t="s">
        <v>134</v>
      </c>
      <c r="BQ1044" t="s">
        <v>131</v>
      </c>
      <c r="BS1044" t="str">
        <f t="shared" si="74"/>
        <v>N/A</v>
      </c>
      <c r="BT1044" t="s">
        <v>135</v>
      </c>
      <c r="BU1044">
        <v>3</v>
      </c>
      <c r="BV1044" t="str">
        <f>"Laborers and Freight, Stock, and Material Movers, Hand"</f>
        <v>Laborers and Freight, Stock, and Material Movers, Hand</v>
      </c>
      <c r="BW1044" t="s">
        <v>135</v>
      </c>
      <c r="BX1044" t="str">
        <f>""</f>
        <v/>
      </c>
      <c r="BY1044" t="str">
        <f>""</f>
        <v/>
      </c>
      <c r="BZ1044" t="str">
        <f>""</f>
        <v/>
      </c>
      <c r="CA1044" t="str">
        <f>"Pre-employment criminal background check and drug testing required for all U.S. and foreign workers."</f>
        <v>Pre-employment criminal background check and drug testing required for all U.S. and foreign workers.</v>
      </c>
      <c r="CB1044" t="s">
        <v>131</v>
      </c>
      <c r="CF1044" t="s">
        <v>131</v>
      </c>
      <c r="CH1044" t="str">
        <f>""</f>
        <v/>
      </c>
      <c r="CI1044" t="s">
        <v>131</v>
      </c>
      <c r="CK1044" t="s">
        <v>131</v>
      </c>
      <c r="CL1044" t="str">
        <f>""</f>
        <v/>
      </c>
      <c r="CM1044" t="str">
        <f>""</f>
        <v/>
      </c>
      <c r="CN1044" t="str">
        <f>""</f>
        <v/>
      </c>
      <c r="CO1044" t="str">
        <f>""</f>
        <v/>
      </c>
      <c r="CP1044" t="str">
        <f>"53-7062.00"</f>
        <v>53-7062.00</v>
      </c>
      <c r="CQ1044" t="s">
        <v>1030</v>
      </c>
      <c r="CS1044" t="s">
        <v>135</v>
      </c>
      <c r="CT1044" t="s">
        <v>11889</v>
      </c>
      <c r="CU1044" t="s">
        <v>17375</v>
      </c>
      <c r="CW1044" t="s">
        <v>8661</v>
      </c>
      <c r="CX1044" t="s">
        <v>400</v>
      </c>
      <c r="CZ1044" s="3" t="str">
        <f>"78130"</f>
        <v>78130</v>
      </c>
      <c r="DA1044" t="s">
        <v>135</v>
      </c>
      <c r="DB1044" t="str">
        <f>"53-7062"</f>
        <v>53-7062</v>
      </c>
      <c r="DC1044" t="s">
        <v>1030</v>
      </c>
      <c r="DD1044" t="s">
        <v>134</v>
      </c>
      <c r="DE1044" t="s">
        <v>134</v>
      </c>
      <c r="DF1044" t="str">
        <f>""</f>
        <v/>
      </c>
      <c r="DH1044" s="6">
        <v>14.85</v>
      </c>
      <c r="DI1044" t="s">
        <v>344</v>
      </c>
      <c r="DK1044" t="s">
        <v>345</v>
      </c>
      <c r="DR1044" t="s">
        <v>3920</v>
      </c>
      <c r="DS1044" s="6">
        <v>14.85</v>
      </c>
      <c r="DT1044" s="2" t="s">
        <v>347</v>
      </c>
      <c r="DU1044" s="1">
        <v>44375</v>
      </c>
      <c r="DV1044" s="1">
        <v>44464</v>
      </c>
    </row>
    <row r="1045" spans="1:126" ht="15" customHeight="1" x14ac:dyDescent="0.35">
      <c r="A1045" t="s">
        <v>13179</v>
      </c>
      <c r="B1045" t="s">
        <v>318</v>
      </c>
      <c r="C1045" s="1">
        <v>44348</v>
      </c>
      <c r="D1045" s="1">
        <v>44375</v>
      </c>
      <c r="H1045" t="s">
        <v>319</v>
      </c>
      <c r="I1045" t="s">
        <v>1361</v>
      </c>
      <c r="J1045" t="s">
        <v>348</v>
      </c>
      <c r="K1045" t="s">
        <v>1253</v>
      </c>
      <c r="L1045" t="s">
        <v>701</v>
      </c>
      <c r="M1045" t="s">
        <v>9953</v>
      </c>
      <c r="N1045" t="s">
        <v>985</v>
      </c>
      <c r="O1045" t="s">
        <v>642</v>
      </c>
      <c r="P1045" t="s">
        <v>818</v>
      </c>
      <c r="Q1045" s="3">
        <v>30339</v>
      </c>
      <c r="R1045" t="s">
        <v>128</v>
      </c>
      <c r="T1045" s="4">
        <v>17703734593</v>
      </c>
      <c r="V1045" t="s">
        <v>13180</v>
      </c>
      <c r="W1045" t="s">
        <v>13181</v>
      </c>
      <c r="Y1045" t="s">
        <v>9953</v>
      </c>
      <c r="Z1045" t="s">
        <v>985</v>
      </c>
      <c r="AA1045" t="s">
        <v>642</v>
      </c>
      <c r="AB1045" t="s">
        <v>643</v>
      </c>
      <c r="AC1045" s="3" t="str">
        <f>"30339"</f>
        <v>30339</v>
      </c>
      <c r="AD1045" t="s">
        <v>128</v>
      </c>
      <c r="AF1045" s="4">
        <v>17703734593</v>
      </c>
      <c r="AH1045" t="str">
        <f>"56173"</f>
        <v>56173</v>
      </c>
      <c r="AI1045" t="s">
        <v>287</v>
      </c>
      <c r="AJ1045" t="s">
        <v>2046</v>
      </c>
      <c r="AK1045" t="s">
        <v>2047</v>
      </c>
      <c r="AL1045" t="s">
        <v>134</v>
      </c>
      <c r="AM1045" t="s">
        <v>2048</v>
      </c>
      <c r="AN1045" t="s">
        <v>2049</v>
      </c>
      <c r="AO1045" t="s">
        <v>2050</v>
      </c>
      <c r="AP1045" t="s">
        <v>1243</v>
      </c>
      <c r="AQ1045" s="5">
        <v>83814</v>
      </c>
      <c r="AR1045" t="s">
        <v>128</v>
      </c>
      <c r="AT1045" s="4">
        <v>12087772654</v>
      </c>
      <c r="AV1045" t="s">
        <v>2051</v>
      </c>
      <c r="AW1045" t="s">
        <v>2052</v>
      </c>
      <c r="AX1045" t="s">
        <v>131</v>
      </c>
      <c r="AY1045" t="s">
        <v>131</v>
      </c>
      <c r="AZ1045" t="s">
        <v>131</v>
      </c>
      <c r="BA1045" t="s">
        <v>131</v>
      </c>
      <c r="BB1045" t="s">
        <v>131</v>
      </c>
      <c r="BC1045" t="s">
        <v>131</v>
      </c>
      <c r="BD1045" t="s">
        <v>131</v>
      </c>
      <c r="BE1045" t="s">
        <v>132</v>
      </c>
      <c r="BH1045" t="s">
        <v>2095</v>
      </c>
      <c r="BI1045" t="s">
        <v>131</v>
      </c>
      <c r="BL1045" t="s">
        <v>167</v>
      </c>
      <c r="BO1045" t="s">
        <v>131</v>
      </c>
      <c r="BP1045" t="s">
        <v>134</v>
      </c>
      <c r="BQ1045" t="s">
        <v>131</v>
      </c>
      <c r="BS1045" t="str">
        <f t="shared" si="74"/>
        <v>N/A</v>
      </c>
      <c r="BT1045" t="s">
        <v>131</v>
      </c>
      <c r="BV1045" t="str">
        <f>""</f>
        <v/>
      </c>
      <c r="BW1045" t="s">
        <v>135</v>
      </c>
      <c r="BX1045" t="str">
        <f>""</f>
        <v/>
      </c>
      <c r="BY1045" t="str">
        <f>""</f>
        <v/>
      </c>
      <c r="BZ1045" t="str">
        <f>""</f>
        <v/>
      </c>
      <c r="CA1045" t="s">
        <v>11805</v>
      </c>
      <c r="CB1045" t="s">
        <v>131</v>
      </c>
      <c r="CF1045" t="s">
        <v>131</v>
      </c>
      <c r="CH1045" t="str">
        <f>""</f>
        <v/>
      </c>
      <c r="CI1045" t="s">
        <v>131</v>
      </c>
      <c r="CK1045" t="s">
        <v>131</v>
      </c>
      <c r="CL1045" t="str">
        <f>""</f>
        <v/>
      </c>
      <c r="CM1045" t="str">
        <f>""</f>
        <v/>
      </c>
      <c r="CN1045" t="str">
        <f>""</f>
        <v/>
      </c>
      <c r="CO1045" t="str">
        <f>""</f>
        <v/>
      </c>
      <c r="CP1045" t="str">
        <f>"37-3011.00"</f>
        <v>37-3011.00</v>
      </c>
      <c r="CQ1045" t="s">
        <v>920</v>
      </c>
      <c r="CS1045" t="s">
        <v>135</v>
      </c>
      <c r="CT1045" t="s">
        <v>13182</v>
      </c>
      <c r="CU1045" t="s">
        <v>13183</v>
      </c>
      <c r="CW1045" t="s">
        <v>13184</v>
      </c>
      <c r="CX1045" t="s">
        <v>594</v>
      </c>
      <c r="CZ1045" s="3" t="str">
        <f>"28369"</f>
        <v>28369</v>
      </c>
      <c r="DA1045" t="s">
        <v>135</v>
      </c>
      <c r="DB1045" t="str">
        <f>"37-3011"</f>
        <v>37-3011</v>
      </c>
      <c r="DC1045" t="s">
        <v>920</v>
      </c>
      <c r="DD1045" t="s">
        <v>134</v>
      </c>
      <c r="DE1045" t="s">
        <v>134</v>
      </c>
      <c r="DF1045" t="str">
        <f>""</f>
        <v/>
      </c>
      <c r="DH1045" s="6">
        <v>12.82</v>
      </c>
      <c r="DI1045" t="s">
        <v>344</v>
      </c>
      <c r="DK1045" t="s">
        <v>345</v>
      </c>
      <c r="DS1045" s="6">
        <v>12.82</v>
      </c>
      <c r="DT1045" s="2" t="s">
        <v>347</v>
      </c>
      <c r="DU1045" s="1">
        <v>44375</v>
      </c>
      <c r="DV1045" s="1">
        <v>44464</v>
      </c>
    </row>
    <row r="1046" spans="1:126" ht="15" customHeight="1" x14ac:dyDescent="0.35">
      <c r="A1046" t="s">
        <v>13699</v>
      </c>
      <c r="B1046" t="s">
        <v>318</v>
      </c>
      <c r="C1046" s="1">
        <v>44348</v>
      </c>
      <c r="D1046" s="1">
        <v>44375</v>
      </c>
      <c r="H1046" t="s">
        <v>319</v>
      </c>
      <c r="I1046" t="s">
        <v>1361</v>
      </c>
      <c r="J1046" t="s">
        <v>348</v>
      </c>
      <c r="K1046" t="s">
        <v>1253</v>
      </c>
      <c r="L1046" t="s">
        <v>701</v>
      </c>
      <c r="M1046" t="s">
        <v>9953</v>
      </c>
      <c r="N1046" t="s">
        <v>985</v>
      </c>
      <c r="O1046" t="s">
        <v>642</v>
      </c>
      <c r="P1046" t="s">
        <v>818</v>
      </c>
      <c r="Q1046" s="3">
        <v>30339</v>
      </c>
      <c r="R1046" t="s">
        <v>128</v>
      </c>
      <c r="T1046" s="4">
        <v>17703734593</v>
      </c>
      <c r="V1046" t="s">
        <v>13180</v>
      </c>
      <c r="W1046" t="s">
        <v>13181</v>
      </c>
      <c r="Y1046" t="s">
        <v>9953</v>
      </c>
      <c r="Z1046" t="s">
        <v>985</v>
      </c>
      <c r="AA1046" t="s">
        <v>642</v>
      </c>
      <c r="AB1046" t="s">
        <v>643</v>
      </c>
      <c r="AC1046" s="3" t="str">
        <f>"30339"</f>
        <v>30339</v>
      </c>
      <c r="AD1046" t="s">
        <v>128</v>
      </c>
      <c r="AF1046" s="4">
        <v>17703734593</v>
      </c>
      <c r="AH1046" t="str">
        <f>"56173"</f>
        <v>56173</v>
      </c>
      <c r="AI1046" t="s">
        <v>287</v>
      </c>
      <c r="AJ1046" t="s">
        <v>2046</v>
      </c>
      <c r="AK1046" t="s">
        <v>2047</v>
      </c>
      <c r="AL1046" t="s">
        <v>134</v>
      </c>
      <c r="AM1046" t="s">
        <v>2048</v>
      </c>
      <c r="AN1046" t="s">
        <v>2049</v>
      </c>
      <c r="AO1046" t="s">
        <v>2050</v>
      </c>
      <c r="AP1046" t="s">
        <v>1243</v>
      </c>
      <c r="AQ1046" s="5">
        <v>83814</v>
      </c>
      <c r="AR1046" t="s">
        <v>128</v>
      </c>
      <c r="AT1046" s="4">
        <v>12087772654</v>
      </c>
      <c r="AV1046" t="s">
        <v>2051</v>
      </c>
      <c r="AW1046" t="s">
        <v>2052</v>
      </c>
      <c r="AX1046" t="s">
        <v>131</v>
      </c>
      <c r="AY1046" t="s">
        <v>131</v>
      </c>
      <c r="AZ1046" t="s">
        <v>131</v>
      </c>
      <c r="BA1046" t="s">
        <v>131</v>
      </c>
      <c r="BB1046" t="s">
        <v>131</v>
      </c>
      <c r="BC1046" t="s">
        <v>131</v>
      </c>
      <c r="BD1046" t="s">
        <v>131</v>
      </c>
      <c r="BE1046" t="s">
        <v>132</v>
      </c>
      <c r="BH1046" t="s">
        <v>2095</v>
      </c>
      <c r="BI1046" t="s">
        <v>131</v>
      </c>
      <c r="BL1046" t="s">
        <v>167</v>
      </c>
      <c r="BO1046" t="s">
        <v>131</v>
      </c>
      <c r="BP1046" t="s">
        <v>134</v>
      </c>
      <c r="BQ1046" t="s">
        <v>131</v>
      </c>
      <c r="BS1046" t="str">
        <f t="shared" si="74"/>
        <v>N/A</v>
      </c>
      <c r="BT1046" t="s">
        <v>131</v>
      </c>
      <c r="BV1046" t="str">
        <f>""</f>
        <v/>
      </c>
      <c r="BW1046" t="s">
        <v>135</v>
      </c>
      <c r="BX1046" t="str">
        <f>""</f>
        <v/>
      </c>
      <c r="BY1046" t="str">
        <f>""</f>
        <v/>
      </c>
      <c r="BZ1046" t="str">
        <f>""</f>
        <v/>
      </c>
      <c r="CA1046" t="s">
        <v>11805</v>
      </c>
      <c r="CB1046" t="s">
        <v>131</v>
      </c>
      <c r="CF1046" t="s">
        <v>131</v>
      </c>
      <c r="CH1046" t="str">
        <f>""</f>
        <v/>
      </c>
      <c r="CI1046" t="s">
        <v>131</v>
      </c>
      <c r="CK1046" t="s">
        <v>131</v>
      </c>
      <c r="CL1046" t="str">
        <f>""</f>
        <v/>
      </c>
      <c r="CM1046" t="str">
        <f>""</f>
        <v/>
      </c>
      <c r="CN1046" t="str">
        <f>""</f>
        <v/>
      </c>
      <c r="CO1046" t="str">
        <f>""</f>
        <v/>
      </c>
      <c r="CP1046" t="str">
        <f>"37-3011.00"</f>
        <v>37-3011.00</v>
      </c>
      <c r="CQ1046" t="s">
        <v>920</v>
      </c>
      <c r="CS1046" t="s">
        <v>135</v>
      </c>
      <c r="CT1046" t="s">
        <v>13700</v>
      </c>
      <c r="CU1046" t="s">
        <v>13701</v>
      </c>
      <c r="CW1046" t="s">
        <v>13702</v>
      </c>
      <c r="CX1046" t="s">
        <v>1218</v>
      </c>
      <c r="CZ1046" s="3" t="str">
        <f>"36344"</f>
        <v>36344</v>
      </c>
      <c r="DA1046" t="s">
        <v>135</v>
      </c>
      <c r="DB1046" t="str">
        <f>"37-3011"</f>
        <v>37-3011</v>
      </c>
      <c r="DC1046" t="s">
        <v>920</v>
      </c>
      <c r="DD1046" t="s">
        <v>134</v>
      </c>
      <c r="DE1046" t="s">
        <v>134</v>
      </c>
      <c r="DF1046" t="str">
        <f>""</f>
        <v/>
      </c>
      <c r="DH1046" s="6">
        <v>11.18</v>
      </c>
      <c r="DI1046" t="s">
        <v>344</v>
      </c>
      <c r="DK1046" t="s">
        <v>345</v>
      </c>
      <c r="DS1046" s="6">
        <v>11.67</v>
      </c>
      <c r="DT1046" s="2" t="s">
        <v>347</v>
      </c>
      <c r="DU1046" s="1">
        <v>44375</v>
      </c>
      <c r="DV1046" s="1">
        <v>44464</v>
      </c>
    </row>
    <row r="1047" spans="1:126" ht="15" customHeight="1" x14ac:dyDescent="0.35">
      <c r="A1047" t="s">
        <v>18646</v>
      </c>
      <c r="B1047" t="s">
        <v>318</v>
      </c>
      <c r="C1047" s="1">
        <v>44348</v>
      </c>
      <c r="D1047" s="1">
        <v>44375</v>
      </c>
      <c r="H1047" t="s">
        <v>319</v>
      </c>
      <c r="I1047" t="s">
        <v>6675</v>
      </c>
      <c r="J1047" t="s">
        <v>3139</v>
      </c>
      <c r="L1047" t="s">
        <v>628</v>
      </c>
      <c r="M1047" t="s">
        <v>18647</v>
      </c>
      <c r="O1047" t="s">
        <v>13672</v>
      </c>
      <c r="P1047" t="s">
        <v>194</v>
      </c>
      <c r="Q1047" s="3">
        <v>34610</v>
      </c>
      <c r="R1047" t="s">
        <v>128</v>
      </c>
      <c r="T1047" s="4">
        <v>13525935830</v>
      </c>
      <c r="V1047" t="s">
        <v>6678</v>
      </c>
      <c r="W1047" t="s">
        <v>18648</v>
      </c>
      <c r="Y1047" t="s">
        <v>18647</v>
      </c>
      <c r="Z1047" t="s">
        <v>18649</v>
      </c>
      <c r="AA1047" t="s">
        <v>13672</v>
      </c>
      <c r="AB1047" t="s">
        <v>195</v>
      </c>
      <c r="AC1047" s="3" t="str">
        <f>"34610"</f>
        <v>34610</v>
      </c>
      <c r="AD1047" t="s">
        <v>128</v>
      </c>
      <c r="AF1047" s="4">
        <v>13525935830</v>
      </c>
      <c r="AH1047" t="str">
        <f>"56173"</f>
        <v>56173</v>
      </c>
      <c r="AI1047" t="s">
        <v>287</v>
      </c>
      <c r="AJ1047" t="s">
        <v>2209</v>
      </c>
      <c r="AK1047" t="s">
        <v>1459</v>
      </c>
      <c r="AL1047" t="s">
        <v>2210</v>
      </c>
      <c r="AM1047" t="s">
        <v>2211</v>
      </c>
      <c r="AN1047" t="s">
        <v>788</v>
      </c>
      <c r="AO1047" t="s">
        <v>2212</v>
      </c>
      <c r="AP1047" t="s">
        <v>400</v>
      </c>
      <c r="AQ1047" s="5">
        <v>75033</v>
      </c>
      <c r="AR1047" t="s">
        <v>128</v>
      </c>
      <c r="AT1047" s="4">
        <v>19727789690</v>
      </c>
      <c r="AV1047" t="s">
        <v>2213</v>
      </c>
      <c r="AW1047" t="s">
        <v>2214</v>
      </c>
      <c r="AX1047" t="s">
        <v>131</v>
      </c>
      <c r="AY1047" t="s">
        <v>131</v>
      </c>
      <c r="AZ1047" t="s">
        <v>131</v>
      </c>
      <c r="BA1047" t="s">
        <v>131</v>
      </c>
      <c r="BB1047" t="s">
        <v>131</v>
      </c>
      <c r="BC1047" t="s">
        <v>131</v>
      </c>
      <c r="BD1047" t="s">
        <v>131</v>
      </c>
      <c r="BE1047" t="s">
        <v>132</v>
      </c>
      <c r="BH1047" t="s">
        <v>2215</v>
      </c>
      <c r="BI1047" t="s">
        <v>131</v>
      </c>
      <c r="BL1047" t="s">
        <v>167</v>
      </c>
      <c r="BO1047" t="s">
        <v>131</v>
      </c>
      <c r="BP1047" t="s">
        <v>134</v>
      </c>
      <c r="BQ1047" t="s">
        <v>131</v>
      </c>
      <c r="BS1047" t="str">
        <f t="shared" si="74"/>
        <v>N/A</v>
      </c>
      <c r="BT1047" t="s">
        <v>131</v>
      </c>
      <c r="BV1047" t="str">
        <f>""</f>
        <v/>
      </c>
      <c r="BW1047" t="s">
        <v>135</v>
      </c>
      <c r="BX1047" t="str">
        <f>""</f>
        <v/>
      </c>
      <c r="BY1047" t="str">
        <f>""</f>
        <v/>
      </c>
      <c r="BZ1047" t="str">
        <f>""</f>
        <v/>
      </c>
      <c r="CA1047" t="str">
        <f>"Must be able to work a 5 day schedule, including weekends and holidays as required. Applicant must complete an employment application."</f>
        <v>Must be able to work a 5 day schedule, including weekends and holidays as required. Applicant must complete an employment application.</v>
      </c>
      <c r="CB1047" t="s">
        <v>131</v>
      </c>
      <c r="CF1047" t="s">
        <v>131</v>
      </c>
      <c r="CH1047" t="str">
        <f>""</f>
        <v/>
      </c>
      <c r="CI1047" t="s">
        <v>131</v>
      </c>
      <c r="CK1047" t="s">
        <v>131</v>
      </c>
      <c r="CL1047" t="str">
        <f>""</f>
        <v/>
      </c>
      <c r="CM1047" t="str">
        <f>""</f>
        <v/>
      </c>
      <c r="CN1047" t="str">
        <f>""</f>
        <v/>
      </c>
      <c r="CO1047" t="str">
        <f>""</f>
        <v/>
      </c>
      <c r="CP1047" t="str">
        <f>"37-3011.00"</f>
        <v>37-3011.00</v>
      </c>
      <c r="CQ1047" t="s">
        <v>920</v>
      </c>
      <c r="CS1047" t="s">
        <v>135</v>
      </c>
      <c r="CT1047" t="s">
        <v>6680</v>
      </c>
      <c r="CU1047" t="s">
        <v>18647</v>
      </c>
      <c r="CW1047" t="s">
        <v>13672</v>
      </c>
      <c r="CX1047" t="s">
        <v>195</v>
      </c>
      <c r="CZ1047" s="3" t="str">
        <f>"34610"</f>
        <v>34610</v>
      </c>
      <c r="DA1047" t="s">
        <v>135</v>
      </c>
      <c r="DB1047" t="str">
        <f>"37-3011"</f>
        <v>37-3011</v>
      </c>
      <c r="DC1047" t="s">
        <v>920</v>
      </c>
      <c r="DD1047" t="s">
        <v>134</v>
      </c>
      <c r="DE1047" t="s">
        <v>134</v>
      </c>
      <c r="DF1047" t="str">
        <f>""</f>
        <v/>
      </c>
      <c r="DH1047" s="6">
        <v>13.59</v>
      </c>
      <c r="DI1047" t="s">
        <v>344</v>
      </c>
      <c r="DK1047" t="s">
        <v>345</v>
      </c>
      <c r="DR1047" t="s">
        <v>7176</v>
      </c>
      <c r="DS1047" s="6">
        <v>15.62</v>
      </c>
      <c r="DT1047" s="2" t="s">
        <v>347</v>
      </c>
      <c r="DU1047" s="1">
        <v>44375</v>
      </c>
      <c r="DV1047" s="1">
        <v>44464</v>
      </c>
    </row>
    <row r="1048" spans="1:126" ht="15" customHeight="1" x14ac:dyDescent="0.35">
      <c r="A1048" t="s">
        <v>18680</v>
      </c>
      <c r="B1048" t="s">
        <v>318</v>
      </c>
      <c r="C1048" s="1">
        <v>44348</v>
      </c>
      <c r="D1048" s="1">
        <v>44375</v>
      </c>
      <c r="H1048" t="s">
        <v>319</v>
      </c>
      <c r="I1048" t="s">
        <v>17742</v>
      </c>
      <c r="J1048" t="s">
        <v>17743</v>
      </c>
      <c r="L1048" t="s">
        <v>3346</v>
      </c>
      <c r="M1048" t="s">
        <v>17744</v>
      </c>
      <c r="O1048" t="s">
        <v>1271</v>
      </c>
      <c r="P1048" t="s">
        <v>412</v>
      </c>
      <c r="Q1048" s="3">
        <v>76111</v>
      </c>
      <c r="R1048" t="s">
        <v>128</v>
      </c>
      <c r="T1048" s="4">
        <v>18172847900</v>
      </c>
      <c r="V1048" t="s">
        <v>17745</v>
      </c>
      <c r="W1048" t="s">
        <v>17746</v>
      </c>
      <c r="X1048" t="s">
        <v>18681</v>
      </c>
      <c r="Y1048" t="s">
        <v>18682</v>
      </c>
      <c r="AA1048" t="s">
        <v>18683</v>
      </c>
      <c r="AB1048" t="s">
        <v>1336</v>
      </c>
      <c r="AC1048" s="3" t="str">
        <f>"73099"</f>
        <v>73099</v>
      </c>
      <c r="AD1048" t="s">
        <v>128</v>
      </c>
      <c r="AF1048" s="4">
        <v>18172847900</v>
      </c>
      <c r="AH1048" t="str">
        <f>"56173"</f>
        <v>56173</v>
      </c>
      <c r="AI1048" t="s">
        <v>287</v>
      </c>
      <c r="AJ1048" t="s">
        <v>2209</v>
      </c>
      <c r="AK1048" t="s">
        <v>1459</v>
      </c>
      <c r="AL1048" t="s">
        <v>2210</v>
      </c>
      <c r="AM1048" t="s">
        <v>2211</v>
      </c>
      <c r="AN1048" t="s">
        <v>788</v>
      </c>
      <c r="AO1048" t="s">
        <v>2212</v>
      </c>
      <c r="AP1048" t="s">
        <v>400</v>
      </c>
      <c r="AQ1048" s="5">
        <v>75033</v>
      </c>
      <c r="AR1048" t="s">
        <v>128</v>
      </c>
      <c r="AT1048" s="4">
        <v>19727789690</v>
      </c>
      <c r="AV1048" t="s">
        <v>7179</v>
      </c>
      <c r="AW1048" t="s">
        <v>2214</v>
      </c>
      <c r="AX1048" t="s">
        <v>131</v>
      </c>
      <c r="AY1048" t="s">
        <v>131</v>
      </c>
      <c r="AZ1048" t="s">
        <v>131</v>
      </c>
      <c r="BA1048" t="s">
        <v>131</v>
      </c>
      <c r="BB1048" t="s">
        <v>131</v>
      </c>
      <c r="BC1048" t="s">
        <v>131</v>
      </c>
      <c r="BD1048" t="s">
        <v>131</v>
      </c>
      <c r="BE1048" t="s">
        <v>132</v>
      </c>
      <c r="BH1048" t="s">
        <v>17747</v>
      </c>
      <c r="BI1048" t="s">
        <v>131</v>
      </c>
      <c r="BL1048" t="s">
        <v>167</v>
      </c>
      <c r="BO1048" t="s">
        <v>131</v>
      </c>
      <c r="BP1048" t="s">
        <v>134</v>
      </c>
      <c r="BQ1048" t="s">
        <v>131</v>
      </c>
      <c r="BS1048" t="str">
        <f t="shared" si="74"/>
        <v>N/A</v>
      </c>
      <c r="BT1048" t="s">
        <v>135</v>
      </c>
      <c r="BU1048">
        <v>3</v>
      </c>
      <c r="BV1048" t="str">
        <f>"Landscape Laborer"</f>
        <v>Landscape Laborer</v>
      </c>
      <c r="BW1048" t="s">
        <v>135</v>
      </c>
      <c r="BX1048" t="str">
        <f>""</f>
        <v/>
      </c>
      <c r="BY1048" t="str">
        <f>""</f>
        <v/>
      </c>
      <c r="BZ1048" t="str">
        <f>""</f>
        <v/>
      </c>
      <c r="CA1048" t="s">
        <v>18684</v>
      </c>
      <c r="CB1048" t="s">
        <v>131</v>
      </c>
      <c r="CF1048" t="s">
        <v>131</v>
      </c>
      <c r="CH1048" t="str">
        <f>""</f>
        <v/>
      </c>
      <c r="CI1048" t="s">
        <v>131</v>
      </c>
      <c r="CK1048" t="s">
        <v>131</v>
      </c>
      <c r="CL1048" t="str">
        <f>""</f>
        <v/>
      </c>
      <c r="CM1048" t="str">
        <f>""</f>
        <v/>
      </c>
      <c r="CN1048" t="str">
        <f>""</f>
        <v/>
      </c>
      <c r="CO1048" t="str">
        <f>""</f>
        <v/>
      </c>
      <c r="CP1048" t="str">
        <f>"37-3011.00"</f>
        <v>37-3011.00</v>
      </c>
      <c r="CQ1048" t="s">
        <v>920</v>
      </c>
      <c r="CS1048" t="s">
        <v>135</v>
      </c>
      <c r="CT1048" t="s">
        <v>18685</v>
      </c>
      <c r="CU1048" t="s">
        <v>18686</v>
      </c>
      <c r="CW1048" t="s">
        <v>18683</v>
      </c>
      <c r="CX1048" t="s">
        <v>1336</v>
      </c>
      <c r="CZ1048" s="3" t="str">
        <f>"73099"</f>
        <v>73099</v>
      </c>
      <c r="DA1048" t="s">
        <v>135</v>
      </c>
      <c r="DB1048" t="str">
        <f>"37-3011"</f>
        <v>37-3011</v>
      </c>
      <c r="DC1048" t="s">
        <v>920</v>
      </c>
      <c r="DD1048" t="s">
        <v>134</v>
      </c>
      <c r="DE1048" t="s">
        <v>134</v>
      </c>
      <c r="DF1048" t="str">
        <f>""</f>
        <v/>
      </c>
      <c r="DH1048" s="6">
        <v>13.92</v>
      </c>
      <c r="DI1048" t="s">
        <v>344</v>
      </c>
      <c r="DK1048" t="s">
        <v>345</v>
      </c>
      <c r="DS1048" s="6">
        <v>13.92</v>
      </c>
      <c r="DT1048" s="2" t="s">
        <v>347</v>
      </c>
      <c r="DU1048" s="1">
        <v>44375</v>
      </c>
      <c r="DV1048" s="1">
        <v>44464</v>
      </c>
    </row>
    <row r="1049" spans="1:126" ht="15" customHeight="1" x14ac:dyDescent="0.35">
      <c r="A1049" t="s">
        <v>15128</v>
      </c>
      <c r="B1049" t="s">
        <v>318</v>
      </c>
      <c r="C1049" s="1">
        <v>44348</v>
      </c>
      <c r="D1049" s="1">
        <v>44375</v>
      </c>
      <c r="H1049" t="s">
        <v>319</v>
      </c>
      <c r="I1049" t="s">
        <v>11209</v>
      </c>
      <c r="J1049" t="s">
        <v>11210</v>
      </c>
      <c r="L1049" t="s">
        <v>4444</v>
      </c>
      <c r="M1049" t="s">
        <v>11211</v>
      </c>
      <c r="O1049" t="s">
        <v>11212</v>
      </c>
      <c r="P1049" t="s">
        <v>248</v>
      </c>
      <c r="Q1049" s="3">
        <v>56201</v>
      </c>
      <c r="R1049" t="s">
        <v>128</v>
      </c>
      <c r="T1049" s="4">
        <v>14077185570</v>
      </c>
      <c r="V1049" t="s">
        <v>11213</v>
      </c>
      <c r="W1049" t="s">
        <v>11214</v>
      </c>
      <c r="X1049" t="s">
        <v>11215</v>
      </c>
      <c r="Y1049" t="s">
        <v>11216</v>
      </c>
      <c r="AA1049" t="s">
        <v>11212</v>
      </c>
      <c r="AB1049" t="s">
        <v>249</v>
      </c>
      <c r="AC1049" s="3" t="str">
        <f>"56201"</f>
        <v>56201</v>
      </c>
      <c r="AD1049" t="s">
        <v>128</v>
      </c>
      <c r="AF1049" s="4">
        <v>14077185570</v>
      </c>
      <c r="AH1049" t="str">
        <f>"72111"</f>
        <v>72111</v>
      </c>
      <c r="AI1049" t="s">
        <v>287</v>
      </c>
      <c r="AJ1049" t="s">
        <v>2209</v>
      </c>
      <c r="AK1049" t="s">
        <v>1459</v>
      </c>
      <c r="AL1049" t="s">
        <v>2210</v>
      </c>
      <c r="AM1049" t="s">
        <v>2211</v>
      </c>
      <c r="AN1049" t="s">
        <v>788</v>
      </c>
      <c r="AO1049" t="s">
        <v>2212</v>
      </c>
      <c r="AP1049" t="s">
        <v>400</v>
      </c>
      <c r="AQ1049" s="5">
        <v>75033</v>
      </c>
      <c r="AR1049" t="s">
        <v>128</v>
      </c>
      <c r="AT1049" s="4">
        <v>19727789690</v>
      </c>
      <c r="AV1049" t="s">
        <v>7179</v>
      </c>
      <c r="AW1049" t="s">
        <v>2214</v>
      </c>
      <c r="AX1049" t="s">
        <v>131</v>
      </c>
      <c r="AY1049" t="s">
        <v>131</v>
      </c>
      <c r="AZ1049" t="s">
        <v>131</v>
      </c>
      <c r="BA1049" t="s">
        <v>131</v>
      </c>
      <c r="BB1049" t="s">
        <v>131</v>
      </c>
      <c r="BC1049" t="s">
        <v>131</v>
      </c>
      <c r="BD1049" t="s">
        <v>131</v>
      </c>
      <c r="BE1049" t="s">
        <v>132</v>
      </c>
      <c r="BH1049" t="s">
        <v>1639</v>
      </c>
      <c r="BI1049" t="s">
        <v>131</v>
      </c>
      <c r="BL1049" t="s">
        <v>167</v>
      </c>
      <c r="BO1049" t="s">
        <v>131</v>
      </c>
      <c r="BP1049" t="s">
        <v>134</v>
      </c>
      <c r="BQ1049" t="s">
        <v>131</v>
      </c>
      <c r="BS1049" t="str">
        <f t="shared" si="74"/>
        <v>N/A</v>
      </c>
      <c r="BT1049" t="s">
        <v>135</v>
      </c>
      <c r="BU1049">
        <v>3</v>
      </c>
      <c r="BV1049" t="str">
        <f>"Hotel/Resort Housekeeper"</f>
        <v>Hotel/Resort Housekeeper</v>
      </c>
      <c r="BW1049" t="s">
        <v>135</v>
      </c>
      <c r="BX1049" t="str">
        <f>""</f>
        <v/>
      </c>
      <c r="BY1049" t="str">
        <f>""</f>
        <v/>
      </c>
      <c r="BZ1049" t="str">
        <f>""</f>
        <v/>
      </c>
      <c r="CA1049" t="str">
        <f>"ALL APPLICANTS MUST BE ABLE TO WORK A 5 DAY WORK SCHEDULE, MOST WEEKEND &amp; HOLIDAYS REQUIRED. APPLICANT MUST COMPLETE AN EMPLOYMENT APPLICATION"</f>
        <v>ALL APPLICANTS MUST BE ABLE TO WORK A 5 DAY WORK SCHEDULE, MOST WEEKEND &amp; HOLIDAYS REQUIRED. APPLICANT MUST COMPLETE AN EMPLOYMENT APPLICATION</v>
      </c>
      <c r="CB1049" t="s">
        <v>131</v>
      </c>
      <c r="CF1049" t="s">
        <v>131</v>
      </c>
      <c r="CH1049" t="str">
        <f>""</f>
        <v/>
      </c>
      <c r="CI1049" t="s">
        <v>131</v>
      </c>
      <c r="CK1049" t="s">
        <v>131</v>
      </c>
      <c r="CL1049" t="str">
        <f>""</f>
        <v/>
      </c>
      <c r="CM1049" t="str">
        <f>""</f>
        <v/>
      </c>
      <c r="CN1049" t="str">
        <f>""</f>
        <v/>
      </c>
      <c r="CO1049" t="str">
        <f>""</f>
        <v/>
      </c>
      <c r="CP1049" t="str">
        <f>"37-2012.00"</f>
        <v>37-2012.00</v>
      </c>
      <c r="CQ1049" t="s">
        <v>479</v>
      </c>
      <c r="CS1049" t="s">
        <v>135</v>
      </c>
      <c r="CT1049" t="s">
        <v>15129</v>
      </c>
      <c r="CU1049" t="s">
        <v>15130</v>
      </c>
      <c r="CW1049" t="s">
        <v>3344</v>
      </c>
      <c r="CX1049" t="s">
        <v>249</v>
      </c>
      <c r="CZ1049" s="3" t="str">
        <f>"55902"</f>
        <v>55902</v>
      </c>
      <c r="DA1049" t="s">
        <v>131</v>
      </c>
      <c r="DB1049" t="str">
        <f>"37-2012"</f>
        <v>37-2012</v>
      </c>
      <c r="DC1049" t="s">
        <v>479</v>
      </c>
      <c r="DD1049" t="s">
        <v>134</v>
      </c>
      <c r="DE1049" t="s">
        <v>134</v>
      </c>
      <c r="DF1049" t="str">
        <f>""</f>
        <v/>
      </c>
      <c r="DH1049" s="6">
        <v>12.55</v>
      </c>
      <c r="DI1049" t="s">
        <v>344</v>
      </c>
      <c r="DK1049" t="s">
        <v>345</v>
      </c>
      <c r="DS1049" s="6">
        <v>12.55</v>
      </c>
      <c r="DT1049" s="2" t="s">
        <v>347</v>
      </c>
      <c r="DU1049" s="1">
        <v>44375</v>
      </c>
      <c r="DV1049" s="1">
        <v>44464</v>
      </c>
    </row>
    <row r="1050" spans="1:126" ht="15" customHeight="1" x14ac:dyDescent="0.35">
      <c r="A1050" t="s">
        <v>6408</v>
      </c>
      <c r="B1050" t="s">
        <v>318</v>
      </c>
      <c r="C1050" s="1">
        <v>44348</v>
      </c>
      <c r="D1050" s="1">
        <v>44375</v>
      </c>
      <c r="H1050" t="s">
        <v>319</v>
      </c>
      <c r="I1050" t="s">
        <v>693</v>
      </c>
      <c r="J1050" t="s">
        <v>3804</v>
      </c>
      <c r="K1050" t="s">
        <v>2673</v>
      </c>
      <c r="L1050" t="s">
        <v>6409</v>
      </c>
      <c r="M1050" t="s">
        <v>6410</v>
      </c>
      <c r="N1050" t="s">
        <v>6410</v>
      </c>
      <c r="O1050" t="s">
        <v>6411</v>
      </c>
      <c r="P1050" t="s">
        <v>811</v>
      </c>
      <c r="Q1050" s="3">
        <v>29906</v>
      </c>
      <c r="R1050" t="s">
        <v>128</v>
      </c>
      <c r="S1050" t="s">
        <v>6412</v>
      </c>
      <c r="T1050" s="4">
        <v>18435251735</v>
      </c>
      <c r="V1050" t="s">
        <v>6413</v>
      </c>
      <c r="W1050" t="s">
        <v>6414</v>
      </c>
      <c r="Y1050" t="s">
        <v>6415</v>
      </c>
      <c r="AA1050" t="s">
        <v>6411</v>
      </c>
      <c r="AB1050" t="s">
        <v>812</v>
      </c>
      <c r="AC1050" s="3" t="str">
        <f>"29902"</f>
        <v>29902</v>
      </c>
      <c r="AD1050" t="s">
        <v>128</v>
      </c>
      <c r="AE1050" t="s">
        <v>811</v>
      </c>
      <c r="AF1050" s="4">
        <v>18438124164</v>
      </c>
      <c r="AH1050" t="str">
        <f>"56173"</f>
        <v>56173</v>
      </c>
      <c r="AI1050" t="s">
        <v>167</v>
      </c>
      <c r="AX1050" t="s">
        <v>131</v>
      </c>
      <c r="AY1050" t="s">
        <v>131</v>
      </c>
      <c r="AZ1050" t="s">
        <v>131</v>
      </c>
      <c r="BA1050" t="s">
        <v>131</v>
      </c>
      <c r="BB1050" t="s">
        <v>131</v>
      </c>
      <c r="BC1050" t="s">
        <v>131</v>
      </c>
      <c r="BD1050" t="s">
        <v>131</v>
      </c>
      <c r="BE1050" t="s">
        <v>132</v>
      </c>
      <c r="BH1050" t="s">
        <v>6300</v>
      </c>
      <c r="BI1050" t="s">
        <v>131</v>
      </c>
      <c r="BL1050" t="s">
        <v>167</v>
      </c>
      <c r="BO1050" t="s">
        <v>131</v>
      </c>
      <c r="BP1050" t="s">
        <v>134</v>
      </c>
      <c r="BQ1050" t="s">
        <v>131</v>
      </c>
      <c r="BS1050" t="str">
        <f t="shared" si="74"/>
        <v>N/A</v>
      </c>
      <c r="BT1050" t="s">
        <v>131</v>
      </c>
      <c r="BV1050" t="str">
        <f>""</f>
        <v/>
      </c>
      <c r="BW1050" t="s">
        <v>131</v>
      </c>
      <c r="BX1050" t="str">
        <f>""</f>
        <v/>
      </c>
      <c r="BY1050" t="str">
        <f>""</f>
        <v/>
      </c>
      <c r="BZ1050" t="str">
        <f>""</f>
        <v/>
      </c>
      <c r="CA1050" t="str">
        <f>""</f>
        <v/>
      </c>
      <c r="CB1050" t="s">
        <v>131</v>
      </c>
      <c r="CF1050" t="s">
        <v>131</v>
      </c>
      <c r="CH1050" t="str">
        <f>""</f>
        <v/>
      </c>
      <c r="CI1050" t="s">
        <v>131</v>
      </c>
      <c r="CK1050" t="s">
        <v>131</v>
      </c>
      <c r="CL1050" t="str">
        <f>""</f>
        <v/>
      </c>
      <c r="CM1050" t="str">
        <f>""</f>
        <v/>
      </c>
      <c r="CN1050" t="str">
        <f>""</f>
        <v/>
      </c>
      <c r="CO1050" t="str">
        <f>""</f>
        <v/>
      </c>
      <c r="CP1050" t="str">
        <f>"37-3011.00"</f>
        <v>37-3011.00</v>
      </c>
      <c r="CQ1050" t="s">
        <v>920</v>
      </c>
      <c r="CR1050" t="s">
        <v>6416</v>
      </c>
      <c r="CS1050" t="s">
        <v>135</v>
      </c>
      <c r="CT1050" t="s">
        <v>6417</v>
      </c>
      <c r="CU1050" t="s">
        <v>6418</v>
      </c>
      <c r="CV1050" t="s">
        <v>6419</v>
      </c>
      <c r="CW1050" t="s">
        <v>6411</v>
      </c>
      <c r="CX1050" t="s">
        <v>812</v>
      </c>
      <c r="CZ1050" s="3" t="str">
        <f>"29906"</f>
        <v>29906</v>
      </c>
      <c r="DA1050" t="s">
        <v>131</v>
      </c>
      <c r="DB1050" t="str">
        <f>"37-3011"</f>
        <v>37-3011</v>
      </c>
      <c r="DC1050" t="s">
        <v>920</v>
      </c>
      <c r="DD1050" t="s">
        <v>134</v>
      </c>
      <c r="DE1050" t="s">
        <v>134</v>
      </c>
      <c r="DF1050" t="str">
        <f>""</f>
        <v/>
      </c>
      <c r="DH1050" s="6">
        <v>17.48</v>
      </c>
      <c r="DI1050" t="s">
        <v>344</v>
      </c>
      <c r="DK1050" t="s">
        <v>345</v>
      </c>
      <c r="DR1050" t="s">
        <v>6420</v>
      </c>
      <c r="DS1050" s="6">
        <v>17.48</v>
      </c>
      <c r="DT1050" s="2" t="s">
        <v>347</v>
      </c>
      <c r="DU1050" s="1">
        <v>44375</v>
      </c>
      <c r="DV1050" s="1">
        <v>44464</v>
      </c>
    </row>
    <row r="1051" spans="1:126" ht="15" customHeight="1" x14ac:dyDescent="0.35">
      <c r="A1051" t="s">
        <v>18950</v>
      </c>
      <c r="B1051" t="s">
        <v>318</v>
      </c>
      <c r="C1051" s="1">
        <v>44348</v>
      </c>
      <c r="D1051" s="1">
        <v>44375</v>
      </c>
      <c r="H1051" t="s">
        <v>319</v>
      </c>
      <c r="I1051" t="s">
        <v>12757</v>
      </c>
      <c r="J1051" t="s">
        <v>6823</v>
      </c>
      <c r="L1051" t="s">
        <v>303</v>
      </c>
      <c r="M1051" t="s">
        <v>13774</v>
      </c>
      <c r="O1051" t="s">
        <v>13775</v>
      </c>
      <c r="P1051" t="s">
        <v>178</v>
      </c>
      <c r="Q1051" s="3">
        <v>92336</v>
      </c>
      <c r="R1051" t="s">
        <v>128</v>
      </c>
      <c r="T1051" s="4">
        <v>19097148617</v>
      </c>
      <c r="V1051" t="s">
        <v>12758</v>
      </c>
      <c r="W1051" t="s">
        <v>13776</v>
      </c>
      <c r="Y1051" t="s">
        <v>18951</v>
      </c>
      <c r="AA1051" t="s">
        <v>13775</v>
      </c>
      <c r="AB1051" t="s">
        <v>172</v>
      </c>
      <c r="AC1051" s="3" t="str">
        <f>"92336"</f>
        <v>92336</v>
      </c>
      <c r="AD1051" t="s">
        <v>128</v>
      </c>
      <c r="AF1051" s="4">
        <v>19097148617</v>
      </c>
      <c r="AH1051" t="str">
        <f>"4841"</f>
        <v>4841</v>
      </c>
      <c r="AI1051" t="s">
        <v>130</v>
      </c>
      <c r="AJ1051" t="s">
        <v>13777</v>
      </c>
      <c r="AK1051" t="s">
        <v>4629</v>
      </c>
      <c r="AL1051" t="s">
        <v>332</v>
      </c>
      <c r="AM1051" t="s">
        <v>13778</v>
      </c>
      <c r="AN1051" t="s">
        <v>2558</v>
      </c>
      <c r="AO1051" t="s">
        <v>2515</v>
      </c>
      <c r="AP1051" t="s">
        <v>172</v>
      </c>
      <c r="AQ1051" s="5">
        <v>92660</v>
      </c>
      <c r="AR1051" t="s">
        <v>128</v>
      </c>
      <c r="AT1051" s="4">
        <v>19497986298</v>
      </c>
      <c r="AV1051" t="s">
        <v>13779</v>
      </c>
      <c r="AW1051" t="s">
        <v>13780</v>
      </c>
      <c r="AX1051" t="s">
        <v>131</v>
      </c>
      <c r="AY1051" t="s">
        <v>131</v>
      </c>
      <c r="AZ1051" t="s">
        <v>131</v>
      </c>
      <c r="BA1051" t="s">
        <v>131</v>
      </c>
      <c r="BB1051" t="s">
        <v>131</v>
      </c>
      <c r="BC1051" t="s">
        <v>131</v>
      </c>
      <c r="BD1051" t="s">
        <v>131</v>
      </c>
      <c r="BE1051" t="s">
        <v>132</v>
      </c>
      <c r="BH1051" t="s">
        <v>13781</v>
      </c>
      <c r="BI1051" t="s">
        <v>131</v>
      </c>
      <c r="BL1051" t="s">
        <v>167</v>
      </c>
      <c r="BO1051" t="s">
        <v>131</v>
      </c>
      <c r="BP1051" t="s">
        <v>134</v>
      </c>
      <c r="BQ1051" t="s">
        <v>131</v>
      </c>
      <c r="BS1051" t="str">
        <f t="shared" si="74"/>
        <v>N/A</v>
      </c>
      <c r="BT1051" t="s">
        <v>135</v>
      </c>
      <c r="BU1051">
        <v>24</v>
      </c>
      <c r="BV1051" t="str">
        <f>"Operation of commercial vehicle "</f>
        <v xml:space="preserve">Operation of commercial vehicle </v>
      </c>
      <c r="BW1051" t="s">
        <v>135</v>
      </c>
      <c r="BX1051" t="s">
        <v>18952</v>
      </c>
      <c r="BY1051" t="str">
        <f>""</f>
        <v/>
      </c>
      <c r="BZ1051" t="str">
        <f>""</f>
        <v/>
      </c>
      <c r="CA1051" t="str">
        <f>"Must know how to operate a manual 10-speed tractor trailer truck. Must not have any DUIs/DWIs in the past 5 years. Must be able and willing to take and pass a Department of Transportation drug screen, physical, and comprehensive background check."</f>
        <v>Must know how to operate a manual 10-speed tractor trailer truck. Must not have any DUIs/DWIs in the past 5 years. Must be able and willing to take and pass a Department of Transportation drug screen, physical, and comprehensive background check.</v>
      </c>
      <c r="CB1051" t="s">
        <v>131</v>
      </c>
      <c r="CF1051" t="s">
        <v>131</v>
      </c>
      <c r="CH1051" t="str">
        <f>""</f>
        <v/>
      </c>
      <c r="CI1051" t="s">
        <v>131</v>
      </c>
      <c r="CK1051" t="s">
        <v>131</v>
      </c>
      <c r="CL1051" t="str">
        <f>""</f>
        <v/>
      </c>
      <c r="CM1051" t="str">
        <f>""</f>
        <v/>
      </c>
      <c r="CN1051" t="str">
        <f>""</f>
        <v/>
      </c>
      <c r="CO1051" t="str">
        <f>""</f>
        <v/>
      </c>
      <c r="CP1051" t="str">
        <f>"53-3032.00"</f>
        <v>53-3032.00</v>
      </c>
      <c r="CQ1051" t="s">
        <v>1238</v>
      </c>
      <c r="CR1051" t="s">
        <v>13782</v>
      </c>
      <c r="CS1051" t="s">
        <v>135</v>
      </c>
      <c r="CT1051" s="2" t="s">
        <v>18953</v>
      </c>
      <c r="CU1051" t="s">
        <v>18954</v>
      </c>
      <c r="CW1051" t="s">
        <v>8476</v>
      </c>
      <c r="CX1051" t="s">
        <v>779</v>
      </c>
      <c r="CZ1051" s="3" t="str">
        <f>"38116"</f>
        <v>38116</v>
      </c>
      <c r="DA1051" t="s">
        <v>135</v>
      </c>
      <c r="DB1051" t="str">
        <f>"53-3032"</f>
        <v>53-3032</v>
      </c>
      <c r="DC1051" t="s">
        <v>1238</v>
      </c>
      <c r="DD1051" t="s">
        <v>134</v>
      </c>
      <c r="DE1051" t="s">
        <v>134</v>
      </c>
      <c r="DF1051" t="str">
        <f>""</f>
        <v/>
      </c>
      <c r="DH1051" s="6">
        <v>21.49</v>
      </c>
      <c r="DI1051" t="s">
        <v>344</v>
      </c>
      <c r="DK1051" t="s">
        <v>345</v>
      </c>
      <c r="DS1051" s="6">
        <v>21.49</v>
      </c>
      <c r="DT1051" s="2" t="s">
        <v>347</v>
      </c>
      <c r="DU1051" s="1">
        <v>44375</v>
      </c>
      <c r="DV1051" s="1">
        <v>44464</v>
      </c>
    </row>
    <row r="1052" spans="1:126" ht="15" customHeight="1" x14ac:dyDescent="0.35">
      <c r="A1052" t="s">
        <v>19560</v>
      </c>
      <c r="B1052" t="s">
        <v>318</v>
      </c>
      <c r="C1052" s="1">
        <v>44348</v>
      </c>
      <c r="D1052" s="1">
        <v>44375</v>
      </c>
      <c r="H1052" t="s">
        <v>319</v>
      </c>
      <c r="I1052" t="s">
        <v>19561</v>
      </c>
      <c r="J1052" t="s">
        <v>14889</v>
      </c>
      <c r="K1052" t="s">
        <v>3629</v>
      </c>
      <c r="L1052" t="s">
        <v>1105</v>
      </c>
      <c r="M1052" t="s">
        <v>19562</v>
      </c>
      <c r="O1052" t="s">
        <v>15450</v>
      </c>
      <c r="P1052" t="s">
        <v>1004</v>
      </c>
      <c r="Q1052" s="3">
        <v>84404</v>
      </c>
      <c r="R1052" t="s">
        <v>128</v>
      </c>
      <c r="T1052" s="4">
        <v>18015649559</v>
      </c>
      <c r="V1052" t="s">
        <v>134</v>
      </c>
      <c r="W1052" t="s">
        <v>19563</v>
      </c>
      <c r="Y1052" t="s">
        <v>19562</v>
      </c>
      <c r="AA1052" t="s">
        <v>15450</v>
      </c>
      <c r="AB1052" t="s">
        <v>1008</v>
      </c>
      <c r="AC1052" s="3" t="str">
        <f>"84404"</f>
        <v>84404</v>
      </c>
      <c r="AD1052" t="s">
        <v>128</v>
      </c>
      <c r="AF1052" s="4">
        <v>18015649559</v>
      </c>
      <c r="AH1052" t="str">
        <f>"48849"</f>
        <v>48849</v>
      </c>
      <c r="AI1052" t="s">
        <v>130</v>
      </c>
      <c r="AJ1052" t="s">
        <v>4793</v>
      </c>
      <c r="AK1052" t="s">
        <v>3519</v>
      </c>
      <c r="AL1052" t="s">
        <v>301</v>
      </c>
      <c r="AM1052" t="s">
        <v>4856</v>
      </c>
      <c r="AN1052" t="s">
        <v>334</v>
      </c>
      <c r="AO1052" t="s">
        <v>1040</v>
      </c>
      <c r="AP1052" t="s">
        <v>400</v>
      </c>
      <c r="AQ1052" s="5">
        <v>78746</v>
      </c>
      <c r="AR1052" t="s">
        <v>128</v>
      </c>
      <c r="AT1052" s="4">
        <v>15123470007</v>
      </c>
      <c r="AV1052" t="s">
        <v>4857</v>
      </c>
      <c r="AW1052" t="s">
        <v>4858</v>
      </c>
      <c r="AX1052" t="s">
        <v>131</v>
      </c>
      <c r="AY1052" t="s">
        <v>131</v>
      </c>
      <c r="AZ1052" t="s">
        <v>131</v>
      </c>
      <c r="BA1052" t="s">
        <v>131</v>
      </c>
      <c r="BB1052" t="s">
        <v>131</v>
      </c>
      <c r="BC1052" t="s">
        <v>131</v>
      </c>
      <c r="BD1052" t="s">
        <v>131</v>
      </c>
      <c r="BE1052" t="s">
        <v>132</v>
      </c>
      <c r="BH1052" t="s">
        <v>16695</v>
      </c>
      <c r="BI1052" t="s">
        <v>131</v>
      </c>
      <c r="BL1052" t="s">
        <v>167</v>
      </c>
      <c r="BO1052" t="s">
        <v>131</v>
      </c>
      <c r="BP1052" t="s">
        <v>134</v>
      </c>
      <c r="BQ1052" t="s">
        <v>131</v>
      </c>
      <c r="BS1052" t="str">
        <f t="shared" si="74"/>
        <v>N/A</v>
      </c>
      <c r="BT1052" t="s">
        <v>131</v>
      </c>
      <c r="BV1052" t="str">
        <f>""</f>
        <v/>
      </c>
      <c r="BW1052" t="s">
        <v>131</v>
      </c>
      <c r="BX1052" t="str">
        <f>""</f>
        <v/>
      </c>
      <c r="BY1052" t="str">
        <f>""</f>
        <v/>
      </c>
      <c r="BZ1052" t="str">
        <f>""</f>
        <v/>
      </c>
      <c r="CA1052" t="str">
        <f>""</f>
        <v/>
      </c>
      <c r="CB1052" t="s">
        <v>131</v>
      </c>
      <c r="CF1052" t="s">
        <v>131</v>
      </c>
      <c r="CH1052" t="str">
        <f>""</f>
        <v/>
      </c>
      <c r="CI1052" t="s">
        <v>131</v>
      </c>
      <c r="CK1052" t="s">
        <v>131</v>
      </c>
      <c r="CL1052" t="str">
        <f>""</f>
        <v/>
      </c>
      <c r="CM1052" t="str">
        <f>""</f>
        <v/>
      </c>
      <c r="CN1052" t="str">
        <f>""</f>
        <v/>
      </c>
      <c r="CO1052" t="str">
        <f>""</f>
        <v/>
      </c>
      <c r="CP1052" t="str">
        <f>"37-3011.00"</f>
        <v>37-3011.00</v>
      </c>
      <c r="CQ1052" t="s">
        <v>920</v>
      </c>
      <c r="CS1052" t="s">
        <v>135</v>
      </c>
      <c r="CT1052" t="s">
        <v>19564</v>
      </c>
      <c r="CU1052" t="s">
        <v>19562</v>
      </c>
      <c r="CW1052" t="s">
        <v>15450</v>
      </c>
      <c r="CX1052" t="s">
        <v>1008</v>
      </c>
      <c r="CZ1052" s="3" t="str">
        <f>"84404"</f>
        <v>84404</v>
      </c>
      <c r="DA1052" t="s">
        <v>135</v>
      </c>
      <c r="DB1052" t="str">
        <f>"37-3011"</f>
        <v>37-3011</v>
      </c>
      <c r="DC1052" t="s">
        <v>920</v>
      </c>
      <c r="DD1052" t="s">
        <v>134</v>
      </c>
      <c r="DE1052" t="s">
        <v>134</v>
      </c>
      <c r="DF1052" t="str">
        <f>""</f>
        <v/>
      </c>
      <c r="DH1052" s="6">
        <v>14.57</v>
      </c>
      <c r="DI1052" t="s">
        <v>344</v>
      </c>
      <c r="DK1052" t="s">
        <v>345</v>
      </c>
      <c r="DR1052" t="s">
        <v>15451</v>
      </c>
      <c r="DS1052" s="6">
        <v>14.57</v>
      </c>
      <c r="DT1052" s="2" t="s">
        <v>347</v>
      </c>
      <c r="DU1052" s="1">
        <v>44375</v>
      </c>
      <c r="DV1052" s="1">
        <v>44464</v>
      </c>
    </row>
    <row r="1053" spans="1:126" ht="15" customHeight="1" x14ac:dyDescent="0.35">
      <c r="A1053" t="s">
        <v>15148</v>
      </c>
      <c r="B1053" t="s">
        <v>318</v>
      </c>
      <c r="C1053" s="1">
        <v>44349</v>
      </c>
      <c r="D1053" s="1">
        <v>44376</v>
      </c>
      <c r="H1053" t="s">
        <v>319</v>
      </c>
      <c r="I1053" t="s">
        <v>15149</v>
      </c>
      <c r="J1053" t="s">
        <v>15150</v>
      </c>
      <c r="L1053" t="s">
        <v>1105</v>
      </c>
      <c r="M1053" t="s">
        <v>15151</v>
      </c>
      <c r="O1053" t="s">
        <v>4217</v>
      </c>
      <c r="P1053" t="s">
        <v>441</v>
      </c>
      <c r="Q1053" s="3">
        <v>43606</v>
      </c>
      <c r="R1053" t="s">
        <v>128</v>
      </c>
      <c r="T1053" s="4">
        <v>14195312800</v>
      </c>
      <c r="V1053" t="s">
        <v>15152</v>
      </c>
      <c r="W1053" t="s">
        <v>15153</v>
      </c>
      <c r="X1053" t="s">
        <v>15154</v>
      </c>
      <c r="Y1053" t="s">
        <v>15151</v>
      </c>
      <c r="AA1053" t="s">
        <v>4217</v>
      </c>
      <c r="AB1053" t="s">
        <v>444</v>
      </c>
      <c r="AC1053" s="3" t="str">
        <f>"43606"</f>
        <v>43606</v>
      </c>
      <c r="AD1053" t="s">
        <v>128</v>
      </c>
      <c r="AF1053" s="4">
        <v>14195312800</v>
      </c>
      <c r="AH1053" t="str">
        <f>"722511"</f>
        <v>722511</v>
      </c>
      <c r="AI1053" t="s">
        <v>287</v>
      </c>
      <c r="AJ1053" t="s">
        <v>15155</v>
      </c>
      <c r="AK1053" t="s">
        <v>15156</v>
      </c>
      <c r="AL1053" t="s">
        <v>15150</v>
      </c>
      <c r="AM1053" t="s">
        <v>15157</v>
      </c>
      <c r="AO1053" t="s">
        <v>4217</v>
      </c>
      <c r="AP1053" t="s">
        <v>444</v>
      </c>
      <c r="AQ1053" s="5">
        <v>43614</v>
      </c>
      <c r="AR1053" t="s">
        <v>128</v>
      </c>
      <c r="AT1053" s="4">
        <v>14192665245</v>
      </c>
      <c r="AV1053" t="s">
        <v>15158</v>
      </c>
      <c r="AW1053" t="s">
        <v>15159</v>
      </c>
      <c r="AX1053" t="s">
        <v>131</v>
      </c>
      <c r="AY1053" t="s">
        <v>131</v>
      </c>
      <c r="AZ1053" t="s">
        <v>131</v>
      </c>
      <c r="BA1053" t="s">
        <v>131</v>
      </c>
      <c r="BB1053" t="s">
        <v>131</v>
      </c>
      <c r="BC1053" t="s">
        <v>131</v>
      </c>
      <c r="BD1053" t="s">
        <v>131</v>
      </c>
      <c r="BE1053" t="s">
        <v>132</v>
      </c>
      <c r="BH1053" t="s">
        <v>15160</v>
      </c>
      <c r="BI1053" t="s">
        <v>135</v>
      </c>
      <c r="BJ1053" t="s">
        <v>15161</v>
      </c>
      <c r="BK1053" t="s">
        <v>15162</v>
      </c>
      <c r="BL1053" t="s">
        <v>167</v>
      </c>
      <c r="BO1053" t="s">
        <v>131</v>
      </c>
      <c r="BP1053" t="s">
        <v>134</v>
      </c>
      <c r="BQ1053" t="s">
        <v>135</v>
      </c>
      <c r="BR1053">
        <v>12</v>
      </c>
      <c r="BS1053" t="str">
        <f>"Chef School / Culinary School - Peruvian Cuisine"</f>
        <v>Chef School / Culinary School - Peruvian Cuisine</v>
      </c>
      <c r="BT1053" t="s">
        <v>135</v>
      </c>
      <c r="BU1053">
        <v>12</v>
      </c>
      <c r="BV1053" t="str">
        <f>"Chef"</f>
        <v>Chef</v>
      </c>
      <c r="BW1053" t="s">
        <v>135</v>
      </c>
      <c r="BX1053" t="str">
        <f>""</f>
        <v/>
      </c>
      <c r="BY1053" t="str">
        <f>""</f>
        <v/>
      </c>
      <c r="BZ1053" t="str">
        <f>""</f>
        <v/>
      </c>
      <c r="CA1053" t="str">
        <f>"Knowledge and experience in Peruvian Cuisine."</f>
        <v>Knowledge and experience in Peruvian Cuisine.</v>
      </c>
      <c r="CB1053" t="s">
        <v>131</v>
      </c>
      <c r="CF1053" t="s">
        <v>131</v>
      </c>
      <c r="CH1053" t="str">
        <f>""</f>
        <v/>
      </c>
      <c r="CI1053" t="s">
        <v>131</v>
      </c>
      <c r="CK1053" t="s">
        <v>131</v>
      </c>
      <c r="CL1053" t="str">
        <f>""</f>
        <v/>
      </c>
      <c r="CM1053" t="str">
        <f>""</f>
        <v/>
      </c>
      <c r="CN1053" t="str">
        <f>""</f>
        <v/>
      </c>
      <c r="CO1053" t="str">
        <f>""</f>
        <v/>
      </c>
      <c r="CP1053" t="str">
        <f>"35-1011.00"</f>
        <v>35-1011.00</v>
      </c>
      <c r="CQ1053" t="s">
        <v>1392</v>
      </c>
      <c r="CR1053" t="s">
        <v>1105</v>
      </c>
      <c r="CS1053" t="s">
        <v>131</v>
      </c>
      <c r="CU1053" t="s">
        <v>15151</v>
      </c>
      <c r="CW1053" t="s">
        <v>4217</v>
      </c>
      <c r="CX1053" t="s">
        <v>444</v>
      </c>
      <c r="CZ1053" s="3" t="str">
        <f>"43606"</f>
        <v>43606</v>
      </c>
      <c r="DA1053" t="s">
        <v>131</v>
      </c>
      <c r="DB1053" t="str">
        <f>"35-1011"</f>
        <v>35-1011</v>
      </c>
      <c r="DC1053" t="s">
        <v>1392</v>
      </c>
      <c r="DD1053" t="s">
        <v>134</v>
      </c>
      <c r="DE1053" t="s">
        <v>134</v>
      </c>
      <c r="DF1053" t="str">
        <f>""</f>
        <v/>
      </c>
      <c r="DH1053" s="6">
        <v>23.53</v>
      </c>
      <c r="DI1053" t="s">
        <v>344</v>
      </c>
      <c r="DK1053" t="s">
        <v>345</v>
      </c>
      <c r="DR1053" t="s">
        <v>15163</v>
      </c>
      <c r="DS1053" s="6">
        <v>23.53</v>
      </c>
      <c r="DT1053" t="s">
        <v>424</v>
      </c>
      <c r="DU1053" s="1">
        <v>44376</v>
      </c>
      <c r="DV1053" s="1">
        <v>44465</v>
      </c>
    </row>
    <row r="1054" spans="1:126" ht="15" customHeight="1" x14ac:dyDescent="0.35">
      <c r="A1054" t="s">
        <v>14581</v>
      </c>
      <c r="B1054" t="s">
        <v>318</v>
      </c>
      <c r="C1054" s="1">
        <v>44349</v>
      </c>
      <c r="D1054" s="1">
        <v>44376</v>
      </c>
      <c r="H1054" t="s">
        <v>319</v>
      </c>
      <c r="I1054" t="s">
        <v>14582</v>
      </c>
      <c r="J1054" t="s">
        <v>618</v>
      </c>
      <c r="L1054" t="s">
        <v>1105</v>
      </c>
      <c r="M1054" t="s">
        <v>14583</v>
      </c>
      <c r="O1054" t="s">
        <v>2163</v>
      </c>
      <c r="P1054" t="s">
        <v>1760</v>
      </c>
      <c r="Q1054" s="3">
        <v>71106</v>
      </c>
      <c r="R1054" t="s">
        <v>128</v>
      </c>
      <c r="T1054" s="4">
        <v>13182183868</v>
      </c>
      <c r="V1054" t="s">
        <v>134</v>
      </c>
      <c r="W1054" t="s">
        <v>14584</v>
      </c>
      <c r="Y1054" t="s">
        <v>14583</v>
      </c>
      <c r="AA1054" t="s">
        <v>2163</v>
      </c>
      <c r="AB1054" t="s">
        <v>1763</v>
      </c>
      <c r="AC1054" s="3" t="str">
        <f>"71106"</f>
        <v>71106</v>
      </c>
      <c r="AD1054" t="s">
        <v>128</v>
      </c>
      <c r="AF1054" s="4">
        <v>13182183868</v>
      </c>
      <c r="AH1054" t="str">
        <f>"56173"</f>
        <v>56173</v>
      </c>
      <c r="AI1054" t="s">
        <v>287</v>
      </c>
      <c r="AJ1054" t="s">
        <v>3916</v>
      </c>
      <c r="AK1054" t="s">
        <v>1225</v>
      </c>
      <c r="AL1054" t="s">
        <v>589</v>
      </c>
      <c r="AM1054" t="s">
        <v>3917</v>
      </c>
      <c r="AO1054" t="s">
        <v>1513</v>
      </c>
      <c r="AP1054" t="s">
        <v>400</v>
      </c>
      <c r="AQ1054" s="5">
        <v>75231</v>
      </c>
      <c r="AR1054" t="s">
        <v>128</v>
      </c>
      <c r="AT1054" s="4">
        <v>12145265665</v>
      </c>
      <c r="AV1054" t="s">
        <v>3918</v>
      </c>
      <c r="AW1054" t="s">
        <v>3919</v>
      </c>
      <c r="AX1054" t="s">
        <v>131</v>
      </c>
      <c r="AY1054" t="s">
        <v>131</v>
      </c>
      <c r="AZ1054" t="s">
        <v>131</v>
      </c>
      <c r="BA1054" t="s">
        <v>131</v>
      </c>
      <c r="BB1054" t="s">
        <v>131</v>
      </c>
      <c r="BC1054" t="s">
        <v>131</v>
      </c>
      <c r="BD1054" t="s">
        <v>131</v>
      </c>
      <c r="BE1054" t="s">
        <v>132</v>
      </c>
      <c r="BH1054" t="s">
        <v>2215</v>
      </c>
      <c r="BI1054" t="s">
        <v>131</v>
      </c>
      <c r="BL1054" t="s">
        <v>167</v>
      </c>
      <c r="BO1054" t="s">
        <v>131</v>
      </c>
      <c r="BP1054" t="s">
        <v>134</v>
      </c>
      <c r="BQ1054" t="s">
        <v>131</v>
      </c>
      <c r="BS1054" t="str">
        <f t="shared" ref="BS1054:BS1085" si="75">"N/A"</f>
        <v>N/A</v>
      </c>
      <c r="BT1054" t="s">
        <v>131</v>
      </c>
      <c r="BV1054" t="str">
        <f>""</f>
        <v/>
      </c>
      <c r="BW1054" t="s">
        <v>135</v>
      </c>
      <c r="BX1054" t="str">
        <f>""</f>
        <v/>
      </c>
      <c r="BY1054" t="str">
        <f>""</f>
        <v/>
      </c>
      <c r="BZ1054" t="str">
        <f>""</f>
        <v/>
      </c>
      <c r="CA1054" t="str">
        <f>"Must be able to lift 50 lbs, work in adverse weather conditions &amp; pass a pre-employment drug test paid by employer."</f>
        <v>Must be able to lift 50 lbs, work in adverse weather conditions &amp; pass a pre-employment drug test paid by employer.</v>
      </c>
      <c r="CB1054" t="s">
        <v>131</v>
      </c>
      <c r="CF1054" t="s">
        <v>131</v>
      </c>
      <c r="CH1054" t="str">
        <f>""</f>
        <v/>
      </c>
      <c r="CI1054" t="s">
        <v>131</v>
      </c>
      <c r="CK1054" t="s">
        <v>131</v>
      </c>
      <c r="CL1054" t="str">
        <f>""</f>
        <v/>
      </c>
      <c r="CM1054" t="str">
        <f>""</f>
        <v/>
      </c>
      <c r="CN1054" t="str">
        <f>""</f>
        <v/>
      </c>
      <c r="CO1054" t="str">
        <f>""</f>
        <v/>
      </c>
      <c r="CP1054" t="str">
        <f>"37-3011.00"</f>
        <v>37-3011.00</v>
      </c>
      <c r="CQ1054" t="s">
        <v>920</v>
      </c>
      <c r="CR1054" t="s">
        <v>3086</v>
      </c>
      <c r="CS1054" t="s">
        <v>131</v>
      </c>
      <c r="CU1054" t="s">
        <v>14583</v>
      </c>
      <c r="CW1054" t="s">
        <v>2163</v>
      </c>
      <c r="CX1054" t="s">
        <v>1763</v>
      </c>
      <c r="CZ1054" s="3" t="str">
        <f>"71106"</f>
        <v>71106</v>
      </c>
      <c r="DA1054" t="s">
        <v>135</v>
      </c>
      <c r="DB1054" t="str">
        <f>"37-3011"</f>
        <v>37-3011</v>
      </c>
      <c r="DC1054" t="s">
        <v>920</v>
      </c>
      <c r="DD1054" t="s">
        <v>134</v>
      </c>
      <c r="DE1054" t="s">
        <v>134</v>
      </c>
      <c r="DF1054" t="str">
        <f>""</f>
        <v/>
      </c>
      <c r="DH1054" s="6">
        <v>14.21</v>
      </c>
      <c r="DI1054" t="s">
        <v>344</v>
      </c>
      <c r="DK1054" t="s">
        <v>345</v>
      </c>
      <c r="DS1054" s="6">
        <v>14.21</v>
      </c>
      <c r="DT1054" t="s">
        <v>424</v>
      </c>
      <c r="DU1054" s="1">
        <v>44376</v>
      </c>
      <c r="DV1054" s="1">
        <v>44465</v>
      </c>
    </row>
    <row r="1055" spans="1:126" ht="15" customHeight="1" x14ac:dyDescent="0.35">
      <c r="A1055" t="s">
        <v>9216</v>
      </c>
      <c r="B1055" t="s">
        <v>318</v>
      </c>
      <c r="C1055" s="1">
        <v>44349</v>
      </c>
      <c r="D1055" s="1">
        <v>44376</v>
      </c>
      <c r="H1055" t="s">
        <v>319</v>
      </c>
      <c r="I1055" t="s">
        <v>3822</v>
      </c>
      <c r="J1055" t="s">
        <v>1116</v>
      </c>
      <c r="L1055" t="s">
        <v>1105</v>
      </c>
      <c r="M1055" t="s">
        <v>3823</v>
      </c>
      <c r="O1055" t="s">
        <v>2163</v>
      </c>
      <c r="P1055" t="s">
        <v>1760</v>
      </c>
      <c r="Q1055" s="3">
        <v>71106</v>
      </c>
      <c r="R1055" t="s">
        <v>128</v>
      </c>
      <c r="T1055" s="4">
        <v>13186065877</v>
      </c>
      <c r="V1055" t="s">
        <v>134</v>
      </c>
      <c r="W1055" t="s">
        <v>3824</v>
      </c>
      <c r="Y1055" t="s">
        <v>3823</v>
      </c>
      <c r="AA1055" t="s">
        <v>2163</v>
      </c>
      <c r="AB1055" t="s">
        <v>1763</v>
      </c>
      <c r="AC1055" s="3" t="str">
        <f>"71106"</f>
        <v>71106</v>
      </c>
      <c r="AD1055" t="s">
        <v>128</v>
      </c>
      <c r="AF1055" s="4">
        <v>13186065877</v>
      </c>
      <c r="AH1055" t="str">
        <f>"56173"</f>
        <v>56173</v>
      </c>
      <c r="AI1055" t="s">
        <v>287</v>
      </c>
      <c r="AJ1055" t="s">
        <v>3916</v>
      </c>
      <c r="AK1055" t="s">
        <v>1225</v>
      </c>
      <c r="AL1055" t="s">
        <v>589</v>
      </c>
      <c r="AM1055" t="s">
        <v>3917</v>
      </c>
      <c r="AO1055" t="s">
        <v>1513</v>
      </c>
      <c r="AP1055" t="s">
        <v>400</v>
      </c>
      <c r="AQ1055" s="5">
        <v>75231</v>
      </c>
      <c r="AR1055" t="s">
        <v>128</v>
      </c>
      <c r="AT1055" s="4">
        <v>12145265665</v>
      </c>
      <c r="AV1055" t="s">
        <v>3918</v>
      </c>
      <c r="AW1055" t="s">
        <v>3919</v>
      </c>
      <c r="AX1055" t="s">
        <v>131</v>
      </c>
      <c r="AY1055" t="s">
        <v>131</v>
      </c>
      <c r="AZ1055" t="s">
        <v>131</v>
      </c>
      <c r="BA1055" t="s">
        <v>131</v>
      </c>
      <c r="BB1055" t="s">
        <v>131</v>
      </c>
      <c r="BC1055" t="s">
        <v>131</v>
      </c>
      <c r="BD1055" t="s">
        <v>131</v>
      </c>
      <c r="BE1055" t="s">
        <v>132</v>
      </c>
      <c r="BH1055" t="s">
        <v>2215</v>
      </c>
      <c r="BI1055" t="s">
        <v>131</v>
      </c>
      <c r="BL1055" t="s">
        <v>167</v>
      </c>
      <c r="BO1055" t="s">
        <v>131</v>
      </c>
      <c r="BP1055" t="s">
        <v>134</v>
      </c>
      <c r="BQ1055" t="s">
        <v>131</v>
      </c>
      <c r="BS1055" t="str">
        <f t="shared" si="75"/>
        <v>N/A</v>
      </c>
      <c r="BT1055" t="s">
        <v>131</v>
      </c>
      <c r="BV1055" t="str">
        <f>""</f>
        <v/>
      </c>
      <c r="BW1055" t="s">
        <v>135</v>
      </c>
      <c r="BX1055" t="str">
        <f>""</f>
        <v/>
      </c>
      <c r="BY1055" t="str">
        <f>""</f>
        <v/>
      </c>
      <c r="BZ1055" t="str">
        <f>""</f>
        <v/>
      </c>
      <c r="CA1055" t="str">
        <f>"Must be able to lift 50 lbs, work in adverse weather conditions &amp; pass pre-employment drug test paid by employer."</f>
        <v>Must be able to lift 50 lbs, work in adverse weather conditions &amp; pass pre-employment drug test paid by employer.</v>
      </c>
      <c r="CB1055" t="s">
        <v>131</v>
      </c>
      <c r="CF1055" t="s">
        <v>131</v>
      </c>
      <c r="CH1055" t="str">
        <f>""</f>
        <v/>
      </c>
      <c r="CI1055" t="s">
        <v>131</v>
      </c>
      <c r="CK1055" t="s">
        <v>131</v>
      </c>
      <c r="CL1055" t="str">
        <f>""</f>
        <v/>
      </c>
      <c r="CM1055" t="str">
        <f>""</f>
        <v/>
      </c>
      <c r="CN1055" t="str">
        <f>""</f>
        <v/>
      </c>
      <c r="CO1055" t="str">
        <f>""</f>
        <v/>
      </c>
      <c r="CP1055" t="str">
        <f>"37-3011.00"</f>
        <v>37-3011.00</v>
      </c>
      <c r="CQ1055" t="s">
        <v>920</v>
      </c>
      <c r="CR1055" t="s">
        <v>3086</v>
      </c>
      <c r="CS1055" t="s">
        <v>131</v>
      </c>
      <c r="CU1055" t="s">
        <v>3823</v>
      </c>
      <c r="CW1055" t="s">
        <v>2163</v>
      </c>
      <c r="CX1055" t="s">
        <v>1763</v>
      </c>
      <c r="CZ1055" s="3" t="str">
        <f>"71106"</f>
        <v>71106</v>
      </c>
      <c r="DA1055" t="s">
        <v>135</v>
      </c>
      <c r="DB1055" t="str">
        <f>"37-3011"</f>
        <v>37-3011</v>
      </c>
      <c r="DC1055" t="s">
        <v>920</v>
      </c>
      <c r="DD1055" t="s">
        <v>134</v>
      </c>
      <c r="DE1055" t="s">
        <v>134</v>
      </c>
      <c r="DF1055" t="str">
        <f>""</f>
        <v/>
      </c>
      <c r="DH1055" s="6">
        <v>14.21</v>
      </c>
      <c r="DI1055" t="s">
        <v>344</v>
      </c>
      <c r="DK1055" t="s">
        <v>345</v>
      </c>
      <c r="DR1055" t="s">
        <v>3829</v>
      </c>
      <c r="DS1055" s="6">
        <v>14.21</v>
      </c>
      <c r="DT1055" t="s">
        <v>424</v>
      </c>
      <c r="DU1055" s="1">
        <v>44376</v>
      </c>
      <c r="DV1055" s="1">
        <v>44465</v>
      </c>
    </row>
    <row r="1056" spans="1:126" ht="15" customHeight="1" x14ac:dyDescent="0.35">
      <c r="A1056" t="s">
        <v>6303</v>
      </c>
      <c r="B1056" t="s">
        <v>318</v>
      </c>
      <c r="C1056" s="1">
        <v>44349</v>
      </c>
      <c r="D1056" s="1">
        <v>44376</v>
      </c>
      <c r="H1056" t="s">
        <v>319</v>
      </c>
      <c r="I1056" t="s">
        <v>6304</v>
      </c>
      <c r="J1056" t="s">
        <v>6305</v>
      </c>
      <c r="L1056" t="s">
        <v>1105</v>
      </c>
      <c r="M1056" t="s">
        <v>6306</v>
      </c>
      <c r="O1056" t="s">
        <v>6307</v>
      </c>
      <c r="P1056" t="s">
        <v>311</v>
      </c>
      <c r="Q1056" s="3">
        <v>17522</v>
      </c>
      <c r="R1056" t="s">
        <v>128</v>
      </c>
      <c r="T1056" s="4">
        <v>17179470266</v>
      </c>
      <c r="V1056" t="s">
        <v>6308</v>
      </c>
      <c r="W1056" t="s">
        <v>6309</v>
      </c>
      <c r="X1056" t="s">
        <v>6310</v>
      </c>
      <c r="Y1056" t="s">
        <v>6306</v>
      </c>
      <c r="AA1056" t="s">
        <v>6307</v>
      </c>
      <c r="AB1056" t="s">
        <v>312</v>
      </c>
      <c r="AC1056" s="3" t="str">
        <f>"17522"</f>
        <v>17522</v>
      </c>
      <c r="AD1056" t="s">
        <v>128</v>
      </c>
      <c r="AF1056" s="4">
        <v>17179470266</v>
      </c>
      <c r="AH1056" t="str">
        <f>"311412"</f>
        <v>311412</v>
      </c>
      <c r="AI1056" t="s">
        <v>167</v>
      </c>
      <c r="AX1056" t="s">
        <v>131</v>
      </c>
      <c r="AY1056" t="s">
        <v>131</v>
      </c>
      <c r="AZ1056" t="s">
        <v>131</v>
      </c>
      <c r="BA1056" t="s">
        <v>131</v>
      </c>
      <c r="BB1056" t="s">
        <v>131</v>
      </c>
      <c r="BC1056" t="s">
        <v>131</v>
      </c>
      <c r="BD1056" t="s">
        <v>131</v>
      </c>
      <c r="BE1056" t="s">
        <v>132</v>
      </c>
      <c r="BH1056" t="s">
        <v>6311</v>
      </c>
      <c r="BI1056" t="s">
        <v>131</v>
      </c>
      <c r="BL1056" t="s">
        <v>167</v>
      </c>
      <c r="BO1056" t="s">
        <v>131</v>
      </c>
      <c r="BP1056" t="s">
        <v>134</v>
      </c>
      <c r="BQ1056" t="s">
        <v>131</v>
      </c>
      <c r="BS1056" t="str">
        <f t="shared" si="75"/>
        <v>N/A</v>
      </c>
      <c r="BT1056" t="s">
        <v>131</v>
      </c>
      <c r="BV1056" t="str">
        <f>""</f>
        <v/>
      </c>
      <c r="BW1056" t="s">
        <v>131</v>
      </c>
      <c r="BX1056" t="str">
        <f>""</f>
        <v/>
      </c>
      <c r="BY1056" t="str">
        <f>""</f>
        <v/>
      </c>
      <c r="BZ1056" t="str">
        <f>""</f>
        <v/>
      </c>
      <c r="CA1056" t="str">
        <f>""</f>
        <v/>
      </c>
      <c r="CB1056" t="s">
        <v>131</v>
      </c>
      <c r="CF1056" t="s">
        <v>131</v>
      </c>
      <c r="CH1056" t="str">
        <f>""</f>
        <v/>
      </c>
      <c r="CI1056" t="s">
        <v>131</v>
      </c>
      <c r="CK1056" t="s">
        <v>131</v>
      </c>
      <c r="CL1056" t="str">
        <f>""</f>
        <v/>
      </c>
      <c r="CM1056" t="str">
        <f>""</f>
        <v/>
      </c>
      <c r="CN1056" t="str">
        <f>""</f>
        <v/>
      </c>
      <c r="CO1056" t="str">
        <f>""</f>
        <v/>
      </c>
      <c r="CP1056" t="str">
        <f>"35-2021.00"</f>
        <v>35-2021.00</v>
      </c>
      <c r="CQ1056" t="s">
        <v>1749</v>
      </c>
      <c r="CR1056" t="s">
        <v>6311</v>
      </c>
      <c r="CS1056" t="s">
        <v>131</v>
      </c>
      <c r="CU1056" t="s">
        <v>6312</v>
      </c>
      <c r="CW1056" t="s">
        <v>6313</v>
      </c>
      <c r="CX1056" t="s">
        <v>312</v>
      </c>
      <c r="CZ1056" s="3" t="str">
        <f>"17543"</f>
        <v>17543</v>
      </c>
      <c r="DA1056" t="s">
        <v>131</v>
      </c>
      <c r="DB1056" t="str">
        <f>"51-3092"</f>
        <v>51-3092</v>
      </c>
      <c r="DC1056" t="s">
        <v>2402</v>
      </c>
      <c r="DD1056" t="s">
        <v>134</v>
      </c>
      <c r="DE1056" t="s">
        <v>134</v>
      </c>
      <c r="DF1056" t="str">
        <f>""</f>
        <v/>
      </c>
      <c r="DH1056" s="6">
        <v>19.510000000000002</v>
      </c>
      <c r="DI1056" t="s">
        <v>344</v>
      </c>
      <c r="DK1056" t="s">
        <v>345</v>
      </c>
      <c r="DR1056" t="s">
        <v>6314</v>
      </c>
      <c r="DS1056" s="6">
        <v>19.510000000000002</v>
      </c>
      <c r="DT1056" t="s">
        <v>424</v>
      </c>
      <c r="DU1056" s="1">
        <v>44376</v>
      </c>
      <c r="DV1056" s="1">
        <v>44465</v>
      </c>
    </row>
    <row r="1057" spans="1:126" ht="15" customHeight="1" x14ac:dyDescent="0.35">
      <c r="A1057" t="s">
        <v>16462</v>
      </c>
      <c r="B1057" t="s">
        <v>318</v>
      </c>
      <c r="C1057" s="1">
        <v>44349</v>
      </c>
      <c r="D1057" s="1">
        <v>44376</v>
      </c>
      <c r="H1057" t="s">
        <v>319</v>
      </c>
      <c r="I1057" t="s">
        <v>14700</v>
      </c>
      <c r="J1057" t="s">
        <v>1060</v>
      </c>
      <c r="L1057" t="s">
        <v>2118</v>
      </c>
      <c r="M1057" t="s">
        <v>14701</v>
      </c>
      <c r="N1057" t="s">
        <v>134</v>
      </c>
      <c r="O1057" t="s">
        <v>14702</v>
      </c>
      <c r="P1057" t="s">
        <v>467</v>
      </c>
      <c r="Q1057" s="3">
        <v>80443</v>
      </c>
      <c r="R1057" t="s">
        <v>128</v>
      </c>
      <c r="S1057" t="s">
        <v>134</v>
      </c>
      <c r="T1057" s="4">
        <v>19709683008</v>
      </c>
      <c r="V1057" t="s">
        <v>14703</v>
      </c>
      <c r="W1057" t="s">
        <v>14704</v>
      </c>
      <c r="X1057" t="s">
        <v>14705</v>
      </c>
      <c r="Y1057" t="s">
        <v>14706</v>
      </c>
      <c r="Z1057" t="s">
        <v>134</v>
      </c>
      <c r="AA1057" t="s">
        <v>14707</v>
      </c>
      <c r="AB1057" t="s">
        <v>471</v>
      </c>
      <c r="AC1057" s="3" t="str">
        <f>"80443"</f>
        <v>80443</v>
      </c>
      <c r="AD1057" t="s">
        <v>128</v>
      </c>
      <c r="AE1057" t="s">
        <v>134</v>
      </c>
      <c r="AF1057" s="4">
        <v>19709683008</v>
      </c>
      <c r="AH1057" t="str">
        <f>"721110"</f>
        <v>721110</v>
      </c>
      <c r="AI1057" t="s">
        <v>130</v>
      </c>
      <c r="AJ1057" t="s">
        <v>1386</v>
      </c>
      <c r="AK1057" t="s">
        <v>1387</v>
      </c>
      <c r="AL1057" t="s">
        <v>1036</v>
      </c>
      <c r="AM1057" t="s">
        <v>1388</v>
      </c>
      <c r="AN1057" t="s">
        <v>997</v>
      </c>
      <c r="AO1057" t="s">
        <v>719</v>
      </c>
      <c r="AP1057" t="s">
        <v>377</v>
      </c>
      <c r="AQ1057" s="5">
        <v>1701</v>
      </c>
      <c r="AR1057" t="s">
        <v>128</v>
      </c>
      <c r="AS1057" t="s">
        <v>134</v>
      </c>
      <c r="AT1057" s="4">
        <v>16179399444</v>
      </c>
      <c r="AV1057" t="s">
        <v>1389</v>
      </c>
      <c r="AW1057" t="s">
        <v>1390</v>
      </c>
      <c r="AX1057" t="s">
        <v>131</v>
      </c>
      <c r="AY1057" t="s">
        <v>131</v>
      </c>
      <c r="AZ1057" t="s">
        <v>131</v>
      </c>
      <c r="BA1057" t="s">
        <v>131</v>
      </c>
      <c r="BB1057" t="s">
        <v>131</v>
      </c>
      <c r="BC1057" t="s">
        <v>131</v>
      </c>
      <c r="BD1057" t="s">
        <v>131</v>
      </c>
      <c r="BE1057" t="s">
        <v>132</v>
      </c>
      <c r="BH1057" t="s">
        <v>2550</v>
      </c>
      <c r="BI1057" t="s">
        <v>131</v>
      </c>
      <c r="BL1057" t="s">
        <v>167</v>
      </c>
      <c r="BO1057" t="s">
        <v>131</v>
      </c>
      <c r="BP1057" t="s">
        <v>134</v>
      </c>
      <c r="BQ1057" t="s">
        <v>131</v>
      </c>
      <c r="BS1057" t="str">
        <f t="shared" si="75"/>
        <v>N/A</v>
      </c>
      <c r="BT1057" t="s">
        <v>135</v>
      </c>
      <c r="BU1057">
        <v>3</v>
      </c>
      <c r="BV1057" t="str">
        <f>"Dishwasher"</f>
        <v>Dishwasher</v>
      </c>
      <c r="BW1057" t="s">
        <v>135</v>
      </c>
      <c r="BX1057" t="str">
        <f>""</f>
        <v/>
      </c>
      <c r="BY1057" t="str">
        <f>""</f>
        <v/>
      </c>
      <c r="BZ1057" t="str">
        <f>""</f>
        <v/>
      </c>
      <c r="CA1057" t="str">
        <f>"The Petitioner will consider for employment any person who possesses at least three (3) months of experience at a high-end restaurant, resort, or private club.  "</f>
        <v xml:space="preserve">The Petitioner will consider for employment any person who possesses at least three (3) months of experience at a high-end restaurant, resort, or private club.  </v>
      </c>
      <c r="CB1057" t="s">
        <v>131</v>
      </c>
      <c r="CF1057" t="s">
        <v>131</v>
      </c>
      <c r="CH1057" t="str">
        <f>""</f>
        <v/>
      </c>
      <c r="CI1057" t="s">
        <v>131</v>
      </c>
      <c r="CK1057" t="s">
        <v>131</v>
      </c>
      <c r="CL1057" t="str">
        <f>""</f>
        <v/>
      </c>
      <c r="CM1057" t="str">
        <f>""</f>
        <v/>
      </c>
      <c r="CN1057" t="str">
        <f>""</f>
        <v/>
      </c>
      <c r="CO1057" t="str">
        <f>""</f>
        <v/>
      </c>
      <c r="CP1057" t="str">
        <f>"35-9021.00"</f>
        <v>35-9021.00</v>
      </c>
      <c r="CQ1057" t="s">
        <v>2552</v>
      </c>
      <c r="CR1057" t="s">
        <v>7989</v>
      </c>
      <c r="CS1057" t="s">
        <v>131</v>
      </c>
      <c r="CU1057" t="s">
        <v>14706</v>
      </c>
      <c r="CV1057" t="s">
        <v>134</v>
      </c>
      <c r="CW1057" t="s">
        <v>14707</v>
      </c>
      <c r="CX1057" t="s">
        <v>471</v>
      </c>
      <c r="CZ1057" s="3" t="str">
        <f>"80443"</f>
        <v>80443</v>
      </c>
      <c r="DA1057" t="s">
        <v>131</v>
      </c>
      <c r="DB1057" t="str">
        <f>"35-9021"</f>
        <v>35-9021</v>
      </c>
      <c r="DC1057" t="s">
        <v>2552</v>
      </c>
      <c r="DD1057" t="s">
        <v>134</v>
      </c>
      <c r="DE1057" t="s">
        <v>134</v>
      </c>
      <c r="DF1057" t="str">
        <f>""</f>
        <v/>
      </c>
      <c r="DH1057" s="6">
        <v>12.96</v>
      </c>
      <c r="DI1057" t="s">
        <v>344</v>
      </c>
      <c r="DK1057" t="s">
        <v>345</v>
      </c>
      <c r="DS1057" s="6">
        <v>12.96</v>
      </c>
      <c r="DT1057" t="s">
        <v>424</v>
      </c>
      <c r="DU1057" s="1">
        <v>44376</v>
      </c>
      <c r="DV1057" s="1">
        <v>44465</v>
      </c>
    </row>
    <row r="1058" spans="1:126" ht="15" customHeight="1" x14ac:dyDescent="0.35">
      <c r="A1058" t="s">
        <v>14699</v>
      </c>
      <c r="B1058" t="s">
        <v>318</v>
      </c>
      <c r="C1058" s="1">
        <v>44349</v>
      </c>
      <c r="D1058" s="1">
        <v>44376</v>
      </c>
      <c r="H1058" t="s">
        <v>319</v>
      </c>
      <c r="I1058" t="s">
        <v>14700</v>
      </c>
      <c r="J1058" t="s">
        <v>1060</v>
      </c>
      <c r="L1058" t="s">
        <v>2118</v>
      </c>
      <c r="M1058" t="s">
        <v>14701</v>
      </c>
      <c r="N1058" t="s">
        <v>134</v>
      </c>
      <c r="O1058" t="s">
        <v>14702</v>
      </c>
      <c r="P1058" t="s">
        <v>467</v>
      </c>
      <c r="Q1058" s="3">
        <v>80443</v>
      </c>
      <c r="R1058" t="s">
        <v>128</v>
      </c>
      <c r="S1058" t="s">
        <v>134</v>
      </c>
      <c r="T1058" s="4">
        <v>19709683008</v>
      </c>
      <c r="V1058" t="s">
        <v>14703</v>
      </c>
      <c r="W1058" t="s">
        <v>14704</v>
      </c>
      <c r="X1058" t="s">
        <v>14705</v>
      </c>
      <c r="Y1058" t="s">
        <v>14706</v>
      </c>
      <c r="Z1058" t="s">
        <v>134</v>
      </c>
      <c r="AA1058" t="s">
        <v>14707</v>
      </c>
      <c r="AB1058" t="s">
        <v>471</v>
      </c>
      <c r="AC1058" s="3" t="str">
        <f>"80443"</f>
        <v>80443</v>
      </c>
      <c r="AD1058" t="s">
        <v>128</v>
      </c>
      <c r="AE1058" t="s">
        <v>134</v>
      </c>
      <c r="AF1058" s="4">
        <v>19709683008</v>
      </c>
      <c r="AH1058" t="str">
        <f>"721110"</f>
        <v>721110</v>
      </c>
      <c r="AI1058" t="s">
        <v>130</v>
      </c>
      <c r="AJ1058" t="s">
        <v>1386</v>
      </c>
      <c r="AK1058" t="s">
        <v>1387</v>
      </c>
      <c r="AL1058" t="s">
        <v>1036</v>
      </c>
      <c r="AM1058" t="s">
        <v>1388</v>
      </c>
      <c r="AN1058" t="s">
        <v>997</v>
      </c>
      <c r="AO1058" t="s">
        <v>719</v>
      </c>
      <c r="AP1058" t="s">
        <v>377</v>
      </c>
      <c r="AQ1058" s="5">
        <v>1701</v>
      </c>
      <c r="AR1058" t="s">
        <v>128</v>
      </c>
      <c r="AS1058" t="s">
        <v>134</v>
      </c>
      <c r="AT1058" s="4">
        <v>16179399444</v>
      </c>
      <c r="AV1058" t="s">
        <v>1389</v>
      </c>
      <c r="AW1058" t="s">
        <v>1390</v>
      </c>
      <c r="AX1058" t="s">
        <v>131</v>
      </c>
      <c r="AY1058" t="s">
        <v>131</v>
      </c>
      <c r="AZ1058" t="s">
        <v>131</v>
      </c>
      <c r="BA1058" t="s">
        <v>131</v>
      </c>
      <c r="BB1058" t="s">
        <v>131</v>
      </c>
      <c r="BC1058" t="s">
        <v>131</v>
      </c>
      <c r="BD1058" t="s">
        <v>131</v>
      </c>
      <c r="BE1058" t="s">
        <v>132</v>
      </c>
      <c r="BH1058" t="s">
        <v>14708</v>
      </c>
      <c r="BI1058" t="s">
        <v>131</v>
      </c>
      <c r="BL1058" t="s">
        <v>167</v>
      </c>
      <c r="BO1058" t="s">
        <v>131</v>
      </c>
      <c r="BP1058" t="s">
        <v>134</v>
      </c>
      <c r="BQ1058" t="s">
        <v>131</v>
      </c>
      <c r="BS1058" t="str">
        <f t="shared" si="75"/>
        <v>N/A</v>
      </c>
      <c r="BT1058" t="s">
        <v>135</v>
      </c>
      <c r="BU1058">
        <v>12</v>
      </c>
      <c r="BV1058" t="str">
        <f>"Cook"</f>
        <v>Cook</v>
      </c>
      <c r="BW1058" t="s">
        <v>135</v>
      </c>
      <c r="BX1058" t="str">
        <f>""</f>
        <v/>
      </c>
      <c r="BY1058" t="str">
        <f>""</f>
        <v/>
      </c>
      <c r="BZ1058" t="str">
        <f>""</f>
        <v/>
      </c>
      <c r="CA1058" t="str">
        <f>"The Petitioner will consider for employment any person who possesses at least one (1) year of culinary experience in a fine-dining or high-volume environment at a high-end restaurant, resort, or private club.  "</f>
        <v xml:space="preserve">The Petitioner will consider for employment any person who possesses at least one (1) year of culinary experience in a fine-dining or high-volume environment at a high-end restaurant, resort, or private club.  </v>
      </c>
      <c r="CB1058" t="s">
        <v>131</v>
      </c>
      <c r="CF1058" t="s">
        <v>131</v>
      </c>
      <c r="CH1058" t="str">
        <f>""</f>
        <v/>
      </c>
      <c r="CI1058" t="s">
        <v>131</v>
      </c>
      <c r="CK1058" t="s">
        <v>131</v>
      </c>
      <c r="CL1058" t="str">
        <f>""</f>
        <v/>
      </c>
      <c r="CM1058" t="str">
        <f>""</f>
        <v/>
      </c>
      <c r="CN1058" t="str">
        <f>""</f>
        <v/>
      </c>
      <c r="CO1058" t="str">
        <f>""</f>
        <v/>
      </c>
      <c r="CP1058" t="str">
        <f>"35-2014.00"</f>
        <v>35-2014.00</v>
      </c>
      <c r="CQ1058" t="s">
        <v>581</v>
      </c>
      <c r="CR1058" t="s">
        <v>6249</v>
      </c>
      <c r="CS1058" t="s">
        <v>131</v>
      </c>
      <c r="CU1058" t="s">
        <v>14706</v>
      </c>
      <c r="CV1058" t="s">
        <v>134</v>
      </c>
      <c r="CW1058" t="s">
        <v>14707</v>
      </c>
      <c r="CX1058" t="s">
        <v>471</v>
      </c>
      <c r="CZ1058" s="3" t="str">
        <f>"80443"</f>
        <v>80443</v>
      </c>
      <c r="DA1058" t="s">
        <v>131</v>
      </c>
      <c r="DB1058" t="str">
        <f>"35-2014"</f>
        <v>35-2014</v>
      </c>
      <c r="DC1058" t="s">
        <v>581</v>
      </c>
      <c r="DD1058" t="s">
        <v>134</v>
      </c>
      <c r="DE1058" t="s">
        <v>134</v>
      </c>
      <c r="DF1058" t="str">
        <f>""</f>
        <v/>
      </c>
      <c r="DH1058" s="6">
        <v>16.7</v>
      </c>
      <c r="DI1058" t="s">
        <v>344</v>
      </c>
      <c r="DK1058" t="s">
        <v>345</v>
      </c>
      <c r="DS1058" s="6">
        <v>16.7</v>
      </c>
      <c r="DT1058" t="s">
        <v>424</v>
      </c>
      <c r="DU1058" s="1">
        <v>44376</v>
      </c>
      <c r="DV1058" s="1">
        <v>44465</v>
      </c>
    </row>
    <row r="1059" spans="1:126" ht="15" customHeight="1" x14ac:dyDescent="0.35">
      <c r="A1059" t="s">
        <v>17547</v>
      </c>
      <c r="B1059" t="s">
        <v>318</v>
      </c>
      <c r="C1059" s="1">
        <v>44349</v>
      </c>
      <c r="D1059" s="1">
        <v>44376</v>
      </c>
      <c r="H1059" t="s">
        <v>319</v>
      </c>
      <c r="I1059" t="s">
        <v>1378</v>
      </c>
      <c r="J1059" t="s">
        <v>1379</v>
      </c>
      <c r="L1059" t="s">
        <v>1380</v>
      </c>
      <c r="M1059" t="s">
        <v>1381</v>
      </c>
      <c r="N1059" t="s">
        <v>134</v>
      </c>
      <c r="O1059" t="s">
        <v>1382</v>
      </c>
      <c r="P1059" t="s">
        <v>467</v>
      </c>
      <c r="Q1059" s="3">
        <v>80482</v>
      </c>
      <c r="R1059" t="s">
        <v>128</v>
      </c>
      <c r="S1059" t="s">
        <v>134</v>
      </c>
      <c r="T1059" s="4">
        <v>19707261536</v>
      </c>
      <c r="V1059" t="s">
        <v>1383</v>
      </c>
      <c r="W1059" t="s">
        <v>1384</v>
      </c>
      <c r="X1059" t="s">
        <v>1385</v>
      </c>
      <c r="Y1059" t="s">
        <v>1381</v>
      </c>
      <c r="Z1059" t="s">
        <v>134</v>
      </c>
      <c r="AA1059" t="s">
        <v>1382</v>
      </c>
      <c r="AB1059" t="s">
        <v>471</v>
      </c>
      <c r="AC1059" s="3" t="str">
        <f>"80482"</f>
        <v>80482</v>
      </c>
      <c r="AD1059" t="s">
        <v>128</v>
      </c>
      <c r="AE1059" t="s">
        <v>134</v>
      </c>
      <c r="AF1059" s="4">
        <v>19707261512</v>
      </c>
      <c r="AH1059" t="str">
        <f>"721110"</f>
        <v>721110</v>
      </c>
      <c r="AI1059" t="s">
        <v>130</v>
      </c>
      <c r="AJ1059" t="s">
        <v>1386</v>
      </c>
      <c r="AK1059" t="s">
        <v>1387</v>
      </c>
      <c r="AL1059" t="s">
        <v>1036</v>
      </c>
      <c r="AM1059" t="s">
        <v>1388</v>
      </c>
      <c r="AN1059" t="s">
        <v>997</v>
      </c>
      <c r="AO1059" t="s">
        <v>719</v>
      </c>
      <c r="AP1059" t="s">
        <v>377</v>
      </c>
      <c r="AQ1059" s="5">
        <v>1701</v>
      </c>
      <c r="AR1059" t="s">
        <v>128</v>
      </c>
      <c r="AS1059" t="s">
        <v>134</v>
      </c>
      <c r="AT1059" s="4">
        <v>16179399444</v>
      </c>
      <c r="AV1059" t="s">
        <v>1389</v>
      </c>
      <c r="AW1059" t="s">
        <v>1390</v>
      </c>
      <c r="AX1059" t="s">
        <v>131</v>
      </c>
      <c r="AY1059" t="s">
        <v>131</v>
      </c>
      <c r="AZ1059" t="s">
        <v>131</v>
      </c>
      <c r="BA1059" t="s">
        <v>131</v>
      </c>
      <c r="BB1059" t="s">
        <v>131</v>
      </c>
      <c r="BC1059" t="s">
        <v>131</v>
      </c>
      <c r="BD1059" t="s">
        <v>131</v>
      </c>
      <c r="BE1059" t="s">
        <v>132</v>
      </c>
      <c r="BH1059" t="s">
        <v>17548</v>
      </c>
      <c r="BI1059" t="s">
        <v>131</v>
      </c>
      <c r="BL1059" t="s">
        <v>167</v>
      </c>
      <c r="BO1059" t="s">
        <v>131</v>
      </c>
      <c r="BP1059" t="s">
        <v>134</v>
      </c>
      <c r="BQ1059" t="s">
        <v>131</v>
      </c>
      <c r="BS1059" t="str">
        <f t="shared" si="75"/>
        <v>N/A</v>
      </c>
      <c r="BT1059" t="s">
        <v>135</v>
      </c>
      <c r="BU1059">
        <v>3</v>
      </c>
      <c r="BV1059" t="str">
        <f>"Houseman"</f>
        <v>Houseman</v>
      </c>
      <c r="BW1059" t="s">
        <v>135</v>
      </c>
      <c r="BX1059" t="str">
        <f>""</f>
        <v/>
      </c>
      <c r="BY1059" t="str">
        <f>""</f>
        <v/>
      </c>
      <c r="BZ1059" t="str">
        <f>""</f>
        <v/>
      </c>
      <c r="CA1059" t="str">
        <f>"The Petitioner will consider for employment any person who possesses at least three (3) months of experience at a high-end hotel, resort, or private club.  Applicant must complete pre-employment background check."</f>
        <v>The Petitioner will consider for employment any person who possesses at least three (3) months of experience at a high-end hotel, resort, or private club.  Applicant must complete pre-employment background check.</v>
      </c>
      <c r="CB1059" t="s">
        <v>131</v>
      </c>
      <c r="CF1059" t="s">
        <v>131</v>
      </c>
      <c r="CH1059" t="str">
        <f>""</f>
        <v/>
      </c>
      <c r="CI1059" t="s">
        <v>131</v>
      </c>
      <c r="CK1059" t="s">
        <v>131</v>
      </c>
      <c r="CL1059" t="str">
        <f>""</f>
        <v/>
      </c>
      <c r="CM1059" t="str">
        <f>""</f>
        <v/>
      </c>
      <c r="CN1059" t="str">
        <f>""</f>
        <v/>
      </c>
      <c r="CO1059" t="str">
        <f>""</f>
        <v/>
      </c>
      <c r="CP1059" t="str">
        <f>"37-2012.00"</f>
        <v>37-2012.00</v>
      </c>
      <c r="CQ1059" t="s">
        <v>479</v>
      </c>
      <c r="CR1059" t="s">
        <v>4851</v>
      </c>
      <c r="CS1059" t="s">
        <v>131</v>
      </c>
      <c r="CU1059" t="s">
        <v>1381</v>
      </c>
      <c r="CV1059" t="s">
        <v>134</v>
      </c>
      <c r="CW1059" t="s">
        <v>1382</v>
      </c>
      <c r="CX1059" t="s">
        <v>471</v>
      </c>
      <c r="CZ1059" s="3" t="str">
        <f>"80482"</f>
        <v>80482</v>
      </c>
      <c r="DA1059" t="s">
        <v>131</v>
      </c>
      <c r="DB1059" t="str">
        <f>"37-2012"</f>
        <v>37-2012</v>
      </c>
      <c r="DC1059" t="s">
        <v>479</v>
      </c>
      <c r="DD1059" t="s">
        <v>134</v>
      </c>
      <c r="DE1059" t="s">
        <v>134</v>
      </c>
      <c r="DF1059" t="str">
        <f>""</f>
        <v/>
      </c>
      <c r="DH1059" s="6">
        <v>15.39</v>
      </c>
      <c r="DI1059" t="s">
        <v>344</v>
      </c>
      <c r="DK1059" t="s">
        <v>345</v>
      </c>
      <c r="DS1059" s="6">
        <v>15.39</v>
      </c>
      <c r="DT1059" t="s">
        <v>424</v>
      </c>
      <c r="DU1059" s="1">
        <v>44376</v>
      </c>
      <c r="DV1059" s="1">
        <v>44465</v>
      </c>
    </row>
    <row r="1060" spans="1:126" ht="15" customHeight="1" x14ac:dyDescent="0.35">
      <c r="A1060" t="s">
        <v>20195</v>
      </c>
      <c r="B1060" t="s">
        <v>318</v>
      </c>
      <c r="C1060" s="1">
        <v>44349</v>
      </c>
      <c r="D1060" s="1">
        <v>44376</v>
      </c>
      <c r="H1060" t="s">
        <v>319</v>
      </c>
      <c r="I1060" t="s">
        <v>1378</v>
      </c>
      <c r="J1060" t="s">
        <v>1379</v>
      </c>
      <c r="L1060" t="s">
        <v>20196</v>
      </c>
      <c r="M1060" t="s">
        <v>1381</v>
      </c>
      <c r="N1060" t="s">
        <v>134</v>
      </c>
      <c r="O1060" t="s">
        <v>1382</v>
      </c>
      <c r="P1060" t="s">
        <v>467</v>
      </c>
      <c r="Q1060" s="3">
        <v>80482</v>
      </c>
      <c r="R1060" t="s">
        <v>128</v>
      </c>
      <c r="S1060" t="s">
        <v>134</v>
      </c>
      <c r="T1060" s="4">
        <v>19707261536</v>
      </c>
      <c r="V1060" t="s">
        <v>1383</v>
      </c>
      <c r="W1060" t="s">
        <v>1384</v>
      </c>
      <c r="X1060" t="s">
        <v>1385</v>
      </c>
      <c r="Y1060" t="s">
        <v>1381</v>
      </c>
      <c r="Z1060" t="s">
        <v>134</v>
      </c>
      <c r="AA1060" t="s">
        <v>1382</v>
      </c>
      <c r="AB1060" t="s">
        <v>471</v>
      </c>
      <c r="AC1060" s="3" t="str">
        <f>"80482"</f>
        <v>80482</v>
      </c>
      <c r="AD1060" t="s">
        <v>128</v>
      </c>
      <c r="AE1060" t="s">
        <v>134</v>
      </c>
      <c r="AF1060" s="4">
        <v>19707261512</v>
      </c>
      <c r="AH1060" t="str">
        <f>"721110"</f>
        <v>721110</v>
      </c>
      <c r="AI1060" t="s">
        <v>130</v>
      </c>
      <c r="AJ1060" t="s">
        <v>1386</v>
      </c>
      <c r="AK1060" t="s">
        <v>1387</v>
      </c>
      <c r="AL1060" t="s">
        <v>1036</v>
      </c>
      <c r="AM1060" t="s">
        <v>1388</v>
      </c>
      <c r="AN1060" t="s">
        <v>997</v>
      </c>
      <c r="AO1060" t="s">
        <v>719</v>
      </c>
      <c r="AP1060" t="s">
        <v>377</v>
      </c>
      <c r="AQ1060" s="5">
        <v>1701</v>
      </c>
      <c r="AR1060" t="s">
        <v>128</v>
      </c>
      <c r="AS1060" t="s">
        <v>134</v>
      </c>
      <c r="AT1060" s="4">
        <v>16179399444</v>
      </c>
      <c r="AV1060" t="s">
        <v>1389</v>
      </c>
      <c r="AW1060" t="s">
        <v>1390</v>
      </c>
      <c r="AX1060" t="s">
        <v>131</v>
      </c>
      <c r="AY1060" t="s">
        <v>131</v>
      </c>
      <c r="AZ1060" t="s">
        <v>131</v>
      </c>
      <c r="BA1060" t="s">
        <v>131</v>
      </c>
      <c r="BB1060" t="s">
        <v>131</v>
      </c>
      <c r="BC1060" t="s">
        <v>131</v>
      </c>
      <c r="BD1060" t="s">
        <v>131</v>
      </c>
      <c r="BE1060" t="s">
        <v>132</v>
      </c>
      <c r="BH1060" t="s">
        <v>2550</v>
      </c>
      <c r="BI1060" t="s">
        <v>131</v>
      </c>
      <c r="BL1060" t="s">
        <v>167</v>
      </c>
      <c r="BO1060" t="s">
        <v>131</v>
      </c>
      <c r="BP1060" t="s">
        <v>134</v>
      </c>
      <c r="BQ1060" t="s">
        <v>131</v>
      </c>
      <c r="BS1060" t="str">
        <f t="shared" si="75"/>
        <v>N/A</v>
      </c>
      <c r="BT1060" t="s">
        <v>135</v>
      </c>
      <c r="BU1060">
        <v>3</v>
      </c>
      <c r="BV1060" t="str">
        <f>"Dishwasher"</f>
        <v>Dishwasher</v>
      </c>
      <c r="BW1060" t="s">
        <v>135</v>
      </c>
      <c r="BX1060" t="str">
        <f>""</f>
        <v/>
      </c>
      <c r="BY1060" t="str">
        <f>""</f>
        <v/>
      </c>
      <c r="BZ1060" t="str">
        <f>""</f>
        <v/>
      </c>
      <c r="CA1060" t="str">
        <f>"The Petitioner will consider for employment any person who possesses at least three (3) months of experience at a high-end restaurant, resort, or private club.  Applicant must complete pre-employment background check."</f>
        <v>The Petitioner will consider for employment any person who possesses at least three (3) months of experience at a high-end restaurant, resort, or private club.  Applicant must complete pre-employment background check.</v>
      </c>
      <c r="CB1060" t="s">
        <v>131</v>
      </c>
      <c r="CF1060" t="s">
        <v>131</v>
      </c>
      <c r="CH1060" t="str">
        <f>""</f>
        <v/>
      </c>
      <c r="CI1060" t="s">
        <v>131</v>
      </c>
      <c r="CK1060" t="s">
        <v>131</v>
      </c>
      <c r="CL1060" t="str">
        <f>""</f>
        <v/>
      </c>
      <c r="CM1060" t="str">
        <f>""</f>
        <v/>
      </c>
      <c r="CN1060" t="str">
        <f>""</f>
        <v/>
      </c>
      <c r="CO1060" t="str">
        <f>""</f>
        <v/>
      </c>
      <c r="CP1060" t="str">
        <f>"35-9021.00"</f>
        <v>35-9021.00</v>
      </c>
      <c r="CQ1060" t="s">
        <v>2552</v>
      </c>
      <c r="CR1060" t="s">
        <v>1391</v>
      </c>
      <c r="CS1060" t="s">
        <v>131</v>
      </c>
      <c r="CU1060" t="s">
        <v>1381</v>
      </c>
      <c r="CV1060" t="s">
        <v>134</v>
      </c>
      <c r="CW1060" t="s">
        <v>1382</v>
      </c>
      <c r="CX1060" t="s">
        <v>471</v>
      </c>
      <c r="CZ1060" s="3" t="str">
        <f>"80482"</f>
        <v>80482</v>
      </c>
      <c r="DA1060" t="s">
        <v>131</v>
      </c>
      <c r="DB1060" t="str">
        <f>"35-9021"</f>
        <v>35-9021</v>
      </c>
      <c r="DC1060" t="s">
        <v>2552</v>
      </c>
      <c r="DD1060" t="s">
        <v>134</v>
      </c>
      <c r="DE1060" t="s">
        <v>134</v>
      </c>
      <c r="DF1060" t="str">
        <f>""</f>
        <v/>
      </c>
      <c r="DH1060" s="6">
        <v>12.96</v>
      </c>
      <c r="DI1060" t="s">
        <v>344</v>
      </c>
      <c r="DK1060" t="s">
        <v>345</v>
      </c>
      <c r="DS1060" s="6">
        <v>12.96</v>
      </c>
      <c r="DT1060" t="s">
        <v>424</v>
      </c>
      <c r="DU1060" s="1">
        <v>44376</v>
      </c>
      <c r="DV1060" s="1">
        <v>44465</v>
      </c>
    </row>
    <row r="1061" spans="1:126" ht="15" customHeight="1" x14ac:dyDescent="0.35">
      <c r="A1061" t="s">
        <v>17675</v>
      </c>
      <c r="B1061" t="s">
        <v>318</v>
      </c>
      <c r="C1061" s="1">
        <v>44349</v>
      </c>
      <c r="D1061" s="1">
        <v>44376</v>
      </c>
      <c r="H1061" t="s">
        <v>319</v>
      </c>
      <c r="I1061" t="s">
        <v>1378</v>
      </c>
      <c r="J1061" t="s">
        <v>1379</v>
      </c>
      <c r="L1061" t="s">
        <v>1380</v>
      </c>
      <c r="M1061" t="s">
        <v>1381</v>
      </c>
      <c r="N1061" t="s">
        <v>134</v>
      </c>
      <c r="O1061" t="s">
        <v>1382</v>
      </c>
      <c r="P1061" t="s">
        <v>467</v>
      </c>
      <c r="Q1061" s="3">
        <v>80482</v>
      </c>
      <c r="R1061" t="s">
        <v>128</v>
      </c>
      <c r="S1061" t="s">
        <v>134</v>
      </c>
      <c r="T1061" s="4">
        <v>19707261536</v>
      </c>
      <c r="V1061" t="s">
        <v>1383</v>
      </c>
      <c r="W1061" t="s">
        <v>1384</v>
      </c>
      <c r="X1061" t="s">
        <v>1385</v>
      </c>
      <c r="Y1061" t="s">
        <v>1381</v>
      </c>
      <c r="Z1061" t="s">
        <v>134</v>
      </c>
      <c r="AA1061" t="s">
        <v>1382</v>
      </c>
      <c r="AB1061" t="s">
        <v>471</v>
      </c>
      <c r="AC1061" s="3" t="str">
        <f>"80482"</f>
        <v>80482</v>
      </c>
      <c r="AD1061" t="s">
        <v>128</v>
      </c>
      <c r="AE1061" t="s">
        <v>134</v>
      </c>
      <c r="AF1061" s="4">
        <v>19707261512</v>
      </c>
      <c r="AH1061" t="str">
        <f>"721110"</f>
        <v>721110</v>
      </c>
      <c r="AI1061" t="s">
        <v>130</v>
      </c>
      <c r="AJ1061" t="s">
        <v>1386</v>
      </c>
      <c r="AK1061" t="s">
        <v>1387</v>
      </c>
      <c r="AL1061" t="s">
        <v>1036</v>
      </c>
      <c r="AM1061" t="s">
        <v>1388</v>
      </c>
      <c r="AN1061" t="s">
        <v>997</v>
      </c>
      <c r="AO1061" t="s">
        <v>719</v>
      </c>
      <c r="AP1061" t="s">
        <v>377</v>
      </c>
      <c r="AQ1061" s="5">
        <v>1701</v>
      </c>
      <c r="AR1061" t="s">
        <v>128</v>
      </c>
      <c r="AS1061" t="s">
        <v>134</v>
      </c>
      <c r="AT1061" s="4">
        <v>16179399444</v>
      </c>
      <c r="AV1061" t="s">
        <v>1389</v>
      </c>
      <c r="AW1061" t="s">
        <v>1390</v>
      </c>
      <c r="AX1061" t="s">
        <v>131</v>
      </c>
      <c r="AY1061" t="s">
        <v>131</v>
      </c>
      <c r="AZ1061" t="s">
        <v>131</v>
      </c>
      <c r="BA1061" t="s">
        <v>131</v>
      </c>
      <c r="BB1061" t="s">
        <v>131</v>
      </c>
      <c r="BC1061" t="s">
        <v>131</v>
      </c>
      <c r="BD1061" t="s">
        <v>131</v>
      </c>
      <c r="BE1061" t="s">
        <v>132</v>
      </c>
      <c r="BH1061" t="s">
        <v>1639</v>
      </c>
      <c r="BI1061" t="s">
        <v>131</v>
      </c>
      <c r="BL1061" t="s">
        <v>167</v>
      </c>
      <c r="BO1061" t="s">
        <v>131</v>
      </c>
      <c r="BP1061" t="s">
        <v>134</v>
      </c>
      <c r="BQ1061" t="s">
        <v>131</v>
      </c>
      <c r="BS1061" t="str">
        <f t="shared" si="75"/>
        <v>N/A</v>
      </c>
      <c r="BT1061" t="s">
        <v>135</v>
      </c>
      <c r="BU1061">
        <v>3</v>
      </c>
      <c r="BV1061" t="str">
        <f>"Housekeeper"</f>
        <v>Housekeeper</v>
      </c>
      <c r="BW1061" t="s">
        <v>135</v>
      </c>
      <c r="BX1061" t="str">
        <f>""</f>
        <v/>
      </c>
      <c r="BY1061" t="str">
        <f>""</f>
        <v/>
      </c>
      <c r="BZ1061" t="str">
        <f>""</f>
        <v/>
      </c>
      <c r="CA1061" t="str">
        <f>"The Petitioner will consider for employment any person who possesses at least three (3) months of housekeeping experience at a high-end hotel, resort, or private club.  Applicant must complete pre-employment background check."</f>
        <v>The Petitioner will consider for employment any person who possesses at least three (3) months of housekeeping experience at a high-end hotel, resort, or private club.  Applicant must complete pre-employment background check.</v>
      </c>
      <c r="CB1061" t="s">
        <v>131</v>
      </c>
      <c r="CF1061" t="s">
        <v>131</v>
      </c>
      <c r="CH1061" t="str">
        <f>""</f>
        <v/>
      </c>
      <c r="CI1061" t="s">
        <v>131</v>
      </c>
      <c r="CK1061" t="s">
        <v>131</v>
      </c>
      <c r="CL1061" t="str">
        <f>""</f>
        <v/>
      </c>
      <c r="CM1061" t="str">
        <f>""</f>
        <v/>
      </c>
      <c r="CN1061" t="str">
        <f>""</f>
        <v/>
      </c>
      <c r="CO1061" t="str">
        <f>""</f>
        <v/>
      </c>
      <c r="CP1061" t="str">
        <f>"37-2012.00"</f>
        <v>37-2012.00</v>
      </c>
      <c r="CQ1061" t="s">
        <v>479</v>
      </c>
      <c r="CR1061" t="s">
        <v>4851</v>
      </c>
      <c r="CS1061" t="s">
        <v>131</v>
      </c>
      <c r="CU1061" t="s">
        <v>1381</v>
      </c>
      <c r="CV1061" t="s">
        <v>134</v>
      </c>
      <c r="CW1061" t="s">
        <v>1382</v>
      </c>
      <c r="CX1061" t="s">
        <v>471</v>
      </c>
      <c r="CZ1061" s="3" t="str">
        <f>"80482"</f>
        <v>80482</v>
      </c>
      <c r="DA1061" t="s">
        <v>131</v>
      </c>
      <c r="DB1061" t="str">
        <f>"37-2012"</f>
        <v>37-2012</v>
      </c>
      <c r="DC1061" t="s">
        <v>479</v>
      </c>
      <c r="DD1061" t="s">
        <v>134</v>
      </c>
      <c r="DE1061" t="s">
        <v>134</v>
      </c>
      <c r="DF1061" t="str">
        <f>""</f>
        <v/>
      </c>
      <c r="DH1061" s="6">
        <v>15.39</v>
      </c>
      <c r="DI1061" t="s">
        <v>344</v>
      </c>
      <c r="DK1061" t="s">
        <v>345</v>
      </c>
      <c r="DS1061" s="6">
        <v>15.39</v>
      </c>
      <c r="DT1061" t="s">
        <v>424</v>
      </c>
      <c r="DU1061" s="1">
        <v>44376</v>
      </c>
      <c r="DV1061" s="1">
        <v>44465</v>
      </c>
    </row>
    <row r="1062" spans="1:126" ht="15" customHeight="1" x14ac:dyDescent="0.35">
      <c r="A1062" t="s">
        <v>11848</v>
      </c>
      <c r="B1062" t="s">
        <v>318</v>
      </c>
      <c r="C1062" s="1">
        <v>44349</v>
      </c>
      <c r="D1062" s="1">
        <v>44376</v>
      </c>
      <c r="H1062" t="s">
        <v>319</v>
      </c>
      <c r="I1062" t="s">
        <v>11849</v>
      </c>
      <c r="J1062" t="s">
        <v>11850</v>
      </c>
      <c r="L1062" t="s">
        <v>7021</v>
      </c>
      <c r="M1062" t="s">
        <v>11851</v>
      </c>
      <c r="O1062" t="s">
        <v>11852</v>
      </c>
      <c r="P1062" t="s">
        <v>924</v>
      </c>
      <c r="Q1062" s="3">
        <v>4945</v>
      </c>
      <c r="R1062" t="s">
        <v>128</v>
      </c>
      <c r="T1062" s="4">
        <v>12076684193</v>
      </c>
      <c r="V1062" t="s">
        <v>134</v>
      </c>
      <c r="W1062" t="s">
        <v>11853</v>
      </c>
      <c r="Y1062" t="s">
        <v>11851</v>
      </c>
      <c r="AA1062" t="s">
        <v>11852</v>
      </c>
      <c r="AB1062" t="s">
        <v>925</v>
      </c>
      <c r="AC1062" s="3" t="str">
        <f>"04945"</f>
        <v>04945</v>
      </c>
      <c r="AD1062" t="s">
        <v>128</v>
      </c>
      <c r="AF1062" s="4">
        <v>12076684193</v>
      </c>
      <c r="AH1062" t="str">
        <f>"32111"</f>
        <v>32111</v>
      </c>
      <c r="AI1062" t="s">
        <v>287</v>
      </c>
      <c r="AJ1062" t="s">
        <v>2917</v>
      </c>
      <c r="AK1062" t="s">
        <v>2918</v>
      </c>
      <c r="AM1062" t="s">
        <v>3772</v>
      </c>
      <c r="AO1062" t="s">
        <v>3773</v>
      </c>
      <c r="AP1062" t="s">
        <v>306</v>
      </c>
      <c r="AQ1062" s="5">
        <v>22903</v>
      </c>
      <c r="AR1062" t="s">
        <v>128</v>
      </c>
      <c r="AT1062" s="4">
        <v>14342634300</v>
      </c>
      <c r="AV1062" t="s">
        <v>9074</v>
      </c>
      <c r="AW1062" t="s">
        <v>2923</v>
      </c>
      <c r="AX1062" t="s">
        <v>131</v>
      </c>
      <c r="AY1062" t="s">
        <v>131</v>
      </c>
      <c r="AZ1062" t="s">
        <v>131</v>
      </c>
      <c r="BA1062" t="s">
        <v>131</v>
      </c>
      <c r="BB1062" t="s">
        <v>131</v>
      </c>
      <c r="BC1062" t="s">
        <v>131</v>
      </c>
      <c r="BD1062" t="s">
        <v>131</v>
      </c>
      <c r="BE1062" t="s">
        <v>132</v>
      </c>
      <c r="BH1062" t="s">
        <v>11854</v>
      </c>
      <c r="BI1062" t="s">
        <v>131</v>
      </c>
      <c r="BL1062" t="s">
        <v>167</v>
      </c>
      <c r="BO1062" t="s">
        <v>131</v>
      </c>
      <c r="BP1062" t="s">
        <v>134</v>
      </c>
      <c r="BQ1062" t="s">
        <v>131</v>
      </c>
      <c r="BS1062" t="str">
        <f t="shared" si="75"/>
        <v>N/A</v>
      </c>
      <c r="BT1062" t="s">
        <v>131</v>
      </c>
      <c r="BV1062" t="str">
        <f>""</f>
        <v/>
      </c>
      <c r="BW1062" t="s">
        <v>135</v>
      </c>
      <c r="BX1062" t="str">
        <f>""</f>
        <v/>
      </c>
      <c r="BY1062" t="str">
        <f>""</f>
        <v/>
      </c>
      <c r="BZ1062" t="str">
        <f>""</f>
        <v/>
      </c>
      <c r="CA1062" t="str">
        <f>"Must lift//push/pull 50 lbs., when necessary.  Saturday and Sunday work required, when necessary.  Post-hire drug testing required of foreign and domestic workers upon suspicion of use. Must be able to handle a wet and cold environment."</f>
        <v>Must lift//push/pull 50 lbs., when necessary.  Saturday and Sunday work required, when necessary.  Post-hire drug testing required of foreign and domestic workers upon suspicion of use. Must be able to handle a wet and cold environment.</v>
      </c>
      <c r="CB1062" t="s">
        <v>131</v>
      </c>
      <c r="CF1062" t="s">
        <v>131</v>
      </c>
      <c r="CH1062" t="str">
        <f>""</f>
        <v/>
      </c>
      <c r="CI1062" t="s">
        <v>131</v>
      </c>
      <c r="CK1062" t="s">
        <v>131</v>
      </c>
      <c r="CL1062" t="str">
        <f>""</f>
        <v/>
      </c>
      <c r="CM1062" t="str">
        <f>""</f>
        <v/>
      </c>
      <c r="CN1062" t="str">
        <f>""</f>
        <v/>
      </c>
      <c r="CO1062" t="str">
        <f>""</f>
        <v/>
      </c>
      <c r="CP1062" t="str">
        <f>"51-7041.00"</f>
        <v>51-7041.00</v>
      </c>
      <c r="CQ1062" t="s">
        <v>11855</v>
      </c>
      <c r="CR1062" t="s">
        <v>2924</v>
      </c>
      <c r="CS1062" t="s">
        <v>131</v>
      </c>
      <c r="CU1062" t="s">
        <v>11851</v>
      </c>
      <c r="CW1062" t="s">
        <v>11852</v>
      </c>
      <c r="CX1062" t="s">
        <v>925</v>
      </c>
      <c r="CZ1062" s="3" t="str">
        <f>"04945"</f>
        <v>04945</v>
      </c>
      <c r="DA1062" t="s">
        <v>131</v>
      </c>
      <c r="DB1062" t="str">
        <f>"51-7041"</f>
        <v>51-7041</v>
      </c>
      <c r="DC1062" t="s">
        <v>11855</v>
      </c>
      <c r="DD1062" t="s">
        <v>134</v>
      </c>
      <c r="DE1062" t="s">
        <v>134</v>
      </c>
      <c r="DF1062" t="str">
        <f>""</f>
        <v/>
      </c>
      <c r="DH1062" s="6">
        <v>16.809999999999999</v>
      </c>
      <c r="DI1062" t="s">
        <v>344</v>
      </c>
      <c r="DK1062" t="s">
        <v>345</v>
      </c>
      <c r="DR1062" t="s">
        <v>6044</v>
      </c>
      <c r="DS1062" s="6">
        <v>16.809999999999999</v>
      </c>
      <c r="DT1062" t="s">
        <v>424</v>
      </c>
      <c r="DU1062" s="1">
        <v>44376</v>
      </c>
      <c r="DV1062" s="1">
        <v>44465</v>
      </c>
    </row>
    <row r="1063" spans="1:126" ht="15" customHeight="1" x14ac:dyDescent="0.35">
      <c r="A1063" t="s">
        <v>8463</v>
      </c>
      <c r="B1063" t="s">
        <v>318</v>
      </c>
      <c r="C1063" s="1">
        <v>44349</v>
      </c>
      <c r="D1063" s="1">
        <v>44376</v>
      </c>
      <c r="H1063" t="s">
        <v>319</v>
      </c>
      <c r="I1063" t="s">
        <v>8464</v>
      </c>
      <c r="J1063" t="s">
        <v>390</v>
      </c>
      <c r="L1063" t="s">
        <v>223</v>
      </c>
      <c r="M1063" t="s">
        <v>8465</v>
      </c>
      <c r="O1063" t="s">
        <v>8466</v>
      </c>
      <c r="P1063" t="s">
        <v>539</v>
      </c>
      <c r="Q1063" s="3">
        <v>60431</v>
      </c>
      <c r="R1063" t="s">
        <v>128</v>
      </c>
      <c r="T1063" s="4">
        <v>18154392126</v>
      </c>
      <c r="V1063" t="s">
        <v>8467</v>
      </c>
      <c r="W1063" t="s">
        <v>8468</v>
      </c>
      <c r="X1063" t="s">
        <v>8469</v>
      </c>
      <c r="Y1063" t="s">
        <v>8465</v>
      </c>
      <c r="AA1063" t="s">
        <v>8466</v>
      </c>
      <c r="AB1063" t="s">
        <v>263</v>
      </c>
      <c r="AC1063" s="3" t="str">
        <f>"60431"</f>
        <v>60431</v>
      </c>
      <c r="AD1063" t="s">
        <v>128</v>
      </c>
      <c r="AF1063" s="4">
        <v>18154392126</v>
      </c>
      <c r="AH1063" t="str">
        <f>"238990"</f>
        <v>238990</v>
      </c>
      <c r="AI1063" t="s">
        <v>130</v>
      </c>
      <c r="AJ1063" t="s">
        <v>3252</v>
      </c>
      <c r="AK1063" t="s">
        <v>3253</v>
      </c>
      <c r="AL1063" t="s">
        <v>589</v>
      </c>
      <c r="AM1063" t="s">
        <v>3254</v>
      </c>
      <c r="AO1063" t="s">
        <v>3255</v>
      </c>
      <c r="AP1063" t="s">
        <v>779</v>
      </c>
      <c r="AQ1063" s="5">
        <v>37110</v>
      </c>
      <c r="AR1063" t="s">
        <v>128</v>
      </c>
      <c r="AT1063" s="4">
        <v>19312747811</v>
      </c>
      <c r="AV1063" t="s">
        <v>3256</v>
      </c>
      <c r="AW1063" t="s">
        <v>3257</v>
      </c>
      <c r="AX1063" t="s">
        <v>131</v>
      </c>
      <c r="AY1063" t="s">
        <v>131</v>
      </c>
      <c r="AZ1063" t="s">
        <v>131</v>
      </c>
      <c r="BA1063" t="s">
        <v>131</v>
      </c>
      <c r="BB1063" t="s">
        <v>131</v>
      </c>
      <c r="BC1063" t="s">
        <v>131</v>
      </c>
      <c r="BD1063" t="s">
        <v>131</v>
      </c>
      <c r="BE1063" t="s">
        <v>132</v>
      </c>
      <c r="BH1063" t="s">
        <v>6893</v>
      </c>
      <c r="BI1063" t="s">
        <v>131</v>
      </c>
      <c r="BL1063" t="s">
        <v>167</v>
      </c>
      <c r="BO1063" t="s">
        <v>131</v>
      </c>
      <c r="BP1063" t="s">
        <v>134</v>
      </c>
      <c r="BQ1063" t="s">
        <v>131</v>
      </c>
      <c r="BS1063" t="str">
        <f t="shared" si="75"/>
        <v>N/A</v>
      </c>
      <c r="BT1063" t="s">
        <v>131</v>
      </c>
      <c r="BV1063" t="str">
        <f>""</f>
        <v/>
      </c>
      <c r="BW1063" t="s">
        <v>135</v>
      </c>
      <c r="BX1063" t="str">
        <f>""</f>
        <v/>
      </c>
      <c r="BY1063" t="str">
        <f>""</f>
        <v/>
      </c>
      <c r="BZ1063" t="str">
        <f>""</f>
        <v/>
      </c>
      <c r="CA1063" t="str">
        <f>"Must be able to lift 50lbs. Repetitive movements, extensive pushing and pulling, extensive walking, frequent stooping, exposure to extreme temperatures."</f>
        <v>Must be able to lift 50lbs. Repetitive movements, extensive pushing and pulling, extensive walking, frequent stooping, exposure to extreme temperatures.</v>
      </c>
      <c r="CB1063" t="s">
        <v>131</v>
      </c>
      <c r="CF1063" t="s">
        <v>131</v>
      </c>
      <c r="CH1063" t="str">
        <f>""</f>
        <v/>
      </c>
      <c r="CI1063" t="s">
        <v>131</v>
      </c>
      <c r="CK1063" t="s">
        <v>131</v>
      </c>
      <c r="CL1063" t="str">
        <f>""</f>
        <v/>
      </c>
      <c r="CM1063" t="str">
        <f>""</f>
        <v/>
      </c>
      <c r="CN1063" t="str">
        <f>""</f>
        <v/>
      </c>
      <c r="CO1063" t="str">
        <f>""</f>
        <v/>
      </c>
      <c r="CP1063" t="str">
        <f>"37-3011.00"</f>
        <v>37-3011.00</v>
      </c>
      <c r="CQ1063" t="s">
        <v>920</v>
      </c>
      <c r="CS1063" t="s">
        <v>131</v>
      </c>
      <c r="CU1063" t="s">
        <v>8470</v>
      </c>
      <c r="CW1063" t="s">
        <v>8466</v>
      </c>
      <c r="CX1063" t="s">
        <v>263</v>
      </c>
      <c r="CZ1063" s="3" t="str">
        <f>"60431"</f>
        <v>60431</v>
      </c>
      <c r="DA1063" t="s">
        <v>135</v>
      </c>
      <c r="DB1063" t="str">
        <f>"37-3011"</f>
        <v>37-3011</v>
      </c>
      <c r="DC1063" t="s">
        <v>920</v>
      </c>
      <c r="DD1063" t="s">
        <v>134</v>
      </c>
      <c r="DE1063" t="s">
        <v>134</v>
      </c>
      <c r="DF1063" t="str">
        <f>""</f>
        <v/>
      </c>
      <c r="DH1063" s="6">
        <v>16.34</v>
      </c>
      <c r="DI1063" t="s">
        <v>344</v>
      </c>
      <c r="DK1063" t="s">
        <v>345</v>
      </c>
      <c r="DR1063" t="s">
        <v>8471</v>
      </c>
      <c r="DS1063" s="6">
        <v>16.34</v>
      </c>
      <c r="DT1063" t="s">
        <v>424</v>
      </c>
      <c r="DU1063" s="1">
        <v>44376</v>
      </c>
      <c r="DV1063" s="1">
        <v>44465</v>
      </c>
    </row>
    <row r="1064" spans="1:126" ht="15" customHeight="1" x14ac:dyDescent="0.35">
      <c r="A1064" t="s">
        <v>15167</v>
      </c>
      <c r="B1064" t="s">
        <v>318</v>
      </c>
      <c r="C1064" s="1">
        <v>44349</v>
      </c>
      <c r="D1064" s="1">
        <v>44376</v>
      </c>
      <c r="H1064" t="s">
        <v>319</v>
      </c>
      <c r="I1064" t="s">
        <v>15168</v>
      </c>
      <c r="J1064" t="s">
        <v>1846</v>
      </c>
      <c r="L1064" t="s">
        <v>395</v>
      </c>
      <c r="M1064" t="s">
        <v>15169</v>
      </c>
      <c r="O1064" t="s">
        <v>600</v>
      </c>
      <c r="P1064" t="s">
        <v>593</v>
      </c>
      <c r="Q1064" s="3">
        <v>28211</v>
      </c>
      <c r="R1064" t="s">
        <v>128</v>
      </c>
      <c r="T1064" s="4">
        <v>17044003134</v>
      </c>
      <c r="V1064" t="s">
        <v>5725</v>
      </c>
      <c r="W1064" t="s">
        <v>15170</v>
      </c>
      <c r="X1064" t="s">
        <v>15171</v>
      </c>
      <c r="Y1064" t="s">
        <v>15169</v>
      </c>
      <c r="AA1064" t="s">
        <v>600</v>
      </c>
      <c r="AB1064" t="s">
        <v>594</v>
      </c>
      <c r="AC1064" s="3" t="str">
        <f>"28211"</f>
        <v>28211</v>
      </c>
      <c r="AD1064" t="s">
        <v>128</v>
      </c>
      <c r="AF1064" s="4">
        <v>17044003134</v>
      </c>
      <c r="AH1064" t="str">
        <f>"561730"</f>
        <v>561730</v>
      </c>
      <c r="AI1064" t="s">
        <v>130</v>
      </c>
      <c r="AJ1064" t="s">
        <v>860</v>
      </c>
      <c r="AK1064" t="s">
        <v>5730</v>
      </c>
      <c r="AM1064" t="s">
        <v>5732</v>
      </c>
      <c r="AN1064" t="s">
        <v>15172</v>
      </c>
      <c r="AO1064" t="s">
        <v>5733</v>
      </c>
      <c r="AP1064" t="s">
        <v>779</v>
      </c>
      <c r="AQ1064" s="5">
        <v>37122</v>
      </c>
      <c r="AR1064" t="s">
        <v>128</v>
      </c>
      <c r="AT1064" s="4">
        <v>19312428584</v>
      </c>
      <c r="AV1064" t="s">
        <v>5725</v>
      </c>
      <c r="AW1064" t="s">
        <v>5735</v>
      </c>
      <c r="AX1064" t="s">
        <v>131</v>
      </c>
      <c r="AY1064" t="s">
        <v>131</v>
      </c>
      <c r="AZ1064" t="s">
        <v>131</v>
      </c>
      <c r="BA1064" t="s">
        <v>131</v>
      </c>
      <c r="BB1064" t="s">
        <v>131</v>
      </c>
      <c r="BC1064" t="s">
        <v>131</v>
      </c>
      <c r="BD1064" t="s">
        <v>131</v>
      </c>
      <c r="BE1064" t="s">
        <v>132</v>
      </c>
      <c r="BH1064" t="s">
        <v>2215</v>
      </c>
      <c r="BI1064" t="s">
        <v>131</v>
      </c>
      <c r="BL1064" t="s">
        <v>167</v>
      </c>
      <c r="BO1064" t="s">
        <v>131</v>
      </c>
      <c r="BP1064" t="s">
        <v>134</v>
      </c>
      <c r="BQ1064" t="s">
        <v>131</v>
      </c>
      <c r="BS1064" t="str">
        <f t="shared" si="75"/>
        <v>N/A</v>
      </c>
      <c r="BT1064" t="s">
        <v>131</v>
      </c>
      <c r="BV1064" t="str">
        <f>""</f>
        <v/>
      </c>
      <c r="BW1064" t="s">
        <v>135</v>
      </c>
      <c r="BX1064" t="str">
        <f>""</f>
        <v/>
      </c>
      <c r="BY1064" t="str">
        <f>""</f>
        <v/>
      </c>
      <c r="BZ1064" t="str">
        <f>""</f>
        <v/>
      </c>
      <c r="CA1064" t="str">
        <f>"Must be able to perform physical parts of the job. Walking, carrying, operating machinery inherent to the position."</f>
        <v>Must be able to perform physical parts of the job. Walking, carrying, operating machinery inherent to the position.</v>
      </c>
      <c r="CB1064" t="s">
        <v>131</v>
      </c>
      <c r="CF1064" t="s">
        <v>131</v>
      </c>
      <c r="CH1064" t="str">
        <f>""</f>
        <v/>
      </c>
      <c r="CI1064" t="s">
        <v>131</v>
      </c>
      <c r="CK1064" t="s">
        <v>131</v>
      </c>
      <c r="CL1064" t="str">
        <f>""</f>
        <v/>
      </c>
      <c r="CM1064" t="str">
        <f>""</f>
        <v/>
      </c>
      <c r="CN1064" t="str">
        <f>""</f>
        <v/>
      </c>
      <c r="CO1064" t="str">
        <f>""</f>
        <v/>
      </c>
      <c r="CP1064" t="str">
        <f>"37-3011.00"</f>
        <v>37-3011.00</v>
      </c>
      <c r="CQ1064" t="s">
        <v>920</v>
      </c>
      <c r="CR1064" t="s">
        <v>3004</v>
      </c>
      <c r="CS1064" t="s">
        <v>131</v>
      </c>
      <c r="CU1064" t="s">
        <v>15169</v>
      </c>
      <c r="CW1064" t="s">
        <v>600</v>
      </c>
      <c r="CX1064" t="s">
        <v>594</v>
      </c>
      <c r="CZ1064" s="3" t="str">
        <f>"28211"</f>
        <v>28211</v>
      </c>
      <c r="DA1064" t="s">
        <v>135</v>
      </c>
      <c r="DB1064" t="str">
        <f>"37-3011"</f>
        <v>37-3011</v>
      </c>
      <c r="DC1064" t="s">
        <v>920</v>
      </c>
      <c r="DD1064" t="s">
        <v>134</v>
      </c>
      <c r="DE1064" t="s">
        <v>134</v>
      </c>
      <c r="DF1064" t="str">
        <f>""</f>
        <v/>
      </c>
      <c r="DH1064" s="6">
        <v>14.31</v>
      </c>
      <c r="DI1064" t="s">
        <v>344</v>
      </c>
      <c r="DK1064" t="s">
        <v>345</v>
      </c>
      <c r="DS1064" s="6">
        <v>14.31</v>
      </c>
      <c r="DT1064" t="s">
        <v>424</v>
      </c>
      <c r="DU1064" s="1">
        <v>44376</v>
      </c>
      <c r="DV1064" s="1">
        <v>44465</v>
      </c>
    </row>
    <row r="1065" spans="1:126" ht="15" customHeight="1" x14ac:dyDescent="0.35">
      <c r="A1065" t="s">
        <v>16839</v>
      </c>
      <c r="B1065" t="s">
        <v>318</v>
      </c>
      <c r="C1065" s="1">
        <v>44349</v>
      </c>
      <c r="D1065" s="1">
        <v>44376</v>
      </c>
      <c r="H1065" t="s">
        <v>319</v>
      </c>
      <c r="I1065" t="s">
        <v>1361</v>
      </c>
      <c r="J1065" t="s">
        <v>348</v>
      </c>
      <c r="K1065" t="s">
        <v>1253</v>
      </c>
      <c r="L1065" t="s">
        <v>701</v>
      </c>
      <c r="M1065" t="s">
        <v>9953</v>
      </c>
      <c r="N1065" t="s">
        <v>985</v>
      </c>
      <c r="O1065" t="s">
        <v>642</v>
      </c>
      <c r="P1065" t="s">
        <v>818</v>
      </c>
      <c r="Q1065" s="3">
        <v>30339</v>
      </c>
      <c r="R1065" t="s">
        <v>128</v>
      </c>
      <c r="T1065" s="4">
        <v>17703734593</v>
      </c>
      <c r="V1065" t="s">
        <v>13180</v>
      </c>
      <c r="W1065" t="s">
        <v>13181</v>
      </c>
      <c r="Y1065" t="s">
        <v>9953</v>
      </c>
      <c r="Z1065" t="s">
        <v>985</v>
      </c>
      <c r="AA1065" t="s">
        <v>642</v>
      </c>
      <c r="AB1065" t="s">
        <v>643</v>
      </c>
      <c r="AC1065" s="3" t="str">
        <f>"30339"</f>
        <v>30339</v>
      </c>
      <c r="AD1065" t="s">
        <v>128</v>
      </c>
      <c r="AF1065" s="4">
        <v>17703734593</v>
      </c>
      <c r="AH1065" t="str">
        <f>"56173"</f>
        <v>56173</v>
      </c>
      <c r="AI1065" t="s">
        <v>287</v>
      </c>
      <c r="AJ1065" t="s">
        <v>2046</v>
      </c>
      <c r="AK1065" t="s">
        <v>2047</v>
      </c>
      <c r="AL1065" t="s">
        <v>134</v>
      </c>
      <c r="AM1065" t="s">
        <v>2048</v>
      </c>
      <c r="AN1065" t="s">
        <v>2049</v>
      </c>
      <c r="AO1065" t="s">
        <v>2050</v>
      </c>
      <c r="AP1065" t="s">
        <v>1243</v>
      </c>
      <c r="AQ1065" s="5">
        <v>83814</v>
      </c>
      <c r="AR1065" t="s">
        <v>128</v>
      </c>
      <c r="AT1065" s="4">
        <v>12087772654</v>
      </c>
      <c r="AV1065" t="s">
        <v>2051</v>
      </c>
      <c r="AW1065" t="s">
        <v>2052</v>
      </c>
      <c r="AX1065" t="s">
        <v>131</v>
      </c>
      <c r="AY1065" t="s">
        <v>131</v>
      </c>
      <c r="AZ1065" t="s">
        <v>131</v>
      </c>
      <c r="BA1065" t="s">
        <v>131</v>
      </c>
      <c r="BB1065" t="s">
        <v>131</v>
      </c>
      <c r="BC1065" t="s">
        <v>131</v>
      </c>
      <c r="BD1065" t="s">
        <v>131</v>
      </c>
      <c r="BE1065" t="s">
        <v>132</v>
      </c>
      <c r="BH1065" t="s">
        <v>2095</v>
      </c>
      <c r="BI1065" t="s">
        <v>131</v>
      </c>
      <c r="BL1065" t="s">
        <v>167</v>
      </c>
      <c r="BO1065" t="s">
        <v>131</v>
      </c>
      <c r="BP1065" t="s">
        <v>134</v>
      </c>
      <c r="BQ1065" t="s">
        <v>131</v>
      </c>
      <c r="BS1065" t="str">
        <f t="shared" si="75"/>
        <v>N/A</v>
      </c>
      <c r="BT1065" t="s">
        <v>131</v>
      </c>
      <c r="BV1065" t="str">
        <f>""</f>
        <v/>
      </c>
      <c r="BW1065" t="s">
        <v>135</v>
      </c>
      <c r="BX1065" t="str">
        <f>""</f>
        <v/>
      </c>
      <c r="BY1065" t="str">
        <f>""</f>
        <v/>
      </c>
      <c r="BZ1065" t="str">
        <f>""</f>
        <v/>
      </c>
      <c r="CA1065" t="s">
        <v>11805</v>
      </c>
      <c r="CB1065" t="s">
        <v>131</v>
      </c>
      <c r="CF1065" t="s">
        <v>131</v>
      </c>
      <c r="CH1065" t="str">
        <f>""</f>
        <v/>
      </c>
      <c r="CI1065" t="s">
        <v>131</v>
      </c>
      <c r="CK1065" t="s">
        <v>131</v>
      </c>
      <c r="CL1065" t="str">
        <f>""</f>
        <v/>
      </c>
      <c r="CM1065" t="str">
        <f>""</f>
        <v/>
      </c>
      <c r="CN1065" t="str">
        <f>""</f>
        <v/>
      </c>
      <c r="CO1065" t="str">
        <f>""</f>
        <v/>
      </c>
      <c r="CP1065" t="str">
        <f>"37-3011.00"</f>
        <v>37-3011.00</v>
      </c>
      <c r="CQ1065" t="s">
        <v>920</v>
      </c>
      <c r="CS1065" t="s">
        <v>135</v>
      </c>
      <c r="CT1065" t="s">
        <v>16840</v>
      </c>
      <c r="CU1065" t="s">
        <v>16841</v>
      </c>
      <c r="CW1065" t="s">
        <v>10617</v>
      </c>
      <c r="CX1065" t="s">
        <v>643</v>
      </c>
      <c r="CZ1065" s="3" t="str">
        <f>"31705"</f>
        <v>31705</v>
      </c>
      <c r="DA1065" t="s">
        <v>135</v>
      </c>
      <c r="DB1065" t="str">
        <f>"37-3011"</f>
        <v>37-3011</v>
      </c>
      <c r="DC1065" t="s">
        <v>920</v>
      </c>
      <c r="DD1065" t="s">
        <v>134</v>
      </c>
      <c r="DE1065" t="s">
        <v>134</v>
      </c>
      <c r="DF1065" t="str">
        <f>""</f>
        <v/>
      </c>
      <c r="DH1065" s="6">
        <v>12.39</v>
      </c>
      <c r="DI1065" t="s">
        <v>344</v>
      </c>
      <c r="DK1065" t="s">
        <v>345</v>
      </c>
      <c r="DR1065" t="s">
        <v>15287</v>
      </c>
      <c r="DS1065" s="6">
        <v>16.059999999999999</v>
      </c>
      <c r="DT1065" s="2" t="s">
        <v>11167</v>
      </c>
      <c r="DU1065" s="1">
        <v>44376</v>
      </c>
      <c r="DV1065" s="1">
        <v>44465</v>
      </c>
    </row>
    <row r="1066" spans="1:126" ht="15" customHeight="1" x14ac:dyDescent="0.35">
      <c r="A1066" t="s">
        <v>6434</v>
      </c>
      <c r="B1066" t="s">
        <v>318</v>
      </c>
      <c r="C1066" s="1">
        <v>44349</v>
      </c>
      <c r="D1066" s="1">
        <v>44376</v>
      </c>
      <c r="H1066" t="s">
        <v>319</v>
      </c>
      <c r="I1066" t="s">
        <v>6435</v>
      </c>
      <c r="J1066" t="s">
        <v>6436</v>
      </c>
      <c r="L1066" t="s">
        <v>1031</v>
      </c>
      <c r="M1066" t="s">
        <v>6437</v>
      </c>
      <c r="O1066" t="s">
        <v>6438</v>
      </c>
      <c r="P1066" t="s">
        <v>256</v>
      </c>
      <c r="Q1066" s="3">
        <v>64081</v>
      </c>
      <c r="R1066" t="s">
        <v>128</v>
      </c>
      <c r="T1066" s="4">
        <v>18165240010</v>
      </c>
      <c r="V1066" t="s">
        <v>1021</v>
      </c>
      <c r="W1066" t="s">
        <v>6439</v>
      </c>
      <c r="Y1066" t="s">
        <v>6440</v>
      </c>
      <c r="AA1066" t="s">
        <v>6438</v>
      </c>
      <c r="AB1066" t="s">
        <v>258</v>
      </c>
      <c r="AC1066" s="3" t="str">
        <f>"64081"</f>
        <v>64081</v>
      </c>
      <c r="AD1066" t="s">
        <v>128</v>
      </c>
      <c r="AF1066" s="4">
        <v>18165240010</v>
      </c>
      <c r="AH1066" t="str">
        <f>"56173"</f>
        <v>56173</v>
      </c>
      <c r="AI1066" t="s">
        <v>287</v>
      </c>
      <c r="AJ1066" t="s">
        <v>1024</v>
      </c>
      <c r="AK1066" t="s">
        <v>1025</v>
      </c>
      <c r="AM1066" t="s">
        <v>1026</v>
      </c>
      <c r="AO1066" t="s">
        <v>1027</v>
      </c>
      <c r="AP1066" t="s">
        <v>129</v>
      </c>
      <c r="AQ1066" s="5">
        <v>11590</v>
      </c>
      <c r="AR1066" t="s">
        <v>128</v>
      </c>
      <c r="AT1066" s="4">
        <v>15163307168</v>
      </c>
      <c r="AV1066" t="s">
        <v>1021</v>
      </c>
      <c r="AW1066" t="s">
        <v>1028</v>
      </c>
      <c r="AX1066" t="s">
        <v>131</v>
      </c>
      <c r="AY1066" t="s">
        <v>131</v>
      </c>
      <c r="AZ1066" t="s">
        <v>131</v>
      </c>
      <c r="BA1066" t="s">
        <v>131</v>
      </c>
      <c r="BB1066" t="s">
        <v>131</v>
      </c>
      <c r="BC1066" t="s">
        <v>131</v>
      </c>
      <c r="BD1066" t="s">
        <v>131</v>
      </c>
      <c r="BE1066" t="s">
        <v>132</v>
      </c>
      <c r="BH1066" t="s">
        <v>1029</v>
      </c>
      <c r="BI1066" t="s">
        <v>131</v>
      </c>
      <c r="BL1066" t="s">
        <v>167</v>
      </c>
      <c r="BO1066" t="s">
        <v>131</v>
      </c>
      <c r="BP1066" t="s">
        <v>134</v>
      </c>
      <c r="BQ1066" t="s">
        <v>131</v>
      </c>
      <c r="BS1066" t="str">
        <f t="shared" si="75"/>
        <v>N/A</v>
      </c>
      <c r="BT1066" t="s">
        <v>131</v>
      </c>
      <c r="BV1066" t="str">
        <f>""</f>
        <v/>
      </c>
      <c r="BW1066" t="s">
        <v>131</v>
      </c>
      <c r="BX1066" t="str">
        <f>""</f>
        <v/>
      </c>
      <c r="BY1066" t="str">
        <f>""</f>
        <v/>
      </c>
      <c r="BZ1066" t="str">
        <f>""</f>
        <v/>
      </c>
      <c r="CA1066" t="str">
        <f>""</f>
        <v/>
      </c>
      <c r="CB1066" t="s">
        <v>131</v>
      </c>
      <c r="CF1066" t="s">
        <v>131</v>
      </c>
      <c r="CH1066" t="str">
        <f>""</f>
        <v/>
      </c>
      <c r="CI1066" t="s">
        <v>131</v>
      </c>
      <c r="CK1066" t="s">
        <v>131</v>
      </c>
      <c r="CL1066" t="str">
        <f>""</f>
        <v/>
      </c>
      <c r="CM1066" t="str">
        <f>""</f>
        <v/>
      </c>
      <c r="CN1066" t="str">
        <f>""</f>
        <v/>
      </c>
      <c r="CO1066" t="str">
        <f>""</f>
        <v/>
      </c>
      <c r="CP1066" t="str">
        <f>"53-7062.00"</f>
        <v>53-7062.00</v>
      </c>
      <c r="CQ1066" t="s">
        <v>1030</v>
      </c>
      <c r="CR1066" t="s">
        <v>1031</v>
      </c>
      <c r="CS1066" t="s">
        <v>135</v>
      </c>
      <c r="CT1066" t="s">
        <v>6441</v>
      </c>
      <c r="CU1066" t="s">
        <v>6440</v>
      </c>
      <c r="CW1066" t="s">
        <v>6442</v>
      </c>
      <c r="CX1066" t="s">
        <v>258</v>
      </c>
      <c r="CZ1066" s="3" t="str">
        <f>"64081"</f>
        <v>64081</v>
      </c>
      <c r="DA1066" t="s">
        <v>135</v>
      </c>
      <c r="DB1066" t="str">
        <f>"53-7062"</f>
        <v>53-7062</v>
      </c>
      <c r="DC1066" t="s">
        <v>1030</v>
      </c>
      <c r="DD1066" t="s">
        <v>134</v>
      </c>
      <c r="DE1066" t="s">
        <v>134</v>
      </c>
      <c r="DF1066" t="str">
        <f>""</f>
        <v/>
      </c>
      <c r="DH1066" s="6">
        <v>15.46</v>
      </c>
      <c r="DI1066" t="s">
        <v>344</v>
      </c>
      <c r="DK1066" t="s">
        <v>345</v>
      </c>
      <c r="DR1066" t="s">
        <v>6443</v>
      </c>
      <c r="DS1066" s="6">
        <v>15.46</v>
      </c>
      <c r="DT1066" s="2" t="s">
        <v>347</v>
      </c>
      <c r="DU1066" s="1">
        <v>44376</v>
      </c>
      <c r="DV1066" s="1">
        <v>44465</v>
      </c>
    </row>
    <row r="1067" spans="1:126" ht="15" customHeight="1" x14ac:dyDescent="0.35">
      <c r="A1067" t="s">
        <v>11161</v>
      </c>
      <c r="B1067" t="s">
        <v>318</v>
      </c>
      <c r="C1067" s="1">
        <v>44349</v>
      </c>
      <c r="D1067" s="1">
        <v>44376</v>
      </c>
      <c r="H1067" t="s">
        <v>319</v>
      </c>
      <c r="I1067" t="s">
        <v>10111</v>
      </c>
      <c r="J1067" t="s">
        <v>4067</v>
      </c>
      <c r="L1067" t="s">
        <v>3767</v>
      </c>
      <c r="M1067" t="s">
        <v>11162</v>
      </c>
      <c r="O1067" t="s">
        <v>11163</v>
      </c>
      <c r="P1067" t="s">
        <v>1004</v>
      </c>
      <c r="Q1067" s="3">
        <v>84096</v>
      </c>
      <c r="R1067" t="s">
        <v>128</v>
      </c>
      <c r="T1067" s="4">
        <v>18018820141</v>
      </c>
      <c r="V1067" t="s">
        <v>134</v>
      </c>
      <c r="W1067" t="s">
        <v>11164</v>
      </c>
      <c r="Y1067" t="s">
        <v>11162</v>
      </c>
      <c r="AA1067" t="s">
        <v>11163</v>
      </c>
      <c r="AB1067" t="s">
        <v>1008</v>
      </c>
      <c r="AC1067" s="3" t="str">
        <f>"84065"</f>
        <v>84065</v>
      </c>
      <c r="AD1067" t="s">
        <v>128</v>
      </c>
      <c r="AF1067" s="4">
        <v>18019107617</v>
      </c>
      <c r="AH1067" t="str">
        <f>"56173"</f>
        <v>56173</v>
      </c>
      <c r="AI1067" t="s">
        <v>130</v>
      </c>
      <c r="AJ1067" t="s">
        <v>4793</v>
      </c>
      <c r="AK1067" t="s">
        <v>3519</v>
      </c>
      <c r="AL1067" t="s">
        <v>301</v>
      </c>
      <c r="AM1067" t="s">
        <v>7500</v>
      </c>
      <c r="AO1067" t="s">
        <v>1040</v>
      </c>
      <c r="AP1067" t="s">
        <v>400</v>
      </c>
      <c r="AQ1067" s="5">
        <v>78746</v>
      </c>
      <c r="AR1067" t="s">
        <v>128</v>
      </c>
      <c r="AT1067" s="4">
        <v>15123470007</v>
      </c>
      <c r="AV1067" t="s">
        <v>4857</v>
      </c>
      <c r="AW1067" t="s">
        <v>7501</v>
      </c>
      <c r="AX1067" t="s">
        <v>131</v>
      </c>
      <c r="AY1067" t="s">
        <v>131</v>
      </c>
      <c r="AZ1067" t="s">
        <v>131</v>
      </c>
      <c r="BA1067" t="s">
        <v>131</v>
      </c>
      <c r="BB1067" t="s">
        <v>131</v>
      </c>
      <c r="BC1067" t="s">
        <v>131</v>
      </c>
      <c r="BD1067" t="s">
        <v>131</v>
      </c>
      <c r="BE1067" t="s">
        <v>132</v>
      </c>
      <c r="BH1067" t="s">
        <v>11165</v>
      </c>
      <c r="BI1067" t="s">
        <v>131</v>
      </c>
      <c r="BL1067" t="s">
        <v>167</v>
      </c>
      <c r="BO1067" t="s">
        <v>131</v>
      </c>
      <c r="BP1067" t="s">
        <v>134</v>
      </c>
      <c r="BQ1067" t="s">
        <v>131</v>
      </c>
      <c r="BS1067" t="str">
        <f t="shared" si="75"/>
        <v>N/A</v>
      </c>
      <c r="BT1067" t="s">
        <v>131</v>
      </c>
      <c r="BV1067" t="str">
        <f>""</f>
        <v/>
      </c>
      <c r="BW1067" t="s">
        <v>135</v>
      </c>
      <c r="BX1067" t="str">
        <f>""</f>
        <v/>
      </c>
      <c r="BY1067" t="str">
        <f>""</f>
        <v/>
      </c>
      <c r="BZ1067" t="str">
        <f>""</f>
        <v/>
      </c>
      <c r="CA1067" t="str">
        <f>"Pre-Hire employer paid drug test and criminal background checks required"</f>
        <v>Pre-Hire employer paid drug test and criminal background checks required</v>
      </c>
      <c r="CB1067" t="s">
        <v>131</v>
      </c>
      <c r="CF1067" t="s">
        <v>131</v>
      </c>
      <c r="CH1067" t="str">
        <f>""</f>
        <v/>
      </c>
      <c r="CI1067" t="s">
        <v>131</v>
      </c>
      <c r="CK1067" t="s">
        <v>131</v>
      </c>
      <c r="CL1067" t="str">
        <f>""</f>
        <v/>
      </c>
      <c r="CM1067" t="str">
        <f>""</f>
        <v/>
      </c>
      <c r="CN1067" t="str">
        <f>""</f>
        <v/>
      </c>
      <c r="CO1067" t="str">
        <f>""</f>
        <v/>
      </c>
      <c r="CP1067" t="str">
        <f>"37-3011.00"</f>
        <v>37-3011.00</v>
      </c>
      <c r="CQ1067" t="s">
        <v>920</v>
      </c>
      <c r="CR1067" t="s">
        <v>1158</v>
      </c>
      <c r="CS1067" t="s">
        <v>135</v>
      </c>
      <c r="CT1067" t="s">
        <v>11166</v>
      </c>
      <c r="CU1067" t="s">
        <v>11162</v>
      </c>
      <c r="CW1067" t="s">
        <v>11163</v>
      </c>
      <c r="CX1067" t="s">
        <v>1008</v>
      </c>
      <c r="CZ1067" s="3" t="str">
        <f>"84065"</f>
        <v>84065</v>
      </c>
      <c r="DA1067" t="s">
        <v>135</v>
      </c>
      <c r="DB1067" t="str">
        <f>"37-3011"</f>
        <v>37-3011</v>
      </c>
      <c r="DC1067" t="s">
        <v>920</v>
      </c>
      <c r="DD1067" t="s">
        <v>134</v>
      </c>
      <c r="DE1067" t="s">
        <v>134</v>
      </c>
      <c r="DF1067" t="str">
        <f>""</f>
        <v/>
      </c>
      <c r="DH1067" s="6">
        <v>15.7</v>
      </c>
      <c r="DI1067" t="s">
        <v>344</v>
      </c>
      <c r="DK1067" t="s">
        <v>345</v>
      </c>
      <c r="DS1067" s="6">
        <v>15.7</v>
      </c>
      <c r="DT1067" s="2" t="s">
        <v>11167</v>
      </c>
      <c r="DU1067" s="1">
        <v>44376</v>
      </c>
      <c r="DV1067" s="1">
        <v>44465</v>
      </c>
    </row>
    <row r="1068" spans="1:126" ht="15" customHeight="1" x14ac:dyDescent="0.35">
      <c r="A1068" t="s">
        <v>17178</v>
      </c>
      <c r="B1068" t="s">
        <v>318</v>
      </c>
      <c r="C1068" s="1">
        <v>44349</v>
      </c>
      <c r="D1068" s="1">
        <v>44376</v>
      </c>
      <c r="H1068" t="s">
        <v>319</v>
      </c>
      <c r="I1068" t="s">
        <v>4350</v>
      </c>
      <c r="J1068" t="s">
        <v>17179</v>
      </c>
      <c r="L1068" t="s">
        <v>1031</v>
      </c>
      <c r="M1068" t="s">
        <v>17180</v>
      </c>
      <c r="O1068" t="s">
        <v>17181</v>
      </c>
      <c r="P1068" t="s">
        <v>778</v>
      </c>
      <c r="Q1068" s="3">
        <v>37036</v>
      </c>
      <c r="R1068" t="s">
        <v>128</v>
      </c>
      <c r="T1068" s="4">
        <v>16157655033</v>
      </c>
      <c r="V1068" t="s">
        <v>17182</v>
      </c>
      <c r="W1068" t="s">
        <v>17183</v>
      </c>
      <c r="Y1068" t="s">
        <v>17184</v>
      </c>
      <c r="AA1068" t="s">
        <v>17185</v>
      </c>
      <c r="AB1068" t="s">
        <v>229</v>
      </c>
      <c r="AC1068" s="3" t="str">
        <f>"46515"</f>
        <v>46515</v>
      </c>
      <c r="AD1068" t="s">
        <v>128</v>
      </c>
      <c r="AF1068" s="4">
        <v>16157655033</v>
      </c>
      <c r="AH1068" t="str">
        <f>"4841"</f>
        <v>4841</v>
      </c>
      <c r="AI1068" t="s">
        <v>130</v>
      </c>
      <c r="AJ1068" t="s">
        <v>3252</v>
      </c>
      <c r="AK1068" t="s">
        <v>3253</v>
      </c>
      <c r="AL1068" t="s">
        <v>589</v>
      </c>
      <c r="AM1068" t="s">
        <v>3254</v>
      </c>
      <c r="AO1068" t="s">
        <v>3255</v>
      </c>
      <c r="AP1068" t="s">
        <v>779</v>
      </c>
      <c r="AQ1068" s="5">
        <v>37110</v>
      </c>
      <c r="AR1068" t="s">
        <v>128</v>
      </c>
      <c r="AT1068" s="4">
        <v>19312747811</v>
      </c>
      <c r="AV1068" t="s">
        <v>3256</v>
      </c>
      <c r="AW1068" t="s">
        <v>3257</v>
      </c>
      <c r="AX1068" t="s">
        <v>131</v>
      </c>
      <c r="AY1068" t="s">
        <v>131</v>
      </c>
      <c r="AZ1068" t="s">
        <v>131</v>
      </c>
      <c r="BA1068" t="s">
        <v>131</v>
      </c>
      <c r="BB1068" t="s">
        <v>131</v>
      </c>
      <c r="BC1068" t="s">
        <v>131</v>
      </c>
      <c r="BD1068" t="s">
        <v>131</v>
      </c>
      <c r="BE1068" t="s">
        <v>132</v>
      </c>
      <c r="BH1068" t="s">
        <v>1237</v>
      </c>
      <c r="BI1068" t="s">
        <v>131</v>
      </c>
      <c r="BL1068" t="s">
        <v>167</v>
      </c>
      <c r="BO1068" t="s">
        <v>131</v>
      </c>
      <c r="BP1068" t="s">
        <v>134</v>
      </c>
      <c r="BQ1068" t="s">
        <v>131</v>
      </c>
      <c r="BS1068" t="str">
        <f t="shared" si="75"/>
        <v>N/A</v>
      </c>
      <c r="BT1068" t="s">
        <v>135</v>
      </c>
      <c r="BU1068">
        <v>3</v>
      </c>
      <c r="BV1068" t="str">
        <f>"TRUCKING"</f>
        <v>TRUCKING</v>
      </c>
      <c r="BW1068" t="s">
        <v>135</v>
      </c>
      <c r="BX1068" t="str">
        <f>""</f>
        <v/>
      </c>
      <c r="BY1068" t="str">
        <f>""</f>
        <v/>
      </c>
      <c r="BZ1068" t="str">
        <f>""</f>
        <v/>
      </c>
      <c r="CA1068" t="str">
        <f>"Must have valid commercial driver's license"</f>
        <v>Must have valid commercial driver's license</v>
      </c>
      <c r="CB1068" t="s">
        <v>131</v>
      </c>
      <c r="CF1068" t="s">
        <v>131</v>
      </c>
      <c r="CH1068" t="str">
        <f>""</f>
        <v/>
      </c>
      <c r="CI1068" t="s">
        <v>131</v>
      </c>
      <c r="CK1068" t="s">
        <v>131</v>
      </c>
      <c r="CL1068" t="str">
        <f>""</f>
        <v/>
      </c>
      <c r="CM1068" t="str">
        <f>""</f>
        <v/>
      </c>
      <c r="CN1068" t="str">
        <f>""</f>
        <v/>
      </c>
      <c r="CO1068" t="str">
        <f>""</f>
        <v/>
      </c>
      <c r="CP1068" t="str">
        <f>"53-3032.00"</f>
        <v>53-3032.00</v>
      </c>
      <c r="CQ1068" t="s">
        <v>1238</v>
      </c>
      <c r="CS1068" t="s">
        <v>131</v>
      </c>
      <c r="CU1068" t="s">
        <v>17184</v>
      </c>
      <c r="CW1068" t="s">
        <v>17185</v>
      </c>
      <c r="CX1068" t="s">
        <v>229</v>
      </c>
      <c r="CZ1068" s="3" t="str">
        <f>"46515"</f>
        <v>46515</v>
      </c>
      <c r="DA1068" t="s">
        <v>131</v>
      </c>
      <c r="DB1068" t="str">
        <f>"53-3032"</f>
        <v>53-3032</v>
      </c>
      <c r="DC1068" t="s">
        <v>1238</v>
      </c>
      <c r="DD1068" t="s">
        <v>134</v>
      </c>
      <c r="DE1068" t="s">
        <v>134</v>
      </c>
      <c r="DF1068" t="str">
        <f>""</f>
        <v/>
      </c>
      <c r="DH1068" s="6">
        <v>23</v>
      </c>
      <c r="DI1068" t="s">
        <v>344</v>
      </c>
      <c r="DK1068" t="s">
        <v>345</v>
      </c>
      <c r="DR1068" t="s">
        <v>17186</v>
      </c>
      <c r="DS1068" s="6">
        <v>23</v>
      </c>
      <c r="DT1068" t="s">
        <v>424</v>
      </c>
      <c r="DU1068" s="1">
        <v>44376</v>
      </c>
      <c r="DV1068" s="1">
        <v>44465</v>
      </c>
    </row>
    <row r="1069" spans="1:126" ht="15" customHeight="1" x14ac:dyDescent="0.35">
      <c r="A1069" t="s">
        <v>15952</v>
      </c>
      <c r="B1069" t="s">
        <v>318</v>
      </c>
      <c r="C1069" s="1">
        <v>44349</v>
      </c>
      <c r="D1069" s="1">
        <v>44376</v>
      </c>
      <c r="H1069" t="s">
        <v>319</v>
      </c>
      <c r="I1069" t="s">
        <v>674</v>
      </c>
      <c r="J1069" t="s">
        <v>3402</v>
      </c>
      <c r="L1069" t="s">
        <v>349</v>
      </c>
      <c r="M1069" t="s">
        <v>3403</v>
      </c>
      <c r="O1069" t="s">
        <v>3404</v>
      </c>
      <c r="P1069" t="s">
        <v>2545</v>
      </c>
      <c r="Q1069" s="3">
        <v>5155</v>
      </c>
      <c r="R1069" t="s">
        <v>128</v>
      </c>
      <c r="T1069" s="4">
        <v>18022974000</v>
      </c>
      <c r="V1069" t="s">
        <v>3405</v>
      </c>
      <c r="W1069" t="s">
        <v>3406</v>
      </c>
      <c r="X1069" t="s">
        <v>3407</v>
      </c>
      <c r="Y1069" t="s">
        <v>3403</v>
      </c>
      <c r="Z1069" t="s">
        <v>134</v>
      </c>
      <c r="AA1069" t="s">
        <v>3404</v>
      </c>
      <c r="AB1069" t="s">
        <v>2549</v>
      </c>
      <c r="AC1069" s="3" t="str">
        <f t="shared" ref="AC1069:AC1074" si="76">"05155"</f>
        <v>05155</v>
      </c>
      <c r="AD1069" t="s">
        <v>128</v>
      </c>
      <c r="AE1069" t="s">
        <v>134</v>
      </c>
      <c r="AF1069" s="4">
        <v>18022974000</v>
      </c>
      <c r="AH1069" t="str">
        <f>"72111"</f>
        <v>72111</v>
      </c>
      <c r="AI1069" t="s">
        <v>130</v>
      </c>
      <c r="AJ1069" t="s">
        <v>1386</v>
      </c>
      <c r="AK1069" t="s">
        <v>1387</v>
      </c>
      <c r="AL1069" t="s">
        <v>1036</v>
      </c>
      <c r="AM1069" t="s">
        <v>1388</v>
      </c>
      <c r="AN1069" t="s">
        <v>997</v>
      </c>
      <c r="AO1069" t="s">
        <v>719</v>
      </c>
      <c r="AP1069" t="s">
        <v>377</v>
      </c>
      <c r="AQ1069" s="5">
        <v>1701</v>
      </c>
      <c r="AR1069" t="s">
        <v>128</v>
      </c>
      <c r="AS1069" t="s">
        <v>134</v>
      </c>
      <c r="AT1069" s="4">
        <v>16179399444</v>
      </c>
      <c r="AV1069" t="s">
        <v>1389</v>
      </c>
      <c r="AW1069" t="s">
        <v>1390</v>
      </c>
      <c r="AX1069" t="s">
        <v>131</v>
      </c>
      <c r="AY1069" t="s">
        <v>131</v>
      </c>
      <c r="AZ1069" t="s">
        <v>131</v>
      </c>
      <c r="BA1069" t="s">
        <v>131</v>
      </c>
      <c r="BB1069" t="s">
        <v>131</v>
      </c>
      <c r="BC1069" t="s">
        <v>131</v>
      </c>
      <c r="BD1069" t="s">
        <v>131</v>
      </c>
      <c r="BE1069" t="s">
        <v>132</v>
      </c>
      <c r="BH1069" t="s">
        <v>15953</v>
      </c>
      <c r="BI1069" t="s">
        <v>131</v>
      </c>
      <c r="BL1069" t="s">
        <v>167</v>
      </c>
      <c r="BO1069" t="s">
        <v>131</v>
      </c>
      <c r="BP1069" t="s">
        <v>134</v>
      </c>
      <c r="BQ1069" t="s">
        <v>131</v>
      </c>
      <c r="BS1069" t="str">
        <f t="shared" si="75"/>
        <v>N/A</v>
      </c>
      <c r="BT1069" t="s">
        <v>135</v>
      </c>
      <c r="BU1069">
        <v>3</v>
      </c>
      <c r="BV1069" t="str">
        <f>"Cafeteria Cashier"</f>
        <v>Cafeteria Cashier</v>
      </c>
      <c r="BW1069" t="s">
        <v>135</v>
      </c>
      <c r="BX1069" t="str">
        <f>""</f>
        <v/>
      </c>
      <c r="BY1069" t="str">
        <f>""</f>
        <v/>
      </c>
      <c r="BZ1069" t="str">
        <f>""</f>
        <v/>
      </c>
      <c r="CA1069" t="str">
        <f>"The Petitioner will consider for employment any person who possesses at least three (3) months of experience in a high-volume food and beverage environment at a high-end restaurant, resort, or private club.  Basic computer skills required."</f>
        <v>The Petitioner will consider for employment any person who possesses at least three (3) months of experience in a high-volume food and beverage environment at a high-end restaurant, resort, or private club.  Basic computer skills required.</v>
      </c>
      <c r="CB1069" t="s">
        <v>131</v>
      </c>
      <c r="CF1069" t="s">
        <v>131</v>
      </c>
      <c r="CH1069" t="str">
        <f>""</f>
        <v/>
      </c>
      <c r="CI1069" t="s">
        <v>131</v>
      </c>
      <c r="CK1069" t="s">
        <v>131</v>
      </c>
      <c r="CL1069" t="str">
        <f>""</f>
        <v/>
      </c>
      <c r="CM1069" t="str">
        <f>""</f>
        <v/>
      </c>
      <c r="CN1069" t="str">
        <f>""</f>
        <v/>
      </c>
      <c r="CO1069" t="str">
        <f>""</f>
        <v/>
      </c>
      <c r="CP1069" t="str">
        <f>"41-2011.00"</f>
        <v>41-2011.00</v>
      </c>
      <c r="CQ1069" t="s">
        <v>5621</v>
      </c>
      <c r="CR1069" t="s">
        <v>15954</v>
      </c>
      <c r="CS1069" t="s">
        <v>131</v>
      </c>
      <c r="CU1069" t="s">
        <v>3403</v>
      </c>
      <c r="CW1069" t="s">
        <v>3404</v>
      </c>
      <c r="CX1069" t="s">
        <v>2549</v>
      </c>
      <c r="CZ1069" s="3" t="str">
        <f t="shared" ref="CZ1069:CZ1074" si="77">"05155"</f>
        <v>05155</v>
      </c>
      <c r="DA1069" t="s">
        <v>131</v>
      </c>
      <c r="DB1069" t="str">
        <f>"41-2011"</f>
        <v>41-2011</v>
      </c>
      <c r="DC1069" t="s">
        <v>5621</v>
      </c>
      <c r="DD1069" t="s">
        <v>134</v>
      </c>
      <c r="DE1069" t="s">
        <v>134</v>
      </c>
      <c r="DF1069" t="str">
        <f>""</f>
        <v/>
      </c>
      <c r="DH1069" s="6">
        <v>12.63</v>
      </c>
      <c r="DI1069" t="s">
        <v>344</v>
      </c>
      <c r="DK1069" t="s">
        <v>345</v>
      </c>
      <c r="DS1069" s="6">
        <v>12.63</v>
      </c>
      <c r="DT1069" t="s">
        <v>424</v>
      </c>
      <c r="DU1069" s="1">
        <v>44376</v>
      </c>
      <c r="DV1069" s="1">
        <v>44465</v>
      </c>
    </row>
    <row r="1070" spans="1:126" ht="15" customHeight="1" x14ac:dyDescent="0.35">
      <c r="A1070" t="s">
        <v>16480</v>
      </c>
      <c r="B1070" t="s">
        <v>318</v>
      </c>
      <c r="C1070" s="1">
        <v>44349</v>
      </c>
      <c r="D1070" s="1">
        <v>44376</v>
      </c>
      <c r="H1070" t="s">
        <v>319</v>
      </c>
      <c r="I1070" t="s">
        <v>674</v>
      </c>
      <c r="J1070" t="s">
        <v>3402</v>
      </c>
      <c r="L1070" t="s">
        <v>349</v>
      </c>
      <c r="M1070" t="s">
        <v>3403</v>
      </c>
      <c r="N1070" t="s">
        <v>134</v>
      </c>
      <c r="O1070" t="s">
        <v>3404</v>
      </c>
      <c r="P1070" t="s">
        <v>2545</v>
      </c>
      <c r="Q1070" s="3">
        <v>5155</v>
      </c>
      <c r="R1070" t="s">
        <v>128</v>
      </c>
      <c r="S1070" t="s">
        <v>134</v>
      </c>
      <c r="T1070" s="4">
        <v>18022974000</v>
      </c>
      <c r="V1070" t="s">
        <v>3405</v>
      </c>
      <c r="W1070" t="s">
        <v>3406</v>
      </c>
      <c r="X1070" t="s">
        <v>3407</v>
      </c>
      <c r="Y1070" t="s">
        <v>3403</v>
      </c>
      <c r="Z1070" t="s">
        <v>134</v>
      </c>
      <c r="AA1070" t="s">
        <v>3404</v>
      </c>
      <c r="AB1070" t="s">
        <v>2549</v>
      </c>
      <c r="AC1070" s="3" t="str">
        <f t="shared" si="76"/>
        <v>05155</v>
      </c>
      <c r="AD1070" t="s">
        <v>128</v>
      </c>
      <c r="AE1070" t="s">
        <v>134</v>
      </c>
      <c r="AF1070" s="4">
        <v>18022974000</v>
      </c>
      <c r="AH1070" t="str">
        <f>"721110"</f>
        <v>721110</v>
      </c>
      <c r="AI1070" t="s">
        <v>130</v>
      </c>
      <c r="AJ1070" t="s">
        <v>1386</v>
      </c>
      <c r="AK1070" t="s">
        <v>1387</v>
      </c>
      <c r="AL1070" t="s">
        <v>1036</v>
      </c>
      <c r="AM1070" t="s">
        <v>1388</v>
      </c>
      <c r="AN1070" t="s">
        <v>997</v>
      </c>
      <c r="AO1070" t="s">
        <v>719</v>
      </c>
      <c r="AP1070" t="s">
        <v>377</v>
      </c>
      <c r="AQ1070" s="5">
        <v>1701</v>
      </c>
      <c r="AR1070" t="s">
        <v>128</v>
      </c>
      <c r="AS1070" t="s">
        <v>134</v>
      </c>
      <c r="AT1070" s="4">
        <v>16179399444</v>
      </c>
      <c r="AV1070" t="s">
        <v>1389</v>
      </c>
      <c r="AW1070" t="s">
        <v>1390</v>
      </c>
      <c r="AX1070" t="s">
        <v>131</v>
      </c>
      <c r="AY1070" t="s">
        <v>131</v>
      </c>
      <c r="AZ1070" t="s">
        <v>131</v>
      </c>
      <c r="BA1070" t="s">
        <v>131</v>
      </c>
      <c r="BB1070" t="s">
        <v>131</v>
      </c>
      <c r="BC1070" t="s">
        <v>131</v>
      </c>
      <c r="BD1070" t="s">
        <v>131</v>
      </c>
      <c r="BE1070" t="s">
        <v>132</v>
      </c>
      <c r="BH1070" t="s">
        <v>1080</v>
      </c>
      <c r="BI1070" t="s">
        <v>131</v>
      </c>
      <c r="BL1070" t="s">
        <v>167</v>
      </c>
      <c r="BO1070" t="s">
        <v>131</v>
      </c>
      <c r="BP1070" t="s">
        <v>134</v>
      </c>
      <c r="BQ1070" t="s">
        <v>131</v>
      </c>
      <c r="BS1070" t="str">
        <f t="shared" si="75"/>
        <v>N/A</v>
      </c>
      <c r="BT1070" t="s">
        <v>135</v>
      </c>
      <c r="BU1070">
        <v>6</v>
      </c>
      <c r="BV1070" t="str">
        <f>"Cook"</f>
        <v>Cook</v>
      </c>
      <c r="BW1070" t="s">
        <v>135</v>
      </c>
      <c r="BX1070" t="str">
        <f>""</f>
        <v/>
      </c>
      <c r="BY1070" t="str">
        <f>""</f>
        <v/>
      </c>
      <c r="BZ1070" t="str">
        <f>""</f>
        <v/>
      </c>
      <c r="CA1070" t="str">
        <f>"The Petitioner will consider for employment any person who possesses at least six (6) months of culinary experience in a fine-dining or high-volume environment at a high-end restaurant, resort, or private club."</f>
        <v>The Petitioner will consider for employment any person who possesses at least six (6) months of culinary experience in a fine-dining or high-volume environment at a high-end restaurant, resort, or private club.</v>
      </c>
      <c r="CB1070" t="s">
        <v>131</v>
      </c>
      <c r="CF1070" t="s">
        <v>131</v>
      </c>
      <c r="CH1070" t="str">
        <f>""</f>
        <v/>
      </c>
      <c r="CI1070" t="s">
        <v>131</v>
      </c>
      <c r="CK1070" t="s">
        <v>131</v>
      </c>
      <c r="CL1070" t="str">
        <f>""</f>
        <v/>
      </c>
      <c r="CM1070" t="str">
        <f>""</f>
        <v/>
      </c>
      <c r="CN1070" t="str">
        <f>""</f>
        <v/>
      </c>
      <c r="CO1070" t="str">
        <f>""</f>
        <v/>
      </c>
      <c r="CP1070" t="str">
        <f>"35-2014.00"</f>
        <v>35-2014.00</v>
      </c>
      <c r="CQ1070" t="s">
        <v>581</v>
      </c>
      <c r="CR1070" t="s">
        <v>1941</v>
      </c>
      <c r="CS1070" t="s">
        <v>131</v>
      </c>
      <c r="CU1070" t="s">
        <v>3403</v>
      </c>
      <c r="CV1070" t="s">
        <v>134</v>
      </c>
      <c r="CW1070" t="s">
        <v>3404</v>
      </c>
      <c r="CX1070" t="s">
        <v>2549</v>
      </c>
      <c r="CZ1070" s="3" t="str">
        <f t="shared" si="77"/>
        <v>05155</v>
      </c>
      <c r="DA1070" t="s">
        <v>131</v>
      </c>
      <c r="DB1070" t="str">
        <f>"35-2014"</f>
        <v>35-2014</v>
      </c>
      <c r="DC1070" t="s">
        <v>581</v>
      </c>
      <c r="DD1070" t="s">
        <v>134</v>
      </c>
      <c r="DE1070" t="s">
        <v>134</v>
      </c>
      <c r="DF1070" t="str">
        <f>""</f>
        <v/>
      </c>
      <c r="DH1070" s="6">
        <v>15.5</v>
      </c>
      <c r="DI1070" t="s">
        <v>344</v>
      </c>
      <c r="DK1070" t="s">
        <v>345</v>
      </c>
      <c r="DS1070" s="6">
        <v>15.5</v>
      </c>
      <c r="DT1070" t="s">
        <v>424</v>
      </c>
      <c r="DU1070" s="1">
        <v>44376</v>
      </c>
      <c r="DV1070" s="1">
        <v>44465</v>
      </c>
    </row>
    <row r="1071" spans="1:126" ht="15" customHeight="1" x14ac:dyDescent="0.35">
      <c r="A1071" t="s">
        <v>3401</v>
      </c>
      <c r="B1071" t="s">
        <v>318</v>
      </c>
      <c r="C1071" s="1">
        <v>44349</v>
      </c>
      <c r="D1071" s="1">
        <v>44376</v>
      </c>
      <c r="H1071" t="s">
        <v>319</v>
      </c>
      <c r="I1071" t="s">
        <v>674</v>
      </c>
      <c r="J1071" t="s">
        <v>3402</v>
      </c>
      <c r="L1071" t="s">
        <v>349</v>
      </c>
      <c r="M1071" t="s">
        <v>3403</v>
      </c>
      <c r="N1071" t="s">
        <v>134</v>
      </c>
      <c r="O1071" t="s">
        <v>3404</v>
      </c>
      <c r="P1071" t="s">
        <v>2545</v>
      </c>
      <c r="Q1071" s="3">
        <v>5155</v>
      </c>
      <c r="R1071" t="s">
        <v>128</v>
      </c>
      <c r="S1071" t="s">
        <v>134</v>
      </c>
      <c r="T1071" s="4">
        <v>18022974000</v>
      </c>
      <c r="V1071" t="s">
        <v>3405</v>
      </c>
      <c r="W1071" t="s">
        <v>3406</v>
      </c>
      <c r="X1071" t="s">
        <v>3407</v>
      </c>
      <c r="Y1071" t="s">
        <v>3403</v>
      </c>
      <c r="Z1071" t="s">
        <v>134</v>
      </c>
      <c r="AA1071" t="s">
        <v>3404</v>
      </c>
      <c r="AB1071" t="s">
        <v>2549</v>
      </c>
      <c r="AC1071" s="3" t="str">
        <f t="shared" si="76"/>
        <v>05155</v>
      </c>
      <c r="AD1071" t="s">
        <v>128</v>
      </c>
      <c r="AE1071" t="s">
        <v>134</v>
      </c>
      <c r="AF1071" s="4">
        <v>18022974000</v>
      </c>
      <c r="AH1071" t="str">
        <f>"721110"</f>
        <v>721110</v>
      </c>
      <c r="AI1071" t="s">
        <v>130</v>
      </c>
      <c r="AJ1071" t="s">
        <v>1386</v>
      </c>
      <c r="AK1071" t="s">
        <v>1387</v>
      </c>
      <c r="AL1071" t="s">
        <v>1036</v>
      </c>
      <c r="AM1071" t="s">
        <v>1388</v>
      </c>
      <c r="AN1071" t="s">
        <v>997</v>
      </c>
      <c r="AO1071" t="s">
        <v>719</v>
      </c>
      <c r="AP1071" t="s">
        <v>377</v>
      </c>
      <c r="AQ1071" s="5">
        <v>1701</v>
      </c>
      <c r="AR1071" t="s">
        <v>128</v>
      </c>
      <c r="AS1071" t="s">
        <v>134</v>
      </c>
      <c r="AT1071" s="4">
        <v>16179399444</v>
      </c>
      <c r="AV1071" t="s">
        <v>1389</v>
      </c>
      <c r="AW1071" t="s">
        <v>1390</v>
      </c>
      <c r="AX1071" t="s">
        <v>131</v>
      </c>
      <c r="AY1071" t="s">
        <v>131</v>
      </c>
      <c r="AZ1071" t="s">
        <v>131</v>
      </c>
      <c r="BA1071" t="s">
        <v>131</v>
      </c>
      <c r="BB1071" t="s">
        <v>131</v>
      </c>
      <c r="BC1071" t="s">
        <v>131</v>
      </c>
      <c r="BD1071" t="s">
        <v>131</v>
      </c>
      <c r="BE1071" t="s">
        <v>132</v>
      </c>
      <c r="BH1071" t="s">
        <v>793</v>
      </c>
      <c r="BI1071" t="s">
        <v>131</v>
      </c>
      <c r="BL1071" t="s">
        <v>167</v>
      </c>
      <c r="BO1071" t="s">
        <v>131</v>
      </c>
      <c r="BP1071" t="s">
        <v>134</v>
      </c>
      <c r="BQ1071" t="s">
        <v>131</v>
      </c>
      <c r="BS1071" t="str">
        <f t="shared" si="75"/>
        <v>N/A</v>
      </c>
      <c r="BT1071" t="s">
        <v>135</v>
      </c>
      <c r="BU1071">
        <v>3</v>
      </c>
      <c r="BV1071" t="str">
        <f>"Janitor"</f>
        <v>Janitor</v>
      </c>
      <c r="BW1071" t="s">
        <v>135</v>
      </c>
      <c r="BX1071" t="str">
        <f>""</f>
        <v/>
      </c>
      <c r="BY1071" t="str">
        <f>""</f>
        <v/>
      </c>
      <c r="BZ1071" t="str">
        <f>""</f>
        <v/>
      </c>
      <c r="CA1071" t="str">
        <f>"The Petitioner will consider for employment any person who possesses at least three (3) months of experience at a high-end hotel, resort, or private club. "</f>
        <v xml:space="preserve">The Petitioner will consider for employment any person who possesses at least three (3) months of experience at a high-end hotel, resort, or private club. </v>
      </c>
      <c r="CB1071" t="s">
        <v>131</v>
      </c>
      <c r="CF1071" t="s">
        <v>131</v>
      </c>
      <c r="CH1071" t="str">
        <f>""</f>
        <v/>
      </c>
      <c r="CI1071" t="s">
        <v>131</v>
      </c>
      <c r="CK1071" t="s">
        <v>131</v>
      </c>
      <c r="CL1071" t="str">
        <f>""</f>
        <v/>
      </c>
      <c r="CM1071" t="str">
        <f>""</f>
        <v/>
      </c>
      <c r="CN1071" t="str">
        <f>""</f>
        <v/>
      </c>
      <c r="CO1071" t="str">
        <f>""</f>
        <v/>
      </c>
      <c r="CP1071" t="str">
        <f>"37-2011.00"</f>
        <v>37-2011.00</v>
      </c>
      <c r="CQ1071" t="s">
        <v>794</v>
      </c>
      <c r="CR1071" t="s">
        <v>3408</v>
      </c>
      <c r="CS1071" t="s">
        <v>131</v>
      </c>
      <c r="CU1071" t="s">
        <v>3403</v>
      </c>
      <c r="CV1071" t="s">
        <v>134</v>
      </c>
      <c r="CW1071" t="s">
        <v>3404</v>
      </c>
      <c r="CX1071" t="s">
        <v>2549</v>
      </c>
      <c r="CZ1071" s="3" t="str">
        <f t="shared" si="77"/>
        <v>05155</v>
      </c>
      <c r="DA1071" t="s">
        <v>131</v>
      </c>
      <c r="DB1071" t="str">
        <f>"37-2011"</f>
        <v>37-2011</v>
      </c>
      <c r="DC1071" t="s">
        <v>794</v>
      </c>
      <c r="DD1071" t="s">
        <v>134</v>
      </c>
      <c r="DE1071" t="s">
        <v>134</v>
      </c>
      <c r="DF1071" t="str">
        <f>""</f>
        <v/>
      </c>
      <c r="DH1071" s="6">
        <v>16.559999999999999</v>
      </c>
      <c r="DI1071" t="s">
        <v>344</v>
      </c>
      <c r="DK1071" t="s">
        <v>345</v>
      </c>
      <c r="DS1071" s="6">
        <v>16.559999999999999</v>
      </c>
      <c r="DT1071" t="s">
        <v>424</v>
      </c>
      <c r="DU1071" s="1">
        <v>44376</v>
      </c>
      <c r="DV1071" s="1">
        <v>44465</v>
      </c>
    </row>
    <row r="1072" spans="1:126" ht="15" customHeight="1" x14ac:dyDescent="0.35">
      <c r="A1072" t="s">
        <v>16759</v>
      </c>
      <c r="B1072" t="s">
        <v>318</v>
      </c>
      <c r="C1072" s="1">
        <v>44349</v>
      </c>
      <c r="D1072" s="1">
        <v>44376</v>
      </c>
      <c r="H1072" t="s">
        <v>319</v>
      </c>
      <c r="I1072" t="s">
        <v>674</v>
      </c>
      <c r="J1072" t="s">
        <v>3402</v>
      </c>
      <c r="L1072" t="s">
        <v>349</v>
      </c>
      <c r="M1072" t="s">
        <v>3403</v>
      </c>
      <c r="N1072" t="s">
        <v>134</v>
      </c>
      <c r="O1072" t="s">
        <v>3404</v>
      </c>
      <c r="P1072" t="s">
        <v>2545</v>
      </c>
      <c r="Q1072" s="3">
        <v>5155</v>
      </c>
      <c r="R1072" t="s">
        <v>128</v>
      </c>
      <c r="S1072" t="s">
        <v>134</v>
      </c>
      <c r="T1072" s="4">
        <v>18022974000</v>
      </c>
      <c r="V1072" t="s">
        <v>3405</v>
      </c>
      <c r="W1072" t="s">
        <v>3406</v>
      </c>
      <c r="X1072" t="s">
        <v>3407</v>
      </c>
      <c r="Y1072" t="s">
        <v>3403</v>
      </c>
      <c r="Z1072" t="s">
        <v>134</v>
      </c>
      <c r="AA1072" t="s">
        <v>3404</v>
      </c>
      <c r="AB1072" t="s">
        <v>2549</v>
      </c>
      <c r="AC1072" s="3" t="str">
        <f t="shared" si="76"/>
        <v>05155</v>
      </c>
      <c r="AD1072" t="s">
        <v>128</v>
      </c>
      <c r="AE1072" t="s">
        <v>134</v>
      </c>
      <c r="AF1072" s="4">
        <v>18022974000</v>
      </c>
      <c r="AH1072" t="str">
        <f>"721110"</f>
        <v>721110</v>
      </c>
      <c r="AI1072" t="s">
        <v>130</v>
      </c>
      <c r="AJ1072" t="s">
        <v>1386</v>
      </c>
      <c r="AK1072" t="s">
        <v>1387</v>
      </c>
      <c r="AL1072" t="s">
        <v>1036</v>
      </c>
      <c r="AM1072" t="s">
        <v>1388</v>
      </c>
      <c r="AN1072" t="s">
        <v>997</v>
      </c>
      <c r="AO1072" t="s">
        <v>719</v>
      </c>
      <c r="AP1072" t="s">
        <v>377</v>
      </c>
      <c r="AQ1072" s="5">
        <v>1701</v>
      </c>
      <c r="AR1072" t="s">
        <v>128</v>
      </c>
      <c r="AS1072" t="s">
        <v>134</v>
      </c>
      <c r="AT1072" s="4">
        <v>16179399444</v>
      </c>
      <c r="AV1072" t="s">
        <v>1389</v>
      </c>
      <c r="AW1072" t="s">
        <v>1390</v>
      </c>
      <c r="AX1072" t="s">
        <v>131</v>
      </c>
      <c r="AY1072" t="s">
        <v>131</v>
      </c>
      <c r="AZ1072" t="s">
        <v>131</v>
      </c>
      <c r="BA1072" t="s">
        <v>131</v>
      </c>
      <c r="BB1072" t="s">
        <v>131</v>
      </c>
      <c r="BC1072" t="s">
        <v>131</v>
      </c>
      <c r="BD1072" t="s">
        <v>131</v>
      </c>
      <c r="BE1072" t="s">
        <v>132</v>
      </c>
      <c r="BH1072" t="s">
        <v>16760</v>
      </c>
      <c r="BI1072" t="s">
        <v>131</v>
      </c>
      <c r="BL1072" t="s">
        <v>167</v>
      </c>
      <c r="BO1072" t="s">
        <v>131</v>
      </c>
      <c r="BP1072" t="s">
        <v>134</v>
      </c>
      <c r="BQ1072" t="s">
        <v>131</v>
      </c>
      <c r="BS1072" t="str">
        <f t="shared" si="75"/>
        <v>N/A</v>
      </c>
      <c r="BT1072" t="s">
        <v>135</v>
      </c>
      <c r="BU1072">
        <v>3</v>
      </c>
      <c r="BV1072" t="str">
        <f>"Kitchen Attendant"</f>
        <v>Kitchen Attendant</v>
      </c>
      <c r="BW1072" t="s">
        <v>135</v>
      </c>
      <c r="BX1072" t="str">
        <f>""</f>
        <v/>
      </c>
      <c r="BY1072" t="str">
        <f>""</f>
        <v/>
      </c>
      <c r="BZ1072" t="str">
        <f>""</f>
        <v/>
      </c>
      <c r="CA1072" t="str">
        <f>"The Petitioner will consider for employment any person who possesses at least three (3) months of experience at a high-end restaurant, resort, or private club.   "</f>
        <v xml:space="preserve">The Petitioner will consider for employment any person who possesses at least three (3) months of experience at a high-end restaurant, resort, or private club.   </v>
      </c>
      <c r="CB1072" t="s">
        <v>131</v>
      </c>
      <c r="CF1072" t="s">
        <v>131</v>
      </c>
      <c r="CH1072" t="str">
        <f>""</f>
        <v/>
      </c>
      <c r="CI1072" t="s">
        <v>131</v>
      </c>
      <c r="CK1072" t="s">
        <v>131</v>
      </c>
      <c r="CL1072" t="str">
        <f>""</f>
        <v/>
      </c>
      <c r="CM1072" t="str">
        <f>""</f>
        <v/>
      </c>
      <c r="CN1072" t="str">
        <f>""</f>
        <v/>
      </c>
      <c r="CO1072" t="str">
        <f>""</f>
        <v/>
      </c>
      <c r="CP1072" t="str">
        <f>"35-9021.00"</f>
        <v>35-9021.00</v>
      </c>
      <c r="CQ1072" t="s">
        <v>2552</v>
      </c>
      <c r="CR1072" t="s">
        <v>7918</v>
      </c>
      <c r="CS1072" t="s">
        <v>135</v>
      </c>
      <c r="CT1072" t="s">
        <v>16761</v>
      </c>
      <c r="CU1072" t="s">
        <v>3403</v>
      </c>
      <c r="CV1072" t="s">
        <v>134</v>
      </c>
      <c r="CW1072" t="s">
        <v>3404</v>
      </c>
      <c r="CX1072" t="s">
        <v>2549</v>
      </c>
      <c r="CZ1072" s="3" t="str">
        <f t="shared" si="77"/>
        <v>05155</v>
      </c>
      <c r="DA1072" t="s">
        <v>131</v>
      </c>
      <c r="DB1072" t="str">
        <f>"35-9021"</f>
        <v>35-9021</v>
      </c>
      <c r="DC1072" t="s">
        <v>2552</v>
      </c>
      <c r="DD1072" t="s">
        <v>134</v>
      </c>
      <c r="DE1072" t="s">
        <v>134</v>
      </c>
      <c r="DF1072" t="str">
        <f>""</f>
        <v/>
      </c>
      <c r="DH1072" s="6">
        <v>14.13</v>
      </c>
      <c r="DI1072" t="s">
        <v>344</v>
      </c>
      <c r="DK1072" t="s">
        <v>345</v>
      </c>
      <c r="DS1072" s="6">
        <v>14.13</v>
      </c>
      <c r="DT1072" t="s">
        <v>424</v>
      </c>
      <c r="DU1072" s="1">
        <v>44376</v>
      </c>
      <c r="DV1072" s="1">
        <v>44465</v>
      </c>
    </row>
    <row r="1073" spans="1:126" ht="15" customHeight="1" x14ac:dyDescent="0.35">
      <c r="A1073" t="s">
        <v>17190</v>
      </c>
      <c r="B1073" t="s">
        <v>318</v>
      </c>
      <c r="C1073" s="1">
        <v>44349</v>
      </c>
      <c r="D1073" s="1">
        <v>44376</v>
      </c>
      <c r="H1073" t="s">
        <v>319</v>
      </c>
      <c r="I1073" t="s">
        <v>674</v>
      </c>
      <c r="J1073" t="s">
        <v>3402</v>
      </c>
      <c r="L1073" t="s">
        <v>349</v>
      </c>
      <c r="M1073" t="s">
        <v>3403</v>
      </c>
      <c r="N1073" t="s">
        <v>134</v>
      </c>
      <c r="O1073" t="s">
        <v>3404</v>
      </c>
      <c r="P1073" t="s">
        <v>2545</v>
      </c>
      <c r="Q1073" s="3">
        <v>5155</v>
      </c>
      <c r="R1073" t="s">
        <v>128</v>
      </c>
      <c r="S1073" t="s">
        <v>134</v>
      </c>
      <c r="T1073" s="4">
        <v>18022974000</v>
      </c>
      <c r="V1073" t="s">
        <v>3405</v>
      </c>
      <c r="W1073" t="s">
        <v>3406</v>
      </c>
      <c r="X1073" t="s">
        <v>3407</v>
      </c>
      <c r="Y1073" t="s">
        <v>3403</v>
      </c>
      <c r="Z1073" t="s">
        <v>134</v>
      </c>
      <c r="AA1073" t="s">
        <v>3404</v>
      </c>
      <c r="AB1073" t="s">
        <v>2549</v>
      </c>
      <c r="AC1073" s="3" t="str">
        <f t="shared" si="76"/>
        <v>05155</v>
      </c>
      <c r="AD1073" t="s">
        <v>128</v>
      </c>
      <c r="AE1073" t="s">
        <v>134</v>
      </c>
      <c r="AF1073" s="4">
        <v>18022974000</v>
      </c>
      <c r="AH1073" t="str">
        <f>"721110"</f>
        <v>721110</v>
      </c>
      <c r="AI1073" t="s">
        <v>130</v>
      </c>
      <c r="AJ1073" t="s">
        <v>1386</v>
      </c>
      <c r="AK1073" t="s">
        <v>1387</v>
      </c>
      <c r="AL1073" t="s">
        <v>1036</v>
      </c>
      <c r="AM1073" t="s">
        <v>1388</v>
      </c>
      <c r="AN1073" t="s">
        <v>997</v>
      </c>
      <c r="AO1073" t="s">
        <v>719</v>
      </c>
      <c r="AP1073" t="s">
        <v>377</v>
      </c>
      <c r="AQ1073" s="5">
        <v>1701</v>
      </c>
      <c r="AR1073" t="s">
        <v>128</v>
      </c>
      <c r="AS1073" t="s">
        <v>134</v>
      </c>
      <c r="AT1073" s="4">
        <v>16179399444</v>
      </c>
      <c r="AV1073" t="s">
        <v>1389</v>
      </c>
      <c r="AW1073" t="s">
        <v>1390</v>
      </c>
      <c r="AX1073" t="s">
        <v>131</v>
      </c>
      <c r="AY1073" t="s">
        <v>131</v>
      </c>
      <c r="AZ1073" t="s">
        <v>131</v>
      </c>
      <c r="BA1073" t="s">
        <v>131</v>
      </c>
      <c r="BB1073" t="s">
        <v>131</v>
      </c>
      <c r="BC1073" t="s">
        <v>131</v>
      </c>
      <c r="BD1073" t="s">
        <v>131</v>
      </c>
      <c r="BE1073" t="s">
        <v>132</v>
      </c>
      <c r="BH1073" t="s">
        <v>1639</v>
      </c>
      <c r="BI1073" t="s">
        <v>131</v>
      </c>
      <c r="BL1073" t="s">
        <v>167</v>
      </c>
      <c r="BO1073" t="s">
        <v>131</v>
      </c>
      <c r="BP1073" t="s">
        <v>134</v>
      </c>
      <c r="BQ1073" t="s">
        <v>131</v>
      </c>
      <c r="BS1073" t="str">
        <f t="shared" si="75"/>
        <v>N/A</v>
      </c>
      <c r="BT1073" t="s">
        <v>135</v>
      </c>
      <c r="BU1073">
        <v>3</v>
      </c>
      <c r="BV1073" t="str">
        <f>"Housekeeper"</f>
        <v>Housekeeper</v>
      </c>
      <c r="BW1073" t="s">
        <v>135</v>
      </c>
      <c r="BX1073" t="str">
        <f>""</f>
        <v/>
      </c>
      <c r="BY1073" t="str">
        <f>""</f>
        <v/>
      </c>
      <c r="BZ1073" t="str">
        <f>""</f>
        <v/>
      </c>
      <c r="CA1073" t="str">
        <f>"The Petitioner will consider for employment any person who possesses at least three (3) months of housekeeping experience at a high-end hotel, resort, or private club.  "</f>
        <v xml:space="preserve">The Petitioner will consider for employment any person who possesses at least three (3) months of housekeeping experience at a high-end hotel, resort, or private club.  </v>
      </c>
      <c r="CB1073" t="s">
        <v>131</v>
      </c>
      <c r="CF1073" t="s">
        <v>131</v>
      </c>
      <c r="CH1073" t="str">
        <f>""</f>
        <v/>
      </c>
      <c r="CI1073" t="s">
        <v>131</v>
      </c>
      <c r="CK1073" t="s">
        <v>131</v>
      </c>
      <c r="CL1073" t="str">
        <f>""</f>
        <v/>
      </c>
      <c r="CM1073" t="str">
        <f>""</f>
        <v/>
      </c>
      <c r="CN1073" t="str">
        <f>""</f>
        <v/>
      </c>
      <c r="CO1073" t="str">
        <f>""</f>
        <v/>
      </c>
      <c r="CP1073" t="str">
        <f>"37-2012.00"</f>
        <v>37-2012.00</v>
      </c>
      <c r="CQ1073" t="s">
        <v>479</v>
      </c>
      <c r="CR1073" t="s">
        <v>3408</v>
      </c>
      <c r="CS1073" t="s">
        <v>135</v>
      </c>
      <c r="CT1073" t="s">
        <v>16761</v>
      </c>
      <c r="CU1073" t="s">
        <v>3403</v>
      </c>
      <c r="CV1073" t="s">
        <v>134</v>
      </c>
      <c r="CW1073" t="s">
        <v>3404</v>
      </c>
      <c r="CX1073" t="s">
        <v>2549</v>
      </c>
      <c r="CZ1073" s="3" t="str">
        <f t="shared" si="77"/>
        <v>05155</v>
      </c>
      <c r="DA1073" t="s">
        <v>131</v>
      </c>
      <c r="DB1073" t="str">
        <f>"37-2012"</f>
        <v>37-2012</v>
      </c>
      <c r="DC1073" t="s">
        <v>479</v>
      </c>
      <c r="DD1073" t="s">
        <v>134</v>
      </c>
      <c r="DE1073" t="s">
        <v>134</v>
      </c>
      <c r="DF1073" t="str">
        <f>""</f>
        <v/>
      </c>
      <c r="DH1073" s="6">
        <v>13.2</v>
      </c>
      <c r="DI1073" t="s">
        <v>344</v>
      </c>
      <c r="DK1073" t="s">
        <v>345</v>
      </c>
      <c r="DS1073" s="6">
        <v>13.2</v>
      </c>
      <c r="DT1073" t="s">
        <v>424</v>
      </c>
      <c r="DU1073" s="1">
        <v>44376</v>
      </c>
      <c r="DV1073" s="1">
        <v>44465</v>
      </c>
    </row>
    <row r="1074" spans="1:126" ht="15" customHeight="1" x14ac:dyDescent="0.35">
      <c r="A1074" t="s">
        <v>15964</v>
      </c>
      <c r="B1074" t="s">
        <v>318</v>
      </c>
      <c r="C1074" s="1">
        <v>44349</v>
      </c>
      <c r="D1074" s="1">
        <v>44376</v>
      </c>
      <c r="H1074" t="s">
        <v>319</v>
      </c>
      <c r="I1074" t="s">
        <v>674</v>
      </c>
      <c r="J1074" t="s">
        <v>3402</v>
      </c>
      <c r="L1074" t="s">
        <v>349</v>
      </c>
      <c r="M1074" t="s">
        <v>3403</v>
      </c>
      <c r="N1074" t="s">
        <v>134</v>
      </c>
      <c r="O1074" t="s">
        <v>3404</v>
      </c>
      <c r="P1074" t="s">
        <v>2545</v>
      </c>
      <c r="Q1074" s="3">
        <v>5155</v>
      </c>
      <c r="R1074" t="s">
        <v>128</v>
      </c>
      <c r="S1074" t="s">
        <v>134</v>
      </c>
      <c r="T1074" s="4">
        <v>18022974000</v>
      </c>
      <c r="V1074" t="s">
        <v>3405</v>
      </c>
      <c r="W1074" t="s">
        <v>3406</v>
      </c>
      <c r="X1074" t="s">
        <v>3407</v>
      </c>
      <c r="Y1074" t="s">
        <v>3403</v>
      </c>
      <c r="Z1074" t="s">
        <v>134</v>
      </c>
      <c r="AA1074" t="s">
        <v>3404</v>
      </c>
      <c r="AB1074" t="s">
        <v>2549</v>
      </c>
      <c r="AC1074" s="3" t="str">
        <f t="shared" si="76"/>
        <v>05155</v>
      </c>
      <c r="AD1074" t="s">
        <v>128</v>
      </c>
      <c r="AE1074" t="s">
        <v>134</v>
      </c>
      <c r="AF1074" s="4">
        <v>18022974000</v>
      </c>
      <c r="AH1074" t="str">
        <f>"721110"</f>
        <v>721110</v>
      </c>
      <c r="AI1074" t="s">
        <v>130</v>
      </c>
      <c r="AJ1074" t="s">
        <v>1386</v>
      </c>
      <c r="AK1074" t="s">
        <v>1387</v>
      </c>
      <c r="AL1074" t="s">
        <v>1036</v>
      </c>
      <c r="AM1074" t="s">
        <v>1388</v>
      </c>
      <c r="AN1074" t="s">
        <v>997</v>
      </c>
      <c r="AO1074" t="s">
        <v>719</v>
      </c>
      <c r="AP1074" t="s">
        <v>377</v>
      </c>
      <c r="AQ1074" s="5">
        <v>1701</v>
      </c>
      <c r="AR1074" t="s">
        <v>128</v>
      </c>
      <c r="AS1074" t="s">
        <v>134</v>
      </c>
      <c r="AT1074" s="4">
        <v>16179399444</v>
      </c>
      <c r="AV1074" t="s">
        <v>1389</v>
      </c>
      <c r="AW1074" t="s">
        <v>1390</v>
      </c>
      <c r="AX1074" t="s">
        <v>131</v>
      </c>
      <c r="AY1074" t="s">
        <v>131</v>
      </c>
      <c r="AZ1074" t="s">
        <v>131</v>
      </c>
      <c r="BA1074" t="s">
        <v>131</v>
      </c>
      <c r="BB1074" t="s">
        <v>131</v>
      </c>
      <c r="BC1074" t="s">
        <v>131</v>
      </c>
      <c r="BD1074" t="s">
        <v>131</v>
      </c>
      <c r="BE1074" t="s">
        <v>132</v>
      </c>
      <c r="BH1074" t="s">
        <v>6518</v>
      </c>
      <c r="BI1074" t="s">
        <v>131</v>
      </c>
      <c r="BL1074" t="s">
        <v>167</v>
      </c>
      <c r="BO1074" t="s">
        <v>131</v>
      </c>
      <c r="BP1074" t="s">
        <v>134</v>
      </c>
      <c r="BQ1074" t="s">
        <v>131</v>
      </c>
      <c r="BS1074" t="str">
        <f t="shared" si="75"/>
        <v>N/A</v>
      </c>
      <c r="BT1074" t="s">
        <v>135</v>
      </c>
      <c r="BU1074">
        <v>3</v>
      </c>
      <c r="BV1074" t="str">
        <f>"Dining Room Attendant"</f>
        <v>Dining Room Attendant</v>
      </c>
      <c r="BW1074" t="s">
        <v>135</v>
      </c>
      <c r="BX1074" t="str">
        <f>""</f>
        <v/>
      </c>
      <c r="BY1074" t="str">
        <f>""</f>
        <v/>
      </c>
      <c r="BZ1074" t="str">
        <f>""</f>
        <v/>
      </c>
      <c r="CA1074" t="str">
        <f>"The Petitioner will consider for employment any person who possesses at least three (3) months of service experience in a fine-dining or high-volume environment at a high-end restaurant, resort, or private club."</f>
        <v>The Petitioner will consider for employment any person who possesses at least three (3) months of service experience in a fine-dining or high-volume environment at a high-end restaurant, resort, or private club.</v>
      </c>
      <c r="CB1074" t="s">
        <v>131</v>
      </c>
      <c r="CF1074" t="s">
        <v>131</v>
      </c>
      <c r="CH1074" t="str">
        <f>""</f>
        <v/>
      </c>
      <c r="CI1074" t="s">
        <v>131</v>
      </c>
      <c r="CK1074" t="s">
        <v>131</v>
      </c>
      <c r="CL1074" t="str">
        <f>""</f>
        <v/>
      </c>
      <c r="CM1074" t="str">
        <f>""</f>
        <v/>
      </c>
      <c r="CN1074" t="str">
        <f>""</f>
        <v/>
      </c>
      <c r="CO1074" t="str">
        <f>""</f>
        <v/>
      </c>
      <c r="CP1074" t="str">
        <f>"35-9011.00"</f>
        <v>35-9011.00</v>
      </c>
      <c r="CQ1074" t="s">
        <v>1016</v>
      </c>
      <c r="CR1074" t="s">
        <v>2553</v>
      </c>
      <c r="CS1074" t="s">
        <v>131</v>
      </c>
      <c r="CU1074" t="s">
        <v>3403</v>
      </c>
      <c r="CV1074" t="s">
        <v>134</v>
      </c>
      <c r="CW1074" t="s">
        <v>3404</v>
      </c>
      <c r="CX1074" t="s">
        <v>2549</v>
      </c>
      <c r="CZ1074" s="3" t="str">
        <f t="shared" si="77"/>
        <v>05155</v>
      </c>
      <c r="DA1074" t="s">
        <v>131</v>
      </c>
      <c r="DB1074" t="str">
        <f>"35-9011"</f>
        <v>35-9011</v>
      </c>
      <c r="DC1074" t="s">
        <v>1016</v>
      </c>
      <c r="DD1074" t="s">
        <v>134</v>
      </c>
      <c r="DE1074" t="s">
        <v>134</v>
      </c>
      <c r="DF1074" t="str">
        <f>""</f>
        <v/>
      </c>
      <c r="DH1074" s="6">
        <v>13.57</v>
      </c>
      <c r="DI1074" t="s">
        <v>344</v>
      </c>
      <c r="DK1074" t="s">
        <v>345</v>
      </c>
      <c r="DS1074" s="6">
        <v>13.57</v>
      </c>
      <c r="DT1074" t="s">
        <v>424</v>
      </c>
      <c r="DU1074" s="1">
        <v>44376</v>
      </c>
      <c r="DV1074" s="1">
        <v>44465</v>
      </c>
    </row>
    <row r="1075" spans="1:126" ht="15" customHeight="1" x14ac:dyDescent="0.35">
      <c r="A1075" t="s">
        <v>19233</v>
      </c>
      <c r="B1075" t="s">
        <v>318</v>
      </c>
      <c r="C1075" s="1">
        <v>44349</v>
      </c>
      <c r="D1075" s="1">
        <v>44376</v>
      </c>
      <c r="H1075" t="s">
        <v>319</v>
      </c>
      <c r="I1075" t="s">
        <v>4676</v>
      </c>
      <c r="J1075" t="s">
        <v>19234</v>
      </c>
      <c r="L1075" t="s">
        <v>1105</v>
      </c>
      <c r="M1075" t="s">
        <v>19235</v>
      </c>
      <c r="O1075" t="s">
        <v>19236</v>
      </c>
      <c r="P1075" t="s">
        <v>593</v>
      </c>
      <c r="Q1075" s="3">
        <v>28345</v>
      </c>
      <c r="R1075" t="s">
        <v>128</v>
      </c>
      <c r="T1075" s="4">
        <v>19109951794</v>
      </c>
      <c r="V1075" t="s">
        <v>19237</v>
      </c>
      <c r="W1075" t="s">
        <v>19238</v>
      </c>
      <c r="Y1075" t="s">
        <v>19235</v>
      </c>
      <c r="AA1075" t="s">
        <v>19236</v>
      </c>
      <c r="AB1075" t="s">
        <v>594</v>
      </c>
      <c r="AC1075" s="3" t="str">
        <f>"28345"</f>
        <v>28345</v>
      </c>
      <c r="AD1075" t="s">
        <v>128</v>
      </c>
      <c r="AF1075" s="4">
        <v>19109951794</v>
      </c>
      <c r="AH1075" t="str">
        <f>"1132"</f>
        <v>1132</v>
      </c>
      <c r="AI1075" t="s">
        <v>167</v>
      </c>
      <c r="AX1075" t="s">
        <v>131</v>
      </c>
      <c r="AY1075" t="s">
        <v>131</v>
      </c>
      <c r="AZ1075" t="s">
        <v>131</v>
      </c>
      <c r="BA1075" t="s">
        <v>131</v>
      </c>
      <c r="BB1075" t="s">
        <v>131</v>
      </c>
      <c r="BC1075" t="s">
        <v>131</v>
      </c>
      <c r="BD1075" t="s">
        <v>131</v>
      </c>
      <c r="BE1075" t="s">
        <v>132</v>
      </c>
      <c r="BH1075" t="s">
        <v>6431</v>
      </c>
      <c r="BI1075" t="s">
        <v>131</v>
      </c>
      <c r="BL1075" t="s">
        <v>167</v>
      </c>
      <c r="BO1075" t="s">
        <v>131</v>
      </c>
      <c r="BP1075" t="s">
        <v>134</v>
      </c>
      <c r="BQ1075" t="s">
        <v>131</v>
      </c>
      <c r="BS1075" t="str">
        <f t="shared" si="75"/>
        <v>N/A</v>
      </c>
      <c r="BT1075" t="s">
        <v>135</v>
      </c>
      <c r="BU1075">
        <v>3</v>
      </c>
      <c r="BV1075" t="str">
        <f>"chainsaw/brush saw"</f>
        <v>chainsaw/brush saw</v>
      </c>
      <c r="BW1075" t="s">
        <v>131</v>
      </c>
      <c r="BX1075" t="str">
        <f>""</f>
        <v/>
      </c>
      <c r="BY1075" t="str">
        <f>""</f>
        <v/>
      </c>
      <c r="BZ1075" t="str">
        <f>""</f>
        <v/>
      </c>
      <c r="CA1075" t="str">
        <f>""</f>
        <v/>
      </c>
      <c r="CB1075" t="s">
        <v>131</v>
      </c>
      <c r="CF1075" t="s">
        <v>131</v>
      </c>
      <c r="CH1075" t="str">
        <f>""</f>
        <v/>
      </c>
      <c r="CI1075" t="s">
        <v>131</v>
      </c>
      <c r="CK1075" t="s">
        <v>131</v>
      </c>
      <c r="CL1075" t="str">
        <f>""</f>
        <v/>
      </c>
      <c r="CM1075" t="str">
        <f>""</f>
        <v/>
      </c>
      <c r="CN1075" t="str">
        <f>""</f>
        <v/>
      </c>
      <c r="CO1075" t="str">
        <f>""</f>
        <v/>
      </c>
      <c r="CP1075" t="str">
        <f>"45-4011.00"</f>
        <v>45-4011.00</v>
      </c>
      <c r="CQ1075" t="s">
        <v>4310</v>
      </c>
      <c r="CS1075" t="s">
        <v>135</v>
      </c>
      <c r="CT1075" t="s">
        <v>19239</v>
      </c>
      <c r="CU1075" t="s">
        <v>19235</v>
      </c>
      <c r="CW1075" t="s">
        <v>19236</v>
      </c>
      <c r="CX1075" t="s">
        <v>594</v>
      </c>
      <c r="CZ1075" s="3" t="str">
        <f>"28345"</f>
        <v>28345</v>
      </c>
      <c r="DA1075" t="s">
        <v>135</v>
      </c>
      <c r="DB1075" t="str">
        <f>"45-4011"</f>
        <v>45-4011</v>
      </c>
      <c r="DC1075" t="s">
        <v>4310</v>
      </c>
      <c r="DD1075" t="s">
        <v>134</v>
      </c>
      <c r="DE1075" t="s">
        <v>134</v>
      </c>
      <c r="DF1075" t="str">
        <f>""</f>
        <v/>
      </c>
      <c r="DH1075" s="6">
        <v>15.76</v>
      </c>
      <c r="DI1075" t="s">
        <v>344</v>
      </c>
      <c r="DK1075" t="s">
        <v>345</v>
      </c>
      <c r="DR1075" t="s">
        <v>19240</v>
      </c>
      <c r="DS1075" s="6">
        <v>15.76</v>
      </c>
      <c r="DT1075" s="2" t="s">
        <v>2219</v>
      </c>
      <c r="DU1075" s="1">
        <v>44376</v>
      </c>
      <c r="DV1075" s="1">
        <v>44465</v>
      </c>
    </row>
    <row r="1076" spans="1:126" ht="15" customHeight="1" x14ac:dyDescent="0.35">
      <c r="A1076" t="s">
        <v>16973</v>
      </c>
      <c r="B1076" t="s">
        <v>318</v>
      </c>
      <c r="C1076" s="1">
        <v>44349</v>
      </c>
      <c r="D1076" s="1">
        <v>44376</v>
      </c>
      <c r="H1076" t="s">
        <v>319</v>
      </c>
      <c r="I1076" t="s">
        <v>16974</v>
      </c>
      <c r="J1076" t="s">
        <v>15680</v>
      </c>
      <c r="L1076" t="s">
        <v>1031</v>
      </c>
      <c r="M1076" t="s">
        <v>16975</v>
      </c>
      <c r="O1076" t="s">
        <v>16976</v>
      </c>
      <c r="P1076" t="s">
        <v>127</v>
      </c>
      <c r="Q1076" s="3">
        <v>12594</v>
      </c>
      <c r="R1076" t="s">
        <v>128</v>
      </c>
      <c r="T1076" s="4">
        <v>18453727856</v>
      </c>
      <c r="V1076" t="s">
        <v>16977</v>
      </c>
      <c r="W1076" t="s">
        <v>16978</v>
      </c>
      <c r="Y1076" t="s">
        <v>16979</v>
      </c>
      <c r="AA1076" t="s">
        <v>16980</v>
      </c>
      <c r="AB1076" t="s">
        <v>129</v>
      </c>
      <c r="AC1076" s="3" t="str">
        <f>"10523"</f>
        <v>10523</v>
      </c>
      <c r="AD1076" t="s">
        <v>128</v>
      </c>
      <c r="AF1076" s="4">
        <v>18453727856</v>
      </c>
      <c r="AH1076" t="str">
        <f>"488490"</f>
        <v>488490</v>
      </c>
      <c r="AI1076" t="s">
        <v>130</v>
      </c>
      <c r="AJ1076" t="s">
        <v>10867</v>
      </c>
      <c r="AK1076" t="s">
        <v>9156</v>
      </c>
      <c r="AM1076" t="s">
        <v>1045</v>
      </c>
      <c r="AO1076" t="s">
        <v>1046</v>
      </c>
      <c r="AP1076" t="s">
        <v>389</v>
      </c>
      <c r="AQ1076" s="5">
        <v>54301</v>
      </c>
      <c r="AR1076" t="s">
        <v>128</v>
      </c>
      <c r="AT1076" s="4">
        <v>19703180464</v>
      </c>
      <c r="AV1076" t="s">
        <v>6683</v>
      </c>
      <c r="AW1076" t="s">
        <v>1047</v>
      </c>
      <c r="AX1076" t="s">
        <v>131</v>
      </c>
      <c r="AY1076" t="s">
        <v>131</v>
      </c>
      <c r="AZ1076" t="s">
        <v>131</v>
      </c>
      <c r="BA1076" t="s">
        <v>131</v>
      </c>
      <c r="BB1076" t="s">
        <v>131</v>
      </c>
      <c r="BC1076" t="s">
        <v>131</v>
      </c>
      <c r="BD1076" t="s">
        <v>131</v>
      </c>
      <c r="BE1076" t="s">
        <v>132</v>
      </c>
      <c r="BH1076" t="s">
        <v>16981</v>
      </c>
      <c r="BI1076" t="s">
        <v>131</v>
      </c>
      <c r="BL1076" t="s">
        <v>167</v>
      </c>
      <c r="BO1076" t="s">
        <v>131</v>
      </c>
      <c r="BP1076" t="s">
        <v>134</v>
      </c>
      <c r="BQ1076" t="s">
        <v>131</v>
      </c>
      <c r="BS1076" t="str">
        <f t="shared" si="75"/>
        <v>N/A</v>
      </c>
      <c r="BT1076" t="s">
        <v>131</v>
      </c>
      <c r="BV1076" t="str">
        <f>""</f>
        <v/>
      </c>
      <c r="BW1076" t="s">
        <v>131</v>
      </c>
      <c r="BX1076" t="str">
        <f>""</f>
        <v/>
      </c>
      <c r="BY1076" t="str">
        <f>""</f>
        <v/>
      </c>
      <c r="BZ1076" t="str">
        <f>""</f>
        <v/>
      </c>
      <c r="CA1076" t="str">
        <f>""</f>
        <v/>
      </c>
      <c r="CB1076" t="s">
        <v>131</v>
      </c>
      <c r="CF1076" t="s">
        <v>131</v>
      </c>
      <c r="CH1076" t="str">
        <f>""</f>
        <v/>
      </c>
      <c r="CI1076" t="s">
        <v>131</v>
      </c>
      <c r="CK1076" t="s">
        <v>131</v>
      </c>
      <c r="CL1076" t="str">
        <f>""</f>
        <v/>
      </c>
      <c r="CM1076" t="str">
        <f>""</f>
        <v/>
      </c>
      <c r="CN1076" t="str">
        <f>""</f>
        <v/>
      </c>
      <c r="CO1076" t="str">
        <f>""</f>
        <v/>
      </c>
      <c r="CP1076" t="str">
        <f>"37-3019.00"</f>
        <v>37-3019.00</v>
      </c>
      <c r="CQ1076" t="s">
        <v>2096</v>
      </c>
      <c r="CR1076" t="s">
        <v>1031</v>
      </c>
      <c r="CS1076" t="s">
        <v>131</v>
      </c>
      <c r="CU1076" t="s">
        <v>16982</v>
      </c>
      <c r="CW1076" t="s">
        <v>16980</v>
      </c>
      <c r="CX1076" t="s">
        <v>129</v>
      </c>
      <c r="CZ1076" s="3" t="str">
        <f>"10523"</f>
        <v>10523</v>
      </c>
      <c r="DA1076" t="s">
        <v>135</v>
      </c>
      <c r="DB1076" t="str">
        <f>"37-3011"</f>
        <v>37-3011</v>
      </c>
      <c r="DC1076" t="s">
        <v>920</v>
      </c>
      <c r="DD1076" t="s">
        <v>134</v>
      </c>
      <c r="DE1076" t="s">
        <v>134</v>
      </c>
      <c r="DF1076" t="str">
        <f>""</f>
        <v/>
      </c>
      <c r="DH1076" s="6">
        <v>17.75</v>
      </c>
      <c r="DI1076" t="s">
        <v>344</v>
      </c>
      <c r="DK1076" t="s">
        <v>345</v>
      </c>
      <c r="DS1076" s="6">
        <v>17.75</v>
      </c>
      <c r="DT1076" s="2" t="s">
        <v>2219</v>
      </c>
      <c r="DU1076" s="1">
        <v>44376</v>
      </c>
      <c r="DV1076" s="1">
        <v>44465</v>
      </c>
    </row>
    <row r="1077" spans="1:126" ht="15" customHeight="1" x14ac:dyDescent="0.35">
      <c r="A1077" t="s">
        <v>13869</v>
      </c>
      <c r="B1077" t="s">
        <v>318</v>
      </c>
      <c r="C1077" s="1">
        <v>44349</v>
      </c>
      <c r="D1077" s="1">
        <v>44376</v>
      </c>
      <c r="H1077" t="s">
        <v>319</v>
      </c>
      <c r="I1077" t="s">
        <v>13870</v>
      </c>
      <c r="J1077" t="s">
        <v>8303</v>
      </c>
      <c r="L1077" t="s">
        <v>1105</v>
      </c>
      <c r="M1077" t="s">
        <v>13871</v>
      </c>
      <c r="N1077" t="s">
        <v>13872</v>
      </c>
      <c r="O1077" t="s">
        <v>259</v>
      </c>
      <c r="P1077" t="s">
        <v>396</v>
      </c>
      <c r="Q1077" s="3">
        <v>71671</v>
      </c>
      <c r="R1077" t="s">
        <v>128</v>
      </c>
      <c r="T1077" s="4">
        <v>18708205111</v>
      </c>
      <c r="V1077" t="s">
        <v>13873</v>
      </c>
      <c r="W1077" t="s">
        <v>13874</v>
      </c>
      <c r="Y1077" t="s">
        <v>13871</v>
      </c>
      <c r="Z1077" t="s">
        <v>13872</v>
      </c>
      <c r="AA1077" t="s">
        <v>259</v>
      </c>
      <c r="AB1077" t="s">
        <v>397</v>
      </c>
      <c r="AC1077" s="3" t="str">
        <f>"71671"</f>
        <v>71671</v>
      </c>
      <c r="AD1077" t="s">
        <v>128</v>
      </c>
      <c r="AF1077" s="4">
        <v>18708205111</v>
      </c>
      <c r="AH1077" t="str">
        <f>"1153"</f>
        <v>1153</v>
      </c>
      <c r="AI1077" t="s">
        <v>287</v>
      </c>
      <c r="AJ1077" t="s">
        <v>4134</v>
      </c>
      <c r="AK1077" t="s">
        <v>3493</v>
      </c>
      <c r="AM1077" t="s">
        <v>4135</v>
      </c>
      <c r="AO1077" t="s">
        <v>4136</v>
      </c>
      <c r="AP1077" t="s">
        <v>643</v>
      </c>
      <c r="AQ1077" s="5">
        <v>31636</v>
      </c>
      <c r="AR1077" t="s">
        <v>128</v>
      </c>
      <c r="AT1077" s="4">
        <v>12295596879</v>
      </c>
      <c r="AV1077" t="s">
        <v>4137</v>
      </c>
      <c r="AW1077" t="s">
        <v>4138</v>
      </c>
      <c r="AX1077" t="s">
        <v>131</v>
      </c>
      <c r="AY1077" t="s">
        <v>131</v>
      </c>
      <c r="AZ1077" t="s">
        <v>131</v>
      </c>
      <c r="BA1077" t="s">
        <v>131</v>
      </c>
      <c r="BB1077" t="s">
        <v>131</v>
      </c>
      <c r="BC1077" t="s">
        <v>131</v>
      </c>
      <c r="BD1077" t="s">
        <v>131</v>
      </c>
      <c r="BE1077" t="s">
        <v>132</v>
      </c>
      <c r="BH1077" t="s">
        <v>4308</v>
      </c>
      <c r="BI1077" t="s">
        <v>131</v>
      </c>
      <c r="BL1077" t="s">
        <v>167</v>
      </c>
      <c r="BO1077" t="s">
        <v>131</v>
      </c>
      <c r="BP1077" t="s">
        <v>134</v>
      </c>
      <c r="BQ1077" t="s">
        <v>131</v>
      </c>
      <c r="BS1077" t="str">
        <f t="shared" si="75"/>
        <v>N/A</v>
      </c>
      <c r="BT1077" t="s">
        <v>131</v>
      </c>
      <c r="BV1077" t="str">
        <f>""</f>
        <v/>
      </c>
      <c r="BW1077" t="s">
        <v>135</v>
      </c>
      <c r="BX1077" t="str">
        <f>""</f>
        <v/>
      </c>
      <c r="BY1077" t="str">
        <f>""</f>
        <v/>
      </c>
      <c r="BZ1077" t="str">
        <f>""</f>
        <v/>
      </c>
      <c r="CA1077" t="s">
        <v>13875</v>
      </c>
      <c r="CB1077" t="s">
        <v>131</v>
      </c>
      <c r="CF1077" t="s">
        <v>131</v>
      </c>
      <c r="CH1077" t="str">
        <f>""</f>
        <v/>
      </c>
      <c r="CI1077" t="s">
        <v>131</v>
      </c>
      <c r="CK1077" t="s">
        <v>131</v>
      </c>
      <c r="CL1077" t="str">
        <f>""</f>
        <v/>
      </c>
      <c r="CM1077" t="str">
        <f>""</f>
        <v/>
      </c>
      <c r="CN1077" t="str">
        <f>""</f>
        <v/>
      </c>
      <c r="CO1077" t="str">
        <f>""</f>
        <v/>
      </c>
      <c r="CP1077" t="str">
        <f t="shared" ref="CP1077:CP1085" si="78">"45-4011.00"</f>
        <v>45-4011.00</v>
      </c>
      <c r="CQ1077" t="s">
        <v>4310</v>
      </c>
      <c r="CS1077" t="s">
        <v>135</v>
      </c>
      <c r="CT1077" t="s">
        <v>2925</v>
      </c>
      <c r="CU1077" t="s">
        <v>13876</v>
      </c>
      <c r="CW1077" t="s">
        <v>259</v>
      </c>
      <c r="CX1077" t="s">
        <v>397</v>
      </c>
      <c r="CZ1077" s="3" t="str">
        <f>"71671"</f>
        <v>71671</v>
      </c>
      <c r="DA1077" t="s">
        <v>135</v>
      </c>
      <c r="DB1077" t="str">
        <f t="shared" ref="DB1077:DB1082" si="79">"45-4011"</f>
        <v>45-4011</v>
      </c>
      <c r="DC1077" t="s">
        <v>4310</v>
      </c>
      <c r="DD1077" t="s">
        <v>134</v>
      </c>
      <c r="DE1077" t="s">
        <v>134</v>
      </c>
      <c r="DF1077" t="str">
        <f>"37-3012.00"</f>
        <v>37-3012.00</v>
      </c>
      <c r="DG1077" t="s">
        <v>7726</v>
      </c>
      <c r="DH1077" s="6">
        <v>15.65</v>
      </c>
      <c r="DI1077" t="s">
        <v>344</v>
      </c>
      <c r="DK1077" t="s">
        <v>345</v>
      </c>
      <c r="DS1077" s="6">
        <v>18.23</v>
      </c>
      <c r="DT1077" s="2" t="s">
        <v>2219</v>
      </c>
      <c r="DU1077" s="1">
        <v>44376</v>
      </c>
      <c r="DV1077" s="1">
        <v>44465</v>
      </c>
    </row>
    <row r="1078" spans="1:126" ht="15" customHeight="1" x14ac:dyDescent="0.35">
      <c r="A1078" t="s">
        <v>4303</v>
      </c>
      <c r="B1078" t="s">
        <v>318</v>
      </c>
      <c r="C1078" s="1">
        <v>44349</v>
      </c>
      <c r="D1078" s="1">
        <v>44376</v>
      </c>
      <c r="H1078" t="s">
        <v>319</v>
      </c>
      <c r="I1078" t="s">
        <v>1594</v>
      </c>
      <c r="J1078" t="s">
        <v>1549</v>
      </c>
      <c r="K1078" t="s">
        <v>2314</v>
      </c>
      <c r="L1078" t="s">
        <v>303</v>
      </c>
      <c r="M1078" t="s">
        <v>4304</v>
      </c>
      <c r="O1078" t="s">
        <v>4305</v>
      </c>
      <c r="P1078" t="s">
        <v>1217</v>
      </c>
      <c r="Q1078" s="3">
        <v>36782</v>
      </c>
      <c r="R1078" t="s">
        <v>128</v>
      </c>
      <c r="T1078" s="4">
        <v>13347364402</v>
      </c>
      <c r="V1078" t="s">
        <v>4306</v>
      </c>
      <c r="W1078" t="s">
        <v>4307</v>
      </c>
      <c r="Y1078" t="s">
        <v>4304</v>
      </c>
      <c r="AA1078" t="s">
        <v>4305</v>
      </c>
      <c r="AB1078" t="s">
        <v>1218</v>
      </c>
      <c r="AC1078" s="3" t="str">
        <f>"36782"</f>
        <v>36782</v>
      </c>
      <c r="AD1078" t="s">
        <v>128</v>
      </c>
      <c r="AF1078" s="4">
        <v>13347364402</v>
      </c>
      <c r="AH1078" t="str">
        <f>"11531"</f>
        <v>11531</v>
      </c>
      <c r="AI1078" t="s">
        <v>287</v>
      </c>
      <c r="AJ1078" t="s">
        <v>4134</v>
      </c>
      <c r="AK1078" t="s">
        <v>3493</v>
      </c>
      <c r="AM1078" t="s">
        <v>4135</v>
      </c>
      <c r="AO1078" t="s">
        <v>4136</v>
      </c>
      <c r="AP1078" t="s">
        <v>643</v>
      </c>
      <c r="AQ1078" s="5">
        <v>31636</v>
      </c>
      <c r="AR1078" t="s">
        <v>128</v>
      </c>
      <c r="AT1078" s="4">
        <v>12295596879</v>
      </c>
      <c r="AV1078" t="s">
        <v>4137</v>
      </c>
      <c r="AW1078" t="s">
        <v>4138</v>
      </c>
      <c r="AX1078" t="s">
        <v>131</v>
      </c>
      <c r="AY1078" t="s">
        <v>131</v>
      </c>
      <c r="AZ1078" t="s">
        <v>131</v>
      </c>
      <c r="BA1078" t="s">
        <v>131</v>
      </c>
      <c r="BB1078" t="s">
        <v>131</v>
      </c>
      <c r="BC1078" t="s">
        <v>131</v>
      </c>
      <c r="BD1078" t="s">
        <v>131</v>
      </c>
      <c r="BE1078" t="s">
        <v>132</v>
      </c>
      <c r="BH1078" t="s">
        <v>4308</v>
      </c>
      <c r="BI1078" t="s">
        <v>131</v>
      </c>
      <c r="BL1078" t="s">
        <v>167</v>
      </c>
      <c r="BO1078" t="s">
        <v>131</v>
      </c>
      <c r="BP1078" t="s">
        <v>134</v>
      </c>
      <c r="BQ1078" t="s">
        <v>131</v>
      </c>
      <c r="BS1078" t="str">
        <f t="shared" si="75"/>
        <v>N/A</v>
      </c>
      <c r="BT1078" t="s">
        <v>131</v>
      </c>
      <c r="BV1078" t="str">
        <f>""</f>
        <v/>
      </c>
      <c r="BW1078" t="s">
        <v>135</v>
      </c>
      <c r="BX1078" t="str">
        <f>""</f>
        <v/>
      </c>
      <c r="BY1078" t="str">
        <f>""</f>
        <v/>
      </c>
      <c r="BZ1078" t="str">
        <f>""</f>
        <v/>
      </c>
      <c r="CA1078" t="s">
        <v>4309</v>
      </c>
      <c r="CB1078" t="s">
        <v>131</v>
      </c>
      <c r="CF1078" t="s">
        <v>131</v>
      </c>
      <c r="CH1078" t="str">
        <f>""</f>
        <v/>
      </c>
      <c r="CI1078" t="s">
        <v>131</v>
      </c>
      <c r="CK1078" t="s">
        <v>131</v>
      </c>
      <c r="CL1078" t="str">
        <f>""</f>
        <v/>
      </c>
      <c r="CM1078" t="str">
        <f>""</f>
        <v/>
      </c>
      <c r="CN1078" t="str">
        <f>""</f>
        <v/>
      </c>
      <c r="CO1078" t="str">
        <f>""</f>
        <v/>
      </c>
      <c r="CP1078" t="str">
        <f t="shared" si="78"/>
        <v>45-4011.00</v>
      </c>
      <c r="CQ1078" t="s">
        <v>4310</v>
      </c>
      <c r="CS1078" t="s">
        <v>135</v>
      </c>
      <c r="CT1078" t="s">
        <v>2925</v>
      </c>
      <c r="CU1078" t="s">
        <v>4311</v>
      </c>
      <c r="CW1078" t="s">
        <v>4305</v>
      </c>
      <c r="CX1078" t="s">
        <v>1218</v>
      </c>
      <c r="CZ1078" s="3" t="str">
        <f>"36782"</f>
        <v>36782</v>
      </c>
      <c r="DA1078" t="s">
        <v>135</v>
      </c>
      <c r="DB1078" t="str">
        <f t="shared" si="79"/>
        <v>45-4011</v>
      </c>
      <c r="DC1078" t="s">
        <v>4310</v>
      </c>
      <c r="DD1078" t="s">
        <v>134</v>
      </c>
      <c r="DE1078" t="s">
        <v>134</v>
      </c>
      <c r="DF1078" t="str">
        <f>""</f>
        <v/>
      </c>
      <c r="DH1078" s="6">
        <v>17.170000000000002</v>
      </c>
      <c r="DI1078" t="s">
        <v>344</v>
      </c>
      <c r="DK1078" t="s">
        <v>345</v>
      </c>
      <c r="DS1078" s="6">
        <v>20.100000000000001</v>
      </c>
      <c r="DT1078" s="2" t="s">
        <v>2219</v>
      </c>
      <c r="DU1078" s="1">
        <v>44376</v>
      </c>
      <c r="DV1078" s="1">
        <v>44465</v>
      </c>
    </row>
    <row r="1079" spans="1:126" ht="15" customHeight="1" x14ac:dyDescent="0.35">
      <c r="A1079" t="s">
        <v>16044</v>
      </c>
      <c r="B1079" t="s">
        <v>318</v>
      </c>
      <c r="C1079" s="1">
        <v>44349</v>
      </c>
      <c r="D1079" s="1">
        <v>44376</v>
      </c>
      <c r="H1079" t="s">
        <v>319</v>
      </c>
      <c r="I1079" t="s">
        <v>16045</v>
      </c>
      <c r="J1079" t="s">
        <v>10903</v>
      </c>
      <c r="L1079" t="s">
        <v>395</v>
      </c>
      <c r="M1079" t="s">
        <v>16046</v>
      </c>
      <c r="N1079" t="s">
        <v>16047</v>
      </c>
      <c r="O1079" t="s">
        <v>16048</v>
      </c>
      <c r="P1079" t="s">
        <v>1217</v>
      </c>
      <c r="Q1079" s="3">
        <v>35555</v>
      </c>
      <c r="R1079" t="s">
        <v>128</v>
      </c>
      <c r="T1079" s="4">
        <v>12052700946</v>
      </c>
      <c r="V1079" t="s">
        <v>16049</v>
      </c>
      <c r="W1079" t="s">
        <v>16050</v>
      </c>
      <c r="Y1079" t="s">
        <v>16046</v>
      </c>
      <c r="Z1079" t="s">
        <v>16047</v>
      </c>
      <c r="AA1079" t="s">
        <v>16048</v>
      </c>
      <c r="AB1079" t="s">
        <v>1218</v>
      </c>
      <c r="AC1079" s="3" t="str">
        <f>"35555"</f>
        <v>35555</v>
      </c>
      <c r="AD1079" t="s">
        <v>128</v>
      </c>
      <c r="AF1079" s="4">
        <v>12052700946</v>
      </c>
      <c r="AH1079" t="str">
        <f>"11531"</f>
        <v>11531</v>
      </c>
      <c r="AI1079" t="s">
        <v>287</v>
      </c>
      <c r="AJ1079" t="s">
        <v>4134</v>
      </c>
      <c r="AK1079" t="s">
        <v>3493</v>
      </c>
      <c r="AM1079" t="s">
        <v>4135</v>
      </c>
      <c r="AO1079" t="s">
        <v>4136</v>
      </c>
      <c r="AP1079" t="s">
        <v>643</v>
      </c>
      <c r="AQ1079" s="5">
        <v>31636</v>
      </c>
      <c r="AR1079" t="s">
        <v>128</v>
      </c>
      <c r="AT1079" s="4">
        <v>12295596879</v>
      </c>
      <c r="AV1079" t="s">
        <v>4137</v>
      </c>
      <c r="AW1079" t="s">
        <v>4138</v>
      </c>
      <c r="AX1079" t="s">
        <v>131</v>
      </c>
      <c r="AY1079" t="s">
        <v>131</v>
      </c>
      <c r="AZ1079" t="s">
        <v>131</v>
      </c>
      <c r="BA1079" t="s">
        <v>131</v>
      </c>
      <c r="BB1079" t="s">
        <v>131</v>
      </c>
      <c r="BC1079" t="s">
        <v>131</v>
      </c>
      <c r="BD1079" t="s">
        <v>131</v>
      </c>
      <c r="BE1079" t="s">
        <v>132</v>
      </c>
      <c r="BH1079" t="s">
        <v>4308</v>
      </c>
      <c r="BI1079" t="s">
        <v>131</v>
      </c>
      <c r="BL1079" t="s">
        <v>167</v>
      </c>
      <c r="BO1079" t="s">
        <v>131</v>
      </c>
      <c r="BP1079" t="s">
        <v>134</v>
      </c>
      <c r="BQ1079" t="s">
        <v>131</v>
      </c>
      <c r="BS1079" t="str">
        <f t="shared" si="75"/>
        <v>N/A</v>
      </c>
      <c r="BT1079" t="s">
        <v>131</v>
      </c>
      <c r="BV1079" t="str">
        <f>""</f>
        <v/>
      </c>
      <c r="BW1079" t="s">
        <v>135</v>
      </c>
      <c r="BX1079" t="str">
        <f>""</f>
        <v/>
      </c>
      <c r="BY1079" t="str">
        <f>""</f>
        <v/>
      </c>
      <c r="BZ1079" t="str">
        <f>""</f>
        <v/>
      </c>
      <c r="CA1079" t="str">
        <f>"Requires physical stamina. Extensive walking over rough terrain. Work is in adverse weather. Must lift and carry 50 lbs. Production standard of 1750 trees correctly planted per 7 hour day after one week of on the job training."</f>
        <v>Requires physical stamina. Extensive walking over rough terrain. Work is in adverse weather. Must lift and carry 50 lbs. Production standard of 1750 trees correctly planted per 7 hour day after one week of on the job training.</v>
      </c>
      <c r="CB1079" t="s">
        <v>131</v>
      </c>
      <c r="CF1079" t="s">
        <v>131</v>
      </c>
      <c r="CH1079" t="str">
        <f>""</f>
        <v/>
      </c>
      <c r="CI1079" t="s">
        <v>131</v>
      </c>
      <c r="CK1079" t="s">
        <v>131</v>
      </c>
      <c r="CL1079" t="str">
        <f>""</f>
        <v/>
      </c>
      <c r="CM1079" t="str">
        <f>""</f>
        <v/>
      </c>
      <c r="CN1079" t="str">
        <f>""</f>
        <v/>
      </c>
      <c r="CO1079" t="str">
        <f>""</f>
        <v/>
      </c>
      <c r="CP1079" t="str">
        <f t="shared" si="78"/>
        <v>45-4011.00</v>
      </c>
      <c r="CQ1079" t="s">
        <v>4310</v>
      </c>
      <c r="CS1079" t="s">
        <v>135</v>
      </c>
      <c r="CT1079" t="s">
        <v>2925</v>
      </c>
      <c r="CU1079" t="s">
        <v>16046</v>
      </c>
      <c r="CW1079" t="s">
        <v>16048</v>
      </c>
      <c r="CX1079" t="s">
        <v>1218</v>
      </c>
      <c r="CZ1079" s="3" t="str">
        <f>"35555"</f>
        <v>35555</v>
      </c>
      <c r="DA1079" t="s">
        <v>135</v>
      </c>
      <c r="DB1079" t="str">
        <f t="shared" si="79"/>
        <v>45-4011</v>
      </c>
      <c r="DC1079" t="s">
        <v>4310</v>
      </c>
      <c r="DD1079" t="s">
        <v>134</v>
      </c>
      <c r="DE1079" t="s">
        <v>134</v>
      </c>
      <c r="DF1079" t="str">
        <f>""</f>
        <v/>
      </c>
      <c r="DH1079" s="6">
        <v>17.170000000000002</v>
      </c>
      <c r="DI1079" t="s">
        <v>344</v>
      </c>
      <c r="DK1079" t="s">
        <v>345</v>
      </c>
      <c r="DS1079" s="6">
        <v>17.170000000000002</v>
      </c>
      <c r="DT1079" s="2" t="s">
        <v>5051</v>
      </c>
      <c r="DU1079" s="1">
        <v>44376</v>
      </c>
      <c r="DV1079" s="1">
        <v>44465</v>
      </c>
    </row>
    <row r="1080" spans="1:126" ht="15" customHeight="1" x14ac:dyDescent="0.35">
      <c r="A1080" t="s">
        <v>14357</v>
      </c>
      <c r="B1080" t="s">
        <v>318</v>
      </c>
      <c r="C1080" s="1">
        <v>44349</v>
      </c>
      <c r="D1080" s="1">
        <v>44376</v>
      </c>
      <c r="H1080" t="s">
        <v>319</v>
      </c>
      <c r="I1080" t="s">
        <v>7720</v>
      </c>
      <c r="J1080" t="s">
        <v>6423</v>
      </c>
      <c r="L1080" t="s">
        <v>13201</v>
      </c>
      <c r="M1080" t="s">
        <v>10465</v>
      </c>
      <c r="O1080" t="s">
        <v>7534</v>
      </c>
      <c r="P1080" t="s">
        <v>396</v>
      </c>
      <c r="Q1080" s="3">
        <v>72802</v>
      </c>
      <c r="R1080" t="s">
        <v>128</v>
      </c>
      <c r="T1080" s="4">
        <v>14792195263</v>
      </c>
      <c r="V1080" t="s">
        <v>10466</v>
      </c>
      <c r="W1080" t="s">
        <v>10467</v>
      </c>
      <c r="Y1080" t="s">
        <v>10465</v>
      </c>
      <c r="AA1080" t="s">
        <v>7534</v>
      </c>
      <c r="AB1080" t="s">
        <v>397</v>
      </c>
      <c r="AC1080" s="3" t="str">
        <f>"72802"</f>
        <v>72802</v>
      </c>
      <c r="AD1080" t="s">
        <v>128</v>
      </c>
      <c r="AF1080" s="4">
        <v>14792195263</v>
      </c>
      <c r="AH1080" t="str">
        <f>"1153"</f>
        <v>1153</v>
      </c>
      <c r="AI1080" t="s">
        <v>287</v>
      </c>
      <c r="AJ1080" t="s">
        <v>4134</v>
      </c>
      <c r="AK1080" t="s">
        <v>3493</v>
      </c>
      <c r="AM1080" t="s">
        <v>4135</v>
      </c>
      <c r="AO1080" t="s">
        <v>4136</v>
      </c>
      <c r="AP1080" t="s">
        <v>643</v>
      </c>
      <c r="AQ1080" s="5">
        <v>31636</v>
      </c>
      <c r="AR1080" t="s">
        <v>128</v>
      </c>
      <c r="AT1080" s="4">
        <v>12295596879</v>
      </c>
      <c r="AV1080" t="s">
        <v>4137</v>
      </c>
      <c r="AW1080" t="s">
        <v>4138</v>
      </c>
      <c r="AX1080" t="s">
        <v>131</v>
      </c>
      <c r="AY1080" t="s">
        <v>131</v>
      </c>
      <c r="AZ1080" t="s">
        <v>131</v>
      </c>
      <c r="BA1080" t="s">
        <v>131</v>
      </c>
      <c r="BB1080" t="s">
        <v>131</v>
      </c>
      <c r="BC1080" t="s">
        <v>131</v>
      </c>
      <c r="BD1080" t="s">
        <v>131</v>
      </c>
      <c r="BE1080" t="s">
        <v>132</v>
      </c>
      <c r="BH1080" t="s">
        <v>13202</v>
      </c>
      <c r="BI1080" t="s">
        <v>131</v>
      </c>
      <c r="BL1080" t="s">
        <v>167</v>
      </c>
      <c r="BO1080" t="s">
        <v>131</v>
      </c>
      <c r="BP1080" t="s">
        <v>134</v>
      </c>
      <c r="BQ1080" t="s">
        <v>131</v>
      </c>
      <c r="BS1080" t="str">
        <f t="shared" si="75"/>
        <v>N/A</v>
      </c>
      <c r="BT1080" t="s">
        <v>131</v>
      </c>
      <c r="BV1080" t="str">
        <f>""</f>
        <v/>
      </c>
      <c r="BW1080" t="s">
        <v>135</v>
      </c>
      <c r="BX1080" t="str">
        <f>""</f>
        <v/>
      </c>
      <c r="BY1080" t="str">
        <f>""</f>
        <v/>
      </c>
      <c r="BZ1080" t="str">
        <f>""</f>
        <v/>
      </c>
      <c r="CA1080" t="s">
        <v>13203</v>
      </c>
      <c r="CB1080" t="s">
        <v>131</v>
      </c>
      <c r="CF1080" t="s">
        <v>131</v>
      </c>
      <c r="CH1080" t="str">
        <f>""</f>
        <v/>
      </c>
      <c r="CI1080" t="s">
        <v>131</v>
      </c>
      <c r="CK1080" t="s">
        <v>131</v>
      </c>
      <c r="CL1080" t="str">
        <f>""</f>
        <v/>
      </c>
      <c r="CM1080" t="str">
        <f>""</f>
        <v/>
      </c>
      <c r="CN1080" t="str">
        <f>""</f>
        <v/>
      </c>
      <c r="CO1080" t="str">
        <f>""</f>
        <v/>
      </c>
      <c r="CP1080" t="str">
        <f t="shared" si="78"/>
        <v>45-4011.00</v>
      </c>
      <c r="CQ1080" t="s">
        <v>4310</v>
      </c>
      <c r="CS1080" t="s">
        <v>135</v>
      </c>
      <c r="CT1080" t="s">
        <v>2925</v>
      </c>
      <c r="CU1080" t="s">
        <v>13204</v>
      </c>
      <c r="CW1080" t="s">
        <v>7534</v>
      </c>
      <c r="CX1080" t="s">
        <v>397</v>
      </c>
      <c r="CZ1080" s="3" t="str">
        <f>"72801"</f>
        <v>72801</v>
      </c>
      <c r="DA1080" t="s">
        <v>135</v>
      </c>
      <c r="DB1080" t="str">
        <f t="shared" si="79"/>
        <v>45-4011</v>
      </c>
      <c r="DC1080" t="s">
        <v>4310</v>
      </c>
      <c r="DD1080" t="s">
        <v>134</v>
      </c>
      <c r="DE1080" t="s">
        <v>134</v>
      </c>
      <c r="DF1080" t="str">
        <f>"37-3011.00"</f>
        <v>37-3011.00</v>
      </c>
      <c r="DG1080" t="s">
        <v>920</v>
      </c>
      <c r="DH1080" s="6">
        <v>15.65</v>
      </c>
      <c r="DI1080" t="s">
        <v>344</v>
      </c>
      <c r="DK1080" t="s">
        <v>345</v>
      </c>
      <c r="DS1080" s="6">
        <v>20.100000000000001</v>
      </c>
      <c r="DT1080" s="2" t="s">
        <v>2219</v>
      </c>
      <c r="DU1080" s="1">
        <v>44376</v>
      </c>
      <c r="DV1080" s="1">
        <v>44465</v>
      </c>
    </row>
    <row r="1081" spans="1:126" ht="15" customHeight="1" x14ac:dyDescent="0.35">
      <c r="A1081" t="s">
        <v>13200</v>
      </c>
      <c r="B1081" t="s">
        <v>318</v>
      </c>
      <c r="C1081" s="1">
        <v>44349</v>
      </c>
      <c r="D1081" s="1">
        <v>44376</v>
      </c>
      <c r="H1081" t="s">
        <v>319</v>
      </c>
      <c r="I1081" t="s">
        <v>7720</v>
      </c>
      <c r="J1081" t="s">
        <v>6423</v>
      </c>
      <c r="L1081" t="s">
        <v>13201</v>
      </c>
      <c r="M1081" t="s">
        <v>10465</v>
      </c>
      <c r="O1081" t="s">
        <v>7534</v>
      </c>
      <c r="P1081" t="s">
        <v>396</v>
      </c>
      <c r="Q1081" s="3">
        <v>72802</v>
      </c>
      <c r="R1081" t="s">
        <v>128</v>
      </c>
      <c r="T1081" s="4">
        <v>14792195263</v>
      </c>
      <c r="V1081" t="s">
        <v>10466</v>
      </c>
      <c r="W1081" t="s">
        <v>10467</v>
      </c>
      <c r="Y1081" t="s">
        <v>10465</v>
      </c>
      <c r="AA1081" t="s">
        <v>7534</v>
      </c>
      <c r="AB1081" t="s">
        <v>397</v>
      </c>
      <c r="AC1081" s="3" t="str">
        <f>"72802"</f>
        <v>72802</v>
      </c>
      <c r="AD1081" t="s">
        <v>128</v>
      </c>
      <c r="AF1081" s="4">
        <v>14792195263</v>
      </c>
      <c r="AH1081" t="str">
        <f>"11531"</f>
        <v>11531</v>
      </c>
      <c r="AI1081" t="s">
        <v>287</v>
      </c>
      <c r="AJ1081" t="s">
        <v>4134</v>
      </c>
      <c r="AK1081" t="s">
        <v>3493</v>
      </c>
      <c r="AM1081" t="s">
        <v>4135</v>
      </c>
      <c r="AO1081" t="s">
        <v>4136</v>
      </c>
      <c r="AP1081" t="s">
        <v>643</v>
      </c>
      <c r="AQ1081" s="5">
        <v>31636</v>
      </c>
      <c r="AR1081" t="s">
        <v>128</v>
      </c>
      <c r="AT1081" s="4">
        <v>12295596879</v>
      </c>
      <c r="AV1081" t="s">
        <v>4137</v>
      </c>
      <c r="AW1081" t="s">
        <v>4138</v>
      </c>
      <c r="AX1081" t="s">
        <v>131</v>
      </c>
      <c r="AY1081" t="s">
        <v>131</v>
      </c>
      <c r="AZ1081" t="s">
        <v>131</v>
      </c>
      <c r="BA1081" t="s">
        <v>131</v>
      </c>
      <c r="BB1081" t="s">
        <v>131</v>
      </c>
      <c r="BC1081" t="s">
        <v>131</v>
      </c>
      <c r="BD1081" t="s">
        <v>131</v>
      </c>
      <c r="BE1081" t="s">
        <v>132</v>
      </c>
      <c r="BH1081" t="s">
        <v>13202</v>
      </c>
      <c r="BI1081" t="s">
        <v>131</v>
      </c>
      <c r="BL1081" t="s">
        <v>167</v>
      </c>
      <c r="BO1081" t="s">
        <v>131</v>
      </c>
      <c r="BP1081" t="s">
        <v>134</v>
      </c>
      <c r="BQ1081" t="s">
        <v>131</v>
      </c>
      <c r="BS1081" t="str">
        <f t="shared" si="75"/>
        <v>N/A</v>
      </c>
      <c r="BT1081" t="s">
        <v>131</v>
      </c>
      <c r="BV1081" t="str">
        <f>""</f>
        <v/>
      </c>
      <c r="BW1081" t="s">
        <v>135</v>
      </c>
      <c r="BX1081" t="str">
        <f>""</f>
        <v/>
      </c>
      <c r="BY1081" t="str">
        <f>""</f>
        <v/>
      </c>
      <c r="BZ1081" t="str">
        <f>""</f>
        <v/>
      </c>
      <c r="CA1081" t="s">
        <v>13203</v>
      </c>
      <c r="CB1081" t="s">
        <v>131</v>
      </c>
      <c r="CF1081" t="s">
        <v>131</v>
      </c>
      <c r="CH1081" t="str">
        <f>""</f>
        <v/>
      </c>
      <c r="CI1081" t="s">
        <v>131</v>
      </c>
      <c r="CK1081" t="s">
        <v>131</v>
      </c>
      <c r="CL1081" t="str">
        <f>""</f>
        <v/>
      </c>
      <c r="CM1081" t="str">
        <f>""</f>
        <v/>
      </c>
      <c r="CN1081" t="str">
        <f>""</f>
        <v/>
      </c>
      <c r="CO1081" t="str">
        <f>""</f>
        <v/>
      </c>
      <c r="CP1081" t="str">
        <f t="shared" si="78"/>
        <v>45-4011.00</v>
      </c>
      <c r="CQ1081" t="s">
        <v>4310</v>
      </c>
      <c r="CS1081" t="s">
        <v>135</v>
      </c>
      <c r="CT1081" t="s">
        <v>2925</v>
      </c>
      <c r="CU1081" t="s">
        <v>13204</v>
      </c>
      <c r="CW1081" t="s">
        <v>7534</v>
      </c>
      <c r="CX1081" t="s">
        <v>397</v>
      </c>
      <c r="CZ1081" s="3" t="str">
        <f>"72801"</f>
        <v>72801</v>
      </c>
      <c r="DA1081" t="s">
        <v>135</v>
      </c>
      <c r="DB1081" t="str">
        <f t="shared" si="79"/>
        <v>45-4011</v>
      </c>
      <c r="DC1081" t="s">
        <v>4310</v>
      </c>
      <c r="DD1081" t="s">
        <v>134</v>
      </c>
      <c r="DE1081" t="s">
        <v>134</v>
      </c>
      <c r="DF1081" t="str">
        <f>"37-3011.00"</f>
        <v>37-3011.00</v>
      </c>
      <c r="DG1081" t="s">
        <v>920</v>
      </c>
      <c r="DH1081" s="6">
        <v>15.65</v>
      </c>
      <c r="DI1081" t="s">
        <v>344</v>
      </c>
      <c r="DK1081" t="s">
        <v>345</v>
      </c>
      <c r="DS1081" s="6">
        <v>18.28</v>
      </c>
      <c r="DT1081" s="2" t="s">
        <v>2219</v>
      </c>
      <c r="DU1081" s="1">
        <v>44376</v>
      </c>
      <c r="DV1081" s="1">
        <v>44465</v>
      </c>
    </row>
    <row r="1082" spans="1:126" ht="15" customHeight="1" x14ac:dyDescent="0.35">
      <c r="A1082" t="s">
        <v>16747</v>
      </c>
      <c r="B1082" t="s">
        <v>318</v>
      </c>
      <c r="C1082" s="1">
        <v>44349</v>
      </c>
      <c r="D1082" s="1">
        <v>44376</v>
      </c>
      <c r="H1082" t="s">
        <v>319</v>
      </c>
      <c r="I1082" t="s">
        <v>7720</v>
      </c>
      <c r="J1082" t="s">
        <v>6423</v>
      </c>
      <c r="L1082" t="s">
        <v>13201</v>
      </c>
      <c r="M1082" t="s">
        <v>10465</v>
      </c>
      <c r="O1082" t="s">
        <v>7534</v>
      </c>
      <c r="P1082" t="s">
        <v>396</v>
      </c>
      <c r="Q1082" s="3">
        <v>72802</v>
      </c>
      <c r="R1082" t="s">
        <v>128</v>
      </c>
      <c r="T1082" s="4">
        <v>14792195263</v>
      </c>
      <c r="V1082" t="s">
        <v>10466</v>
      </c>
      <c r="W1082" t="s">
        <v>10467</v>
      </c>
      <c r="Y1082" t="s">
        <v>10465</v>
      </c>
      <c r="AA1082" t="s">
        <v>7534</v>
      </c>
      <c r="AB1082" t="s">
        <v>397</v>
      </c>
      <c r="AC1082" s="3" t="str">
        <f>"72802"</f>
        <v>72802</v>
      </c>
      <c r="AD1082" t="s">
        <v>128</v>
      </c>
      <c r="AF1082" s="4">
        <v>14792195263</v>
      </c>
      <c r="AH1082" t="str">
        <f>"1153"</f>
        <v>1153</v>
      </c>
      <c r="AI1082" t="s">
        <v>287</v>
      </c>
      <c r="AJ1082" t="s">
        <v>4134</v>
      </c>
      <c r="AK1082" t="s">
        <v>3493</v>
      </c>
      <c r="AM1082" t="s">
        <v>4135</v>
      </c>
      <c r="AO1082" t="s">
        <v>4136</v>
      </c>
      <c r="AP1082" t="s">
        <v>643</v>
      </c>
      <c r="AQ1082" s="5">
        <v>31636</v>
      </c>
      <c r="AR1082" t="s">
        <v>128</v>
      </c>
      <c r="AT1082" s="4">
        <v>12295596879</v>
      </c>
      <c r="AV1082" t="s">
        <v>4137</v>
      </c>
      <c r="AW1082" t="s">
        <v>4138</v>
      </c>
      <c r="AX1082" t="s">
        <v>131</v>
      </c>
      <c r="AY1082" t="s">
        <v>131</v>
      </c>
      <c r="AZ1082" t="s">
        <v>131</v>
      </c>
      <c r="BA1082" t="s">
        <v>131</v>
      </c>
      <c r="BB1082" t="s">
        <v>131</v>
      </c>
      <c r="BC1082" t="s">
        <v>131</v>
      </c>
      <c r="BD1082" t="s">
        <v>131</v>
      </c>
      <c r="BE1082" t="s">
        <v>132</v>
      </c>
      <c r="BH1082" t="s">
        <v>13202</v>
      </c>
      <c r="BI1082" t="s">
        <v>131</v>
      </c>
      <c r="BL1082" t="s">
        <v>167</v>
      </c>
      <c r="BO1082" t="s">
        <v>131</v>
      </c>
      <c r="BP1082" t="s">
        <v>134</v>
      </c>
      <c r="BQ1082" t="s">
        <v>131</v>
      </c>
      <c r="BS1082" t="str">
        <f t="shared" si="75"/>
        <v>N/A</v>
      </c>
      <c r="BT1082" t="s">
        <v>131</v>
      </c>
      <c r="BV1082" t="str">
        <f>""</f>
        <v/>
      </c>
      <c r="BW1082" t="s">
        <v>135</v>
      </c>
      <c r="BX1082" t="str">
        <f>""</f>
        <v/>
      </c>
      <c r="BY1082" t="str">
        <f>""</f>
        <v/>
      </c>
      <c r="BZ1082" t="str">
        <f>""</f>
        <v/>
      </c>
      <c r="CA1082" t="s">
        <v>13203</v>
      </c>
      <c r="CB1082" t="s">
        <v>131</v>
      </c>
      <c r="CF1082" t="s">
        <v>131</v>
      </c>
      <c r="CH1082" t="str">
        <f>""</f>
        <v/>
      </c>
      <c r="CI1082" t="s">
        <v>131</v>
      </c>
      <c r="CK1082" t="s">
        <v>131</v>
      </c>
      <c r="CL1082" t="str">
        <f>""</f>
        <v/>
      </c>
      <c r="CM1082" t="str">
        <f>""</f>
        <v/>
      </c>
      <c r="CN1082" t="str">
        <f>""</f>
        <v/>
      </c>
      <c r="CO1082" t="str">
        <f>""</f>
        <v/>
      </c>
      <c r="CP1082" t="str">
        <f t="shared" si="78"/>
        <v>45-4011.00</v>
      </c>
      <c r="CQ1082" t="s">
        <v>4310</v>
      </c>
      <c r="CS1082" t="s">
        <v>135</v>
      </c>
      <c r="CT1082" t="s">
        <v>2925</v>
      </c>
      <c r="CU1082" t="s">
        <v>13204</v>
      </c>
      <c r="CW1082" t="s">
        <v>7534</v>
      </c>
      <c r="CX1082" t="s">
        <v>397</v>
      </c>
      <c r="CZ1082" s="3" t="str">
        <f>"72801"</f>
        <v>72801</v>
      </c>
      <c r="DA1082" t="s">
        <v>135</v>
      </c>
      <c r="DB1082" t="str">
        <f t="shared" si="79"/>
        <v>45-4011</v>
      </c>
      <c r="DC1082" t="s">
        <v>4310</v>
      </c>
      <c r="DD1082" t="s">
        <v>134</v>
      </c>
      <c r="DE1082" t="s">
        <v>134</v>
      </c>
      <c r="DF1082" t="str">
        <f>"37-3011.00"</f>
        <v>37-3011.00</v>
      </c>
      <c r="DG1082" t="s">
        <v>920</v>
      </c>
      <c r="DH1082" s="6">
        <v>15.65</v>
      </c>
      <c r="DI1082" t="s">
        <v>344</v>
      </c>
      <c r="DK1082" t="s">
        <v>345</v>
      </c>
      <c r="DS1082" s="6">
        <v>21.04</v>
      </c>
      <c r="DT1082" s="2" t="s">
        <v>2219</v>
      </c>
      <c r="DU1082" s="1">
        <v>44376</v>
      </c>
      <c r="DV1082" s="1">
        <v>44465</v>
      </c>
    </row>
    <row r="1083" spans="1:126" ht="15" customHeight="1" x14ac:dyDescent="0.35">
      <c r="A1083" t="s">
        <v>15541</v>
      </c>
      <c r="B1083" t="s">
        <v>318</v>
      </c>
      <c r="C1083" s="1">
        <v>44349</v>
      </c>
      <c r="D1083" s="1">
        <v>44376</v>
      </c>
      <c r="H1083" t="s">
        <v>319</v>
      </c>
      <c r="I1083" t="s">
        <v>7720</v>
      </c>
      <c r="J1083" t="s">
        <v>6423</v>
      </c>
      <c r="L1083" t="s">
        <v>13201</v>
      </c>
      <c r="M1083" t="s">
        <v>10465</v>
      </c>
      <c r="O1083" t="s">
        <v>7534</v>
      </c>
      <c r="P1083" t="s">
        <v>396</v>
      </c>
      <c r="Q1083" s="3">
        <v>72802</v>
      </c>
      <c r="R1083" t="s">
        <v>128</v>
      </c>
      <c r="T1083" s="4">
        <v>14792195263</v>
      </c>
      <c r="V1083" t="s">
        <v>10466</v>
      </c>
      <c r="W1083" t="s">
        <v>10467</v>
      </c>
      <c r="Y1083" t="s">
        <v>10465</v>
      </c>
      <c r="AA1083" t="s">
        <v>7534</v>
      </c>
      <c r="AB1083" t="s">
        <v>397</v>
      </c>
      <c r="AC1083" s="3" t="str">
        <f>"72802"</f>
        <v>72802</v>
      </c>
      <c r="AD1083" t="s">
        <v>128</v>
      </c>
      <c r="AF1083" s="4">
        <v>14792195263</v>
      </c>
      <c r="AH1083" t="str">
        <f>"1153"</f>
        <v>1153</v>
      </c>
      <c r="AI1083" t="s">
        <v>287</v>
      </c>
      <c r="AJ1083" t="s">
        <v>4134</v>
      </c>
      <c r="AK1083" t="s">
        <v>3493</v>
      </c>
      <c r="AM1083" t="s">
        <v>4135</v>
      </c>
      <c r="AO1083" t="s">
        <v>4136</v>
      </c>
      <c r="AP1083" t="s">
        <v>643</v>
      </c>
      <c r="AQ1083" s="5">
        <v>31636</v>
      </c>
      <c r="AR1083" t="s">
        <v>128</v>
      </c>
      <c r="AT1083" s="4">
        <v>12295596879</v>
      </c>
      <c r="AV1083" t="s">
        <v>4137</v>
      </c>
      <c r="AW1083" t="s">
        <v>4138</v>
      </c>
      <c r="AX1083" t="s">
        <v>131</v>
      </c>
      <c r="AY1083" t="s">
        <v>131</v>
      </c>
      <c r="AZ1083" t="s">
        <v>131</v>
      </c>
      <c r="BA1083" t="s">
        <v>131</v>
      </c>
      <c r="BB1083" t="s">
        <v>131</v>
      </c>
      <c r="BC1083" t="s">
        <v>131</v>
      </c>
      <c r="BD1083" t="s">
        <v>131</v>
      </c>
      <c r="BE1083" t="s">
        <v>132</v>
      </c>
      <c r="BH1083" t="s">
        <v>13202</v>
      </c>
      <c r="BI1083" t="s">
        <v>131</v>
      </c>
      <c r="BL1083" t="s">
        <v>167</v>
      </c>
      <c r="BO1083" t="s">
        <v>131</v>
      </c>
      <c r="BP1083" t="s">
        <v>134</v>
      </c>
      <c r="BQ1083" t="s">
        <v>131</v>
      </c>
      <c r="BS1083" t="str">
        <f t="shared" si="75"/>
        <v>N/A</v>
      </c>
      <c r="BT1083" t="s">
        <v>131</v>
      </c>
      <c r="BV1083" t="str">
        <f>""</f>
        <v/>
      </c>
      <c r="BW1083" t="s">
        <v>135</v>
      </c>
      <c r="BX1083" t="str">
        <f>""</f>
        <v/>
      </c>
      <c r="BY1083" t="str">
        <f>""</f>
        <v/>
      </c>
      <c r="BZ1083" t="str">
        <f>""</f>
        <v/>
      </c>
      <c r="CA1083" t="s">
        <v>15505</v>
      </c>
      <c r="CB1083" t="s">
        <v>131</v>
      </c>
      <c r="CF1083" t="s">
        <v>131</v>
      </c>
      <c r="CH1083" t="str">
        <f>""</f>
        <v/>
      </c>
      <c r="CI1083" t="s">
        <v>131</v>
      </c>
      <c r="CK1083" t="s">
        <v>131</v>
      </c>
      <c r="CL1083" t="str">
        <f>""</f>
        <v/>
      </c>
      <c r="CM1083" t="str">
        <f>""</f>
        <v/>
      </c>
      <c r="CN1083" t="str">
        <f>""</f>
        <v/>
      </c>
      <c r="CO1083" t="str">
        <f>""</f>
        <v/>
      </c>
      <c r="CP1083" t="str">
        <f t="shared" si="78"/>
        <v>45-4011.00</v>
      </c>
      <c r="CQ1083" t="s">
        <v>4310</v>
      </c>
      <c r="CS1083" t="s">
        <v>135</v>
      </c>
      <c r="CT1083" t="s">
        <v>2925</v>
      </c>
      <c r="CU1083" t="s">
        <v>15506</v>
      </c>
      <c r="CW1083" t="s">
        <v>1319</v>
      </c>
      <c r="CX1083" t="s">
        <v>779</v>
      </c>
      <c r="CZ1083" s="3" t="str">
        <f>"38305"</f>
        <v>38305</v>
      </c>
      <c r="DA1083" t="s">
        <v>135</v>
      </c>
      <c r="DB1083" t="str">
        <f>"37-3011"</f>
        <v>37-3011</v>
      </c>
      <c r="DC1083" t="s">
        <v>920</v>
      </c>
      <c r="DD1083" t="s">
        <v>134</v>
      </c>
      <c r="DE1083" t="s">
        <v>134</v>
      </c>
      <c r="DF1083" t="str">
        <f>"45-4011.00"</f>
        <v>45-4011.00</v>
      </c>
      <c r="DG1083" t="s">
        <v>4310</v>
      </c>
      <c r="DH1083" s="6">
        <v>13.22</v>
      </c>
      <c r="DI1083" t="s">
        <v>344</v>
      </c>
      <c r="DK1083" t="s">
        <v>345</v>
      </c>
      <c r="DS1083" s="6">
        <v>25.54</v>
      </c>
      <c r="DT1083" s="2" t="s">
        <v>2219</v>
      </c>
      <c r="DU1083" s="1">
        <v>44376</v>
      </c>
      <c r="DV1083" s="1">
        <v>44465</v>
      </c>
    </row>
    <row r="1084" spans="1:126" ht="15" customHeight="1" x14ac:dyDescent="0.35">
      <c r="A1084" t="s">
        <v>15504</v>
      </c>
      <c r="B1084" t="s">
        <v>318</v>
      </c>
      <c r="C1084" s="1">
        <v>44349</v>
      </c>
      <c r="D1084" s="1">
        <v>44376</v>
      </c>
      <c r="H1084" t="s">
        <v>319</v>
      </c>
      <c r="I1084" t="s">
        <v>7720</v>
      </c>
      <c r="J1084" t="s">
        <v>6423</v>
      </c>
      <c r="L1084" t="s">
        <v>13201</v>
      </c>
      <c r="M1084" t="s">
        <v>10465</v>
      </c>
      <c r="O1084" t="s">
        <v>7534</v>
      </c>
      <c r="P1084" t="s">
        <v>396</v>
      </c>
      <c r="Q1084" s="3">
        <v>72802</v>
      </c>
      <c r="R1084" t="s">
        <v>128</v>
      </c>
      <c r="T1084" s="4">
        <v>14792195263</v>
      </c>
      <c r="V1084" t="s">
        <v>10466</v>
      </c>
      <c r="W1084" t="s">
        <v>10467</v>
      </c>
      <c r="Y1084" t="s">
        <v>10465</v>
      </c>
      <c r="AA1084" t="s">
        <v>7534</v>
      </c>
      <c r="AB1084" t="s">
        <v>397</v>
      </c>
      <c r="AC1084" s="3" t="str">
        <f>"72802"</f>
        <v>72802</v>
      </c>
      <c r="AD1084" t="s">
        <v>128</v>
      </c>
      <c r="AF1084" s="4">
        <v>14792195263</v>
      </c>
      <c r="AH1084" t="str">
        <f>"1153"</f>
        <v>1153</v>
      </c>
      <c r="AI1084" t="s">
        <v>287</v>
      </c>
      <c r="AJ1084" t="s">
        <v>4134</v>
      </c>
      <c r="AK1084" t="s">
        <v>3493</v>
      </c>
      <c r="AM1084" t="s">
        <v>4135</v>
      </c>
      <c r="AO1084" t="s">
        <v>4136</v>
      </c>
      <c r="AP1084" t="s">
        <v>643</v>
      </c>
      <c r="AQ1084" s="5">
        <v>31636</v>
      </c>
      <c r="AR1084" t="s">
        <v>128</v>
      </c>
      <c r="AT1084" s="4">
        <v>12295596879</v>
      </c>
      <c r="AV1084" t="s">
        <v>4137</v>
      </c>
      <c r="AW1084" t="s">
        <v>4138</v>
      </c>
      <c r="AX1084" t="s">
        <v>131</v>
      </c>
      <c r="AY1084" t="s">
        <v>131</v>
      </c>
      <c r="AZ1084" t="s">
        <v>131</v>
      </c>
      <c r="BA1084" t="s">
        <v>131</v>
      </c>
      <c r="BB1084" t="s">
        <v>131</v>
      </c>
      <c r="BC1084" t="s">
        <v>131</v>
      </c>
      <c r="BD1084" t="s">
        <v>131</v>
      </c>
      <c r="BE1084" t="s">
        <v>132</v>
      </c>
      <c r="BH1084" t="s">
        <v>13202</v>
      </c>
      <c r="BI1084" t="s">
        <v>131</v>
      </c>
      <c r="BL1084" t="s">
        <v>167</v>
      </c>
      <c r="BO1084" t="s">
        <v>131</v>
      </c>
      <c r="BP1084" t="s">
        <v>134</v>
      </c>
      <c r="BQ1084" t="s">
        <v>131</v>
      </c>
      <c r="BS1084" t="str">
        <f t="shared" si="75"/>
        <v>N/A</v>
      </c>
      <c r="BT1084" t="s">
        <v>131</v>
      </c>
      <c r="BV1084" t="str">
        <f>""</f>
        <v/>
      </c>
      <c r="BW1084" t="s">
        <v>135</v>
      </c>
      <c r="BX1084" t="str">
        <f>""</f>
        <v/>
      </c>
      <c r="BY1084" t="str">
        <f>""</f>
        <v/>
      </c>
      <c r="BZ1084" t="str">
        <f>""</f>
        <v/>
      </c>
      <c r="CA1084" t="s">
        <v>15505</v>
      </c>
      <c r="CB1084" t="s">
        <v>131</v>
      </c>
      <c r="CF1084" t="s">
        <v>131</v>
      </c>
      <c r="CH1084" t="str">
        <f>""</f>
        <v/>
      </c>
      <c r="CI1084" t="s">
        <v>131</v>
      </c>
      <c r="CK1084" t="s">
        <v>131</v>
      </c>
      <c r="CL1084" t="str">
        <f>""</f>
        <v/>
      </c>
      <c r="CM1084" t="str">
        <f>""</f>
        <v/>
      </c>
      <c r="CN1084" t="str">
        <f>""</f>
        <v/>
      </c>
      <c r="CO1084" t="str">
        <f>""</f>
        <v/>
      </c>
      <c r="CP1084" t="str">
        <f t="shared" si="78"/>
        <v>45-4011.00</v>
      </c>
      <c r="CQ1084" t="s">
        <v>4310</v>
      </c>
      <c r="CS1084" t="s">
        <v>135</v>
      </c>
      <c r="CT1084" t="s">
        <v>2925</v>
      </c>
      <c r="CU1084" t="s">
        <v>15506</v>
      </c>
      <c r="CW1084" t="s">
        <v>1319</v>
      </c>
      <c r="CX1084" t="s">
        <v>779</v>
      </c>
      <c r="CZ1084" s="3" t="str">
        <f>"38305"</f>
        <v>38305</v>
      </c>
      <c r="DA1084" t="s">
        <v>135</v>
      </c>
      <c r="DB1084" t="str">
        <f>"37-3011"</f>
        <v>37-3011</v>
      </c>
      <c r="DC1084" t="s">
        <v>920</v>
      </c>
      <c r="DD1084" t="s">
        <v>134</v>
      </c>
      <c r="DE1084" t="s">
        <v>134</v>
      </c>
      <c r="DF1084" t="str">
        <f>"37-3011.00"</f>
        <v>37-3011.00</v>
      </c>
      <c r="DG1084" t="s">
        <v>920</v>
      </c>
      <c r="DH1084" s="6">
        <v>13.22</v>
      </c>
      <c r="DI1084" t="s">
        <v>344</v>
      </c>
      <c r="DK1084" t="s">
        <v>345</v>
      </c>
      <c r="DS1084" s="6">
        <v>22.2</v>
      </c>
      <c r="DT1084" s="2" t="s">
        <v>2219</v>
      </c>
      <c r="DU1084" s="1">
        <v>44376</v>
      </c>
      <c r="DV1084" s="1">
        <v>44465</v>
      </c>
    </row>
    <row r="1085" spans="1:126" ht="15" customHeight="1" x14ac:dyDescent="0.35">
      <c r="A1085" t="s">
        <v>10587</v>
      </c>
      <c r="B1085" t="s">
        <v>318</v>
      </c>
      <c r="C1085" s="1">
        <v>44349</v>
      </c>
      <c r="D1085" s="1">
        <v>44376</v>
      </c>
      <c r="H1085" t="s">
        <v>319</v>
      </c>
      <c r="I1085" t="s">
        <v>10588</v>
      </c>
      <c r="J1085" t="s">
        <v>3306</v>
      </c>
      <c r="L1085" t="s">
        <v>395</v>
      </c>
      <c r="M1085" t="s">
        <v>10589</v>
      </c>
      <c r="N1085" t="s">
        <v>10590</v>
      </c>
      <c r="O1085" t="s">
        <v>10591</v>
      </c>
      <c r="P1085" t="s">
        <v>412</v>
      </c>
      <c r="Q1085" s="3">
        <v>75935</v>
      </c>
      <c r="R1085" t="s">
        <v>128</v>
      </c>
      <c r="T1085" s="4">
        <v>19365912489</v>
      </c>
      <c r="V1085" t="s">
        <v>134</v>
      </c>
      <c r="W1085" t="s">
        <v>10592</v>
      </c>
      <c r="Y1085" t="s">
        <v>10589</v>
      </c>
      <c r="Z1085" t="s">
        <v>10590</v>
      </c>
      <c r="AA1085" t="s">
        <v>10591</v>
      </c>
      <c r="AB1085" t="s">
        <v>400</v>
      </c>
      <c r="AC1085" s="3" t="str">
        <f>"75935"</f>
        <v>75935</v>
      </c>
      <c r="AD1085" t="s">
        <v>128</v>
      </c>
      <c r="AF1085" s="4">
        <v>19365912489</v>
      </c>
      <c r="AH1085" t="str">
        <f>"1153"</f>
        <v>1153</v>
      </c>
      <c r="AI1085" t="s">
        <v>287</v>
      </c>
      <c r="AJ1085" t="s">
        <v>4134</v>
      </c>
      <c r="AK1085" t="s">
        <v>3493</v>
      </c>
      <c r="AM1085" t="s">
        <v>4135</v>
      </c>
      <c r="AO1085" t="s">
        <v>4136</v>
      </c>
      <c r="AP1085" t="s">
        <v>643</v>
      </c>
      <c r="AQ1085" s="5">
        <v>31636</v>
      </c>
      <c r="AR1085" t="s">
        <v>128</v>
      </c>
      <c r="AT1085" s="4">
        <v>12295596879</v>
      </c>
      <c r="AV1085" t="s">
        <v>4137</v>
      </c>
      <c r="AW1085" t="s">
        <v>4138</v>
      </c>
      <c r="AX1085" t="s">
        <v>131</v>
      </c>
      <c r="AY1085" t="s">
        <v>131</v>
      </c>
      <c r="AZ1085" t="s">
        <v>131</v>
      </c>
      <c r="BA1085" t="s">
        <v>131</v>
      </c>
      <c r="BB1085" t="s">
        <v>131</v>
      </c>
      <c r="BC1085" t="s">
        <v>131</v>
      </c>
      <c r="BD1085" t="s">
        <v>131</v>
      </c>
      <c r="BE1085" t="s">
        <v>132</v>
      </c>
      <c r="BH1085" t="s">
        <v>8273</v>
      </c>
      <c r="BI1085" t="s">
        <v>131</v>
      </c>
      <c r="BL1085" t="s">
        <v>167</v>
      </c>
      <c r="BO1085" t="s">
        <v>131</v>
      </c>
      <c r="BP1085" t="s">
        <v>134</v>
      </c>
      <c r="BQ1085" t="s">
        <v>131</v>
      </c>
      <c r="BS1085" t="str">
        <f t="shared" si="75"/>
        <v>N/A</v>
      </c>
      <c r="BT1085" t="s">
        <v>131</v>
      </c>
      <c r="BV1085" t="str">
        <f>""</f>
        <v/>
      </c>
      <c r="BW1085" t="s">
        <v>135</v>
      </c>
      <c r="BX1085" t="str">
        <f>""</f>
        <v/>
      </c>
      <c r="BY1085" t="str">
        <f>""</f>
        <v/>
      </c>
      <c r="BZ1085" t="str">
        <f>""</f>
        <v/>
      </c>
      <c r="CA1085" t="s">
        <v>10593</v>
      </c>
      <c r="CB1085" t="s">
        <v>131</v>
      </c>
      <c r="CF1085" t="s">
        <v>131</v>
      </c>
      <c r="CH1085" t="str">
        <f>""</f>
        <v/>
      </c>
      <c r="CI1085" t="s">
        <v>131</v>
      </c>
      <c r="CK1085" t="s">
        <v>131</v>
      </c>
      <c r="CL1085" t="str">
        <f>""</f>
        <v/>
      </c>
      <c r="CM1085" t="str">
        <f>""</f>
        <v/>
      </c>
      <c r="CN1085" t="str">
        <f>""</f>
        <v/>
      </c>
      <c r="CO1085" t="str">
        <f>""</f>
        <v/>
      </c>
      <c r="CP1085" t="str">
        <f t="shared" si="78"/>
        <v>45-4011.00</v>
      </c>
      <c r="CQ1085" t="s">
        <v>4310</v>
      </c>
      <c r="CR1085" t="s">
        <v>2924</v>
      </c>
      <c r="CS1085" t="s">
        <v>135</v>
      </c>
      <c r="CT1085" t="s">
        <v>2925</v>
      </c>
      <c r="CU1085" t="s">
        <v>10594</v>
      </c>
      <c r="CW1085" t="s">
        <v>5426</v>
      </c>
      <c r="CX1085" t="s">
        <v>1763</v>
      </c>
      <c r="CZ1085" s="3" t="str">
        <f>"71463"</f>
        <v>71463</v>
      </c>
      <c r="DA1085" t="s">
        <v>135</v>
      </c>
      <c r="DB1085" t="str">
        <f>"45-4011"</f>
        <v>45-4011</v>
      </c>
      <c r="DC1085" t="s">
        <v>4310</v>
      </c>
      <c r="DD1085" t="s">
        <v>134</v>
      </c>
      <c r="DE1085" t="s">
        <v>134</v>
      </c>
      <c r="DF1085" t="str">
        <f>""</f>
        <v/>
      </c>
      <c r="DH1085" s="6">
        <v>17.63</v>
      </c>
      <c r="DI1085" t="s">
        <v>344</v>
      </c>
      <c r="DK1085" t="s">
        <v>345</v>
      </c>
      <c r="DS1085" s="6">
        <v>18.28</v>
      </c>
      <c r="DT1085" s="2" t="s">
        <v>2219</v>
      </c>
      <c r="DU1085" s="1">
        <v>44376</v>
      </c>
      <c r="DV1085" s="1">
        <v>44465</v>
      </c>
    </row>
    <row r="1086" spans="1:126" ht="15" customHeight="1" x14ac:dyDescent="0.35">
      <c r="A1086" t="s">
        <v>14133</v>
      </c>
      <c r="B1086" t="s">
        <v>318</v>
      </c>
      <c r="C1086" s="1">
        <v>44349</v>
      </c>
      <c r="D1086" s="1">
        <v>44376</v>
      </c>
      <c r="H1086" t="s">
        <v>319</v>
      </c>
      <c r="I1086" t="s">
        <v>7720</v>
      </c>
      <c r="J1086" t="s">
        <v>6423</v>
      </c>
      <c r="L1086" t="s">
        <v>13201</v>
      </c>
      <c r="M1086" t="s">
        <v>10465</v>
      </c>
      <c r="O1086" t="s">
        <v>7534</v>
      </c>
      <c r="P1086" t="s">
        <v>396</v>
      </c>
      <c r="Q1086" s="3">
        <v>72802</v>
      </c>
      <c r="R1086" t="s">
        <v>128</v>
      </c>
      <c r="T1086" s="4">
        <v>14792195263</v>
      </c>
      <c r="V1086" t="s">
        <v>10466</v>
      </c>
      <c r="W1086" t="s">
        <v>10467</v>
      </c>
      <c r="Y1086" t="s">
        <v>10465</v>
      </c>
      <c r="AA1086" t="s">
        <v>7534</v>
      </c>
      <c r="AB1086" t="s">
        <v>397</v>
      </c>
      <c r="AC1086" s="3" t="str">
        <f>"72802"</f>
        <v>72802</v>
      </c>
      <c r="AD1086" t="s">
        <v>128</v>
      </c>
      <c r="AF1086" s="4">
        <v>14792195263</v>
      </c>
      <c r="AH1086" t="str">
        <f>"1153"</f>
        <v>1153</v>
      </c>
      <c r="AI1086" t="s">
        <v>287</v>
      </c>
      <c r="AJ1086" t="s">
        <v>4134</v>
      </c>
      <c r="AK1086" t="s">
        <v>3493</v>
      </c>
      <c r="AM1086" t="s">
        <v>4135</v>
      </c>
      <c r="AO1086" t="s">
        <v>4136</v>
      </c>
      <c r="AP1086" t="s">
        <v>643</v>
      </c>
      <c r="AQ1086" s="5">
        <v>31636</v>
      </c>
      <c r="AR1086" t="s">
        <v>128</v>
      </c>
      <c r="AT1086" s="4">
        <v>12295596879</v>
      </c>
      <c r="AV1086" t="s">
        <v>4137</v>
      </c>
      <c r="AW1086" t="s">
        <v>4138</v>
      </c>
      <c r="AX1086" t="s">
        <v>131</v>
      </c>
      <c r="AY1086" t="s">
        <v>131</v>
      </c>
      <c r="AZ1086" t="s">
        <v>131</v>
      </c>
      <c r="BA1086" t="s">
        <v>131</v>
      </c>
      <c r="BB1086" t="s">
        <v>131</v>
      </c>
      <c r="BC1086" t="s">
        <v>131</v>
      </c>
      <c r="BD1086" t="s">
        <v>131</v>
      </c>
      <c r="BE1086" t="s">
        <v>132</v>
      </c>
      <c r="BH1086" t="s">
        <v>4716</v>
      </c>
      <c r="BI1086" t="s">
        <v>131</v>
      </c>
      <c r="BL1086" t="s">
        <v>167</v>
      </c>
      <c r="BO1086" t="s">
        <v>131</v>
      </c>
      <c r="BP1086" t="s">
        <v>134</v>
      </c>
      <c r="BQ1086" t="s">
        <v>131</v>
      </c>
      <c r="BS1086" t="str">
        <f t="shared" ref="BS1086:BS1112" si="80">"N/A"</f>
        <v>N/A</v>
      </c>
      <c r="BT1086" t="s">
        <v>131</v>
      </c>
      <c r="BV1086" t="str">
        <f>""</f>
        <v/>
      </c>
      <c r="BW1086" t="s">
        <v>135</v>
      </c>
      <c r="BX1086" t="str">
        <f>""</f>
        <v/>
      </c>
      <c r="BY1086" t="str">
        <f>""</f>
        <v/>
      </c>
      <c r="BZ1086" t="str">
        <f>""</f>
        <v/>
      </c>
      <c r="CA1086" t="str">
        <f>"Requires walking over rough and uneven land with continuous bending, crouching, stooping, and lifting. Must carry 55 lbs. Work schedule and locations dependent on weather conditions. Must pass drug screenings."</f>
        <v>Requires walking over rough and uneven land with continuous bending, crouching, stooping, and lifting. Must carry 55 lbs. Work schedule and locations dependent on weather conditions. Must pass drug screenings.</v>
      </c>
      <c r="CB1086" t="s">
        <v>131</v>
      </c>
      <c r="CF1086" t="s">
        <v>131</v>
      </c>
      <c r="CH1086" t="str">
        <f>""</f>
        <v/>
      </c>
      <c r="CI1086" t="s">
        <v>131</v>
      </c>
      <c r="CK1086" t="s">
        <v>131</v>
      </c>
      <c r="CL1086" t="str">
        <f>""</f>
        <v/>
      </c>
      <c r="CM1086" t="str">
        <f>""</f>
        <v/>
      </c>
      <c r="CN1086" t="str">
        <f>""</f>
        <v/>
      </c>
      <c r="CO1086" t="str">
        <f>""</f>
        <v/>
      </c>
      <c r="CP1086" t="str">
        <f>"45-2092.00"</f>
        <v>45-2092.00</v>
      </c>
      <c r="CQ1086" t="s">
        <v>3820</v>
      </c>
      <c r="CS1086" t="s">
        <v>131</v>
      </c>
      <c r="CU1086" t="s">
        <v>10468</v>
      </c>
      <c r="CW1086" t="s">
        <v>10469</v>
      </c>
      <c r="CX1086" t="s">
        <v>630</v>
      </c>
      <c r="CZ1086" s="3" t="str">
        <f>"39083"</f>
        <v>39083</v>
      </c>
      <c r="DA1086" t="s">
        <v>131</v>
      </c>
      <c r="DB1086" t="str">
        <f>"45-2092"</f>
        <v>45-2092</v>
      </c>
      <c r="DC1086" t="s">
        <v>3820</v>
      </c>
      <c r="DD1086" t="s">
        <v>134</v>
      </c>
      <c r="DE1086" t="s">
        <v>134</v>
      </c>
      <c r="DF1086" t="str">
        <f>""</f>
        <v/>
      </c>
      <c r="DH1086" s="6">
        <v>12.27</v>
      </c>
      <c r="DI1086" t="s">
        <v>344</v>
      </c>
      <c r="DK1086" t="s">
        <v>345</v>
      </c>
      <c r="DS1086" s="6">
        <v>12.27</v>
      </c>
      <c r="DT1086" t="s">
        <v>424</v>
      </c>
      <c r="DU1086" s="1">
        <v>44376</v>
      </c>
      <c r="DV1086" s="1">
        <v>44465</v>
      </c>
    </row>
    <row r="1087" spans="1:126" ht="15" customHeight="1" x14ac:dyDescent="0.35">
      <c r="A1087" t="s">
        <v>12981</v>
      </c>
      <c r="B1087" t="s">
        <v>318</v>
      </c>
      <c r="C1087" s="1">
        <v>44349</v>
      </c>
      <c r="D1087" s="1">
        <v>44376</v>
      </c>
      <c r="H1087" t="s">
        <v>319</v>
      </c>
      <c r="I1087" t="s">
        <v>1378</v>
      </c>
      <c r="J1087" t="s">
        <v>1379</v>
      </c>
      <c r="L1087" t="s">
        <v>1380</v>
      </c>
      <c r="M1087" t="s">
        <v>1381</v>
      </c>
      <c r="N1087" t="s">
        <v>134</v>
      </c>
      <c r="O1087" t="s">
        <v>1382</v>
      </c>
      <c r="P1087" t="s">
        <v>467</v>
      </c>
      <c r="Q1087" s="3">
        <v>80482</v>
      </c>
      <c r="R1087" t="s">
        <v>128</v>
      </c>
      <c r="S1087" t="s">
        <v>134</v>
      </c>
      <c r="T1087" s="4">
        <v>19707261536</v>
      </c>
      <c r="V1087" t="s">
        <v>1383</v>
      </c>
      <c r="W1087" t="s">
        <v>1384</v>
      </c>
      <c r="X1087" t="s">
        <v>1385</v>
      </c>
      <c r="Y1087" t="s">
        <v>1381</v>
      </c>
      <c r="Z1087" t="s">
        <v>134</v>
      </c>
      <c r="AA1087" t="s">
        <v>1382</v>
      </c>
      <c r="AB1087" t="s">
        <v>471</v>
      </c>
      <c r="AC1087" s="3" t="str">
        <f>"80482"</f>
        <v>80482</v>
      </c>
      <c r="AD1087" t="s">
        <v>128</v>
      </c>
      <c r="AE1087" t="s">
        <v>134</v>
      </c>
      <c r="AF1087" s="4">
        <v>19077261512</v>
      </c>
      <c r="AH1087" t="str">
        <f>"721110"</f>
        <v>721110</v>
      </c>
      <c r="AI1087" t="s">
        <v>130</v>
      </c>
      <c r="AJ1087" t="s">
        <v>1386</v>
      </c>
      <c r="AK1087" t="s">
        <v>1387</v>
      </c>
      <c r="AL1087" t="s">
        <v>1036</v>
      </c>
      <c r="AM1087" t="s">
        <v>1388</v>
      </c>
      <c r="AN1087" t="s">
        <v>997</v>
      </c>
      <c r="AO1087" t="s">
        <v>719</v>
      </c>
      <c r="AP1087" t="s">
        <v>377</v>
      </c>
      <c r="AQ1087" s="5">
        <v>1701</v>
      </c>
      <c r="AR1087" t="s">
        <v>128</v>
      </c>
      <c r="AS1087" t="s">
        <v>134</v>
      </c>
      <c r="AT1087" s="4">
        <v>16179399444</v>
      </c>
      <c r="AV1087" t="s">
        <v>1389</v>
      </c>
      <c r="AW1087" t="s">
        <v>1390</v>
      </c>
      <c r="AX1087" t="s">
        <v>131</v>
      </c>
      <c r="AY1087" t="s">
        <v>131</v>
      </c>
      <c r="AZ1087" t="s">
        <v>131</v>
      </c>
      <c r="BA1087" t="s">
        <v>131</v>
      </c>
      <c r="BB1087" t="s">
        <v>131</v>
      </c>
      <c r="BC1087" t="s">
        <v>131</v>
      </c>
      <c r="BD1087" t="s">
        <v>131</v>
      </c>
      <c r="BE1087" t="s">
        <v>132</v>
      </c>
      <c r="BH1087" t="s">
        <v>12982</v>
      </c>
      <c r="BI1087" t="s">
        <v>131</v>
      </c>
      <c r="BL1087" t="s">
        <v>167</v>
      </c>
      <c r="BO1087" t="s">
        <v>131</v>
      </c>
      <c r="BP1087" t="s">
        <v>134</v>
      </c>
      <c r="BQ1087" t="s">
        <v>131</v>
      </c>
      <c r="BS1087" t="str">
        <f t="shared" si="80"/>
        <v>N/A</v>
      </c>
      <c r="BT1087" t="s">
        <v>135</v>
      </c>
      <c r="BU1087">
        <v>6</v>
      </c>
      <c r="BV1087" t="str">
        <f>"Cashier"</f>
        <v>Cashier</v>
      </c>
      <c r="BW1087" t="s">
        <v>135</v>
      </c>
      <c r="BX1087" t="str">
        <f>""</f>
        <v/>
      </c>
      <c r="BY1087" t="str">
        <f>""</f>
        <v/>
      </c>
      <c r="BZ1087" t="str">
        <f>""</f>
        <v/>
      </c>
      <c r="CA1087" s="2" t="s">
        <v>12983</v>
      </c>
      <c r="CB1087" t="s">
        <v>131</v>
      </c>
      <c r="CF1087" t="s">
        <v>131</v>
      </c>
      <c r="CH1087" t="str">
        <f>""</f>
        <v/>
      </c>
      <c r="CI1087" t="s">
        <v>131</v>
      </c>
      <c r="CK1087" t="s">
        <v>131</v>
      </c>
      <c r="CL1087" t="str">
        <f>""</f>
        <v/>
      </c>
      <c r="CM1087" t="str">
        <f>""</f>
        <v/>
      </c>
      <c r="CN1087" t="str">
        <f>""</f>
        <v/>
      </c>
      <c r="CO1087" t="str">
        <f>""</f>
        <v/>
      </c>
      <c r="CP1087" t="str">
        <f>"41-2011.00"</f>
        <v>41-2011.00</v>
      </c>
      <c r="CQ1087" t="s">
        <v>5621</v>
      </c>
      <c r="CR1087" t="s">
        <v>1391</v>
      </c>
      <c r="CS1087" t="s">
        <v>131</v>
      </c>
      <c r="CU1087" t="s">
        <v>1381</v>
      </c>
      <c r="CV1087" t="s">
        <v>134</v>
      </c>
      <c r="CW1087" t="s">
        <v>1382</v>
      </c>
      <c r="CX1087" t="s">
        <v>471</v>
      </c>
      <c r="CZ1087" s="3" t="str">
        <f>"80482"</f>
        <v>80482</v>
      </c>
      <c r="DA1087" t="s">
        <v>131</v>
      </c>
      <c r="DB1087" t="str">
        <f>"41-2011"</f>
        <v>41-2011</v>
      </c>
      <c r="DC1087" t="s">
        <v>5621</v>
      </c>
      <c r="DD1087" t="s">
        <v>134</v>
      </c>
      <c r="DE1087" t="s">
        <v>134</v>
      </c>
      <c r="DF1087" t="str">
        <f>""</f>
        <v/>
      </c>
      <c r="DH1087" s="6">
        <v>14.74</v>
      </c>
      <c r="DI1087" t="s">
        <v>344</v>
      </c>
      <c r="DK1087" t="s">
        <v>345</v>
      </c>
      <c r="DS1087" s="6">
        <v>14.74</v>
      </c>
      <c r="DT1087" t="s">
        <v>424</v>
      </c>
      <c r="DU1087" s="1">
        <v>44376</v>
      </c>
      <c r="DV1087" s="1">
        <v>44465</v>
      </c>
    </row>
    <row r="1088" spans="1:126" ht="15" customHeight="1" x14ac:dyDescent="0.35">
      <c r="A1088" t="s">
        <v>16442</v>
      </c>
      <c r="B1088" t="s">
        <v>318</v>
      </c>
      <c r="C1088" s="1">
        <v>44349</v>
      </c>
      <c r="D1088" s="1">
        <v>44376</v>
      </c>
      <c r="H1088" t="s">
        <v>319</v>
      </c>
      <c r="I1088" t="s">
        <v>16443</v>
      </c>
      <c r="J1088" t="s">
        <v>5446</v>
      </c>
      <c r="L1088" t="s">
        <v>1105</v>
      </c>
      <c r="M1088" t="s">
        <v>16444</v>
      </c>
      <c r="O1088" t="s">
        <v>1597</v>
      </c>
      <c r="P1088" t="s">
        <v>311</v>
      </c>
      <c r="Q1088" s="3">
        <v>15227</v>
      </c>
      <c r="R1088" t="s">
        <v>128</v>
      </c>
      <c r="T1088" s="4">
        <v>14128538933</v>
      </c>
      <c r="V1088" t="s">
        <v>16445</v>
      </c>
      <c r="W1088" t="s">
        <v>16446</v>
      </c>
      <c r="Y1088" t="s">
        <v>16444</v>
      </c>
      <c r="AA1088" t="s">
        <v>1597</v>
      </c>
      <c r="AB1088" t="s">
        <v>312</v>
      </c>
      <c r="AC1088" s="3" t="str">
        <f>"15227"</f>
        <v>15227</v>
      </c>
      <c r="AD1088" t="s">
        <v>128</v>
      </c>
      <c r="AF1088" s="4">
        <v>14128538933</v>
      </c>
      <c r="AH1088" t="str">
        <f>"56173"</f>
        <v>56173</v>
      </c>
      <c r="AI1088" t="s">
        <v>287</v>
      </c>
      <c r="AJ1088" t="s">
        <v>2209</v>
      </c>
      <c r="AK1088" t="s">
        <v>1459</v>
      </c>
      <c r="AL1088" t="s">
        <v>2210</v>
      </c>
      <c r="AM1088" t="s">
        <v>2211</v>
      </c>
      <c r="AN1088" t="s">
        <v>788</v>
      </c>
      <c r="AO1088" t="s">
        <v>2212</v>
      </c>
      <c r="AP1088" t="s">
        <v>400</v>
      </c>
      <c r="AQ1088" s="5">
        <v>75033</v>
      </c>
      <c r="AR1088" t="s">
        <v>128</v>
      </c>
      <c r="AT1088" s="4">
        <v>19727789690</v>
      </c>
      <c r="AV1088" t="s">
        <v>2213</v>
      </c>
      <c r="AW1088" t="s">
        <v>2214</v>
      </c>
      <c r="AX1088" t="s">
        <v>131</v>
      </c>
      <c r="AY1088" t="s">
        <v>131</v>
      </c>
      <c r="AZ1088" t="s">
        <v>131</v>
      </c>
      <c r="BA1088" t="s">
        <v>131</v>
      </c>
      <c r="BB1088" t="s">
        <v>131</v>
      </c>
      <c r="BC1088" t="s">
        <v>131</v>
      </c>
      <c r="BD1088" t="s">
        <v>131</v>
      </c>
      <c r="BE1088" t="s">
        <v>132</v>
      </c>
      <c r="BH1088" t="s">
        <v>2215</v>
      </c>
      <c r="BI1088" t="s">
        <v>131</v>
      </c>
      <c r="BL1088" t="s">
        <v>167</v>
      </c>
      <c r="BO1088" t="s">
        <v>131</v>
      </c>
      <c r="BP1088" t="s">
        <v>134</v>
      </c>
      <c r="BQ1088" t="s">
        <v>131</v>
      </c>
      <c r="BS1088" t="str">
        <f t="shared" si="80"/>
        <v>N/A</v>
      </c>
      <c r="BT1088" t="s">
        <v>131</v>
      </c>
      <c r="BV1088" t="str">
        <f>""</f>
        <v/>
      </c>
      <c r="BW1088" t="s">
        <v>135</v>
      </c>
      <c r="BX1088" t="str">
        <f>""</f>
        <v/>
      </c>
      <c r="BY1088" t="str">
        <f>""</f>
        <v/>
      </c>
      <c r="BZ1088" t="str">
        <f>""</f>
        <v/>
      </c>
      <c r="CA1088" t="str">
        <f>"Must be able to work a 6 day schedule, including weekends and holidays as required. Applicant must complete an employment application."</f>
        <v>Must be able to work a 6 day schedule, including weekends and holidays as required. Applicant must complete an employment application.</v>
      </c>
      <c r="CB1088" t="s">
        <v>131</v>
      </c>
      <c r="CF1088" t="s">
        <v>131</v>
      </c>
      <c r="CH1088" t="str">
        <f>""</f>
        <v/>
      </c>
      <c r="CI1088" t="s">
        <v>131</v>
      </c>
      <c r="CK1088" t="s">
        <v>131</v>
      </c>
      <c r="CL1088" t="str">
        <f>""</f>
        <v/>
      </c>
      <c r="CM1088" t="str">
        <f>""</f>
        <v/>
      </c>
      <c r="CN1088" t="str">
        <f>""</f>
        <v/>
      </c>
      <c r="CO1088" t="str">
        <f>""</f>
        <v/>
      </c>
      <c r="CP1088" t="str">
        <f>"37-3011.00"</f>
        <v>37-3011.00</v>
      </c>
      <c r="CQ1088" t="s">
        <v>920</v>
      </c>
      <c r="CS1088" t="s">
        <v>135</v>
      </c>
      <c r="CT1088" t="s">
        <v>6680</v>
      </c>
      <c r="CU1088" t="s">
        <v>16444</v>
      </c>
      <c r="CW1088" t="s">
        <v>1597</v>
      </c>
      <c r="CX1088" t="s">
        <v>312</v>
      </c>
      <c r="CZ1088" s="3" t="str">
        <f>"15227"</f>
        <v>15227</v>
      </c>
      <c r="DA1088" t="s">
        <v>131</v>
      </c>
      <c r="DB1088" t="str">
        <f>"37-3011"</f>
        <v>37-3011</v>
      </c>
      <c r="DC1088" t="s">
        <v>920</v>
      </c>
      <c r="DD1088" t="s">
        <v>134</v>
      </c>
      <c r="DE1088" t="s">
        <v>134</v>
      </c>
      <c r="DF1088" t="str">
        <f>""</f>
        <v/>
      </c>
      <c r="DH1088" s="6">
        <v>14.66</v>
      </c>
      <c r="DI1088" t="s">
        <v>344</v>
      </c>
      <c r="DK1088" t="s">
        <v>345</v>
      </c>
      <c r="DR1088" t="s">
        <v>15852</v>
      </c>
      <c r="DS1088" s="6">
        <v>14.66</v>
      </c>
      <c r="DT1088" t="s">
        <v>424</v>
      </c>
      <c r="DU1088" s="1">
        <v>44376</v>
      </c>
      <c r="DV1088" s="1">
        <v>44465</v>
      </c>
    </row>
    <row r="1089" spans="1:126" ht="15" customHeight="1" x14ac:dyDescent="0.35">
      <c r="A1089" t="s">
        <v>7181</v>
      </c>
      <c r="B1089" t="s">
        <v>318</v>
      </c>
      <c r="C1089" s="1">
        <v>44349</v>
      </c>
      <c r="D1089" s="1">
        <v>44376</v>
      </c>
      <c r="H1089" t="s">
        <v>319</v>
      </c>
      <c r="I1089" t="s">
        <v>7182</v>
      </c>
      <c r="J1089" t="s">
        <v>4657</v>
      </c>
      <c r="L1089" t="s">
        <v>4195</v>
      </c>
      <c r="M1089" t="s">
        <v>4658</v>
      </c>
      <c r="O1089" t="s">
        <v>3512</v>
      </c>
      <c r="P1089" t="s">
        <v>194</v>
      </c>
      <c r="Q1089" s="3">
        <v>33446</v>
      </c>
      <c r="R1089" t="s">
        <v>128</v>
      </c>
      <c r="T1089" s="4">
        <v>15614956336</v>
      </c>
      <c r="V1089" t="s">
        <v>1253</v>
      </c>
      <c r="W1089" t="s">
        <v>4659</v>
      </c>
      <c r="Y1089" t="s">
        <v>7183</v>
      </c>
      <c r="AA1089" t="s">
        <v>3512</v>
      </c>
      <c r="AB1089" t="s">
        <v>195</v>
      </c>
      <c r="AC1089" s="3" t="str">
        <f>"33446"</f>
        <v>33446</v>
      </c>
      <c r="AD1089" t="s">
        <v>128</v>
      </c>
      <c r="AF1089" s="4">
        <v>15614956336</v>
      </c>
      <c r="AH1089" t="str">
        <f>"71391"</f>
        <v>71391</v>
      </c>
      <c r="AI1089" t="s">
        <v>287</v>
      </c>
      <c r="AJ1089" t="s">
        <v>573</v>
      </c>
      <c r="AK1089" t="s">
        <v>574</v>
      </c>
      <c r="AM1089" t="s">
        <v>575</v>
      </c>
      <c r="AO1089" t="s">
        <v>576</v>
      </c>
      <c r="AP1089" t="s">
        <v>129</v>
      </c>
      <c r="AQ1089" s="5">
        <v>14850</v>
      </c>
      <c r="AR1089" t="s">
        <v>128</v>
      </c>
      <c r="AT1089" s="4">
        <v>18777387462</v>
      </c>
      <c r="AV1089" t="s">
        <v>577</v>
      </c>
      <c r="AW1089" t="s">
        <v>7184</v>
      </c>
      <c r="AX1089" t="s">
        <v>131</v>
      </c>
      <c r="AY1089" t="s">
        <v>131</v>
      </c>
      <c r="AZ1089" t="s">
        <v>131</v>
      </c>
      <c r="BA1089" t="s">
        <v>131</v>
      </c>
      <c r="BB1089" t="s">
        <v>131</v>
      </c>
      <c r="BC1089" t="s">
        <v>131</v>
      </c>
      <c r="BD1089" t="s">
        <v>131</v>
      </c>
      <c r="BE1089" t="s">
        <v>132</v>
      </c>
      <c r="BH1089" t="s">
        <v>4660</v>
      </c>
      <c r="BI1089" t="s">
        <v>135</v>
      </c>
      <c r="BJ1089" t="s">
        <v>4661</v>
      </c>
      <c r="BK1089" t="s">
        <v>1214</v>
      </c>
      <c r="BL1089" t="s">
        <v>167</v>
      </c>
      <c r="BO1089" t="s">
        <v>131</v>
      </c>
      <c r="BP1089" t="s">
        <v>134</v>
      </c>
      <c r="BQ1089" t="s">
        <v>131</v>
      </c>
      <c r="BS1089" t="str">
        <f t="shared" si="80"/>
        <v>N/A</v>
      </c>
      <c r="BT1089" t="s">
        <v>135</v>
      </c>
      <c r="BU1089">
        <v>6</v>
      </c>
      <c r="BV1089" t="str">
        <f>"fine dining service "</f>
        <v xml:space="preserve">fine dining service </v>
      </c>
      <c r="BW1089" t="s">
        <v>135</v>
      </c>
      <c r="BX1089" t="str">
        <f>""</f>
        <v/>
      </c>
      <c r="BY1089" t="str">
        <f>""</f>
        <v/>
      </c>
      <c r="BZ1089" t="str">
        <f>""</f>
        <v/>
      </c>
      <c r="CA1089" s="2" t="s">
        <v>4662</v>
      </c>
      <c r="CB1089" t="s">
        <v>131</v>
      </c>
      <c r="CF1089" t="s">
        <v>131</v>
      </c>
      <c r="CH1089" t="str">
        <f>""</f>
        <v/>
      </c>
      <c r="CI1089" t="s">
        <v>131</v>
      </c>
      <c r="CK1089" t="s">
        <v>131</v>
      </c>
      <c r="CL1089" t="str">
        <f>""</f>
        <v/>
      </c>
      <c r="CM1089" t="str">
        <f>""</f>
        <v/>
      </c>
      <c r="CN1089" t="str">
        <f>""</f>
        <v/>
      </c>
      <c r="CO1089" t="str">
        <f>""</f>
        <v/>
      </c>
      <c r="CP1089" t="str">
        <f>"35-1012.00"</f>
        <v>35-1012.00</v>
      </c>
      <c r="CQ1089" t="s">
        <v>1132</v>
      </c>
      <c r="CS1089" t="s">
        <v>131</v>
      </c>
      <c r="CU1089" t="s">
        <v>4658</v>
      </c>
      <c r="CW1089" t="s">
        <v>3512</v>
      </c>
      <c r="CX1089" t="s">
        <v>195</v>
      </c>
      <c r="CZ1089" s="3" t="str">
        <f>"33446"</f>
        <v>33446</v>
      </c>
      <c r="DA1089" t="s">
        <v>131</v>
      </c>
      <c r="DB1089" t="str">
        <f>"35-1012"</f>
        <v>35-1012</v>
      </c>
      <c r="DC1089" t="s">
        <v>1132</v>
      </c>
      <c r="DD1089" t="s">
        <v>134</v>
      </c>
      <c r="DE1089" t="s">
        <v>134</v>
      </c>
      <c r="DF1089" t="str">
        <f>""</f>
        <v/>
      </c>
      <c r="DH1089" s="6">
        <v>18.559999999999999</v>
      </c>
      <c r="DI1089" t="s">
        <v>344</v>
      </c>
      <c r="DK1089" t="s">
        <v>345</v>
      </c>
      <c r="DS1089" s="6">
        <v>18.559999999999999</v>
      </c>
      <c r="DT1089" t="s">
        <v>424</v>
      </c>
      <c r="DU1089" s="1">
        <v>44376</v>
      </c>
      <c r="DV1089" s="1">
        <v>44465</v>
      </c>
    </row>
    <row r="1090" spans="1:126" ht="15" customHeight="1" x14ac:dyDescent="0.35">
      <c r="A1090" t="s">
        <v>10285</v>
      </c>
      <c r="B1090" t="s">
        <v>318</v>
      </c>
      <c r="C1090" s="1">
        <v>44349</v>
      </c>
      <c r="D1090" s="1">
        <v>44377</v>
      </c>
      <c r="H1090" t="s">
        <v>319</v>
      </c>
      <c r="I1090" t="s">
        <v>10286</v>
      </c>
      <c r="J1090" t="s">
        <v>8802</v>
      </c>
      <c r="L1090" t="s">
        <v>1105</v>
      </c>
      <c r="M1090" t="s">
        <v>10287</v>
      </c>
      <c r="O1090" t="s">
        <v>7413</v>
      </c>
      <c r="P1090" t="s">
        <v>412</v>
      </c>
      <c r="Q1090" s="3">
        <v>77983</v>
      </c>
      <c r="R1090" t="s">
        <v>128</v>
      </c>
      <c r="T1090" s="4">
        <v>12145978462</v>
      </c>
      <c r="V1090" t="s">
        <v>10288</v>
      </c>
      <c r="W1090" t="s">
        <v>10289</v>
      </c>
      <c r="Y1090" t="s">
        <v>10290</v>
      </c>
      <c r="AA1090" t="s">
        <v>7413</v>
      </c>
      <c r="AB1090" t="s">
        <v>400</v>
      </c>
      <c r="AC1090" s="3" t="str">
        <f>"77983"</f>
        <v>77983</v>
      </c>
      <c r="AD1090" t="s">
        <v>128</v>
      </c>
      <c r="AF1090" s="4">
        <v>12145978462</v>
      </c>
      <c r="AH1090" t="str">
        <f>"114112"</f>
        <v>114112</v>
      </c>
      <c r="AI1090" t="s">
        <v>287</v>
      </c>
      <c r="AJ1090" t="s">
        <v>1106</v>
      </c>
      <c r="AK1090" t="s">
        <v>1107</v>
      </c>
      <c r="AL1090" t="s">
        <v>1108</v>
      </c>
      <c r="AM1090" t="s">
        <v>1109</v>
      </c>
      <c r="AN1090" t="s">
        <v>1110</v>
      </c>
      <c r="AO1090" t="s">
        <v>7162</v>
      </c>
      <c r="AP1090" t="s">
        <v>306</v>
      </c>
      <c r="AQ1090" s="5">
        <v>24521</v>
      </c>
      <c r="AR1090" t="s">
        <v>128</v>
      </c>
      <c r="AT1090" s="4">
        <v>14349460035</v>
      </c>
      <c r="AU1090">
        <v>11</v>
      </c>
      <c r="AV1090" t="s">
        <v>10291</v>
      </c>
      <c r="AW1090" t="s">
        <v>1113</v>
      </c>
      <c r="AX1090" t="s">
        <v>131</v>
      </c>
      <c r="AY1090" t="s">
        <v>131</v>
      </c>
      <c r="AZ1090" t="s">
        <v>131</v>
      </c>
      <c r="BA1090" t="s">
        <v>131</v>
      </c>
      <c r="BB1090" t="s">
        <v>131</v>
      </c>
      <c r="BC1090" t="s">
        <v>131</v>
      </c>
      <c r="BD1090" t="s">
        <v>131</v>
      </c>
      <c r="BE1090" t="s">
        <v>132</v>
      </c>
      <c r="BH1090" t="s">
        <v>10292</v>
      </c>
      <c r="BI1090" t="s">
        <v>131</v>
      </c>
      <c r="BL1090" t="s">
        <v>167</v>
      </c>
      <c r="BO1090" t="s">
        <v>131</v>
      </c>
      <c r="BP1090" t="s">
        <v>134</v>
      </c>
      <c r="BQ1090" t="s">
        <v>131</v>
      </c>
      <c r="BS1090" t="str">
        <f t="shared" si="80"/>
        <v>N/A</v>
      </c>
      <c r="BT1090" t="s">
        <v>131</v>
      </c>
      <c r="BV1090" t="str">
        <f>""</f>
        <v/>
      </c>
      <c r="BW1090" t="s">
        <v>135</v>
      </c>
      <c r="BX1090" t="str">
        <f>""</f>
        <v/>
      </c>
      <c r="BY1090" t="str">
        <f>""</f>
        <v/>
      </c>
      <c r="BZ1090" t="str">
        <f>""</f>
        <v/>
      </c>
      <c r="CA1090" t="str">
        <f>"Lift/carry up to 125 pounds.
"</f>
        <v xml:space="preserve">Lift/carry up to 125 pounds.
</v>
      </c>
      <c r="CB1090" t="s">
        <v>131</v>
      </c>
      <c r="CF1090" t="s">
        <v>131</v>
      </c>
      <c r="CH1090" t="str">
        <f>""</f>
        <v/>
      </c>
      <c r="CI1090" t="s">
        <v>131</v>
      </c>
      <c r="CK1090" t="s">
        <v>131</v>
      </c>
      <c r="CL1090" t="str">
        <f>""</f>
        <v/>
      </c>
      <c r="CM1090" t="str">
        <f>""</f>
        <v/>
      </c>
      <c r="CN1090" t="str">
        <f>""</f>
        <v/>
      </c>
      <c r="CO1090" t="str">
        <f>""</f>
        <v/>
      </c>
      <c r="CP1090" t="str">
        <f>"45-3011.00"</f>
        <v>45-3011.00</v>
      </c>
      <c r="CQ1090" t="s">
        <v>1770</v>
      </c>
      <c r="CR1090" t="s">
        <v>918</v>
      </c>
      <c r="CS1090" t="s">
        <v>135</v>
      </c>
      <c r="CT1090" t="s">
        <v>10293</v>
      </c>
      <c r="CU1090" t="s">
        <v>10290</v>
      </c>
      <c r="CW1090" t="s">
        <v>7413</v>
      </c>
      <c r="CX1090" t="s">
        <v>400</v>
      </c>
      <c r="CZ1090" s="3" t="str">
        <f>"77983"</f>
        <v>77983</v>
      </c>
      <c r="DA1090" t="s">
        <v>135</v>
      </c>
      <c r="DB1090" t="str">
        <f>"49-9071"</f>
        <v>49-9071</v>
      </c>
      <c r="DC1090" t="s">
        <v>4022</v>
      </c>
      <c r="DD1090" t="s">
        <v>134</v>
      </c>
      <c r="DE1090" t="s">
        <v>134</v>
      </c>
      <c r="DF1090" t="str">
        <f>"45-3011.00"</f>
        <v>45-3011.00</v>
      </c>
      <c r="DG1090" t="s">
        <v>1770</v>
      </c>
      <c r="DH1090" s="6">
        <v>15.76</v>
      </c>
      <c r="DI1090" t="s">
        <v>344</v>
      </c>
      <c r="DK1090" t="s">
        <v>345</v>
      </c>
      <c r="DS1090" s="6">
        <v>19.55</v>
      </c>
      <c r="DT1090" s="2" t="s">
        <v>347</v>
      </c>
      <c r="DU1090" s="1">
        <v>44377</v>
      </c>
      <c r="DV1090" s="1">
        <v>44466</v>
      </c>
    </row>
    <row r="1091" spans="1:126" ht="15" customHeight="1" x14ac:dyDescent="0.35">
      <c r="A1091" t="s">
        <v>12655</v>
      </c>
      <c r="B1091" t="s">
        <v>318</v>
      </c>
      <c r="C1091" s="1">
        <v>44349</v>
      </c>
      <c r="D1091" s="1">
        <v>44376</v>
      </c>
      <c r="H1091" t="s">
        <v>319</v>
      </c>
      <c r="I1091" t="s">
        <v>4852</v>
      </c>
      <c r="J1091" t="s">
        <v>7020</v>
      </c>
      <c r="L1091" t="s">
        <v>587</v>
      </c>
      <c r="M1091" t="s">
        <v>12656</v>
      </c>
      <c r="O1091" t="s">
        <v>12657</v>
      </c>
      <c r="P1091" t="s">
        <v>539</v>
      </c>
      <c r="Q1091" s="3">
        <v>60050</v>
      </c>
      <c r="R1091" t="s">
        <v>128</v>
      </c>
      <c r="T1091" s="4">
        <v>16307390205</v>
      </c>
      <c r="V1091" t="s">
        <v>12658</v>
      </c>
      <c r="W1091" t="s">
        <v>12659</v>
      </c>
      <c r="Y1091" t="s">
        <v>12656</v>
      </c>
      <c r="AA1091" t="s">
        <v>12657</v>
      </c>
      <c r="AB1091" t="s">
        <v>263</v>
      </c>
      <c r="AC1091" s="3" t="str">
        <f>"60050"</f>
        <v>60050</v>
      </c>
      <c r="AD1091" t="s">
        <v>128</v>
      </c>
      <c r="AF1091" s="4">
        <v>16307390205</v>
      </c>
      <c r="AH1091" t="str">
        <f>"56173"</f>
        <v>56173</v>
      </c>
      <c r="AI1091" t="s">
        <v>287</v>
      </c>
      <c r="AJ1091" t="s">
        <v>1106</v>
      </c>
      <c r="AK1091" t="s">
        <v>1107</v>
      </c>
      <c r="AL1091" t="s">
        <v>1108</v>
      </c>
      <c r="AM1091" t="s">
        <v>1109</v>
      </c>
      <c r="AN1091" t="s">
        <v>8123</v>
      </c>
      <c r="AO1091" t="s">
        <v>1111</v>
      </c>
      <c r="AP1091" t="s">
        <v>306</v>
      </c>
      <c r="AQ1091" s="5">
        <v>24521</v>
      </c>
      <c r="AR1091" t="s">
        <v>128</v>
      </c>
      <c r="AS1091" t="s">
        <v>134</v>
      </c>
      <c r="AT1091" s="4">
        <v>14349460035</v>
      </c>
      <c r="AU1091">
        <v>11</v>
      </c>
      <c r="AV1091" t="s">
        <v>1112</v>
      </c>
      <c r="AW1091" t="s">
        <v>1113</v>
      </c>
      <c r="AX1091" t="s">
        <v>131</v>
      </c>
      <c r="AY1091" t="s">
        <v>131</v>
      </c>
      <c r="AZ1091" t="s">
        <v>131</v>
      </c>
      <c r="BA1091" t="s">
        <v>131</v>
      </c>
      <c r="BB1091" t="s">
        <v>131</v>
      </c>
      <c r="BC1091" t="s">
        <v>131</v>
      </c>
      <c r="BD1091" t="s">
        <v>131</v>
      </c>
      <c r="BE1091" t="s">
        <v>132</v>
      </c>
      <c r="BH1091" t="s">
        <v>10006</v>
      </c>
      <c r="BI1091" t="s">
        <v>131</v>
      </c>
      <c r="BL1091" t="s">
        <v>167</v>
      </c>
      <c r="BO1091" t="s">
        <v>131</v>
      </c>
      <c r="BP1091" t="s">
        <v>134</v>
      </c>
      <c r="BQ1091" t="s">
        <v>131</v>
      </c>
      <c r="BS1091" t="str">
        <f t="shared" si="80"/>
        <v>N/A</v>
      </c>
      <c r="BT1091" t="s">
        <v>131</v>
      </c>
      <c r="BV1091" t="str">
        <f>""</f>
        <v/>
      </c>
      <c r="BW1091" t="s">
        <v>131</v>
      </c>
      <c r="BX1091" t="str">
        <f>""</f>
        <v/>
      </c>
      <c r="BY1091" t="str">
        <f>""</f>
        <v/>
      </c>
      <c r="BZ1091" t="str">
        <f>""</f>
        <v/>
      </c>
      <c r="CA1091" t="str">
        <f>""</f>
        <v/>
      </c>
      <c r="CB1091" t="s">
        <v>131</v>
      </c>
      <c r="CF1091" t="s">
        <v>131</v>
      </c>
      <c r="CH1091" t="str">
        <f>""</f>
        <v/>
      </c>
      <c r="CI1091" t="s">
        <v>131</v>
      </c>
      <c r="CK1091" t="s">
        <v>131</v>
      </c>
      <c r="CL1091" t="str">
        <f>""</f>
        <v/>
      </c>
      <c r="CM1091" t="str">
        <f>""</f>
        <v/>
      </c>
      <c r="CN1091" t="str">
        <f>""</f>
        <v/>
      </c>
      <c r="CO1091" t="str">
        <f>""</f>
        <v/>
      </c>
      <c r="CP1091" t="str">
        <f>"37-3011.00"</f>
        <v>37-3011.00</v>
      </c>
      <c r="CQ1091" t="s">
        <v>920</v>
      </c>
      <c r="CR1091" t="s">
        <v>7907</v>
      </c>
      <c r="CS1091" t="s">
        <v>135</v>
      </c>
      <c r="CT1091" t="s">
        <v>12660</v>
      </c>
      <c r="CU1091" t="s">
        <v>12656</v>
      </c>
      <c r="CW1091" t="s">
        <v>12657</v>
      </c>
      <c r="CX1091" t="s">
        <v>263</v>
      </c>
      <c r="CZ1091" s="3" t="str">
        <f>"60050"</f>
        <v>60050</v>
      </c>
      <c r="DA1091" t="s">
        <v>135</v>
      </c>
      <c r="DB1091" t="str">
        <f>"37-3011"</f>
        <v>37-3011</v>
      </c>
      <c r="DC1091" t="s">
        <v>920</v>
      </c>
      <c r="DD1091" t="s">
        <v>134</v>
      </c>
      <c r="DE1091" t="s">
        <v>134</v>
      </c>
      <c r="DF1091" t="str">
        <f>""</f>
        <v/>
      </c>
      <c r="DH1091" s="6">
        <v>16.34</v>
      </c>
      <c r="DI1091" t="s">
        <v>344</v>
      </c>
      <c r="DK1091" t="s">
        <v>345</v>
      </c>
      <c r="DS1091" s="6">
        <v>16.34</v>
      </c>
      <c r="DT1091" s="2" t="s">
        <v>2219</v>
      </c>
      <c r="DU1091" s="1">
        <v>44376</v>
      </c>
      <c r="DV1091" s="1">
        <v>44465</v>
      </c>
    </row>
    <row r="1092" spans="1:126" ht="15" customHeight="1" x14ac:dyDescent="0.35">
      <c r="A1092" t="s">
        <v>15233</v>
      </c>
      <c r="B1092" t="s">
        <v>318</v>
      </c>
      <c r="C1092" s="1">
        <v>44349</v>
      </c>
      <c r="D1092" s="1">
        <v>44376</v>
      </c>
      <c r="H1092" t="s">
        <v>319</v>
      </c>
      <c r="I1092" t="s">
        <v>13371</v>
      </c>
      <c r="J1092" t="s">
        <v>15234</v>
      </c>
      <c r="K1092" t="s">
        <v>15235</v>
      </c>
      <c r="L1092" t="s">
        <v>199</v>
      </c>
      <c r="M1092" t="s">
        <v>15236</v>
      </c>
      <c r="O1092" t="s">
        <v>1101</v>
      </c>
      <c r="P1092" t="s">
        <v>194</v>
      </c>
      <c r="Q1092" s="3">
        <v>32221</v>
      </c>
      <c r="R1092" t="s">
        <v>128</v>
      </c>
      <c r="T1092" s="4">
        <v>19045167919</v>
      </c>
      <c r="V1092" t="s">
        <v>15237</v>
      </c>
      <c r="W1092" t="s">
        <v>15238</v>
      </c>
      <c r="Y1092" t="s">
        <v>15236</v>
      </c>
      <c r="AA1092" t="s">
        <v>1101</v>
      </c>
      <c r="AB1092" t="s">
        <v>195</v>
      </c>
      <c r="AC1092" s="3" t="str">
        <f>"32208"</f>
        <v>32208</v>
      </c>
      <c r="AD1092" t="s">
        <v>128</v>
      </c>
      <c r="AF1092" s="4">
        <v>19045167919</v>
      </c>
      <c r="AH1092" t="str">
        <f>"238990"</f>
        <v>238990</v>
      </c>
      <c r="AI1092" t="s">
        <v>167</v>
      </c>
      <c r="AX1092" t="s">
        <v>131</v>
      </c>
      <c r="AY1092" t="s">
        <v>131</v>
      </c>
      <c r="AZ1092" t="s">
        <v>131</v>
      </c>
      <c r="BA1092" t="s">
        <v>131</v>
      </c>
      <c r="BB1092" t="s">
        <v>131</v>
      </c>
      <c r="BC1092" t="s">
        <v>131</v>
      </c>
      <c r="BD1092" t="s">
        <v>131</v>
      </c>
      <c r="BE1092" t="s">
        <v>132</v>
      </c>
      <c r="BH1092" t="s">
        <v>15239</v>
      </c>
      <c r="BI1092" t="s">
        <v>131</v>
      </c>
      <c r="BL1092" t="s">
        <v>167</v>
      </c>
      <c r="BO1092" t="s">
        <v>131</v>
      </c>
      <c r="BP1092" t="s">
        <v>134</v>
      </c>
      <c r="BQ1092" t="s">
        <v>131</v>
      </c>
      <c r="BS1092" t="str">
        <f t="shared" si="80"/>
        <v>N/A</v>
      </c>
      <c r="BT1092" t="s">
        <v>135</v>
      </c>
      <c r="BU1092">
        <v>24</v>
      </c>
      <c r="BV1092" t="str">
        <f>"Paver Installer, block mason or brick mason"</f>
        <v>Paver Installer, block mason or brick mason</v>
      </c>
      <c r="BW1092" t="s">
        <v>131</v>
      </c>
      <c r="BX1092" t="str">
        <f>""</f>
        <v/>
      </c>
      <c r="BY1092" t="str">
        <f>""</f>
        <v/>
      </c>
      <c r="BZ1092" t="str">
        <f>""</f>
        <v/>
      </c>
      <c r="CA1092" t="str">
        <f>""</f>
        <v/>
      </c>
      <c r="CB1092" t="s">
        <v>131</v>
      </c>
      <c r="CF1092" t="s">
        <v>131</v>
      </c>
      <c r="CH1092" t="str">
        <f>""</f>
        <v/>
      </c>
      <c r="CI1092" t="s">
        <v>131</v>
      </c>
      <c r="CK1092" t="s">
        <v>131</v>
      </c>
      <c r="CL1092" t="str">
        <f>""</f>
        <v/>
      </c>
      <c r="CM1092" t="str">
        <f>""</f>
        <v/>
      </c>
      <c r="CN1092" t="str">
        <f>""</f>
        <v/>
      </c>
      <c r="CO1092" t="str">
        <f>""</f>
        <v/>
      </c>
      <c r="CP1092" t="str">
        <f>"47-4091.00"</f>
        <v>47-4091.00</v>
      </c>
      <c r="CQ1092" t="s">
        <v>8266</v>
      </c>
      <c r="CR1092" t="s">
        <v>15240</v>
      </c>
      <c r="CS1092" t="s">
        <v>135</v>
      </c>
      <c r="CT1092" t="s">
        <v>15241</v>
      </c>
      <c r="CU1092" t="s">
        <v>15236</v>
      </c>
      <c r="CW1092" t="s">
        <v>1101</v>
      </c>
      <c r="CX1092" t="s">
        <v>195</v>
      </c>
      <c r="CZ1092" s="3" t="str">
        <f>"32208"</f>
        <v>32208</v>
      </c>
      <c r="DA1092" t="s">
        <v>135</v>
      </c>
      <c r="DB1092" t="str">
        <f>"47-4091"</f>
        <v>47-4091</v>
      </c>
      <c r="DC1092" t="s">
        <v>8266</v>
      </c>
      <c r="DD1092" t="s">
        <v>134</v>
      </c>
      <c r="DE1092" t="s">
        <v>134</v>
      </c>
      <c r="DF1092" t="str">
        <f>""</f>
        <v/>
      </c>
      <c r="DH1092" s="6">
        <v>19.62</v>
      </c>
      <c r="DI1092" t="s">
        <v>344</v>
      </c>
      <c r="DK1092" t="s">
        <v>345</v>
      </c>
      <c r="DR1092" t="s">
        <v>6681</v>
      </c>
      <c r="DS1092" s="6">
        <v>19.62</v>
      </c>
      <c r="DT1092" s="2" t="s">
        <v>2219</v>
      </c>
      <c r="DU1092" s="1">
        <v>44376</v>
      </c>
      <c r="DV1092" s="1">
        <v>44465</v>
      </c>
    </row>
    <row r="1093" spans="1:126" ht="15" customHeight="1" x14ac:dyDescent="0.35">
      <c r="A1093" t="s">
        <v>14269</v>
      </c>
      <c r="B1093" t="s">
        <v>318</v>
      </c>
      <c r="C1093" s="1">
        <v>44349</v>
      </c>
      <c r="D1093" s="1">
        <v>44376</v>
      </c>
      <c r="H1093" t="s">
        <v>319</v>
      </c>
      <c r="I1093" t="s">
        <v>7313</v>
      </c>
      <c r="J1093" t="s">
        <v>7314</v>
      </c>
      <c r="L1093" t="s">
        <v>2076</v>
      </c>
      <c r="M1093" t="s">
        <v>7315</v>
      </c>
      <c r="O1093" t="s">
        <v>1812</v>
      </c>
      <c r="P1093" t="s">
        <v>194</v>
      </c>
      <c r="Q1093" s="3">
        <v>33432</v>
      </c>
      <c r="R1093" t="s">
        <v>128</v>
      </c>
      <c r="T1093" s="4">
        <v>15612108117</v>
      </c>
      <c r="V1093" t="s">
        <v>134</v>
      </c>
      <c r="W1093" t="s">
        <v>7317</v>
      </c>
      <c r="Y1093" t="s">
        <v>7315</v>
      </c>
      <c r="AA1093" t="s">
        <v>1812</v>
      </c>
      <c r="AB1093" t="s">
        <v>195</v>
      </c>
      <c r="AC1093" s="3" t="str">
        <f>"33432"</f>
        <v>33432</v>
      </c>
      <c r="AD1093" t="s">
        <v>128</v>
      </c>
      <c r="AF1093" s="4">
        <v>15612108117</v>
      </c>
      <c r="AH1093" t="str">
        <f>"71391"</f>
        <v>71391</v>
      </c>
      <c r="AI1093" t="s">
        <v>287</v>
      </c>
      <c r="AJ1093" t="s">
        <v>573</v>
      </c>
      <c r="AK1093" t="s">
        <v>574</v>
      </c>
      <c r="AM1093" t="s">
        <v>575</v>
      </c>
      <c r="AO1093" t="s">
        <v>576</v>
      </c>
      <c r="AP1093" t="s">
        <v>129</v>
      </c>
      <c r="AQ1093" s="5">
        <v>14850</v>
      </c>
      <c r="AR1093" t="s">
        <v>128</v>
      </c>
      <c r="AT1093" s="4">
        <v>18777387462</v>
      </c>
      <c r="AV1093" t="s">
        <v>577</v>
      </c>
      <c r="AW1093" t="s">
        <v>578</v>
      </c>
      <c r="AX1093" t="s">
        <v>131</v>
      </c>
      <c r="AY1093" t="s">
        <v>131</v>
      </c>
      <c r="AZ1093" t="s">
        <v>131</v>
      </c>
      <c r="BA1093" t="s">
        <v>131</v>
      </c>
      <c r="BB1093" t="s">
        <v>131</v>
      </c>
      <c r="BC1093" t="s">
        <v>131</v>
      </c>
      <c r="BD1093" t="s">
        <v>131</v>
      </c>
      <c r="BE1093" t="s">
        <v>132</v>
      </c>
      <c r="BH1093" t="s">
        <v>13954</v>
      </c>
      <c r="BI1093" t="s">
        <v>131</v>
      </c>
      <c r="BL1093" t="s">
        <v>167</v>
      </c>
      <c r="BO1093" t="s">
        <v>131</v>
      </c>
      <c r="BP1093" t="s">
        <v>134</v>
      </c>
      <c r="BQ1093" t="s">
        <v>131</v>
      </c>
      <c r="BS1093" t="str">
        <f t="shared" si="80"/>
        <v>N/A</v>
      </c>
      <c r="BT1093" t="s">
        <v>135</v>
      </c>
      <c r="BU1093">
        <v>2</v>
      </c>
      <c r="BV1093" t="str">
        <f>"golf or recreation environment at private club"</f>
        <v>golf or recreation environment at private club</v>
      </c>
      <c r="BW1093" t="s">
        <v>135</v>
      </c>
      <c r="BX1093" t="str">
        <f>""</f>
        <v/>
      </c>
      <c r="BY1093" t="str">
        <f>""</f>
        <v/>
      </c>
      <c r="BZ1093" t="str">
        <f>""</f>
        <v/>
      </c>
      <c r="CA1093" s="2" t="s">
        <v>14270</v>
      </c>
      <c r="CB1093" t="s">
        <v>131</v>
      </c>
      <c r="CF1093" t="s">
        <v>131</v>
      </c>
      <c r="CH1093" t="str">
        <f>""</f>
        <v/>
      </c>
      <c r="CI1093" t="s">
        <v>131</v>
      </c>
      <c r="CK1093" t="s">
        <v>131</v>
      </c>
      <c r="CL1093" t="str">
        <f>""</f>
        <v/>
      </c>
      <c r="CM1093" t="str">
        <f>""</f>
        <v/>
      </c>
      <c r="CN1093" t="str">
        <f>""</f>
        <v/>
      </c>
      <c r="CO1093" t="str">
        <f>""</f>
        <v/>
      </c>
      <c r="CP1093" t="str">
        <f>"39-3091.00"</f>
        <v>39-3091.00</v>
      </c>
      <c r="CQ1093" t="s">
        <v>1374</v>
      </c>
      <c r="CS1093" t="s">
        <v>131</v>
      </c>
      <c r="CU1093" t="s">
        <v>7315</v>
      </c>
      <c r="CW1093" t="s">
        <v>1812</v>
      </c>
      <c r="CX1093" t="s">
        <v>195</v>
      </c>
      <c r="CZ1093" s="3" t="str">
        <f>"33432"</f>
        <v>33432</v>
      </c>
      <c r="DA1093" t="s">
        <v>131</v>
      </c>
      <c r="DB1093" t="str">
        <f>"39-3091"</f>
        <v>39-3091</v>
      </c>
      <c r="DC1093" t="s">
        <v>1374</v>
      </c>
      <c r="DD1093" t="s">
        <v>134</v>
      </c>
      <c r="DE1093" t="s">
        <v>134</v>
      </c>
      <c r="DF1093" t="str">
        <f>""</f>
        <v/>
      </c>
      <c r="DH1093" s="6">
        <v>11.37</v>
      </c>
      <c r="DI1093" t="s">
        <v>344</v>
      </c>
      <c r="DK1093" t="s">
        <v>345</v>
      </c>
      <c r="DS1093" s="6">
        <v>11.37</v>
      </c>
      <c r="DT1093" s="2" t="s">
        <v>2219</v>
      </c>
      <c r="DU1093" s="1">
        <v>44376</v>
      </c>
      <c r="DV1093" s="1">
        <v>44465</v>
      </c>
    </row>
    <row r="1094" spans="1:126" ht="15" customHeight="1" x14ac:dyDescent="0.35">
      <c r="A1094" t="s">
        <v>10898</v>
      </c>
      <c r="B1094" t="s">
        <v>318</v>
      </c>
      <c r="C1094" s="1">
        <v>44349</v>
      </c>
      <c r="D1094" s="1">
        <v>44376</v>
      </c>
      <c r="H1094" t="s">
        <v>319</v>
      </c>
      <c r="I1094" t="s">
        <v>3240</v>
      </c>
      <c r="J1094" t="s">
        <v>4488</v>
      </c>
      <c r="L1094" t="s">
        <v>1205</v>
      </c>
      <c r="M1094" t="s">
        <v>10899</v>
      </c>
      <c r="O1094" t="s">
        <v>5951</v>
      </c>
      <c r="P1094" t="s">
        <v>194</v>
      </c>
      <c r="Q1094" s="3">
        <v>35534</v>
      </c>
      <c r="R1094" t="s">
        <v>128</v>
      </c>
      <c r="T1094" s="4">
        <v>15025539530</v>
      </c>
      <c r="U1094">
        <v>0</v>
      </c>
      <c r="V1094" t="s">
        <v>10900</v>
      </c>
      <c r="W1094" t="s">
        <v>10901</v>
      </c>
      <c r="Y1094" t="s">
        <v>10899</v>
      </c>
      <c r="AA1094" t="s">
        <v>5951</v>
      </c>
      <c r="AB1094" t="s">
        <v>195</v>
      </c>
      <c r="AC1094" s="3" t="str">
        <f>"35534"</f>
        <v>35534</v>
      </c>
      <c r="AD1094" t="s">
        <v>128</v>
      </c>
      <c r="AF1094" s="4">
        <v>15025539530</v>
      </c>
      <c r="AG1094">
        <v>0</v>
      </c>
      <c r="AH1094" t="str">
        <f>"71399"</f>
        <v>71399</v>
      </c>
      <c r="AI1094" t="s">
        <v>130</v>
      </c>
      <c r="AJ1094" t="s">
        <v>4153</v>
      </c>
      <c r="AK1094" t="s">
        <v>301</v>
      </c>
      <c r="AL1094" t="s">
        <v>1978</v>
      </c>
      <c r="AM1094" t="s">
        <v>4154</v>
      </c>
      <c r="AN1094" t="s">
        <v>1980</v>
      </c>
      <c r="AO1094" t="s">
        <v>4155</v>
      </c>
      <c r="AP1094" t="s">
        <v>382</v>
      </c>
      <c r="AQ1094" s="5">
        <v>21401</v>
      </c>
      <c r="AR1094" t="s">
        <v>128</v>
      </c>
      <c r="AT1094" s="4">
        <v>14105739955</v>
      </c>
      <c r="AU1094">
        <v>0</v>
      </c>
      <c r="AV1094" t="s">
        <v>4156</v>
      </c>
      <c r="AW1094" t="s">
        <v>4157</v>
      </c>
      <c r="AX1094" t="s">
        <v>131</v>
      </c>
      <c r="AY1094" t="s">
        <v>131</v>
      </c>
      <c r="AZ1094" t="s">
        <v>131</v>
      </c>
      <c r="BA1094" t="s">
        <v>131</v>
      </c>
      <c r="BB1094" t="s">
        <v>131</v>
      </c>
      <c r="BC1094" t="s">
        <v>131</v>
      </c>
      <c r="BD1094" t="s">
        <v>131</v>
      </c>
      <c r="BE1094" t="s">
        <v>132</v>
      </c>
      <c r="BH1094" t="s">
        <v>4158</v>
      </c>
      <c r="BI1094" t="s">
        <v>131</v>
      </c>
      <c r="BL1094" t="s">
        <v>167</v>
      </c>
      <c r="BO1094" t="s">
        <v>131</v>
      </c>
      <c r="BP1094" t="s">
        <v>134</v>
      </c>
      <c r="BQ1094" t="s">
        <v>131</v>
      </c>
      <c r="BS1094" t="str">
        <f t="shared" si="80"/>
        <v>N/A</v>
      </c>
      <c r="BT1094" t="s">
        <v>135</v>
      </c>
      <c r="BU1094">
        <v>3</v>
      </c>
      <c r="BV1094" t="str">
        <f>"Equipment Maintenance"</f>
        <v>Equipment Maintenance</v>
      </c>
      <c r="BW1094" t="s">
        <v>135</v>
      </c>
      <c r="BX1094" t="str">
        <f>""</f>
        <v/>
      </c>
      <c r="BY1094" t="str">
        <f>""</f>
        <v/>
      </c>
      <c r="BZ1094" t="str">
        <f>""</f>
        <v/>
      </c>
      <c r="CA1094" t="str">
        <f>"Must pass post-hire drug test and background check paid by employer.  Must be able to lift 50 lbs."</f>
        <v>Must pass post-hire drug test and background check paid by employer.  Must be able to lift 50 lbs.</v>
      </c>
      <c r="CB1094" t="s">
        <v>131</v>
      </c>
      <c r="CF1094" t="s">
        <v>131</v>
      </c>
      <c r="CH1094" t="str">
        <f>""</f>
        <v/>
      </c>
      <c r="CI1094" t="s">
        <v>131</v>
      </c>
      <c r="CK1094" t="s">
        <v>131</v>
      </c>
      <c r="CL1094" t="str">
        <f>""</f>
        <v/>
      </c>
      <c r="CM1094" t="str">
        <f>""</f>
        <v/>
      </c>
      <c r="CN1094" t="str">
        <f>""</f>
        <v/>
      </c>
      <c r="CO1094" t="str">
        <f>""</f>
        <v/>
      </c>
      <c r="CP1094" t="str">
        <f>"49-9098.00"</f>
        <v>49-9098.00</v>
      </c>
      <c r="CQ1094" t="s">
        <v>1503</v>
      </c>
      <c r="CR1094" t="s">
        <v>918</v>
      </c>
      <c r="CS1094" t="s">
        <v>131</v>
      </c>
      <c r="CU1094" t="s">
        <v>10899</v>
      </c>
      <c r="CW1094" t="s">
        <v>5951</v>
      </c>
      <c r="CX1094" t="s">
        <v>195</v>
      </c>
      <c r="CZ1094" s="3" t="str">
        <f>"35534"</f>
        <v>35534</v>
      </c>
      <c r="DA1094" t="s">
        <v>131</v>
      </c>
      <c r="DB1094" t="str">
        <f>"49-9098"</f>
        <v>49-9098</v>
      </c>
      <c r="DC1094" t="s">
        <v>1503</v>
      </c>
      <c r="DD1094" t="s">
        <v>134</v>
      </c>
      <c r="DE1094" t="s">
        <v>134</v>
      </c>
      <c r="DF1094" t="str">
        <f>""</f>
        <v/>
      </c>
      <c r="DH1094" s="6">
        <v>13.67</v>
      </c>
      <c r="DI1094" t="s">
        <v>344</v>
      </c>
      <c r="DK1094" t="s">
        <v>345</v>
      </c>
      <c r="DR1094" t="s">
        <v>7176</v>
      </c>
      <c r="DS1094" s="6">
        <v>13.67</v>
      </c>
      <c r="DT1094" t="s">
        <v>424</v>
      </c>
      <c r="DU1094" s="1">
        <v>44376</v>
      </c>
      <c r="DV1094" s="1">
        <v>44465</v>
      </c>
    </row>
    <row r="1095" spans="1:126" ht="15" customHeight="1" x14ac:dyDescent="0.35">
      <c r="A1095" t="s">
        <v>11276</v>
      </c>
      <c r="B1095" t="s">
        <v>318</v>
      </c>
      <c r="C1095" s="1">
        <v>44349</v>
      </c>
      <c r="D1095" s="1">
        <v>44377</v>
      </c>
      <c r="H1095" t="s">
        <v>319</v>
      </c>
      <c r="I1095" t="s">
        <v>11277</v>
      </c>
      <c r="J1095" t="s">
        <v>9889</v>
      </c>
      <c r="L1095" t="s">
        <v>1105</v>
      </c>
      <c r="M1095" t="s">
        <v>11278</v>
      </c>
      <c r="O1095" t="s">
        <v>11279</v>
      </c>
      <c r="P1095" t="s">
        <v>1760</v>
      </c>
      <c r="Q1095" s="3">
        <v>70397</v>
      </c>
      <c r="R1095" t="s">
        <v>128</v>
      </c>
      <c r="T1095" s="4">
        <v>19852275461</v>
      </c>
      <c r="V1095" t="s">
        <v>11280</v>
      </c>
      <c r="W1095" t="s">
        <v>11281</v>
      </c>
      <c r="Y1095" t="s">
        <v>11278</v>
      </c>
      <c r="AA1095" t="s">
        <v>11279</v>
      </c>
      <c r="AB1095" t="s">
        <v>1763</v>
      </c>
      <c r="AC1095" s="3" t="str">
        <f>"70395"</f>
        <v>70395</v>
      </c>
      <c r="AD1095" t="s">
        <v>128</v>
      </c>
      <c r="AF1095" s="4">
        <v>19852275461</v>
      </c>
      <c r="AH1095" t="str">
        <f>"114112"</f>
        <v>114112</v>
      </c>
      <c r="AI1095" t="s">
        <v>167</v>
      </c>
      <c r="AX1095" t="s">
        <v>131</v>
      </c>
      <c r="AY1095" t="s">
        <v>131</v>
      </c>
      <c r="AZ1095" t="s">
        <v>131</v>
      </c>
      <c r="BA1095" t="s">
        <v>131</v>
      </c>
      <c r="BB1095" t="s">
        <v>131</v>
      </c>
      <c r="BC1095" t="s">
        <v>131</v>
      </c>
      <c r="BD1095" t="s">
        <v>131</v>
      </c>
      <c r="BE1095" t="s">
        <v>132</v>
      </c>
      <c r="BH1095" t="s">
        <v>11282</v>
      </c>
      <c r="BI1095" t="s">
        <v>131</v>
      </c>
      <c r="BL1095" t="s">
        <v>167</v>
      </c>
      <c r="BO1095" t="s">
        <v>131</v>
      </c>
      <c r="BP1095" t="s">
        <v>134</v>
      </c>
      <c r="BQ1095" t="s">
        <v>131</v>
      </c>
      <c r="BS1095" t="str">
        <f t="shared" si="80"/>
        <v>N/A</v>
      </c>
      <c r="BT1095" t="s">
        <v>135</v>
      </c>
      <c r="BU1095">
        <v>3</v>
      </c>
      <c r="BV1095" t="str">
        <f>"Oyster Dredging "</f>
        <v xml:space="preserve">Oyster Dredging </v>
      </c>
      <c r="BW1095" t="s">
        <v>135</v>
      </c>
      <c r="BX1095" t="str">
        <f>""</f>
        <v/>
      </c>
      <c r="BY1095" t="str">
        <f>""</f>
        <v/>
      </c>
      <c r="BZ1095" t="str">
        <f>""</f>
        <v/>
      </c>
      <c r="CA1095" t="str">
        <f>"
3 months experience; willing to work on oyster boat, carry up to  50lbs, be physically fit, stand for long period of time to perform duties.
"</f>
        <v xml:space="preserve">
3 months experience; willing to work on oyster boat, carry up to  50lbs, be physically fit, stand for long period of time to perform duties.
</v>
      </c>
      <c r="CB1095" t="s">
        <v>131</v>
      </c>
      <c r="CF1095" t="s">
        <v>131</v>
      </c>
      <c r="CH1095" t="str">
        <f>""</f>
        <v/>
      </c>
      <c r="CI1095" t="s">
        <v>131</v>
      </c>
      <c r="CK1095" t="s">
        <v>131</v>
      </c>
      <c r="CL1095" t="str">
        <f>""</f>
        <v/>
      </c>
      <c r="CM1095" t="str">
        <f>""</f>
        <v/>
      </c>
      <c r="CN1095" t="str">
        <f>""</f>
        <v/>
      </c>
      <c r="CO1095" t="str">
        <f>""</f>
        <v/>
      </c>
      <c r="CP1095" t="str">
        <f>"45-3011.00"</f>
        <v>45-3011.00</v>
      </c>
      <c r="CQ1095" t="s">
        <v>1770</v>
      </c>
      <c r="CR1095" t="s">
        <v>11283</v>
      </c>
      <c r="CS1095" t="s">
        <v>131</v>
      </c>
      <c r="CU1095" t="s">
        <v>11284</v>
      </c>
      <c r="CW1095" t="s">
        <v>11285</v>
      </c>
      <c r="CX1095" t="s">
        <v>1763</v>
      </c>
      <c r="CZ1095" s="3" t="str">
        <f>"70397"</f>
        <v>70397</v>
      </c>
      <c r="DA1095" t="s">
        <v>131</v>
      </c>
      <c r="DB1095" t="str">
        <f>"45-3011"</f>
        <v>45-3011</v>
      </c>
      <c r="DC1095" t="s">
        <v>1770</v>
      </c>
      <c r="DD1095" t="s">
        <v>134</v>
      </c>
      <c r="DE1095" t="s">
        <v>134</v>
      </c>
      <c r="DF1095" t="str">
        <f>""</f>
        <v/>
      </c>
      <c r="DH1095" s="6">
        <v>23.69</v>
      </c>
      <c r="DI1095" t="s">
        <v>344</v>
      </c>
      <c r="DK1095" t="s">
        <v>345</v>
      </c>
      <c r="DS1095" s="6">
        <v>23.69</v>
      </c>
      <c r="DT1095" t="s">
        <v>424</v>
      </c>
      <c r="DU1095" s="1">
        <v>44377</v>
      </c>
      <c r="DV1095" s="1">
        <v>44466</v>
      </c>
    </row>
    <row r="1096" spans="1:126" ht="15" customHeight="1" x14ac:dyDescent="0.35">
      <c r="A1096" t="s">
        <v>13100</v>
      </c>
      <c r="B1096" t="s">
        <v>318</v>
      </c>
      <c r="C1096" s="1">
        <v>44349</v>
      </c>
      <c r="D1096" s="1">
        <v>44376</v>
      </c>
      <c r="H1096" t="s">
        <v>319</v>
      </c>
      <c r="I1096" t="s">
        <v>4590</v>
      </c>
      <c r="J1096" t="s">
        <v>260</v>
      </c>
      <c r="L1096" t="s">
        <v>395</v>
      </c>
      <c r="M1096" t="s">
        <v>13101</v>
      </c>
      <c r="O1096" t="s">
        <v>699</v>
      </c>
      <c r="P1096" t="s">
        <v>412</v>
      </c>
      <c r="Q1096" s="3">
        <v>78248</v>
      </c>
      <c r="R1096" t="s">
        <v>128</v>
      </c>
      <c r="T1096" s="4">
        <v>12108586078</v>
      </c>
      <c r="U1096">
        <v>0</v>
      </c>
      <c r="V1096" t="s">
        <v>13102</v>
      </c>
      <c r="W1096" t="s">
        <v>13103</v>
      </c>
      <c r="Y1096" t="s">
        <v>13101</v>
      </c>
      <c r="AA1096" t="s">
        <v>699</v>
      </c>
      <c r="AB1096" t="s">
        <v>400</v>
      </c>
      <c r="AC1096" s="3" t="str">
        <f>"78248"</f>
        <v>78248</v>
      </c>
      <c r="AD1096" t="s">
        <v>128</v>
      </c>
      <c r="AF1096" s="4">
        <v>12108586078</v>
      </c>
      <c r="AG1096">
        <v>0</v>
      </c>
      <c r="AH1096" t="str">
        <f>"71399"</f>
        <v>71399</v>
      </c>
      <c r="AI1096" t="s">
        <v>130</v>
      </c>
      <c r="AJ1096" t="s">
        <v>4153</v>
      </c>
      <c r="AK1096" t="s">
        <v>301</v>
      </c>
      <c r="AL1096" t="s">
        <v>1978</v>
      </c>
      <c r="AM1096" t="s">
        <v>4154</v>
      </c>
      <c r="AN1096" t="s">
        <v>1980</v>
      </c>
      <c r="AO1096" t="s">
        <v>4155</v>
      </c>
      <c r="AP1096" t="s">
        <v>382</v>
      </c>
      <c r="AQ1096" s="5">
        <v>21401</v>
      </c>
      <c r="AR1096" t="s">
        <v>128</v>
      </c>
      <c r="AT1096" s="4">
        <v>14105739955</v>
      </c>
      <c r="AU1096">
        <v>0</v>
      </c>
      <c r="AV1096" t="s">
        <v>4156</v>
      </c>
      <c r="AW1096" t="s">
        <v>4157</v>
      </c>
      <c r="AX1096" t="s">
        <v>131</v>
      </c>
      <c r="AY1096" t="s">
        <v>131</v>
      </c>
      <c r="AZ1096" t="s">
        <v>131</v>
      </c>
      <c r="BA1096" t="s">
        <v>131</v>
      </c>
      <c r="BB1096" t="s">
        <v>131</v>
      </c>
      <c r="BC1096" t="s">
        <v>131</v>
      </c>
      <c r="BD1096" t="s">
        <v>131</v>
      </c>
      <c r="BE1096" t="s">
        <v>132</v>
      </c>
      <c r="BH1096" t="s">
        <v>4158</v>
      </c>
      <c r="BI1096" t="s">
        <v>131</v>
      </c>
      <c r="BL1096" t="s">
        <v>167</v>
      </c>
      <c r="BO1096" t="s">
        <v>131</v>
      </c>
      <c r="BP1096" t="s">
        <v>134</v>
      </c>
      <c r="BQ1096" t="s">
        <v>131</v>
      </c>
      <c r="BS1096" t="str">
        <f t="shared" si="80"/>
        <v>N/A</v>
      </c>
      <c r="BT1096" t="s">
        <v>135</v>
      </c>
      <c r="BU1096">
        <v>3</v>
      </c>
      <c r="BV1096" t="str">
        <f>"Equipment Maintenance"</f>
        <v>Equipment Maintenance</v>
      </c>
      <c r="BW1096" t="s">
        <v>135</v>
      </c>
      <c r="BX1096" t="str">
        <f>""</f>
        <v/>
      </c>
      <c r="BY1096" t="str">
        <f>""</f>
        <v/>
      </c>
      <c r="BZ1096" t="str">
        <f>""</f>
        <v/>
      </c>
      <c r="CA1096" t="str">
        <f>"Must pass post-employment drug test paid by employer.  Must be able to lift 50 lbs."</f>
        <v>Must pass post-employment drug test paid by employer.  Must be able to lift 50 lbs.</v>
      </c>
      <c r="CB1096" t="s">
        <v>131</v>
      </c>
      <c r="CF1096" t="s">
        <v>131</v>
      </c>
      <c r="CH1096" t="str">
        <f>""</f>
        <v/>
      </c>
      <c r="CI1096" t="s">
        <v>131</v>
      </c>
      <c r="CK1096" t="s">
        <v>131</v>
      </c>
      <c r="CL1096" t="str">
        <f>""</f>
        <v/>
      </c>
      <c r="CM1096" t="str">
        <f>""</f>
        <v/>
      </c>
      <c r="CN1096" t="str">
        <f>""</f>
        <v/>
      </c>
      <c r="CO1096" t="str">
        <f>""</f>
        <v/>
      </c>
      <c r="CP1096" t="str">
        <f>"49-9098.00"</f>
        <v>49-9098.00</v>
      </c>
      <c r="CQ1096" t="s">
        <v>1503</v>
      </c>
      <c r="CR1096" t="s">
        <v>460</v>
      </c>
      <c r="CS1096" t="s">
        <v>131</v>
      </c>
      <c r="CU1096" t="s">
        <v>13104</v>
      </c>
      <c r="CW1096" t="s">
        <v>699</v>
      </c>
      <c r="CX1096" t="s">
        <v>400</v>
      </c>
      <c r="CZ1096" s="3" t="str">
        <f>"78264"</f>
        <v>78264</v>
      </c>
      <c r="DA1096" t="s">
        <v>131</v>
      </c>
      <c r="DB1096" t="str">
        <f>"49-9098"</f>
        <v>49-9098</v>
      </c>
      <c r="DC1096" t="s">
        <v>1503</v>
      </c>
      <c r="DD1096" t="s">
        <v>134</v>
      </c>
      <c r="DE1096" t="s">
        <v>134</v>
      </c>
      <c r="DF1096" t="str">
        <f>""</f>
        <v/>
      </c>
      <c r="DH1096" s="6">
        <v>15.46</v>
      </c>
      <c r="DI1096" t="s">
        <v>344</v>
      </c>
      <c r="DK1096" t="s">
        <v>345</v>
      </c>
      <c r="DR1096" t="s">
        <v>3920</v>
      </c>
      <c r="DS1096" s="6">
        <v>15.46</v>
      </c>
      <c r="DT1096" t="s">
        <v>424</v>
      </c>
      <c r="DU1096" s="1">
        <v>44376</v>
      </c>
      <c r="DV1096" s="1">
        <v>44465</v>
      </c>
    </row>
    <row r="1097" spans="1:126" ht="15" customHeight="1" x14ac:dyDescent="0.35">
      <c r="A1097" t="s">
        <v>7554</v>
      </c>
      <c r="B1097" t="s">
        <v>318</v>
      </c>
      <c r="C1097" s="1">
        <v>44349</v>
      </c>
      <c r="D1097" s="1">
        <v>44376</v>
      </c>
      <c r="H1097" t="s">
        <v>319</v>
      </c>
      <c r="I1097" t="s">
        <v>7555</v>
      </c>
      <c r="J1097" t="s">
        <v>1116</v>
      </c>
      <c r="L1097" t="s">
        <v>395</v>
      </c>
      <c r="M1097" t="s">
        <v>7556</v>
      </c>
      <c r="O1097" t="s">
        <v>1040</v>
      </c>
      <c r="P1097" t="s">
        <v>412</v>
      </c>
      <c r="Q1097" s="3">
        <v>78737</v>
      </c>
      <c r="R1097" t="s">
        <v>128</v>
      </c>
      <c r="T1097" s="4">
        <v>15129892259</v>
      </c>
      <c r="V1097" t="s">
        <v>7557</v>
      </c>
      <c r="W1097" t="s">
        <v>7558</v>
      </c>
      <c r="Y1097" t="s">
        <v>7559</v>
      </c>
      <c r="AA1097" t="s">
        <v>1040</v>
      </c>
      <c r="AB1097" t="s">
        <v>400</v>
      </c>
      <c r="AC1097" s="3" t="str">
        <f>"78737"</f>
        <v>78737</v>
      </c>
      <c r="AD1097" t="s">
        <v>128</v>
      </c>
      <c r="AF1097" s="4">
        <v>15129892259</v>
      </c>
      <c r="AH1097" t="str">
        <f>"56173"</f>
        <v>56173</v>
      </c>
      <c r="AI1097" t="s">
        <v>130</v>
      </c>
      <c r="AJ1097" t="s">
        <v>4018</v>
      </c>
      <c r="AK1097" t="s">
        <v>2069</v>
      </c>
      <c r="AM1097" t="s">
        <v>4019</v>
      </c>
      <c r="AO1097" t="s">
        <v>1040</v>
      </c>
      <c r="AP1097" t="s">
        <v>400</v>
      </c>
      <c r="AQ1097" s="5">
        <v>78737</v>
      </c>
      <c r="AR1097" t="s">
        <v>128</v>
      </c>
      <c r="AT1097" s="4">
        <v>15128942128</v>
      </c>
      <c r="AV1097" t="s">
        <v>4020</v>
      </c>
      <c r="AW1097" t="s">
        <v>4021</v>
      </c>
      <c r="AX1097" t="s">
        <v>131</v>
      </c>
      <c r="AY1097" t="s">
        <v>131</v>
      </c>
      <c r="AZ1097" t="s">
        <v>131</v>
      </c>
      <c r="BA1097" t="s">
        <v>131</v>
      </c>
      <c r="BB1097" t="s">
        <v>131</v>
      </c>
      <c r="BC1097" t="s">
        <v>131</v>
      </c>
      <c r="BD1097" t="s">
        <v>131</v>
      </c>
      <c r="BE1097" t="s">
        <v>132</v>
      </c>
      <c r="BH1097" t="s">
        <v>7560</v>
      </c>
      <c r="BI1097" t="s">
        <v>131</v>
      </c>
      <c r="BL1097" t="s">
        <v>167</v>
      </c>
      <c r="BO1097" t="s">
        <v>131</v>
      </c>
      <c r="BP1097" t="s">
        <v>134</v>
      </c>
      <c r="BQ1097" t="s">
        <v>131</v>
      </c>
      <c r="BS1097" t="str">
        <f t="shared" si="80"/>
        <v>N/A</v>
      </c>
      <c r="BT1097" t="s">
        <v>135</v>
      </c>
      <c r="BU1097">
        <v>1</v>
      </c>
      <c r="BV1097" t="str">
        <f>"See F.b.5.a."</f>
        <v>See F.b.5.a.</v>
      </c>
      <c r="BW1097" t="s">
        <v>135</v>
      </c>
      <c r="BX1097" t="str">
        <f>""</f>
        <v/>
      </c>
      <c r="BY1097" t="str">
        <f>""</f>
        <v/>
      </c>
      <c r="BZ1097" t="str">
        <f>""</f>
        <v/>
      </c>
      <c r="CA1097" t="str">
        <f>"Position requires 1 month of similar work experience, extensive bending and stooping, and the ability to lift/carry 60 pounds. "</f>
        <v xml:space="preserve">Position requires 1 month of similar work experience, extensive bending and stooping, and the ability to lift/carry 60 pounds. </v>
      </c>
      <c r="CB1097" t="s">
        <v>131</v>
      </c>
      <c r="CF1097" t="s">
        <v>131</v>
      </c>
      <c r="CH1097" t="str">
        <f>""</f>
        <v/>
      </c>
      <c r="CI1097" t="s">
        <v>131</v>
      </c>
      <c r="CK1097" t="s">
        <v>131</v>
      </c>
      <c r="CL1097" t="str">
        <f>""</f>
        <v/>
      </c>
      <c r="CM1097" t="str">
        <f>""</f>
        <v/>
      </c>
      <c r="CN1097" t="str">
        <f>""</f>
        <v/>
      </c>
      <c r="CO1097" t="str">
        <f>""</f>
        <v/>
      </c>
      <c r="CP1097" t="str">
        <f>"37-3011.00"</f>
        <v>37-3011.00</v>
      </c>
      <c r="CQ1097" t="s">
        <v>920</v>
      </c>
      <c r="CR1097" t="s">
        <v>5117</v>
      </c>
      <c r="CS1097" t="s">
        <v>135</v>
      </c>
      <c r="CT1097" t="s">
        <v>7561</v>
      </c>
      <c r="CU1097" t="s">
        <v>7562</v>
      </c>
      <c r="CW1097" t="s">
        <v>7563</v>
      </c>
      <c r="CX1097" t="s">
        <v>400</v>
      </c>
      <c r="CZ1097" s="3" t="str">
        <f>"78610"</f>
        <v>78610</v>
      </c>
      <c r="DA1097" t="s">
        <v>135</v>
      </c>
      <c r="DB1097" t="str">
        <f>"45-4011"</f>
        <v>45-4011</v>
      </c>
      <c r="DC1097" t="s">
        <v>4310</v>
      </c>
      <c r="DD1097" t="s">
        <v>134</v>
      </c>
      <c r="DE1097" t="s">
        <v>134</v>
      </c>
      <c r="DF1097" t="str">
        <f>"37-3011.00"</f>
        <v>37-3011.00</v>
      </c>
      <c r="DG1097" t="s">
        <v>920</v>
      </c>
      <c r="DH1097" s="6">
        <v>17.03</v>
      </c>
      <c r="DI1097" t="s">
        <v>344</v>
      </c>
      <c r="DK1097" t="s">
        <v>345</v>
      </c>
      <c r="DS1097" s="6">
        <v>17.03</v>
      </c>
      <c r="DT1097" s="2" t="s">
        <v>2219</v>
      </c>
      <c r="DU1097" s="1">
        <v>44376</v>
      </c>
      <c r="DV1097" s="1">
        <v>44465</v>
      </c>
    </row>
    <row r="1098" spans="1:126" ht="15" customHeight="1" x14ac:dyDescent="0.35">
      <c r="A1098" t="s">
        <v>13940</v>
      </c>
      <c r="B1098" t="s">
        <v>318</v>
      </c>
      <c r="C1098" s="1">
        <v>44349</v>
      </c>
      <c r="D1098" s="1">
        <v>44376</v>
      </c>
      <c r="H1098" t="s">
        <v>319</v>
      </c>
      <c r="I1098" t="s">
        <v>13941</v>
      </c>
      <c r="J1098" t="s">
        <v>1116</v>
      </c>
      <c r="L1098" t="s">
        <v>395</v>
      </c>
      <c r="M1098" t="s">
        <v>7559</v>
      </c>
      <c r="O1098" t="s">
        <v>1040</v>
      </c>
      <c r="P1098" t="s">
        <v>412</v>
      </c>
      <c r="Q1098" s="3">
        <v>78737</v>
      </c>
      <c r="R1098" t="s">
        <v>128</v>
      </c>
      <c r="T1098" s="4">
        <v>15129892259</v>
      </c>
      <c r="V1098" t="s">
        <v>7557</v>
      </c>
      <c r="W1098" t="s">
        <v>7558</v>
      </c>
      <c r="Y1098" t="s">
        <v>7559</v>
      </c>
      <c r="AA1098" t="s">
        <v>1040</v>
      </c>
      <c r="AB1098" t="s">
        <v>400</v>
      </c>
      <c r="AC1098" s="3" t="str">
        <f>"78737"</f>
        <v>78737</v>
      </c>
      <c r="AD1098" t="s">
        <v>128</v>
      </c>
      <c r="AF1098" s="4">
        <v>15129892259</v>
      </c>
      <c r="AH1098" t="str">
        <f>"56173"</f>
        <v>56173</v>
      </c>
      <c r="AI1098" t="s">
        <v>130</v>
      </c>
      <c r="AJ1098" t="s">
        <v>4018</v>
      </c>
      <c r="AK1098" t="s">
        <v>2069</v>
      </c>
      <c r="AM1098" t="s">
        <v>4019</v>
      </c>
      <c r="AO1098" t="s">
        <v>1040</v>
      </c>
      <c r="AP1098" t="s">
        <v>400</v>
      </c>
      <c r="AQ1098" s="5">
        <v>78737</v>
      </c>
      <c r="AR1098" t="s">
        <v>128</v>
      </c>
      <c r="AT1098" s="4">
        <v>15128942128</v>
      </c>
      <c r="AV1098" t="s">
        <v>4020</v>
      </c>
      <c r="AW1098" t="s">
        <v>4021</v>
      </c>
      <c r="AX1098" t="s">
        <v>131</v>
      </c>
      <c r="AY1098" t="s">
        <v>131</v>
      </c>
      <c r="AZ1098" t="s">
        <v>131</v>
      </c>
      <c r="BA1098" t="s">
        <v>131</v>
      </c>
      <c r="BB1098" t="s">
        <v>131</v>
      </c>
      <c r="BC1098" t="s">
        <v>131</v>
      </c>
      <c r="BD1098" t="s">
        <v>131</v>
      </c>
      <c r="BE1098" t="s">
        <v>132</v>
      </c>
      <c r="BH1098" t="s">
        <v>7560</v>
      </c>
      <c r="BI1098" t="s">
        <v>131</v>
      </c>
      <c r="BL1098" t="s">
        <v>167</v>
      </c>
      <c r="BO1098" t="s">
        <v>131</v>
      </c>
      <c r="BP1098" t="s">
        <v>134</v>
      </c>
      <c r="BQ1098" t="s">
        <v>131</v>
      </c>
      <c r="BS1098" t="str">
        <f t="shared" si="80"/>
        <v>N/A</v>
      </c>
      <c r="BT1098" t="s">
        <v>135</v>
      </c>
      <c r="BU1098">
        <v>1</v>
      </c>
      <c r="BV1098" t="str">
        <f>"See F.b.5.a."</f>
        <v>See F.b.5.a.</v>
      </c>
      <c r="BW1098" t="s">
        <v>135</v>
      </c>
      <c r="BX1098" t="str">
        <f>""</f>
        <v/>
      </c>
      <c r="BY1098" t="str">
        <f>""</f>
        <v/>
      </c>
      <c r="BZ1098" t="str">
        <f>""</f>
        <v/>
      </c>
      <c r="CA1098" t="str">
        <f>"Position requires 1 month of similar work experience, extensive bending and stooping, and the ability to lift/carry 60 pounds. "</f>
        <v xml:space="preserve">Position requires 1 month of similar work experience, extensive bending and stooping, and the ability to lift/carry 60 pounds. </v>
      </c>
      <c r="CB1098" t="s">
        <v>131</v>
      </c>
      <c r="CF1098" t="s">
        <v>131</v>
      </c>
      <c r="CH1098" t="str">
        <f>""</f>
        <v/>
      </c>
      <c r="CI1098" t="s">
        <v>131</v>
      </c>
      <c r="CK1098" t="s">
        <v>131</v>
      </c>
      <c r="CL1098" t="str">
        <f>""</f>
        <v/>
      </c>
      <c r="CM1098" t="str">
        <f>""</f>
        <v/>
      </c>
      <c r="CN1098" t="str">
        <f>""</f>
        <v/>
      </c>
      <c r="CO1098" t="str">
        <f>""</f>
        <v/>
      </c>
      <c r="CP1098" t="str">
        <f>"37-3011.00"</f>
        <v>37-3011.00</v>
      </c>
      <c r="CQ1098" t="s">
        <v>920</v>
      </c>
      <c r="CR1098" t="s">
        <v>5117</v>
      </c>
      <c r="CS1098" t="s">
        <v>135</v>
      </c>
      <c r="CT1098" t="s">
        <v>7561</v>
      </c>
      <c r="CU1098" t="s">
        <v>7559</v>
      </c>
      <c r="CW1098" t="s">
        <v>1040</v>
      </c>
      <c r="CX1098" t="s">
        <v>400</v>
      </c>
      <c r="CZ1098" s="3" t="str">
        <f>"78737"</f>
        <v>78737</v>
      </c>
      <c r="DA1098" t="s">
        <v>135</v>
      </c>
      <c r="DB1098" t="str">
        <f>"45-4011"</f>
        <v>45-4011</v>
      </c>
      <c r="DC1098" t="s">
        <v>4310</v>
      </c>
      <c r="DD1098" t="s">
        <v>134</v>
      </c>
      <c r="DE1098" t="s">
        <v>134</v>
      </c>
      <c r="DF1098" t="str">
        <f>"37-3011.00"</f>
        <v>37-3011.00</v>
      </c>
      <c r="DG1098" t="s">
        <v>920</v>
      </c>
      <c r="DH1098" s="6">
        <v>17.03</v>
      </c>
      <c r="DI1098" t="s">
        <v>344</v>
      </c>
      <c r="DK1098" t="s">
        <v>345</v>
      </c>
      <c r="DS1098" s="6">
        <v>17.03</v>
      </c>
      <c r="DT1098" s="2" t="s">
        <v>2219</v>
      </c>
      <c r="DU1098" s="1">
        <v>44376</v>
      </c>
      <c r="DV1098" s="1">
        <v>44465</v>
      </c>
    </row>
    <row r="1099" spans="1:126" ht="15" customHeight="1" x14ac:dyDescent="0.35">
      <c r="A1099" t="s">
        <v>16937</v>
      </c>
      <c r="B1099" t="s">
        <v>318</v>
      </c>
      <c r="C1099" s="1">
        <v>44349</v>
      </c>
      <c r="D1099" s="1">
        <v>44376</v>
      </c>
      <c r="H1099" t="s">
        <v>319</v>
      </c>
      <c r="I1099" t="s">
        <v>12742</v>
      </c>
      <c r="J1099" t="s">
        <v>1827</v>
      </c>
      <c r="K1099" t="s">
        <v>134</v>
      </c>
      <c r="L1099" t="s">
        <v>1105</v>
      </c>
      <c r="M1099" t="s">
        <v>16528</v>
      </c>
      <c r="O1099" t="s">
        <v>9220</v>
      </c>
      <c r="P1099" t="s">
        <v>256</v>
      </c>
      <c r="Q1099" s="3">
        <v>65109</v>
      </c>
      <c r="R1099" t="s">
        <v>128</v>
      </c>
      <c r="T1099" s="4">
        <v>15737611616</v>
      </c>
      <c r="V1099" t="s">
        <v>16938</v>
      </c>
      <c r="W1099" t="s">
        <v>16527</v>
      </c>
      <c r="Y1099" t="s">
        <v>16528</v>
      </c>
      <c r="AA1099" t="s">
        <v>9220</v>
      </c>
      <c r="AB1099" t="s">
        <v>258</v>
      </c>
      <c r="AC1099" s="3" t="str">
        <f>"65109"</f>
        <v>65109</v>
      </c>
      <c r="AD1099" t="s">
        <v>128</v>
      </c>
      <c r="AF1099" s="4">
        <v>15737611616</v>
      </c>
      <c r="AH1099" t="str">
        <f>"722511"</f>
        <v>722511</v>
      </c>
      <c r="AI1099" t="s">
        <v>130</v>
      </c>
      <c r="AJ1099" t="s">
        <v>16939</v>
      </c>
      <c r="AK1099" t="s">
        <v>16940</v>
      </c>
      <c r="AL1099" t="s">
        <v>5399</v>
      </c>
      <c r="AM1099" t="s">
        <v>16941</v>
      </c>
      <c r="AN1099" t="s">
        <v>15355</v>
      </c>
      <c r="AO1099" t="s">
        <v>712</v>
      </c>
      <c r="AP1099" t="s">
        <v>2436</v>
      </c>
      <c r="AQ1099" s="5">
        <v>40507</v>
      </c>
      <c r="AR1099" t="s">
        <v>128</v>
      </c>
      <c r="AT1099" s="4">
        <v>18592887409</v>
      </c>
      <c r="AV1099" t="s">
        <v>16942</v>
      </c>
      <c r="AW1099" t="s">
        <v>16530</v>
      </c>
      <c r="AX1099" t="s">
        <v>131</v>
      </c>
      <c r="AY1099" t="s">
        <v>131</v>
      </c>
      <c r="AZ1099" t="s">
        <v>131</v>
      </c>
      <c r="BA1099" t="s">
        <v>131</v>
      </c>
      <c r="BB1099" t="s">
        <v>131</v>
      </c>
      <c r="BC1099" t="s">
        <v>131</v>
      </c>
      <c r="BD1099" t="s">
        <v>131</v>
      </c>
      <c r="BE1099" t="s">
        <v>132</v>
      </c>
      <c r="BH1099" t="s">
        <v>1080</v>
      </c>
      <c r="BI1099" t="s">
        <v>131</v>
      </c>
      <c r="BL1099" t="s">
        <v>167</v>
      </c>
      <c r="BO1099" t="s">
        <v>131</v>
      </c>
      <c r="BP1099" t="s">
        <v>134</v>
      </c>
      <c r="BQ1099" t="s">
        <v>131</v>
      </c>
      <c r="BS1099" t="str">
        <f t="shared" si="80"/>
        <v>N/A</v>
      </c>
      <c r="BT1099" t="s">
        <v>131</v>
      </c>
      <c r="BV1099" t="str">
        <f>""</f>
        <v/>
      </c>
      <c r="BW1099" t="s">
        <v>135</v>
      </c>
      <c r="BX1099" t="str">
        <f>""</f>
        <v/>
      </c>
      <c r="BY1099" t="str">
        <f>""</f>
        <v/>
      </c>
      <c r="BZ1099" t="str">
        <f>""</f>
        <v/>
      </c>
      <c r="CA1099" t="str">
        <f>"Able and willing to follow instructions and work on feet for many hours.  "</f>
        <v xml:space="preserve">Able and willing to follow instructions and work on feet for many hours.  </v>
      </c>
      <c r="CB1099" t="s">
        <v>131</v>
      </c>
      <c r="CF1099" t="s">
        <v>131</v>
      </c>
      <c r="CH1099" t="str">
        <f>""</f>
        <v/>
      </c>
      <c r="CI1099" t="s">
        <v>131</v>
      </c>
      <c r="CK1099" t="s">
        <v>131</v>
      </c>
      <c r="CL1099" t="str">
        <f>""</f>
        <v/>
      </c>
      <c r="CM1099" t="str">
        <f>""</f>
        <v/>
      </c>
      <c r="CN1099" t="str">
        <f>""</f>
        <v/>
      </c>
      <c r="CO1099" t="str">
        <f>""</f>
        <v/>
      </c>
      <c r="CP1099" t="str">
        <f>"35-2014.00"</f>
        <v>35-2014.00</v>
      </c>
      <c r="CQ1099" t="s">
        <v>581</v>
      </c>
      <c r="CR1099" t="s">
        <v>1080</v>
      </c>
      <c r="CS1099" t="s">
        <v>131</v>
      </c>
      <c r="CU1099" t="s">
        <v>16528</v>
      </c>
      <c r="CW1099" t="s">
        <v>9220</v>
      </c>
      <c r="CX1099" t="s">
        <v>258</v>
      </c>
      <c r="CZ1099" s="3" t="str">
        <f>"65109"</f>
        <v>65109</v>
      </c>
      <c r="DA1099" t="s">
        <v>131</v>
      </c>
      <c r="DB1099" t="str">
        <f>"35-2014"</f>
        <v>35-2014</v>
      </c>
      <c r="DC1099" t="s">
        <v>581</v>
      </c>
      <c r="DD1099" t="s">
        <v>134</v>
      </c>
      <c r="DE1099" t="s">
        <v>134</v>
      </c>
      <c r="DF1099" t="str">
        <f>""</f>
        <v/>
      </c>
      <c r="DH1099" s="6">
        <v>12.27</v>
      </c>
      <c r="DI1099" t="s">
        <v>344</v>
      </c>
      <c r="DK1099" t="s">
        <v>345</v>
      </c>
      <c r="DR1099" t="s">
        <v>16943</v>
      </c>
      <c r="DS1099" s="6">
        <v>12.27</v>
      </c>
      <c r="DT1099" t="s">
        <v>424</v>
      </c>
      <c r="DU1099" s="1">
        <v>44376</v>
      </c>
      <c r="DV1099" s="1">
        <v>44465</v>
      </c>
    </row>
    <row r="1100" spans="1:126" ht="15" customHeight="1" x14ac:dyDescent="0.35">
      <c r="A1100" t="s">
        <v>19026</v>
      </c>
      <c r="B1100" t="s">
        <v>318</v>
      </c>
      <c r="C1100" s="1">
        <v>44349</v>
      </c>
      <c r="D1100" s="1">
        <v>44376</v>
      </c>
      <c r="H1100" t="s">
        <v>319</v>
      </c>
      <c r="I1100" t="s">
        <v>237</v>
      </c>
      <c r="J1100" t="s">
        <v>1071</v>
      </c>
      <c r="L1100" t="s">
        <v>1105</v>
      </c>
      <c r="M1100" t="s">
        <v>19027</v>
      </c>
      <c r="O1100" t="s">
        <v>5029</v>
      </c>
      <c r="P1100" t="s">
        <v>178</v>
      </c>
      <c r="Q1100" s="3">
        <v>91006</v>
      </c>
      <c r="R1100" t="s">
        <v>128</v>
      </c>
      <c r="T1100" s="4">
        <v>18186202366</v>
      </c>
      <c r="V1100" t="s">
        <v>19028</v>
      </c>
      <c r="W1100" t="s">
        <v>19029</v>
      </c>
      <c r="Y1100" t="s">
        <v>19030</v>
      </c>
      <c r="AA1100" t="s">
        <v>19031</v>
      </c>
      <c r="AB1100" t="s">
        <v>172</v>
      </c>
      <c r="AC1100" s="3" t="str">
        <f>"91733"</f>
        <v>91733</v>
      </c>
      <c r="AD1100" t="s">
        <v>128</v>
      </c>
      <c r="AF1100" s="4">
        <v>18883104511</v>
      </c>
      <c r="AG1100">
        <v>801</v>
      </c>
      <c r="AH1100" t="str">
        <f>"44619"</f>
        <v>44619</v>
      </c>
      <c r="AI1100" t="s">
        <v>167</v>
      </c>
      <c r="AX1100" t="s">
        <v>131</v>
      </c>
      <c r="AY1100" t="s">
        <v>131</v>
      </c>
      <c r="AZ1100" t="s">
        <v>131</v>
      </c>
      <c r="BA1100" t="s">
        <v>131</v>
      </c>
      <c r="BB1100" t="s">
        <v>131</v>
      </c>
      <c r="BC1100" t="s">
        <v>131</v>
      </c>
      <c r="BD1100" t="s">
        <v>131</v>
      </c>
      <c r="BE1100" t="s">
        <v>132</v>
      </c>
      <c r="BH1100" t="s">
        <v>19032</v>
      </c>
      <c r="BI1100" t="s">
        <v>131</v>
      </c>
      <c r="BL1100" t="s">
        <v>401</v>
      </c>
      <c r="BO1100" t="s">
        <v>131</v>
      </c>
      <c r="BP1100" t="s">
        <v>134</v>
      </c>
      <c r="BQ1100" t="s">
        <v>131</v>
      </c>
      <c r="BS1100" t="str">
        <f t="shared" si="80"/>
        <v>N/A</v>
      </c>
      <c r="BT1100" t="s">
        <v>135</v>
      </c>
      <c r="BU1100">
        <v>24</v>
      </c>
      <c r="BV1100" t="str">
        <f>"babysitting newborn, cleaning houses"</f>
        <v>babysitting newborn, cleaning houses</v>
      </c>
      <c r="BW1100" t="s">
        <v>135</v>
      </c>
      <c r="BX1100" t="str">
        <f>""</f>
        <v/>
      </c>
      <c r="BY1100" t="str">
        <f>"Filipino/Tagalog"</f>
        <v>Filipino/Tagalog</v>
      </c>
      <c r="BZ1100" t="str">
        <f>""</f>
        <v/>
      </c>
      <c r="CA1100" t="str">
        <f>""</f>
        <v/>
      </c>
      <c r="CB1100" t="s">
        <v>131</v>
      </c>
      <c r="CF1100" t="s">
        <v>131</v>
      </c>
      <c r="CH1100" t="str">
        <f>""</f>
        <v/>
      </c>
      <c r="CI1100" t="s">
        <v>131</v>
      </c>
      <c r="CK1100" t="s">
        <v>131</v>
      </c>
      <c r="CL1100" t="str">
        <f>""</f>
        <v/>
      </c>
      <c r="CM1100" t="str">
        <f>""</f>
        <v/>
      </c>
      <c r="CN1100" t="str">
        <f>""</f>
        <v/>
      </c>
      <c r="CO1100" t="str">
        <f>""</f>
        <v/>
      </c>
      <c r="CP1100" t="str">
        <f>"39-9011.01"</f>
        <v>39-9011.01</v>
      </c>
      <c r="CQ1100" t="s">
        <v>339</v>
      </c>
      <c r="CR1100" t="s">
        <v>1105</v>
      </c>
      <c r="CS1100" t="s">
        <v>131</v>
      </c>
      <c r="CU1100" t="s">
        <v>19027</v>
      </c>
      <c r="CW1100" t="s">
        <v>5029</v>
      </c>
      <c r="CX1100" t="s">
        <v>172</v>
      </c>
      <c r="CZ1100" s="3" t="str">
        <f>"91006"</f>
        <v>91006</v>
      </c>
      <c r="DA1100" t="s">
        <v>131</v>
      </c>
      <c r="DB1100" t="str">
        <f>"37-2012"</f>
        <v>37-2012</v>
      </c>
      <c r="DC1100" t="s">
        <v>479</v>
      </c>
      <c r="DD1100" t="s">
        <v>134</v>
      </c>
      <c r="DE1100" t="s">
        <v>134</v>
      </c>
      <c r="DF1100" t="str">
        <f>"39-9011.01"</f>
        <v>39-9011.01</v>
      </c>
      <c r="DG1100" t="s">
        <v>339</v>
      </c>
      <c r="DH1100" s="6">
        <v>15.11</v>
      </c>
      <c r="DI1100" t="s">
        <v>344</v>
      </c>
      <c r="DK1100" t="s">
        <v>345</v>
      </c>
      <c r="DR1100" t="s">
        <v>16497</v>
      </c>
      <c r="DS1100" s="6">
        <v>15.11</v>
      </c>
      <c r="DT1100" t="s">
        <v>424</v>
      </c>
      <c r="DU1100" s="1">
        <v>44376</v>
      </c>
      <c r="DV1100" s="1">
        <v>44465</v>
      </c>
    </row>
    <row r="1101" spans="1:126" ht="15" customHeight="1" x14ac:dyDescent="0.35">
      <c r="A1101" t="s">
        <v>13544</v>
      </c>
      <c r="B1101" t="s">
        <v>318</v>
      </c>
      <c r="C1101" s="1">
        <v>44349</v>
      </c>
      <c r="D1101" s="1">
        <v>44376</v>
      </c>
      <c r="H1101" t="s">
        <v>319</v>
      </c>
      <c r="I1101" t="s">
        <v>13545</v>
      </c>
      <c r="J1101" t="s">
        <v>13546</v>
      </c>
      <c r="L1101" t="s">
        <v>13547</v>
      </c>
      <c r="M1101" t="s">
        <v>13548</v>
      </c>
      <c r="O1101" t="s">
        <v>13549</v>
      </c>
      <c r="P1101" t="s">
        <v>311</v>
      </c>
      <c r="Q1101" s="3">
        <v>17109</v>
      </c>
      <c r="R1101" t="s">
        <v>128</v>
      </c>
      <c r="T1101" s="4">
        <v>17176522611</v>
      </c>
      <c r="V1101" t="s">
        <v>13550</v>
      </c>
      <c r="W1101" t="s">
        <v>13551</v>
      </c>
      <c r="X1101" t="s">
        <v>13552</v>
      </c>
      <c r="Y1101" t="s">
        <v>13548</v>
      </c>
      <c r="AA1101" t="s">
        <v>13549</v>
      </c>
      <c r="AB1101" t="s">
        <v>312</v>
      </c>
      <c r="AC1101" s="3" t="str">
        <f>"17109"</f>
        <v>17109</v>
      </c>
      <c r="AD1101" t="s">
        <v>128</v>
      </c>
      <c r="AF1101" s="4">
        <v>17176522611</v>
      </c>
      <c r="AH1101" t="str">
        <f>"722511"</f>
        <v>722511</v>
      </c>
      <c r="AI1101" t="s">
        <v>167</v>
      </c>
      <c r="AX1101" t="s">
        <v>131</v>
      </c>
      <c r="AY1101" t="s">
        <v>131</v>
      </c>
      <c r="AZ1101" t="s">
        <v>131</v>
      </c>
      <c r="BA1101" t="s">
        <v>131</v>
      </c>
      <c r="BB1101" t="s">
        <v>131</v>
      </c>
      <c r="BC1101" t="s">
        <v>131</v>
      </c>
      <c r="BD1101" t="s">
        <v>131</v>
      </c>
      <c r="BE1101" t="s">
        <v>132</v>
      </c>
      <c r="BH1101" t="s">
        <v>8679</v>
      </c>
      <c r="BI1101" t="s">
        <v>131</v>
      </c>
      <c r="BL1101" t="s">
        <v>401</v>
      </c>
      <c r="BO1101" t="s">
        <v>131</v>
      </c>
      <c r="BP1101" t="s">
        <v>134</v>
      </c>
      <c r="BQ1101" t="s">
        <v>131</v>
      </c>
      <c r="BS1101" t="str">
        <f t="shared" si="80"/>
        <v>N/A</v>
      </c>
      <c r="BT1101" t="s">
        <v>135</v>
      </c>
      <c r="BU1101">
        <v>6</v>
      </c>
      <c r="BV1101" t="str">
        <f>"CULINARY, COOKING "</f>
        <v xml:space="preserve">CULINARY, COOKING </v>
      </c>
      <c r="BW1101" t="s">
        <v>131</v>
      </c>
      <c r="BX1101" t="str">
        <f>""</f>
        <v/>
      </c>
      <c r="BY1101" t="str">
        <f>""</f>
        <v/>
      </c>
      <c r="BZ1101" t="str">
        <f>""</f>
        <v/>
      </c>
      <c r="CA1101" t="str">
        <f>""</f>
        <v/>
      </c>
      <c r="CB1101" t="s">
        <v>131</v>
      </c>
      <c r="CF1101" t="s">
        <v>131</v>
      </c>
      <c r="CH1101" t="str">
        <f>""</f>
        <v/>
      </c>
      <c r="CI1101" t="s">
        <v>131</v>
      </c>
      <c r="CK1101" t="s">
        <v>131</v>
      </c>
      <c r="CL1101" t="str">
        <f>""</f>
        <v/>
      </c>
      <c r="CM1101" t="str">
        <f>""</f>
        <v/>
      </c>
      <c r="CN1101" t="str">
        <f>""</f>
        <v/>
      </c>
      <c r="CO1101" t="str">
        <f>""</f>
        <v/>
      </c>
      <c r="CP1101" t="str">
        <f>"35-2014.00"</f>
        <v>35-2014.00</v>
      </c>
      <c r="CQ1101" t="s">
        <v>581</v>
      </c>
      <c r="CR1101" t="s">
        <v>8679</v>
      </c>
      <c r="CS1101" t="s">
        <v>131</v>
      </c>
      <c r="CU1101" t="s">
        <v>13548</v>
      </c>
      <c r="CW1101" t="s">
        <v>13549</v>
      </c>
      <c r="CX1101" t="s">
        <v>312</v>
      </c>
      <c r="CZ1101" s="3" t="str">
        <f>"17109"</f>
        <v>17109</v>
      </c>
      <c r="DA1101" t="s">
        <v>131</v>
      </c>
      <c r="DB1101" t="str">
        <f>"35-2014"</f>
        <v>35-2014</v>
      </c>
      <c r="DC1101" t="s">
        <v>581</v>
      </c>
      <c r="DD1101" t="s">
        <v>134</v>
      </c>
      <c r="DE1101" t="s">
        <v>134</v>
      </c>
      <c r="DF1101" t="str">
        <f>""</f>
        <v/>
      </c>
      <c r="DH1101" s="6">
        <v>12.32</v>
      </c>
      <c r="DI1101" t="s">
        <v>344</v>
      </c>
      <c r="DK1101" t="s">
        <v>345</v>
      </c>
      <c r="DR1101" t="s">
        <v>13553</v>
      </c>
      <c r="DS1101" s="6">
        <v>12.32</v>
      </c>
      <c r="DT1101" t="s">
        <v>424</v>
      </c>
      <c r="DU1101" s="1">
        <v>44376</v>
      </c>
      <c r="DV1101" s="1">
        <v>44465</v>
      </c>
    </row>
    <row r="1102" spans="1:126" ht="15" customHeight="1" x14ac:dyDescent="0.35">
      <c r="A1102" t="s">
        <v>18732</v>
      </c>
      <c r="B1102" t="s">
        <v>318</v>
      </c>
      <c r="C1102" s="1">
        <v>44349</v>
      </c>
      <c r="D1102" s="1">
        <v>44376</v>
      </c>
      <c r="H1102" t="s">
        <v>319</v>
      </c>
      <c r="I1102" t="s">
        <v>3632</v>
      </c>
      <c r="J1102" t="s">
        <v>2120</v>
      </c>
      <c r="K1102" t="s">
        <v>1253</v>
      </c>
      <c r="L1102" t="s">
        <v>1205</v>
      </c>
      <c r="M1102" t="s">
        <v>18733</v>
      </c>
      <c r="O1102" t="s">
        <v>18734</v>
      </c>
      <c r="P1102" t="s">
        <v>1760</v>
      </c>
      <c r="Q1102" s="3">
        <v>70788</v>
      </c>
      <c r="R1102" t="s">
        <v>128</v>
      </c>
      <c r="S1102" t="s">
        <v>9725</v>
      </c>
      <c r="T1102" s="4">
        <v>12255453616</v>
      </c>
      <c r="V1102" t="s">
        <v>18735</v>
      </c>
      <c r="W1102" t="s">
        <v>18736</v>
      </c>
      <c r="X1102" t="s">
        <v>18737</v>
      </c>
      <c r="Y1102" t="s">
        <v>18733</v>
      </c>
      <c r="Z1102" t="s">
        <v>1253</v>
      </c>
      <c r="AA1102" t="s">
        <v>18734</v>
      </c>
      <c r="AB1102" t="s">
        <v>1763</v>
      </c>
      <c r="AC1102" s="3" t="str">
        <f>"70788"</f>
        <v>70788</v>
      </c>
      <c r="AD1102" t="s">
        <v>128</v>
      </c>
      <c r="AE1102" t="s">
        <v>9725</v>
      </c>
      <c r="AF1102" s="4">
        <v>12255453616</v>
      </c>
      <c r="AH1102" t="str">
        <f>"31131"</f>
        <v>31131</v>
      </c>
      <c r="AI1102" t="s">
        <v>287</v>
      </c>
      <c r="AJ1102" t="s">
        <v>16011</v>
      </c>
      <c r="AK1102" t="s">
        <v>18738</v>
      </c>
      <c r="AL1102" t="s">
        <v>1253</v>
      </c>
      <c r="AM1102" t="s">
        <v>18739</v>
      </c>
      <c r="AN1102" t="s">
        <v>1253</v>
      </c>
      <c r="AO1102" t="s">
        <v>3874</v>
      </c>
      <c r="AP1102" t="s">
        <v>1763</v>
      </c>
      <c r="AQ1102" s="5">
        <v>70820</v>
      </c>
      <c r="AR1102" t="s">
        <v>128</v>
      </c>
      <c r="AT1102" s="4">
        <v>12257739449</v>
      </c>
      <c r="AV1102" t="s">
        <v>18740</v>
      </c>
      <c r="AW1102" t="s">
        <v>18741</v>
      </c>
      <c r="AX1102" t="s">
        <v>131</v>
      </c>
      <c r="AY1102" t="s">
        <v>131</v>
      </c>
      <c r="AZ1102" t="s">
        <v>131</v>
      </c>
      <c r="BA1102" t="s">
        <v>131</v>
      </c>
      <c r="BB1102" t="s">
        <v>131</v>
      </c>
      <c r="BC1102" t="s">
        <v>131</v>
      </c>
      <c r="BD1102" t="s">
        <v>131</v>
      </c>
      <c r="BE1102" t="s">
        <v>132</v>
      </c>
      <c r="BH1102" t="s">
        <v>3994</v>
      </c>
      <c r="BI1102" t="s">
        <v>131</v>
      </c>
      <c r="BL1102" t="s">
        <v>167</v>
      </c>
      <c r="BO1102" t="s">
        <v>131</v>
      </c>
      <c r="BP1102" t="s">
        <v>134</v>
      </c>
      <c r="BQ1102" t="s">
        <v>131</v>
      </c>
      <c r="BS1102" t="str">
        <f t="shared" si="80"/>
        <v>N/A</v>
      </c>
      <c r="BT1102" t="s">
        <v>135</v>
      </c>
      <c r="BU1102">
        <v>3</v>
      </c>
      <c r="BV1102" t="str">
        <f>"3 months experience in general maintenance and mechanical repair"</f>
        <v>3 months experience in general maintenance and mechanical repair</v>
      </c>
      <c r="BW1102" t="s">
        <v>131</v>
      </c>
      <c r="BX1102" t="str">
        <f>""</f>
        <v/>
      </c>
      <c r="BY1102" t="str">
        <f>""</f>
        <v/>
      </c>
      <c r="BZ1102" t="str">
        <f>""</f>
        <v/>
      </c>
      <c r="CA1102" t="str">
        <f>""</f>
        <v/>
      </c>
      <c r="CB1102" t="s">
        <v>131</v>
      </c>
      <c r="CF1102" t="s">
        <v>131</v>
      </c>
      <c r="CH1102" t="str">
        <f>""</f>
        <v/>
      </c>
      <c r="CI1102" t="s">
        <v>131</v>
      </c>
      <c r="CK1102" t="s">
        <v>131</v>
      </c>
      <c r="CL1102" t="str">
        <f>""</f>
        <v/>
      </c>
      <c r="CM1102" t="str">
        <f>""</f>
        <v/>
      </c>
      <c r="CN1102" t="str">
        <f>""</f>
        <v/>
      </c>
      <c r="CO1102" t="str">
        <f>""</f>
        <v/>
      </c>
      <c r="CP1102" t="str">
        <f>"49-9098.00"</f>
        <v>49-9098.00</v>
      </c>
      <c r="CQ1102" t="s">
        <v>1503</v>
      </c>
      <c r="CR1102" t="s">
        <v>1205</v>
      </c>
      <c r="CS1102" t="s">
        <v>131</v>
      </c>
      <c r="CU1102" t="s">
        <v>18733</v>
      </c>
      <c r="CV1102" t="s">
        <v>1253</v>
      </c>
      <c r="CW1102" t="s">
        <v>18734</v>
      </c>
      <c r="CX1102" t="s">
        <v>1763</v>
      </c>
      <c r="CZ1102" s="3" t="str">
        <f>"70788"</f>
        <v>70788</v>
      </c>
      <c r="DA1102" t="s">
        <v>131</v>
      </c>
      <c r="DB1102" t="str">
        <f>"49-9098"</f>
        <v>49-9098</v>
      </c>
      <c r="DC1102" t="s">
        <v>1503</v>
      </c>
      <c r="DD1102" t="s">
        <v>134</v>
      </c>
      <c r="DE1102" t="s">
        <v>134</v>
      </c>
      <c r="DF1102" t="str">
        <f>""</f>
        <v/>
      </c>
      <c r="DH1102" s="6">
        <v>15.04</v>
      </c>
      <c r="DI1102" t="s">
        <v>344</v>
      </c>
      <c r="DK1102" t="s">
        <v>345</v>
      </c>
      <c r="DR1102" t="s">
        <v>3877</v>
      </c>
      <c r="DS1102" s="6">
        <v>15.04</v>
      </c>
      <c r="DT1102" t="s">
        <v>424</v>
      </c>
      <c r="DU1102" s="1">
        <v>44376</v>
      </c>
      <c r="DV1102" s="1">
        <v>44465</v>
      </c>
    </row>
    <row r="1103" spans="1:126" ht="15" customHeight="1" x14ac:dyDescent="0.35">
      <c r="A1103" t="s">
        <v>7495</v>
      </c>
      <c r="B1103" t="s">
        <v>318</v>
      </c>
      <c r="C1103" s="1">
        <v>44349</v>
      </c>
      <c r="D1103" s="1">
        <v>44376</v>
      </c>
      <c r="H1103" t="s">
        <v>319</v>
      </c>
      <c r="I1103" t="s">
        <v>7496</v>
      </c>
      <c r="J1103" t="s">
        <v>1312</v>
      </c>
      <c r="L1103" t="s">
        <v>1205</v>
      </c>
      <c r="M1103" t="s">
        <v>7497</v>
      </c>
      <c r="O1103" t="s">
        <v>3875</v>
      </c>
      <c r="P1103" t="s">
        <v>720</v>
      </c>
      <c r="Q1103" s="3">
        <v>1749</v>
      </c>
      <c r="R1103" t="s">
        <v>128</v>
      </c>
      <c r="T1103" s="4">
        <v>19785670686</v>
      </c>
      <c r="V1103" t="s">
        <v>134</v>
      </c>
      <c r="W1103" t="s">
        <v>7498</v>
      </c>
      <c r="X1103" t="s">
        <v>7499</v>
      </c>
      <c r="Y1103" t="s">
        <v>7497</v>
      </c>
      <c r="AA1103" t="s">
        <v>3875</v>
      </c>
      <c r="AB1103" t="s">
        <v>377</v>
      </c>
      <c r="AC1103" s="3" t="str">
        <f>"01749"</f>
        <v>01749</v>
      </c>
      <c r="AD1103" t="s">
        <v>128</v>
      </c>
      <c r="AF1103" s="4">
        <v>19785670638</v>
      </c>
      <c r="AH1103" t="str">
        <f>"56173"</f>
        <v>56173</v>
      </c>
      <c r="AI1103" t="s">
        <v>130</v>
      </c>
      <c r="AJ1103" t="s">
        <v>4793</v>
      </c>
      <c r="AK1103" t="s">
        <v>3519</v>
      </c>
      <c r="AL1103" t="s">
        <v>301</v>
      </c>
      <c r="AM1103" t="s">
        <v>7500</v>
      </c>
      <c r="AO1103" t="s">
        <v>1040</v>
      </c>
      <c r="AP1103" t="s">
        <v>400</v>
      </c>
      <c r="AQ1103" s="5">
        <v>78746</v>
      </c>
      <c r="AR1103" t="s">
        <v>128</v>
      </c>
      <c r="AT1103" s="4">
        <v>15123470007</v>
      </c>
      <c r="AV1103" t="s">
        <v>4857</v>
      </c>
      <c r="AW1103" t="s">
        <v>7501</v>
      </c>
      <c r="AX1103" t="s">
        <v>131</v>
      </c>
      <c r="AY1103" t="s">
        <v>131</v>
      </c>
      <c r="AZ1103" t="s">
        <v>131</v>
      </c>
      <c r="BA1103" t="s">
        <v>131</v>
      </c>
      <c r="BB1103" t="s">
        <v>131</v>
      </c>
      <c r="BC1103" t="s">
        <v>131</v>
      </c>
      <c r="BD1103" t="s">
        <v>131</v>
      </c>
      <c r="BE1103" t="s">
        <v>132</v>
      </c>
      <c r="BH1103" t="s">
        <v>7502</v>
      </c>
      <c r="BI1103" t="s">
        <v>131</v>
      </c>
      <c r="BL1103" t="s">
        <v>167</v>
      </c>
      <c r="BO1103" t="s">
        <v>131</v>
      </c>
      <c r="BP1103" t="s">
        <v>134</v>
      </c>
      <c r="BQ1103" t="s">
        <v>131</v>
      </c>
      <c r="BS1103" t="str">
        <f t="shared" si="80"/>
        <v>N/A</v>
      </c>
      <c r="BT1103" t="s">
        <v>131</v>
      </c>
      <c r="BV1103" t="str">
        <f>""</f>
        <v/>
      </c>
      <c r="BW1103" t="s">
        <v>131</v>
      </c>
      <c r="BX1103" t="str">
        <f>""</f>
        <v/>
      </c>
      <c r="BY1103" t="str">
        <f>""</f>
        <v/>
      </c>
      <c r="BZ1103" t="str">
        <f>""</f>
        <v/>
      </c>
      <c r="CA1103" t="str">
        <f>""</f>
        <v/>
      </c>
      <c r="CB1103" t="s">
        <v>131</v>
      </c>
      <c r="CF1103" t="s">
        <v>131</v>
      </c>
      <c r="CH1103" t="str">
        <f>""</f>
        <v/>
      </c>
      <c r="CI1103" t="s">
        <v>131</v>
      </c>
      <c r="CK1103" t="s">
        <v>131</v>
      </c>
      <c r="CL1103" t="str">
        <f>""</f>
        <v/>
      </c>
      <c r="CM1103" t="str">
        <f>""</f>
        <v/>
      </c>
      <c r="CN1103" t="str">
        <f>""</f>
        <v/>
      </c>
      <c r="CO1103" t="str">
        <f>""</f>
        <v/>
      </c>
      <c r="CP1103" t="str">
        <f>"37-3011.00"</f>
        <v>37-3011.00</v>
      </c>
      <c r="CQ1103" t="s">
        <v>920</v>
      </c>
      <c r="CS1103" t="s">
        <v>135</v>
      </c>
      <c r="CT1103" t="s">
        <v>7503</v>
      </c>
      <c r="CU1103" t="s">
        <v>7497</v>
      </c>
      <c r="CW1103" t="s">
        <v>3875</v>
      </c>
      <c r="CX1103" t="s">
        <v>377</v>
      </c>
      <c r="CZ1103" s="3" t="str">
        <f>"01749"</f>
        <v>01749</v>
      </c>
      <c r="DA1103" t="s">
        <v>135</v>
      </c>
      <c r="DB1103" t="str">
        <f>"37-3011"</f>
        <v>37-3011</v>
      </c>
      <c r="DC1103" t="s">
        <v>920</v>
      </c>
      <c r="DD1103" t="s">
        <v>134</v>
      </c>
      <c r="DE1103" t="s">
        <v>134</v>
      </c>
      <c r="DF1103" t="str">
        <f>""</f>
        <v/>
      </c>
      <c r="DH1103" s="6">
        <v>19.079999999999998</v>
      </c>
      <c r="DI1103" t="s">
        <v>344</v>
      </c>
      <c r="DK1103" t="s">
        <v>345</v>
      </c>
      <c r="DR1103" t="s">
        <v>7504</v>
      </c>
      <c r="DS1103" s="6">
        <v>19.079999999999998</v>
      </c>
      <c r="DT1103" s="2" t="s">
        <v>2219</v>
      </c>
      <c r="DU1103" s="1">
        <v>44376</v>
      </c>
      <c r="DV1103" s="1">
        <v>44465</v>
      </c>
    </row>
    <row r="1104" spans="1:126" ht="15" customHeight="1" x14ac:dyDescent="0.35">
      <c r="A1104" t="s">
        <v>10065</v>
      </c>
      <c r="B1104" t="s">
        <v>318</v>
      </c>
      <c r="C1104" s="1">
        <v>44349</v>
      </c>
      <c r="D1104" s="1">
        <v>44376</v>
      </c>
      <c r="H1104" t="s">
        <v>319</v>
      </c>
      <c r="I1104" t="s">
        <v>4759</v>
      </c>
      <c r="J1104" t="s">
        <v>435</v>
      </c>
      <c r="L1104" t="s">
        <v>5496</v>
      </c>
      <c r="M1104" t="s">
        <v>10066</v>
      </c>
      <c r="O1104" t="s">
        <v>1040</v>
      </c>
      <c r="P1104" t="s">
        <v>412</v>
      </c>
      <c r="Q1104" s="3">
        <v>78759</v>
      </c>
      <c r="R1104" t="s">
        <v>128</v>
      </c>
      <c r="T1104" s="4">
        <v>15128362325</v>
      </c>
      <c r="V1104" t="s">
        <v>134</v>
      </c>
      <c r="W1104" t="s">
        <v>10067</v>
      </c>
      <c r="Y1104" t="s">
        <v>10068</v>
      </c>
      <c r="AA1104" t="s">
        <v>1040</v>
      </c>
      <c r="AB1104" t="s">
        <v>400</v>
      </c>
      <c r="AC1104" s="3" t="str">
        <f>"78759"</f>
        <v>78759</v>
      </c>
      <c r="AD1104" t="s">
        <v>128</v>
      </c>
      <c r="AF1104" s="4">
        <v>15128362325</v>
      </c>
      <c r="AH1104" t="str">
        <f>"56173"</f>
        <v>56173</v>
      </c>
      <c r="AI1104" t="s">
        <v>130</v>
      </c>
      <c r="AJ1104" t="s">
        <v>4793</v>
      </c>
      <c r="AK1104" t="s">
        <v>3519</v>
      </c>
      <c r="AL1104" t="s">
        <v>301</v>
      </c>
      <c r="AM1104" t="s">
        <v>7500</v>
      </c>
      <c r="AO1104" t="s">
        <v>4887</v>
      </c>
      <c r="AP1104" t="s">
        <v>400</v>
      </c>
      <c r="AQ1104" s="5">
        <v>78746</v>
      </c>
      <c r="AR1104" t="s">
        <v>128</v>
      </c>
      <c r="AT1104" s="4">
        <v>1512347007</v>
      </c>
      <c r="AV1104" t="s">
        <v>4857</v>
      </c>
      <c r="AW1104" t="s">
        <v>7501</v>
      </c>
      <c r="AX1104" t="s">
        <v>131</v>
      </c>
      <c r="AY1104" t="s">
        <v>131</v>
      </c>
      <c r="AZ1104" t="s">
        <v>131</v>
      </c>
      <c r="BA1104" t="s">
        <v>131</v>
      </c>
      <c r="BB1104" t="s">
        <v>131</v>
      </c>
      <c r="BC1104" t="s">
        <v>131</v>
      </c>
      <c r="BD1104" t="s">
        <v>131</v>
      </c>
      <c r="BE1104" t="s">
        <v>132</v>
      </c>
      <c r="BH1104" t="s">
        <v>10069</v>
      </c>
      <c r="BI1104" t="s">
        <v>131</v>
      </c>
      <c r="BL1104" t="s">
        <v>167</v>
      </c>
      <c r="BO1104" t="s">
        <v>131</v>
      </c>
      <c r="BP1104" t="s">
        <v>134</v>
      </c>
      <c r="BQ1104" t="s">
        <v>131</v>
      </c>
      <c r="BS1104" t="str">
        <f t="shared" si="80"/>
        <v>N/A</v>
      </c>
      <c r="BT1104" t="s">
        <v>135</v>
      </c>
      <c r="BU1104">
        <v>3</v>
      </c>
      <c r="BV1104" t="str">
        <f>"Landscaping and Groundskeeping"</f>
        <v>Landscaping and Groundskeeping</v>
      </c>
      <c r="BW1104" t="s">
        <v>135</v>
      </c>
      <c r="BX1104" t="str">
        <f>""</f>
        <v/>
      </c>
      <c r="BY1104" t="str">
        <f>""</f>
        <v/>
      </c>
      <c r="BZ1104" t="str">
        <f>""</f>
        <v/>
      </c>
      <c r="CA1104" t="str">
        <f>"Pre-hire employer paid drug testing required."</f>
        <v>Pre-hire employer paid drug testing required.</v>
      </c>
      <c r="CB1104" t="s">
        <v>131</v>
      </c>
      <c r="CF1104" t="s">
        <v>131</v>
      </c>
      <c r="CH1104" t="str">
        <f>""</f>
        <v/>
      </c>
      <c r="CI1104" t="s">
        <v>131</v>
      </c>
      <c r="CK1104" t="s">
        <v>131</v>
      </c>
      <c r="CL1104" t="str">
        <f>""</f>
        <v/>
      </c>
      <c r="CM1104" t="str">
        <f>""</f>
        <v/>
      </c>
      <c r="CN1104" t="str">
        <f>""</f>
        <v/>
      </c>
      <c r="CO1104" t="str">
        <f>""</f>
        <v/>
      </c>
      <c r="CP1104" t="str">
        <f>"37-3011.00"</f>
        <v>37-3011.00</v>
      </c>
      <c r="CQ1104" t="s">
        <v>920</v>
      </c>
      <c r="CS1104" t="s">
        <v>135</v>
      </c>
      <c r="CT1104" t="s">
        <v>10070</v>
      </c>
      <c r="CU1104" t="s">
        <v>10071</v>
      </c>
      <c r="CW1104" t="s">
        <v>1040</v>
      </c>
      <c r="CX1104" t="s">
        <v>400</v>
      </c>
      <c r="CZ1104" s="3" t="str">
        <f>"78727"</f>
        <v>78727</v>
      </c>
      <c r="DA1104" t="s">
        <v>135</v>
      </c>
      <c r="DB1104" t="str">
        <f>"37-3011"</f>
        <v>37-3011</v>
      </c>
      <c r="DC1104" t="s">
        <v>920</v>
      </c>
      <c r="DD1104" t="s">
        <v>134</v>
      </c>
      <c r="DE1104" t="s">
        <v>134</v>
      </c>
      <c r="DF1104" t="str">
        <f>""</f>
        <v/>
      </c>
      <c r="DH1104" s="6">
        <v>14.63</v>
      </c>
      <c r="DI1104" t="s">
        <v>344</v>
      </c>
      <c r="DK1104" t="s">
        <v>345</v>
      </c>
      <c r="DR1104" t="s">
        <v>10072</v>
      </c>
      <c r="DS1104" s="6">
        <v>14.63</v>
      </c>
      <c r="DT1104" s="2" t="s">
        <v>2219</v>
      </c>
      <c r="DU1104" s="1">
        <v>44376</v>
      </c>
      <c r="DV1104" s="1">
        <v>44465</v>
      </c>
    </row>
    <row r="1105" spans="1:126" ht="15" customHeight="1" x14ac:dyDescent="0.35">
      <c r="A1105" t="s">
        <v>16559</v>
      </c>
      <c r="B1105" t="s">
        <v>318</v>
      </c>
      <c r="C1105" s="1">
        <v>44349</v>
      </c>
      <c r="D1105" s="1">
        <v>44376</v>
      </c>
      <c r="H1105" t="s">
        <v>319</v>
      </c>
      <c r="I1105" t="s">
        <v>16560</v>
      </c>
      <c r="J1105" t="s">
        <v>3722</v>
      </c>
      <c r="L1105" t="s">
        <v>2754</v>
      </c>
      <c r="M1105" t="s">
        <v>16561</v>
      </c>
      <c r="O1105" t="s">
        <v>486</v>
      </c>
      <c r="P1105" t="s">
        <v>593</v>
      </c>
      <c r="Q1105" s="3">
        <v>28411</v>
      </c>
      <c r="R1105" t="s">
        <v>128</v>
      </c>
      <c r="T1105" s="4">
        <v>19103521990</v>
      </c>
      <c r="U1105">
        <v>0</v>
      </c>
      <c r="V1105" t="s">
        <v>16562</v>
      </c>
      <c r="W1105" t="s">
        <v>16563</v>
      </c>
      <c r="Y1105" t="s">
        <v>16561</v>
      </c>
      <c r="AA1105" t="s">
        <v>486</v>
      </c>
      <c r="AB1105" t="s">
        <v>594</v>
      </c>
      <c r="AC1105" s="3" t="str">
        <f>"28411"</f>
        <v>28411</v>
      </c>
      <c r="AD1105" t="s">
        <v>128</v>
      </c>
      <c r="AE1105" t="s">
        <v>3734</v>
      </c>
      <c r="AF1105" s="4">
        <v>19103521990</v>
      </c>
      <c r="AG1105">
        <v>0</v>
      </c>
      <c r="AH1105" t="str">
        <f>"71399"</f>
        <v>71399</v>
      </c>
      <c r="AI1105" t="s">
        <v>130</v>
      </c>
      <c r="AJ1105" t="s">
        <v>4153</v>
      </c>
      <c r="AK1105" t="s">
        <v>301</v>
      </c>
      <c r="AL1105" t="s">
        <v>1978</v>
      </c>
      <c r="AM1105" t="s">
        <v>4154</v>
      </c>
      <c r="AN1105" t="s">
        <v>1980</v>
      </c>
      <c r="AO1105" t="s">
        <v>4155</v>
      </c>
      <c r="AP1105" t="s">
        <v>382</v>
      </c>
      <c r="AQ1105" s="5">
        <v>21401</v>
      </c>
      <c r="AR1105" t="s">
        <v>128</v>
      </c>
      <c r="AT1105" s="4">
        <v>14105739955</v>
      </c>
      <c r="AU1105">
        <v>0</v>
      </c>
      <c r="AV1105" t="s">
        <v>4156</v>
      </c>
      <c r="AW1105" t="s">
        <v>4157</v>
      </c>
      <c r="AX1105" t="s">
        <v>131</v>
      </c>
      <c r="AY1105" t="s">
        <v>131</v>
      </c>
      <c r="AZ1105" t="s">
        <v>131</v>
      </c>
      <c r="BA1105" t="s">
        <v>131</v>
      </c>
      <c r="BB1105" t="s">
        <v>131</v>
      </c>
      <c r="BC1105" t="s">
        <v>131</v>
      </c>
      <c r="BD1105" t="s">
        <v>131</v>
      </c>
      <c r="BE1105" t="s">
        <v>132</v>
      </c>
      <c r="BH1105" t="s">
        <v>4158</v>
      </c>
      <c r="BI1105" t="s">
        <v>131</v>
      </c>
      <c r="BL1105" t="s">
        <v>167</v>
      </c>
      <c r="BO1105" t="s">
        <v>131</v>
      </c>
      <c r="BP1105" t="s">
        <v>134</v>
      </c>
      <c r="BQ1105" t="s">
        <v>131</v>
      </c>
      <c r="BS1105" t="str">
        <f t="shared" si="80"/>
        <v>N/A</v>
      </c>
      <c r="BT1105" t="s">
        <v>131</v>
      </c>
      <c r="BV1105" t="str">
        <f>""</f>
        <v/>
      </c>
      <c r="BW1105" t="s">
        <v>135</v>
      </c>
      <c r="BX1105" t="str">
        <f>""</f>
        <v/>
      </c>
      <c r="BY1105" t="str">
        <f>""</f>
        <v/>
      </c>
      <c r="BZ1105" t="str">
        <f>""</f>
        <v/>
      </c>
      <c r="CA1105" t="str">
        <f>"Must pass post-employment drug test and background check paid by employer.  Must be able to lift 50 lbs."</f>
        <v>Must pass post-employment drug test and background check paid by employer.  Must be able to lift 50 lbs.</v>
      </c>
      <c r="CB1105" t="s">
        <v>131</v>
      </c>
      <c r="CF1105" t="s">
        <v>131</v>
      </c>
      <c r="CH1105" t="str">
        <f>""</f>
        <v/>
      </c>
      <c r="CI1105" t="s">
        <v>131</v>
      </c>
      <c r="CK1105" t="s">
        <v>131</v>
      </c>
      <c r="CL1105" t="str">
        <f>""</f>
        <v/>
      </c>
      <c r="CM1105" t="str">
        <f>""</f>
        <v/>
      </c>
      <c r="CN1105" t="str">
        <f>""</f>
        <v/>
      </c>
      <c r="CO1105" t="str">
        <f>""</f>
        <v/>
      </c>
      <c r="CP1105" t="str">
        <f>"49-9098.00"</f>
        <v>49-9098.00</v>
      </c>
      <c r="CQ1105" t="s">
        <v>1503</v>
      </c>
      <c r="CR1105" t="s">
        <v>460</v>
      </c>
      <c r="CS1105" t="s">
        <v>131</v>
      </c>
      <c r="CU1105" t="s">
        <v>16564</v>
      </c>
      <c r="CW1105" t="s">
        <v>16565</v>
      </c>
      <c r="CX1105" t="s">
        <v>594</v>
      </c>
      <c r="CZ1105" s="3" t="str">
        <f>"28472"</f>
        <v>28472</v>
      </c>
      <c r="DA1105" t="s">
        <v>131</v>
      </c>
      <c r="DB1105" t="str">
        <f>"49-9098"</f>
        <v>49-9098</v>
      </c>
      <c r="DC1105" t="s">
        <v>1503</v>
      </c>
      <c r="DD1105" t="s">
        <v>134</v>
      </c>
      <c r="DE1105" t="s">
        <v>134</v>
      </c>
      <c r="DF1105" t="str">
        <f>""</f>
        <v/>
      </c>
      <c r="DH1105" s="6">
        <v>13.65</v>
      </c>
      <c r="DI1105" t="s">
        <v>344</v>
      </c>
      <c r="DK1105" t="s">
        <v>345</v>
      </c>
      <c r="DR1105" t="s">
        <v>16566</v>
      </c>
      <c r="DS1105" s="6">
        <v>13.65</v>
      </c>
      <c r="DT1105" t="s">
        <v>424</v>
      </c>
      <c r="DU1105" s="1">
        <v>44376</v>
      </c>
      <c r="DV1105" s="1">
        <v>44465</v>
      </c>
    </row>
    <row r="1106" spans="1:126" ht="15" customHeight="1" x14ac:dyDescent="0.35">
      <c r="A1106" t="s">
        <v>15567</v>
      </c>
      <c r="B1106" t="s">
        <v>318</v>
      </c>
      <c r="C1106" s="1">
        <v>44349</v>
      </c>
      <c r="D1106" s="1">
        <v>44376</v>
      </c>
      <c r="H1106" t="s">
        <v>319</v>
      </c>
      <c r="I1106" t="s">
        <v>15568</v>
      </c>
      <c r="J1106" t="s">
        <v>6430</v>
      </c>
      <c r="L1106" t="s">
        <v>395</v>
      </c>
      <c r="M1106" t="s">
        <v>15569</v>
      </c>
      <c r="O1106" t="s">
        <v>15570</v>
      </c>
      <c r="P1106" t="s">
        <v>2848</v>
      </c>
      <c r="Q1106" s="3">
        <v>3874</v>
      </c>
      <c r="R1106" t="s">
        <v>128</v>
      </c>
      <c r="T1106" s="4">
        <v>16034745424</v>
      </c>
      <c r="U1106">
        <v>0</v>
      </c>
      <c r="V1106" t="s">
        <v>15571</v>
      </c>
      <c r="W1106" t="s">
        <v>15572</v>
      </c>
      <c r="Y1106" t="s">
        <v>15569</v>
      </c>
      <c r="AA1106" t="s">
        <v>15570</v>
      </c>
      <c r="AB1106" t="s">
        <v>2849</v>
      </c>
      <c r="AC1106" s="3" t="str">
        <f>"03874"</f>
        <v>03874</v>
      </c>
      <c r="AD1106" t="s">
        <v>128</v>
      </c>
      <c r="AF1106" s="4">
        <v>16034745424</v>
      </c>
      <c r="AG1106">
        <v>0</v>
      </c>
      <c r="AH1106" t="str">
        <f>"71399"</f>
        <v>71399</v>
      </c>
      <c r="AI1106" t="s">
        <v>130</v>
      </c>
      <c r="AJ1106" t="s">
        <v>4153</v>
      </c>
      <c r="AK1106" t="s">
        <v>301</v>
      </c>
      <c r="AL1106" t="s">
        <v>1978</v>
      </c>
      <c r="AM1106" t="s">
        <v>4154</v>
      </c>
      <c r="AN1106" t="s">
        <v>1980</v>
      </c>
      <c r="AO1106" t="s">
        <v>4155</v>
      </c>
      <c r="AP1106" t="s">
        <v>382</v>
      </c>
      <c r="AQ1106" s="5">
        <v>21401</v>
      </c>
      <c r="AR1106" t="s">
        <v>128</v>
      </c>
      <c r="AT1106" s="4">
        <v>14105739955</v>
      </c>
      <c r="AU1106">
        <v>0</v>
      </c>
      <c r="AV1106" t="s">
        <v>4156</v>
      </c>
      <c r="AW1106" t="s">
        <v>4157</v>
      </c>
      <c r="AX1106" t="s">
        <v>131</v>
      </c>
      <c r="AY1106" t="s">
        <v>131</v>
      </c>
      <c r="AZ1106" t="s">
        <v>131</v>
      </c>
      <c r="BA1106" t="s">
        <v>131</v>
      </c>
      <c r="BB1106" t="s">
        <v>131</v>
      </c>
      <c r="BC1106" t="s">
        <v>131</v>
      </c>
      <c r="BD1106" t="s">
        <v>131</v>
      </c>
      <c r="BE1106" t="s">
        <v>132</v>
      </c>
      <c r="BH1106" t="s">
        <v>4158</v>
      </c>
      <c r="BI1106" t="s">
        <v>131</v>
      </c>
      <c r="BL1106" t="s">
        <v>167</v>
      </c>
      <c r="BO1106" t="s">
        <v>131</v>
      </c>
      <c r="BP1106" t="s">
        <v>134</v>
      </c>
      <c r="BQ1106" t="s">
        <v>131</v>
      </c>
      <c r="BS1106" t="str">
        <f t="shared" si="80"/>
        <v>N/A</v>
      </c>
      <c r="BT1106" t="s">
        <v>131</v>
      </c>
      <c r="BV1106" t="str">
        <f>""</f>
        <v/>
      </c>
      <c r="BW1106" t="s">
        <v>135</v>
      </c>
      <c r="BX1106" t="str">
        <f>""</f>
        <v/>
      </c>
      <c r="BY1106" t="str">
        <f>""</f>
        <v/>
      </c>
      <c r="BZ1106" t="str">
        <f>""</f>
        <v/>
      </c>
      <c r="CA1106" t="str">
        <f>"Must pass post-employment drug test and background check paid by employer.  Must be able to lift 50 lbs."</f>
        <v>Must pass post-employment drug test and background check paid by employer.  Must be able to lift 50 lbs.</v>
      </c>
      <c r="CB1106" t="s">
        <v>131</v>
      </c>
      <c r="CF1106" t="s">
        <v>131</v>
      </c>
      <c r="CH1106" t="str">
        <f>""</f>
        <v/>
      </c>
      <c r="CI1106" t="s">
        <v>131</v>
      </c>
      <c r="CK1106" t="s">
        <v>131</v>
      </c>
      <c r="CL1106" t="str">
        <f>""</f>
        <v/>
      </c>
      <c r="CM1106" t="str">
        <f>""</f>
        <v/>
      </c>
      <c r="CN1106" t="str">
        <f>""</f>
        <v/>
      </c>
      <c r="CO1106" t="str">
        <f>""</f>
        <v/>
      </c>
      <c r="CP1106" t="str">
        <f>"49-9098.00"</f>
        <v>49-9098.00</v>
      </c>
      <c r="CQ1106" t="s">
        <v>1503</v>
      </c>
      <c r="CR1106" t="s">
        <v>460</v>
      </c>
      <c r="CS1106" t="s">
        <v>131</v>
      </c>
      <c r="CU1106" t="s">
        <v>15573</v>
      </c>
      <c r="CW1106" t="s">
        <v>15570</v>
      </c>
      <c r="CX1106" t="s">
        <v>2849</v>
      </c>
      <c r="CZ1106" s="3" t="str">
        <f>"03784"</f>
        <v>03784</v>
      </c>
      <c r="DA1106" t="s">
        <v>135</v>
      </c>
      <c r="DB1106" t="str">
        <f>"49-9098"</f>
        <v>49-9098</v>
      </c>
      <c r="DC1106" t="s">
        <v>1503</v>
      </c>
      <c r="DD1106" t="s">
        <v>134</v>
      </c>
      <c r="DE1106" t="s">
        <v>134</v>
      </c>
      <c r="DF1106" t="str">
        <f>""</f>
        <v/>
      </c>
      <c r="DH1106" s="6">
        <v>16.71</v>
      </c>
      <c r="DI1106" t="s">
        <v>344</v>
      </c>
      <c r="DK1106" t="s">
        <v>345</v>
      </c>
      <c r="DR1106" t="s">
        <v>7504</v>
      </c>
      <c r="DS1106" s="6">
        <v>16.71</v>
      </c>
      <c r="DT1106" t="s">
        <v>424</v>
      </c>
      <c r="DU1106" s="1">
        <v>44376</v>
      </c>
      <c r="DV1106" s="1">
        <v>44465</v>
      </c>
    </row>
    <row r="1107" spans="1:126" ht="15" customHeight="1" x14ac:dyDescent="0.35">
      <c r="A1107" t="s">
        <v>10349</v>
      </c>
      <c r="B1107" t="s">
        <v>318</v>
      </c>
      <c r="C1107" s="1">
        <v>44349</v>
      </c>
      <c r="D1107" s="1">
        <v>44376</v>
      </c>
      <c r="H1107" t="s">
        <v>319</v>
      </c>
      <c r="I1107" t="s">
        <v>10350</v>
      </c>
      <c r="J1107" t="s">
        <v>1081</v>
      </c>
      <c r="L1107" t="s">
        <v>1105</v>
      </c>
      <c r="M1107" t="s">
        <v>10351</v>
      </c>
      <c r="O1107" t="s">
        <v>10352</v>
      </c>
      <c r="P1107" t="s">
        <v>194</v>
      </c>
      <c r="Q1107" s="3">
        <v>32179</v>
      </c>
      <c r="R1107" t="s">
        <v>128</v>
      </c>
      <c r="T1107" s="4">
        <v>14074924369</v>
      </c>
      <c r="U1107">
        <v>0</v>
      </c>
      <c r="V1107" t="s">
        <v>10353</v>
      </c>
      <c r="W1107" t="s">
        <v>10354</v>
      </c>
      <c r="Y1107" t="s">
        <v>10351</v>
      </c>
      <c r="AA1107" t="s">
        <v>10352</v>
      </c>
      <c r="AB1107" t="s">
        <v>195</v>
      </c>
      <c r="AC1107" s="3" t="str">
        <f>"32179"</f>
        <v>32179</v>
      </c>
      <c r="AD1107" t="s">
        <v>128</v>
      </c>
      <c r="AE1107" t="s">
        <v>8227</v>
      </c>
      <c r="AF1107" s="4">
        <v>14074924369</v>
      </c>
      <c r="AG1107">
        <v>0</v>
      </c>
      <c r="AH1107" t="str">
        <f>"71399"</f>
        <v>71399</v>
      </c>
      <c r="AI1107" t="s">
        <v>130</v>
      </c>
      <c r="AJ1107" t="s">
        <v>4153</v>
      </c>
      <c r="AK1107" t="s">
        <v>301</v>
      </c>
      <c r="AL1107" t="s">
        <v>1978</v>
      </c>
      <c r="AM1107" t="s">
        <v>4154</v>
      </c>
      <c r="AN1107" t="s">
        <v>1980</v>
      </c>
      <c r="AO1107" t="s">
        <v>4155</v>
      </c>
      <c r="AP1107" t="s">
        <v>382</v>
      </c>
      <c r="AQ1107" s="5">
        <v>21401</v>
      </c>
      <c r="AR1107" t="s">
        <v>128</v>
      </c>
      <c r="AT1107" s="4">
        <v>14105739955</v>
      </c>
      <c r="AU1107">
        <v>0</v>
      </c>
      <c r="AV1107" t="s">
        <v>4156</v>
      </c>
      <c r="AW1107" t="s">
        <v>4157</v>
      </c>
      <c r="AX1107" t="s">
        <v>131</v>
      </c>
      <c r="AY1107" t="s">
        <v>131</v>
      </c>
      <c r="AZ1107" t="s">
        <v>131</v>
      </c>
      <c r="BA1107" t="s">
        <v>131</v>
      </c>
      <c r="BB1107" t="s">
        <v>131</v>
      </c>
      <c r="BC1107" t="s">
        <v>131</v>
      </c>
      <c r="BD1107" t="s">
        <v>131</v>
      </c>
      <c r="BE1107" t="s">
        <v>132</v>
      </c>
      <c r="BH1107" t="s">
        <v>4158</v>
      </c>
      <c r="BI1107" t="s">
        <v>131</v>
      </c>
      <c r="BL1107" t="s">
        <v>167</v>
      </c>
      <c r="BO1107" t="s">
        <v>131</v>
      </c>
      <c r="BP1107" t="s">
        <v>134</v>
      </c>
      <c r="BQ1107" t="s">
        <v>131</v>
      </c>
      <c r="BS1107" t="str">
        <f t="shared" si="80"/>
        <v>N/A</v>
      </c>
      <c r="BT1107" t="s">
        <v>131</v>
      </c>
      <c r="BV1107" t="str">
        <f>""</f>
        <v/>
      </c>
      <c r="BW1107" t="s">
        <v>135</v>
      </c>
      <c r="BX1107" t="str">
        <f>""</f>
        <v/>
      </c>
      <c r="BY1107" t="str">
        <f>""</f>
        <v/>
      </c>
      <c r="BZ1107" t="str">
        <f>""</f>
        <v/>
      </c>
      <c r="CA1107" t="str">
        <f>"Must pass post-hire drug test and background check paid by employer.  Must be able to lift 50 lbs."</f>
        <v>Must pass post-hire drug test and background check paid by employer.  Must be able to lift 50 lbs.</v>
      </c>
      <c r="CB1107" t="s">
        <v>131</v>
      </c>
      <c r="CF1107" t="s">
        <v>131</v>
      </c>
      <c r="CH1107" t="str">
        <f>""</f>
        <v/>
      </c>
      <c r="CI1107" t="s">
        <v>131</v>
      </c>
      <c r="CK1107" t="s">
        <v>131</v>
      </c>
      <c r="CL1107" t="str">
        <f>""</f>
        <v/>
      </c>
      <c r="CM1107" t="str">
        <f>""</f>
        <v/>
      </c>
      <c r="CN1107" t="str">
        <f>""</f>
        <v/>
      </c>
      <c r="CO1107" t="str">
        <f>""</f>
        <v/>
      </c>
      <c r="CP1107" t="str">
        <f>"49-9098.00"</f>
        <v>49-9098.00</v>
      </c>
      <c r="CQ1107" t="s">
        <v>1503</v>
      </c>
      <c r="CR1107" t="s">
        <v>460</v>
      </c>
      <c r="CS1107" t="s">
        <v>131</v>
      </c>
      <c r="CU1107" t="s">
        <v>10355</v>
      </c>
      <c r="CW1107" t="s">
        <v>10356</v>
      </c>
      <c r="CX1107" t="s">
        <v>195</v>
      </c>
      <c r="CZ1107" s="3" t="str">
        <f>"32113"</f>
        <v>32113</v>
      </c>
      <c r="DA1107" t="s">
        <v>131</v>
      </c>
      <c r="DB1107" t="str">
        <f>"49-9098"</f>
        <v>49-9098</v>
      </c>
      <c r="DC1107" t="s">
        <v>1503</v>
      </c>
      <c r="DD1107" t="s">
        <v>134</v>
      </c>
      <c r="DE1107" t="s">
        <v>134</v>
      </c>
      <c r="DF1107" t="str">
        <f>""</f>
        <v/>
      </c>
      <c r="DH1107" s="6">
        <v>17.36</v>
      </c>
      <c r="DI1107" t="s">
        <v>344</v>
      </c>
      <c r="DK1107" t="s">
        <v>345</v>
      </c>
      <c r="DR1107" t="s">
        <v>10357</v>
      </c>
      <c r="DS1107" s="6">
        <v>17.36</v>
      </c>
      <c r="DT1107" t="s">
        <v>424</v>
      </c>
      <c r="DU1107" s="1">
        <v>44376</v>
      </c>
      <c r="DV1107" s="1">
        <v>44465</v>
      </c>
    </row>
    <row r="1108" spans="1:126" ht="15" customHeight="1" x14ac:dyDescent="0.35">
      <c r="A1108" t="s">
        <v>4997</v>
      </c>
      <c r="B1108" t="s">
        <v>318</v>
      </c>
      <c r="C1108" s="1">
        <v>44349</v>
      </c>
      <c r="D1108" s="1">
        <v>44376</v>
      </c>
      <c r="H1108" t="s">
        <v>319</v>
      </c>
      <c r="I1108" t="s">
        <v>4998</v>
      </c>
      <c r="J1108" t="s">
        <v>4999</v>
      </c>
      <c r="L1108" t="s">
        <v>5000</v>
      </c>
      <c r="M1108" t="s">
        <v>5001</v>
      </c>
      <c r="O1108" t="s">
        <v>4197</v>
      </c>
      <c r="P1108" t="s">
        <v>194</v>
      </c>
      <c r="Q1108" s="3">
        <v>34990</v>
      </c>
      <c r="R1108" t="s">
        <v>128</v>
      </c>
      <c r="T1108" s="4">
        <v>17722152223</v>
      </c>
      <c r="U1108">
        <v>0</v>
      </c>
      <c r="V1108" t="s">
        <v>5002</v>
      </c>
      <c r="W1108" t="s">
        <v>5003</v>
      </c>
      <c r="Y1108" t="s">
        <v>5001</v>
      </c>
      <c r="AA1108" t="s">
        <v>4197</v>
      </c>
      <c r="AB1108" t="s">
        <v>195</v>
      </c>
      <c r="AC1108" s="3" t="str">
        <f>"34990"</f>
        <v>34990</v>
      </c>
      <c r="AD1108" t="s">
        <v>128</v>
      </c>
      <c r="AF1108" s="4">
        <v>17722152223</v>
      </c>
      <c r="AG1108">
        <v>0</v>
      </c>
      <c r="AH1108" t="str">
        <f>"71399"</f>
        <v>71399</v>
      </c>
      <c r="AI1108" t="s">
        <v>130</v>
      </c>
      <c r="AJ1108" t="s">
        <v>4153</v>
      </c>
      <c r="AK1108" t="s">
        <v>301</v>
      </c>
      <c r="AL1108" t="s">
        <v>1978</v>
      </c>
      <c r="AM1108" t="s">
        <v>4154</v>
      </c>
      <c r="AN1108" t="s">
        <v>1980</v>
      </c>
      <c r="AO1108" t="s">
        <v>4155</v>
      </c>
      <c r="AP1108" t="s">
        <v>382</v>
      </c>
      <c r="AQ1108" s="5">
        <v>21401</v>
      </c>
      <c r="AR1108" t="s">
        <v>128</v>
      </c>
      <c r="AT1108" s="4">
        <v>14105739955</v>
      </c>
      <c r="AU1108">
        <v>0</v>
      </c>
      <c r="AV1108" t="s">
        <v>4156</v>
      </c>
      <c r="AW1108" t="s">
        <v>4157</v>
      </c>
      <c r="AX1108" t="s">
        <v>131</v>
      </c>
      <c r="AY1108" t="s">
        <v>131</v>
      </c>
      <c r="AZ1108" t="s">
        <v>131</v>
      </c>
      <c r="BA1108" t="s">
        <v>131</v>
      </c>
      <c r="BB1108" t="s">
        <v>131</v>
      </c>
      <c r="BC1108" t="s">
        <v>131</v>
      </c>
      <c r="BD1108" t="s">
        <v>131</v>
      </c>
      <c r="BE1108" t="s">
        <v>132</v>
      </c>
      <c r="BH1108" t="s">
        <v>4158</v>
      </c>
      <c r="BI1108" t="s">
        <v>131</v>
      </c>
      <c r="BL1108" t="s">
        <v>167</v>
      </c>
      <c r="BO1108" t="s">
        <v>131</v>
      </c>
      <c r="BP1108" t="s">
        <v>134</v>
      </c>
      <c r="BQ1108" t="s">
        <v>131</v>
      </c>
      <c r="BS1108" t="str">
        <f t="shared" si="80"/>
        <v>N/A</v>
      </c>
      <c r="BT1108" t="s">
        <v>131</v>
      </c>
      <c r="BV1108" t="str">
        <f>""</f>
        <v/>
      </c>
      <c r="BW1108" t="s">
        <v>135</v>
      </c>
      <c r="BX1108" t="str">
        <f>""</f>
        <v/>
      </c>
      <c r="BY1108" t="str">
        <f>""</f>
        <v/>
      </c>
      <c r="BZ1108" t="str">
        <f>""</f>
        <v/>
      </c>
      <c r="CA1108" t="str">
        <f>"Must pass post-employment drug testing and criminal background check paid by employer.  Must be able to lift 50 lbs."</f>
        <v>Must pass post-employment drug testing and criminal background check paid by employer.  Must be able to lift 50 lbs.</v>
      </c>
      <c r="CB1108" t="s">
        <v>131</v>
      </c>
      <c r="CF1108" t="s">
        <v>131</v>
      </c>
      <c r="CH1108" t="str">
        <f>""</f>
        <v/>
      </c>
      <c r="CI1108" t="s">
        <v>131</v>
      </c>
      <c r="CK1108" t="s">
        <v>131</v>
      </c>
      <c r="CL1108" t="str">
        <f>""</f>
        <v/>
      </c>
      <c r="CM1108" t="str">
        <f>""</f>
        <v/>
      </c>
      <c r="CN1108" t="str">
        <f>""</f>
        <v/>
      </c>
      <c r="CO1108" t="str">
        <f>""</f>
        <v/>
      </c>
      <c r="CP1108" t="str">
        <f>"49-9098.00"</f>
        <v>49-9098.00</v>
      </c>
      <c r="CQ1108" t="s">
        <v>1503</v>
      </c>
      <c r="CR1108" t="s">
        <v>460</v>
      </c>
      <c r="CS1108" t="s">
        <v>131</v>
      </c>
      <c r="CU1108" t="s">
        <v>5001</v>
      </c>
      <c r="CW1108" t="s">
        <v>4197</v>
      </c>
      <c r="CX1108" t="s">
        <v>195</v>
      </c>
      <c r="CZ1108" s="3" t="str">
        <f>"34990"</f>
        <v>34990</v>
      </c>
      <c r="DA1108" t="s">
        <v>131</v>
      </c>
      <c r="DB1108" t="str">
        <f>"49-9098"</f>
        <v>49-9098</v>
      </c>
      <c r="DC1108" t="s">
        <v>1503</v>
      </c>
      <c r="DD1108" t="s">
        <v>134</v>
      </c>
      <c r="DE1108" t="s">
        <v>134</v>
      </c>
      <c r="DF1108" t="str">
        <f>""</f>
        <v/>
      </c>
      <c r="DH1108" s="6">
        <v>14.11</v>
      </c>
      <c r="DI1108" t="s">
        <v>344</v>
      </c>
      <c r="DK1108" t="s">
        <v>345</v>
      </c>
      <c r="DR1108" t="s">
        <v>4740</v>
      </c>
      <c r="DS1108" s="6">
        <v>14.11</v>
      </c>
      <c r="DT1108" t="s">
        <v>424</v>
      </c>
      <c r="DU1108" s="1">
        <v>44376</v>
      </c>
      <c r="DV1108" s="1">
        <v>44465</v>
      </c>
    </row>
    <row r="1109" spans="1:126" ht="15" customHeight="1" x14ac:dyDescent="0.35">
      <c r="A1109" t="s">
        <v>15668</v>
      </c>
      <c r="B1109" t="s">
        <v>318</v>
      </c>
      <c r="C1109" s="1">
        <v>44349</v>
      </c>
      <c r="D1109" s="1">
        <v>44377</v>
      </c>
      <c r="H1109" t="s">
        <v>319</v>
      </c>
      <c r="I1109" t="s">
        <v>15669</v>
      </c>
      <c r="J1109" t="s">
        <v>348</v>
      </c>
      <c r="K1109" t="s">
        <v>610</v>
      </c>
      <c r="L1109" t="s">
        <v>9003</v>
      </c>
      <c r="M1109" t="s">
        <v>15625</v>
      </c>
      <c r="N1109" t="s">
        <v>15670</v>
      </c>
      <c r="O1109" t="s">
        <v>8521</v>
      </c>
      <c r="P1109" t="s">
        <v>412</v>
      </c>
      <c r="Q1109" s="3">
        <v>77539</v>
      </c>
      <c r="R1109" t="s">
        <v>128</v>
      </c>
      <c r="T1109" s="4">
        <v>12813392111</v>
      </c>
      <c r="V1109" t="s">
        <v>15618</v>
      </c>
      <c r="W1109" t="s">
        <v>15619</v>
      </c>
      <c r="X1109" t="s">
        <v>15671</v>
      </c>
      <c r="Y1109" t="s">
        <v>15672</v>
      </c>
      <c r="AA1109" t="s">
        <v>8521</v>
      </c>
      <c r="AB1109" t="s">
        <v>400</v>
      </c>
      <c r="AC1109" s="3" t="str">
        <f>"77539"</f>
        <v>77539</v>
      </c>
      <c r="AD1109" t="s">
        <v>128</v>
      </c>
      <c r="AF1109" s="4">
        <v>12813392111</v>
      </c>
      <c r="AH1109" t="str">
        <f>"311710"</f>
        <v>311710</v>
      </c>
      <c r="AI1109" t="s">
        <v>287</v>
      </c>
      <c r="AJ1109" t="s">
        <v>6315</v>
      </c>
      <c r="AK1109" t="s">
        <v>12620</v>
      </c>
      <c r="AL1109" t="s">
        <v>415</v>
      </c>
      <c r="AM1109" t="s">
        <v>15621</v>
      </c>
      <c r="AO1109" t="s">
        <v>8628</v>
      </c>
      <c r="AP1109" t="s">
        <v>400</v>
      </c>
      <c r="AQ1109" s="5">
        <v>78526</v>
      </c>
      <c r="AR1109" t="s">
        <v>128</v>
      </c>
      <c r="AT1109" s="4">
        <v>19564661656</v>
      </c>
      <c r="AV1109" t="s">
        <v>15622</v>
      </c>
      <c r="AW1109" t="s">
        <v>15623</v>
      </c>
      <c r="AX1109" t="s">
        <v>131</v>
      </c>
      <c r="AY1109" t="s">
        <v>131</v>
      </c>
      <c r="AZ1109" t="s">
        <v>131</v>
      </c>
      <c r="BA1109" t="s">
        <v>131</v>
      </c>
      <c r="BB1109" t="s">
        <v>131</v>
      </c>
      <c r="BC1109" t="s">
        <v>131</v>
      </c>
      <c r="BD1109" t="s">
        <v>131</v>
      </c>
      <c r="BE1109" t="s">
        <v>132</v>
      </c>
      <c r="BH1109" t="s">
        <v>15624</v>
      </c>
      <c r="BI1109" t="s">
        <v>131</v>
      </c>
      <c r="BL1109" t="s">
        <v>167</v>
      </c>
      <c r="BO1109" t="s">
        <v>131</v>
      </c>
      <c r="BP1109" t="s">
        <v>134</v>
      </c>
      <c r="BQ1109" t="s">
        <v>131</v>
      </c>
      <c r="BS1109" t="str">
        <f t="shared" si="80"/>
        <v>N/A</v>
      </c>
      <c r="BT1109" t="s">
        <v>131</v>
      </c>
      <c r="BV1109" t="str">
        <f>""</f>
        <v/>
      </c>
      <c r="BW1109" t="s">
        <v>131</v>
      </c>
      <c r="BX1109" t="str">
        <f>""</f>
        <v/>
      </c>
      <c r="BY1109" t="str">
        <f>""</f>
        <v/>
      </c>
      <c r="BZ1109" t="str">
        <f>""</f>
        <v/>
      </c>
      <c r="CA1109" t="str">
        <f>""</f>
        <v/>
      </c>
      <c r="CB1109" t="s">
        <v>131</v>
      </c>
      <c r="CF1109" t="s">
        <v>131</v>
      </c>
      <c r="CH1109" t="str">
        <f>""</f>
        <v/>
      </c>
      <c r="CI1109" t="s">
        <v>131</v>
      </c>
      <c r="CK1109" t="s">
        <v>131</v>
      </c>
      <c r="CL1109" t="str">
        <f>""</f>
        <v/>
      </c>
      <c r="CM1109" t="str">
        <f>""</f>
        <v/>
      </c>
      <c r="CN1109" t="str">
        <f>""</f>
        <v/>
      </c>
      <c r="CO1109" t="str">
        <f>""</f>
        <v/>
      </c>
      <c r="CP1109" t="str">
        <f>"51-9198.00"</f>
        <v>51-9198.00</v>
      </c>
      <c r="CQ1109" t="s">
        <v>2685</v>
      </c>
      <c r="CR1109" t="s">
        <v>11135</v>
      </c>
      <c r="CS1109" t="s">
        <v>131</v>
      </c>
      <c r="CU1109" t="s">
        <v>15673</v>
      </c>
      <c r="CW1109" t="s">
        <v>15674</v>
      </c>
      <c r="CX1109" t="s">
        <v>400</v>
      </c>
      <c r="CZ1109" s="3" t="str">
        <f>"77979"</f>
        <v>77979</v>
      </c>
      <c r="DA1109" t="s">
        <v>131</v>
      </c>
      <c r="DB1109" t="str">
        <f>"51-3022"</f>
        <v>51-3022</v>
      </c>
      <c r="DC1109" t="s">
        <v>1114</v>
      </c>
      <c r="DD1109" t="s">
        <v>134</v>
      </c>
      <c r="DE1109" t="s">
        <v>134</v>
      </c>
      <c r="DF1109" t="str">
        <f>""</f>
        <v/>
      </c>
      <c r="DH1109" s="6">
        <v>13.54</v>
      </c>
      <c r="DI1109" t="s">
        <v>344</v>
      </c>
      <c r="DK1109" t="s">
        <v>345</v>
      </c>
      <c r="DR1109" t="s">
        <v>15675</v>
      </c>
      <c r="DS1109" s="6">
        <v>13.54</v>
      </c>
      <c r="DT1109" t="s">
        <v>424</v>
      </c>
      <c r="DU1109" s="1">
        <v>44377</v>
      </c>
      <c r="DV1109" s="1">
        <v>44466</v>
      </c>
    </row>
    <row r="1110" spans="1:126" ht="15" customHeight="1" x14ac:dyDescent="0.35">
      <c r="A1110" t="s">
        <v>15585</v>
      </c>
      <c r="B1110" t="s">
        <v>318</v>
      </c>
      <c r="C1110" s="1">
        <v>44349</v>
      </c>
      <c r="D1110" s="1">
        <v>44376</v>
      </c>
      <c r="H1110" t="s">
        <v>319</v>
      </c>
      <c r="I1110" t="s">
        <v>2728</v>
      </c>
      <c r="J1110" t="s">
        <v>4988</v>
      </c>
      <c r="L1110" t="s">
        <v>9003</v>
      </c>
      <c r="M1110" t="s">
        <v>15586</v>
      </c>
      <c r="O1110" t="s">
        <v>8833</v>
      </c>
      <c r="P1110" t="s">
        <v>676</v>
      </c>
      <c r="Q1110" s="3">
        <v>50320</v>
      </c>
      <c r="R1110" t="s">
        <v>128</v>
      </c>
      <c r="T1110" s="4">
        <v>15153183809</v>
      </c>
      <c r="V1110" t="s">
        <v>15587</v>
      </c>
      <c r="W1110" t="s">
        <v>15588</v>
      </c>
      <c r="Y1110" t="s">
        <v>15586</v>
      </c>
      <c r="AA1110" t="s">
        <v>8833</v>
      </c>
      <c r="AB1110" t="s">
        <v>605</v>
      </c>
      <c r="AC1110" s="3" t="str">
        <f>"50320"</f>
        <v>50320</v>
      </c>
      <c r="AD1110" t="s">
        <v>128</v>
      </c>
      <c r="AF1110" s="4">
        <v>15153183809</v>
      </c>
      <c r="AH1110" t="str">
        <f>"238110"</f>
        <v>238110</v>
      </c>
      <c r="AI1110" t="s">
        <v>130</v>
      </c>
      <c r="AJ1110" t="s">
        <v>330</v>
      </c>
      <c r="AK1110" t="s">
        <v>331</v>
      </c>
      <c r="AL1110" t="s">
        <v>332</v>
      </c>
      <c r="AM1110" t="s">
        <v>15589</v>
      </c>
      <c r="AO1110" t="s">
        <v>8833</v>
      </c>
      <c r="AP1110" t="s">
        <v>605</v>
      </c>
      <c r="AQ1110" s="5">
        <v>50309</v>
      </c>
      <c r="AR1110" t="s">
        <v>128</v>
      </c>
      <c r="AT1110" s="4">
        <v>15152446546</v>
      </c>
      <c r="AV1110" t="s">
        <v>15590</v>
      </c>
      <c r="AW1110" t="s">
        <v>15591</v>
      </c>
      <c r="AX1110" t="s">
        <v>131</v>
      </c>
      <c r="AY1110" t="s">
        <v>131</v>
      </c>
      <c r="AZ1110" t="s">
        <v>131</v>
      </c>
      <c r="BA1110" t="s">
        <v>131</v>
      </c>
      <c r="BB1110" t="s">
        <v>131</v>
      </c>
      <c r="BC1110" t="s">
        <v>131</v>
      </c>
      <c r="BD1110" t="s">
        <v>131</v>
      </c>
      <c r="BE1110" t="s">
        <v>132</v>
      </c>
      <c r="BH1110" t="s">
        <v>393</v>
      </c>
      <c r="BI1110" t="s">
        <v>131</v>
      </c>
      <c r="BL1110" t="s">
        <v>167</v>
      </c>
      <c r="BO1110" t="s">
        <v>131</v>
      </c>
      <c r="BP1110" t="s">
        <v>134</v>
      </c>
      <c r="BQ1110" t="s">
        <v>131</v>
      </c>
      <c r="BS1110" t="str">
        <f t="shared" si="80"/>
        <v>N/A</v>
      </c>
      <c r="BT1110" t="s">
        <v>135</v>
      </c>
      <c r="BU1110">
        <v>3</v>
      </c>
      <c r="BV1110" t="str">
        <f>"Concrete Construction"</f>
        <v>Concrete Construction</v>
      </c>
      <c r="BW1110" t="s">
        <v>135</v>
      </c>
      <c r="BX1110" t="str">
        <f>""</f>
        <v/>
      </c>
      <c r="BY1110" t="str">
        <f>""</f>
        <v/>
      </c>
      <c r="BZ1110" t="str">
        <f>""</f>
        <v/>
      </c>
      <c r="CA1110" t="s">
        <v>15592</v>
      </c>
      <c r="CB1110" t="s">
        <v>131</v>
      </c>
      <c r="CF1110" t="s">
        <v>131</v>
      </c>
      <c r="CH1110" t="str">
        <f>""</f>
        <v/>
      </c>
      <c r="CI1110" t="s">
        <v>131</v>
      </c>
      <c r="CK1110" t="s">
        <v>131</v>
      </c>
      <c r="CL1110" t="str">
        <f>""</f>
        <v/>
      </c>
      <c r="CM1110" t="str">
        <f>""</f>
        <v/>
      </c>
      <c r="CN1110" t="str">
        <f>""</f>
        <v/>
      </c>
      <c r="CO1110" t="str">
        <f>""</f>
        <v/>
      </c>
      <c r="CP1110" t="str">
        <f>"47-2061.00"</f>
        <v>47-2061.00</v>
      </c>
      <c r="CQ1110" t="s">
        <v>393</v>
      </c>
      <c r="CR1110" t="s">
        <v>918</v>
      </c>
      <c r="CS1110" t="s">
        <v>135</v>
      </c>
      <c r="CT1110" t="s">
        <v>15593</v>
      </c>
      <c r="CU1110" t="s">
        <v>15594</v>
      </c>
      <c r="CW1110" t="s">
        <v>8833</v>
      </c>
      <c r="CX1110" t="s">
        <v>605</v>
      </c>
      <c r="CZ1110" s="3" t="str">
        <f>"50315"</f>
        <v>50315</v>
      </c>
      <c r="DA1110" t="s">
        <v>131</v>
      </c>
      <c r="DB1110" t="str">
        <f>"47-2061"</f>
        <v>47-2061</v>
      </c>
      <c r="DC1110" t="s">
        <v>393</v>
      </c>
      <c r="DD1110" t="s">
        <v>134</v>
      </c>
      <c r="DE1110" t="s">
        <v>134</v>
      </c>
      <c r="DF1110" t="str">
        <f>""</f>
        <v/>
      </c>
      <c r="DH1110" s="6">
        <v>18.670000000000002</v>
      </c>
      <c r="DI1110" t="s">
        <v>344</v>
      </c>
      <c r="DK1110" t="s">
        <v>345</v>
      </c>
      <c r="DS1110" s="6">
        <v>18.670000000000002</v>
      </c>
      <c r="DT1110" s="2" t="s">
        <v>347</v>
      </c>
      <c r="DU1110" s="1">
        <v>44376</v>
      </c>
      <c r="DV1110" s="1">
        <v>44465</v>
      </c>
    </row>
    <row r="1111" spans="1:126" ht="15" customHeight="1" x14ac:dyDescent="0.35">
      <c r="A1111" t="s">
        <v>15614</v>
      </c>
      <c r="B1111" t="s">
        <v>318</v>
      </c>
      <c r="C1111" s="1">
        <v>44349</v>
      </c>
      <c r="D1111" s="1">
        <v>44377</v>
      </c>
      <c r="H1111" t="s">
        <v>319</v>
      </c>
      <c r="I1111" t="s">
        <v>15615</v>
      </c>
      <c r="J1111" t="s">
        <v>174</v>
      </c>
      <c r="K1111" t="s">
        <v>610</v>
      </c>
      <c r="L1111" t="s">
        <v>11259</v>
      </c>
      <c r="M1111" t="s">
        <v>15616</v>
      </c>
      <c r="O1111" t="s">
        <v>15617</v>
      </c>
      <c r="P1111" t="s">
        <v>412</v>
      </c>
      <c r="Q1111" s="3">
        <v>77539</v>
      </c>
      <c r="R1111" t="s">
        <v>128</v>
      </c>
      <c r="T1111" s="4">
        <v>12813392111</v>
      </c>
      <c r="V1111" t="s">
        <v>15618</v>
      </c>
      <c r="W1111" t="s">
        <v>15619</v>
      </c>
      <c r="X1111" t="s">
        <v>15620</v>
      </c>
      <c r="Y1111" t="s">
        <v>15616</v>
      </c>
      <c r="AA1111" t="s">
        <v>15617</v>
      </c>
      <c r="AB1111" t="s">
        <v>400</v>
      </c>
      <c r="AC1111" s="3" t="str">
        <f>"77539"</f>
        <v>77539</v>
      </c>
      <c r="AD1111" t="s">
        <v>128</v>
      </c>
      <c r="AF1111" s="4">
        <v>12813392111</v>
      </c>
      <c r="AH1111" t="str">
        <f>"311710"</f>
        <v>311710</v>
      </c>
      <c r="AI1111" t="s">
        <v>287</v>
      </c>
      <c r="AJ1111" t="s">
        <v>6315</v>
      </c>
      <c r="AK1111" t="s">
        <v>12620</v>
      </c>
      <c r="AL1111" t="s">
        <v>415</v>
      </c>
      <c r="AM1111" t="s">
        <v>15621</v>
      </c>
      <c r="AO1111" t="s">
        <v>8628</v>
      </c>
      <c r="AP1111" t="s">
        <v>400</v>
      </c>
      <c r="AQ1111" s="5">
        <v>78526</v>
      </c>
      <c r="AR1111" t="s">
        <v>128</v>
      </c>
      <c r="AT1111" s="4">
        <v>19564661656</v>
      </c>
      <c r="AV1111" t="s">
        <v>15622</v>
      </c>
      <c r="AW1111" t="s">
        <v>15623</v>
      </c>
      <c r="AX1111" t="s">
        <v>131</v>
      </c>
      <c r="AY1111" t="s">
        <v>131</v>
      </c>
      <c r="AZ1111" t="s">
        <v>131</v>
      </c>
      <c r="BA1111" t="s">
        <v>131</v>
      </c>
      <c r="BB1111" t="s">
        <v>131</v>
      </c>
      <c r="BC1111" t="s">
        <v>131</v>
      </c>
      <c r="BD1111" t="s">
        <v>131</v>
      </c>
      <c r="BE1111" t="s">
        <v>132</v>
      </c>
      <c r="BH1111" t="s">
        <v>15624</v>
      </c>
      <c r="BI1111" t="s">
        <v>131</v>
      </c>
      <c r="BL1111" t="s">
        <v>167</v>
      </c>
      <c r="BO1111" t="s">
        <v>131</v>
      </c>
      <c r="BP1111" t="s">
        <v>134</v>
      </c>
      <c r="BQ1111" t="s">
        <v>131</v>
      </c>
      <c r="BS1111" t="str">
        <f t="shared" si="80"/>
        <v>N/A</v>
      </c>
      <c r="BT1111" t="s">
        <v>131</v>
      </c>
      <c r="BV1111" t="str">
        <f>""</f>
        <v/>
      </c>
      <c r="BW1111" t="s">
        <v>131</v>
      </c>
      <c r="BX1111" t="str">
        <f>""</f>
        <v/>
      </c>
      <c r="BY1111" t="str">
        <f>""</f>
        <v/>
      </c>
      <c r="BZ1111" t="str">
        <f>""</f>
        <v/>
      </c>
      <c r="CA1111" t="str">
        <f>""</f>
        <v/>
      </c>
      <c r="CB1111" t="s">
        <v>131</v>
      </c>
      <c r="CF1111" t="s">
        <v>131</v>
      </c>
      <c r="CH1111" t="str">
        <f>""</f>
        <v/>
      </c>
      <c r="CI1111" t="s">
        <v>131</v>
      </c>
      <c r="CK1111" t="s">
        <v>131</v>
      </c>
      <c r="CL1111" t="str">
        <f>""</f>
        <v/>
      </c>
      <c r="CM1111" t="str">
        <f>""</f>
        <v/>
      </c>
      <c r="CN1111" t="str">
        <f>""</f>
        <v/>
      </c>
      <c r="CO1111" t="str">
        <f>""</f>
        <v/>
      </c>
      <c r="CP1111" t="str">
        <f>"51-3022.00"</f>
        <v>51-3022.00</v>
      </c>
      <c r="CQ1111" t="s">
        <v>1114</v>
      </c>
      <c r="CR1111" t="s">
        <v>11135</v>
      </c>
      <c r="CS1111" t="s">
        <v>131</v>
      </c>
      <c r="CU1111" t="s">
        <v>15625</v>
      </c>
      <c r="CW1111" t="s">
        <v>8521</v>
      </c>
      <c r="CX1111" t="s">
        <v>400</v>
      </c>
      <c r="CZ1111" s="3" t="str">
        <f>"77539"</f>
        <v>77539</v>
      </c>
      <c r="DA1111" t="s">
        <v>131</v>
      </c>
      <c r="DB1111" t="str">
        <f>"51-3022"</f>
        <v>51-3022</v>
      </c>
      <c r="DC1111" t="s">
        <v>1114</v>
      </c>
      <c r="DD1111" t="s">
        <v>134</v>
      </c>
      <c r="DE1111" t="s">
        <v>134</v>
      </c>
      <c r="DF1111" t="str">
        <f>""</f>
        <v/>
      </c>
      <c r="DH1111" s="6">
        <v>13.73</v>
      </c>
      <c r="DI1111" t="s">
        <v>344</v>
      </c>
      <c r="DK1111" t="s">
        <v>345</v>
      </c>
      <c r="DR1111" t="s">
        <v>8525</v>
      </c>
      <c r="DS1111" s="6">
        <v>13.73</v>
      </c>
      <c r="DT1111" t="s">
        <v>424</v>
      </c>
      <c r="DU1111" s="1">
        <v>44377</v>
      </c>
      <c r="DV1111" s="1">
        <v>44466</v>
      </c>
    </row>
    <row r="1112" spans="1:126" ht="15" customHeight="1" x14ac:dyDescent="0.35">
      <c r="A1112" t="s">
        <v>19184</v>
      </c>
      <c r="B1112" t="s">
        <v>318</v>
      </c>
      <c r="C1112" s="1">
        <v>44349</v>
      </c>
      <c r="D1112" s="1">
        <v>44377</v>
      </c>
      <c r="H1112" t="s">
        <v>319</v>
      </c>
      <c r="I1112" t="s">
        <v>19185</v>
      </c>
      <c r="J1112" t="s">
        <v>8477</v>
      </c>
      <c r="L1112" t="s">
        <v>223</v>
      </c>
      <c r="M1112" t="s">
        <v>19186</v>
      </c>
      <c r="O1112" t="s">
        <v>19187</v>
      </c>
      <c r="P1112" t="s">
        <v>1760</v>
      </c>
      <c r="Q1112" s="3">
        <v>70422</v>
      </c>
      <c r="R1112" t="s">
        <v>128</v>
      </c>
      <c r="T1112" s="4">
        <v>19857487272</v>
      </c>
      <c r="V1112" t="s">
        <v>19188</v>
      </c>
      <c r="W1112" t="s">
        <v>19189</v>
      </c>
      <c r="Y1112" t="s">
        <v>19186</v>
      </c>
      <c r="AA1112" t="s">
        <v>19187</v>
      </c>
      <c r="AB1112" t="s">
        <v>1763</v>
      </c>
      <c r="AC1112" s="3" t="str">
        <f>"70422"</f>
        <v>70422</v>
      </c>
      <c r="AD1112" t="s">
        <v>128</v>
      </c>
      <c r="AF1112" s="4">
        <v>19854152028</v>
      </c>
      <c r="AH1112" t="str">
        <f>"311710"</f>
        <v>311710</v>
      </c>
      <c r="AI1112" t="s">
        <v>287</v>
      </c>
      <c r="AJ1112" t="s">
        <v>6315</v>
      </c>
      <c r="AK1112" t="s">
        <v>12620</v>
      </c>
      <c r="AL1112" t="s">
        <v>415</v>
      </c>
      <c r="AM1112" t="s">
        <v>15621</v>
      </c>
      <c r="AO1112" t="s">
        <v>8628</v>
      </c>
      <c r="AP1112" t="s">
        <v>400</v>
      </c>
      <c r="AQ1112" s="5">
        <v>78526</v>
      </c>
      <c r="AR1112" t="s">
        <v>128</v>
      </c>
      <c r="AT1112" s="4">
        <v>19564661656</v>
      </c>
      <c r="AV1112" t="s">
        <v>15622</v>
      </c>
      <c r="AW1112" t="s">
        <v>19190</v>
      </c>
      <c r="AX1112" t="s">
        <v>131</v>
      </c>
      <c r="AY1112" t="s">
        <v>131</v>
      </c>
      <c r="AZ1112" t="s">
        <v>131</v>
      </c>
      <c r="BA1112" t="s">
        <v>131</v>
      </c>
      <c r="BB1112" t="s">
        <v>131</v>
      </c>
      <c r="BC1112" t="s">
        <v>131</v>
      </c>
      <c r="BD1112" t="s">
        <v>131</v>
      </c>
      <c r="BE1112" t="s">
        <v>132</v>
      </c>
      <c r="BH1112" t="s">
        <v>15624</v>
      </c>
      <c r="BI1112" t="s">
        <v>131</v>
      </c>
      <c r="BL1112" t="s">
        <v>167</v>
      </c>
      <c r="BO1112" t="s">
        <v>131</v>
      </c>
      <c r="BP1112" t="s">
        <v>134</v>
      </c>
      <c r="BQ1112" t="s">
        <v>131</v>
      </c>
      <c r="BS1112" t="str">
        <f t="shared" si="80"/>
        <v>N/A</v>
      </c>
      <c r="BT1112" t="s">
        <v>131</v>
      </c>
      <c r="BV1112" t="str">
        <f>""</f>
        <v/>
      </c>
      <c r="BW1112" t="s">
        <v>131</v>
      </c>
      <c r="BX1112" t="str">
        <f>""</f>
        <v/>
      </c>
      <c r="BY1112" t="str">
        <f>""</f>
        <v/>
      </c>
      <c r="BZ1112" t="str">
        <f>""</f>
        <v/>
      </c>
      <c r="CA1112" t="str">
        <f>""</f>
        <v/>
      </c>
      <c r="CB1112" t="s">
        <v>131</v>
      </c>
      <c r="CF1112" t="s">
        <v>131</v>
      </c>
      <c r="CH1112" t="str">
        <f>""</f>
        <v/>
      </c>
      <c r="CI1112" t="s">
        <v>131</v>
      </c>
      <c r="CK1112" t="s">
        <v>131</v>
      </c>
      <c r="CL1112" t="str">
        <f>""</f>
        <v/>
      </c>
      <c r="CM1112" t="str">
        <f>""</f>
        <v/>
      </c>
      <c r="CN1112" t="str">
        <f>""</f>
        <v/>
      </c>
      <c r="CO1112" t="str">
        <f>""</f>
        <v/>
      </c>
      <c r="CP1112" t="str">
        <f>"51-3022.00"</f>
        <v>51-3022.00</v>
      </c>
      <c r="CQ1112" t="s">
        <v>1114</v>
      </c>
      <c r="CR1112" t="s">
        <v>11135</v>
      </c>
      <c r="CS1112" t="s">
        <v>131</v>
      </c>
      <c r="CU1112" t="s">
        <v>19191</v>
      </c>
      <c r="CW1112" t="s">
        <v>19192</v>
      </c>
      <c r="CX1112" t="s">
        <v>1763</v>
      </c>
      <c r="CZ1112" s="3" t="str">
        <f>"70422"</f>
        <v>70422</v>
      </c>
      <c r="DA1112" t="s">
        <v>131</v>
      </c>
      <c r="DB1112" t="str">
        <f>"51-3022"</f>
        <v>51-3022</v>
      </c>
      <c r="DC1112" t="s">
        <v>1114</v>
      </c>
      <c r="DD1112" t="s">
        <v>134</v>
      </c>
      <c r="DE1112" t="s">
        <v>134</v>
      </c>
      <c r="DF1112" t="str">
        <f>""</f>
        <v/>
      </c>
      <c r="DH1112" s="6">
        <v>11.11</v>
      </c>
      <c r="DI1112" t="s">
        <v>344</v>
      </c>
      <c r="DK1112" t="s">
        <v>345</v>
      </c>
      <c r="DR1112" t="s">
        <v>19193</v>
      </c>
      <c r="DS1112" s="6">
        <v>11.11</v>
      </c>
      <c r="DT1112" t="s">
        <v>424</v>
      </c>
      <c r="DU1112" s="1">
        <v>44377</v>
      </c>
      <c r="DV1112" s="1">
        <v>44466</v>
      </c>
    </row>
    <row r="1113" spans="1:126" ht="15" customHeight="1" x14ac:dyDescent="0.35">
      <c r="A1113" t="s">
        <v>16646</v>
      </c>
      <c r="B1113" t="s">
        <v>318</v>
      </c>
      <c r="C1113" s="1">
        <v>44350</v>
      </c>
      <c r="D1113" s="1">
        <v>44377</v>
      </c>
      <c r="H1113" t="s">
        <v>319</v>
      </c>
      <c r="I1113" t="s">
        <v>7863</v>
      </c>
      <c r="J1113" t="s">
        <v>16647</v>
      </c>
      <c r="L1113" t="s">
        <v>460</v>
      </c>
      <c r="M1113" t="s">
        <v>16648</v>
      </c>
      <c r="O1113" t="s">
        <v>4498</v>
      </c>
      <c r="P1113" t="s">
        <v>194</v>
      </c>
      <c r="Q1113" s="3">
        <v>33040</v>
      </c>
      <c r="R1113" t="s">
        <v>128</v>
      </c>
      <c r="T1113" s="4">
        <v>13053952017</v>
      </c>
      <c r="V1113" t="s">
        <v>16649</v>
      </c>
      <c r="W1113" t="s">
        <v>16650</v>
      </c>
      <c r="Y1113" t="s">
        <v>16651</v>
      </c>
      <c r="AA1113" t="s">
        <v>4498</v>
      </c>
      <c r="AB1113" t="s">
        <v>195</v>
      </c>
      <c r="AC1113" s="3" t="str">
        <f>"33040"</f>
        <v>33040</v>
      </c>
      <c r="AD1113" t="s">
        <v>128</v>
      </c>
      <c r="AF1113" s="4">
        <v>13053952017</v>
      </c>
      <c r="AH1113" t="str">
        <f>"561320"</f>
        <v>561320</v>
      </c>
      <c r="AI1113" t="s">
        <v>130</v>
      </c>
      <c r="AJ1113" t="s">
        <v>3031</v>
      </c>
      <c r="AK1113" t="s">
        <v>11448</v>
      </c>
      <c r="AM1113" t="s">
        <v>16652</v>
      </c>
      <c r="AN1113" t="s">
        <v>16653</v>
      </c>
      <c r="AO1113" t="s">
        <v>9467</v>
      </c>
      <c r="AP1113" t="s">
        <v>129</v>
      </c>
      <c r="AQ1113" s="5">
        <v>11354</v>
      </c>
      <c r="AR1113" t="s">
        <v>128</v>
      </c>
      <c r="AT1113" s="4">
        <v>13474707008</v>
      </c>
      <c r="AV1113" t="s">
        <v>16654</v>
      </c>
      <c r="AW1113" t="s">
        <v>16655</v>
      </c>
      <c r="AX1113" t="s">
        <v>131</v>
      </c>
      <c r="AY1113" t="s">
        <v>131</v>
      </c>
      <c r="AZ1113" t="s">
        <v>131</v>
      </c>
      <c r="BA1113" t="s">
        <v>131</v>
      </c>
      <c r="BB1113" t="s">
        <v>131</v>
      </c>
      <c r="BC1113" t="s">
        <v>131</v>
      </c>
      <c r="BD1113" t="s">
        <v>131</v>
      </c>
      <c r="BE1113" t="s">
        <v>132</v>
      </c>
      <c r="BH1113" t="s">
        <v>16656</v>
      </c>
      <c r="BI1113" t="s">
        <v>131</v>
      </c>
      <c r="BL1113" t="s">
        <v>401</v>
      </c>
      <c r="BO1113" t="s">
        <v>131</v>
      </c>
      <c r="BP1113" t="s">
        <v>134</v>
      </c>
      <c r="BQ1113" t="s">
        <v>135</v>
      </c>
      <c r="BR1113">
        <v>1</v>
      </c>
      <c r="BS1113" t="str">
        <f>"Hotel Housekeeping Course"</f>
        <v>Hotel Housekeeping Course</v>
      </c>
      <c r="BT1113" t="s">
        <v>135</v>
      </c>
      <c r="BU1113">
        <v>6</v>
      </c>
      <c r="BV1113" t="str">
        <f>"Hotel housekeeping"</f>
        <v>Hotel housekeeping</v>
      </c>
      <c r="BW1113" t="s">
        <v>131</v>
      </c>
      <c r="BX1113" t="str">
        <f>""</f>
        <v/>
      </c>
      <c r="BY1113" t="str">
        <f>""</f>
        <v/>
      </c>
      <c r="BZ1113" t="str">
        <f>""</f>
        <v/>
      </c>
      <c r="CA1113" t="str">
        <f>""</f>
        <v/>
      </c>
      <c r="CB1113" t="s">
        <v>131</v>
      </c>
      <c r="CF1113" t="s">
        <v>131</v>
      </c>
      <c r="CH1113" t="str">
        <f>""</f>
        <v/>
      </c>
      <c r="CI1113" t="s">
        <v>131</v>
      </c>
      <c r="CK1113" t="s">
        <v>131</v>
      </c>
      <c r="CL1113" t="str">
        <f>""</f>
        <v/>
      </c>
      <c r="CM1113" t="str">
        <f>""</f>
        <v/>
      </c>
      <c r="CN1113" t="str">
        <f>""</f>
        <v/>
      </c>
      <c r="CO1113" t="str">
        <f>""</f>
        <v/>
      </c>
      <c r="CP1113" t="str">
        <f>"37-2012.00"</f>
        <v>37-2012.00</v>
      </c>
      <c r="CQ1113" t="s">
        <v>479</v>
      </c>
      <c r="CR1113" t="s">
        <v>16657</v>
      </c>
      <c r="CS1113" t="s">
        <v>131</v>
      </c>
      <c r="CU1113" t="s">
        <v>16651</v>
      </c>
      <c r="CW1113" t="s">
        <v>4498</v>
      </c>
      <c r="CX1113" t="s">
        <v>195</v>
      </c>
      <c r="CZ1113" s="3" t="str">
        <f>"33040"</f>
        <v>33040</v>
      </c>
      <c r="DA1113" t="s">
        <v>131</v>
      </c>
      <c r="DB1113" t="str">
        <f>"37-2012"</f>
        <v>37-2012</v>
      </c>
      <c r="DC1113" t="s">
        <v>479</v>
      </c>
      <c r="DD1113" t="s">
        <v>134</v>
      </c>
      <c r="DE1113" t="s">
        <v>134</v>
      </c>
      <c r="DF1113" t="str">
        <f>""</f>
        <v/>
      </c>
      <c r="DH1113" s="6">
        <v>12.28</v>
      </c>
      <c r="DI1113" t="s">
        <v>344</v>
      </c>
      <c r="DK1113" t="s">
        <v>345</v>
      </c>
      <c r="DS1113" s="6">
        <v>12.28</v>
      </c>
      <c r="DT1113" t="s">
        <v>424</v>
      </c>
      <c r="DU1113" s="1">
        <v>44377</v>
      </c>
      <c r="DV1113" s="1">
        <v>44466</v>
      </c>
    </row>
    <row r="1114" spans="1:126" ht="15" customHeight="1" x14ac:dyDescent="0.35">
      <c r="A1114" t="s">
        <v>13394</v>
      </c>
      <c r="B1114" t="s">
        <v>318</v>
      </c>
      <c r="C1114" s="1">
        <v>44350</v>
      </c>
      <c r="D1114" s="1">
        <v>44377</v>
      </c>
      <c r="H1114" t="s">
        <v>319</v>
      </c>
      <c r="I1114" t="s">
        <v>13395</v>
      </c>
      <c r="J1114" t="s">
        <v>8418</v>
      </c>
      <c r="K1114" t="s">
        <v>589</v>
      </c>
      <c r="L1114" t="s">
        <v>2076</v>
      </c>
      <c r="M1114" t="s">
        <v>13396</v>
      </c>
      <c r="O1114" t="s">
        <v>2078</v>
      </c>
      <c r="P1114" t="s">
        <v>194</v>
      </c>
      <c r="Q1114" s="3">
        <v>33040</v>
      </c>
      <c r="R1114" t="s">
        <v>128</v>
      </c>
      <c r="T1114" s="4">
        <v>13052924344</v>
      </c>
      <c r="V1114" t="s">
        <v>1211</v>
      </c>
      <c r="W1114" t="s">
        <v>13397</v>
      </c>
      <c r="X1114" t="s">
        <v>13398</v>
      </c>
      <c r="Y1114" t="s">
        <v>13396</v>
      </c>
      <c r="AA1114" t="s">
        <v>2078</v>
      </c>
      <c r="AB1114" t="s">
        <v>195</v>
      </c>
      <c r="AC1114" s="3" t="str">
        <f>"33040"</f>
        <v>33040</v>
      </c>
      <c r="AD1114" t="s">
        <v>128</v>
      </c>
      <c r="AF1114" s="4">
        <v>13052924344</v>
      </c>
      <c r="AH1114" t="str">
        <f>"721110"</f>
        <v>721110</v>
      </c>
      <c r="AI1114" t="s">
        <v>287</v>
      </c>
      <c r="AJ1114" t="s">
        <v>1207</v>
      </c>
      <c r="AK1114" t="s">
        <v>1208</v>
      </c>
      <c r="AM1114" t="s">
        <v>1209</v>
      </c>
      <c r="AN1114" t="s">
        <v>2082</v>
      </c>
      <c r="AO1114" t="s">
        <v>2083</v>
      </c>
      <c r="AP1114" t="s">
        <v>195</v>
      </c>
      <c r="AQ1114" s="5">
        <v>33040</v>
      </c>
      <c r="AR1114" t="s">
        <v>128</v>
      </c>
      <c r="AT1114" s="4">
        <v>17863480376</v>
      </c>
      <c r="AV1114" t="s">
        <v>1211</v>
      </c>
      <c r="AW1114" t="s">
        <v>1212</v>
      </c>
      <c r="AX1114" t="s">
        <v>131</v>
      </c>
      <c r="AY1114" t="s">
        <v>131</v>
      </c>
      <c r="AZ1114" t="s">
        <v>131</v>
      </c>
      <c r="BA1114" t="s">
        <v>131</v>
      </c>
      <c r="BB1114" t="s">
        <v>131</v>
      </c>
      <c r="BC1114" t="s">
        <v>131</v>
      </c>
      <c r="BD1114" t="s">
        <v>131</v>
      </c>
      <c r="BE1114" t="s">
        <v>132</v>
      </c>
      <c r="BH1114" t="s">
        <v>4277</v>
      </c>
      <c r="BI1114" t="s">
        <v>131</v>
      </c>
      <c r="BL1114" t="s">
        <v>167</v>
      </c>
      <c r="BO1114" t="s">
        <v>131</v>
      </c>
      <c r="BP1114" t="s">
        <v>134</v>
      </c>
      <c r="BQ1114" t="s">
        <v>131</v>
      </c>
      <c r="BS1114" t="str">
        <f t="shared" ref="BS1114:BS1145" si="81">"N/A"</f>
        <v>N/A</v>
      </c>
      <c r="BT1114" t="s">
        <v>135</v>
      </c>
      <c r="BU1114">
        <v>1</v>
      </c>
      <c r="BV1114" t="str">
        <f>"MAID/HOUSEKEEPER/HOUSEMAN"</f>
        <v>MAID/HOUSEKEEPER/HOUSEMAN</v>
      </c>
      <c r="BW1114" t="s">
        <v>131</v>
      </c>
      <c r="BX1114" t="str">
        <f>""</f>
        <v/>
      </c>
      <c r="BY1114" t="str">
        <f>""</f>
        <v/>
      </c>
      <c r="BZ1114" t="str">
        <f>""</f>
        <v/>
      </c>
      <c r="CA1114" t="str">
        <f>""</f>
        <v/>
      </c>
      <c r="CB1114" t="s">
        <v>131</v>
      </c>
      <c r="CF1114" t="s">
        <v>131</v>
      </c>
      <c r="CH1114" t="str">
        <f>""</f>
        <v/>
      </c>
      <c r="CI1114" t="s">
        <v>131</v>
      </c>
      <c r="CK1114" t="s">
        <v>131</v>
      </c>
      <c r="CL1114" t="str">
        <f>""</f>
        <v/>
      </c>
      <c r="CM1114" t="str">
        <f>""</f>
        <v/>
      </c>
      <c r="CN1114" t="str">
        <f>""</f>
        <v/>
      </c>
      <c r="CO1114" t="str">
        <f>""</f>
        <v/>
      </c>
      <c r="CP1114" t="str">
        <f>"37-2012.00"</f>
        <v>37-2012.00</v>
      </c>
      <c r="CQ1114" t="s">
        <v>479</v>
      </c>
      <c r="CR1114" t="s">
        <v>4277</v>
      </c>
      <c r="CS1114" t="s">
        <v>131</v>
      </c>
      <c r="CU1114" t="s">
        <v>13396</v>
      </c>
      <c r="CW1114" t="s">
        <v>2078</v>
      </c>
      <c r="CX1114" t="s">
        <v>195</v>
      </c>
      <c r="CZ1114" s="3" t="str">
        <f>"33040"</f>
        <v>33040</v>
      </c>
      <c r="DA1114" t="s">
        <v>131</v>
      </c>
      <c r="DB1114" t="str">
        <f>"37-2012"</f>
        <v>37-2012</v>
      </c>
      <c r="DC1114" t="s">
        <v>479</v>
      </c>
      <c r="DD1114" t="s">
        <v>134</v>
      </c>
      <c r="DE1114" t="s">
        <v>134</v>
      </c>
      <c r="DF1114" t="str">
        <f>""</f>
        <v/>
      </c>
      <c r="DH1114" s="6">
        <v>12.28</v>
      </c>
      <c r="DI1114" t="s">
        <v>344</v>
      </c>
      <c r="DK1114" t="s">
        <v>345</v>
      </c>
      <c r="DR1114" t="s">
        <v>2085</v>
      </c>
      <c r="DS1114" s="6">
        <v>12.28</v>
      </c>
      <c r="DT1114" t="s">
        <v>424</v>
      </c>
      <c r="DU1114" s="1">
        <v>44377</v>
      </c>
      <c r="DV1114" s="1">
        <v>44466</v>
      </c>
    </row>
    <row r="1115" spans="1:126" ht="15" customHeight="1" x14ac:dyDescent="0.35">
      <c r="A1115" t="s">
        <v>16479</v>
      </c>
      <c r="B1115" t="s">
        <v>318</v>
      </c>
      <c r="C1115" s="1">
        <v>44350</v>
      </c>
      <c r="D1115" s="1">
        <v>44377</v>
      </c>
      <c r="H1115" t="s">
        <v>319</v>
      </c>
      <c r="I1115" t="s">
        <v>13395</v>
      </c>
      <c r="J1115" t="s">
        <v>8418</v>
      </c>
      <c r="K1115" t="s">
        <v>589</v>
      </c>
      <c r="L1115" t="s">
        <v>2076</v>
      </c>
      <c r="M1115" t="s">
        <v>13396</v>
      </c>
      <c r="O1115" t="s">
        <v>2078</v>
      </c>
      <c r="P1115" t="s">
        <v>194</v>
      </c>
      <c r="Q1115" s="3">
        <v>33040</v>
      </c>
      <c r="R1115" t="s">
        <v>128</v>
      </c>
      <c r="T1115" s="4">
        <v>13052924344</v>
      </c>
      <c r="V1115" t="s">
        <v>1211</v>
      </c>
      <c r="W1115" t="s">
        <v>13397</v>
      </c>
      <c r="X1115" t="s">
        <v>13398</v>
      </c>
      <c r="Y1115" t="s">
        <v>13396</v>
      </c>
      <c r="AA1115" t="s">
        <v>2078</v>
      </c>
      <c r="AB1115" t="s">
        <v>195</v>
      </c>
      <c r="AC1115" s="3" t="str">
        <f>"33040"</f>
        <v>33040</v>
      </c>
      <c r="AD1115" t="s">
        <v>128</v>
      </c>
      <c r="AF1115" s="4">
        <v>13052924344</v>
      </c>
      <c r="AH1115" t="str">
        <f>"72111"</f>
        <v>72111</v>
      </c>
      <c r="AI1115" t="s">
        <v>287</v>
      </c>
      <c r="AJ1115" t="s">
        <v>1207</v>
      </c>
      <c r="AK1115" t="s">
        <v>1208</v>
      </c>
      <c r="AM1115" t="s">
        <v>1209</v>
      </c>
      <c r="AO1115" t="s">
        <v>2083</v>
      </c>
      <c r="AP1115" t="s">
        <v>195</v>
      </c>
      <c r="AQ1115" s="5">
        <v>33040</v>
      </c>
      <c r="AR1115" t="s">
        <v>128</v>
      </c>
      <c r="AT1115" s="4">
        <v>17863480376</v>
      </c>
      <c r="AV1115" t="s">
        <v>1211</v>
      </c>
      <c r="AW1115" t="s">
        <v>1212</v>
      </c>
      <c r="AX1115" t="s">
        <v>131</v>
      </c>
      <c r="AY1115" t="s">
        <v>131</v>
      </c>
      <c r="AZ1115" t="s">
        <v>131</v>
      </c>
      <c r="BA1115" t="s">
        <v>131</v>
      </c>
      <c r="BB1115" t="s">
        <v>131</v>
      </c>
      <c r="BC1115" t="s">
        <v>131</v>
      </c>
      <c r="BD1115" t="s">
        <v>131</v>
      </c>
      <c r="BE1115" t="s">
        <v>132</v>
      </c>
      <c r="BH1115" t="s">
        <v>3930</v>
      </c>
      <c r="BI1115" t="s">
        <v>131</v>
      </c>
      <c r="BL1115" t="s">
        <v>167</v>
      </c>
      <c r="BO1115" t="s">
        <v>131</v>
      </c>
      <c r="BP1115" t="s">
        <v>134</v>
      </c>
      <c r="BQ1115" t="s">
        <v>131</v>
      </c>
      <c r="BS1115" t="str">
        <f t="shared" si="81"/>
        <v>N/A</v>
      </c>
      <c r="BT1115" t="s">
        <v>135</v>
      </c>
      <c r="BU1115">
        <v>1</v>
      </c>
      <c r="BV1115" t="str">
        <f>"COOK"</f>
        <v>COOK</v>
      </c>
      <c r="BW1115" t="s">
        <v>131</v>
      </c>
      <c r="BX1115" t="str">
        <f>""</f>
        <v/>
      </c>
      <c r="BY1115" t="str">
        <f>""</f>
        <v/>
      </c>
      <c r="BZ1115" t="str">
        <f>""</f>
        <v/>
      </c>
      <c r="CA1115" t="str">
        <f>""</f>
        <v/>
      </c>
      <c r="CB1115" t="s">
        <v>131</v>
      </c>
      <c r="CF1115" t="s">
        <v>131</v>
      </c>
      <c r="CH1115" t="str">
        <f>""</f>
        <v/>
      </c>
      <c r="CI1115" t="s">
        <v>131</v>
      </c>
      <c r="CK1115" t="s">
        <v>131</v>
      </c>
      <c r="CL1115" t="str">
        <f>""</f>
        <v/>
      </c>
      <c r="CM1115" t="str">
        <f>""</f>
        <v/>
      </c>
      <c r="CN1115" t="str">
        <f>""</f>
        <v/>
      </c>
      <c r="CO1115" t="str">
        <f>""</f>
        <v/>
      </c>
      <c r="CP1115" t="str">
        <f>"35-2014.00"</f>
        <v>35-2014.00</v>
      </c>
      <c r="CQ1115" t="s">
        <v>581</v>
      </c>
      <c r="CR1115" t="s">
        <v>3930</v>
      </c>
      <c r="CS1115" t="s">
        <v>131</v>
      </c>
      <c r="CU1115" t="s">
        <v>13396</v>
      </c>
      <c r="CW1115" t="s">
        <v>2078</v>
      </c>
      <c r="CX1115" t="s">
        <v>195</v>
      </c>
      <c r="CZ1115" s="3" t="str">
        <f>"33040"</f>
        <v>33040</v>
      </c>
      <c r="DA1115" t="s">
        <v>131</v>
      </c>
      <c r="DB1115" t="str">
        <f>"35-2014"</f>
        <v>35-2014</v>
      </c>
      <c r="DC1115" t="s">
        <v>581</v>
      </c>
      <c r="DD1115" t="s">
        <v>134</v>
      </c>
      <c r="DE1115" t="s">
        <v>134</v>
      </c>
      <c r="DF1115" t="str">
        <f>""</f>
        <v/>
      </c>
      <c r="DH1115" s="6">
        <v>15.55</v>
      </c>
      <c r="DI1115" t="s">
        <v>344</v>
      </c>
      <c r="DK1115" t="s">
        <v>345</v>
      </c>
      <c r="DR1115" t="s">
        <v>2085</v>
      </c>
      <c r="DS1115" s="6">
        <v>15.55</v>
      </c>
      <c r="DT1115" t="s">
        <v>424</v>
      </c>
      <c r="DU1115" s="1">
        <v>44377</v>
      </c>
      <c r="DV1115" s="1">
        <v>44466</v>
      </c>
    </row>
    <row r="1116" spans="1:126" ht="15" customHeight="1" x14ac:dyDescent="0.35">
      <c r="A1116" t="s">
        <v>1017</v>
      </c>
      <c r="B1116" t="s">
        <v>318</v>
      </c>
      <c r="C1116" s="1">
        <v>44350</v>
      </c>
      <c r="D1116" s="1">
        <v>44377</v>
      </c>
      <c r="H1116" t="s">
        <v>319</v>
      </c>
      <c r="I1116" t="s">
        <v>1018</v>
      </c>
      <c r="J1116" t="s">
        <v>839</v>
      </c>
      <c r="L1116" t="s">
        <v>1019</v>
      </c>
      <c r="M1116" t="s">
        <v>1020</v>
      </c>
      <c r="O1116" t="s">
        <v>1020</v>
      </c>
      <c r="P1116" t="s">
        <v>127</v>
      </c>
      <c r="Q1116" s="3">
        <v>3902</v>
      </c>
      <c r="R1116" t="s">
        <v>128</v>
      </c>
      <c r="T1116" s="4">
        <v>12073518007</v>
      </c>
      <c r="V1116" t="s">
        <v>1021</v>
      </c>
      <c r="W1116" t="s">
        <v>1022</v>
      </c>
      <c r="Y1116" t="s">
        <v>1023</v>
      </c>
      <c r="AA1116" t="s">
        <v>1020</v>
      </c>
      <c r="AB1116" t="s">
        <v>925</v>
      </c>
      <c r="AC1116" s="3" t="str">
        <f>"03902"</f>
        <v>03902</v>
      </c>
      <c r="AD1116" t="s">
        <v>128</v>
      </c>
      <c r="AF1116" s="4">
        <v>12073518007</v>
      </c>
      <c r="AH1116" t="str">
        <f>"56173"</f>
        <v>56173</v>
      </c>
      <c r="AI1116" t="s">
        <v>287</v>
      </c>
      <c r="AJ1116" t="s">
        <v>1024</v>
      </c>
      <c r="AK1116" t="s">
        <v>1025</v>
      </c>
      <c r="AM1116" t="s">
        <v>1026</v>
      </c>
      <c r="AO1116" t="s">
        <v>1027</v>
      </c>
      <c r="AP1116" t="s">
        <v>129</v>
      </c>
      <c r="AQ1116" s="5">
        <v>11590</v>
      </c>
      <c r="AR1116" t="s">
        <v>128</v>
      </c>
      <c r="AT1116" s="4">
        <v>15163307168</v>
      </c>
      <c r="AV1116" t="s">
        <v>1021</v>
      </c>
      <c r="AW1116" t="s">
        <v>1028</v>
      </c>
      <c r="AX1116" t="s">
        <v>131</v>
      </c>
      <c r="AY1116" t="s">
        <v>131</v>
      </c>
      <c r="AZ1116" t="s">
        <v>131</v>
      </c>
      <c r="BA1116" t="s">
        <v>131</v>
      </c>
      <c r="BB1116" t="s">
        <v>131</v>
      </c>
      <c r="BC1116" t="s">
        <v>131</v>
      </c>
      <c r="BD1116" t="s">
        <v>131</v>
      </c>
      <c r="BE1116" t="s">
        <v>132</v>
      </c>
      <c r="BH1116" t="s">
        <v>1029</v>
      </c>
      <c r="BI1116" t="s">
        <v>131</v>
      </c>
      <c r="BL1116" t="s">
        <v>167</v>
      </c>
      <c r="BO1116" t="s">
        <v>131</v>
      </c>
      <c r="BP1116" t="s">
        <v>134</v>
      </c>
      <c r="BQ1116" t="s">
        <v>131</v>
      </c>
      <c r="BS1116" t="str">
        <f t="shared" si="81"/>
        <v>N/A</v>
      </c>
      <c r="BT1116" t="s">
        <v>131</v>
      </c>
      <c r="BV1116" t="str">
        <f>""</f>
        <v/>
      </c>
      <c r="BW1116" t="s">
        <v>131</v>
      </c>
      <c r="BX1116" t="str">
        <f>""</f>
        <v/>
      </c>
      <c r="BY1116" t="str">
        <f>""</f>
        <v/>
      </c>
      <c r="BZ1116" t="str">
        <f>""</f>
        <v/>
      </c>
      <c r="CA1116" t="str">
        <f>""</f>
        <v/>
      </c>
      <c r="CB1116" t="s">
        <v>131</v>
      </c>
      <c r="CF1116" t="s">
        <v>131</v>
      </c>
      <c r="CH1116" t="str">
        <f>""</f>
        <v/>
      </c>
      <c r="CI1116" t="s">
        <v>131</v>
      </c>
      <c r="CK1116" t="s">
        <v>131</v>
      </c>
      <c r="CL1116" t="str">
        <f>""</f>
        <v/>
      </c>
      <c r="CM1116" t="str">
        <f>""</f>
        <v/>
      </c>
      <c r="CN1116" t="str">
        <f>""</f>
        <v/>
      </c>
      <c r="CO1116" t="str">
        <f>""</f>
        <v/>
      </c>
      <c r="CP1116" t="str">
        <f>"53-7062.00"</f>
        <v>53-7062.00</v>
      </c>
      <c r="CQ1116" t="s">
        <v>1030</v>
      </c>
      <c r="CR1116" t="s">
        <v>1031</v>
      </c>
      <c r="CS1116" t="s">
        <v>135</v>
      </c>
      <c r="CT1116" t="s">
        <v>1032</v>
      </c>
      <c r="CU1116" t="s">
        <v>1019</v>
      </c>
      <c r="CW1116" t="s">
        <v>1020</v>
      </c>
      <c r="CX1116" t="s">
        <v>925</v>
      </c>
      <c r="CZ1116" s="3" t="str">
        <f>"03902"</f>
        <v>03902</v>
      </c>
      <c r="DA1116" t="s">
        <v>135</v>
      </c>
      <c r="DB1116" t="str">
        <f>"53-7062"</f>
        <v>53-7062</v>
      </c>
      <c r="DC1116" t="s">
        <v>1030</v>
      </c>
      <c r="DD1116" t="s">
        <v>134</v>
      </c>
      <c r="DE1116" t="s">
        <v>134</v>
      </c>
      <c r="DF1116" t="str">
        <f>""</f>
        <v/>
      </c>
      <c r="DH1116" s="6">
        <v>15.17</v>
      </c>
      <c r="DI1116" t="s">
        <v>344</v>
      </c>
      <c r="DK1116" t="s">
        <v>345</v>
      </c>
      <c r="DR1116" t="s">
        <v>1033</v>
      </c>
      <c r="DS1116" s="6">
        <v>15.17</v>
      </c>
      <c r="DT1116" s="2" t="s">
        <v>347</v>
      </c>
      <c r="DU1116" s="1">
        <v>44377</v>
      </c>
      <c r="DV1116" s="1">
        <v>44466</v>
      </c>
    </row>
    <row r="1117" spans="1:126" ht="15" customHeight="1" x14ac:dyDescent="0.35">
      <c r="A1117" t="s">
        <v>11781</v>
      </c>
      <c r="B1117" t="s">
        <v>318</v>
      </c>
      <c r="C1117" s="1">
        <v>44350</v>
      </c>
      <c r="D1117" s="1">
        <v>44377</v>
      </c>
      <c r="H1117" t="s">
        <v>319</v>
      </c>
      <c r="I1117" t="s">
        <v>11782</v>
      </c>
      <c r="J1117" t="s">
        <v>1540</v>
      </c>
      <c r="K1117" t="s">
        <v>1253</v>
      </c>
      <c r="L1117" t="s">
        <v>395</v>
      </c>
      <c r="M1117" t="s">
        <v>11783</v>
      </c>
      <c r="O1117" t="s">
        <v>6429</v>
      </c>
      <c r="P1117" t="s">
        <v>256</v>
      </c>
      <c r="Q1117" s="3">
        <v>65807</v>
      </c>
      <c r="R1117" t="s">
        <v>128</v>
      </c>
      <c r="T1117" s="4">
        <v>14178623707</v>
      </c>
      <c r="V1117" t="s">
        <v>11784</v>
      </c>
      <c r="W1117" t="s">
        <v>11785</v>
      </c>
      <c r="Y1117" t="s">
        <v>11783</v>
      </c>
      <c r="AA1117" t="s">
        <v>6429</v>
      </c>
      <c r="AB1117" t="s">
        <v>258</v>
      </c>
      <c r="AC1117" s="3" t="str">
        <f>"65807"</f>
        <v>65807</v>
      </c>
      <c r="AD1117" t="s">
        <v>128</v>
      </c>
      <c r="AF1117" s="4">
        <v>14178623707</v>
      </c>
      <c r="AH1117" t="str">
        <f>"56173"</f>
        <v>56173</v>
      </c>
      <c r="AI1117" t="s">
        <v>287</v>
      </c>
      <c r="AJ1117" t="s">
        <v>2046</v>
      </c>
      <c r="AK1117" t="s">
        <v>2047</v>
      </c>
      <c r="AL1117" t="s">
        <v>134</v>
      </c>
      <c r="AM1117" t="s">
        <v>2048</v>
      </c>
      <c r="AN1117" t="s">
        <v>2049</v>
      </c>
      <c r="AO1117" t="s">
        <v>2050</v>
      </c>
      <c r="AP1117" t="s">
        <v>1243</v>
      </c>
      <c r="AQ1117" s="5">
        <v>83814</v>
      </c>
      <c r="AR1117" t="s">
        <v>128</v>
      </c>
      <c r="AT1117" s="4">
        <v>12087772654</v>
      </c>
      <c r="AV1117" t="s">
        <v>2051</v>
      </c>
      <c r="AW1117" t="s">
        <v>2052</v>
      </c>
      <c r="AX1117" t="s">
        <v>131</v>
      </c>
      <c r="AY1117" t="s">
        <v>131</v>
      </c>
      <c r="AZ1117" t="s">
        <v>131</v>
      </c>
      <c r="BA1117" t="s">
        <v>131</v>
      </c>
      <c r="BB1117" t="s">
        <v>131</v>
      </c>
      <c r="BC1117" t="s">
        <v>131</v>
      </c>
      <c r="BD1117" t="s">
        <v>131</v>
      </c>
      <c r="BE1117" t="s">
        <v>132</v>
      </c>
      <c r="BH1117" t="s">
        <v>7864</v>
      </c>
      <c r="BI1117" t="s">
        <v>131</v>
      </c>
      <c r="BL1117" t="s">
        <v>167</v>
      </c>
      <c r="BO1117" t="s">
        <v>131</v>
      </c>
      <c r="BP1117" t="s">
        <v>134</v>
      </c>
      <c r="BQ1117" t="s">
        <v>131</v>
      </c>
      <c r="BS1117" t="str">
        <f t="shared" si="81"/>
        <v>N/A</v>
      </c>
      <c r="BT1117" t="s">
        <v>131</v>
      </c>
      <c r="BV1117" t="str">
        <f>""</f>
        <v/>
      </c>
      <c r="BW1117" t="s">
        <v>135</v>
      </c>
      <c r="BX1117" t="str">
        <f>""</f>
        <v/>
      </c>
      <c r="BY1117" t="str">
        <f>""</f>
        <v/>
      </c>
      <c r="BZ1117" t="str">
        <f>""</f>
        <v/>
      </c>
      <c r="CA1117" t="s">
        <v>10220</v>
      </c>
      <c r="CB1117" t="s">
        <v>131</v>
      </c>
      <c r="CF1117" t="s">
        <v>131</v>
      </c>
      <c r="CH1117" t="str">
        <f>""</f>
        <v/>
      </c>
      <c r="CI1117" t="s">
        <v>131</v>
      </c>
      <c r="CK1117" t="s">
        <v>131</v>
      </c>
      <c r="CL1117" t="str">
        <f>""</f>
        <v/>
      </c>
      <c r="CM1117" t="str">
        <f>""</f>
        <v/>
      </c>
      <c r="CN1117" t="str">
        <f>""</f>
        <v/>
      </c>
      <c r="CO1117" t="str">
        <f>""</f>
        <v/>
      </c>
      <c r="CP1117" t="str">
        <f>"37-3011.00"</f>
        <v>37-3011.00</v>
      </c>
      <c r="CQ1117" t="s">
        <v>920</v>
      </c>
      <c r="CS1117" t="s">
        <v>135</v>
      </c>
      <c r="CT1117" t="s">
        <v>11786</v>
      </c>
      <c r="CU1117" t="s">
        <v>11787</v>
      </c>
      <c r="CW1117" t="s">
        <v>6429</v>
      </c>
      <c r="CX1117" t="s">
        <v>258</v>
      </c>
      <c r="CZ1117" s="3" t="str">
        <f>"65807"</f>
        <v>65807</v>
      </c>
      <c r="DA1117" t="s">
        <v>135</v>
      </c>
      <c r="DB1117" t="str">
        <f>"37-3011"</f>
        <v>37-3011</v>
      </c>
      <c r="DC1117" t="s">
        <v>920</v>
      </c>
      <c r="DD1117" t="s">
        <v>134</v>
      </c>
      <c r="DE1117" t="s">
        <v>134</v>
      </c>
      <c r="DF1117" t="str">
        <f>""</f>
        <v/>
      </c>
      <c r="DH1117" s="6">
        <v>13.23</v>
      </c>
      <c r="DI1117" t="s">
        <v>344</v>
      </c>
      <c r="DK1117" t="s">
        <v>345</v>
      </c>
      <c r="DR1117" t="s">
        <v>9426</v>
      </c>
      <c r="DS1117" s="6">
        <v>14.29</v>
      </c>
      <c r="DT1117" s="2" t="s">
        <v>347</v>
      </c>
      <c r="DU1117" s="1">
        <v>44377</v>
      </c>
      <c r="DV1117" s="1">
        <v>44466</v>
      </c>
    </row>
    <row r="1118" spans="1:126" ht="15" customHeight="1" x14ac:dyDescent="0.35">
      <c r="A1118" t="s">
        <v>19510</v>
      </c>
      <c r="B1118" t="s">
        <v>318</v>
      </c>
      <c r="C1118" s="1">
        <v>44350</v>
      </c>
      <c r="D1118" s="1">
        <v>44377</v>
      </c>
      <c r="H1118" t="s">
        <v>319</v>
      </c>
      <c r="I1118" t="s">
        <v>7480</v>
      </c>
      <c r="J1118" t="s">
        <v>19511</v>
      </c>
      <c r="K1118" t="s">
        <v>314</v>
      </c>
      <c r="L1118" t="s">
        <v>1105</v>
      </c>
      <c r="M1118" t="s">
        <v>19512</v>
      </c>
      <c r="O1118" t="s">
        <v>19513</v>
      </c>
      <c r="P1118" t="s">
        <v>311</v>
      </c>
      <c r="Q1118" s="3">
        <v>19355</v>
      </c>
      <c r="R1118" t="s">
        <v>128</v>
      </c>
      <c r="T1118" s="4">
        <v>16109939909</v>
      </c>
      <c r="U1118">
        <v>24</v>
      </c>
      <c r="V1118" t="s">
        <v>134</v>
      </c>
      <c r="W1118" t="s">
        <v>19514</v>
      </c>
      <c r="Y1118" t="s">
        <v>19512</v>
      </c>
      <c r="AA1118" t="s">
        <v>19513</v>
      </c>
      <c r="AB1118" t="s">
        <v>312</v>
      </c>
      <c r="AC1118" s="3" t="str">
        <f>"19355"</f>
        <v>19355</v>
      </c>
      <c r="AD1118" t="s">
        <v>128</v>
      </c>
      <c r="AF1118" s="4">
        <v>16109939909</v>
      </c>
      <c r="AH1118" t="str">
        <f>"56173"</f>
        <v>56173</v>
      </c>
      <c r="AI1118" t="s">
        <v>287</v>
      </c>
      <c r="AJ1118" t="s">
        <v>2917</v>
      </c>
      <c r="AK1118" t="s">
        <v>2918</v>
      </c>
      <c r="AM1118" t="s">
        <v>2919</v>
      </c>
      <c r="AN1118" t="s">
        <v>2920</v>
      </c>
      <c r="AO1118" t="s">
        <v>2921</v>
      </c>
      <c r="AP1118" t="s">
        <v>306</v>
      </c>
      <c r="AQ1118" s="5">
        <v>22949</v>
      </c>
      <c r="AR1118" t="s">
        <v>128</v>
      </c>
      <c r="AT1118" s="4">
        <v>14342634300</v>
      </c>
      <c r="AV1118" t="s">
        <v>5183</v>
      </c>
      <c r="AW1118" t="s">
        <v>2923</v>
      </c>
      <c r="AX1118" t="s">
        <v>131</v>
      </c>
      <c r="AY1118" t="s">
        <v>131</v>
      </c>
      <c r="AZ1118" t="s">
        <v>131</v>
      </c>
      <c r="BA1118" t="s">
        <v>131</v>
      </c>
      <c r="BB1118" t="s">
        <v>131</v>
      </c>
      <c r="BC1118" t="s">
        <v>131</v>
      </c>
      <c r="BD1118" t="s">
        <v>131</v>
      </c>
      <c r="BE1118" t="s">
        <v>132</v>
      </c>
      <c r="BH1118" t="s">
        <v>5049</v>
      </c>
      <c r="BI1118" t="s">
        <v>131</v>
      </c>
      <c r="BL1118" t="s">
        <v>167</v>
      </c>
      <c r="BO1118" t="s">
        <v>131</v>
      </c>
      <c r="BP1118" t="s">
        <v>134</v>
      </c>
      <c r="BQ1118" t="s">
        <v>131</v>
      </c>
      <c r="BS1118" t="str">
        <f t="shared" si="81"/>
        <v>N/A</v>
      </c>
      <c r="BT1118" t="s">
        <v>135</v>
      </c>
      <c r="BU1118">
        <v>3</v>
      </c>
      <c r="BV1118" t="str">
        <f>"Requires three months of previous landscape experience."</f>
        <v>Requires three months of previous landscape experience.</v>
      </c>
      <c r="BW1118" t="s">
        <v>135</v>
      </c>
      <c r="BX1118" t="str">
        <f>""</f>
        <v/>
      </c>
      <c r="BY1118" t="str">
        <f>""</f>
        <v/>
      </c>
      <c r="BZ1118" t="str">
        <f>""</f>
        <v/>
      </c>
      <c r="CA1118" t="s">
        <v>19515</v>
      </c>
      <c r="CB1118" t="s">
        <v>131</v>
      </c>
      <c r="CF1118" t="s">
        <v>131</v>
      </c>
      <c r="CH1118" t="str">
        <f>""</f>
        <v/>
      </c>
      <c r="CI1118" t="s">
        <v>131</v>
      </c>
      <c r="CK1118" t="s">
        <v>131</v>
      </c>
      <c r="CL1118" t="str">
        <f>""</f>
        <v/>
      </c>
      <c r="CM1118" t="str">
        <f>""</f>
        <v/>
      </c>
      <c r="CN1118" t="str">
        <f>""</f>
        <v/>
      </c>
      <c r="CO1118" t="str">
        <f>""</f>
        <v/>
      </c>
      <c r="CP1118" t="str">
        <f>"37-3011.00"</f>
        <v>37-3011.00</v>
      </c>
      <c r="CQ1118" t="s">
        <v>920</v>
      </c>
      <c r="CR1118" t="s">
        <v>2924</v>
      </c>
      <c r="CS1118" t="s">
        <v>135</v>
      </c>
      <c r="CT1118" t="s">
        <v>2925</v>
      </c>
      <c r="CU1118" t="s">
        <v>19512</v>
      </c>
      <c r="CW1118" t="s">
        <v>19513</v>
      </c>
      <c r="CX1118" t="s">
        <v>312</v>
      </c>
      <c r="CZ1118" s="3" t="str">
        <f>"19355"</f>
        <v>19355</v>
      </c>
      <c r="DA1118" t="s">
        <v>135</v>
      </c>
      <c r="DB1118" t="str">
        <f>"37-3011"</f>
        <v>37-3011</v>
      </c>
      <c r="DC1118" t="s">
        <v>920</v>
      </c>
      <c r="DD1118" t="s">
        <v>134</v>
      </c>
      <c r="DE1118" t="s">
        <v>134</v>
      </c>
      <c r="DF1118" t="str">
        <f>""</f>
        <v/>
      </c>
      <c r="DH1118" s="6">
        <v>16.600000000000001</v>
      </c>
      <c r="DI1118" t="s">
        <v>344</v>
      </c>
      <c r="DK1118" t="s">
        <v>345</v>
      </c>
      <c r="DS1118" s="6">
        <v>16.600000000000001</v>
      </c>
      <c r="DT1118" s="2" t="s">
        <v>347</v>
      </c>
      <c r="DU1118" s="1">
        <v>44377</v>
      </c>
      <c r="DV1118" s="1">
        <v>44466</v>
      </c>
    </row>
    <row r="1119" spans="1:126" ht="15" customHeight="1" x14ac:dyDescent="0.35">
      <c r="A1119" t="s">
        <v>15740</v>
      </c>
      <c r="B1119" t="s">
        <v>318</v>
      </c>
      <c r="C1119" s="1">
        <v>44350</v>
      </c>
      <c r="D1119" s="1">
        <v>44377</v>
      </c>
      <c r="H1119" t="s">
        <v>319</v>
      </c>
      <c r="I1119" t="s">
        <v>13395</v>
      </c>
      <c r="J1119" t="s">
        <v>8418</v>
      </c>
      <c r="K1119" t="s">
        <v>589</v>
      </c>
      <c r="L1119" t="s">
        <v>2076</v>
      </c>
      <c r="M1119" t="s">
        <v>13396</v>
      </c>
      <c r="O1119" t="s">
        <v>2078</v>
      </c>
      <c r="P1119" t="s">
        <v>194</v>
      </c>
      <c r="Q1119" s="3">
        <v>33040</v>
      </c>
      <c r="R1119" t="s">
        <v>128</v>
      </c>
      <c r="T1119" s="4">
        <v>13052924344</v>
      </c>
      <c r="V1119" t="s">
        <v>1211</v>
      </c>
      <c r="W1119" t="s">
        <v>13397</v>
      </c>
      <c r="X1119" t="s">
        <v>13398</v>
      </c>
      <c r="Y1119" t="s">
        <v>13396</v>
      </c>
      <c r="AA1119" t="s">
        <v>2078</v>
      </c>
      <c r="AB1119" t="s">
        <v>195</v>
      </c>
      <c r="AC1119" s="3" t="str">
        <f>"33040"</f>
        <v>33040</v>
      </c>
      <c r="AD1119" t="s">
        <v>128</v>
      </c>
      <c r="AF1119" s="4">
        <v>13052924344</v>
      </c>
      <c r="AH1119" t="str">
        <f>"72111"</f>
        <v>72111</v>
      </c>
      <c r="AI1119" t="s">
        <v>287</v>
      </c>
      <c r="AJ1119" t="s">
        <v>1207</v>
      </c>
      <c r="AK1119" t="s">
        <v>1208</v>
      </c>
      <c r="AM1119" t="s">
        <v>1209</v>
      </c>
      <c r="AN1119" t="s">
        <v>2082</v>
      </c>
      <c r="AO1119" t="s">
        <v>2083</v>
      </c>
      <c r="AP1119" t="s">
        <v>195</v>
      </c>
      <c r="AQ1119" s="5">
        <v>33141</v>
      </c>
      <c r="AR1119" t="s">
        <v>128</v>
      </c>
      <c r="AT1119" s="4">
        <v>17863480376</v>
      </c>
      <c r="AV1119" t="s">
        <v>1211</v>
      </c>
      <c r="AW1119" t="s">
        <v>1212</v>
      </c>
      <c r="AX1119" t="s">
        <v>131</v>
      </c>
      <c r="AY1119" t="s">
        <v>131</v>
      </c>
      <c r="AZ1119" t="s">
        <v>131</v>
      </c>
      <c r="BA1119" t="s">
        <v>131</v>
      </c>
      <c r="BB1119" t="s">
        <v>131</v>
      </c>
      <c r="BC1119" t="s">
        <v>131</v>
      </c>
      <c r="BD1119" t="s">
        <v>131</v>
      </c>
      <c r="BE1119" t="s">
        <v>132</v>
      </c>
      <c r="BH1119" t="s">
        <v>2084</v>
      </c>
      <c r="BI1119" t="s">
        <v>131</v>
      </c>
      <c r="BL1119" t="s">
        <v>167</v>
      </c>
      <c r="BO1119" t="s">
        <v>131</v>
      </c>
      <c r="BP1119" t="s">
        <v>134</v>
      </c>
      <c r="BQ1119" t="s">
        <v>131</v>
      </c>
      <c r="BS1119" t="str">
        <f t="shared" si="81"/>
        <v>N/A</v>
      </c>
      <c r="BT1119" t="s">
        <v>135</v>
      </c>
      <c r="BU1119">
        <v>1</v>
      </c>
      <c r="BV1119" t="str">
        <f>"WAITER/WAITRESS"</f>
        <v>WAITER/WAITRESS</v>
      </c>
      <c r="BW1119" t="s">
        <v>131</v>
      </c>
      <c r="BX1119" t="str">
        <f>""</f>
        <v/>
      </c>
      <c r="BY1119" t="str">
        <f>""</f>
        <v/>
      </c>
      <c r="BZ1119" t="str">
        <f>""</f>
        <v/>
      </c>
      <c r="CA1119" t="str">
        <f>""</f>
        <v/>
      </c>
      <c r="CB1119" t="s">
        <v>131</v>
      </c>
      <c r="CF1119" t="s">
        <v>131</v>
      </c>
      <c r="CH1119" t="str">
        <f>""</f>
        <v/>
      </c>
      <c r="CI1119" t="s">
        <v>131</v>
      </c>
      <c r="CK1119" t="s">
        <v>131</v>
      </c>
      <c r="CL1119" t="str">
        <f>""</f>
        <v/>
      </c>
      <c r="CM1119" t="str">
        <f>""</f>
        <v/>
      </c>
      <c r="CN1119" t="str">
        <f>""</f>
        <v/>
      </c>
      <c r="CO1119" t="str">
        <f>""</f>
        <v/>
      </c>
      <c r="CP1119" t="str">
        <f>"35-3031.00"</f>
        <v>35-3031.00</v>
      </c>
      <c r="CQ1119" t="s">
        <v>1214</v>
      </c>
      <c r="CR1119" t="s">
        <v>2084</v>
      </c>
      <c r="CS1119" t="s">
        <v>131</v>
      </c>
      <c r="CU1119" t="s">
        <v>13396</v>
      </c>
      <c r="CW1119" t="s">
        <v>2078</v>
      </c>
      <c r="CX1119" t="s">
        <v>195</v>
      </c>
      <c r="CZ1119" s="3" t="str">
        <f>"33040"</f>
        <v>33040</v>
      </c>
      <c r="DA1119" t="s">
        <v>131</v>
      </c>
      <c r="DB1119" t="str">
        <f>"35-3031"</f>
        <v>35-3031</v>
      </c>
      <c r="DC1119" t="s">
        <v>1214</v>
      </c>
      <c r="DD1119" t="s">
        <v>134</v>
      </c>
      <c r="DE1119" t="s">
        <v>134</v>
      </c>
      <c r="DF1119" t="str">
        <f>""</f>
        <v/>
      </c>
      <c r="DH1119" s="6">
        <v>13.72</v>
      </c>
      <c r="DI1119" t="s">
        <v>344</v>
      </c>
      <c r="DK1119" t="s">
        <v>345</v>
      </c>
      <c r="DR1119" t="s">
        <v>2085</v>
      </c>
      <c r="DS1119" s="6">
        <v>13.72</v>
      </c>
      <c r="DT1119" t="s">
        <v>424</v>
      </c>
      <c r="DU1119" s="1">
        <v>44377</v>
      </c>
      <c r="DV1119" s="1">
        <v>44466</v>
      </c>
    </row>
    <row r="1120" spans="1:126" ht="15" customHeight="1" x14ac:dyDescent="0.35">
      <c r="A1120" t="s">
        <v>15354</v>
      </c>
      <c r="B1120" t="s">
        <v>318</v>
      </c>
      <c r="C1120" s="1">
        <v>44350</v>
      </c>
      <c r="D1120" s="1">
        <v>44377</v>
      </c>
      <c r="H1120" t="s">
        <v>319</v>
      </c>
      <c r="I1120" t="s">
        <v>3566</v>
      </c>
      <c r="J1120" t="s">
        <v>3567</v>
      </c>
      <c r="L1120" t="s">
        <v>2076</v>
      </c>
      <c r="M1120" t="s">
        <v>3568</v>
      </c>
      <c r="O1120" t="s">
        <v>3569</v>
      </c>
      <c r="P1120" t="s">
        <v>194</v>
      </c>
      <c r="Q1120" s="3">
        <v>33050</v>
      </c>
      <c r="R1120" t="s">
        <v>128</v>
      </c>
      <c r="T1120" s="4">
        <v>13052895158</v>
      </c>
      <c r="V1120" t="s">
        <v>7174</v>
      </c>
      <c r="W1120" t="s">
        <v>3571</v>
      </c>
      <c r="X1120" t="s">
        <v>3572</v>
      </c>
      <c r="Y1120" t="s">
        <v>3568</v>
      </c>
      <c r="AA1120" t="s">
        <v>3569</v>
      </c>
      <c r="AB1120" t="s">
        <v>195</v>
      </c>
      <c r="AC1120" s="3" t="str">
        <f>"33050"</f>
        <v>33050</v>
      </c>
      <c r="AD1120" t="s">
        <v>128</v>
      </c>
      <c r="AF1120" s="4">
        <v>13052895155</v>
      </c>
      <c r="AH1120" t="str">
        <f>"72111"</f>
        <v>72111</v>
      </c>
      <c r="AI1120" t="s">
        <v>287</v>
      </c>
      <c r="AJ1120" t="s">
        <v>1207</v>
      </c>
      <c r="AK1120" t="s">
        <v>1208</v>
      </c>
      <c r="AM1120" t="s">
        <v>1209</v>
      </c>
      <c r="AN1120" t="s">
        <v>2082</v>
      </c>
      <c r="AO1120" t="s">
        <v>2083</v>
      </c>
      <c r="AP1120" t="s">
        <v>195</v>
      </c>
      <c r="AQ1120" s="5">
        <v>33141</v>
      </c>
      <c r="AR1120" t="s">
        <v>128</v>
      </c>
      <c r="AT1120" s="4">
        <v>17863480376</v>
      </c>
      <c r="AV1120" t="s">
        <v>1211</v>
      </c>
      <c r="AW1120" t="s">
        <v>1212</v>
      </c>
      <c r="AX1120" t="s">
        <v>131</v>
      </c>
      <c r="AY1120" t="s">
        <v>131</v>
      </c>
      <c r="AZ1120" t="s">
        <v>131</v>
      </c>
      <c r="BA1120" t="s">
        <v>131</v>
      </c>
      <c r="BB1120" t="s">
        <v>131</v>
      </c>
      <c r="BC1120" t="s">
        <v>131</v>
      </c>
      <c r="BD1120" t="s">
        <v>131</v>
      </c>
      <c r="BE1120" t="s">
        <v>132</v>
      </c>
      <c r="BH1120" t="s">
        <v>4277</v>
      </c>
      <c r="BI1120" t="s">
        <v>131</v>
      </c>
      <c r="BL1120" t="s">
        <v>167</v>
      </c>
      <c r="BO1120" t="s">
        <v>131</v>
      </c>
      <c r="BP1120" t="s">
        <v>134</v>
      </c>
      <c r="BQ1120" t="s">
        <v>131</v>
      </c>
      <c r="BS1120" t="str">
        <f t="shared" si="81"/>
        <v>N/A</v>
      </c>
      <c r="BT1120" t="s">
        <v>135</v>
      </c>
      <c r="BU1120">
        <v>1</v>
      </c>
      <c r="BV1120" t="str">
        <f>"HOUSEKEEPER/HOUSEMAN/MAID"</f>
        <v>HOUSEKEEPER/HOUSEMAN/MAID</v>
      </c>
      <c r="BW1120" t="s">
        <v>131</v>
      </c>
      <c r="BX1120" t="str">
        <f>""</f>
        <v/>
      </c>
      <c r="BY1120" t="str">
        <f>""</f>
        <v/>
      </c>
      <c r="BZ1120" t="str">
        <f>""</f>
        <v/>
      </c>
      <c r="CA1120" t="str">
        <f>""</f>
        <v/>
      </c>
      <c r="CB1120" t="s">
        <v>131</v>
      </c>
      <c r="CF1120" t="s">
        <v>131</v>
      </c>
      <c r="CH1120" t="str">
        <f>""</f>
        <v/>
      </c>
      <c r="CI1120" t="s">
        <v>131</v>
      </c>
      <c r="CK1120" t="s">
        <v>131</v>
      </c>
      <c r="CL1120" t="str">
        <f>""</f>
        <v/>
      </c>
      <c r="CM1120" t="str">
        <f>""</f>
        <v/>
      </c>
      <c r="CN1120" t="str">
        <f>""</f>
        <v/>
      </c>
      <c r="CO1120" t="str">
        <f>""</f>
        <v/>
      </c>
      <c r="CP1120" t="str">
        <f>"37-2012.00"</f>
        <v>37-2012.00</v>
      </c>
      <c r="CQ1120" t="s">
        <v>479</v>
      </c>
      <c r="CR1120" t="s">
        <v>4277</v>
      </c>
      <c r="CS1120" t="s">
        <v>131</v>
      </c>
      <c r="CU1120" t="s">
        <v>3568</v>
      </c>
      <c r="CW1120" t="s">
        <v>3569</v>
      </c>
      <c r="CX1120" t="s">
        <v>195</v>
      </c>
      <c r="CZ1120" s="3" t="str">
        <f>"33050"</f>
        <v>33050</v>
      </c>
      <c r="DA1120" t="s">
        <v>131</v>
      </c>
      <c r="DB1120" t="str">
        <f>"37-2012"</f>
        <v>37-2012</v>
      </c>
      <c r="DC1120" t="s">
        <v>479</v>
      </c>
      <c r="DD1120" t="s">
        <v>134</v>
      </c>
      <c r="DE1120" t="s">
        <v>134</v>
      </c>
      <c r="DF1120" t="str">
        <f>""</f>
        <v/>
      </c>
      <c r="DH1120" s="6">
        <v>12.28</v>
      </c>
      <c r="DI1120" t="s">
        <v>344</v>
      </c>
      <c r="DK1120" t="s">
        <v>345</v>
      </c>
      <c r="DR1120" t="s">
        <v>2085</v>
      </c>
      <c r="DS1120" s="6">
        <v>12.28</v>
      </c>
      <c r="DT1120" t="s">
        <v>424</v>
      </c>
      <c r="DU1120" s="1">
        <v>44377</v>
      </c>
      <c r="DV1120" s="1">
        <v>44466</v>
      </c>
    </row>
    <row r="1121" spans="1:126" ht="15" customHeight="1" x14ac:dyDescent="0.35">
      <c r="A1121" t="s">
        <v>16965</v>
      </c>
      <c r="B1121" t="s">
        <v>318</v>
      </c>
      <c r="C1121" s="1">
        <v>44350</v>
      </c>
      <c r="D1121" s="1">
        <v>44377</v>
      </c>
      <c r="H1121" t="s">
        <v>319</v>
      </c>
      <c r="I1121" t="s">
        <v>3566</v>
      </c>
      <c r="J1121" t="s">
        <v>3567</v>
      </c>
      <c r="L1121" t="s">
        <v>2076</v>
      </c>
      <c r="M1121" t="s">
        <v>3568</v>
      </c>
      <c r="O1121" t="s">
        <v>3569</v>
      </c>
      <c r="P1121" t="s">
        <v>194</v>
      </c>
      <c r="Q1121" s="3">
        <v>33050</v>
      </c>
      <c r="R1121" t="s">
        <v>128</v>
      </c>
      <c r="T1121" s="4">
        <v>13052895158</v>
      </c>
      <c r="V1121" t="s">
        <v>7174</v>
      </c>
      <c r="W1121" t="s">
        <v>3571</v>
      </c>
      <c r="X1121" t="s">
        <v>3572</v>
      </c>
      <c r="Y1121" t="s">
        <v>3568</v>
      </c>
      <c r="AA1121" t="s">
        <v>3569</v>
      </c>
      <c r="AB1121" t="s">
        <v>195</v>
      </c>
      <c r="AC1121" s="3" t="str">
        <f>"33050"</f>
        <v>33050</v>
      </c>
      <c r="AD1121" t="s">
        <v>128</v>
      </c>
      <c r="AF1121" s="4">
        <v>13052895158</v>
      </c>
      <c r="AH1121" t="str">
        <f>"72111"</f>
        <v>72111</v>
      </c>
      <c r="AI1121" t="s">
        <v>287</v>
      </c>
      <c r="AJ1121" t="s">
        <v>1207</v>
      </c>
      <c r="AK1121" t="s">
        <v>1208</v>
      </c>
      <c r="AM1121" t="s">
        <v>1209</v>
      </c>
      <c r="AN1121" t="s">
        <v>2082</v>
      </c>
      <c r="AO1121" t="s">
        <v>2083</v>
      </c>
      <c r="AP1121" t="s">
        <v>195</v>
      </c>
      <c r="AQ1121" s="5">
        <v>33141</v>
      </c>
      <c r="AR1121" t="s">
        <v>128</v>
      </c>
      <c r="AT1121" s="4">
        <v>17863480376</v>
      </c>
      <c r="AV1121" t="s">
        <v>1211</v>
      </c>
      <c r="AW1121" t="s">
        <v>1212</v>
      </c>
      <c r="AX1121" t="s">
        <v>131</v>
      </c>
      <c r="AY1121" t="s">
        <v>131</v>
      </c>
      <c r="AZ1121" t="s">
        <v>131</v>
      </c>
      <c r="BA1121" t="s">
        <v>131</v>
      </c>
      <c r="BB1121" t="s">
        <v>131</v>
      </c>
      <c r="BC1121" t="s">
        <v>131</v>
      </c>
      <c r="BD1121" t="s">
        <v>131</v>
      </c>
      <c r="BE1121" t="s">
        <v>132</v>
      </c>
      <c r="BH1121" t="s">
        <v>3930</v>
      </c>
      <c r="BI1121" t="s">
        <v>131</v>
      </c>
      <c r="BL1121" t="s">
        <v>167</v>
      </c>
      <c r="BO1121" t="s">
        <v>131</v>
      </c>
      <c r="BP1121" t="s">
        <v>134</v>
      </c>
      <c r="BQ1121" t="s">
        <v>131</v>
      </c>
      <c r="BS1121" t="str">
        <f t="shared" si="81"/>
        <v>N/A</v>
      </c>
      <c r="BT1121" t="s">
        <v>135</v>
      </c>
      <c r="BU1121">
        <v>1</v>
      </c>
      <c r="BV1121" t="str">
        <f>"COOK"</f>
        <v>COOK</v>
      </c>
      <c r="BW1121" t="s">
        <v>131</v>
      </c>
      <c r="BX1121" t="str">
        <f>""</f>
        <v/>
      </c>
      <c r="BY1121" t="str">
        <f>""</f>
        <v/>
      </c>
      <c r="BZ1121" t="str">
        <f>""</f>
        <v/>
      </c>
      <c r="CA1121" t="str">
        <f>""</f>
        <v/>
      </c>
      <c r="CB1121" t="s">
        <v>131</v>
      </c>
      <c r="CF1121" t="s">
        <v>131</v>
      </c>
      <c r="CH1121" t="str">
        <f>""</f>
        <v/>
      </c>
      <c r="CI1121" t="s">
        <v>131</v>
      </c>
      <c r="CK1121" t="s">
        <v>131</v>
      </c>
      <c r="CL1121" t="str">
        <f>""</f>
        <v/>
      </c>
      <c r="CM1121" t="str">
        <f>""</f>
        <v/>
      </c>
      <c r="CN1121" t="str">
        <f>""</f>
        <v/>
      </c>
      <c r="CO1121" t="str">
        <f>""</f>
        <v/>
      </c>
      <c r="CP1121" t="str">
        <f>"35-2014.00"</f>
        <v>35-2014.00</v>
      </c>
      <c r="CQ1121" t="s">
        <v>581</v>
      </c>
      <c r="CR1121" t="s">
        <v>3930</v>
      </c>
      <c r="CS1121" t="s">
        <v>131</v>
      </c>
      <c r="CU1121" t="s">
        <v>3568</v>
      </c>
      <c r="CW1121" t="s">
        <v>3569</v>
      </c>
      <c r="CX1121" t="s">
        <v>195</v>
      </c>
      <c r="CZ1121" s="3" t="str">
        <f>"33050"</f>
        <v>33050</v>
      </c>
      <c r="DA1121" t="s">
        <v>131</v>
      </c>
      <c r="DB1121" t="str">
        <f>"35-2014"</f>
        <v>35-2014</v>
      </c>
      <c r="DC1121" t="s">
        <v>581</v>
      </c>
      <c r="DD1121" t="s">
        <v>134</v>
      </c>
      <c r="DE1121" t="s">
        <v>134</v>
      </c>
      <c r="DF1121" t="str">
        <f>""</f>
        <v/>
      </c>
      <c r="DH1121" s="6">
        <v>15.55</v>
      </c>
      <c r="DI1121" t="s">
        <v>344</v>
      </c>
      <c r="DK1121" t="s">
        <v>345</v>
      </c>
      <c r="DR1121" t="s">
        <v>2085</v>
      </c>
      <c r="DS1121" s="6">
        <v>15.55</v>
      </c>
      <c r="DT1121" t="s">
        <v>424</v>
      </c>
      <c r="DU1121" s="1">
        <v>44377</v>
      </c>
      <c r="DV1121" s="1">
        <v>44466</v>
      </c>
    </row>
    <row r="1122" spans="1:126" ht="15" customHeight="1" x14ac:dyDescent="0.35">
      <c r="A1122" t="s">
        <v>19917</v>
      </c>
      <c r="B1122" t="s">
        <v>318</v>
      </c>
      <c r="C1122" s="1">
        <v>44350</v>
      </c>
      <c r="D1122" s="1">
        <v>44377</v>
      </c>
      <c r="H1122" t="s">
        <v>319</v>
      </c>
      <c r="I1122" t="s">
        <v>1224</v>
      </c>
      <c r="J1122" t="s">
        <v>1225</v>
      </c>
      <c r="K1122" t="s">
        <v>134</v>
      </c>
      <c r="L1122" t="s">
        <v>1226</v>
      </c>
      <c r="M1122" t="s">
        <v>1227</v>
      </c>
      <c r="N1122" t="s">
        <v>1228</v>
      </c>
      <c r="O1122" t="s">
        <v>1229</v>
      </c>
      <c r="P1122" t="s">
        <v>412</v>
      </c>
      <c r="Q1122" s="3">
        <v>78266</v>
      </c>
      <c r="R1122" t="s">
        <v>128</v>
      </c>
      <c r="T1122" s="4">
        <v>18305844555</v>
      </c>
      <c r="V1122" t="s">
        <v>1230</v>
      </c>
      <c r="W1122" t="s">
        <v>1231</v>
      </c>
      <c r="Y1122" t="s">
        <v>1232</v>
      </c>
      <c r="AA1122" t="s">
        <v>1233</v>
      </c>
      <c r="AB1122" t="s">
        <v>1234</v>
      </c>
      <c r="AC1122" s="3" t="str">
        <f>"59405"</f>
        <v>59405</v>
      </c>
      <c r="AD1122" t="s">
        <v>128</v>
      </c>
      <c r="AF1122" s="4">
        <v>14064547645</v>
      </c>
      <c r="AH1122" t="str">
        <f>"484110"</f>
        <v>484110</v>
      </c>
      <c r="AI1122" t="s">
        <v>287</v>
      </c>
      <c r="AJ1122" t="s">
        <v>1224</v>
      </c>
      <c r="AK1122" t="s">
        <v>1225</v>
      </c>
      <c r="AL1122" t="s">
        <v>134</v>
      </c>
      <c r="AM1122" t="s">
        <v>1227</v>
      </c>
      <c r="AN1122" t="s">
        <v>1228</v>
      </c>
      <c r="AO1122" t="s">
        <v>1229</v>
      </c>
      <c r="AP1122" t="s">
        <v>400</v>
      </c>
      <c r="AQ1122" s="5">
        <v>78266</v>
      </c>
      <c r="AR1122" t="s">
        <v>128</v>
      </c>
      <c r="AT1122" s="4">
        <v>18305844555</v>
      </c>
      <c r="AV1122" t="s">
        <v>1235</v>
      </c>
      <c r="AW1122" t="s">
        <v>1236</v>
      </c>
      <c r="AX1122" t="s">
        <v>131</v>
      </c>
      <c r="AY1122" t="s">
        <v>131</v>
      </c>
      <c r="AZ1122" t="s">
        <v>131</v>
      </c>
      <c r="BA1122" t="s">
        <v>131</v>
      </c>
      <c r="BB1122" t="s">
        <v>131</v>
      </c>
      <c r="BC1122" t="s">
        <v>131</v>
      </c>
      <c r="BD1122" t="s">
        <v>131</v>
      </c>
      <c r="BE1122" t="s">
        <v>132</v>
      </c>
      <c r="BH1122" t="s">
        <v>3224</v>
      </c>
      <c r="BI1122" t="s">
        <v>131</v>
      </c>
      <c r="BL1122" t="s">
        <v>167</v>
      </c>
      <c r="BO1122" t="s">
        <v>131</v>
      </c>
      <c r="BP1122" t="s">
        <v>134</v>
      </c>
      <c r="BQ1122" t="s">
        <v>131</v>
      </c>
      <c r="BS1122" t="str">
        <f t="shared" si="81"/>
        <v>N/A</v>
      </c>
      <c r="BT1122" t="s">
        <v>135</v>
      </c>
      <c r="BU1122">
        <v>6</v>
      </c>
      <c r="BV1122" t="str">
        <f>"MAINTENANCE WORK"</f>
        <v>MAINTENANCE WORK</v>
      </c>
      <c r="BW1122" t="s">
        <v>131</v>
      </c>
      <c r="BX1122" t="str">
        <f>""</f>
        <v/>
      </c>
      <c r="BY1122" t="str">
        <f>""</f>
        <v/>
      </c>
      <c r="BZ1122" t="str">
        <f>""</f>
        <v/>
      </c>
      <c r="CA1122" t="str">
        <f>""</f>
        <v/>
      </c>
      <c r="CB1122" t="s">
        <v>131</v>
      </c>
      <c r="CF1122" t="s">
        <v>131</v>
      </c>
      <c r="CH1122" t="str">
        <f>""</f>
        <v/>
      </c>
      <c r="CI1122" t="s">
        <v>131</v>
      </c>
      <c r="CK1122" t="s">
        <v>131</v>
      </c>
      <c r="CL1122" t="str">
        <f>""</f>
        <v/>
      </c>
      <c r="CM1122" t="str">
        <f>""</f>
        <v/>
      </c>
      <c r="CN1122" t="str">
        <f>""</f>
        <v/>
      </c>
      <c r="CO1122" t="str">
        <f>""</f>
        <v/>
      </c>
      <c r="CP1122" t="str">
        <f>"49-9098.00"</f>
        <v>49-9098.00</v>
      </c>
      <c r="CQ1122" t="s">
        <v>1503</v>
      </c>
      <c r="CS1122" t="s">
        <v>131</v>
      </c>
      <c r="CU1122" t="s">
        <v>19918</v>
      </c>
      <c r="CW1122" t="s">
        <v>19248</v>
      </c>
      <c r="CX1122" t="s">
        <v>249</v>
      </c>
      <c r="CZ1122" s="3" t="str">
        <f>"56284"</f>
        <v>56284</v>
      </c>
      <c r="DA1122" t="s">
        <v>131</v>
      </c>
      <c r="DB1122" t="str">
        <f>"49-9098"</f>
        <v>49-9098</v>
      </c>
      <c r="DC1122" t="s">
        <v>1503</v>
      </c>
      <c r="DD1122" t="s">
        <v>134</v>
      </c>
      <c r="DE1122" t="s">
        <v>134</v>
      </c>
      <c r="DF1122" t="str">
        <f>""</f>
        <v/>
      </c>
      <c r="DH1122" s="6">
        <v>12.46</v>
      </c>
      <c r="DI1122" t="s">
        <v>344</v>
      </c>
      <c r="DK1122" t="s">
        <v>345</v>
      </c>
      <c r="DS1122" s="6">
        <v>12.46</v>
      </c>
      <c r="DT1122" t="s">
        <v>424</v>
      </c>
      <c r="DU1122" s="1">
        <v>44377</v>
      </c>
      <c r="DV1122" s="1">
        <v>44466</v>
      </c>
    </row>
    <row r="1123" spans="1:126" ht="15" customHeight="1" x14ac:dyDescent="0.35">
      <c r="A1123" t="s">
        <v>18053</v>
      </c>
      <c r="B1123" t="s">
        <v>318</v>
      </c>
      <c r="C1123" s="1">
        <v>44350</v>
      </c>
      <c r="D1123" s="1">
        <v>44377</v>
      </c>
      <c r="H1123" t="s">
        <v>319</v>
      </c>
      <c r="I1123" t="s">
        <v>1224</v>
      </c>
      <c r="J1123" t="s">
        <v>1225</v>
      </c>
      <c r="K1123" t="s">
        <v>134</v>
      </c>
      <c r="L1123" t="s">
        <v>1226</v>
      </c>
      <c r="M1123" t="s">
        <v>1227</v>
      </c>
      <c r="N1123" t="s">
        <v>1228</v>
      </c>
      <c r="O1123" t="s">
        <v>1229</v>
      </c>
      <c r="P1123" t="s">
        <v>412</v>
      </c>
      <c r="Q1123" s="3">
        <v>78266</v>
      </c>
      <c r="R1123" t="s">
        <v>128</v>
      </c>
      <c r="T1123" s="4">
        <v>18305844555</v>
      </c>
      <c r="V1123" t="s">
        <v>1230</v>
      </c>
      <c r="W1123" t="s">
        <v>1231</v>
      </c>
      <c r="Y1123" t="s">
        <v>1232</v>
      </c>
      <c r="AA1123" t="s">
        <v>1233</v>
      </c>
      <c r="AB1123" t="s">
        <v>1234</v>
      </c>
      <c r="AC1123" s="3" t="str">
        <f>"59405"</f>
        <v>59405</v>
      </c>
      <c r="AD1123" t="s">
        <v>128</v>
      </c>
      <c r="AF1123" s="4">
        <v>14064547645</v>
      </c>
      <c r="AH1123" t="str">
        <f>"484110"</f>
        <v>484110</v>
      </c>
      <c r="AI1123" t="s">
        <v>287</v>
      </c>
      <c r="AJ1123" t="s">
        <v>1224</v>
      </c>
      <c r="AK1123" t="s">
        <v>1225</v>
      </c>
      <c r="AL1123" t="s">
        <v>134</v>
      </c>
      <c r="AM1123" t="s">
        <v>1227</v>
      </c>
      <c r="AN1123" t="s">
        <v>1228</v>
      </c>
      <c r="AO1123" t="s">
        <v>1229</v>
      </c>
      <c r="AP1123" t="s">
        <v>400</v>
      </c>
      <c r="AQ1123" s="5">
        <v>78266</v>
      </c>
      <c r="AR1123" t="s">
        <v>128</v>
      </c>
      <c r="AT1123" s="4">
        <v>18305844555</v>
      </c>
      <c r="AV1123" t="s">
        <v>1235</v>
      </c>
      <c r="AW1123" t="s">
        <v>18054</v>
      </c>
      <c r="AX1123" t="s">
        <v>131</v>
      </c>
      <c r="AY1123" t="s">
        <v>131</v>
      </c>
      <c r="AZ1123" t="s">
        <v>131</v>
      </c>
      <c r="BA1123" t="s">
        <v>131</v>
      </c>
      <c r="BB1123" t="s">
        <v>131</v>
      </c>
      <c r="BC1123" t="s">
        <v>131</v>
      </c>
      <c r="BD1123" t="s">
        <v>131</v>
      </c>
      <c r="BE1123" t="s">
        <v>132</v>
      </c>
      <c r="BH1123" t="s">
        <v>3224</v>
      </c>
      <c r="BI1123" t="s">
        <v>131</v>
      </c>
      <c r="BL1123" t="s">
        <v>167</v>
      </c>
      <c r="BO1123" t="s">
        <v>131</v>
      </c>
      <c r="BP1123" t="s">
        <v>134</v>
      </c>
      <c r="BQ1123" t="s">
        <v>131</v>
      </c>
      <c r="BS1123" t="str">
        <f t="shared" si="81"/>
        <v>N/A</v>
      </c>
      <c r="BT1123" t="s">
        <v>135</v>
      </c>
      <c r="BU1123">
        <v>6</v>
      </c>
      <c r="BV1123" t="str">
        <f>"MAINTENANCE WORK"</f>
        <v>MAINTENANCE WORK</v>
      </c>
      <c r="BW1123" t="s">
        <v>131</v>
      </c>
      <c r="BX1123" t="str">
        <f>""</f>
        <v/>
      </c>
      <c r="BY1123" t="str">
        <f>""</f>
        <v/>
      </c>
      <c r="BZ1123" t="str">
        <f>""</f>
        <v/>
      </c>
      <c r="CA1123" t="str">
        <f>""</f>
        <v/>
      </c>
      <c r="CB1123" t="s">
        <v>131</v>
      </c>
      <c r="CF1123" t="s">
        <v>131</v>
      </c>
      <c r="CH1123" t="str">
        <f>""</f>
        <v/>
      </c>
      <c r="CI1123" t="s">
        <v>131</v>
      </c>
      <c r="CK1123" t="s">
        <v>131</v>
      </c>
      <c r="CL1123" t="str">
        <f>""</f>
        <v/>
      </c>
      <c r="CM1123" t="str">
        <f>""</f>
        <v/>
      </c>
      <c r="CN1123" t="str">
        <f>""</f>
        <v/>
      </c>
      <c r="CO1123" t="str">
        <f>""</f>
        <v/>
      </c>
      <c r="CP1123" t="str">
        <f>"49-9098.00"</f>
        <v>49-9098.00</v>
      </c>
      <c r="CQ1123" t="s">
        <v>1503</v>
      </c>
      <c r="CS1123" t="s">
        <v>131</v>
      </c>
      <c r="CU1123" t="s">
        <v>18055</v>
      </c>
      <c r="CW1123" t="s">
        <v>18056</v>
      </c>
      <c r="CX1123" t="s">
        <v>1234</v>
      </c>
      <c r="CZ1123" s="3" t="str">
        <f>"59101"</f>
        <v>59101</v>
      </c>
      <c r="DA1123" t="s">
        <v>131</v>
      </c>
      <c r="DB1123" t="str">
        <f>"49-9098"</f>
        <v>49-9098</v>
      </c>
      <c r="DC1123" t="s">
        <v>1503</v>
      </c>
      <c r="DD1123" t="s">
        <v>134</v>
      </c>
      <c r="DE1123" t="s">
        <v>134</v>
      </c>
      <c r="DF1123" t="str">
        <f>""</f>
        <v/>
      </c>
      <c r="DH1123" s="6">
        <v>12.41</v>
      </c>
      <c r="DI1123" t="s">
        <v>344</v>
      </c>
      <c r="DK1123" t="s">
        <v>345</v>
      </c>
      <c r="DS1123" s="6">
        <v>12.41</v>
      </c>
      <c r="DT1123" t="s">
        <v>424</v>
      </c>
      <c r="DU1123" s="1">
        <v>44377</v>
      </c>
      <c r="DV1123" s="1">
        <v>44466</v>
      </c>
    </row>
    <row r="1124" spans="1:126" ht="15" customHeight="1" x14ac:dyDescent="0.35">
      <c r="A1124" t="s">
        <v>14974</v>
      </c>
      <c r="B1124" t="s">
        <v>318</v>
      </c>
      <c r="C1124" s="1">
        <v>44350</v>
      </c>
      <c r="D1124" s="1">
        <v>44377</v>
      </c>
      <c r="H1124" t="s">
        <v>319</v>
      </c>
      <c r="I1124" t="s">
        <v>3566</v>
      </c>
      <c r="J1124" t="s">
        <v>3567</v>
      </c>
      <c r="L1124" t="s">
        <v>2076</v>
      </c>
      <c r="M1124" t="s">
        <v>3568</v>
      </c>
      <c r="O1124" t="s">
        <v>3569</v>
      </c>
      <c r="P1124" t="s">
        <v>194</v>
      </c>
      <c r="Q1124" s="3">
        <v>33050</v>
      </c>
      <c r="R1124" t="s">
        <v>128</v>
      </c>
      <c r="T1124" s="4">
        <v>13052895158</v>
      </c>
      <c r="V1124" t="s">
        <v>7174</v>
      </c>
      <c r="W1124" t="s">
        <v>3571</v>
      </c>
      <c r="X1124" t="s">
        <v>3572</v>
      </c>
      <c r="Y1124" t="s">
        <v>3568</v>
      </c>
      <c r="AA1124" t="s">
        <v>3569</v>
      </c>
      <c r="AB1124" t="s">
        <v>195</v>
      </c>
      <c r="AC1124" s="3" t="str">
        <f>"33050"</f>
        <v>33050</v>
      </c>
      <c r="AD1124" t="s">
        <v>128</v>
      </c>
      <c r="AF1124" s="4">
        <v>13052895158</v>
      </c>
      <c r="AH1124" t="str">
        <f>"72111"</f>
        <v>72111</v>
      </c>
      <c r="AI1124" t="s">
        <v>287</v>
      </c>
      <c r="AJ1124" t="s">
        <v>1207</v>
      </c>
      <c r="AK1124" t="s">
        <v>1208</v>
      </c>
      <c r="AM1124" t="s">
        <v>1209</v>
      </c>
      <c r="AN1124" t="s">
        <v>2082</v>
      </c>
      <c r="AO1124" t="s">
        <v>2083</v>
      </c>
      <c r="AP1124" t="s">
        <v>195</v>
      </c>
      <c r="AQ1124" s="5">
        <v>33141</v>
      </c>
      <c r="AR1124" t="s">
        <v>128</v>
      </c>
      <c r="AT1124" s="4">
        <v>17863480376</v>
      </c>
      <c r="AV1124" t="s">
        <v>1211</v>
      </c>
      <c r="AW1124" t="s">
        <v>1212</v>
      </c>
      <c r="AX1124" t="s">
        <v>131</v>
      </c>
      <c r="AY1124" t="s">
        <v>131</v>
      </c>
      <c r="AZ1124" t="s">
        <v>131</v>
      </c>
      <c r="BA1124" t="s">
        <v>131</v>
      </c>
      <c r="BB1124" t="s">
        <v>131</v>
      </c>
      <c r="BC1124" t="s">
        <v>131</v>
      </c>
      <c r="BD1124" t="s">
        <v>131</v>
      </c>
      <c r="BE1124" t="s">
        <v>132</v>
      </c>
      <c r="BH1124" t="s">
        <v>14975</v>
      </c>
      <c r="BI1124" t="s">
        <v>131</v>
      </c>
      <c r="BL1124" t="s">
        <v>167</v>
      </c>
      <c r="BO1124" t="s">
        <v>131</v>
      </c>
      <c r="BP1124" t="s">
        <v>134</v>
      </c>
      <c r="BQ1124" t="s">
        <v>131</v>
      </c>
      <c r="BS1124" t="str">
        <f t="shared" si="81"/>
        <v>N/A</v>
      </c>
      <c r="BT1124" t="s">
        <v>135</v>
      </c>
      <c r="BU1124">
        <v>1</v>
      </c>
      <c r="BV1124" t="str">
        <f>"HOTEL DESK CLERK"</f>
        <v>HOTEL DESK CLERK</v>
      </c>
      <c r="BW1124" t="s">
        <v>131</v>
      </c>
      <c r="BX1124" t="str">
        <f>""</f>
        <v/>
      </c>
      <c r="BY1124" t="str">
        <f>""</f>
        <v/>
      </c>
      <c r="BZ1124" t="str">
        <f>""</f>
        <v/>
      </c>
      <c r="CA1124" t="str">
        <f>""</f>
        <v/>
      </c>
      <c r="CB1124" t="s">
        <v>131</v>
      </c>
      <c r="CF1124" t="s">
        <v>131</v>
      </c>
      <c r="CH1124" t="str">
        <f>""</f>
        <v/>
      </c>
      <c r="CI1124" t="s">
        <v>131</v>
      </c>
      <c r="CK1124" t="s">
        <v>131</v>
      </c>
      <c r="CL1124" t="str">
        <f>""</f>
        <v/>
      </c>
      <c r="CM1124" t="str">
        <f>""</f>
        <v/>
      </c>
      <c r="CN1124" t="str">
        <f>""</f>
        <v/>
      </c>
      <c r="CO1124" t="str">
        <f>""</f>
        <v/>
      </c>
      <c r="CP1124" t="str">
        <f>"43-4081.00"</f>
        <v>43-4081.00</v>
      </c>
      <c r="CQ1124" t="s">
        <v>4499</v>
      </c>
      <c r="CR1124" t="s">
        <v>14975</v>
      </c>
      <c r="CS1124" t="s">
        <v>131</v>
      </c>
      <c r="CU1124" t="s">
        <v>3568</v>
      </c>
      <c r="CW1124" t="s">
        <v>3569</v>
      </c>
      <c r="CX1124" t="s">
        <v>195</v>
      </c>
      <c r="CZ1124" s="3" t="str">
        <f>"33050"</f>
        <v>33050</v>
      </c>
      <c r="DA1124" t="s">
        <v>131</v>
      </c>
      <c r="DB1124" t="str">
        <f>"43-4081"</f>
        <v>43-4081</v>
      </c>
      <c r="DC1124" t="s">
        <v>4499</v>
      </c>
      <c r="DD1124" t="s">
        <v>134</v>
      </c>
      <c r="DE1124" t="s">
        <v>134</v>
      </c>
      <c r="DF1124" t="str">
        <f>""</f>
        <v/>
      </c>
      <c r="DH1124" s="6">
        <v>12.08</v>
      </c>
      <c r="DI1124" t="s">
        <v>344</v>
      </c>
      <c r="DK1124" t="s">
        <v>345</v>
      </c>
      <c r="DR1124" t="s">
        <v>2085</v>
      </c>
      <c r="DS1124" s="6">
        <v>12.08</v>
      </c>
      <c r="DT1124" t="s">
        <v>424</v>
      </c>
      <c r="DU1124" s="1">
        <v>44377</v>
      </c>
      <c r="DV1124" s="1">
        <v>44466</v>
      </c>
    </row>
    <row r="1125" spans="1:126" ht="15" customHeight="1" x14ac:dyDescent="0.35">
      <c r="A1125" t="s">
        <v>15085</v>
      </c>
      <c r="B1125" t="s">
        <v>318</v>
      </c>
      <c r="C1125" s="1">
        <v>44350</v>
      </c>
      <c r="D1125" s="1">
        <v>44377</v>
      </c>
      <c r="H1125" t="s">
        <v>319</v>
      </c>
      <c r="I1125" t="s">
        <v>1224</v>
      </c>
      <c r="J1125" t="s">
        <v>1225</v>
      </c>
      <c r="K1125" t="s">
        <v>134</v>
      </c>
      <c r="L1125" t="s">
        <v>1226</v>
      </c>
      <c r="M1125" t="s">
        <v>1227</v>
      </c>
      <c r="N1125" t="s">
        <v>1228</v>
      </c>
      <c r="O1125" t="s">
        <v>1229</v>
      </c>
      <c r="P1125" t="s">
        <v>412</v>
      </c>
      <c r="Q1125" s="3">
        <v>78266</v>
      </c>
      <c r="R1125" t="s">
        <v>128</v>
      </c>
      <c r="T1125" s="4">
        <v>18305844555</v>
      </c>
      <c r="V1125" t="s">
        <v>1230</v>
      </c>
      <c r="W1125" t="s">
        <v>1231</v>
      </c>
      <c r="Y1125" t="s">
        <v>1232</v>
      </c>
      <c r="AA1125" t="s">
        <v>1233</v>
      </c>
      <c r="AB1125" t="s">
        <v>1234</v>
      </c>
      <c r="AC1125" s="3" t="str">
        <f>"59405"</f>
        <v>59405</v>
      </c>
      <c r="AD1125" t="s">
        <v>128</v>
      </c>
      <c r="AF1125" s="4">
        <v>14064547645</v>
      </c>
      <c r="AH1125" t="str">
        <f>"484110"</f>
        <v>484110</v>
      </c>
      <c r="AI1125" t="s">
        <v>287</v>
      </c>
      <c r="AJ1125" t="s">
        <v>1224</v>
      </c>
      <c r="AK1125" t="s">
        <v>1225</v>
      </c>
      <c r="AL1125" t="s">
        <v>134</v>
      </c>
      <c r="AM1125" t="s">
        <v>1227</v>
      </c>
      <c r="AN1125" t="s">
        <v>1228</v>
      </c>
      <c r="AO1125" t="s">
        <v>1229</v>
      </c>
      <c r="AP1125" t="s">
        <v>400</v>
      </c>
      <c r="AQ1125" s="5">
        <v>78266</v>
      </c>
      <c r="AR1125" t="s">
        <v>128</v>
      </c>
      <c r="AT1125" s="4">
        <v>18305844555</v>
      </c>
      <c r="AV1125" t="s">
        <v>1235</v>
      </c>
      <c r="AW1125" t="s">
        <v>1236</v>
      </c>
      <c r="AX1125" t="s">
        <v>131</v>
      </c>
      <c r="AY1125" t="s">
        <v>131</v>
      </c>
      <c r="AZ1125" t="s">
        <v>131</v>
      </c>
      <c r="BA1125" t="s">
        <v>131</v>
      </c>
      <c r="BB1125" t="s">
        <v>131</v>
      </c>
      <c r="BC1125" t="s">
        <v>131</v>
      </c>
      <c r="BD1125" t="s">
        <v>131</v>
      </c>
      <c r="BE1125" t="s">
        <v>132</v>
      </c>
      <c r="BH1125" t="s">
        <v>3224</v>
      </c>
      <c r="BI1125" t="s">
        <v>131</v>
      </c>
      <c r="BL1125" t="s">
        <v>167</v>
      </c>
      <c r="BO1125" t="s">
        <v>131</v>
      </c>
      <c r="BP1125" t="s">
        <v>134</v>
      </c>
      <c r="BQ1125" t="s">
        <v>131</v>
      </c>
      <c r="BS1125" t="str">
        <f t="shared" si="81"/>
        <v>N/A</v>
      </c>
      <c r="BT1125" t="s">
        <v>135</v>
      </c>
      <c r="BU1125">
        <v>6</v>
      </c>
      <c r="BV1125" t="str">
        <f>"MAINTENANCE WORK"</f>
        <v>MAINTENANCE WORK</v>
      </c>
      <c r="BW1125" t="s">
        <v>131</v>
      </c>
      <c r="BX1125" t="str">
        <f>""</f>
        <v/>
      </c>
      <c r="BY1125" t="str">
        <f>""</f>
        <v/>
      </c>
      <c r="BZ1125" t="str">
        <f>""</f>
        <v/>
      </c>
      <c r="CA1125" t="str">
        <f>""</f>
        <v/>
      </c>
      <c r="CB1125" t="s">
        <v>131</v>
      </c>
      <c r="CF1125" t="s">
        <v>131</v>
      </c>
      <c r="CH1125" t="str">
        <f>""</f>
        <v/>
      </c>
      <c r="CI1125" t="s">
        <v>131</v>
      </c>
      <c r="CK1125" t="s">
        <v>131</v>
      </c>
      <c r="CL1125" t="str">
        <f>""</f>
        <v/>
      </c>
      <c r="CM1125" t="str">
        <f>""</f>
        <v/>
      </c>
      <c r="CN1125" t="str">
        <f>""</f>
        <v/>
      </c>
      <c r="CO1125" t="str">
        <f>""</f>
        <v/>
      </c>
      <c r="CP1125" t="str">
        <f>"49-9098.00"</f>
        <v>49-9098.00</v>
      </c>
      <c r="CQ1125" t="s">
        <v>1503</v>
      </c>
      <c r="CS1125" t="s">
        <v>131</v>
      </c>
      <c r="CU1125" t="s">
        <v>15086</v>
      </c>
      <c r="CW1125" t="s">
        <v>15087</v>
      </c>
      <c r="CX1125" t="s">
        <v>249</v>
      </c>
      <c r="CZ1125" s="3" t="str">
        <f>"56721"</f>
        <v>56721</v>
      </c>
      <c r="DA1125" t="s">
        <v>131</v>
      </c>
      <c r="DB1125" t="str">
        <f>"49-9098"</f>
        <v>49-9098</v>
      </c>
      <c r="DC1125" t="s">
        <v>1503</v>
      </c>
      <c r="DD1125" t="s">
        <v>134</v>
      </c>
      <c r="DE1125" t="s">
        <v>134</v>
      </c>
      <c r="DF1125" t="str">
        <f>""</f>
        <v/>
      </c>
      <c r="DH1125" s="6">
        <v>16.600000000000001</v>
      </c>
      <c r="DI1125" t="s">
        <v>344</v>
      </c>
      <c r="DK1125" t="s">
        <v>345</v>
      </c>
      <c r="DS1125" s="6">
        <v>16.600000000000001</v>
      </c>
      <c r="DT1125" t="s">
        <v>424</v>
      </c>
      <c r="DU1125" s="1">
        <v>44377</v>
      </c>
      <c r="DV1125" s="1">
        <v>44466</v>
      </c>
    </row>
    <row r="1126" spans="1:126" ht="15" customHeight="1" x14ac:dyDescent="0.35">
      <c r="A1126" t="s">
        <v>3565</v>
      </c>
      <c r="B1126" t="s">
        <v>318</v>
      </c>
      <c r="C1126" s="1">
        <v>44350</v>
      </c>
      <c r="D1126" s="1">
        <v>44377</v>
      </c>
      <c r="H1126" t="s">
        <v>319</v>
      </c>
      <c r="I1126" t="s">
        <v>3566</v>
      </c>
      <c r="J1126" t="s">
        <v>3567</v>
      </c>
      <c r="L1126" t="s">
        <v>2076</v>
      </c>
      <c r="M1126" t="s">
        <v>3568</v>
      </c>
      <c r="O1126" t="s">
        <v>3569</v>
      </c>
      <c r="P1126" t="s">
        <v>194</v>
      </c>
      <c r="Q1126" s="3">
        <v>33050</v>
      </c>
      <c r="R1126" t="s">
        <v>128</v>
      </c>
      <c r="T1126" s="4">
        <v>13052895158</v>
      </c>
      <c r="V1126" t="s">
        <v>3570</v>
      </c>
      <c r="W1126" t="s">
        <v>3571</v>
      </c>
      <c r="X1126" t="s">
        <v>3572</v>
      </c>
      <c r="Y1126" t="s">
        <v>3568</v>
      </c>
      <c r="AA1126" t="s">
        <v>3569</v>
      </c>
      <c r="AB1126" t="s">
        <v>195</v>
      </c>
      <c r="AC1126" s="3" t="str">
        <f>"33050"</f>
        <v>33050</v>
      </c>
      <c r="AD1126" t="s">
        <v>128</v>
      </c>
      <c r="AF1126" s="4">
        <v>13052895158</v>
      </c>
      <c r="AH1126" t="str">
        <f>"72111"</f>
        <v>72111</v>
      </c>
      <c r="AI1126" t="s">
        <v>287</v>
      </c>
      <c r="AJ1126" t="s">
        <v>1207</v>
      </c>
      <c r="AK1126" t="s">
        <v>1208</v>
      </c>
      <c r="AM1126" t="s">
        <v>1209</v>
      </c>
      <c r="AN1126" t="s">
        <v>2082</v>
      </c>
      <c r="AO1126" t="s">
        <v>2083</v>
      </c>
      <c r="AP1126" t="s">
        <v>195</v>
      </c>
      <c r="AQ1126" s="5">
        <v>33141</v>
      </c>
      <c r="AR1126" t="s">
        <v>128</v>
      </c>
      <c r="AT1126" s="4">
        <v>17863480376</v>
      </c>
      <c r="AV1126" t="s">
        <v>1211</v>
      </c>
      <c r="AW1126" t="s">
        <v>1212</v>
      </c>
      <c r="AX1126" t="s">
        <v>131</v>
      </c>
      <c r="AY1126" t="s">
        <v>131</v>
      </c>
      <c r="AZ1126" t="s">
        <v>131</v>
      </c>
      <c r="BA1126" t="s">
        <v>131</v>
      </c>
      <c r="BB1126" t="s">
        <v>131</v>
      </c>
      <c r="BC1126" t="s">
        <v>131</v>
      </c>
      <c r="BD1126" t="s">
        <v>131</v>
      </c>
      <c r="BE1126" t="s">
        <v>132</v>
      </c>
      <c r="BH1126" t="s">
        <v>2084</v>
      </c>
      <c r="BI1126" t="s">
        <v>131</v>
      </c>
      <c r="BL1126" t="s">
        <v>167</v>
      </c>
      <c r="BO1126" t="s">
        <v>131</v>
      </c>
      <c r="BP1126" t="s">
        <v>134</v>
      </c>
      <c r="BQ1126" t="s">
        <v>131</v>
      </c>
      <c r="BS1126" t="str">
        <f t="shared" si="81"/>
        <v>N/A</v>
      </c>
      <c r="BT1126" t="s">
        <v>135</v>
      </c>
      <c r="BU1126">
        <v>1</v>
      </c>
      <c r="BV1126" t="str">
        <f>"waiter/waitress"</f>
        <v>waiter/waitress</v>
      </c>
      <c r="BW1126" t="s">
        <v>131</v>
      </c>
      <c r="BX1126" t="str">
        <f>""</f>
        <v/>
      </c>
      <c r="BY1126" t="str">
        <f>""</f>
        <v/>
      </c>
      <c r="BZ1126" t="str">
        <f>""</f>
        <v/>
      </c>
      <c r="CA1126" t="str">
        <f>""</f>
        <v/>
      </c>
      <c r="CB1126" t="s">
        <v>131</v>
      </c>
      <c r="CF1126" t="s">
        <v>131</v>
      </c>
      <c r="CH1126" t="str">
        <f>""</f>
        <v/>
      </c>
      <c r="CI1126" t="s">
        <v>131</v>
      </c>
      <c r="CK1126" t="s">
        <v>131</v>
      </c>
      <c r="CL1126" t="str">
        <f>""</f>
        <v/>
      </c>
      <c r="CM1126" t="str">
        <f>""</f>
        <v/>
      </c>
      <c r="CN1126" t="str">
        <f>""</f>
        <v/>
      </c>
      <c r="CO1126" t="str">
        <f>""</f>
        <v/>
      </c>
      <c r="CP1126" t="str">
        <f>"35-3031.00"</f>
        <v>35-3031.00</v>
      </c>
      <c r="CQ1126" t="s">
        <v>1214</v>
      </c>
      <c r="CR1126" t="s">
        <v>2084</v>
      </c>
      <c r="CS1126" t="s">
        <v>131</v>
      </c>
      <c r="CU1126" t="s">
        <v>3568</v>
      </c>
      <c r="CW1126" t="s">
        <v>3569</v>
      </c>
      <c r="CX1126" t="s">
        <v>195</v>
      </c>
      <c r="CZ1126" s="3" t="str">
        <f>"33050"</f>
        <v>33050</v>
      </c>
      <c r="DA1126" t="s">
        <v>131</v>
      </c>
      <c r="DB1126" t="str">
        <f>"35-3031"</f>
        <v>35-3031</v>
      </c>
      <c r="DC1126" t="s">
        <v>1214</v>
      </c>
      <c r="DD1126" t="s">
        <v>134</v>
      </c>
      <c r="DE1126" t="s">
        <v>134</v>
      </c>
      <c r="DF1126" t="str">
        <f>""</f>
        <v/>
      </c>
      <c r="DH1126" s="6">
        <v>13.72</v>
      </c>
      <c r="DI1126" t="s">
        <v>344</v>
      </c>
      <c r="DK1126" t="s">
        <v>345</v>
      </c>
      <c r="DR1126" t="s">
        <v>2085</v>
      </c>
      <c r="DS1126" s="6">
        <v>13.72</v>
      </c>
      <c r="DT1126" t="s">
        <v>424</v>
      </c>
      <c r="DU1126" s="1">
        <v>44377</v>
      </c>
      <c r="DV1126" s="1">
        <v>44466</v>
      </c>
    </row>
    <row r="1127" spans="1:126" ht="15" customHeight="1" x14ac:dyDescent="0.35">
      <c r="A1127" t="s">
        <v>18858</v>
      </c>
      <c r="B1127" t="s">
        <v>318</v>
      </c>
      <c r="C1127" s="1">
        <v>44350</v>
      </c>
      <c r="D1127" s="1">
        <v>44377</v>
      </c>
      <c r="H1127" t="s">
        <v>319</v>
      </c>
      <c r="I1127" t="s">
        <v>18859</v>
      </c>
      <c r="J1127" t="s">
        <v>980</v>
      </c>
      <c r="K1127" t="s">
        <v>1253</v>
      </c>
      <c r="L1127" t="s">
        <v>395</v>
      </c>
      <c r="M1127" t="s">
        <v>18860</v>
      </c>
      <c r="O1127" t="s">
        <v>742</v>
      </c>
      <c r="P1127" t="s">
        <v>3898</v>
      </c>
      <c r="Q1127" s="3">
        <v>40475</v>
      </c>
      <c r="R1127" t="s">
        <v>128</v>
      </c>
      <c r="T1127" s="4">
        <v>18593581177</v>
      </c>
      <c r="V1127" t="s">
        <v>18861</v>
      </c>
      <c r="W1127" t="s">
        <v>18862</v>
      </c>
      <c r="Y1127" t="s">
        <v>18860</v>
      </c>
      <c r="AA1127" t="s">
        <v>742</v>
      </c>
      <c r="AB1127" t="s">
        <v>2436</v>
      </c>
      <c r="AC1127" s="3" t="str">
        <f>"40475"</f>
        <v>40475</v>
      </c>
      <c r="AD1127" t="s">
        <v>128</v>
      </c>
      <c r="AF1127" s="4">
        <v>18596239963</v>
      </c>
      <c r="AH1127" t="str">
        <f>"238110"</f>
        <v>238110</v>
      </c>
      <c r="AI1127" t="s">
        <v>130</v>
      </c>
      <c r="AJ1127" t="s">
        <v>3901</v>
      </c>
      <c r="AK1127" t="s">
        <v>1487</v>
      </c>
      <c r="AL1127" t="s">
        <v>302</v>
      </c>
      <c r="AM1127" t="s">
        <v>18863</v>
      </c>
      <c r="AO1127" t="s">
        <v>712</v>
      </c>
      <c r="AP1127" t="s">
        <v>2436</v>
      </c>
      <c r="AQ1127" s="5">
        <v>40508</v>
      </c>
      <c r="AR1127" t="s">
        <v>128</v>
      </c>
      <c r="AT1127" s="4">
        <v>18592687705</v>
      </c>
      <c r="AV1127" t="s">
        <v>3903</v>
      </c>
      <c r="AW1127" t="s">
        <v>3904</v>
      </c>
      <c r="AX1127" t="s">
        <v>131</v>
      </c>
      <c r="AY1127" t="s">
        <v>131</v>
      </c>
      <c r="AZ1127" t="s">
        <v>131</v>
      </c>
      <c r="BA1127" t="s">
        <v>131</v>
      </c>
      <c r="BB1127" t="s">
        <v>131</v>
      </c>
      <c r="BC1127" t="s">
        <v>131</v>
      </c>
      <c r="BD1127" t="s">
        <v>131</v>
      </c>
      <c r="BE1127" t="s">
        <v>132</v>
      </c>
      <c r="BH1127" t="s">
        <v>5736</v>
      </c>
      <c r="BI1127" t="s">
        <v>131</v>
      </c>
      <c r="BL1127" t="s">
        <v>167</v>
      </c>
      <c r="BO1127" t="s">
        <v>131</v>
      </c>
      <c r="BP1127" t="s">
        <v>134</v>
      </c>
      <c r="BQ1127" t="s">
        <v>131</v>
      </c>
      <c r="BS1127" t="str">
        <f t="shared" si="81"/>
        <v>N/A</v>
      </c>
      <c r="BT1127" t="s">
        <v>131</v>
      </c>
      <c r="BV1127" t="str">
        <f>""</f>
        <v/>
      </c>
      <c r="BW1127" t="s">
        <v>131</v>
      </c>
      <c r="BX1127" t="str">
        <f>""</f>
        <v/>
      </c>
      <c r="BY1127" t="str">
        <f>""</f>
        <v/>
      </c>
      <c r="BZ1127" t="str">
        <f>""</f>
        <v/>
      </c>
      <c r="CA1127" t="str">
        <f>""</f>
        <v/>
      </c>
      <c r="CB1127" t="s">
        <v>131</v>
      </c>
      <c r="CF1127" t="s">
        <v>131</v>
      </c>
      <c r="CH1127" t="str">
        <f>""</f>
        <v/>
      </c>
      <c r="CI1127" t="s">
        <v>131</v>
      </c>
      <c r="CK1127" t="s">
        <v>131</v>
      </c>
      <c r="CL1127" t="str">
        <f>""</f>
        <v/>
      </c>
      <c r="CM1127" t="str">
        <f>""</f>
        <v/>
      </c>
      <c r="CN1127" t="str">
        <f>""</f>
        <v/>
      </c>
      <c r="CO1127" t="str">
        <f>""</f>
        <v/>
      </c>
      <c r="CP1127" t="str">
        <f>"47-2051.00"</f>
        <v>47-2051.00</v>
      </c>
      <c r="CQ1127" t="s">
        <v>5057</v>
      </c>
      <c r="CS1127" t="s">
        <v>135</v>
      </c>
      <c r="CT1127" t="s">
        <v>18864</v>
      </c>
      <c r="CU1127" t="s">
        <v>18865</v>
      </c>
      <c r="CW1127" t="s">
        <v>16518</v>
      </c>
      <c r="CX1127" t="s">
        <v>400</v>
      </c>
      <c r="CZ1127" s="3" t="str">
        <f>"75109"</f>
        <v>75109</v>
      </c>
      <c r="DA1127" t="s">
        <v>135</v>
      </c>
      <c r="DB1127" t="str">
        <f>"47-2051"</f>
        <v>47-2051</v>
      </c>
      <c r="DC1127" t="s">
        <v>5057</v>
      </c>
      <c r="DD1127" t="s">
        <v>134</v>
      </c>
      <c r="DE1127" t="s">
        <v>134</v>
      </c>
      <c r="DF1127" t="str">
        <f>""</f>
        <v/>
      </c>
      <c r="DH1127" s="6">
        <v>17.940000000000001</v>
      </c>
      <c r="DI1127" t="s">
        <v>344</v>
      </c>
      <c r="DK1127" t="s">
        <v>345</v>
      </c>
      <c r="DS1127" s="6">
        <v>18.45</v>
      </c>
      <c r="DT1127" s="2" t="s">
        <v>347</v>
      </c>
      <c r="DU1127" s="1">
        <v>44377</v>
      </c>
      <c r="DV1127" s="1">
        <v>44466</v>
      </c>
    </row>
    <row r="1128" spans="1:126" ht="15" customHeight="1" x14ac:dyDescent="0.35">
      <c r="A1128" t="s">
        <v>19758</v>
      </c>
      <c r="B1128" t="s">
        <v>318</v>
      </c>
      <c r="C1128" s="1">
        <v>44350</v>
      </c>
      <c r="D1128" s="1">
        <v>44377</v>
      </c>
      <c r="H1128" t="s">
        <v>319</v>
      </c>
      <c r="I1128" t="s">
        <v>19759</v>
      </c>
      <c r="J1128" t="s">
        <v>2428</v>
      </c>
      <c r="K1128" t="s">
        <v>1253</v>
      </c>
      <c r="L1128" t="s">
        <v>628</v>
      </c>
      <c r="M1128" t="s">
        <v>19760</v>
      </c>
      <c r="N1128" t="s">
        <v>19761</v>
      </c>
      <c r="O1128" t="s">
        <v>10474</v>
      </c>
      <c r="P1128" t="s">
        <v>3898</v>
      </c>
      <c r="Q1128" s="3">
        <v>40741</v>
      </c>
      <c r="R1128" t="s">
        <v>128</v>
      </c>
      <c r="T1128" s="4">
        <v>16068783401</v>
      </c>
      <c r="V1128" t="s">
        <v>19762</v>
      </c>
      <c r="W1128" t="s">
        <v>19763</v>
      </c>
      <c r="Y1128" t="s">
        <v>19760</v>
      </c>
      <c r="AA1128" t="s">
        <v>10474</v>
      </c>
      <c r="AB1128" t="s">
        <v>2436</v>
      </c>
      <c r="AC1128" s="3" t="str">
        <f>"40741"</f>
        <v>40741</v>
      </c>
      <c r="AD1128" t="s">
        <v>128</v>
      </c>
      <c r="AF1128" s="4">
        <v>16068783401</v>
      </c>
      <c r="AH1128" t="str">
        <f>"336370"</f>
        <v>336370</v>
      </c>
      <c r="AI1128" t="s">
        <v>130</v>
      </c>
      <c r="AJ1128" t="s">
        <v>3901</v>
      </c>
      <c r="AK1128" t="s">
        <v>1487</v>
      </c>
      <c r="AL1128" t="s">
        <v>813</v>
      </c>
      <c r="AM1128" t="s">
        <v>3902</v>
      </c>
      <c r="AO1128" t="s">
        <v>712</v>
      </c>
      <c r="AP1128" t="s">
        <v>2436</v>
      </c>
      <c r="AQ1128" s="5">
        <v>40508</v>
      </c>
      <c r="AR1128" t="s">
        <v>128</v>
      </c>
      <c r="AT1128" s="4">
        <v>18592687705</v>
      </c>
      <c r="AV1128" t="s">
        <v>3903</v>
      </c>
      <c r="AW1128" t="s">
        <v>3904</v>
      </c>
      <c r="AX1128" t="s">
        <v>131</v>
      </c>
      <c r="AY1128" t="s">
        <v>131</v>
      </c>
      <c r="AZ1128" t="s">
        <v>131</v>
      </c>
      <c r="BA1128" t="s">
        <v>131</v>
      </c>
      <c r="BB1128" t="s">
        <v>131</v>
      </c>
      <c r="BC1128" t="s">
        <v>131</v>
      </c>
      <c r="BD1128" t="s">
        <v>131</v>
      </c>
      <c r="BE1128" t="s">
        <v>132</v>
      </c>
      <c r="BH1128" t="s">
        <v>19764</v>
      </c>
      <c r="BI1128" t="s">
        <v>131</v>
      </c>
      <c r="BL1128" t="s">
        <v>167</v>
      </c>
      <c r="BO1128" t="s">
        <v>131</v>
      </c>
      <c r="BP1128" t="s">
        <v>134</v>
      </c>
      <c r="BQ1128" t="s">
        <v>131</v>
      </c>
      <c r="BS1128" t="str">
        <f t="shared" si="81"/>
        <v>N/A</v>
      </c>
      <c r="BT1128" t="s">
        <v>131</v>
      </c>
      <c r="BV1128" t="str">
        <f>""</f>
        <v/>
      </c>
      <c r="BW1128" t="s">
        <v>131</v>
      </c>
      <c r="BX1128" t="str">
        <f>""</f>
        <v/>
      </c>
      <c r="BY1128" t="str">
        <f>""</f>
        <v/>
      </c>
      <c r="BZ1128" t="str">
        <f>""</f>
        <v/>
      </c>
      <c r="CA1128" t="str">
        <f>""</f>
        <v/>
      </c>
      <c r="CB1128" t="s">
        <v>131</v>
      </c>
      <c r="CF1128" t="s">
        <v>131</v>
      </c>
      <c r="CH1128" t="str">
        <f>""</f>
        <v/>
      </c>
      <c r="CI1128" t="s">
        <v>131</v>
      </c>
      <c r="CK1128" t="s">
        <v>131</v>
      </c>
      <c r="CL1128" t="str">
        <f>""</f>
        <v/>
      </c>
      <c r="CM1128" t="str">
        <f>""</f>
        <v/>
      </c>
      <c r="CN1128" t="str">
        <f>""</f>
        <v/>
      </c>
      <c r="CO1128" t="str">
        <f>""</f>
        <v/>
      </c>
      <c r="CP1128" t="str">
        <f>"51-9198.00"</f>
        <v>51-9198.00</v>
      </c>
      <c r="CQ1128" t="s">
        <v>2685</v>
      </c>
      <c r="CS1128" t="s">
        <v>131</v>
      </c>
      <c r="CU1128" t="s">
        <v>19760</v>
      </c>
      <c r="CV1128" t="s">
        <v>19761</v>
      </c>
      <c r="CW1128" t="s">
        <v>10474</v>
      </c>
      <c r="CX1128" t="s">
        <v>2436</v>
      </c>
      <c r="CZ1128" s="3" t="str">
        <f>"40741"</f>
        <v>40741</v>
      </c>
      <c r="DA1128" t="s">
        <v>131</v>
      </c>
      <c r="DB1128" t="str">
        <f>"51-9198"</f>
        <v>51-9198</v>
      </c>
      <c r="DC1128" t="s">
        <v>2685</v>
      </c>
      <c r="DD1128" t="s">
        <v>134</v>
      </c>
      <c r="DE1128" t="s">
        <v>134</v>
      </c>
      <c r="DF1128" t="str">
        <f>""</f>
        <v/>
      </c>
      <c r="DH1128" s="6">
        <v>16.21</v>
      </c>
      <c r="DI1128" t="s">
        <v>344</v>
      </c>
      <c r="DK1128" t="s">
        <v>345</v>
      </c>
      <c r="DS1128" s="6">
        <v>16.21</v>
      </c>
      <c r="DT1128" t="s">
        <v>424</v>
      </c>
      <c r="DU1128" s="1">
        <v>44377</v>
      </c>
      <c r="DV1128" s="1">
        <v>44466</v>
      </c>
    </row>
    <row r="1129" spans="1:126" ht="15" customHeight="1" x14ac:dyDescent="0.35">
      <c r="A1129" t="s">
        <v>17662</v>
      </c>
      <c r="B1129" t="s">
        <v>318</v>
      </c>
      <c r="C1129" s="1">
        <v>44350</v>
      </c>
      <c r="D1129" s="1">
        <v>44377</v>
      </c>
      <c r="H1129" t="s">
        <v>319</v>
      </c>
      <c r="I1129" t="s">
        <v>10612</v>
      </c>
      <c r="J1129" t="s">
        <v>654</v>
      </c>
      <c r="L1129" t="s">
        <v>1105</v>
      </c>
      <c r="M1129" t="s">
        <v>10613</v>
      </c>
      <c r="O1129" t="s">
        <v>3874</v>
      </c>
      <c r="P1129" t="s">
        <v>1760</v>
      </c>
      <c r="Q1129" s="3">
        <v>70817</v>
      </c>
      <c r="R1129" t="s">
        <v>128</v>
      </c>
      <c r="T1129" s="4">
        <v>12257563905</v>
      </c>
      <c r="V1129" t="s">
        <v>10614</v>
      </c>
      <c r="W1129" t="s">
        <v>10615</v>
      </c>
      <c r="Y1129" t="s">
        <v>10613</v>
      </c>
      <c r="AA1129" t="s">
        <v>3874</v>
      </c>
      <c r="AB1129" t="s">
        <v>1763</v>
      </c>
      <c r="AC1129" s="3" t="str">
        <f>"70817"</f>
        <v>70817</v>
      </c>
      <c r="AD1129" t="s">
        <v>128</v>
      </c>
      <c r="AF1129" s="4">
        <v>12257563905</v>
      </c>
      <c r="AH1129" t="str">
        <f>"561730"</f>
        <v>561730</v>
      </c>
      <c r="AI1129" t="s">
        <v>287</v>
      </c>
      <c r="AJ1129" t="s">
        <v>6793</v>
      </c>
      <c r="AK1129" t="s">
        <v>6794</v>
      </c>
      <c r="AM1129" t="s">
        <v>6795</v>
      </c>
      <c r="AO1129" t="s">
        <v>6796</v>
      </c>
      <c r="AP1129" t="s">
        <v>400</v>
      </c>
      <c r="AQ1129" s="5">
        <v>75098</v>
      </c>
      <c r="AR1129" t="s">
        <v>128</v>
      </c>
      <c r="AT1129" s="4">
        <v>19724424244</v>
      </c>
      <c r="AV1129" t="s">
        <v>6797</v>
      </c>
      <c r="AW1129" t="s">
        <v>6798</v>
      </c>
      <c r="AX1129" t="s">
        <v>131</v>
      </c>
      <c r="AY1129" t="s">
        <v>131</v>
      </c>
      <c r="AZ1129" t="s">
        <v>131</v>
      </c>
      <c r="BA1129" t="s">
        <v>131</v>
      </c>
      <c r="BB1129" t="s">
        <v>131</v>
      </c>
      <c r="BC1129" t="s">
        <v>131</v>
      </c>
      <c r="BD1129" t="s">
        <v>131</v>
      </c>
      <c r="BE1129" t="s">
        <v>132</v>
      </c>
      <c r="BH1129" t="s">
        <v>2215</v>
      </c>
      <c r="BI1129" t="s">
        <v>131</v>
      </c>
      <c r="BL1129" t="s">
        <v>167</v>
      </c>
      <c r="BO1129" t="s">
        <v>131</v>
      </c>
      <c r="BP1129" t="s">
        <v>134</v>
      </c>
      <c r="BQ1129" t="s">
        <v>131</v>
      </c>
      <c r="BS1129" t="str">
        <f t="shared" si="81"/>
        <v>N/A</v>
      </c>
      <c r="BT1129" t="s">
        <v>131</v>
      </c>
      <c r="BV1129" t="str">
        <f>""</f>
        <v/>
      </c>
      <c r="BW1129" t="s">
        <v>131</v>
      </c>
      <c r="BX1129" t="str">
        <f>""</f>
        <v/>
      </c>
      <c r="BY1129" t="str">
        <f>""</f>
        <v/>
      </c>
      <c r="BZ1129" t="str">
        <f>""</f>
        <v/>
      </c>
      <c r="CA1129" t="str">
        <f>""</f>
        <v/>
      </c>
      <c r="CB1129" t="s">
        <v>131</v>
      </c>
      <c r="CF1129" t="s">
        <v>131</v>
      </c>
      <c r="CH1129" t="str">
        <f>""</f>
        <v/>
      </c>
      <c r="CI1129" t="s">
        <v>131</v>
      </c>
      <c r="CK1129" t="s">
        <v>131</v>
      </c>
      <c r="CL1129" t="str">
        <f>""</f>
        <v/>
      </c>
      <c r="CM1129" t="str">
        <f>""</f>
        <v/>
      </c>
      <c r="CN1129" t="str">
        <f>""</f>
        <v/>
      </c>
      <c r="CO1129" t="str">
        <f>""</f>
        <v/>
      </c>
      <c r="CP1129" t="str">
        <f>"37-3011.00"</f>
        <v>37-3011.00</v>
      </c>
      <c r="CQ1129" t="s">
        <v>920</v>
      </c>
      <c r="CR1129" t="s">
        <v>3086</v>
      </c>
      <c r="CS1129" t="s">
        <v>131</v>
      </c>
      <c r="CU1129" t="s">
        <v>10613</v>
      </c>
      <c r="CW1129" t="s">
        <v>3874</v>
      </c>
      <c r="CX1129" t="s">
        <v>1763</v>
      </c>
      <c r="CZ1129" s="3" t="str">
        <f>"70817"</f>
        <v>70817</v>
      </c>
      <c r="DA1129" t="s">
        <v>135</v>
      </c>
      <c r="DB1129" t="str">
        <f>"37-3011"</f>
        <v>37-3011</v>
      </c>
      <c r="DC1129" t="s">
        <v>920</v>
      </c>
      <c r="DD1129" t="s">
        <v>134</v>
      </c>
      <c r="DE1129" t="s">
        <v>134</v>
      </c>
      <c r="DF1129" t="str">
        <f>""</f>
        <v/>
      </c>
      <c r="DH1129" s="6">
        <v>14.59</v>
      </c>
      <c r="DI1129" t="s">
        <v>344</v>
      </c>
      <c r="DK1129" t="s">
        <v>345</v>
      </c>
      <c r="DS1129" s="6">
        <v>14.59</v>
      </c>
      <c r="DT1129" t="s">
        <v>424</v>
      </c>
      <c r="DU1129" s="1">
        <v>44377</v>
      </c>
      <c r="DV1129" s="1">
        <v>44466</v>
      </c>
    </row>
    <row r="1130" spans="1:126" ht="15" customHeight="1" x14ac:dyDescent="0.35">
      <c r="A1130" t="s">
        <v>16890</v>
      </c>
      <c r="B1130" t="s">
        <v>318</v>
      </c>
      <c r="C1130" s="1">
        <v>44350</v>
      </c>
      <c r="D1130" s="1">
        <v>44377</v>
      </c>
      <c r="H1130" t="s">
        <v>319</v>
      </c>
      <c r="I1130" t="s">
        <v>16891</v>
      </c>
      <c r="J1130" t="s">
        <v>1594</v>
      </c>
      <c r="K1130" t="s">
        <v>1253</v>
      </c>
      <c r="L1130" t="s">
        <v>395</v>
      </c>
      <c r="M1130" t="s">
        <v>16892</v>
      </c>
      <c r="O1130" t="s">
        <v>16893</v>
      </c>
      <c r="P1130" t="s">
        <v>412</v>
      </c>
      <c r="Q1130" s="3">
        <v>75180</v>
      </c>
      <c r="R1130" t="s">
        <v>128</v>
      </c>
      <c r="T1130" s="4">
        <v>12142888319</v>
      </c>
      <c r="V1130" t="s">
        <v>16894</v>
      </c>
      <c r="W1130" t="s">
        <v>16895</v>
      </c>
      <c r="Y1130" t="s">
        <v>16892</v>
      </c>
      <c r="AA1130" t="s">
        <v>16893</v>
      </c>
      <c r="AB1130" t="s">
        <v>400</v>
      </c>
      <c r="AC1130" s="3" t="str">
        <f>"75180"</f>
        <v>75180</v>
      </c>
      <c r="AD1130" t="s">
        <v>128</v>
      </c>
      <c r="AF1130" s="4">
        <v>12142888319</v>
      </c>
      <c r="AH1130" t="str">
        <f>"238130"</f>
        <v>238130</v>
      </c>
      <c r="AI1130" t="s">
        <v>130</v>
      </c>
      <c r="AJ1130" t="s">
        <v>3901</v>
      </c>
      <c r="AK1130" t="s">
        <v>1487</v>
      </c>
      <c r="AL1130" t="s">
        <v>302</v>
      </c>
      <c r="AM1130" t="s">
        <v>3902</v>
      </c>
      <c r="AO1130" t="s">
        <v>712</v>
      </c>
      <c r="AP1130" t="s">
        <v>2436</v>
      </c>
      <c r="AQ1130" s="5">
        <v>40508</v>
      </c>
      <c r="AR1130" t="s">
        <v>128</v>
      </c>
      <c r="AT1130" s="4">
        <v>18592687705</v>
      </c>
      <c r="AV1130" t="s">
        <v>3903</v>
      </c>
      <c r="AW1130" t="s">
        <v>3904</v>
      </c>
      <c r="AX1130" t="s">
        <v>131</v>
      </c>
      <c r="AY1130" t="s">
        <v>131</v>
      </c>
      <c r="AZ1130" t="s">
        <v>131</v>
      </c>
      <c r="BA1130" t="s">
        <v>131</v>
      </c>
      <c r="BB1130" t="s">
        <v>131</v>
      </c>
      <c r="BC1130" t="s">
        <v>131</v>
      </c>
      <c r="BD1130" t="s">
        <v>131</v>
      </c>
      <c r="BE1130" t="s">
        <v>132</v>
      </c>
      <c r="BH1130" t="s">
        <v>5736</v>
      </c>
      <c r="BI1130" t="s">
        <v>131</v>
      </c>
      <c r="BL1130" t="s">
        <v>167</v>
      </c>
      <c r="BO1130" t="s">
        <v>131</v>
      </c>
      <c r="BP1130" t="s">
        <v>134</v>
      </c>
      <c r="BQ1130" t="s">
        <v>131</v>
      </c>
      <c r="BS1130" t="str">
        <f t="shared" si="81"/>
        <v>N/A</v>
      </c>
      <c r="BT1130" t="s">
        <v>131</v>
      </c>
      <c r="BV1130" t="str">
        <f>""</f>
        <v/>
      </c>
      <c r="BW1130" t="s">
        <v>131</v>
      </c>
      <c r="BX1130" t="str">
        <f>""</f>
        <v/>
      </c>
      <c r="BY1130" t="str">
        <f>""</f>
        <v/>
      </c>
      <c r="BZ1130" t="str">
        <f>""</f>
        <v/>
      </c>
      <c r="CA1130" t="str">
        <f>""</f>
        <v/>
      </c>
      <c r="CB1130" t="s">
        <v>131</v>
      </c>
      <c r="CF1130" t="s">
        <v>131</v>
      </c>
      <c r="CH1130" t="str">
        <f>""</f>
        <v/>
      </c>
      <c r="CI1130" t="s">
        <v>131</v>
      </c>
      <c r="CK1130" t="s">
        <v>131</v>
      </c>
      <c r="CL1130" t="str">
        <f>""</f>
        <v/>
      </c>
      <c r="CM1130" t="str">
        <f>""</f>
        <v/>
      </c>
      <c r="CN1130" t="str">
        <f>""</f>
        <v/>
      </c>
      <c r="CO1130" t="str">
        <f>""</f>
        <v/>
      </c>
      <c r="CP1130" t="str">
        <f>"47-2061.00"</f>
        <v>47-2061.00</v>
      </c>
      <c r="CQ1130" t="s">
        <v>393</v>
      </c>
      <c r="CS1130" t="s">
        <v>135</v>
      </c>
      <c r="CT1130" t="s">
        <v>16896</v>
      </c>
      <c r="CU1130" t="s">
        <v>16892</v>
      </c>
      <c r="CW1130" t="s">
        <v>16893</v>
      </c>
      <c r="CX1130" t="s">
        <v>400</v>
      </c>
      <c r="CZ1130" s="3" t="str">
        <f>"75180"</f>
        <v>75180</v>
      </c>
      <c r="DA1130" t="s">
        <v>135</v>
      </c>
      <c r="DB1130" t="str">
        <f>"47-2061"</f>
        <v>47-2061</v>
      </c>
      <c r="DC1130" t="s">
        <v>393</v>
      </c>
      <c r="DD1130" t="s">
        <v>134</v>
      </c>
      <c r="DE1130" t="s">
        <v>134</v>
      </c>
      <c r="DF1130" t="str">
        <f>""</f>
        <v/>
      </c>
      <c r="DH1130" s="6">
        <v>16.53</v>
      </c>
      <c r="DI1130" t="s">
        <v>344</v>
      </c>
      <c r="DK1130" t="s">
        <v>345</v>
      </c>
      <c r="DS1130" s="6">
        <v>16.53</v>
      </c>
      <c r="DT1130" s="2" t="s">
        <v>347</v>
      </c>
      <c r="DU1130" s="1">
        <v>44377</v>
      </c>
      <c r="DV1130" s="1">
        <v>44466</v>
      </c>
    </row>
    <row r="1131" spans="1:126" ht="15" customHeight="1" x14ac:dyDescent="0.35">
      <c r="A1131" t="s">
        <v>7778</v>
      </c>
      <c r="B1131" t="s">
        <v>318</v>
      </c>
      <c r="C1131" s="1">
        <v>44350</v>
      </c>
      <c r="D1131" s="1">
        <v>44377</v>
      </c>
      <c r="H1131" t="s">
        <v>319</v>
      </c>
      <c r="I1131" t="s">
        <v>7779</v>
      </c>
      <c r="J1131" t="s">
        <v>7780</v>
      </c>
      <c r="K1131" t="s">
        <v>1253</v>
      </c>
      <c r="L1131" t="s">
        <v>7781</v>
      </c>
      <c r="M1131" t="s">
        <v>7782</v>
      </c>
      <c r="O1131" t="s">
        <v>6032</v>
      </c>
      <c r="P1131" t="s">
        <v>3898</v>
      </c>
      <c r="Q1131" s="3">
        <v>41048</v>
      </c>
      <c r="R1131" t="s">
        <v>128</v>
      </c>
      <c r="T1131" s="4">
        <v>18595864784</v>
      </c>
      <c r="V1131" t="s">
        <v>7783</v>
      </c>
      <c r="W1131" t="s">
        <v>7784</v>
      </c>
      <c r="X1131" t="s">
        <v>7785</v>
      </c>
      <c r="Y1131" t="s">
        <v>7782</v>
      </c>
      <c r="AA1131" t="s">
        <v>6032</v>
      </c>
      <c r="AB1131" t="s">
        <v>2436</v>
      </c>
      <c r="AC1131" s="3" t="str">
        <f>"41048"</f>
        <v>41048</v>
      </c>
      <c r="AD1131" t="s">
        <v>128</v>
      </c>
      <c r="AF1131" s="4">
        <v>18595864784</v>
      </c>
      <c r="AH1131" t="str">
        <f>"541410"</f>
        <v>541410</v>
      </c>
      <c r="AI1131" t="s">
        <v>130</v>
      </c>
      <c r="AJ1131" t="s">
        <v>3901</v>
      </c>
      <c r="AK1131" t="s">
        <v>1487</v>
      </c>
      <c r="AL1131" t="s">
        <v>302</v>
      </c>
      <c r="AM1131" t="s">
        <v>3902</v>
      </c>
      <c r="AO1131" t="s">
        <v>712</v>
      </c>
      <c r="AP1131" t="s">
        <v>2436</v>
      </c>
      <c r="AQ1131" s="5">
        <v>40508</v>
      </c>
      <c r="AR1131" t="s">
        <v>128</v>
      </c>
      <c r="AT1131" s="4">
        <v>18592687705</v>
      </c>
      <c r="AV1131" t="s">
        <v>3903</v>
      </c>
      <c r="AW1131" t="s">
        <v>3904</v>
      </c>
      <c r="AX1131" t="s">
        <v>131</v>
      </c>
      <c r="AY1131" t="s">
        <v>131</v>
      </c>
      <c r="AZ1131" t="s">
        <v>131</v>
      </c>
      <c r="BA1131" t="s">
        <v>131</v>
      </c>
      <c r="BB1131" t="s">
        <v>131</v>
      </c>
      <c r="BC1131" t="s">
        <v>131</v>
      </c>
      <c r="BD1131" t="s">
        <v>131</v>
      </c>
      <c r="BE1131" t="s">
        <v>132</v>
      </c>
      <c r="BH1131" t="s">
        <v>1503</v>
      </c>
      <c r="BI1131" t="s">
        <v>131</v>
      </c>
      <c r="BL1131" t="s">
        <v>167</v>
      </c>
      <c r="BO1131" t="s">
        <v>131</v>
      </c>
      <c r="BP1131" t="s">
        <v>134</v>
      </c>
      <c r="BQ1131" t="s">
        <v>131</v>
      </c>
      <c r="BS1131" t="str">
        <f t="shared" si="81"/>
        <v>N/A</v>
      </c>
      <c r="BT1131" t="s">
        <v>131</v>
      </c>
      <c r="BV1131" t="str">
        <f>""</f>
        <v/>
      </c>
      <c r="BW1131" t="s">
        <v>131</v>
      </c>
      <c r="BX1131" t="str">
        <f>""</f>
        <v/>
      </c>
      <c r="BY1131" t="str">
        <f>""</f>
        <v/>
      </c>
      <c r="BZ1131" t="str">
        <f>""</f>
        <v/>
      </c>
      <c r="CA1131" t="str">
        <f>""</f>
        <v/>
      </c>
      <c r="CB1131" t="s">
        <v>131</v>
      </c>
      <c r="CF1131" t="s">
        <v>131</v>
      </c>
      <c r="CH1131" t="str">
        <f>""</f>
        <v/>
      </c>
      <c r="CI1131" t="s">
        <v>131</v>
      </c>
      <c r="CK1131" t="s">
        <v>131</v>
      </c>
      <c r="CL1131" t="str">
        <f>""</f>
        <v/>
      </c>
      <c r="CM1131" t="str">
        <f>""</f>
        <v/>
      </c>
      <c r="CN1131" t="str">
        <f>""</f>
        <v/>
      </c>
      <c r="CO1131" t="str">
        <f>""</f>
        <v/>
      </c>
      <c r="CP1131" t="str">
        <f>"49-9098.00"</f>
        <v>49-9098.00</v>
      </c>
      <c r="CQ1131" t="s">
        <v>1503</v>
      </c>
      <c r="CS1131" t="s">
        <v>135</v>
      </c>
      <c r="CT1131" t="s">
        <v>7786</v>
      </c>
      <c r="CU1131" t="s">
        <v>7782</v>
      </c>
      <c r="CW1131" t="s">
        <v>6032</v>
      </c>
      <c r="CX1131" t="s">
        <v>2436</v>
      </c>
      <c r="CZ1131" s="3" t="str">
        <f>"41048"</f>
        <v>41048</v>
      </c>
      <c r="DA1131" t="s">
        <v>135</v>
      </c>
      <c r="DB1131" t="str">
        <f>"49-9098"</f>
        <v>49-9098</v>
      </c>
      <c r="DC1131" t="s">
        <v>1503</v>
      </c>
      <c r="DD1131" t="s">
        <v>134</v>
      </c>
      <c r="DE1131" t="s">
        <v>134</v>
      </c>
      <c r="DF1131" t="str">
        <f>""</f>
        <v/>
      </c>
      <c r="DH1131" s="6">
        <v>16.13</v>
      </c>
      <c r="DI1131" t="s">
        <v>344</v>
      </c>
      <c r="DK1131" t="s">
        <v>345</v>
      </c>
      <c r="DS1131" s="6">
        <v>16.13</v>
      </c>
      <c r="DT1131" s="2" t="s">
        <v>347</v>
      </c>
      <c r="DU1131" s="1">
        <v>44377</v>
      </c>
      <c r="DV1131" s="1">
        <v>44466</v>
      </c>
    </row>
    <row r="1132" spans="1:126" ht="15" customHeight="1" x14ac:dyDescent="0.35">
      <c r="A1132" t="s">
        <v>14972</v>
      </c>
      <c r="B1132" t="s">
        <v>318</v>
      </c>
      <c r="C1132" s="1">
        <v>44350</v>
      </c>
      <c r="D1132" s="1">
        <v>44377</v>
      </c>
      <c r="H1132" t="s">
        <v>319</v>
      </c>
      <c r="I1132" t="s">
        <v>6787</v>
      </c>
      <c r="J1132" t="s">
        <v>348</v>
      </c>
      <c r="L1132" t="s">
        <v>6788</v>
      </c>
      <c r="M1132" t="s">
        <v>6789</v>
      </c>
      <c r="O1132" t="s">
        <v>6790</v>
      </c>
      <c r="P1132" t="s">
        <v>539</v>
      </c>
      <c r="Q1132" s="3">
        <v>62232</v>
      </c>
      <c r="R1132" t="s">
        <v>128</v>
      </c>
      <c r="T1132" s="4">
        <v>16183989000</v>
      </c>
      <c r="V1132" t="s">
        <v>6791</v>
      </c>
      <c r="W1132" t="s">
        <v>6792</v>
      </c>
      <c r="Y1132" t="s">
        <v>6789</v>
      </c>
      <c r="AA1132" t="s">
        <v>6790</v>
      </c>
      <c r="AB1132" t="s">
        <v>263</v>
      </c>
      <c r="AC1132" s="3" t="str">
        <f>"62232"</f>
        <v>62232</v>
      </c>
      <c r="AD1132" t="s">
        <v>128</v>
      </c>
      <c r="AF1132" s="4">
        <v>16183989000</v>
      </c>
      <c r="AH1132" t="str">
        <f>"561730"</f>
        <v>561730</v>
      </c>
      <c r="AI1132" t="s">
        <v>287</v>
      </c>
      <c r="AJ1132" t="s">
        <v>6793</v>
      </c>
      <c r="AK1132" t="s">
        <v>6794</v>
      </c>
      <c r="AM1132" t="s">
        <v>6795</v>
      </c>
      <c r="AO1132" t="s">
        <v>6796</v>
      </c>
      <c r="AP1132" t="s">
        <v>400</v>
      </c>
      <c r="AQ1132" s="5">
        <v>75098</v>
      </c>
      <c r="AR1132" t="s">
        <v>128</v>
      </c>
      <c r="AT1132" s="4">
        <v>19724424244</v>
      </c>
      <c r="AV1132" t="s">
        <v>6797</v>
      </c>
      <c r="AW1132" t="s">
        <v>6798</v>
      </c>
      <c r="AX1132" t="s">
        <v>131</v>
      </c>
      <c r="AY1132" t="s">
        <v>131</v>
      </c>
      <c r="AZ1132" t="s">
        <v>131</v>
      </c>
      <c r="BA1132" t="s">
        <v>131</v>
      </c>
      <c r="BB1132" t="s">
        <v>131</v>
      </c>
      <c r="BC1132" t="s">
        <v>131</v>
      </c>
      <c r="BD1132" t="s">
        <v>131</v>
      </c>
      <c r="BE1132" t="s">
        <v>132</v>
      </c>
      <c r="BH1132" t="s">
        <v>2215</v>
      </c>
      <c r="BI1132" t="s">
        <v>131</v>
      </c>
      <c r="BL1132" t="s">
        <v>167</v>
      </c>
      <c r="BO1132" t="s">
        <v>131</v>
      </c>
      <c r="BP1132" t="s">
        <v>134</v>
      </c>
      <c r="BQ1132" t="s">
        <v>131</v>
      </c>
      <c r="BS1132" t="str">
        <f t="shared" si="81"/>
        <v>N/A</v>
      </c>
      <c r="BT1132" t="s">
        <v>131</v>
      </c>
      <c r="BV1132" t="str">
        <f>""</f>
        <v/>
      </c>
      <c r="BW1132" t="s">
        <v>131</v>
      </c>
      <c r="BX1132" t="str">
        <f>""</f>
        <v/>
      </c>
      <c r="BY1132" t="str">
        <f>""</f>
        <v/>
      </c>
      <c r="BZ1132" t="str">
        <f>""</f>
        <v/>
      </c>
      <c r="CA1132" t="str">
        <f>""</f>
        <v/>
      </c>
      <c r="CB1132" t="s">
        <v>131</v>
      </c>
      <c r="CF1132" t="s">
        <v>131</v>
      </c>
      <c r="CH1132" t="str">
        <f>""</f>
        <v/>
      </c>
      <c r="CI1132" t="s">
        <v>131</v>
      </c>
      <c r="CK1132" t="s">
        <v>131</v>
      </c>
      <c r="CL1132" t="str">
        <f>""</f>
        <v/>
      </c>
      <c r="CM1132" t="str">
        <f>""</f>
        <v/>
      </c>
      <c r="CN1132" t="str">
        <f>""</f>
        <v/>
      </c>
      <c r="CO1132" t="str">
        <f>""</f>
        <v/>
      </c>
      <c r="CP1132" t="str">
        <f>"37-3011.00"</f>
        <v>37-3011.00</v>
      </c>
      <c r="CQ1132" t="s">
        <v>920</v>
      </c>
      <c r="CR1132" t="s">
        <v>3086</v>
      </c>
      <c r="CS1132" t="s">
        <v>131</v>
      </c>
      <c r="CU1132" t="s">
        <v>14973</v>
      </c>
      <c r="CW1132" t="s">
        <v>3743</v>
      </c>
      <c r="CX1132" t="s">
        <v>258</v>
      </c>
      <c r="CZ1132" s="3" t="str">
        <f>"63042"</f>
        <v>63042</v>
      </c>
      <c r="DA1132" t="s">
        <v>135</v>
      </c>
      <c r="DB1132" t="str">
        <f>"37-3011"</f>
        <v>37-3011</v>
      </c>
      <c r="DC1132" t="s">
        <v>920</v>
      </c>
      <c r="DD1132" t="s">
        <v>134</v>
      </c>
      <c r="DE1132" t="s">
        <v>134</v>
      </c>
      <c r="DF1132" t="str">
        <f>""</f>
        <v/>
      </c>
      <c r="DH1132" s="6">
        <v>15.37</v>
      </c>
      <c r="DI1132" t="s">
        <v>344</v>
      </c>
      <c r="DK1132" t="s">
        <v>345</v>
      </c>
      <c r="DS1132" s="6">
        <v>15.37</v>
      </c>
      <c r="DT1132" t="s">
        <v>424</v>
      </c>
      <c r="DU1132" s="1">
        <v>44377</v>
      </c>
      <c r="DV1132" s="1">
        <v>44466</v>
      </c>
    </row>
    <row r="1133" spans="1:126" ht="15" customHeight="1" x14ac:dyDescent="0.35">
      <c r="A1133" t="s">
        <v>14197</v>
      </c>
      <c r="B1133" t="s">
        <v>318</v>
      </c>
      <c r="C1133" s="1">
        <v>44350</v>
      </c>
      <c r="D1133" s="1">
        <v>44377</v>
      </c>
      <c r="H1133" t="s">
        <v>319</v>
      </c>
      <c r="I1133" t="s">
        <v>7169</v>
      </c>
      <c r="J1133" t="s">
        <v>7170</v>
      </c>
      <c r="L1133" t="s">
        <v>7171</v>
      </c>
      <c r="M1133" t="s">
        <v>7172</v>
      </c>
      <c r="O1133" t="s">
        <v>7173</v>
      </c>
      <c r="P1133" t="s">
        <v>194</v>
      </c>
      <c r="Q1133" s="3">
        <v>33767</v>
      </c>
      <c r="R1133" t="s">
        <v>128</v>
      </c>
      <c r="T1133" s="4">
        <v>16035592100</v>
      </c>
      <c r="V1133" t="s">
        <v>7174</v>
      </c>
      <c r="W1133" t="s">
        <v>7175</v>
      </c>
      <c r="Y1133" t="s">
        <v>7172</v>
      </c>
      <c r="AA1133" t="s">
        <v>7173</v>
      </c>
      <c r="AB1133" t="s">
        <v>195</v>
      </c>
      <c r="AC1133" s="3" t="str">
        <f>"33767"</f>
        <v>33767</v>
      </c>
      <c r="AD1133" t="s">
        <v>128</v>
      </c>
      <c r="AF1133" s="4">
        <v>16035592100</v>
      </c>
      <c r="AH1133" t="str">
        <f>"72111"</f>
        <v>72111</v>
      </c>
      <c r="AI1133" t="s">
        <v>167</v>
      </c>
      <c r="AX1133" t="s">
        <v>131</v>
      </c>
      <c r="AY1133" t="s">
        <v>131</v>
      </c>
      <c r="AZ1133" t="s">
        <v>131</v>
      </c>
      <c r="BA1133" t="s">
        <v>131</v>
      </c>
      <c r="BB1133" t="s">
        <v>131</v>
      </c>
      <c r="BC1133" t="s">
        <v>131</v>
      </c>
      <c r="BD1133" t="s">
        <v>131</v>
      </c>
      <c r="BE1133" t="s">
        <v>132</v>
      </c>
      <c r="BH1133" t="s">
        <v>4277</v>
      </c>
      <c r="BI1133" t="s">
        <v>131</v>
      </c>
      <c r="BL1133" t="s">
        <v>167</v>
      </c>
      <c r="BO1133" t="s">
        <v>131</v>
      </c>
      <c r="BP1133" t="s">
        <v>134</v>
      </c>
      <c r="BQ1133" t="s">
        <v>131</v>
      </c>
      <c r="BS1133" t="str">
        <f t="shared" si="81"/>
        <v>N/A</v>
      </c>
      <c r="BT1133" t="s">
        <v>135</v>
      </c>
      <c r="BU1133">
        <v>1</v>
      </c>
      <c r="BV1133" t="str">
        <f>"MAID/HOUSEKEEPER/HOUSEMAN"</f>
        <v>MAID/HOUSEKEEPER/HOUSEMAN</v>
      </c>
      <c r="BW1133" t="s">
        <v>131</v>
      </c>
      <c r="BX1133" t="str">
        <f>""</f>
        <v/>
      </c>
      <c r="BY1133" t="str">
        <f>""</f>
        <v/>
      </c>
      <c r="BZ1133" t="str">
        <f>""</f>
        <v/>
      </c>
      <c r="CA1133" t="str">
        <f>""</f>
        <v/>
      </c>
      <c r="CB1133" t="s">
        <v>131</v>
      </c>
      <c r="CF1133" t="s">
        <v>131</v>
      </c>
      <c r="CH1133" t="str">
        <f>""</f>
        <v/>
      </c>
      <c r="CI1133" t="s">
        <v>131</v>
      </c>
      <c r="CK1133" t="s">
        <v>131</v>
      </c>
      <c r="CL1133" t="str">
        <f>""</f>
        <v/>
      </c>
      <c r="CM1133" t="str">
        <f>""</f>
        <v/>
      </c>
      <c r="CN1133" t="str">
        <f>""</f>
        <v/>
      </c>
      <c r="CO1133" t="str">
        <f>""</f>
        <v/>
      </c>
      <c r="CP1133" t="str">
        <f>"37-2012.00"</f>
        <v>37-2012.00</v>
      </c>
      <c r="CQ1133" t="s">
        <v>479</v>
      </c>
      <c r="CR1133" t="s">
        <v>4277</v>
      </c>
      <c r="CS1133" t="s">
        <v>131</v>
      </c>
      <c r="CU1133" t="s">
        <v>7172</v>
      </c>
      <c r="CW1133" t="s">
        <v>7173</v>
      </c>
      <c r="CX1133" t="s">
        <v>195</v>
      </c>
      <c r="CZ1133" s="3" t="str">
        <f>"33767"</f>
        <v>33767</v>
      </c>
      <c r="DA1133" t="s">
        <v>135</v>
      </c>
      <c r="DB1133" t="str">
        <f>"37-2012"</f>
        <v>37-2012</v>
      </c>
      <c r="DC1133" t="s">
        <v>479</v>
      </c>
      <c r="DD1133" t="s">
        <v>134</v>
      </c>
      <c r="DE1133" t="s">
        <v>134</v>
      </c>
      <c r="DF1133" t="str">
        <f>""</f>
        <v/>
      </c>
      <c r="DH1133" s="6">
        <v>11.75</v>
      </c>
      <c r="DI1133" t="s">
        <v>344</v>
      </c>
      <c r="DK1133" t="s">
        <v>345</v>
      </c>
      <c r="DR1133" t="s">
        <v>7176</v>
      </c>
      <c r="DS1133" s="6">
        <v>11.75</v>
      </c>
      <c r="DT1133" t="s">
        <v>424</v>
      </c>
      <c r="DU1133" s="1">
        <v>44377</v>
      </c>
      <c r="DV1133" s="1">
        <v>44466</v>
      </c>
    </row>
    <row r="1134" spans="1:126" ht="15" customHeight="1" x14ac:dyDescent="0.35">
      <c r="A1134" t="s">
        <v>14317</v>
      </c>
      <c r="B1134" t="s">
        <v>318</v>
      </c>
      <c r="C1134" s="1">
        <v>44350</v>
      </c>
      <c r="D1134" s="1">
        <v>44377</v>
      </c>
      <c r="H1134" t="s">
        <v>319</v>
      </c>
      <c r="I1134" t="s">
        <v>1224</v>
      </c>
      <c r="J1134" t="s">
        <v>1225</v>
      </c>
      <c r="K1134" t="s">
        <v>134</v>
      </c>
      <c r="L1134" t="s">
        <v>1226</v>
      </c>
      <c r="M1134" t="s">
        <v>1227</v>
      </c>
      <c r="N1134" t="s">
        <v>1228</v>
      </c>
      <c r="O1134" t="s">
        <v>1229</v>
      </c>
      <c r="P1134" t="s">
        <v>412</v>
      </c>
      <c r="Q1134" s="3">
        <v>78266</v>
      </c>
      <c r="R1134" t="s">
        <v>128</v>
      </c>
      <c r="T1134" s="4">
        <v>18305844555</v>
      </c>
      <c r="V1134" t="s">
        <v>1230</v>
      </c>
      <c r="W1134" t="s">
        <v>1231</v>
      </c>
      <c r="Y1134" t="s">
        <v>1232</v>
      </c>
      <c r="AA1134" t="s">
        <v>1233</v>
      </c>
      <c r="AB1134" t="s">
        <v>1234</v>
      </c>
      <c r="AC1134" s="3" t="str">
        <f>"59405"</f>
        <v>59405</v>
      </c>
      <c r="AD1134" t="s">
        <v>128</v>
      </c>
      <c r="AF1134" s="4">
        <v>14064547645</v>
      </c>
      <c r="AH1134" t="str">
        <f>"484110"</f>
        <v>484110</v>
      </c>
      <c r="AI1134" t="s">
        <v>287</v>
      </c>
      <c r="AJ1134" t="s">
        <v>1224</v>
      </c>
      <c r="AK1134" t="s">
        <v>1225</v>
      </c>
      <c r="AL1134" t="s">
        <v>134</v>
      </c>
      <c r="AM1134" t="s">
        <v>1227</v>
      </c>
      <c r="AN1134" t="s">
        <v>1228</v>
      </c>
      <c r="AO1134" t="s">
        <v>1229</v>
      </c>
      <c r="AP1134" t="s">
        <v>400</v>
      </c>
      <c r="AQ1134" s="5">
        <v>78266</v>
      </c>
      <c r="AR1134" t="s">
        <v>128</v>
      </c>
      <c r="AT1134" s="4">
        <v>18305844555</v>
      </c>
      <c r="AV1134" t="s">
        <v>1235</v>
      </c>
      <c r="AW1134" t="s">
        <v>1236</v>
      </c>
      <c r="AX1134" t="s">
        <v>131</v>
      </c>
      <c r="AY1134" t="s">
        <v>131</v>
      </c>
      <c r="AZ1134" t="s">
        <v>131</v>
      </c>
      <c r="BA1134" t="s">
        <v>131</v>
      </c>
      <c r="BB1134" t="s">
        <v>131</v>
      </c>
      <c r="BC1134" t="s">
        <v>131</v>
      </c>
      <c r="BD1134" t="s">
        <v>131</v>
      </c>
      <c r="BE1134" t="s">
        <v>132</v>
      </c>
      <c r="BH1134" t="s">
        <v>3224</v>
      </c>
      <c r="BI1134" t="s">
        <v>131</v>
      </c>
      <c r="BL1134" t="s">
        <v>167</v>
      </c>
      <c r="BO1134" t="s">
        <v>131</v>
      </c>
      <c r="BP1134" t="s">
        <v>134</v>
      </c>
      <c r="BQ1134" t="s">
        <v>131</v>
      </c>
      <c r="BS1134" t="str">
        <f t="shared" si="81"/>
        <v>N/A</v>
      </c>
      <c r="BT1134" t="s">
        <v>135</v>
      </c>
      <c r="BU1134">
        <v>6</v>
      </c>
      <c r="BV1134" t="str">
        <f>"MAINTENANCE WORK"</f>
        <v>MAINTENANCE WORK</v>
      </c>
      <c r="BW1134" t="s">
        <v>131</v>
      </c>
      <c r="BX1134" t="str">
        <f>""</f>
        <v/>
      </c>
      <c r="BY1134" t="str">
        <f>""</f>
        <v/>
      </c>
      <c r="BZ1134" t="str">
        <f>""</f>
        <v/>
      </c>
      <c r="CA1134" t="str">
        <f>""</f>
        <v/>
      </c>
      <c r="CB1134" t="s">
        <v>131</v>
      </c>
      <c r="CF1134" t="s">
        <v>131</v>
      </c>
      <c r="CH1134" t="str">
        <f>""</f>
        <v/>
      </c>
      <c r="CI1134" t="s">
        <v>131</v>
      </c>
      <c r="CK1134" t="s">
        <v>131</v>
      </c>
      <c r="CL1134" t="str">
        <f>""</f>
        <v/>
      </c>
      <c r="CM1134" t="str">
        <f>""</f>
        <v/>
      </c>
      <c r="CN1134" t="str">
        <f>""</f>
        <v/>
      </c>
      <c r="CO1134" t="str">
        <f>""</f>
        <v/>
      </c>
      <c r="CP1134" t="str">
        <f>"49-9098.00"</f>
        <v>49-9098.00</v>
      </c>
      <c r="CQ1134" t="s">
        <v>1503</v>
      </c>
      <c r="CS1134" t="s">
        <v>131</v>
      </c>
      <c r="CU1134" t="s">
        <v>14318</v>
      </c>
      <c r="CW1134" t="s">
        <v>14319</v>
      </c>
      <c r="CX1134" t="s">
        <v>1243</v>
      </c>
      <c r="CZ1134" s="3" t="str">
        <f>"83211"</f>
        <v>83211</v>
      </c>
      <c r="DA1134" t="s">
        <v>131</v>
      </c>
      <c r="DB1134" t="str">
        <f>"49-9098"</f>
        <v>49-9098</v>
      </c>
      <c r="DC1134" t="s">
        <v>1503</v>
      </c>
      <c r="DD1134" t="s">
        <v>134</v>
      </c>
      <c r="DE1134" t="s">
        <v>134</v>
      </c>
      <c r="DF1134" t="str">
        <f>""</f>
        <v/>
      </c>
      <c r="DH1134" s="6">
        <v>15.83</v>
      </c>
      <c r="DI1134" t="s">
        <v>344</v>
      </c>
      <c r="DK1134" t="s">
        <v>345</v>
      </c>
      <c r="DS1134" s="6">
        <v>15.83</v>
      </c>
      <c r="DT1134" t="s">
        <v>424</v>
      </c>
      <c r="DU1134" s="1">
        <v>44377</v>
      </c>
      <c r="DV1134" s="1">
        <v>44466</v>
      </c>
    </row>
    <row r="1135" spans="1:126" ht="15" customHeight="1" x14ac:dyDescent="0.35">
      <c r="A1135" t="s">
        <v>3223</v>
      </c>
      <c r="B1135" t="s">
        <v>318</v>
      </c>
      <c r="C1135" s="1">
        <v>44350</v>
      </c>
      <c r="D1135" s="1">
        <v>44377</v>
      </c>
      <c r="H1135" t="s">
        <v>319</v>
      </c>
      <c r="I1135" t="s">
        <v>1224</v>
      </c>
      <c r="J1135" t="s">
        <v>1225</v>
      </c>
      <c r="K1135" t="s">
        <v>134</v>
      </c>
      <c r="L1135" t="s">
        <v>1226</v>
      </c>
      <c r="M1135" t="s">
        <v>1227</v>
      </c>
      <c r="N1135" t="s">
        <v>1228</v>
      </c>
      <c r="O1135" t="s">
        <v>1229</v>
      </c>
      <c r="P1135" t="s">
        <v>412</v>
      </c>
      <c r="Q1135" s="3">
        <v>78266</v>
      </c>
      <c r="R1135" t="s">
        <v>128</v>
      </c>
      <c r="T1135" s="4">
        <v>18305844555</v>
      </c>
      <c r="V1135" t="s">
        <v>1230</v>
      </c>
      <c r="W1135" t="s">
        <v>1231</v>
      </c>
      <c r="Y1135" t="s">
        <v>1232</v>
      </c>
      <c r="AA1135" t="s">
        <v>1233</v>
      </c>
      <c r="AB1135" t="s">
        <v>1234</v>
      </c>
      <c r="AC1135" s="3" t="str">
        <f>"59405"</f>
        <v>59405</v>
      </c>
      <c r="AD1135" t="s">
        <v>128</v>
      </c>
      <c r="AF1135" s="4">
        <v>14064547645</v>
      </c>
      <c r="AH1135" t="str">
        <f>"484110"</f>
        <v>484110</v>
      </c>
      <c r="AI1135" t="s">
        <v>287</v>
      </c>
      <c r="AJ1135" t="s">
        <v>1224</v>
      </c>
      <c r="AK1135" t="s">
        <v>1225</v>
      </c>
      <c r="AL1135" t="s">
        <v>134</v>
      </c>
      <c r="AM1135" t="s">
        <v>1227</v>
      </c>
      <c r="AN1135" t="s">
        <v>1228</v>
      </c>
      <c r="AO1135" t="s">
        <v>1229</v>
      </c>
      <c r="AP1135" t="s">
        <v>400</v>
      </c>
      <c r="AQ1135" s="5">
        <v>78266</v>
      </c>
      <c r="AR1135" t="s">
        <v>128</v>
      </c>
      <c r="AT1135" s="4">
        <v>18305844555</v>
      </c>
      <c r="AV1135" t="s">
        <v>1235</v>
      </c>
      <c r="AW1135" t="s">
        <v>1236</v>
      </c>
      <c r="AX1135" t="s">
        <v>131</v>
      </c>
      <c r="AY1135" t="s">
        <v>131</v>
      </c>
      <c r="AZ1135" t="s">
        <v>131</v>
      </c>
      <c r="BA1135" t="s">
        <v>131</v>
      </c>
      <c r="BB1135" t="s">
        <v>131</v>
      </c>
      <c r="BC1135" t="s">
        <v>131</v>
      </c>
      <c r="BD1135" t="s">
        <v>131</v>
      </c>
      <c r="BE1135" t="s">
        <v>132</v>
      </c>
      <c r="BH1135" t="s">
        <v>3224</v>
      </c>
      <c r="BI1135" t="s">
        <v>131</v>
      </c>
      <c r="BL1135" t="s">
        <v>167</v>
      </c>
      <c r="BO1135" t="s">
        <v>131</v>
      </c>
      <c r="BP1135" t="s">
        <v>134</v>
      </c>
      <c r="BQ1135" t="s">
        <v>131</v>
      </c>
      <c r="BS1135" t="str">
        <f t="shared" si="81"/>
        <v>N/A</v>
      </c>
      <c r="BT1135" t="s">
        <v>135</v>
      </c>
      <c r="BU1135">
        <v>6</v>
      </c>
      <c r="BV1135" t="str">
        <f>"MAINTENANCE WORK"</f>
        <v>MAINTENANCE WORK</v>
      </c>
      <c r="BW1135" t="s">
        <v>131</v>
      </c>
      <c r="BX1135" t="str">
        <f>""</f>
        <v/>
      </c>
      <c r="BY1135" t="str">
        <f>""</f>
        <v/>
      </c>
      <c r="BZ1135" t="str">
        <f>""</f>
        <v/>
      </c>
      <c r="CA1135" t="str">
        <f>""</f>
        <v/>
      </c>
      <c r="CB1135" t="s">
        <v>131</v>
      </c>
      <c r="CF1135" t="s">
        <v>131</v>
      </c>
      <c r="CH1135" t="str">
        <f>""</f>
        <v/>
      </c>
      <c r="CI1135" t="s">
        <v>131</v>
      </c>
      <c r="CK1135" t="s">
        <v>131</v>
      </c>
      <c r="CL1135" t="str">
        <f>""</f>
        <v/>
      </c>
      <c r="CM1135" t="str">
        <f>""</f>
        <v/>
      </c>
      <c r="CN1135" t="str">
        <f>""</f>
        <v/>
      </c>
      <c r="CO1135" t="str">
        <f>""</f>
        <v/>
      </c>
      <c r="CP1135" t="str">
        <f>"49-9098.00"</f>
        <v>49-9098.00</v>
      </c>
      <c r="CQ1135" t="s">
        <v>1503</v>
      </c>
      <c r="CS1135" t="s">
        <v>131</v>
      </c>
      <c r="CU1135" t="s">
        <v>3225</v>
      </c>
      <c r="CW1135" t="s">
        <v>1204</v>
      </c>
      <c r="CX1135" t="s">
        <v>1243</v>
      </c>
      <c r="CZ1135" s="3" t="str">
        <f>"83347"</f>
        <v>83347</v>
      </c>
      <c r="DA1135" t="s">
        <v>131</v>
      </c>
      <c r="DB1135" t="str">
        <f>"49-9098"</f>
        <v>49-9098</v>
      </c>
      <c r="DC1135" t="s">
        <v>1503</v>
      </c>
      <c r="DD1135" t="s">
        <v>134</v>
      </c>
      <c r="DE1135" t="s">
        <v>134</v>
      </c>
      <c r="DF1135" t="str">
        <f>""</f>
        <v/>
      </c>
      <c r="DH1135" s="6">
        <v>15.83</v>
      </c>
      <c r="DI1135" t="s">
        <v>344</v>
      </c>
      <c r="DK1135" t="s">
        <v>345</v>
      </c>
      <c r="DS1135" s="6">
        <v>15.83</v>
      </c>
      <c r="DT1135" t="s">
        <v>424</v>
      </c>
      <c r="DU1135" s="1">
        <v>44377</v>
      </c>
      <c r="DV1135" s="1">
        <v>44466</v>
      </c>
    </row>
    <row r="1136" spans="1:126" ht="15" customHeight="1" x14ac:dyDescent="0.35">
      <c r="A1136" t="s">
        <v>6754</v>
      </c>
      <c r="B1136" t="s">
        <v>318</v>
      </c>
      <c r="C1136" s="1">
        <v>44350</v>
      </c>
      <c r="D1136" s="1">
        <v>44377</v>
      </c>
      <c r="H1136" t="s">
        <v>319</v>
      </c>
      <c r="I1136" t="s">
        <v>4506</v>
      </c>
      <c r="J1136" t="s">
        <v>6755</v>
      </c>
      <c r="L1136" t="s">
        <v>6756</v>
      </c>
      <c r="M1136" t="s">
        <v>6757</v>
      </c>
      <c r="O1136" t="s">
        <v>4424</v>
      </c>
      <c r="P1136" t="s">
        <v>3898</v>
      </c>
      <c r="Q1136" s="3">
        <v>41014</v>
      </c>
      <c r="R1136" t="s">
        <v>128</v>
      </c>
      <c r="T1136" s="4">
        <v>15134798800</v>
      </c>
      <c r="V1136" t="s">
        <v>6758</v>
      </c>
      <c r="W1136" t="s">
        <v>6759</v>
      </c>
      <c r="Y1136" t="s">
        <v>6757</v>
      </c>
      <c r="AA1136" t="s">
        <v>4424</v>
      </c>
      <c r="AB1136" t="s">
        <v>2436</v>
      </c>
      <c r="AC1136" s="3" t="str">
        <f>"41014"</f>
        <v>41014</v>
      </c>
      <c r="AD1136" t="s">
        <v>128</v>
      </c>
      <c r="AF1136" s="4">
        <v>15134798800</v>
      </c>
      <c r="AH1136" t="str">
        <f>"238170"</f>
        <v>238170</v>
      </c>
      <c r="AI1136" t="s">
        <v>130</v>
      </c>
      <c r="AJ1136" t="s">
        <v>3901</v>
      </c>
      <c r="AK1136" t="s">
        <v>1487</v>
      </c>
      <c r="AL1136" t="s">
        <v>813</v>
      </c>
      <c r="AM1136" t="s">
        <v>3902</v>
      </c>
      <c r="AO1136" t="s">
        <v>712</v>
      </c>
      <c r="AP1136" t="s">
        <v>2436</v>
      </c>
      <c r="AQ1136" s="5">
        <v>40508</v>
      </c>
      <c r="AR1136" t="s">
        <v>128</v>
      </c>
      <c r="AT1136" s="4">
        <v>18592687705</v>
      </c>
      <c r="AV1136" t="s">
        <v>3903</v>
      </c>
      <c r="AW1136" t="s">
        <v>3904</v>
      </c>
      <c r="AX1136" t="s">
        <v>131</v>
      </c>
      <c r="AY1136" t="s">
        <v>131</v>
      </c>
      <c r="AZ1136" t="s">
        <v>131</v>
      </c>
      <c r="BA1136" t="s">
        <v>131</v>
      </c>
      <c r="BB1136" t="s">
        <v>131</v>
      </c>
      <c r="BC1136" t="s">
        <v>131</v>
      </c>
      <c r="BD1136" t="s">
        <v>131</v>
      </c>
      <c r="BE1136" t="s">
        <v>132</v>
      </c>
      <c r="BH1136" t="s">
        <v>5736</v>
      </c>
      <c r="BI1136" t="s">
        <v>131</v>
      </c>
      <c r="BL1136" t="s">
        <v>167</v>
      </c>
      <c r="BO1136" t="s">
        <v>131</v>
      </c>
      <c r="BP1136" t="s">
        <v>134</v>
      </c>
      <c r="BQ1136" t="s">
        <v>131</v>
      </c>
      <c r="BS1136" t="str">
        <f t="shared" si="81"/>
        <v>N/A</v>
      </c>
      <c r="BT1136" t="s">
        <v>131</v>
      </c>
      <c r="BV1136" t="str">
        <f>""</f>
        <v/>
      </c>
      <c r="BW1136" t="s">
        <v>131</v>
      </c>
      <c r="BX1136" t="str">
        <f>""</f>
        <v/>
      </c>
      <c r="BY1136" t="str">
        <f>""</f>
        <v/>
      </c>
      <c r="BZ1136" t="str">
        <f>""</f>
        <v/>
      </c>
      <c r="CA1136" t="str">
        <f>""</f>
        <v/>
      </c>
      <c r="CB1136" t="s">
        <v>131</v>
      </c>
      <c r="CF1136" t="s">
        <v>131</v>
      </c>
      <c r="CH1136" t="str">
        <f>""</f>
        <v/>
      </c>
      <c r="CI1136" t="s">
        <v>131</v>
      </c>
      <c r="CK1136" t="s">
        <v>131</v>
      </c>
      <c r="CL1136" t="str">
        <f>""</f>
        <v/>
      </c>
      <c r="CM1136" t="str">
        <f>""</f>
        <v/>
      </c>
      <c r="CN1136" t="str">
        <f>""</f>
        <v/>
      </c>
      <c r="CO1136" t="str">
        <f>""</f>
        <v/>
      </c>
      <c r="CP1136" t="str">
        <f>"49-9098.00"</f>
        <v>49-9098.00</v>
      </c>
      <c r="CQ1136" t="s">
        <v>1503</v>
      </c>
      <c r="CS1136" t="s">
        <v>135</v>
      </c>
      <c r="CT1136" t="s">
        <v>6760</v>
      </c>
      <c r="CU1136" t="s">
        <v>6757</v>
      </c>
      <c r="CW1136" t="s">
        <v>4424</v>
      </c>
      <c r="CX1136" t="s">
        <v>2436</v>
      </c>
      <c r="CZ1136" s="3" t="str">
        <f>"41014"</f>
        <v>41014</v>
      </c>
      <c r="DA1136" t="s">
        <v>135</v>
      </c>
      <c r="DB1136" t="str">
        <f>"49-9098"</f>
        <v>49-9098</v>
      </c>
      <c r="DC1136" t="s">
        <v>1503</v>
      </c>
      <c r="DD1136" t="s">
        <v>134</v>
      </c>
      <c r="DE1136" t="s">
        <v>134</v>
      </c>
      <c r="DF1136" t="str">
        <f>""</f>
        <v/>
      </c>
      <c r="DH1136" s="6">
        <v>16.13</v>
      </c>
      <c r="DI1136" t="s">
        <v>344</v>
      </c>
      <c r="DK1136" t="s">
        <v>345</v>
      </c>
      <c r="DS1136" s="6">
        <v>16.13</v>
      </c>
      <c r="DT1136" s="2" t="s">
        <v>347</v>
      </c>
      <c r="DU1136" s="1">
        <v>44377</v>
      </c>
      <c r="DV1136" s="1">
        <v>44466</v>
      </c>
    </row>
    <row r="1137" spans="1:126" ht="15" customHeight="1" x14ac:dyDescent="0.35">
      <c r="A1137" t="s">
        <v>18633</v>
      </c>
      <c r="B1137" t="s">
        <v>318</v>
      </c>
      <c r="C1137" s="1">
        <v>44350</v>
      </c>
      <c r="D1137" s="1">
        <v>44377</v>
      </c>
      <c r="H1137" t="s">
        <v>319</v>
      </c>
      <c r="I1137" t="s">
        <v>18634</v>
      </c>
      <c r="J1137" t="s">
        <v>1036</v>
      </c>
      <c r="K1137" t="s">
        <v>1253</v>
      </c>
      <c r="L1137" t="s">
        <v>1502</v>
      </c>
      <c r="M1137" t="s">
        <v>18635</v>
      </c>
      <c r="O1137" t="s">
        <v>18636</v>
      </c>
      <c r="P1137" t="s">
        <v>3898</v>
      </c>
      <c r="Q1137" s="3">
        <v>41076</v>
      </c>
      <c r="R1137" t="s">
        <v>128</v>
      </c>
      <c r="T1137" s="4">
        <v>18597818652</v>
      </c>
      <c r="V1137" t="s">
        <v>18637</v>
      </c>
      <c r="W1137" t="s">
        <v>18638</v>
      </c>
      <c r="Y1137" t="s">
        <v>18635</v>
      </c>
      <c r="AA1137" t="s">
        <v>18636</v>
      </c>
      <c r="AB1137" t="s">
        <v>2436</v>
      </c>
      <c r="AC1137" s="3" t="str">
        <f>"41076"</f>
        <v>41076</v>
      </c>
      <c r="AD1137" t="s">
        <v>128</v>
      </c>
      <c r="AF1137" s="4">
        <v>18597818652</v>
      </c>
      <c r="AH1137" t="str">
        <f>"561730"</f>
        <v>561730</v>
      </c>
      <c r="AI1137" t="s">
        <v>130</v>
      </c>
      <c r="AJ1137" t="s">
        <v>3901</v>
      </c>
      <c r="AK1137" t="s">
        <v>1487</v>
      </c>
      <c r="AL1137" t="s">
        <v>813</v>
      </c>
      <c r="AM1137" t="s">
        <v>3902</v>
      </c>
      <c r="AO1137" t="s">
        <v>712</v>
      </c>
      <c r="AP1137" t="s">
        <v>2436</v>
      </c>
      <c r="AQ1137" s="5">
        <v>40508</v>
      </c>
      <c r="AR1137" t="s">
        <v>128</v>
      </c>
      <c r="AT1137" s="4">
        <v>18592687705</v>
      </c>
      <c r="AV1137" t="s">
        <v>3903</v>
      </c>
      <c r="AW1137" t="s">
        <v>3904</v>
      </c>
      <c r="AX1137" t="s">
        <v>131</v>
      </c>
      <c r="AY1137" t="s">
        <v>131</v>
      </c>
      <c r="AZ1137" t="s">
        <v>131</v>
      </c>
      <c r="BA1137" t="s">
        <v>131</v>
      </c>
      <c r="BB1137" t="s">
        <v>131</v>
      </c>
      <c r="BC1137" t="s">
        <v>131</v>
      </c>
      <c r="BD1137" t="s">
        <v>131</v>
      </c>
      <c r="BE1137" t="s">
        <v>132</v>
      </c>
      <c r="BH1137" t="s">
        <v>18639</v>
      </c>
      <c r="BI1137" t="s">
        <v>131</v>
      </c>
      <c r="BL1137" t="s">
        <v>167</v>
      </c>
      <c r="BO1137" t="s">
        <v>131</v>
      </c>
      <c r="BP1137" t="s">
        <v>134</v>
      </c>
      <c r="BQ1137" t="s">
        <v>131</v>
      </c>
      <c r="BS1137" t="str">
        <f t="shared" si="81"/>
        <v>N/A</v>
      </c>
      <c r="BT1137" t="s">
        <v>131</v>
      </c>
      <c r="BV1137" t="str">
        <f>""</f>
        <v/>
      </c>
      <c r="BW1137" t="s">
        <v>131</v>
      </c>
      <c r="BX1137" t="str">
        <f>""</f>
        <v/>
      </c>
      <c r="BY1137" t="str">
        <f>""</f>
        <v/>
      </c>
      <c r="BZ1137" t="str">
        <f>""</f>
        <v/>
      </c>
      <c r="CA1137" t="str">
        <f>""</f>
        <v/>
      </c>
      <c r="CB1137" t="s">
        <v>131</v>
      </c>
      <c r="CF1137" t="s">
        <v>131</v>
      </c>
      <c r="CH1137" t="str">
        <f>""</f>
        <v/>
      </c>
      <c r="CI1137" t="s">
        <v>131</v>
      </c>
      <c r="CK1137" t="s">
        <v>131</v>
      </c>
      <c r="CL1137" t="str">
        <f>""</f>
        <v/>
      </c>
      <c r="CM1137" t="str">
        <f>""</f>
        <v/>
      </c>
      <c r="CN1137" t="str">
        <f>""</f>
        <v/>
      </c>
      <c r="CO1137" t="str">
        <f>""</f>
        <v/>
      </c>
      <c r="CP1137" t="str">
        <f>"37-3011.00"</f>
        <v>37-3011.00</v>
      </c>
      <c r="CQ1137" t="s">
        <v>920</v>
      </c>
      <c r="CS1137" t="s">
        <v>135</v>
      </c>
      <c r="CT1137" t="s">
        <v>18640</v>
      </c>
      <c r="CU1137" t="s">
        <v>18635</v>
      </c>
      <c r="CW1137" t="s">
        <v>18636</v>
      </c>
      <c r="CX1137" t="s">
        <v>2436</v>
      </c>
      <c r="CZ1137" s="3" t="str">
        <f>"41076"</f>
        <v>41076</v>
      </c>
      <c r="DA1137" t="s">
        <v>135</v>
      </c>
      <c r="DB1137" t="str">
        <f>"37-3011"</f>
        <v>37-3011</v>
      </c>
      <c r="DC1137" t="s">
        <v>920</v>
      </c>
      <c r="DD1137" t="s">
        <v>134</v>
      </c>
      <c r="DE1137" t="s">
        <v>134</v>
      </c>
      <c r="DF1137" t="str">
        <f>""</f>
        <v/>
      </c>
      <c r="DH1137" s="6">
        <v>14.88</v>
      </c>
      <c r="DI1137" t="s">
        <v>344</v>
      </c>
      <c r="DK1137" t="s">
        <v>345</v>
      </c>
      <c r="DS1137" s="6">
        <v>15.58</v>
      </c>
      <c r="DT1137" s="2" t="s">
        <v>347</v>
      </c>
      <c r="DU1137" s="1">
        <v>44377</v>
      </c>
      <c r="DV1137" s="1">
        <v>44466</v>
      </c>
    </row>
    <row r="1138" spans="1:126" ht="15" customHeight="1" x14ac:dyDescent="0.35">
      <c r="A1138" t="s">
        <v>3893</v>
      </c>
      <c r="B1138" t="s">
        <v>318</v>
      </c>
      <c r="C1138" s="1">
        <v>44350</v>
      </c>
      <c r="D1138" s="1">
        <v>44377</v>
      </c>
      <c r="H1138" t="s">
        <v>319</v>
      </c>
      <c r="I1138" t="s">
        <v>3894</v>
      </c>
      <c r="J1138" t="s">
        <v>3895</v>
      </c>
      <c r="K1138" t="s">
        <v>1253</v>
      </c>
      <c r="L1138" t="s">
        <v>1105</v>
      </c>
      <c r="M1138" t="s">
        <v>3896</v>
      </c>
      <c r="O1138" t="s">
        <v>3897</v>
      </c>
      <c r="P1138" t="s">
        <v>3898</v>
      </c>
      <c r="Q1138" s="3">
        <v>40330</v>
      </c>
      <c r="R1138" t="s">
        <v>128</v>
      </c>
      <c r="T1138" s="4">
        <v>18597344813</v>
      </c>
      <c r="V1138" t="s">
        <v>3899</v>
      </c>
      <c r="W1138" t="s">
        <v>3900</v>
      </c>
      <c r="Y1138" t="s">
        <v>3896</v>
      </c>
      <c r="AA1138" t="s">
        <v>3897</v>
      </c>
      <c r="AB1138" t="s">
        <v>2436</v>
      </c>
      <c r="AC1138" s="3" t="str">
        <f>"40330"</f>
        <v>40330</v>
      </c>
      <c r="AD1138" t="s">
        <v>128</v>
      </c>
      <c r="AF1138" s="4">
        <v>18597344813</v>
      </c>
      <c r="AH1138" t="str">
        <f>"332813"</f>
        <v>332813</v>
      </c>
      <c r="AI1138" t="s">
        <v>130</v>
      </c>
      <c r="AJ1138" t="s">
        <v>3901</v>
      </c>
      <c r="AK1138" t="s">
        <v>1487</v>
      </c>
      <c r="AL1138" t="s">
        <v>813</v>
      </c>
      <c r="AM1138" t="s">
        <v>3902</v>
      </c>
      <c r="AO1138" t="s">
        <v>712</v>
      </c>
      <c r="AP1138" t="s">
        <v>2436</v>
      </c>
      <c r="AQ1138" s="5">
        <v>40508</v>
      </c>
      <c r="AR1138" t="s">
        <v>128</v>
      </c>
      <c r="AT1138" s="4">
        <v>18592687705</v>
      </c>
      <c r="AV1138" t="s">
        <v>3903</v>
      </c>
      <c r="AW1138" t="s">
        <v>3904</v>
      </c>
      <c r="AX1138" t="s">
        <v>131</v>
      </c>
      <c r="AY1138" t="s">
        <v>131</v>
      </c>
      <c r="AZ1138" t="s">
        <v>131</v>
      </c>
      <c r="BA1138" t="s">
        <v>131</v>
      </c>
      <c r="BB1138" t="s">
        <v>131</v>
      </c>
      <c r="BC1138" t="s">
        <v>131</v>
      </c>
      <c r="BD1138" t="s">
        <v>131</v>
      </c>
      <c r="BE1138" t="s">
        <v>132</v>
      </c>
      <c r="BH1138" t="s">
        <v>2685</v>
      </c>
      <c r="BI1138" t="s">
        <v>131</v>
      </c>
      <c r="BL1138" t="s">
        <v>167</v>
      </c>
      <c r="BO1138" t="s">
        <v>131</v>
      </c>
      <c r="BP1138" t="s">
        <v>134</v>
      </c>
      <c r="BQ1138" t="s">
        <v>131</v>
      </c>
      <c r="BS1138" t="str">
        <f t="shared" si="81"/>
        <v>N/A</v>
      </c>
      <c r="BT1138" t="s">
        <v>131</v>
      </c>
      <c r="BV1138" t="str">
        <f>""</f>
        <v/>
      </c>
      <c r="BW1138" t="s">
        <v>131</v>
      </c>
      <c r="BX1138" t="str">
        <f>""</f>
        <v/>
      </c>
      <c r="BY1138" t="str">
        <f>""</f>
        <v/>
      </c>
      <c r="BZ1138" t="str">
        <f>""</f>
        <v/>
      </c>
      <c r="CA1138" t="str">
        <f>""</f>
        <v/>
      </c>
      <c r="CB1138" t="s">
        <v>131</v>
      </c>
      <c r="CF1138" t="s">
        <v>131</v>
      </c>
      <c r="CH1138" t="str">
        <f>""</f>
        <v/>
      </c>
      <c r="CI1138" t="s">
        <v>131</v>
      </c>
      <c r="CK1138" t="s">
        <v>131</v>
      </c>
      <c r="CL1138" t="str">
        <f>""</f>
        <v/>
      </c>
      <c r="CM1138" t="str">
        <f>""</f>
        <v/>
      </c>
      <c r="CN1138" t="str">
        <f>""</f>
        <v/>
      </c>
      <c r="CO1138" t="str">
        <f>""</f>
        <v/>
      </c>
      <c r="CP1138" t="str">
        <f>"51-9198.00"</f>
        <v>51-9198.00</v>
      </c>
      <c r="CQ1138" t="s">
        <v>2685</v>
      </c>
      <c r="CS1138" t="s">
        <v>131</v>
      </c>
      <c r="CU1138" t="s">
        <v>3896</v>
      </c>
      <c r="CW1138" t="s">
        <v>3897</v>
      </c>
      <c r="CX1138" t="s">
        <v>2436</v>
      </c>
      <c r="CZ1138" s="3" t="str">
        <f>"40330"</f>
        <v>40330</v>
      </c>
      <c r="DA1138" t="s">
        <v>131</v>
      </c>
      <c r="DB1138" t="str">
        <f>"51-9198"</f>
        <v>51-9198</v>
      </c>
      <c r="DC1138" t="s">
        <v>2685</v>
      </c>
      <c r="DD1138" t="s">
        <v>134</v>
      </c>
      <c r="DE1138" t="s">
        <v>134</v>
      </c>
      <c r="DF1138" t="str">
        <f>""</f>
        <v/>
      </c>
      <c r="DH1138" s="6">
        <v>18.97</v>
      </c>
      <c r="DI1138" t="s">
        <v>344</v>
      </c>
      <c r="DK1138" t="s">
        <v>345</v>
      </c>
      <c r="DS1138" s="6">
        <v>18.97</v>
      </c>
      <c r="DT1138" t="s">
        <v>424</v>
      </c>
      <c r="DU1138" s="1">
        <v>44377</v>
      </c>
      <c r="DV1138" s="1">
        <v>44466</v>
      </c>
    </row>
    <row r="1139" spans="1:126" ht="15" customHeight="1" x14ac:dyDescent="0.35">
      <c r="A1139" t="s">
        <v>7168</v>
      </c>
      <c r="B1139" t="s">
        <v>318</v>
      </c>
      <c r="C1139" s="1">
        <v>44350</v>
      </c>
      <c r="D1139" s="1">
        <v>44377</v>
      </c>
      <c r="H1139" t="s">
        <v>319</v>
      </c>
      <c r="I1139" t="s">
        <v>7169</v>
      </c>
      <c r="J1139" t="s">
        <v>7170</v>
      </c>
      <c r="L1139" t="s">
        <v>7171</v>
      </c>
      <c r="M1139" t="s">
        <v>7172</v>
      </c>
      <c r="O1139" t="s">
        <v>7173</v>
      </c>
      <c r="P1139" t="s">
        <v>194</v>
      </c>
      <c r="Q1139" s="3">
        <v>33767</v>
      </c>
      <c r="R1139" t="s">
        <v>128</v>
      </c>
      <c r="T1139" s="4">
        <v>16035592100</v>
      </c>
      <c r="V1139" t="s">
        <v>7174</v>
      </c>
      <c r="W1139" t="s">
        <v>7175</v>
      </c>
      <c r="Y1139" t="s">
        <v>7172</v>
      </c>
      <c r="AA1139" t="s">
        <v>7173</v>
      </c>
      <c r="AB1139" t="s">
        <v>195</v>
      </c>
      <c r="AC1139" s="3" t="str">
        <f>"33767"</f>
        <v>33767</v>
      </c>
      <c r="AD1139" t="s">
        <v>128</v>
      </c>
      <c r="AF1139" s="4">
        <v>13055592100</v>
      </c>
      <c r="AH1139" t="str">
        <f>"72111"</f>
        <v>72111</v>
      </c>
      <c r="AI1139" t="s">
        <v>167</v>
      </c>
      <c r="AX1139" t="s">
        <v>131</v>
      </c>
      <c r="AY1139" t="s">
        <v>131</v>
      </c>
      <c r="AZ1139" t="s">
        <v>131</v>
      </c>
      <c r="BA1139" t="s">
        <v>131</v>
      </c>
      <c r="BB1139" t="s">
        <v>131</v>
      </c>
      <c r="BC1139" t="s">
        <v>131</v>
      </c>
      <c r="BD1139" t="s">
        <v>131</v>
      </c>
      <c r="BE1139" t="s">
        <v>132</v>
      </c>
      <c r="BH1139" t="s">
        <v>3930</v>
      </c>
      <c r="BI1139" t="s">
        <v>131</v>
      </c>
      <c r="BL1139" t="s">
        <v>167</v>
      </c>
      <c r="BO1139" t="s">
        <v>131</v>
      </c>
      <c r="BP1139" t="s">
        <v>134</v>
      </c>
      <c r="BQ1139" t="s">
        <v>131</v>
      </c>
      <c r="BS1139" t="str">
        <f t="shared" si="81"/>
        <v>N/A</v>
      </c>
      <c r="BT1139" t="s">
        <v>135</v>
      </c>
      <c r="BU1139">
        <v>1</v>
      </c>
      <c r="BV1139" t="str">
        <f>"COOK"</f>
        <v>COOK</v>
      </c>
      <c r="BW1139" t="s">
        <v>131</v>
      </c>
      <c r="BX1139" t="str">
        <f>""</f>
        <v/>
      </c>
      <c r="BY1139" t="str">
        <f>""</f>
        <v/>
      </c>
      <c r="BZ1139" t="str">
        <f>""</f>
        <v/>
      </c>
      <c r="CA1139" t="str">
        <f>""</f>
        <v/>
      </c>
      <c r="CB1139" t="s">
        <v>131</v>
      </c>
      <c r="CF1139" t="s">
        <v>131</v>
      </c>
      <c r="CH1139" t="str">
        <f>""</f>
        <v/>
      </c>
      <c r="CI1139" t="s">
        <v>131</v>
      </c>
      <c r="CK1139" t="s">
        <v>131</v>
      </c>
      <c r="CL1139" t="str">
        <f>""</f>
        <v/>
      </c>
      <c r="CM1139" t="str">
        <f>""</f>
        <v/>
      </c>
      <c r="CN1139" t="str">
        <f>""</f>
        <v/>
      </c>
      <c r="CO1139" t="str">
        <f>""</f>
        <v/>
      </c>
      <c r="CP1139" t="str">
        <f>"35-2014.00"</f>
        <v>35-2014.00</v>
      </c>
      <c r="CQ1139" t="s">
        <v>581</v>
      </c>
      <c r="CR1139" t="s">
        <v>3930</v>
      </c>
      <c r="CS1139" t="s">
        <v>131</v>
      </c>
      <c r="CU1139" t="s">
        <v>7172</v>
      </c>
      <c r="CW1139" t="s">
        <v>7173</v>
      </c>
      <c r="CX1139" t="s">
        <v>195</v>
      </c>
      <c r="CZ1139" s="3" t="str">
        <f>"33767"</f>
        <v>33767</v>
      </c>
      <c r="DA1139" t="s">
        <v>135</v>
      </c>
      <c r="DB1139" t="str">
        <f>"35-2014"</f>
        <v>35-2014</v>
      </c>
      <c r="DC1139" t="s">
        <v>581</v>
      </c>
      <c r="DD1139" t="s">
        <v>134</v>
      </c>
      <c r="DE1139" t="s">
        <v>134</v>
      </c>
      <c r="DF1139" t="str">
        <f>""</f>
        <v/>
      </c>
      <c r="DH1139" s="6">
        <v>12.79</v>
      </c>
      <c r="DI1139" t="s">
        <v>344</v>
      </c>
      <c r="DK1139" t="s">
        <v>345</v>
      </c>
      <c r="DR1139" t="s">
        <v>7176</v>
      </c>
      <c r="DS1139" s="6">
        <v>12.79</v>
      </c>
      <c r="DT1139" t="s">
        <v>424</v>
      </c>
      <c r="DU1139" s="1">
        <v>44377</v>
      </c>
      <c r="DV1139" s="1">
        <v>44466</v>
      </c>
    </row>
    <row r="1140" spans="1:126" ht="15" customHeight="1" x14ac:dyDescent="0.35">
      <c r="A1140" t="s">
        <v>11454</v>
      </c>
      <c r="B1140" t="s">
        <v>318</v>
      </c>
      <c r="C1140" s="1">
        <v>44350</v>
      </c>
      <c r="D1140" s="1">
        <v>44377</v>
      </c>
      <c r="H1140" t="s">
        <v>319</v>
      </c>
      <c r="I1140" t="s">
        <v>4633</v>
      </c>
      <c r="J1140" t="s">
        <v>3519</v>
      </c>
      <c r="K1140" t="s">
        <v>1253</v>
      </c>
      <c r="L1140" t="s">
        <v>1105</v>
      </c>
      <c r="M1140" t="s">
        <v>11455</v>
      </c>
      <c r="O1140" t="s">
        <v>712</v>
      </c>
      <c r="P1140" t="s">
        <v>3898</v>
      </c>
      <c r="Q1140" s="3">
        <v>40508</v>
      </c>
      <c r="R1140" t="s">
        <v>128</v>
      </c>
      <c r="T1140" s="4">
        <v>18595233700</v>
      </c>
      <c r="V1140" t="s">
        <v>11456</v>
      </c>
      <c r="W1140" t="s">
        <v>11457</v>
      </c>
      <c r="Y1140" t="s">
        <v>11455</v>
      </c>
      <c r="AA1140" t="s">
        <v>712</v>
      </c>
      <c r="AB1140" t="s">
        <v>2436</v>
      </c>
      <c r="AC1140" s="3" t="str">
        <f>"40508"</f>
        <v>40508</v>
      </c>
      <c r="AD1140" t="s">
        <v>128</v>
      </c>
      <c r="AF1140" s="4">
        <v>18595233700</v>
      </c>
      <c r="AH1140" t="str">
        <f>"72251"</f>
        <v>72251</v>
      </c>
      <c r="AI1140" t="s">
        <v>130</v>
      </c>
      <c r="AJ1140" t="s">
        <v>3901</v>
      </c>
      <c r="AK1140" t="s">
        <v>1487</v>
      </c>
      <c r="AL1140" t="s">
        <v>813</v>
      </c>
      <c r="AM1140" t="s">
        <v>3902</v>
      </c>
      <c r="AO1140" t="s">
        <v>712</v>
      </c>
      <c r="AP1140" t="s">
        <v>2436</v>
      </c>
      <c r="AQ1140" s="5">
        <v>40508</v>
      </c>
      <c r="AR1140" t="s">
        <v>128</v>
      </c>
      <c r="AT1140" s="4">
        <v>18592687705</v>
      </c>
      <c r="AV1140" t="s">
        <v>3903</v>
      </c>
      <c r="AW1140" t="s">
        <v>3904</v>
      </c>
      <c r="AX1140" t="s">
        <v>131</v>
      </c>
      <c r="AY1140" t="s">
        <v>131</v>
      </c>
      <c r="AZ1140" t="s">
        <v>131</v>
      </c>
      <c r="BA1140" t="s">
        <v>131</v>
      </c>
      <c r="BB1140" t="s">
        <v>131</v>
      </c>
      <c r="BC1140" t="s">
        <v>131</v>
      </c>
      <c r="BD1140" t="s">
        <v>131</v>
      </c>
      <c r="BE1140" t="s">
        <v>132</v>
      </c>
      <c r="BH1140" t="s">
        <v>11458</v>
      </c>
      <c r="BI1140" t="s">
        <v>131</v>
      </c>
      <c r="BL1140" t="s">
        <v>167</v>
      </c>
      <c r="BO1140" t="s">
        <v>131</v>
      </c>
      <c r="BP1140" t="s">
        <v>134</v>
      </c>
      <c r="BQ1140" t="s">
        <v>131</v>
      </c>
      <c r="BS1140" t="str">
        <f t="shared" si="81"/>
        <v>N/A</v>
      </c>
      <c r="BT1140" t="s">
        <v>131</v>
      </c>
      <c r="BV1140" t="str">
        <f>""</f>
        <v/>
      </c>
      <c r="BW1140" t="s">
        <v>131</v>
      </c>
      <c r="BX1140" t="str">
        <f>""</f>
        <v/>
      </c>
      <c r="BY1140" t="str">
        <f>""</f>
        <v/>
      </c>
      <c r="BZ1140" t="str">
        <f>""</f>
        <v/>
      </c>
      <c r="CA1140" t="str">
        <f>""</f>
        <v/>
      </c>
      <c r="CB1140" t="s">
        <v>131</v>
      </c>
      <c r="CF1140" t="s">
        <v>131</v>
      </c>
      <c r="CH1140" t="str">
        <f>""</f>
        <v/>
      </c>
      <c r="CI1140" t="s">
        <v>131</v>
      </c>
      <c r="CK1140" t="s">
        <v>131</v>
      </c>
      <c r="CL1140" t="str">
        <f>""</f>
        <v/>
      </c>
      <c r="CM1140" t="str">
        <f>""</f>
        <v/>
      </c>
      <c r="CN1140" t="str">
        <f>""</f>
        <v/>
      </c>
      <c r="CO1140" t="str">
        <f>""</f>
        <v/>
      </c>
      <c r="CP1140" t="str">
        <f>"35-3021.00"</f>
        <v>35-3021.00</v>
      </c>
      <c r="CQ1140" t="s">
        <v>2581</v>
      </c>
      <c r="CS1140" t="s">
        <v>131</v>
      </c>
      <c r="CU1140" t="s">
        <v>11459</v>
      </c>
      <c r="CW1140" t="s">
        <v>712</v>
      </c>
      <c r="CX1140" t="s">
        <v>2436</v>
      </c>
      <c r="CZ1140" s="3" t="str">
        <f>"40508"</f>
        <v>40508</v>
      </c>
      <c r="DA1140" t="s">
        <v>131</v>
      </c>
      <c r="DB1140" t="str">
        <f>"35-3021"</f>
        <v>35-3021</v>
      </c>
      <c r="DC1140" t="s">
        <v>2581</v>
      </c>
      <c r="DD1140" t="s">
        <v>134</v>
      </c>
      <c r="DE1140" t="s">
        <v>134</v>
      </c>
      <c r="DF1140" t="str">
        <f>""</f>
        <v/>
      </c>
      <c r="DH1140" s="6">
        <v>9.7200000000000006</v>
      </c>
      <c r="DI1140" t="s">
        <v>344</v>
      </c>
      <c r="DK1140" t="s">
        <v>345</v>
      </c>
      <c r="DS1140" s="6">
        <v>9.7200000000000006</v>
      </c>
      <c r="DT1140" t="s">
        <v>424</v>
      </c>
      <c r="DU1140" s="1">
        <v>44377</v>
      </c>
      <c r="DV1140" s="1">
        <v>44466</v>
      </c>
    </row>
    <row r="1141" spans="1:126" ht="15" customHeight="1" x14ac:dyDescent="0.35">
      <c r="A1141" t="s">
        <v>7226</v>
      </c>
      <c r="B1141" t="s">
        <v>318</v>
      </c>
      <c r="C1141" s="1">
        <v>44350</v>
      </c>
      <c r="D1141" s="1">
        <v>44377</v>
      </c>
      <c r="H1141" t="s">
        <v>319</v>
      </c>
      <c r="I1141" t="s">
        <v>7169</v>
      </c>
      <c r="J1141" t="s">
        <v>7170</v>
      </c>
      <c r="L1141" t="s">
        <v>6383</v>
      </c>
      <c r="M1141" t="s">
        <v>7172</v>
      </c>
      <c r="O1141" t="s">
        <v>7173</v>
      </c>
      <c r="P1141" t="s">
        <v>194</v>
      </c>
      <c r="Q1141" s="3">
        <v>33767</v>
      </c>
      <c r="R1141" t="s">
        <v>128</v>
      </c>
      <c r="T1141" s="4">
        <v>16035592100</v>
      </c>
      <c r="V1141" t="s">
        <v>7174</v>
      </c>
      <c r="W1141" t="s">
        <v>7175</v>
      </c>
      <c r="Y1141" t="s">
        <v>7172</v>
      </c>
      <c r="AA1141" t="s">
        <v>7173</v>
      </c>
      <c r="AB1141" t="s">
        <v>195</v>
      </c>
      <c r="AC1141" s="3" t="str">
        <f>"33767"</f>
        <v>33767</v>
      </c>
      <c r="AD1141" t="s">
        <v>128</v>
      </c>
      <c r="AF1141" s="4">
        <v>16035592100</v>
      </c>
      <c r="AH1141" t="str">
        <f>"72111"</f>
        <v>72111</v>
      </c>
      <c r="AI1141" t="s">
        <v>167</v>
      </c>
      <c r="AX1141" t="s">
        <v>131</v>
      </c>
      <c r="AY1141" t="s">
        <v>131</v>
      </c>
      <c r="AZ1141" t="s">
        <v>131</v>
      </c>
      <c r="BA1141" t="s">
        <v>131</v>
      </c>
      <c r="BB1141" t="s">
        <v>131</v>
      </c>
      <c r="BC1141" t="s">
        <v>131</v>
      </c>
      <c r="BD1141" t="s">
        <v>131</v>
      </c>
      <c r="BE1141" t="s">
        <v>132</v>
      </c>
      <c r="BH1141" t="s">
        <v>4855</v>
      </c>
      <c r="BI1141" t="s">
        <v>131</v>
      </c>
      <c r="BL1141" t="s">
        <v>167</v>
      </c>
      <c r="BO1141" t="s">
        <v>131</v>
      </c>
      <c r="BP1141" t="s">
        <v>134</v>
      </c>
      <c r="BQ1141" t="s">
        <v>131</v>
      </c>
      <c r="BS1141" t="str">
        <f t="shared" si="81"/>
        <v>N/A</v>
      </c>
      <c r="BT1141" t="s">
        <v>135</v>
      </c>
      <c r="BU1141">
        <v>1</v>
      </c>
      <c r="BV1141" t="str">
        <f>"DISHWASHER"</f>
        <v>DISHWASHER</v>
      </c>
      <c r="BW1141" t="s">
        <v>131</v>
      </c>
      <c r="BX1141" t="str">
        <f>""</f>
        <v/>
      </c>
      <c r="BY1141" t="str">
        <f>""</f>
        <v/>
      </c>
      <c r="BZ1141" t="str">
        <f>""</f>
        <v/>
      </c>
      <c r="CA1141" t="str">
        <f>""</f>
        <v/>
      </c>
      <c r="CB1141" t="s">
        <v>131</v>
      </c>
      <c r="CF1141" t="s">
        <v>131</v>
      </c>
      <c r="CH1141" t="str">
        <f>""</f>
        <v/>
      </c>
      <c r="CI1141" t="s">
        <v>131</v>
      </c>
      <c r="CK1141" t="s">
        <v>131</v>
      </c>
      <c r="CL1141" t="str">
        <f>""</f>
        <v/>
      </c>
      <c r="CM1141" t="str">
        <f>""</f>
        <v/>
      </c>
      <c r="CN1141" t="str">
        <f>""</f>
        <v/>
      </c>
      <c r="CO1141" t="str">
        <f>""</f>
        <v/>
      </c>
      <c r="CP1141" t="str">
        <f>"35-9021.00"</f>
        <v>35-9021.00</v>
      </c>
      <c r="CQ1141" t="s">
        <v>2552</v>
      </c>
      <c r="CR1141" t="s">
        <v>4855</v>
      </c>
      <c r="CS1141" t="s">
        <v>131</v>
      </c>
      <c r="CU1141" t="s">
        <v>7172</v>
      </c>
      <c r="CW1141" t="s">
        <v>7173</v>
      </c>
      <c r="CX1141" t="s">
        <v>195</v>
      </c>
      <c r="CZ1141" s="3" t="str">
        <f>"33767"</f>
        <v>33767</v>
      </c>
      <c r="DA1141" t="s">
        <v>135</v>
      </c>
      <c r="DB1141" t="str">
        <f>"35-9021"</f>
        <v>35-9021</v>
      </c>
      <c r="DC1141" t="s">
        <v>2552</v>
      </c>
      <c r="DD1141" t="s">
        <v>134</v>
      </c>
      <c r="DE1141" t="s">
        <v>134</v>
      </c>
      <c r="DF1141" t="str">
        <f>""</f>
        <v/>
      </c>
      <c r="DH1141" s="6">
        <v>10.62</v>
      </c>
      <c r="DI1141" t="s">
        <v>344</v>
      </c>
      <c r="DK1141" t="s">
        <v>345</v>
      </c>
      <c r="DR1141" t="s">
        <v>7176</v>
      </c>
      <c r="DS1141" s="6">
        <v>10.62</v>
      </c>
      <c r="DT1141" t="s">
        <v>424</v>
      </c>
      <c r="DU1141" s="1">
        <v>44377</v>
      </c>
      <c r="DV1141" s="1">
        <v>44466</v>
      </c>
    </row>
    <row r="1142" spans="1:126" ht="15" customHeight="1" x14ac:dyDescent="0.35">
      <c r="A1142" t="s">
        <v>16137</v>
      </c>
      <c r="B1142" t="s">
        <v>318</v>
      </c>
      <c r="C1142" s="1">
        <v>44350</v>
      </c>
      <c r="D1142" s="1">
        <v>44377</v>
      </c>
      <c r="H1142" t="s">
        <v>319</v>
      </c>
      <c r="I1142" t="s">
        <v>1224</v>
      </c>
      <c r="J1142" t="s">
        <v>1225</v>
      </c>
      <c r="K1142" t="s">
        <v>134</v>
      </c>
      <c r="L1142" t="s">
        <v>1226</v>
      </c>
      <c r="M1142" t="s">
        <v>1227</v>
      </c>
      <c r="N1142" t="s">
        <v>1228</v>
      </c>
      <c r="O1142" t="s">
        <v>1229</v>
      </c>
      <c r="P1142" t="s">
        <v>412</v>
      </c>
      <c r="Q1142" s="3">
        <v>78266</v>
      </c>
      <c r="R1142" t="s">
        <v>128</v>
      </c>
      <c r="T1142" s="4">
        <v>18305844555</v>
      </c>
      <c r="V1142" t="s">
        <v>1230</v>
      </c>
      <c r="W1142" t="s">
        <v>1231</v>
      </c>
      <c r="Y1142" t="s">
        <v>1232</v>
      </c>
      <c r="AA1142" t="s">
        <v>1233</v>
      </c>
      <c r="AB1142" t="s">
        <v>1234</v>
      </c>
      <c r="AC1142" s="3" t="str">
        <f>"59405"</f>
        <v>59405</v>
      </c>
      <c r="AD1142" t="s">
        <v>128</v>
      </c>
      <c r="AF1142" s="4">
        <v>14064547645</v>
      </c>
      <c r="AH1142" t="str">
        <f>"484110"</f>
        <v>484110</v>
      </c>
      <c r="AI1142" t="s">
        <v>287</v>
      </c>
      <c r="AJ1142" t="s">
        <v>1224</v>
      </c>
      <c r="AK1142" t="s">
        <v>1225</v>
      </c>
      <c r="AL1142" t="s">
        <v>134</v>
      </c>
      <c r="AM1142" t="s">
        <v>1227</v>
      </c>
      <c r="AN1142" t="s">
        <v>1228</v>
      </c>
      <c r="AO1142" t="s">
        <v>1229</v>
      </c>
      <c r="AP1142" t="s">
        <v>400</v>
      </c>
      <c r="AQ1142" s="5">
        <v>78266</v>
      </c>
      <c r="AR1142" t="s">
        <v>128</v>
      </c>
      <c r="AT1142" s="4">
        <v>18305844555</v>
      </c>
      <c r="AV1142" t="s">
        <v>1235</v>
      </c>
      <c r="AW1142" t="s">
        <v>1236</v>
      </c>
      <c r="AX1142" t="s">
        <v>131</v>
      </c>
      <c r="AY1142" t="s">
        <v>131</v>
      </c>
      <c r="AZ1142" t="s">
        <v>131</v>
      </c>
      <c r="BA1142" t="s">
        <v>131</v>
      </c>
      <c r="BB1142" t="s">
        <v>131</v>
      </c>
      <c r="BC1142" t="s">
        <v>131</v>
      </c>
      <c r="BD1142" t="s">
        <v>131</v>
      </c>
      <c r="BE1142" t="s">
        <v>132</v>
      </c>
      <c r="BH1142" t="s">
        <v>3224</v>
      </c>
      <c r="BI1142" t="s">
        <v>131</v>
      </c>
      <c r="BL1142" t="s">
        <v>167</v>
      </c>
      <c r="BO1142" t="s">
        <v>131</v>
      </c>
      <c r="BP1142" t="s">
        <v>134</v>
      </c>
      <c r="BQ1142" t="s">
        <v>131</v>
      </c>
      <c r="BS1142" t="str">
        <f t="shared" si="81"/>
        <v>N/A</v>
      </c>
      <c r="BT1142" t="s">
        <v>135</v>
      </c>
      <c r="BU1142">
        <v>6</v>
      </c>
      <c r="BV1142" t="str">
        <f>"MAINTENANCE WORK"</f>
        <v>MAINTENANCE WORK</v>
      </c>
      <c r="BW1142" t="s">
        <v>131</v>
      </c>
      <c r="BX1142" t="str">
        <f>""</f>
        <v/>
      </c>
      <c r="BY1142" t="str">
        <f>""</f>
        <v/>
      </c>
      <c r="BZ1142" t="str">
        <f>""</f>
        <v/>
      </c>
      <c r="CA1142" t="str">
        <f>""</f>
        <v/>
      </c>
      <c r="CB1142" t="s">
        <v>131</v>
      </c>
      <c r="CF1142" t="s">
        <v>131</v>
      </c>
      <c r="CH1142" t="str">
        <f>""</f>
        <v/>
      </c>
      <c r="CI1142" t="s">
        <v>131</v>
      </c>
      <c r="CK1142" t="s">
        <v>131</v>
      </c>
      <c r="CL1142" t="str">
        <f>""</f>
        <v/>
      </c>
      <c r="CM1142" t="str">
        <f>""</f>
        <v/>
      </c>
      <c r="CN1142" t="str">
        <f>""</f>
        <v/>
      </c>
      <c r="CO1142" t="str">
        <f>""</f>
        <v/>
      </c>
      <c r="CP1142" t="str">
        <f>"49-9098.00"</f>
        <v>49-9098.00</v>
      </c>
      <c r="CQ1142" t="s">
        <v>1503</v>
      </c>
      <c r="CS1142" t="s">
        <v>131</v>
      </c>
      <c r="CU1142" t="s">
        <v>16138</v>
      </c>
      <c r="CW1142" t="s">
        <v>4613</v>
      </c>
      <c r="CX1142" t="s">
        <v>2870</v>
      </c>
      <c r="CZ1142" s="3" t="str">
        <f>"58225"</f>
        <v>58225</v>
      </c>
      <c r="DA1142" t="s">
        <v>131</v>
      </c>
      <c r="DB1142" t="str">
        <f>"49-9098"</f>
        <v>49-9098</v>
      </c>
      <c r="DC1142" t="s">
        <v>1503</v>
      </c>
      <c r="DD1142" t="s">
        <v>134</v>
      </c>
      <c r="DE1142" t="s">
        <v>134</v>
      </c>
      <c r="DF1142" t="str">
        <f>""</f>
        <v/>
      </c>
      <c r="DH1142" s="6">
        <v>16.36</v>
      </c>
      <c r="DI1142" t="s">
        <v>344</v>
      </c>
      <c r="DK1142" t="s">
        <v>345</v>
      </c>
      <c r="DS1142" s="6">
        <v>16.36</v>
      </c>
      <c r="DT1142" t="s">
        <v>424</v>
      </c>
      <c r="DU1142" s="1">
        <v>44377</v>
      </c>
      <c r="DV1142" s="1">
        <v>44466</v>
      </c>
    </row>
    <row r="1143" spans="1:126" ht="15" customHeight="1" x14ac:dyDescent="0.35">
      <c r="A1143" t="s">
        <v>14622</v>
      </c>
      <c r="B1143" t="s">
        <v>318</v>
      </c>
      <c r="C1143" s="1">
        <v>44350</v>
      </c>
      <c r="D1143" s="1">
        <v>44377</v>
      </c>
      <c r="H1143" t="s">
        <v>319</v>
      </c>
      <c r="I1143" t="s">
        <v>14033</v>
      </c>
      <c r="J1143" t="s">
        <v>705</v>
      </c>
      <c r="L1143" t="s">
        <v>7887</v>
      </c>
      <c r="M1143" t="s">
        <v>14034</v>
      </c>
      <c r="N1143" t="s">
        <v>14623</v>
      </c>
      <c r="O1143" t="s">
        <v>11475</v>
      </c>
      <c r="P1143" t="s">
        <v>311</v>
      </c>
      <c r="Q1143" s="3">
        <v>19090</v>
      </c>
      <c r="R1143" t="s">
        <v>128</v>
      </c>
      <c r="T1143" s="4">
        <v>18002488733</v>
      </c>
      <c r="V1143" t="s">
        <v>134</v>
      </c>
      <c r="W1143" t="s">
        <v>14624</v>
      </c>
      <c r="Y1143" t="s">
        <v>14034</v>
      </c>
      <c r="Z1143" t="s">
        <v>14623</v>
      </c>
      <c r="AA1143" t="s">
        <v>11475</v>
      </c>
      <c r="AB1143" t="s">
        <v>312</v>
      </c>
      <c r="AC1143" s="3" t="str">
        <f>"19090"</f>
        <v>19090</v>
      </c>
      <c r="AD1143" t="s">
        <v>128</v>
      </c>
      <c r="AF1143" s="4">
        <v>18002488733</v>
      </c>
      <c r="AH1143" t="str">
        <f>"56173"</f>
        <v>56173</v>
      </c>
      <c r="AI1143" t="s">
        <v>287</v>
      </c>
      <c r="AJ1143" t="s">
        <v>2917</v>
      </c>
      <c r="AK1143" t="s">
        <v>2918</v>
      </c>
      <c r="AL1143" t="s">
        <v>610</v>
      </c>
      <c r="AM1143" t="s">
        <v>2919</v>
      </c>
      <c r="AN1143" t="s">
        <v>2920</v>
      </c>
      <c r="AO1143" t="s">
        <v>2921</v>
      </c>
      <c r="AP1143" t="s">
        <v>306</v>
      </c>
      <c r="AQ1143" s="5">
        <v>22949</v>
      </c>
      <c r="AR1143" t="s">
        <v>128</v>
      </c>
      <c r="AT1143" s="4">
        <v>14342634300</v>
      </c>
      <c r="AV1143" t="s">
        <v>5233</v>
      </c>
      <c r="AW1143" t="s">
        <v>2923</v>
      </c>
      <c r="AX1143" t="s">
        <v>131</v>
      </c>
      <c r="AY1143" t="s">
        <v>131</v>
      </c>
      <c r="AZ1143" t="s">
        <v>131</v>
      </c>
      <c r="BA1143" t="s">
        <v>131</v>
      </c>
      <c r="BB1143" t="s">
        <v>131</v>
      </c>
      <c r="BC1143" t="s">
        <v>131</v>
      </c>
      <c r="BD1143" t="s">
        <v>131</v>
      </c>
      <c r="BE1143" t="s">
        <v>132</v>
      </c>
      <c r="BH1143" t="s">
        <v>14037</v>
      </c>
      <c r="BI1143" t="s">
        <v>131</v>
      </c>
      <c r="BL1143" t="s">
        <v>167</v>
      </c>
      <c r="BO1143" t="s">
        <v>131</v>
      </c>
      <c r="BP1143" t="s">
        <v>134</v>
      </c>
      <c r="BQ1143" t="s">
        <v>131</v>
      </c>
      <c r="BS1143" t="str">
        <f t="shared" si="81"/>
        <v>N/A</v>
      </c>
      <c r="BT1143" t="s">
        <v>135</v>
      </c>
      <c r="BU1143">
        <v>6</v>
      </c>
      <c r="BV1143" t="str">
        <f>"Requires six  months  of tree trimming/climbing experience."</f>
        <v>Requires six  months  of tree trimming/climbing experience.</v>
      </c>
      <c r="BW1143" t="s">
        <v>135</v>
      </c>
      <c r="BX1143" t="str">
        <f>""</f>
        <v/>
      </c>
      <c r="BY1143" t="str">
        <f>""</f>
        <v/>
      </c>
      <c r="BZ1143" t="str">
        <f>""</f>
        <v/>
      </c>
      <c r="CA1143" t="s">
        <v>9887</v>
      </c>
      <c r="CB1143" t="s">
        <v>131</v>
      </c>
      <c r="CF1143" t="s">
        <v>131</v>
      </c>
      <c r="CH1143" t="str">
        <f>""</f>
        <v/>
      </c>
      <c r="CI1143" t="s">
        <v>131</v>
      </c>
      <c r="CK1143" t="s">
        <v>131</v>
      </c>
      <c r="CL1143" t="str">
        <f>""</f>
        <v/>
      </c>
      <c r="CM1143" t="str">
        <f>""</f>
        <v/>
      </c>
      <c r="CN1143" t="str">
        <f>""</f>
        <v/>
      </c>
      <c r="CO1143" t="str">
        <f>""</f>
        <v/>
      </c>
      <c r="CP1143" t="str">
        <f>"37-3013.00"</f>
        <v>37-3013.00</v>
      </c>
      <c r="CQ1143" t="s">
        <v>4299</v>
      </c>
      <c r="CR1143" t="s">
        <v>2924</v>
      </c>
      <c r="CS1143" t="s">
        <v>135</v>
      </c>
      <c r="CT1143" t="s">
        <v>2925</v>
      </c>
      <c r="CU1143" t="s">
        <v>14625</v>
      </c>
      <c r="CW1143" t="s">
        <v>14626</v>
      </c>
      <c r="CX1143" t="s">
        <v>397</v>
      </c>
      <c r="CZ1143" s="3" t="str">
        <f>"72113"</f>
        <v>72113</v>
      </c>
      <c r="DA1143" t="s">
        <v>135</v>
      </c>
      <c r="DB1143" t="str">
        <f>"37-3013"</f>
        <v>37-3013</v>
      </c>
      <c r="DC1143" t="s">
        <v>4299</v>
      </c>
      <c r="DD1143" t="s">
        <v>134</v>
      </c>
      <c r="DE1143" t="s">
        <v>134</v>
      </c>
      <c r="DF1143" t="str">
        <f>""</f>
        <v/>
      </c>
      <c r="DH1143" s="6">
        <v>16.71</v>
      </c>
      <c r="DI1143" t="s">
        <v>344</v>
      </c>
      <c r="DK1143" t="s">
        <v>345</v>
      </c>
      <c r="DS1143" s="6">
        <v>16.71</v>
      </c>
      <c r="DT1143" s="2" t="s">
        <v>347</v>
      </c>
      <c r="DU1143" s="1">
        <v>44377</v>
      </c>
      <c r="DV1143" s="1">
        <v>44466</v>
      </c>
    </row>
    <row r="1144" spans="1:126" ht="15" customHeight="1" x14ac:dyDescent="0.35">
      <c r="A1144" t="s">
        <v>17615</v>
      </c>
      <c r="B1144" t="s">
        <v>318</v>
      </c>
      <c r="C1144" s="1">
        <v>44350</v>
      </c>
      <c r="D1144" s="1">
        <v>44377</v>
      </c>
      <c r="H1144" t="s">
        <v>319</v>
      </c>
      <c r="I1144" t="s">
        <v>1224</v>
      </c>
      <c r="J1144" t="s">
        <v>1225</v>
      </c>
      <c r="K1144" t="s">
        <v>134</v>
      </c>
      <c r="L1144" t="s">
        <v>1226</v>
      </c>
      <c r="M1144" t="s">
        <v>1227</v>
      </c>
      <c r="N1144" t="s">
        <v>1228</v>
      </c>
      <c r="O1144" t="s">
        <v>1229</v>
      </c>
      <c r="P1144" t="s">
        <v>412</v>
      </c>
      <c r="Q1144" s="3">
        <v>78266</v>
      </c>
      <c r="R1144" t="s">
        <v>128</v>
      </c>
      <c r="T1144" s="4">
        <v>18305844555</v>
      </c>
      <c r="V1144" t="s">
        <v>1230</v>
      </c>
      <c r="W1144" t="s">
        <v>1231</v>
      </c>
      <c r="Y1144" t="s">
        <v>1232</v>
      </c>
      <c r="AA1144" t="s">
        <v>1233</v>
      </c>
      <c r="AB1144" t="s">
        <v>1234</v>
      </c>
      <c r="AC1144" s="3" t="str">
        <f>"59405"</f>
        <v>59405</v>
      </c>
      <c r="AD1144" t="s">
        <v>128</v>
      </c>
      <c r="AF1144" s="4">
        <v>14064547645</v>
      </c>
      <c r="AH1144" t="str">
        <f>"484110"</f>
        <v>484110</v>
      </c>
      <c r="AI1144" t="s">
        <v>287</v>
      </c>
      <c r="AJ1144" t="s">
        <v>1224</v>
      </c>
      <c r="AK1144" t="s">
        <v>1225</v>
      </c>
      <c r="AL1144" t="s">
        <v>134</v>
      </c>
      <c r="AM1144" t="s">
        <v>14028</v>
      </c>
      <c r="AN1144" t="s">
        <v>1228</v>
      </c>
      <c r="AO1144" t="s">
        <v>1229</v>
      </c>
      <c r="AP1144" t="s">
        <v>400</v>
      </c>
      <c r="AQ1144" s="5">
        <v>78266</v>
      </c>
      <c r="AR1144" t="s">
        <v>128</v>
      </c>
      <c r="AT1144" s="4">
        <v>18305844555</v>
      </c>
      <c r="AV1144" t="s">
        <v>1235</v>
      </c>
      <c r="AW1144" t="s">
        <v>17616</v>
      </c>
      <c r="AX1144" t="s">
        <v>131</v>
      </c>
      <c r="AY1144" t="s">
        <v>131</v>
      </c>
      <c r="AZ1144" t="s">
        <v>131</v>
      </c>
      <c r="BA1144" t="s">
        <v>131</v>
      </c>
      <c r="BB1144" t="s">
        <v>131</v>
      </c>
      <c r="BC1144" t="s">
        <v>131</v>
      </c>
      <c r="BD1144" t="s">
        <v>131</v>
      </c>
      <c r="BE1144" t="s">
        <v>132</v>
      </c>
      <c r="BH1144" t="s">
        <v>6684</v>
      </c>
      <c r="BI1144" t="s">
        <v>131</v>
      </c>
      <c r="BL1144" t="s">
        <v>167</v>
      </c>
      <c r="BO1144" t="s">
        <v>131</v>
      </c>
      <c r="BP1144" t="s">
        <v>134</v>
      </c>
      <c r="BQ1144" t="s">
        <v>131</v>
      </c>
      <c r="BS1144" t="str">
        <f t="shared" si="81"/>
        <v>N/A</v>
      </c>
      <c r="BT1144" t="s">
        <v>131</v>
      </c>
      <c r="BV1144" t="str">
        <f>""</f>
        <v/>
      </c>
      <c r="BW1144" t="s">
        <v>131</v>
      </c>
      <c r="BX1144" t="str">
        <f>""</f>
        <v/>
      </c>
      <c r="BY1144" t="str">
        <f>""</f>
        <v/>
      </c>
      <c r="BZ1144" t="str">
        <f>""</f>
        <v/>
      </c>
      <c r="CA1144" t="str">
        <f>""</f>
        <v/>
      </c>
      <c r="CB1144" t="s">
        <v>131</v>
      </c>
      <c r="CF1144" t="s">
        <v>131</v>
      </c>
      <c r="CH1144" t="str">
        <f>""</f>
        <v/>
      </c>
      <c r="CI1144" t="s">
        <v>131</v>
      </c>
      <c r="CK1144" t="s">
        <v>131</v>
      </c>
      <c r="CL1144" t="str">
        <f>""</f>
        <v/>
      </c>
      <c r="CM1144" t="str">
        <f>""</f>
        <v/>
      </c>
      <c r="CN1144" t="str">
        <f>""</f>
        <v/>
      </c>
      <c r="CO1144" t="str">
        <f>""</f>
        <v/>
      </c>
      <c r="CP1144" t="str">
        <f>"45-2092.00"</f>
        <v>45-2092.00</v>
      </c>
      <c r="CQ1144" t="s">
        <v>3820</v>
      </c>
      <c r="CS1144" t="s">
        <v>131</v>
      </c>
      <c r="CU1144" t="s">
        <v>10891</v>
      </c>
      <c r="CW1144" t="s">
        <v>1242</v>
      </c>
      <c r="CX1144" t="s">
        <v>1243</v>
      </c>
      <c r="CZ1144" s="3" t="str">
        <f>"83301"</f>
        <v>83301</v>
      </c>
      <c r="DA1144" t="s">
        <v>131</v>
      </c>
      <c r="DB1144" t="str">
        <f>"45-2092"</f>
        <v>45-2092</v>
      </c>
      <c r="DC1144" t="s">
        <v>3820</v>
      </c>
      <c r="DD1144" t="s">
        <v>8307</v>
      </c>
      <c r="DE1144" t="s">
        <v>8308</v>
      </c>
      <c r="DF1144" t="str">
        <f>""</f>
        <v/>
      </c>
      <c r="DH1144" s="6">
        <v>12.5</v>
      </c>
      <c r="DI1144" t="s">
        <v>344</v>
      </c>
      <c r="DK1144" t="s">
        <v>345</v>
      </c>
      <c r="DS1144" s="6">
        <v>12.5</v>
      </c>
      <c r="DT1144" t="s">
        <v>424</v>
      </c>
      <c r="DU1144" s="1">
        <v>44377</v>
      </c>
      <c r="DV1144" s="1">
        <v>44466</v>
      </c>
    </row>
    <row r="1145" spans="1:126" ht="15" customHeight="1" x14ac:dyDescent="0.35">
      <c r="A1145" t="s">
        <v>14027</v>
      </c>
      <c r="B1145" t="s">
        <v>318</v>
      </c>
      <c r="C1145" s="1">
        <v>44350</v>
      </c>
      <c r="D1145" s="1">
        <v>44377</v>
      </c>
      <c r="H1145" t="s">
        <v>319</v>
      </c>
      <c r="I1145" t="s">
        <v>1224</v>
      </c>
      <c r="J1145" t="s">
        <v>1225</v>
      </c>
      <c r="K1145" t="s">
        <v>134</v>
      </c>
      <c r="L1145" t="s">
        <v>1226</v>
      </c>
      <c r="M1145" t="s">
        <v>1227</v>
      </c>
      <c r="N1145" t="s">
        <v>1228</v>
      </c>
      <c r="O1145" t="s">
        <v>1229</v>
      </c>
      <c r="P1145" t="s">
        <v>412</v>
      </c>
      <c r="Q1145" s="3">
        <v>78266</v>
      </c>
      <c r="R1145" t="s">
        <v>128</v>
      </c>
      <c r="T1145" s="4">
        <v>18305844555</v>
      </c>
      <c r="V1145" t="s">
        <v>1230</v>
      </c>
      <c r="W1145" t="s">
        <v>1231</v>
      </c>
      <c r="Y1145" t="s">
        <v>1232</v>
      </c>
      <c r="AA1145" t="s">
        <v>1233</v>
      </c>
      <c r="AB1145" t="s">
        <v>1234</v>
      </c>
      <c r="AC1145" s="3" t="str">
        <f>"59405"</f>
        <v>59405</v>
      </c>
      <c r="AD1145" t="s">
        <v>128</v>
      </c>
      <c r="AF1145" s="4">
        <v>14064547645</v>
      </c>
      <c r="AH1145" t="str">
        <f>"484110"</f>
        <v>484110</v>
      </c>
      <c r="AI1145" t="s">
        <v>287</v>
      </c>
      <c r="AJ1145" t="s">
        <v>1224</v>
      </c>
      <c r="AK1145" t="s">
        <v>1225</v>
      </c>
      <c r="AL1145" t="s">
        <v>134</v>
      </c>
      <c r="AM1145" t="s">
        <v>14028</v>
      </c>
      <c r="AN1145" t="s">
        <v>1228</v>
      </c>
      <c r="AO1145" t="s">
        <v>1229</v>
      </c>
      <c r="AP1145" t="s">
        <v>400</v>
      </c>
      <c r="AQ1145" s="5">
        <v>78266</v>
      </c>
      <c r="AR1145" t="s">
        <v>128</v>
      </c>
      <c r="AT1145" s="4">
        <v>18305844555</v>
      </c>
      <c r="AV1145" t="s">
        <v>1235</v>
      </c>
      <c r="AW1145" t="s">
        <v>1236</v>
      </c>
      <c r="AX1145" t="s">
        <v>131</v>
      </c>
      <c r="AY1145" t="s">
        <v>131</v>
      </c>
      <c r="AZ1145" t="s">
        <v>131</v>
      </c>
      <c r="BA1145" t="s">
        <v>131</v>
      </c>
      <c r="BB1145" t="s">
        <v>131</v>
      </c>
      <c r="BC1145" t="s">
        <v>131</v>
      </c>
      <c r="BD1145" t="s">
        <v>131</v>
      </c>
      <c r="BE1145" t="s">
        <v>132</v>
      </c>
      <c r="BH1145" t="s">
        <v>6684</v>
      </c>
      <c r="BI1145" t="s">
        <v>131</v>
      </c>
      <c r="BL1145" t="s">
        <v>167</v>
      </c>
      <c r="BO1145" t="s">
        <v>131</v>
      </c>
      <c r="BP1145" t="s">
        <v>134</v>
      </c>
      <c r="BQ1145" t="s">
        <v>131</v>
      </c>
      <c r="BS1145" t="str">
        <f t="shared" si="81"/>
        <v>N/A</v>
      </c>
      <c r="BT1145" t="s">
        <v>131</v>
      </c>
      <c r="BV1145" t="str">
        <f>""</f>
        <v/>
      </c>
      <c r="BW1145" t="s">
        <v>131</v>
      </c>
      <c r="BX1145" t="str">
        <f>""</f>
        <v/>
      </c>
      <c r="BY1145" t="str">
        <f>""</f>
        <v/>
      </c>
      <c r="BZ1145" t="str">
        <f>""</f>
        <v/>
      </c>
      <c r="CA1145" t="str">
        <f>""</f>
        <v/>
      </c>
      <c r="CB1145" t="s">
        <v>131</v>
      </c>
      <c r="CF1145" t="s">
        <v>131</v>
      </c>
      <c r="CH1145" t="str">
        <f>""</f>
        <v/>
      </c>
      <c r="CI1145" t="s">
        <v>131</v>
      </c>
      <c r="CK1145" t="s">
        <v>131</v>
      </c>
      <c r="CL1145" t="str">
        <f>""</f>
        <v/>
      </c>
      <c r="CM1145" t="str">
        <f>""</f>
        <v/>
      </c>
      <c r="CN1145" t="str">
        <f>""</f>
        <v/>
      </c>
      <c r="CO1145" t="str">
        <f>""</f>
        <v/>
      </c>
      <c r="CP1145" t="str">
        <f>"45-2092.00"</f>
        <v>45-2092.00</v>
      </c>
      <c r="CQ1145" t="s">
        <v>3820</v>
      </c>
      <c r="CS1145" t="s">
        <v>131</v>
      </c>
      <c r="CU1145" t="s">
        <v>3225</v>
      </c>
      <c r="CW1145" t="s">
        <v>1204</v>
      </c>
      <c r="CX1145" t="s">
        <v>1243</v>
      </c>
      <c r="CZ1145" s="3" t="str">
        <f>"83347"</f>
        <v>83347</v>
      </c>
      <c r="DA1145" t="s">
        <v>131</v>
      </c>
      <c r="DB1145" t="str">
        <f>"45-2092"</f>
        <v>45-2092</v>
      </c>
      <c r="DC1145" t="s">
        <v>3820</v>
      </c>
      <c r="DD1145" t="s">
        <v>8307</v>
      </c>
      <c r="DE1145" t="s">
        <v>8308</v>
      </c>
      <c r="DF1145" t="str">
        <f>""</f>
        <v/>
      </c>
      <c r="DH1145" s="6">
        <v>12.87</v>
      </c>
      <c r="DI1145" t="s">
        <v>344</v>
      </c>
      <c r="DK1145" t="s">
        <v>345</v>
      </c>
      <c r="DS1145" s="6">
        <v>12.87</v>
      </c>
      <c r="DT1145" t="s">
        <v>424</v>
      </c>
      <c r="DU1145" s="1">
        <v>44377</v>
      </c>
      <c r="DV1145" s="1">
        <v>44466</v>
      </c>
    </row>
    <row r="1146" spans="1:126" ht="15" customHeight="1" x14ac:dyDescent="0.35">
      <c r="A1146" t="s">
        <v>4145</v>
      </c>
      <c r="B1146" t="s">
        <v>318</v>
      </c>
      <c r="C1146" s="1">
        <v>44350</v>
      </c>
      <c r="D1146" s="1">
        <v>44377</v>
      </c>
      <c r="H1146" t="s">
        <v>319</v>
      </c>
      <c r="I1146" t="s">
        <v>4146</v>
      </c>
      <c r="J1146" t="s">
        <v>4147</v>
      </c>
      <c r="K1146" t="s">
        <v>1942</v>
      </c>
      <c r="L1146" t="s">
        <v>395</v>
      </c>
      <c r="M1146" t="s">
        <v>4148</v>
      </c>
      <c r="O1146" t="s">
        <v>4149</v>
      </c>
      <c r="P1146" t="s">
        <v>441</v>
      </c>
      <c r="Q1146" s="3">
        <v>45053</v>
      </c>
      <c r="R1146" t="s">
        <v>128</v>
      </c>
      <c r="T1146" s="4">
        <v>15134103387</v>
      </c>
      <c r="U1146">
        <v>0</v>
      </c>
      <c r="V1146" t="s">
        <v>4150</v>
      </c>
      <c r="W1146" t="s">
        <v>4151</v>
      </c>
      <c r="Y1146" t="s">
        <v>4148</v>
      </c>
      <c r="AA1146" t="s">
        <v>4149</v>
      </c>
      <c r="AB1146" t="s">
        <v>444</v>
      </c>
      <c r="AC1146" s="3" t="str">
        <f>"45053"</f>
        <v>45053</v>
      </c>
      <c r="AD1146" t="s">
        <v>128</v>
      </c>
      <c r="AE1146" t="s">
        <v>4152</v>
      </c>
      <c r="AF1146" s="4">
        <v>15134103387</v>
      </c>
      <c r="AG1146">
        <v>0</v>
      </c>
      <c r="AH1146" t="str">
        <f>"71399"</f>
        <v>71399</v>
      </c>
      <c r="AI1146" t="s">
        <v>130</v>
      </c>
      <c r="AJ1146" t="s">
        <v>4153</v>
      </c>
      <c r="AK1146" t="s">
        <v>301</v>
      </c>
      <c r="AL1146" t="s">
        <v>1978</v>
      </c>
      <c r="AM1146" t="s">
        <v>4154</v>
      </c>
      <c r="AN1146" t="s">
        <v>1980</v>
      </c>
      <c r="AO1146" t="s">
        <v>4155</v>
      </c>
      <c r="AP1146" t="s">
        <v>382</v>
      </c>
      <c r="AQ1146" s="5">
        <v>21401</v>
      </c>
      <c r="AR1146" t="s">
        <v>128</v>
      </c>
      <c r="AT1146" s="4">
        <v>14105739955</v>
      </c>
      <c r="AU1146">
        <v>0</v>
      </c>
      <c r="AV1146" t="s">
        <v>4156</v>
      </c>
      <c r="AW1146" t="s">
        <v>4157</v>
      </c>
      <c r="AX1146" t="s">
        <v>131</v>
      </c>
      <c r="AY1146" t="s">
        <v>131</v>
      </c>
      <c r="AZ1146" t="s">
        <v>131</v>
      </c>
      <c r="BA1146" t="s">
        <v>131</v>
      </c>
      <c r="BB1146" t="s">
        <v>131</v>
      </c>
      <c r="BC1146" t="s">
        <v>131</v>
      </c>
      <c r="BD1146" t="s">
        <v>131</v>
      </c>
      <c r="BE1146" t="s">
        <v>132</v>
      </c>
      <c r="BH1146" t="s">
        <v>4158</v>
      </c>
      <c r="BI1146" t="s">
        <v>131</v>
      </c>
      <c r="BL1146" t="s">
        <v>167</v>
      </c>
      <c r="BO1146" t="s">
        <v>131</v>
      </c>
      <c r="BP1146" t="s">
        <v>134</v>
      </c>
      <c r="BQ1146" t="s">
        <v>131</v>
      </c>
      <c r="BS1146" t="str">
        <f t="shared" ref="BS1146:BS1178" si="82">"N/A"</f>
        <v>N/A</v>
      </c>
      <c r="BT1146" t="s">
        <v>131</v>
      </c>
      <c r="BV1146" t="str">
        <f>""</f>
        <v/>
      </c>
      <c r="BW1146" t="s">
        <v>135</v>
      </c>
      <c r="BX1146" t="str">
        <f>""</f>
        <v/>
      </c>
      <c r="BY1146" t="str">
        <f>""</f>
        <v/>
      </c>
      <c r="BZ1146" t="str">
        <f>""</f>
        <v/>
      </c>
      <c r="CA1146" t="str">
        <f>"Must pass post-hire criminal background check and drug testing paid by employer.  Must be able to lift 50 lbs."</f>
        <v>Must pass post-hire criminal background check and drug testing paid by employer.  Must be able to lift 50 lbs.</v>
      </c>
      <c r="CB1146" t="s">
        <v>131</v>
      </c>
      <c r="CF1146" t="s">
        <v>131</v>
      </c>
      <c r="CH1146" t="str">
        <f>""</f>
        <v/>
      </c>
      <c r="CI1146" t="s">
        <v>131</v>
      </c>
      <c r="CK1146" t="s">
        <v>131</v>
      </c>
      <c r="CL1146" t="str">
        <f>""</f>
        <v/>
      </c>
      <c r="CM1146" t="str">
        <f>""</f>
        <v/>
      </c>
      <c r="CN1146" t="str">
        <f>""</f>
        <v/>
      </c>
      <c r="CO1146" t="str">
        <f>""</f>
        <v/>
      </c>
      <c r="CP1146" t="str">
        <f>"49-9098.00"</f>
        <v>49-9098.00</v>
      </c>
      <c r="CQ1146" t="s">
        <v>1503</v>
      </c>
      <c r="CR1146" t="s">
        <v>460</v>
      </c>
      <c r="CS1146" t="s">
        <v>131</v>
      </c>
      <c r="CU1146" t="s">
        <v>4159</v>
      </c>
      <c r="CW1146" t="s">
        <v>4160</v>
      </c>
      <c r="CX1146" t="s">
        <v>1218</v>
      </c>
      <c r="CZ1146" s="3" t="str">
        <f>"35045"</f>
        <v>35045</v>
      </c>
      <c r="DA1146" t="s">
        <v>131</v>
      </c>
      <c r="DB1146" t="str">
        <f>"49-9098"</f>
        <v>49-9098</v>
      </c>
      <c r="DC1146" t="s">
        <v>1503</v>
      </c>
      <c r="DD1146" t="s">
        <v>134</v>
      </c>
      <c r="DE1146" t="s">
        <v>134</v>
      </c>
      <c r="DF1146" t="str">
        <f>""</f>
        <v/>
      </c>
      <c r="DH1146" s="6">
        <v>14.67</v>
      </c>
      <c r="DI1146" t="s">
        <v>344</v>
      </c>
      <c r="DK1146" t="s">
        <v>345</v>
      </c>
      <c r="DR1146" t="s">
        <v>4161</v>
      </c>
      <c r="DS1146" s="6">
        <v>14.67</v>
      </c>
      <c r="DT1146" t="s">
        <v>424</v>
      </c>
      <c r="DU1146" s="1">
        <v>44377</v>
      </c>
      <c r="DV1146" s="1">
        <v>44466</v>
      </c>
    </row>
    <row r="1147" spans="1:126" ht="15" customHeight="1" x14ac:dyDescent="0.35">
      <c r="A1147" t="s">
        <v>14651</v>
      </c>
      <c r="B1147" t="s">
        <v>318</v>
      </c>
      <c r="C1147" s="1">
        <v>44350</v>
      </c>
      <c r="D1147" s="1">
        <v>44377</v>
      </c>
      <c r="H1147" t="s">
        <v>319</v>
      </c>
      <c r="I1147" t="s">
        <v>1224</v>
      </c>
      <c r="J1147" t="s">
        <v>1225</v>
      </c>
      <c r="K1147" t="s">
        <v>134</v>
      </c>
      <c r="L1147" t="s">
        <v>1226</v>
      </c>
      <c r="M1147" t="s">
        <v>1227</v>
      </c>
      <c r="N1147" t="s">
        <v>1228</v>
      </c>
      <c r="O1147" t="s">
        <v>1229</v>
      </c>
      <c r="P1147" t="s">
        <v>412</v>
      </c>
      <c r="Q1147" s="3">
        <v>78266</v>
      </c>
      <c r="R1147" t="s">
        <v>128</v>
      </c>
      <c r="T1147" s="4">
        <v>18305844555</v>
      </c>
      <c r="V1147" t="s">
        <v>1230</v>
      </c>
      <c r="W1147" t="s">
        <v>1231</v>
      </c>
      <c r="Y1147" t="s">
        <v>1232</v>
      </c>
      <c r="AA1147" t="s">
        <v>1233</v>
      </c>
      <c r="AB1147" t="s">
        <v>1234</v>
      </c>
      <c r="AC1147" s="3" t="str">
        <f>"59405"</f>
        <v>59405</v>
      </c>
      <c r="AD1147" t="s">
        <v>128</v>
      </c>
      <c r="AF1147" s="4">
        <v>14064547645</v>
      </c>
      <c r="AH1147" t="str">
        <f>"484110"</f>
        <v>484110</v>
      </c>
      <c r="AI1147" t="s">
        <v>287</v>
      </c>
      <c r="AJ1147" t="s">
        <v>1224</v>
      </c>
      <c r="AK1147" t="s">
        <v>1225</v>
      </c>
      <c r="AL1147" t="s">
        <v>134</v>
      </c>
      <c r="AM1147" t="s">
        <v>1227</v>
      </c>
      <c r="AN1147" t="s">
        <v>1228</v>
      </c>
      <c r="AO1147" t="s">
        <v>1229</v>
      </c>
      <c r="AP1147" t="s">
        <v>400</v>
      </c>
      <c r="AQ1147" s="5">
        <v>78266</v>
      </c>
      <c r="AR1147" t="s">
        <v>128</v>
      </c>
      <c r="AT1147" s="4">
        <v>18305844555</v>
      </c>
      <c r="AV1147" t="s">
        <v>1235</v>
      </c>
      <c r="AW1147" t="s">
        <v>1236</v>
      </c>
      <c r="AX1147" t="s">
        <v>131</v>
      </c>
      <c r="AY1147" t="s">
        <v>131</v>
      </c>
      <c r="AZ1147" t="s">
        <v>131</v>
      </c>
      <c r="BA1147" t="s">
        <v>131</v>
      </c>
      <c r="BB1147" t="s">
        <v>131</v>
      </c>
      <c r="BC1147" t="s">
        <v>131</v>
      </c>
      <c r="BD1147" t="s">
        <v>131</v>
      </c>
      <c r="BE1147" t="s">
        <v>132</v>
      </c>
      <c r="BH1147" t="s">
        <v>1237</v>
      </c>
      <c r="BI1147" t="s">
        <v>131</v>
      </c>
      <c r="BL1147" t="s">
        <v>167</v>
      </c>
      <c r="BO1147" t="s">
        <v>131</v>
      </c>
      <c r="BP1147" t="s">
        <v>134</v>
      </c>
      <c r="BQ1147" t="s">
        <v>131</v>
      </c>
      <c r="BS1147" t="str">
        <f t="shared" si="82"/>
        <v>N/A</v>
      </c>
      <c r="BT1147" t="s">
        <v>135</v>
      </c>
      <c r="BU1147">
        <v>3</v>
      </c>
      <c r="BV1147" t="str">
        <f>"HEAVY TRUCK AND TRAILER OPERATION
"</f>
        <v xml:space="preserve">HEAVY TRUCK AND TRAILER OPERATION
</v>
      </c>
      <c r="BW1147" t="s">
        <v>135</v>
      </c>
      <c r="BX1147" t="str">
        <f>"MUST HAVEA CLASS A CDL WITHIN 30 DAYS OF HIRE"</f>
        <v>MUST HAVEA CLASS A CDL WITHIN 30 DAYS OF HIRE</v>
      </c>
      <c r="BY1147" t="str">
        <f>""</f>
        <v/>
      </c>
      <c r="BZ1147" t="str">
        <f>""</f>
        <v/>
      </c>
      <c r="CA1147" t="str">
        <f>""</f>
        <v/>
      </c>
      <c r="CB1147" t="s">
        <v>131</v>
      </c>
      <c r="CF1147" t="s">
        <v>131</v>
      </c>
      <c r="CH1147" t="str">
        <f>""</f>
        <v/>
      </c>
      <c r="CI1147" t="s">
        <v>131</v>
      </c>
      <c r="CK1147" t="s">
        <v>131</v>
      </c>
      <c r="CL1147" t="str">
        <f>""</f>
        <v/>
      </c>
      <c r="CM1147" t="str">
        <f>""</f>
        <v/>
      </c>
      <c r="CN1147" t="str">
        <f>""</f>
        <v/>
      </c>
      <c r="CO1147" t="str">
        <f>""</f>
        <v/>
      </c>
      <c r="CP1147" t="str">
        <f>"53-3032.00"</f>
        <v>53-3032.00</v>
      </c>
      <c r="CQ1147" t="s">
        <v>1238</v>
      </c>
      <c r="CR1147" t="s">
        <v>1239</v>
      </c>
      <c r="CS1147" t="s">
        <v>135</v>
      </c>
      <c r="CT1147" t="s">
        <v>1240</v>
      </c>
      <c r="CU1147" t="s">
        <v>14652</v>
      </c>
      <c r="CW1147" t="s">
        <v>14653</v>
      </c>
      <c r="CX1147" t="s">
        <v>471</v>
      </c>
      <c r="CZ1147" s="3" t="str">
        <f>"80701"</f>
        <v>80701</v>
      </c>
      <c r="DA1147" t="s">
        <v>135</v>
      </c>
      <c r="DB1147" t="str">
        <f>"53-3032"</f>
        <v>53-3032</v>
      </c>
      <c r="DC1147" t="s">
        <v>1238</v>
      </c>
      <c r="DD1147" t="s">
        <v>134</v>
      </c>
      <c r="DE1147" t="s">
        <v>134</v>
      </c>
      <c r="DF1147" t="str">
        <f>""</f>
        <v/>
      </c>
      <c r="DH1147" s="6">
        <v>21.45</v>
      </c>
      <c r="DI1147" t="s">
        <v>344</v>
      </c>
      <c r="DK1147" t="s">
        <v>345</v>
      </c>
      <c r="DS1147" s="6">
        <v>25.01</v>
      </c>
      <c r="DT1147" s="2" t="s">
        <v>347</v>
      </c>
      <c r="DU1147" s="1">
        <v>44377</v>
      </c>
      <c r="DV1147" s="1">
        <v>44466</v>
      </c>
    </row>
    <row r="1148" spans="1:126" ht="15" customHeight="1" x14ac:dyDescent="0.35">
      <c r="A1148" t="s">
        <v>17901</v>
      </c>
      <c r="B1148" t="s">
        <v>318</v>
      </c>
      <c r="C1148" s="1">
        <v>44350</v>
      </c>
      <c r="D1148" s="1">
        <v>44377</v>
      </c>
      <c r="H1148" t="s">
        <v>319</v>
      </c>
      <c r="I1148" t="s">
        <v>11982</v>
      </c>
      <c r="J1148" t="s">
        <v>2441</v>
      </c>
      <c r="L1148" t="s">
        <v>9863</v>
      </c>
      <c r="M1148" t="s">
        <v>11983</v>
      </c>
      <c r="O1148" t="s">
        <v>11984</v>
      </c>
      <c r="P1148" t="s">
        <v>467</v>
      </c>
      <c r="Q1148" s="3">
        <v>80424</v>
      </c>
      <c r="R1148" t="s">
        <v>128</v>
      </c>
      <c r="T1148" s="4">
        <v>19704536000</v>
      </c>
      <c r="V1148" t="s">
        <v>11985</v>
      </c>
      <c r="W1148" t="s">
        <v>11986</v>
      </c>
      <c r="X1148" t="s">
        <v>11987</v>
      </c>
      <c r="Y1148" t="s">
        <v>11983</v>
      </c>
      <c r="AA1148" t="s">
        <v>11984</v>
      </c>
      <c r="AB1148" t="s">
        <v>471</v>
      </c>
      <c r="AC1148" s="3" t="str">
        <f>"80424"</f>
        <v>80424</v>
      </c>
      <c r="AD1148" t="s">
        <v>128</v>
      </c>
      <c r="AF1148" s="4">
        <v>19704536000</v>
      </c>
      <c r="AH1148" t="str">
        <f>"72111"</f>
        <v>72111</v>
      </c>
      <c r="AI1148" t="s">
        <v>287</v>
      </c>
      <c r="AJ1148" t="s">
        <v>1207</v>
      </c>
      <c r="AK1148" t="s">
        <v>1208</v>
      </c>
      <c r="AM1148" t="s">
        <v>1209</v>
      </c>
      <c r="AN1148" t="s">
        <v>2082</v>
      </c>
      <c r="AO1148" t="s">
        <v>2083</v>
      </c>
      <c r="AP1148" t="s">
        <v>195</v>
      </c>
      <c r="AQ1148" s="5">
        <v>33131</v>
      </c>
      <c r="AR1148" t="s">
        <v>128</v>
      </c>
      <c r="AT1148" s="4">
        <v>17863480376</v>
      </c>
      <c r="AV1148" t="s">
        <v>1211</v>
      </c>
      <c r="AW1148" t="s">
        <v>1212</v>
      </c>
      <c r="AX1148" t="s">
        <v>131</v>
      </c>
      <c r="AY1148" t="s">
        <v>131</v>
      </c>
      <c r="AZ1148" t="s">
        <v>131</v>
      </c>
      <c r="BA1148" t="s">
        <v>131</v>
      </c>
      <c r="BB1148" t="s">
        <v>131</v>
      </c>
      <c r="BC1148" t="s">
        <v>131</v>
      </c>
      <c r="BD1148" t="s">
        <v>131</v>
      </c>
      <c r="BE1148" t="s">
        <v>132</v>
      </c>
      <c r="BH1148" t="s">
        <v>4277</v>
      </c>
      <c r="BI1148" t="s">
        <v>131</v>
      </c>
      <c r="BL1148" t="s">
        <v>167</v>
      </c>
      <c r="BO1148" t="s">
        <v>131</v>
      </c>
      <c r="BP1148" t="s">
        <v>134</v>
      </c>
      <c r="BQ1148" t="s">
        <v>131</v>
      </c>
      <c r="BS1148" t="str">
        <f t="shared" si="82"/>
        <v>N/A</v>
      </c>
      <c r="BT1148" t="s">
        <v>135</v>
      </c>
      <c r="BU1148">
        <v>1</v>
      </c>
      <c r="BV1148" t="str">
        <f>"HOUSEKEEPER/MAID/HOUSEMAN"</f>
        <v>HOUSEKEEPER/MAID/HOUSEMAN</v>
      </c>
      <c r="BW1148" t="s">
        <v>131</v>
      </c>
      <c r="BX1148" t="str">
        <f>""</f>
        <v/>
      </c>
      <c r="BY1148" t="str">
        <f>""</f>
        <v/>
      </c>
      <c r="BZ1148" t="str">
        <f>""</f>
        <v/>
      </c>
      <c r="CA1148" t="str">
        <f>""</f>
        <v/>
      </c>
      <c r="CB1148" t="s">
        <v>131</v>
      </c>
      <c r="CF1148" t="s">
        <v>131</v>
      </c>
      <c r="CH1148" t="str">
        <f>""</f>
        <v/>
      </c>
      <c r="CI1148" t="s">
        <v>131</v>
      </c>
      <c r="CK1148" t="s">
        <v>131</v>
      </c>
      <c r="CL1148" t="str">
        <f>""</f>
        <v/>
      </c>
      <c r="CM1148" t="str">
        <f>""</f>
        <v/>
      </c>
      <c r="CN1148" t="str">
        <f>""</f>
        <v/>
      </c>
      <c r="CO1148" t="str">
        <f>""</f>
        <v/>
      </c>
      <c r="CP1148" t="str">
        <f>"37-2012.00"</f>
        <v>37-2012.00</v>
      </c>
      <c r="CQ1148" t="s">
        <v>479</v>
      </c>
      <c r="CR1148" t="s">
        <v>4277</v>
      </c>
      <c r="CS1148" t="s">
        <v>131</v>
      </c>
      <c r="CU1148" t="s">
        <v>11983</v>
      </c>
      <c r="CW1148" t="s">
        <v>11984</v>
      </c>
      <c r="CX1148" t="s">
        <v>471</v>
      </c>
      <c r="CZ1148" s="3" t="str">
        <f>"80424"</f>
        <v>80424</v>
      </c>
      <c r="DA1148" t="s">
        <v>131</v>
      </c>
      <c r="DB1148" t="str">
        <f>"37-2012"</f>
        <v>37-2012</v>
      </c>
      <c r="DC1148" t="s">
        <v>479</v>
      </c>
      <c r="DD1148" t="s">
        <v>134</v>
      </c>
      <c r="DE1148" t="s">
        <v>134</v>
      </c>
      <c r="DF1148" t="str">
        <f>""</f>
        <v/>
      </c>
      <c r="DH1148" s="6">
        <v>15.39</v>
      </c>
      <c r="DI1148" t="s">
        <v>344</v>
      </c>
      <c r="DK1148" t="s">
        <v>345</v>
      </c>
      <c r="DR1148" t="s">
        <v>1750</v>
      </c>
      <c r="DS1148" s="6">
        <v>15.39</v>
      </c>
      <c r="DT1148" t="s">
        <v>424</v>
      </c>
      <c r="DU1148" s="1">
        <v>44377</v>
      </c>
      <c r="DV1148" s="1">
        <v>44466</v>
      </c>
    </row>
    <row r="1149" spans="1:126" ht="15" customHeight="1" x14ac:dyDescent="0.35">
      <c r="A1149" t="s">
        <v>17639</v>
      </c>
      <c r="B1149" t="s">
        <v>318</v>
      </c>
      <c r="C1149" s="1">
        <v>44350</v>
      </c>
      <c r="D1149" s="1">
        <v>44377</v>
      </c>
      <c r="H1149" t="s">
        <v>319</v>
      </c>
      <c r="I1149" t="s">
        <v>17640</v>
      </c>
      <c r="J1149" t="s">
        <v>5180</v>
      </c>
      <c r="L1149" t="s">
        <v>1105</v>
      </c>
      <c r="M1149" t="s">
        <v>4148</v>
      </c>
      <c r="O1149" t="s">
        <v>4149</v>
      </c>
      <c r="P1149" t="s">
        <v>441</v>
      </c>
      <c r="Q1149" s="3">
        <v>45053</v>
      </c>
      <c r="R1149" t="s">
        <v>128</v>
      </c>
      <c r="T1149" s="4">
        <v>15138270886</v>
      </c>
      <c r="V1149" t="s">
        <v>17641</v>
      </c>
      <c r="W1149" t="s">
        <v>17642</v>
      </c>
      <c r="Y1149" t="s">
        <v>4148</v>
      </c>
      <c r="AA1149" t="s">
        <v>4149</v>
      </c>
      <c r="AB1149" t="s">
        <v>444</v>
      </c>
      <c r="AC1149" s="3" t="str">
        <f>"45053"</f>
        <v>45053</v>
      </c>
      <c r="AD1149" t="s">
        <v>128</v>
      </c>
      <c r="AF1149" s="4">
        <v>15138270886</v>
      </c>
      <c r="AH1149" t="str">
        <f>"7139"</f>
        <v>7139</v>
      </c>
      <c r="AI1149" t="s">
        <v>130</v>
      </c>
      <c r="AJ1149" t="s">
        <v>4153</v>
      </c>
      <c r="AK1149" t="s">
        <v>301</v>
      </c>
      <c r="AL1149" t="s">
        <v>1978</v>
      </c>
      <c r="AM1149" t="s">
        <v>4154</v>
      </c>
      <c r="AN1149" t="s">
        <v>1980</v>
      </c>
      <c r="AO1149" t="s">
        <v>4155</v>
      </c>
      <c r="AP1149" t="s">
        <v>382</v>
      </c>
      <c r="AQ1149" s="5">
        <v>21401</v>
      </c>
      <c r="AR1149" t="s">
        <v>128</v>
      </c>
      <c r="AT1149" s="4">
        <v>14105739955</v>
      </c>
      <c r="AU1149">
        <v>0</v>
      </c>
      <c r="AV1149" t="s">
        <v>4156</v>
      </c>
      <c r="AW1149" t="s">
        <v>4157</v>
      </c>
      <c r="AX1149" t="s">
        <v>131</v>
      </c>
      <c r="AY1149" t="s">
        <v>131</v>
      </c>
      <c r="AZ1149" t="s">
        <v>131</v>
      </c>
      <c r="BA1149" t="s">
        <v>131</v>
      </c>
      <c r="BB1149" t="s">
        <v>131</v>
      </c>
      <c r="BC1149" t="s">
        <v>131</v>
      </c>
      <c r="BD1149" t="s">
        <v>131</v>
      </c>
      <c r="BE1149" t="s">
        <v>132</v>
      </c>
      <c r="BH1149" t="s">
        <v>4158</v>
      </c>
      <c r="BI1149" t="s">
        <v>131</v>
      </c>
      <c r="BL1149" t="s">
        <v>167</v>
      </c>
      <c r="BO1149" t="s">
        <v>131</v>
      </c>
      <c r="BP1149" t="s">
        <v>134</v>
      </c>
      <c r="BQ1149" t="s">
        <v>131</v>
      </c>
      <c r="BS1149" t="str">
        <f t="shared" si="82"/>
        <v>N/A</v>
      </c>
      <c r="BT1149" t="s">
        <v>131</v>
      </c>
      <c r="BV1149" t="str">
        <f>""</f>
        <v/>
      </c>
      <c r="BW1149" t="s">
        <v>135</v>
      </c>
      <c r="BX1149" t="str">
        <f>""</f>
        <v/>
      </c>
      <c r="BY1149" t="str">
        <f>""</f>
        <v/>
      </c>
      <c r="BZ1149" t="str">
        <f>""</f>
        <v/>
      </c>
      <c r="CA1149" t="str">
        <f>"Must pass post-employment criminal background check and drug testing paid by employer.  Must be able to lift 50 lbs."</f>
        <v>Must pass post-employment criminal background check and drug testing paid by employer.  Must be able to lift 50 lbs.</v>
      </c>
      <c r="CB1149" t="s">
        <v>131</v>
      </c>
      <c r="CF1149" t="s">
        <v>131</v>
      </c>
      <c r="CH1149" t="str">
        <f>""</f>
        <v/>
      </c>
      <c r="CI1149" t="s">
        <v>131</v>
      </c>
      <c r="CK1149" t="s">
        <v>131</v>
      </c>
      <c r="CL1149" t="str">
        <f>""</f>
        <v/>
      </c>
      <c r="CM1149" t="str">
        <f>""</f>
        <v/>
      </c>
      <c r="CN1149" t="str">
        <f>""</f>
        <v/>
      </c>
      <c r="CO1149" t="str">
        <f>""</f>
        <v/>
      </c>
      <c r="CP1149" t="str">
        <f>"49-9098.00"</f>
        <v>49-9098.00</v>
      </c>
      <c r="CQ1149" t="s">
        <v>1503</v>
      </c>
      <c r="CR1149" t="s">
        <v>460</v>
      </c>
      <c r="CS1149" t="s">
        <v>131</v>
      </c>
      <c r="CU1149" t="s">
        <v>4159</v>
      </c>
      <c r="CW1149" t="s">
        <v>4160</v>
      </c>
      <c r="CX1149" t="s">
        <v>1218</v>
      </c>
      <c r="CZ1149" s="3" t="str">
        <f>"35045"</f>
        <v>35045</v>
      </c>
      <c r="DA1149" t="s">
        <v>131</v>
      </c>
      <c r="DB1149" t="str">
        <f>"49-9098"</f>
        <v>49-9098</v>
      </c>
      <c r="DC1149" t="s">
        <v>1503</v>
      </c>
      <c r="DD1149" t="s">
        <v>134</v>
      </c>
      <c r="DE1149" t="s">
        <v>134</v>
      </c>
      <c r="DF1149" t="str">
        <f>""</f>
        <v/>
      </c>
      <c r="DH1149" s="6">
        <v>14.67</v>
      </c>
      <c r="DI1149" t="s">
        <v>344</v>
      </c>
      <c r="DK1149" t="s">
        <v>345</v>
      </c>
      <c r="DR1149" t="s">
        <v>4161</v>
      </c>
      <c r="DS1149" s="6">
        <v>14.67</v>
      </c>
      <c r="DT1149" t="s">
        <v>424</v>
      </c>
      <c r="DU1149" s="1">
        <v>44377</v>
      </c>
      <c r="DV1149" s="1">
        <v>44466</v>
      </c>
    </row>
    <row r="1150" spans="1:126" ht="15" customHeight="1" x14ac:dyDescent="0.35">
      <c r="A1150" t="s">
        <v>17187</v>
      </c>
      <c r="B1150" t="s">
        <v>318</v>
      </c>
      <c r="C1150" s="1">
        <v>44350</v>
      </c>
      <c r="D1150" s="1">
        <v>44377</v>
      </c>
      <c r="H1150" t="s">
        <v>319</v>
      </c>
      <c r="I1150" t="s">
        <v>1224</v>
      </c>
      <c r="J1150" t="s">
        <v>1225</v>
      </c>
      <c r="K1150" t="s">
        <v>134</v>
      </c>
      <c r="L1150" t="s">
        <v>1226</v>
      </c>
      <c r="M1150" t="s">
        <v>1227</v>
      </c>
      <c r="N1150" t="s">
        <v>1228</v>
      </c>
      <c r="O1150" t="s">
        <v>1229</v>
      </c>
      <c r="P1150" t="s">
        <v>412</v>
      </c>
      <c r="Q1150" s="3">
        <v>78266</v>
      </c>
      <c r="R1150" t="s">
        <v>128</v>
      </c>
      <c r="T1150" s="4">
        <v>18305844555</v>
      </c>
      <c r="V1150" t="s">
        <v>1230</v>
      </c>
      <c r="W1150" t="s">
        <v>1231</v>
      </c>
      <c r="Y1150" t="s">
        <v>1232</v>
      </c>
      <c r="AA1150" t="s">
        <v>1233</v>
      </c>
      <c r="AB1150" t="s">
        <v>1234</v>
      </c>
      <c r="AC1150" s="3" t="str">
        <f>"59405"</f>
        <v>59405</v>
      </c>
      <c r="AD1150" t="s">
        <v>128</v>
      </c>
      <c r="AF1150" s="4">
        <v>14064547645</v>
      </c>
      <c r="AH1150" t="str">
        <f>"484110"</f>
        <v>484110</v>
      </c>
      <c r="AI1150" t="s">
        <v>287</v>
      </c>
      <c r="AJ1150" t="s">
        <v>1224</v>
      </c>
      <c r="AK1150" t="s">
        <v>1225</v>
      </c>
      <c r="AL1150" t="s">
        <v>134</v>
      </c>
      <c r="AM1150" t="s">
        <v>1227</v>
      </c>
      <c r="AN1150" t="s">
        <v>1228</v>
      </c>
      <c r="AO1150" t="s">
        <v>1229</v>
      </c>
      <c r="AP1150" t="s">
        <v>400</v>
      </c>
      <c r="AQ1150" s="5">
        <v>78266</v>
      </c>
      <c r="AR1150" t="s">
        <v>128</v>
      </c>
      <c r="AT1150" s="4">
        <v>18305844555</v>
      </c>
      <c r="AV1150" t="s">
        <v>1235</v>
      </c>
      <c r="AW1150" t="s">
        <v>1236</v>
      </c>
      <c r="AX1150" t="s">
        <v>131</v>
      </c>
      <c r="AY1150" t="s">
        <v>131</v>
      </c>
      <c r="AZ1150" t="s">
        <v>131</v>
      </c>
      <c r="BA1150" t="s">
        <v>131</v>
      </c>
      <c r="BB1150" t="s">
        <v>131</v>
      </c>
      <c r="BC1150" t="s">
        <v>131</v>
      </c>
      <c r="BD1150" t="s">
        <v>131</v>
      </c>
      <c r="BE1150" t="s">
        <v>132</v>
      </c>
      <c r="BH1150" t="s">
        <v>1237</v>
      </c>
      <c r="BI1150" t="s">
        <v>131</v>
      </c>
      <c r="BL1150" t="s">
        <v>167</v>
      </c>
      <c r="BO1150" t="s">
        <v>131</v>
      </c>
      <c r="BP1150" t="s">
        <v>134</v>
      </c>
      <c r="BQ1150" t="s">
        <v>131</v>
      </c>
      <c r="BS1150" t="str">
        <f t="shared" si="82"/>
        <v>N/A</v>
      </c>
      <c r="BT1150" t="s">
        <v>135</v>
      </c>
      <c r="BU1150">
        <v>3</v>
      </c>
      <c r="BV1150" t="str">
        <f>"HEAVY TRUCK AND TRAILER OPERATION"</f>
        <v>HEAVY TRUCK AND TRAILER OPERATION</v>
      </c>
      <c r="BW1150" t="s">
        <v>135</v>
      </c>
      <c r="BX1150" t="str">
        <f>"MUST HAVEA CLASS A CDL WITHIN 30 DAYS OF HIRE"</f>
        <v>MUST HAVEA CLASS A CDL WITHIN 30 DAYS OF HIRE</v>
      </c>
      <c r="BY1150" t="str">
        <f>""</f>
        <v/>
      </c>
      <c r="BZ1150" t="str">
        <f>""</f>
        <v/>
      </c>
      <c r="CA1150" t="str">
        <f>""</f>
        <v/>
      </c>
      <c r="CB1150" t="s">
        <v>131</v>
      </c>
      <c r="CF1150" t="s">
        <v>131</v>
      </c>
      <c r="CH1150" t="str">
        <f>""</f>
        <v/>
      </c>
      <c r="CI1150" t="s">
        <v>131</v>
      </c>
      <c r="CK1150" t="s">
        <v>131</v>
      </c>
      <c r="CL1150" t="str">
        <f>""</f>
        <v/>
      </c>
      <c r="CM1150" t="str">
        <f>""</f>
        <v/>
      </c>
      <c r="CN1150" t="str">
        <f>""</f>
        <v/>
      </c>
      <c r="CO1150" t="str">
        <f>""</f>
        <v/>
      </c>
      <c r="CP1150" t="str">
        <f>"53-3032.00"</f>
        <v>53-3032.00</v>
      </c>
      <c r="CQ1150" t="s">
        <v>1238</v>
      </c>
      <c r="CR1150" t="s">
        <v>1239</v>
      </c>
      <c r="CS1150" t="s">
        <v>135</v>
      </c>
      <c r="CT1150" t="s">
        <v>1240</v>
      </c>
      <c r="CU1150" t="s">
        <v>17188</v>
      </c>
      <c r="CW1150" t="s">
        <v>17189</v>
      </c>
      <c r="CX1150" t="s">
        <v>1176</v>
      </c>
      <c r="CZ1150" s="3" t="str">
        <f>"69361"</f>
        <v>69361</v>
      </c>
      <c r="DA1150" t="s">
        <v>135</v>
      </c>
      <c r="DB1150" t="str">
        <f>"53-3032"</f>
        <v>53-3032</v>
      </c>
      <c r="DC1150" t="s">
        <v>1238</v>
      </c>
      <c r="DD1150" t="s">
        <v>134</v>
      </c>
      <c r="DE1150" t="s">
        <v>134</v>
      </c>
      <c r="DF1150" t="str">
        <f>""</f>
        <v/>
      </c>
      <c r="DH1150" s="6">
        <v>22.06</v>
      </c>
      <c r="DI1150" t="s">
        <v>344</v>
      </c>
      <c r="DK1150" t="s">
        <v>345</v>
      </c>
      <c r="DS1150" s="6">
        <v>27.86</v>
      </c>
      <c r="DT1150" s="2" t="s">
        <v>347</v>
      </c>
      <c r="DU1150" s="1">
        <v>44377</v>
      </c>
      <c r="DV1150" s="1">
        <v>44466</v>
      </c>
    </row>
    <row r="1151" spans="1:126" ht="15" customHeight="1" x14ac:dyDescent="0.35">
      <c r="A1151" t="s">
        <v>19242</v>
      </c>
      <c r="B1151" t="s">
        <v>318</v>
      </c>
      <c r="C1151" s="1">
        <v>44350</v>
      </c>
      <c r="D1151" s="1">
        <v>44377</v>
      </c>
      <c r="H1151" t="s">
        <v>319</v>
      </c>
      <c r="I1151" t="s">
        <v>11982</v>
      </c>
      <c r="J1151" t="s">
        <v>2441</v>
      </c>
      <c r="L1151" t="s">
        <v>9863</v>
      </c>
      <c r="M1151" t="s">
        <v>11983</v>
      </c>
      <c r="O1151" t="s">
        <v>11984</v>
      </c>
      <c r="P1151" t="s">
        <v>467</v>
      </c>
      <c r="Q1151" s="3">
        <v>80424</v>
      </c>
      <c r="R1151" t="s">
        <v>128</v>
      </c>
      <c r="T1151" s="4">
        <v>19704536000</v>
      </c>
      <c r="V1151" t="s">
        <v>11985</v>
      </c>
      <c r="W1151" t="s">
        <v>11986</v>
      </c>
      <c r="X1151" t="s">
        <v>11987</v>
      </c>
      <c r="Y1151" t="s">
        <v>11983</v>
      </c>
      <c r="AA1151" t="s">
        <v>11984</v>
      </c>
      <c r="AB1151" t="s">
        <v>471</v>
      </c>
      <c r="AC1151" s="3" t="str">
        <f>"80424"</f>
        <v>80424</v>
      </c>
      <c r="AD1151" t="s">
        <v>128</v>
      </c>
      <c r="AF1151" s="4">
        <v>19704536000</v>
      </c>
      <c r="AH1151" t="str">
        <f>"72111"</f>
        <v>72111</v>
      </c>
      <c r="AI1151" t="s">
        <v>287</v>
      </c>
      <c r="AJ1151" t="s">
        <v>1207</v>
      </c>
      <c r="AK1151" t="s">
        <v>1208</v>
      </c>
      <c r="AM1151" t="s">
        <v>1209</v>
      </c>
      <c r="AN1151" t="s">
        <v>2082</v>
      </c>
      <c r="AO1151" t="s">
        <v>2083</v>
      </c>
      <c r="AP1151" t="s">
        <v>195</v>
      </c>
      <c r="AQ1151" s="5">
        <v>33141</v>
      </c>
      <c r="AR1151" t="s">
        <v>128</v>
      </c>
      <c r="AT1151" s="4">
        <v>17863480376</v>
      </c>
      <c r="AV1151" t="s">
        <v>1211</v>
      </c>
      <c r="AW1151" t="s">
        <v>1212</v>
      </c>
      <c r="AX1151" t="s">
        <v>131</v>
      </c>
      <c r="AY1151" t="s">
        <v>131</v>
      </c>
      <c r="AZ1151" t="s">
        <v>131</v>
      </c>
      <c r="BA1151" t="s">
        <v>131</v>
      </c>
      <c r="BB1151" t="s">
        <v>131</v>
      </c>
      <c r="BC1151" t="s">
        <v>131</v>
      </c>
      <c r="BD1151" t="s">
        <v>131</v>
      </c>
      <c r="BE1151" t="s">
        <v>132</v>
      </c>
      <c r="BH1151" t="s">
        <v>3930</v>
      </c>
      <c r="BI1151" t="s">
        <v>131</v>
      </c>
      <c r="BL1151" t="s">
        <v>167</v>
      </c>
      <c r="BO1151" t="s">
        <v>131</v>
      </c>
      <c r="BP1151" t="s">
        <v>134</v>
      </c>
      <c r="BQ1151" t="s">
        <v>131</v>
      </c>
      <c r="BS1151" t="str">
        <f t="shared" si="82"/>
        <v>N/A</v>
      </c>
      <c r="BT1151" t="s">
        <v>135</v>
      </c>
      <c r="BU1151">
        <v>1</v>
      </c>
      <c r="BV1151" t="str">
        <f>"COOK"</f>
        <v>COOK</v>
      </c>
      <c r="BW1151" t="s">
        <v>131</v>
      </c>
      <c r="BX1151" t="str">
        <f>""</f>
        <v/>
      </c>
      <c r="BY1151" t="str">
        <f>""</f>
        <v/>
      </c>
      <c r="BZ1151" t="str">
        <f>""</f>
        <v/>
      </c>
      <c r="CA1151" t="str">
        <f>""</f>
        <v/>
      </c>
      <c r="CB1151" t="s">
        <v>131</v>
      </c>
      <c r="CF1151" t="s">
        <v>131</v>
      </c>
      <c r="CH1151" t="str">
        <f>""</f>
        <v/>
      </c>
      <c r="CI1151" t="s">
        <v>131</v>
      </c>
      <c r="CK1151" t="s">
        <v>131</v>
      </c>
      <c r="CL1151" t="str">
        <f>""</f>
        <v/>
      </c>
      <c r="CM1151" t="str">
        <f>""</f>
        <v/>
      </c>
      <c r="CN1151" t="str">
        <f>""</f>
        <v/>
      </c>
      <c r="CO1151" t="str">
        <f>""</f>
        <v/>
      </c>
      <c r="CP1151" t="str">
        <f>"35-2014.00"</f>
        <v>35-2014.00</v>
      </c>
      <c r="CQ1151" t="s">
        <v>581</v>
      </c>
      <c r="CR1151" t="s">
        <v>3930</v>
      </c>
      <c r="CS1151" t="s">
        <v>131</v>
      </c>
      <c r="CU1151" t="s">
        <v>11983</v>
      </c>
      <c r="CW1151" t="s">
        <v>11984</v>
      </c>
      <c r="CX1151" t="s">
        <v>471</v>
      </c>
      <c r="CZ1151" s="3" t="str">
        <f>"80424"</f>
        <v>80424</v>
      </c>
      <c r="DA1151" t="s">
        <v>131</v>
      </c>
      <c r="DB1151" t="str">
        <f>"35-2014"</f>
        <v>35-2014</v>
      </c>
      <c r="DC1151" t="s">
        <v>581</v>
      </c>
      <c r="DD1151" t="s">
        <v>134</v>
      </c>
      <c r="DE1151" t="s">
        <v>134</v>
      </c>
      <c r="DF1151" t="str">
        <f>""</f>
        <v/>
      </c>
      <c r="DH1151" s="6">
        <v>16.7</v>
      </c>
      <c r="DI1151" t="s">
        <v>344</v>
      </c>
      <c r="DK1151" t="s">
        <v>345</v>
      </c>
      <c r="DR1151" t="s">
        <v>1750</v>
      </c>
      <c r="DS1151" s="6">
        <v>16.7</v>
      </c>
      <c r="DT1151" t="s">
        <v>424</v>
      </c>
      <c r="DU1151" s="1">
        <v>44377</v>
      </c>
      <c r="DV1151" s="1">
        <v>44466</v>
      </c>
    </row>
    <row r="1152" spans="1:126" ht="15" customHeight="1" x14ac:dyDescent="0.35">
      <c r="A1152" t="s">
        <v>11981</v>
      </c>
      <c r="B1152" t="s">
        <v>318</v>
      </c>
      <c r="C1152" s="1">
        <v>44350</v>
      </c>
      <c r="D1152" s="1">
        <v>44377</v>
      </c>
      <c r="H1152" t="s">
        <v>319</v>
      </c>
      <c r="I1152" t="s">
        <v>11982</v>
      </c>
      <c r="J1152" t="s">
        <v>2441</v>
      </c>
      <c r="L1152" t="s">
        <v>9863</v>
      </c>
      <c r="M1152" t="s">
        <v>11983</v>
      </c>
      <c r="O1152" t="s">
        <v>11984</v>
      </c>
      <c r="P1152" t="s">
        <v>467</v>
      </c>
      <c r="Q1152" s="3">
        <v>80424</v>
      </c>
      <c r="R1152" t="s">
        <v>128</v>
      </c>
      <c r="T1152" s="4">
        <v>19704536000</v>
      </c>
      <c r="V1152" t="s">
        <v>11985</v>
      </c>
      <c r="W1152" t="s">
        <v>11986</v>
      </c>
      <c r="X1152" t="s">
        <v>11987</v>
      </c>
      <c r="Y1152" t="s">
        <v>11983</v>
      </c>
      <c r="AA1152" t="s">
        <v>11984</v>
      </c>
      <c r="AB1152" t="s">
        <v>471</v>
      </c>
      <c r="AC1152" s="3" t="str">
        <f>"80424"</f>
        <v>80424</v>
      </c>
      <c r="AD1152" t="s">
        <v>128</v>
      </c>
      <c r="AF1152" s="4">
        <v>19704536000</v>
      </c>
      <c r="AH1152" t="str">
        <f>"72111"</f>
        <v>72111</v>
      </c>
      <c r="AI1152" t="s">
        <v>287</v>
      </c>
      <c r="AJ1152" t="s">
        <v>1207</v>
      </c>
      <c r="AK1152" t="s">
        <v>1208</v>
      </c>
      <c r="AM1152" t="s">
        <v>1209</v>
      </c>
      <c r="AN1152" t="s">
        <v>2082</v>
      </c>
      <c r="AO1152" t="s">
        <v>2083</v>
      </c>
      <c r="AP1152" t="s">
        <v>195</v>
      </c>
      <c r="AQ1152" s="5">
        <v>33141</v>
      </c>
      <c r="AR1152" t="s">
        <v>128</v>
      </c>
      <c r="AT1152" s="4">
        <v>17863480376</v>
      </c>
      <c r="AV1152" t="s">
        <v>1211</v>
      </c>
      <c r="AW1152" t="s">
        <v>1212</v>
      </c>
      <c r="AX1152" t="s">
        <v>131</v>
      </c>
      <c r="AY1152" t="s">
        <v>131</v>
      </c>
      <c r="AZ1152" t="s">
        <v>131</v>
      </c>
      <c r="BA1152" t="s">
        <v>131</v>
      </c>
      <c r="BB1152" t="s">
        <v>131</v>
      </c>
      <c r="BC1152" t="s">
        <v>131</v>
      </c>
      <c r="BD1152" t="s">
        <v>131</v>
      </c>
      <c r="BE1152" t="s">
        <v>132</v>
      </c>
      <c r="BH1152" t="s">
        <v>11988</v>
      </c>
      <c r="BI1152" t="s">
        <v>131</v>
      </c>
      <c r="BL1152" t="s">
        <v>167</v>
      </c>
      <c r="BO1152" t="s">
        <v>131</v>
      </c>
      <c r="BP1152" t="s">
        <v>134</v>
      </c>
      <c r="BQ1152" t="s">
        <v>131</v>
      </c>
      <c r="BS1152" t="str">
        <f t="shared" si="82"/>
        <v>N/A</v>
      </c>
      <c r="BT1152" t="s">
        <v>135</v>
      </c>
      <c r="BU1152">
        <v>1</v>
      </c>
      <c r="BV1152" t="str">
        <f>"DINING ROOM ATTENDANT"</f>
        <v>DINING ROOM ATTENDANT</v>
      </c>
      <c r="BW1152" t="s">
        <v>131</v>
      </c>
      <c r="BX1152" t="str">
        <f>""</f>
        <v/>
      </c>
      <c r="BY1152" t="str">
        <f>""</f>
        <v/>
      </c>
      <c r="BZ1152" t="str">
        <f>""</f>
        <v/>
      </c>
      <c r="CA1152" t="str">
        <f>""</f>
        <v/>
      </c>
      <c r="CB1152" t="s">
        <v>131</v>
      </c>
      <c r="CF1152" t="s">
        <v>131</v>
      </c>
      <c r="CH1152" t="str">
        <f>""</f>
        <v/>
      </c>
      <c r="CI1152" t="s">
        <v>131</v>
      </c>
      <c r="CK1152" t="s">
        <v>131</v>
      </c>
      <c r="CL1152" t="str">
        <f>""</f>
        <v/>
      </c>
      <c r="CM1152" t="str">
        <f>""</f>
        <v/>
      </c>
      <c r="CN1152" t="str">
        <f>""</f>
        <v/>
      </c>
      <c r="CO1152" t="str">
        <f>""</f>
        <v/>
      </c>
      <c r="CP1152" t="str">
        <f>"35-9011.00"</f>
        <v>35-9011.00</v>
      </c>
      <c r="CQ1152" t="s">
        <v>1016</v>
      </c>
      <c r="CR1152" t="s">
        <v>11988</v>
      </c>
      <c r="CS1152" t="s">
        <v>131</v>
      </c>
      <c r="CU1152" t="s">
        <v>11983</v>
      </c>
      <c r="CW1152" t="s">
        <v>11984</v>
      </c>
      <c r="CX1152" t="s">
        <v>471</v>
      </c>
      <c r="CZ1152" s="3" t="str">
        <f>"80424"</f>
        <v>80424</v>
      </c>
      <c r="DA1152" t="s">
        <v>131</v>
      </c>
      <c r="DB1152" t="str">
        <f>"35-3022"</f>
        <v>35-3022</v>
      </c>
      <c r="DC1152" t="s">
        <v>5154</v>
      </c>
      <c r="DD1152" t="s">
        <v>134</v>
      </c>
      <c r="DE1152" t="s">
        <v>134</v>
      </c>
      <c r="DF1152" t="str">
        <f>""</f>
        <v/>
      </c>
      <c r="DH1152" s="6">
        <v>13.89</v>
      </c>
      <c r="DI1152" t="s">
        <v>344</v>
      </c>
      <c r="DK1152" t="s">
        <v>345</v>
      </c>
      <c r="DR1152" t="s">
        <v>1750</v>
      </c>
      <c r="DS1152" s="6">
        <v>13.89</v>
      </c>
      <c r="DT1152" t="s">
        <v>424</v>
      </c>
      <c r="DU1152" s="1">
        <v>44377</v>
      </c>
      <c r="DV1152" s="1">
        <v>44466</v>
      </c>
    </row>
    <row r="1153" spans="1:126" ht="15" customHeight="1" x14ac:dyDescent="0.35">
      <c r="A1153" t="s">
        <v>10890</v>
      </c>
      <c r="B1153" t="s">
        <v>318</v>
      </c>
      <c r="C1153" s="1">
        <v>44350</v>
      </c>
      <c r="D1153" s="1">
        <v>44377</v>
      </c>
      <c r="H1153" t="s">
        <v>319</v>
      </c>
      <c r="I1153" t="s">
        <v>1224</v>
      </c>
      <c r="J1153" t="s">
        <v>1225</v>
      </c>
      <c r="K1153" t="s">
        <v>134</v>
      </c>
      <c r="L1153" t="s">
        <v>1226</v>
      </c>
      <c r="M1153" t="s">
        <v>1227</v>
      </c>
      <c r="N1153" t="s">
        <v>1228</v>
      </c>
      <c r="O1153" t="s">
        <v>1229</v>
      </c>
      <c r="P1153" t="s">
        <v>412</v>
      </c>
      <c r="Q1153" s="3">
        <v>78266</v>
      </c>
      <c r="R1153" t="s">
        <v>128</v>
      </c>
      <c r="T1153" s="4">
        <v>18305844555</v>
      </c>
      <c r="V1153" t="s">
        <v>1230</v>
      </c>
      <c r="W1153" t="s">
        <v>1231</v>
      </c>
      <c r="Y1153" t="s">
        <v>1232</v>
      </c>
      <c r="AA1153" t="s">
        <v>1233</v>
      </c>
      <c r="AB1153" t="s">
        <v>1234</v>
      </c>
      <c r="AC1153" s="3" t="str">
        <f>"59405"</f>
        <v>59405</v>
      </c>
      <c r="AD1153" t="s">
        <v>128</v>
      </c>
      <c r="AF1153" s="4">
        <v>14064547645</v>
      </c>
      <c r="AH1153" t="str">
        <f>"484110"</f>
        <v>484110</v>
      </c>
      <c r="AI1153" t="s">
        <v>287</v>
      </c>
      <c r="AJ1153" t="s">
        <v>1224</v>
      </c>
      <c r="AK1153" t="s">
        <v>1225</v>
      </c>
      <c r="AL1153" t="s">
        <v>134</v>
      </c>
      <c r="AM1153" t="s">
        <v>1227</v>
      </c>
      <c r="AN1153" t="s">
        <v>1228</v>
      </c>
      <c r="AO1153" t="s">
        <v>1229</v>
      </c>
      <c r="AP1153" t="s">
        <v>400</v>
      </c>
      <c r="AQ1153" s="5">
        <v>78266</v>
      </c>
      <c r="AR1153" t="s">
        <v>128</v>
      </c>
      <c r="AT1153" s="4">
        <v>18305844555</v>
      </c>
      <c r="AV1153" t="s">
        <v>1235</v>
      </c>
      <c r="AW1153" t="s">
        <v>1236</v>
      </c>
      <c r="AX1153" t="s">
        <v>131</v>
      </c>
      <c r="AY1153" t="s">
        <v>131</v>
      </c>
      <c r="AZ1153" t="s">
        <v>131</v>
      </c>
      <c r="BA1153" t="s">
        <v>131</v>
      </c>
      <c r="BB1153" t="s">
        <v>131</v>
      </c>
      <c r="BC1153" t="s">
        <v>131</v>
      </c>
      <c r="BD1153" t="s">
        <v>131</v>
      </c>
      <c r="BE1153" t="s">
        <v>132</v>
      </c>
      <c r="BH1153" t="s">
        <v>1237</v>
      </c>
      <c r="BI1153" t="s">
        <v>131</v>
      </c>
      <c r="BL1153" t="s">
        <v>167</v>
      </c>
      <c r="BO1153" t="s">
        <v>131</v>
      </c>
      <c r="BP1153" t="s">
        <v>134</v>
      </c>
      <c r="BQ1153" t="s">
        <v>131</v>
      </c>
      <c r="BS1153" t="str">
        <f t="shared" si="82"/>
        <v>N/A</v>
      </c>
      <c r="BT1153" t="s">
        <v>135</v>
      </c>
      <c r="BU1153">
        <v>3</v>
      </c>
      <c r="BV1153" t="str">
        <f>"HEAVY TRUCK AND TRAILER OPERATION"</f>
        <v>HEAVY TRUCK AND TRAILER OPERATION</v>
      </c>
      <c r="BW1153" t="s">
        <v>135</v>
      </c>
      <c r="BX1153" t="str">
        <f>"MUST HAVEA CLASS A CDL WITHIN 30 DAYS OF HIRE"</f>
        <v>MUST HAVEA CLASS A CDL WITHIN 30 DAYS OF HIRE</v>
      </c>
      <c r="BY1153" t="str">
        <f>""</f>
        <v/>
      </c>
      <c r="BZ1153" t="str">
        <f>""</f>
        <v/>
      </c>
      <c r="CA1153" t="str">
        <f>""</f>
        <v/>
      </c>
      <c r="CB1153" t="s">
        <v>131</v>
      </c>
      <c r="CF1153" t="s">
        <v>131</v>
      </c>
      <c r="CH1153" t="str">
        <f>""</f>
        <v/>
      </c>
      <c r="CI1153" t="s">
        <v>131</v>
      </c>
      <c r="CK1153" t="s">
        <v>131</v>
      </c>
      <c r="CL1153" t="str">
        <f>""</f>
        <v/>
      </c>
      <c r="CM1153" t="str">
        <f>""</f>
        <v/>
      </c>
      <c r="CN1153" t="str">
        <f>""</f>
        <v/>
      </c>
      <c r="CO1153" t="str">
        <f>""</f>
        <v/>
      </c>
      <c r="CP1153" t="str">
        <f>"53-3032.00"</f>
        <v>53-3032.00</v>
      </c>
      <c r="CQ1153" t="s">
        <v>1238</v>
      </c>
      <c r="CR1153" t="s">
        <v>1239</v>
      </c>
      <c r="CS1153" t="s">
        <v>135</v>
      </c>
      <c r="CT1153" t="s">
        <v>1240</v>
      </c>
      <c r="CU1153" t="s">
        <v>10891</v>
      </c>
      <c r="CW1153" t="s">
        <v>1242</v>
      </c>
      <c r="CX1153" t="s">
        <v>1243</v>
      </c>
      <c r="CZ1153" s="3" t="str">
        <f>"83301"</f>
        <v>83301</v>
      </c>
      <c r="DA1153" t="s">
        <v>135</v>
      </c>
      <c r="DB1153" t="str">
        <f>"53-3032"</f>
        <v>53-3032</v>
      </c>
      <c r="DC1153" t="s">
        <v>1238</v>
      </c>
      <c r="DD1153" t="s">
        <v>134</v>
      </c>
      <c r="DE1153" t="s">
        <v>134</v>
      </c>
      <c r="DF1153" t="str">
        <f>""</f>
        <v/>
      </c>
      <c r="DH1153" s="6">
        <v>15.91</v>
      </c>
      <c r="DI1153" t="s">
        <v>344</v>
      </c>
      <c r="DK1153" t="s">
        <v>345</v>
      </c>
      <c r="DS1153" s="6">
        <v>22.85</v>
      </c>
      <c r="DT1153" s="2" t="s">
        <v>347</v>
      </c>
      <c r="DU1153" s="1">
        <v>44377</v>
      </c>
      <c r="DV1153" s="1">
        <v>44466</v>
      </c>
    </row>
    <row r="1154" spans="1:126" ht="15" customHeight="1" x14ac:dyDescent="0.35">
      <c r="A1154" t="s">
        <v>11917</v>
      </c>
      <c r="B1154" t="s">
        <v>318</v>
      </c>
      <c r="C1154" s="1">
        <v>44350</v>
      </c>
      <c r="D1154" s="1">
        <v>44377</v>
      </c>
      <c r="H1154" t="s">
        <v>319</v>
      </c>
      <c r="I1154" t="s">
        <v>11918</v>
      </c>
      <c r="J1154" t="s">
        <v>11919</v>
      </c>
      <c r="L1154" t="s">
        <v>349</v>
      </c>
      <c r="M1154" t="s">
        <v>11920</v>
      </c>
      <c r="O1154" t="s">
        <v>6529</v>
      </c>
      <c r="P1154" t="s">
        <v>412</v>
      </c>
      <c r="Q1154" s="3">
        <v>77598</v>
      </c>
      <c r="R1154" t="s">
        <v>128</v>
      </c>
      <c r="T1154" s="4">
        <v>12812801100</v>
      </c>
      <c r="V1154" t="s">
        <v>134</v>
      </c>
      <c r="W1154" t="s">
        <v>11921</v>
      </c>
      <c r="Y1154" t="s">
        <v>11920</v>
      </c>
      <c r="AA1154" t="s">
        <v>6529</v>
      </c>
      <c r="AB1154" t="s">
        <v>400</v>
      </c>
      <c r="AC1154" s="3" t="str">
        <f>"77598"</f>
        <v>77598</v>
      </c>
      <c r="AD1154" t="s">
        <v>128</v>
      </c>
      <c r="AF1154" s="4">
        <v>12812801100</v>
      </c>
      <c r="AH1154" t="str">
        <f>"56173"</f>
        <v>56173</v>
      </c>
      <c r="AI1154" t="s">
        <v>287</v>
      </c>
      <c r="AJ1154" t="s">
        <v>2917</v>
      </c>
      <c r="AK1154" t="s">
        <v>2918</v>
      </c>
      <c r="AL1154" t="s">
        <v>610</v>
      </c>
      <c r="AM1154" t="s">
        <v>3772</v>
      </c>
      <c r="AO1154" t="s">
        <v>3773</v>
      </c>
      <c r="AP1154" t="s">
        <v>306</v>
      </c>
      <c r="AQ1154" s="5">
        <v>22903</v>
      </c>
      <c r="AR1154" t="s">
        <v>128</v>
      </c>
      <c r="AT1154" s="4">
        <v>14342634300</v>
      </c>
      <c r="AV1154" t="s">
        <v>5385</v>
      </c>
      <c r="AW1154" t="s">
        <v>2923</v>
      </c>
      <c r="AX1154" t="s">
        <v>131</v>
      </c>
      <c r="AY1154" t="s">
        <v>131</v>
      </c>
      <c r="AZ1154" t="s">
        <v>131</v>
      </c>
      <c r="BA1154" t="s">
        <v>131</v>
      </c>
      <c r="BB1154" t="s">
        <v>131</v>
      </c>
      <c r="BC1154" t="s">
        <v>131</v>
      </c>
      <c r="BD1154" t="s">
        <v>131</v>
      </c>
      <c r="BE1154" t="s">
        <v>132</v>
      </c>
      <c r="BH1154" t="s">
        <v>11922</v>
      </c>
      <c r="BI1154" t="s">
        <v>131</v>
      </c>
      <c r="BL1154" t="s">
        <v>167</v>
      </c>
      <c r="BO1154" t="s">
        <v>131</v>
      </c>
      <c r="BP1154" t="s">
        <v>134</v>
      </c>
      <c r="BQ1154" t="s">
        <v>131</v>
      </c>
      <c r="BS1154" t="str">
        <f t="shared" si="82"/>
        <v>N/A</v>
      </c>
      <c r="BT1154" t="s">
        <v>131</v>
      </c>
      <c r="BV1154" t="str">
        <f>""</f>
        <v/>
      </c>
      <c r="BW1154" t="s">
        <v>135</v>
      </c>
      <c r="BX1154" t="str">
        <f>""</f>
        <v/>
      </c>
      <c r="BY1154" t="str">
        <f>""</f>
        <v/>
      </c>
      <c r="BZ1154" t="str">
        <f>""</f>
        <v/>
      </c>
      <c r="CA1154" t="s">
        <v>5184</v>
      </c>
      <c r="CB1154" t="s">
        <v>131</v>
      </c>
      <c r="CF1154" t="s">
        <v>131</v>
      </c>
      <c r="CH1154" t="str">
        <f>""</f>
        <v/>
      </c>
      <c r="CI1154" t="s">
        <v>131</v>
      </c>
      <c r="CK1154" t="s">
        <v>131</v>
      </c>
      <c r="CL1154" t="str">
        <f>""</f>
        <v/>
      </c>
      <c r="CM1154" t="str">
        <f>""</f>
        <v/>
      </c>
      <c r="CN1154" t="str">
        <f>""</f>
        <v/>
      </c>
      <c r="CO1154" t="str">
        <f>""</f>
        <v/>
      </c>
      <c r="CP1154" t="str">
        <f>"37-3013.00"</f>
        <v>37-3013.00</v>
      </c>
      <c r="CQ1154" t="s">
        <v>4299</v>
      </c>
      <c r="CR1154" t="s">
        <v>2924</v>
      </c>
      <c r="CS1154" t="s">
        <v>135</v>
      </c>
      <c r="CT1154" t="s">
        <v>2925</v>
      </c>
      <c r="CU1154" t="s">
        <v>11923</v>
      </c>
      <c r="CW1154" t="s">
        <v>2139</v>
      </c>
      <c r="CX1154" t="s">
        <v>643</v>
      </c>
      <c r="CZ1154" s="3" t="str">
        <f>"30102"</f>
        <v>30102</v>
      </c>
      <c r="DA1154" t="s">
        <v>135</v>
      </c>
      <c r="DB1154" t="str">
        <f>"37-3013"</f>
        <v>37-3013</v>
      </c>
      <c r="DC1154" t="s">
        <v>4299</v>
      </c>
      <c r="DD1154" t="s">
        <v>134</v>
      </c>
      <c r="DE1154" t="s">
        <v>134</v>
      </c>
      <c r="DF1154" t="str">
        <f>""</f>
        <v/>
      </c>
      <c r="DH1154" s="6">
        <v>15.3</v>
      </c>
      <c r="DI1154" t="s">
        <v>344</v>
      </c>
      <c r="DK1154" t="s">
        <v>345</v>
      </c>
      <c r="DS1154" s="6">
        <v>15.3</v>
      </c>
      <c r="DT1154" s="2" t="s">
        <v>347</v>
      </c>
      <c r="DU1154" s="1">
        <v>44377</v>
      </c>
      <c r="DV1154" s="1">
        <v>44466</v>
      </c>
    </row>
    <row r="1155" spans="1:126" ht="15" customHeight="1" x14ac:dyDescent="0.35">
      <c r="A1155" t="s">
        <v>14733</v>
      </c>
      <c r="B1155" t="s">
        <v>318</v>
      </c>
      <c r="C1155" s="1">
        <v>44350</v>
      </c>
      <c r="D1155" s="1">
        <v>44377</v>
      </c>
      <c r="H1155" t="s">
        <v>319</v>
      </c>
      <c r="I1155" t="s">
        <v>11918</v>
      </c>
      <c r="J1155" t="s">
        <v>11919</v>
      </c>
      <c r="L1155" t="s">
        <v>349</v>
      </c>
      <c r="M1155" t="s">
        <v>11920</v>
      </c>
      <c r="O1155" t="s">
        <v>6529</v>
      </c>
      <c r="P1155" t="s">
        <v>412</v>
      </c>
      <c r="Q1155" s="3">
        <v>77598</v>
      </c>
      <c r="R1155" t="s">
        <v>128</v>
      </c>
      <c r="T1155" s="4">
        <v>12812801100</v>
      </c>
      <c r="V1155" t="s">
        <v>134</v>
      </c>
      <c r="W1155" t="s">
        <v>14734</v>
      </c>
      <c r="Y1155" t="s">
        <v>11920</v>
      </c>
      <c r="AA1155" t="s">
        <v>6529</v>
      </c>
      <c r="AB1155" t="s">
        <v>400</v>
      </c>
      <c r="AC1155" s="3" t="str">
        <f>"77598"</f>
        <v>77598</v>
      </c>
      <c r="AD1155" t="s">
        <v>128</v>
      </c>
      <c r="AF1155" s="4">
        <v>12812801100</v>
      </c>
      <c r="AH1155" t="str">
        <f>"56173"</f>
        <v>56173</v>
      </c>
      <c r="AI1155" t="s">
        <v>287</v>
      </c>
      <c r="AJ1155" t="s">
        <v>2917</v>
      </c>
      <c r="AK1155" t="s">
        <v>2918</v>
      </c>
      <c r="AL1155" t="s">
        <v>610</v>
      </c>
      <c r="AM1155" t="s">
        <v>3772</v>
      </c>
      <c r="AO1155" t="s">
        <v>3773</v>
      </c>
      <c r="AP1155" t="s">
        <v>306</v>
      </c>
      <c r="AQ1155" s="5">
        <v>22903</v>
      </c>
      <c r="AR1155" t="s">
        <v>128</v>
      </c>
      <c r="AT1155" s="4">
        <v>14342634300</v>
      </c>
      <c r="AV1155" t="s">
        <v>5385</v>
      </c>
      <c r="AW1155" t="s">
        <v>2923</v>
      </c>
      <c r="AX1155" t="s">
        <v>131</v>
      </c>
      <c r="AY1155" t="s">
        <v>131</v>
      </c>
      <c r="AZ1155" t="s">
        <v>131</v>
      </c>
      <c r="BA1155" t="s">
        <v>131</v>
      </c>
      <c r="BB1155" t="s">
        <v>131</v>
      </c>
      <c r="BC1155" t="s">
        <v>131</v>
      </c>
      <c r="BD1155" t="s">
        <v>131</v>
      </c>
      <c r="BE1155" t="s">
        <v>132</v>
      </c>
      <c r="BH1155" t="s">
        <v>11922</v>
      </c>
      <c r="BI1155" t="s">
        <v>131</v>
      </c>
      <c r="BL1155" t="s">
        <v>167</v>
      </c>
      <c r="BO1155" t="s">
        <v>131</v>
      </c>
      <c r="BP1155" t="s">
        <v>134</v>
      </c>
      <c r="BQ1155" t="s">
        <v>131</v>
      </c>
      <c r="BS1155" t="str">
        <f t="shared" si="82"/>
        <v>N/A</v>
      </c>
      <c r="BT1155" t="s">
        <v>131</v>
      </c>
      <c r="BV1155" t="str">
        <f>""</f>
        <v/>
      </c>
      <c r="BW1155" t="s">
        <v>135</v>
      </c>
      <c r="BX1155" t="str">
        <f>""</f>
        <v/>
      </c>
      <c r="BY1155" t="str">
        <f>""</f>
        <v/>
      </c>
      <c r="BZ1155" t="str">
        <f>""</f>
        <v/>
      </c>
      <c r="CA1155" t="s">
        <v>5184</v>
      </c>
      <c r="CB1155" t="s">
        <v>131</v>
      </c>
      <c r="CF1155" t="s">
        <v>131</v>
      </c>
      <c r="CH1155" t="str">
        <f>""</f>
        <v/>
      </c>
      <c r="CI1155" t="s">
        <v>131</v>
      </c>
      <c r="CK1155" t="s">
        <v>131</v>
      </c>
      <c r="CL1155" t="str">
        <f>""</f>
        <v/>
      </c>
      <c r="CM1155" t="str">
        <f>""</f>
        <v/>
      </c>
      <c r="CN1155" t="str">
        <f>""</f>
        <v/>
      </c>
      <c r="CO1155" t="str">
        <f>""</f>
        <v/>
      </c>
      <c r="CP1155" t="str">
        <f>"37-3013.00"</f>
        <v>37-3013.00</v>
      </c>
      <c r="CQ1155" t="s">
        <v>4299</v>
      </c>
      <c r="CR1155" t="s">
        <v>2924</v>
      </c>
      <c r="CS1155" t="s">
        <v>135</v>
      </c>
      <c r="CT1155" t="s">
        <v>2925</v>
      </c>
      <c r="CU1155" t="s">
        <v>14735</v>
      </c>
      <c r="CW1155" t="s">
        <v>1592</v>
      </c>
      <c r="CX1155" t="s">
        <v>1218</v>
      </c>
      <c r="CZ1155" s="3" t="str">
        <f>"36526"</f>
        <v>36526</v>
      </c>
      <c r="DA1155" t="s">
        <v>135</v>
      </c>
      <c r="DB1155" t="str">
        <f>"37-3013"</f>
        <v>37-3013</v>
      </c>
      <c r="DC1155" t="s">
        <v>4299</v>
      </c>
      <c r="DD1155" t="s">
        <v>134</v>
      </c>
      <c r="DE1155" t="s">
        <v>134</v>
      </c>
      <c r="DF1155" t="str">
        <f>""</f>
        <v/>
      </c>
      <c r="DH1155" s="6">
        <v>18.57</v>
      </c>
      <c r="DI1155" t="s">
        <v>344</v>
      </c>
      <c r="DK1155" t="s">
        <v>345</v>
      </c>
      <c r="DS1155" s="6">
        <v>18.57</v>
      </c>
      <c r="DT1155" s="2" t="s">
        <v>347</v>
      </c>
      <c r="DU1155" s="1">
        <v>44377</v>
      </c>
      <c r="DV1155" s="1">
        <v>44466</v>
      </c>
    </row>
    <row r="1156" spans="1:126" ht="15" customHeight="1" x14ac:dyDescent="0.35">
      <c r="A1156" t="s">
        <v>18516</v>
      </c>
      <c r="B1156" t="s">
        <v>318</v>
      </c>
      <c r="C1156" s="1">
        <v>44350</v>
      </c>
      <c r="D1156" s="1">
        <v>44377</v>
      </c>
      <c r="H1156" t="s">
        <v>319</v>
      </c>
      <c r="I1156" t="s">
        <v>7169</v>
      </c>
      <c r="J1156" t="s">
        <v>7170</v>
      </c>
      <c r="L1156" t="s">
        <v>6383</v>
      </c>
      <c r="M1156" t="s">
        <v>9621</v>
      </c>
      <c r="O1156" t="s">
        <v>2078</v>
      </c>
      <c r="P1156" t="s">
        <v>194</v>
      </c>
      <c r="Q1156" s="3">
        <v>33040</v>
      </c>
      <c r="R1156" t="s">
        <v>128</v>
      </c>
      <c r="T1156" s="4">
        <v>16035592100</v>
      </c>
      <c r="V1156" t="s">
        <v>6384</v>
      </c>
      <c r="W1156" t="s">
        <v>9622</v>
      </c>
      <c r="X1156" t="s">
        <v>9623</v>
      </c>
      <c r="Y1156" t="s">
        <v>9621</v>
      </c>
      <c r="AA1156" t="s">
        <v>2078</v>
      </c>
      <c r="AB1156" t="s">
        <v>195</v>
      </c>
      <c r="AC1156" s="3" t="str">
        <f>"33040"</f>
        <v>33040</v>
      </c>
      <c r="AD1156" t="s">
        <v>128</v>
      </c>
      <c r="AF1156" s="4">
        <v>13052966925</v>
      </c>
      <c r="AH1156" t="str">
        <f>"72111"</f>
        <v>72111</v>
      </c>
      <c r="AI1156" t="s">
        <v>287</v>
      </c>
      <c r="AJ1156" t="s">
        <v>1207</v>
      </c>
      <c r="AK1156" t="s">
        <v>1208</v>
      </c>
      <c r="AM1156" t="s">
        <v>1209</v>
      </c>
      <c r="AN1156" t="s">
        <v>2082</v>
      </c>
      <c r="AO1156" t="s">
        <v>2083</v>
      </c>
      <c r="AP1156" t="s">
        <v>195</v>
      </c>
      <c r="AQ1156" s="5">
        <v>33141</v>
      </c>
      <c r="AR1156" t="s">
        <v>128</v>
      </c>
      <c r="AT1156" s="4">
        <v>17863480376</v>
      </c>
      <c r="AV1156" t="s">
        <v>1211</v>
      </c>
      <c r="AW1156" t="s">
        <v>1212</v>
      </c>
      <c r="AX1156" t="s">
        <v>131</v>
      </c>
      <c r="AY1156" t="s">
        <v>131</v>
      </c>
      <c r="AZ1156" t="s">
        <v>131</v>
      </c>
      <c r="BA1156" t="s">
        <v>131</v>
      </c>
      <c r="BB1156" t="s">
        <v>131</v>
      </c>
      <c r="BC1156" t="s">
        <v>131</v>
      </c>
      <c r="BD1156" t="s">
        <v>131</v>
      </c>
      <c r="BE1156" t="s">
        <v>132</v>
      </c>
      <c r="BH1156" t="s">
        <v>4277</v>
      </c>
      <c r="BI1156" t="s">
        <v>131</v>
      </c>
      <c r="BL1156" t="s">
        <v>167</v>
      </c>
      <c r="BO1156" t="s">
        <v>131</v>
      </c>
      <c r="BP1156" t="s">
        <v>134</v>
      </c>
      <c r="BQ1156" t="s">
        <v>131</v>
      </c>
      <c r="BS1156" t="str">
        <f t="shared" si="82"/>
        <v>N/A</v>
      </c>
      <c r="BT1156" t="s">
        <v>135</v>
      </c>
      <c r="BU1156">
        <v>1</v>
      </c>
      <c r="BV1156" t="str">
        <f>"HOUSEKEEPER/MAID/HOUSEMAN"</f>
        <v>HOUSEKEEPER/MAID/HOUSEMAN</v>
      </c>
      <c r="BW1156" t="s">
        <v>131</v>
      </c>
      <c r="BX1156" t="str">
        <f>""</f>
        <v/>
      </c>
      <c r="BY1156" t="str">
        <f>""</f>
        <v/>
      </c>
      <c r="BZ1156" t="str">
        <f>""</f>
        <v/>
      </c>
      <c r="CA1156" t="str">
        <f>""</f>
        <v/>
      </c>
      <c r="CB1156" t="s">
        <v>131</v>
      </c>
      <c r="CF1156" t="s">
        <v>131</v>
      </c>
      <c r="CH1156" t="str">
        <f>""</f>
        <v/>
      </c>
      <c r="CI1156" t="s">
        <v>131</v>
      </c>
      <c r="CK1156" t="s">
        <v>131</v>
      </c>
      <c r="CL1156" t="str">
        <f>""</f>
        <v/>
      </c>
      <c r="CM1156" t="str">
        <f>""</f>
        <v/>
      </c>
      <c r="CN1156" t="str">
        <f>""</f>
        <v/>
      </c>
      <c r="CO1156" t="str">
        <f>""</f>
        <v/>
      </c>
      <c r="CP1156" t="str">
        <f>"37-2012.00"</f>
        <v>37-2012.00</v>
      </c>
      <c r="CQ1156" t="s">
        <v>479</v>
      </c>
      <c r="CR1156" t="s">
        <v>4277</v>
      </c>
      <c r="CS1156" t="s">
        <v>131</v>
      </c>
      <c r="CU1156" t="s">
        <v>9621</v>
      </c>
      <c r="CW1156" t="s">
        <v>2078</v>
      </c>
      <c r="CX1156" t="s">
        <v>195</v>
      </c>
      <c r="CZ1156" s="3" t="str">
        <f>"33040"</f>
        <v>33040</v>
      </c>
      <c r="DA1156" t="s">
        <v>131</v>
      </c>
      <c r="DB1156" t="str">
        <f>"37-2012"</f>
        <v>37-2012</v>
      </c>
      <c r="DC1156" t="s">
        <v>479</v>
      </c>
      <c r="DD1156" t="s">
        <v>134</v>
      </c>
      <c r="DE1156" t="s">
        <v>134</v>
      </c>
      <c r="DF1156" t="str">
        <f>""</f>
        <v/>
      </c>
      <c r="DH1156" s="6">
        <v>12.28</v>
      </c>
      <c r="DI1156" t="s">
        <v>344</v>
      </c>
      <c r="DK1156" t="s">
        <v>345</v>
      </c>
      <c r="DR1156" t="s">
        <v>2085</v>
      </c>
      <c r="DS1156" s="6">
        <v>12.28</v>
      </c>
      <c r="DT1156" t="s">
        <v>424</v>
      </c>
      <c r="DU1156" s="1">
        <v>44377</v>
      </c>
      <c r="DV1156" s="1">
        <v>44466</v>
      </c>
    </row>
    <row r="1157" spans="1:126" ht="15" customHeight="1" x14ac:dyDescent="0.35">
      <c r="A1157" t="s">
        <v>9620</v>
      </c>
      <c r="B1157" t="s">
        <v>318</v>
      </c>
      <c r="C1157" s="1">
        <v>44350</v>
      </c>
      <c r="D1157" s="1">
        <v>44377</v>
      </c>
      <c r="H1157" t="s">
        <v>319</v>
      </c>
      <c r="I1157" t="s">
        <v>7169</v>
      </c>
      <c r="J1157" t="s">
        <v>7170</v>
      </c>
      <c r="L1157" t="s">
        <v>6383</v>
      </c>
      <c r="M1157" t="s">
        <v>9621</v>
      </c>
      <c r="O1157" t="s">
        <v>2078</v>
      </c>
      <c r="P1157" t="s">
        <v>194</v>
      </c>
      <c r="Q1157" s="3">
        <v>33040</v>
      </c>
      <c r="R1157" t="s">
        <v>128</v>
      </c>
      <c r="T1157" s="4">
        <v>16035592100</v>
      </c>
      <c r="V1157" t="s">
        <v>6384</v>
      </c>
      <c r="W1157" t="s">
        <v>9622</v>
      </c>
      <c r="X1157" t="s">
        <v>9623</v>
      </c>
      <c r="Y1157" t="s">
        <v>9621</v>
      </c>
      <c r="AA1157" t="s">
        <v>2078</v>
      </c>
      <c r="AB1157" t="s">
        <v>195</v>
      </c>
      <c r="AC1157" s="3" t="str">
        <f>"33040"</f>
        <v>33040</v>
      </c>
      <c r="AD1157" t="s">
        <v>128</v>
      </c>
      <c r="AF1157" s="4">
        <v>13052966925</v>
      </c>
      <c r="AH1157" t="str">
        <f>"72111"</f>
        <v>72111</v>
      </c>
      <c r="AI1157" t="s">
        <v>287</v>
      </c>
      <c r="AJ1157" t="s">
        <v>1207</v>
      </c>
      <c r="AK1157" t="s">
        <v>1208</v>
      </c>
      <c r="AM1157" t="s">
        <v>1209</v>
      </c>
      <c r="AN1157" t="s">
        <v>2082</v>
      </c>
      <c r="AO1157" t="s">
        <v>2083</v>
      </c>
      <c r="AP1157" t="s">
        <v>195</v>
      </c>
      <c r="AQ1157" s="5">
        <v>33141</v>
      </c>
      <c r="AR1157" t="s">
        <v>128</v>
      </c>
      <c r="AT1157" s="4">
        <v>17863480376</v>
      </c>
      <c r="AV1157" t="s">
        <v>1211</v>
      </c>
      <c r="AW1157" t="s">
        <v>1212</v>
      </c>
      <c r="AX1157" t="s">
        <v>131</v>
      </c>
      <c r="AY1157" t="s">
        <v>131</v>
      </c>
      <c r="AZ1157" t="s">
        <v>131</v>
      </c>
      <c r="BA1157" t="s">
        <v>131</v>
      </c>
      <c r="BB1157" t="s">
        <v>131</v>
      </c>
      <c r="BC1157" t="s">
        <v>131</v>
      </c>
      <c r="BD1157" t="s">
        <v>131</v>
      </c>
      <c r="BE1157" t="s">
        <v>132</v>
      </c>
      <c r="BH1157" t="s">
        <v>3930</v>
      </c>
      <c r="BI1157" t="s">
        <v>131</v>
      </c>
      <c r="BL1157" t="s">
        <v>167</v>
      </c>
      <c r="BO1157" t="s">
        <v>131</v>
      </c>
      <c r="BP1157" t="s">
        <v>134</v>
      </c>
      <c r="BQ1157" t="s">
        <v>131</v>
      </c>
      <c r="BS1157" t="str">
        <f t="shared" si="82"/>
        <v>N/A</v>
      </c>
      <c r="BT1157" t="s">
        <v>135</v>
      </c>
      <c r="BU1157">
        <v>1</v>
      </c>
      <c r="BV1157" t="str">
        <f>"COOK"</f>
        <v>COOK</v>
      </c>
      <c r="BW1157" t="s">
        <v>131</v>
      </c>
      <c r="BX1157" t="str">
        <f>""</f>
        <v/>
      </c>
      <c r="BY1157" t="str">
        <f>""</f>
        <v/>
      </c>
      <c r="BZ1157" t="str">
        <f>""</f>
        <v/>
      </c>
      <c r="CA1157" t="str">
        <f>""</f>
        <v/>
      </c>
      <c r="CB1157" t="s">
        <v>131</v>
      </c>
      <c r="CF1157" t="s">
        <v>131</v>
      </c>
      <c r="CH1157" t="str">
        <f>""</f>
        <v/>
      </c>
      <c r="CI1157" t="s">
        <v>131</v>
      </c>
      <c r="CK1157" t="s">
        <v>131</v>
      </c>
      <c r="CL1157" t="str">
        <f>""</f>
        <v/>
      </c>
      <c r="CM1157" t="str">
        <f>""</f>
        <v/>
      </c>
      <c r="CN1157" t="str">
        <f>""</f>
        <v/>
      </c>
      <c r="CO1157" t="str">
        <f>""</f>
        <v/>
      </c>
      <c r="CP1157" t="str">
        <f>"35-2014.00"</f>
        <v>35-2014.00</v>
      </c>
      <c r="CQ1157" t="s">
        <v>581</v>
      </c>
      <c r="CR1157" t="s">
        <v>3930</v>
      </c>
      <c r="CS1157" t="s">
        <v>131</v>
      </c>
      <c r="CU1157" t="s">
        <v>9621</v>
      </c>
      <c r="CW1157" t="s">
        <v>2078</v>
      </c>
      <c r="CX1157" t="s">
        <v>195</v>
      </c>
      <c r="CZ1157" s="3" t="str">
        <f>"33040"</f>
        <v>33040</v>
      </c>
      <c r="DA1157" t="s">
        <v>131</v>
      </c>
      <c r="DB1157" t="str">
        <f>"35-2014"</f>
        <v>35-2014</v>
      </c>
      <c r="DC1157" t="s">
        <v>581</v>
      </c>
      <c r="DD1157" t="s">
        <v>134</v>
      </c>
      <c r="DE1157" t="s">
        <v>134</v>
      </c>
      <c r="DF1157" t="str">
        <f>""</f>
        <v/>
      </c>
      <c r="DH1157" s="6">
        <v>15.55</v>
      </c>
      <c r="DI1157" t="s">
        <v>344</v>
      </c>
      <c r="DK1157" t="s">
        <v>345</v>
      </c>
      <c r="DR1157" t="s">
        <v>2085</v>
      </c>
      <c r="DS1157" s="6">
        <v>15.55</v>
      </c>
      <c r="DT1157" t="s">
        <v>424</v>
      </c>
      <c r="DU1157" s="1">
        <v>44377</v>
      </c>
      <c r="DV1157" s="1">
        <v>44466</v>
      </c>
    </row>
    <row r="1158" spans="1:126" ht="15" customHeight="1" x14ac:dyDescent="0.35">
      <c r="A1158" t="s">
        <v>12883</v>
      </c>
      <c r="B1158" t="s">
        <v>318</v>
      </c>
      <c r="C1158" s="1">
        <v>44350</v>
      </c>
      <c r="D1158" s="1">
        <v>44377</v>
      </c>
      <c r="H1158" t="s">
        <v>319</v>
      </c>
      <c r="I1158" t="s">
        <v>3311</v>
      </c>
      <c r="J1158" t="s">
        <v>9842</v>
      </c>
      <c r="L1158" t="s">
        <v>2076</v>
      </c>
      <c r="M1158" t="s">
        <v>9848</v>
      </c>
      <c r="O1158" t="s">
        <v>9844</v>
      </c>
      <c r="P1158" t="s">
        <v>194</v>
      </c>
      <c r="Q1158" s="3">
        <v>32407</v>
      </c>
      <c r="R1158" t="s">
        <v>128</v>
      </c>
      <c r="T1158" s="4">
        <v>18502337593</v>
      </c>
      <c r="V1158" t="s">
        <v>9845</v>
      </c>
      <c r="W1158" t="s">
        <v>9846</v>
      </c>
      <c r="X1158" t="s">
        <v>9847</v>
      </c>
      <c r="Y1158" t="s">
        <v>9848</v>
      </c>
      <c r="AA1158" t="s">
        <v>9844</v>
      </c>
      <c r="AB1158" t="s">
        <v>195</v>
      </c>
      <c r="AC1158" s="3" t="str">
        <f>"32407"</f>
        <v>32407</v>
      </c>
      <c r="AD1158" t="s">
        <v>128</v>
      </c>
      <c r="AF1158" s="4">
        <v>18502337594</v>
      </c>
      <c r="AH1158" t="str">
        <f>"72111"</f>
        <v>72111</v>
      </c>
      <c r="AI1158" t="s">
        <v>167</v>
      </c>
      <c r="AX1158" t="s">
        <v>131</v>
      </c>
      <c r="AY1158" t="s">
        <v>131</v>
      </c>
      <c r="AZ1158" t="s">
        <v>131</v>
      </c>
      <c r="BA1158" t="s">
        <v>131</v>
      </c>
      <c r="BB1158" t="s">
        <v>131</v>
      </c>
      <c r="BC1158" t="s">
        <v>131</v>
      </c>
      <c r="BD1158" t="s">
        <v>131</v>
      </c>
      <c r="BE1158" t="s">
        <v>132</v>
      </c>
      <c r="BH1158" t="s">
        <v>4277</v>
      </c>
      <c r="BI1158" t="s">
        <v>131</v>
      </c>
      <c r="BL1158" t="s">
        <v>167</v>
      </c>
      <c r="BO1158" t="s">
        <v>131</v>
      </c>
      <c r="BP1158" t="s">
        <v>134</v>
      </c>
      <c r="BQ1158" t="s">
        <v>131</v>
      </c>
      <c r="BS1158" t="str">
        <f t="shared" si="82"/>
        <v>N/A</v>
      </c>
      <c r="BT1158" t="s">
        <v>135</v>
      </c>
      <c r="BU1158">
        <v>1</v>
      </c>
      <c r="BV1158" t="str">
        <f>"MAID/HOUSEKEEPER/HOUSEMAN"</f>
        <v>MAID/HOUSEKEEPER/HOUSEMAN</v>
      </c>
      <c r="BW1158" t="s">
        <v>131</v>
      </c>
      <c r="BX1158" t="str">
        <f>""</f>
        <v/>
      </c>
      <c r="BY1158" t="str">
        <f>""</f>
        <v/>
      </c>
      <c r="BZ1158" t="str">
        <f>""</f>
        <v/>
      </c>
      <c r="CA1158" t="str">
        <f>""</f>
        <v/>
      </c>
      <c r="CB1158" t="s">
        <v>131</v>
      </c>
      <c r="CF1158" t="s">
        <v>131</v>
      </c>
      <c r="CH1158" t="str">
        <f>""</f>
        <v/>
      </c>
      <c r="CI1158" t="s">
        <v>131</v>
      </c>
      <c r="CK1158" t="s">
        <v>131</v>
      </c>
      <c r="CL1158" t="str">
        <f>""</f>
        <v/>
      </c>
      <c r="CM1158" t="str">
        <f>""</f>
        <v/>
      </c>
      <c r="CN1158" t="str">
        <f>""</f>
        <v/>
      </c>
      <c r="CO1158" t="str">
        <f>""</f>
        <v/>
      </c>
      <c r="CP1158" t="str">
        <f>"37-2012.00"</f>
        <v>37-2012.00</v>
      </c>
      <c r="CQ1158" t="s">
        <v>479</v>
      </c>
      <c r="CR1158" t="s">
        <v>4277</v>
      </c>
      <c r="CS1158" t="s">
        <v>131</v>
      </c>
      <c r="CU1158" t="s">
        <v>9848</v>
      </c>
      <c r="CW1158" t="s">
        <v>9844</v>
      </c>
      <c r="CX1158" t="s">
        <v>195</v>
      </c>
      <c r="CZ1158" s="3" t="str">
        <f>"32407"</f>
        <v>32407</v>
      </c>
      <c r="DA1158" t="s">
        <v>135</v>
      </c>
      <c r="DB1158" t="str">
        <f>"37-2012"</f>
        <v>37-2012</v>
      </c>
      <c r="DC1158" t="s">
        <v>479</v>
      </c>
      <c r="DD1158" t="s">
        <v>134</v>
      </c>
      <c r="DE1158" t="s">
        <v>134</v>
      </c>
      <c r="DF1158" t="str">
        <f>""</f>
        <v/>
      </c>
      <c r="DH1158" s="6">
        <v>12.23</v>
      </c>
      <c r="DI1158" t="s">
        <v>344</v>
      </c>
      <c r="DK1158" t="s">
        <v>345</v>
      </c>
      <c r="DR1158" t="s">
        <v>9850</v>
      </c>
      <c r="DS1158" s="6">
        <v>12.23</v>
      </c>
      <c r="DT1158" t="s">
        <v>424</v>
      </c>
      <c r="DU1158" s="1">
        <v>44377</v>
      </c>
      <c r="DV1158" s="1">
        <v>44466</v>
      </c>
    </row>
    <row r="1159" spans="1:126" ht="15" customHeight="1" x14ac:dyDescent="0.35">
      <c r="A1159" t="s">
        <v>17157</v>
      </c>
      <c r="B1159" t="s">
        <v>318</v>
      </c>
      <c r="C1159" s="1">
        <v>44350</v>
      </c>
      <c r="D1159" s="1">
        <v>44377</v>
      </c>
      <c r="H1159" t="s">
        <v>319</v>
      </c>
      <c r="I1159" t="s">
        <v>3311</v>
      </c>
      <c r="J1159" t="s">
        <v>9842</v>
      </c>
      <c r="L1159" t="s">
        <v>2076</v>
      </c>
      <c r="M1159" t="s">
        <v>9848</v>
      </c>
      <c r="O1159" t="s">
        <v>9844</v>
      </c>
      <c r="P1159" t="s">
        <v>194</v>
      </c>
      <c r="Q1159" s="3">
        <v>32407</v>
      </c>
      <c r="R1159" t="s">
        <v>128</v>
      </c>
      <c r="T1159" s="4">
        <v>18502337594</v>
      </c>
      <c r="V1159" t="s">
        <v>9845</v>
      </c>
      <c r="W1159" t="s">
        <v>9846</v>
      </c>
      <c r="X1159" t="s">
        <v>9847</v>
      </c>
      <c r="Y1159" t="s">
        <v>9848</v>
      </c>
      <c r="AA1159" t="s">
        <v>9844</v>
      </c>
      <c r="AB1159" t="s">
        <v>195</v>
      </c>
      <c r="AC1159" s="3" t="str">
        <f>"32407"</f>
        <v>32407</v>
      </c>
      <c r="AD1159" t="s">
        <v>128</v>
      </c>
      <c r="AF1159" s="4">
        <v>18502337594</v>
      </c>
      <c r="AH1159" t="str">
        <f>"72111"</f>
        <v>72111</v>
      </c>
      <c r="AI1159" t="s">
        <v>167</v>
      </c>
      <c r="AX1159" t="s">
        <v>131</v>
      </c>
      <c r="AY1159" t="s">
        <v>131</v>
      </c>
      <c r="AZ1159" t="s">
        <v>131</v>
      </c>
      <c r="BA1159" t="s">
        <v>131</v>
      </c>
      <c r="BB1159" t="s">
        <v>131</v>
      </c>
      <c r="BC1159" t="s">
        <v>131</v>
      </c>
      <c r="BD1159" t="s">
        <v>131</v>
      </c>
      <c r="BE1159" t="s">
        <v>132</v>
      </c>
      <c r="BH1159" t="s">
        <v>17158</v>
      </c>
      <c r="BI1159" t="s">
        <v>131</v>
      </c>
      <c r="BL1159" t="s">
        <v>167</v>
      </c>
      <c r="BO1159" t="s">
        <v>131</v>
      </c>
      <c r="BP1159" t="s">
        <v>134</v>
      </c>
      <c r="BQ1159" t="s">
        <v>131</v>
      </c>
      <c r="BS1159" t="str">
        <f t="shared" si="82"/>
        <v>N/A</v>
      </c>
      <c r="BT1159" t="s">
        <v>135</v>
      </c>
      <c r="BU1159">
        <v>1</v>
      </c>
      <c r="BV1159" t="str">
        <f>" RESERVATION/HOTEL DESK CLERK"</f>
        <v xml:space="preserve"> RESERVATION/HOTEL DESK CLERK</v>
      </c>
      <c r="BW1159" t="s">
        <v>131</v>
      </c>
      <c r="BX1159" t="str">
        <f>""</f>
        <v/>
      </c>
      <c r="BY1159" t="str">
        <f>""</f>
        <v/>
      </c>
      <c r="BZ1159" t="str">
        <f>""</f>
        <v/>
      </c>
      <c r="CA1159" t="str">
        <f>""</f>
        <v/>
      </c>
      <c r="CB1159" t="s">
        <v>131</v>
      </c>
      <c r="CF1159" t="s">
        <v>131</v>
      </c>
      <c r="CH1159" t="str">
        <f>""</f>
        <v/>
      </c>
      <c r="CI1159" t="s">
        <v>131</v>
      </c>
      <c r="CK1159" t="s">
        <v>131</v>
      </c>
      <c r="CL1159" t="str">
        <f>""</f>
        <v/>
      </c>
      <c r="CM1159" t="str">
        <f>""</f>
        <v/>
      </c>
      <c r="CN1159" t="str">
        <f>""</f>
        <v/>
      </c>
      <c r="CO1159" t="str">
        <f>""</f>
        <v/>
      </c>
      <c r="CP1159" t="str">
        <f>"43-4081.00"</f>
        <v>43-4081.00</v>
      </c>
      <c r="CQ1159" t="s">
        <v>4499</v>
      </c>
      <c r="CR1159" t="s">
        <v>17158</v>
      </c>
      <c r="CS1159" t="s">
        <v>131</v>
      </c>
      <c r="CU1159" t="s">
        <v>9848</v>
      </c>
      <c r="CW1159" t="s">
        <v>9844</v>
      </c>
      <c r="CX1159" t="s">
        <v>195</v>
      </c>
      <c r="CZ1159" s="3" t="str">
        <f>"32407"</f>
        <v>32407</v>
      </c>
      <c r="DA1159" t="s">
        <v>135</v>
      </c>
      <c r="DB1159" t="str">
        <f>"43-4081"</f>
        <v>43-4081</v>
      </c>
      <c r="DC1159" t="s">
        <v>4499</v>
      </c>
      <c r="DD1159" t="s">
        <v>134</v>
      </c>
      <c r="DE1159" t="s">
        <v>134</v>
      </c>
      <c r="DF1159" t="str">
        <f>""</f>
        <v/>
      </c>
      <c r="DH1159" s="6">
        <v>13.02</v>
      </c>
      <c r="DI1159" t="s">
        <v>344</v>
      </c>
      <c r="DK1159" t="s">
        <v>345</v>
      </c>
      <c r="DR1159" t="s">
        <v>9850</v>
      </c>
      <c r="DS1159" s="6">
        <v>13.02</v>
      </c>
      <c r="DT1159" t="s">
        <v>424</v>
      </c>
      <c r="DU1159" s="1">
        <v>44377</v>
      </c>
      <c r="DV1159" s="1">
        <v>44466</v>
      </c>
    </row>
    <row r="1160" spans="1:126" ht="15" customHeight="1" x14ac:dyDescent="0.35">
      <c r="A1160" t="s">
        <v>16263</v>
      </c>
      <c r="B1160" t="s">
        <v>318</v>
      </c>
      <c r="C1160" s="1">
        <v>44350</v>
      </c>
      <c r="D1160" s="1">
        <v>44377</v>
      </c>
      <c r="H1160" t="s">
        <v>319</v>
      </c>
      <c r="I1160" t="s">
        <v>9497</v>
      </c>
      <c r="J1160" t="s">
        <v>980</v>
      </c>
      <c r="K1160" t="s">
        <v>1624</v>
      </c>
      <c r="L1160" t="s">
        <v>1105</v>
      </c>
      <c r="M1160" t="s">
        <v>9498</v>
      </c>
      <c r="O1160" t="s">
        <v>1040</v>
      </c>
      <c r="P1160" t="s">
        <v>248</v>
      </c>
      <c r="Q1160" s="3">
        <v>55912</v>
      </c>
      <c r="R1160" t="s">
        <v>128</v>
      </c>
      <c r="T1160" s="4">
        <v>15074211787</v>
      </c>
      <c r="V1160" t="s">
        <v>9499</v>
      </c>
      <c r="W1160" t="s">
        <v>9500</v>
      </c>
      <c r="Y1160" t="s">
        <v>9498</v>
      </c>
      <c r="AA1160" t="s">
        <v>1040</v>
      </c>
      <c r="AB1160" t="s">
        <v>249</v>
      </c>
      <c r="AC1160" s="3" t="str">
        <f>"55912"</f>
        <v>55912</v>
      </c>
      <c r="AD1160" t="s">
        <v>128</v>
      </c>
      <c r="AE1160" t="s">
        <v>248</v>
      </c>
      <c r="AF1160" s="4">
        <v>15074211787</v>
      </c>
      <c r="AH1160" t="str">
        <f>"7139"</f>
        <v>7139</v>
      </c>
      <c r="AI1160" t="s">
        <v>130</v>
      </c>
      <c r="AJ1160" t="s">
        <v>4153</v>
      </c>
      <c r="AK1160" t="s">
        <v>301</v>
      </c>
      <c r="AL1160" t="s">
        <v>1978</v>
      </c>
      <c r="AM1160" t="s">
        <v>4154</v>
      </c>
      <c r="AN1160" t="s">
        <v>1980</v>
      </c>
      <c r="AO1160" t="s">
        <v>4155</v>
      </c>
      <c r="AP1160" t="s">
        <v>382</v>
      </c>
      <c r="AQ1160" s="5">
        <v>21401</v>
      </c>
      <c r="AR1160" t="s">
        <v>128</v>
      </c>
      <c r="AT1160" s="4">
        <v>14105739955</v>
      </c>
      <c r="AU1160">
        <v>0</v>
      </c>
      <c r="AV1160" t="s">
        <v>4156</v>
      </c>
      <c r="AW1160" t="s">
        <v>4157</v>
      </c>
      <c r="AX1160" t="s">
        <v>131</v>
      </c>
      <c r="AY1160" t="s">
        <v>131</v>
      </c>
      <c r="AZ1160" t="s">
        <v>131</v>
      </c>
      <c r="BA1160" t="s">
        <v>131</v>
      </c>
      <c r="BB1160" t="s">
        <v>131</v>
      </c>
      <c r="BC1160" t="s">
        <v>131</v>
      </c>
      <c r="BD1160" t="s">
        <v>131</v>
      </c>
      <c r="BE1160" t="s">
        <v>132</v>
      </c>
      <c r="BH1160" t="s">
        <v>9501</v>
      </c>
      <c r="BI1160" t="s">
        <v>131</v>
      </c>
      <c r="BL1160" t="s">
        <v>167</v>
      </c>
      <c r="BO1160" t="s">
        <v>131</v>
      </c>
      <c r="BP1160" t="s">
        <v>134</v>
      </c>
      <c r="BQ1160" t="s">
        <v>131</v>
      </c>
      <c r="BS1160" t="str">
        <f t="shared" si="82"/>
        <v>N/A</v>
      </c>
      <c r="BT1160" t="s">
        <v>131</v>
      </c>
      <c r="BV1160" t="str">
        <f>""</f>
        <v/>
      </c>
      <c r="BW1160" t="s">
        <v>135</v>
      </c>
      <c r="BX1160" t="str">
        <f>""</f>
        <v/>
      </c>
      <c r="BY1160" t="str">
        <f>""</f>
        <v/>
      </c>
      <c r="BZ1160" t="str">
        <f>""</f>
        <v/>
      </c>
      <c r="CA1160" t="str">
        <f>"Must pass post-hire drug testing and criminal background check paid by employer.  Must be able to lift 50 lbs."</f>
        <v>Must pass post-hire drug testing and criminal background check paid by employer.  Must be able to lift 50 lbs.</v>
      </c>
      <c r="CB1160" t="s">
        <v>131</v>
      </c>
      <c r="CF1160" t="s">
        <v>131</v>
      </c>
      <c r="CH1160" t="str">
        <f>""</f>
        <v/>
      </c>
      <c r="CI1160" t="s">
        <v>131</v>
      </c>
      <c r="CK1160" t="s">
        <v>131</v>
      </c>
      <c r="CL1160" t="str">
        <f>""</f>
        <v/>
      </c>
      <c r="CM1160" t="str">
        <f>""</f>
        <v/>
      </c>
      <c r="CN1160" t="str">
        <f>""</f>
        <v/>
      </c>
      <c r="CO1160" t="str">
        <f>""</f>
        <v/>
      </c>
      <c r="CP1160" t="str">
        <f>"35-3022.00"</f>
        <v>35-3022.00</v>
      </c>
      <c r="CQ1160" t="s">
        <v>5154</v>
      </c>
      <c r="CR1160" t="s">
        <v>460</v>
      </c>
      <c r="CS1160" t="s">
        <v>131</v>
      </c>
      <c r="CU1160" t="s">
        <v>9502</v>
      </c>
      <c r="CW1160" t="s">
        <v>3344</v>
      </c>
      <c r="CX1160" t="s">
        <v>249</v>
      </c>
      <c r="CZ1160" s="3" t="str">
        <f>"55902"</f>
        <v>55902</v>
      </c>
      <c r="DA1160" t="s">
        <v>135</v>
      </c>
      <c r="DB1160" t="str">
        <f>"35-3022"</f>
        <v>35-3022</v>
      </c>
      <c r="DC1160" t="s">
        <v>5154</v>
      </c>
      <c r="DD1160" t="s">
        <v>134</v>
      </c>
      <c r="DE1160" t="s">
        <v>134</v>
      </c>
      <c r="DF1160" t="str">
        <f>""</f>
        <v/>
      </c>
      <c r="DH1160" s="6">
        <v>12.58</v>
      </c>
      <c r="DI1160" t="s">
        <v>344</v>
      </c>
      <c r="DK1160" t="s">
        <v>345</v>
      </c>
      <c r="DR1160" t="s">
        <v>9503</v>
      </c>
      <c r="DS1160" s="6">
        <v>12.58</v>
      </c>
      <c r="DT1160" t="s">
        <v>424</v>
      </c>
      <c r="DU1160" s="1">
        <v>44377</v>
      </c>
      <c r="DV1160" s="1">
        <v>44466</v>
      </c>
    </row>
    <row r="1161" spans="1:126" ht="15" customHeight="1" x14ac:dyDescent="0.35">
      <c r="A1161" t="s">
        <v>9496</v>
      </c>
      <c r="B1161" t="s">
        <v>318</v>
      </c>
      <c r="C1161" s="1">
        <v>44350</v>
      </c>
      <c r="D1161" s="1">
        <v>44377</v>
      </c>
      <c r="H1161" t="s">
        <v>319</v>
      </c>
      <c r="I1161" t="s">
        <v>9497</v>
      </c>
      <c r="J1161" t="s">
        <v>980</v>
      </c>
      <c r="K1161" t="s">
        <v>1624</v>
      </c>
      <c r="L1161" t="s">
        <v>1105</v>
      </c>
      <c r="M1161" t="s">
        <v>9498</v>
      </c>
      <c r="O1161" t="s">
        <v>1040</v>
      </c>
      <c r="P1161" t="s">
        <v>248</v>
      </c>
      <c r="Q1161" s="3">
        <v>55912</v>
      </c>
      <c r="R1161" t="s">
        <v>128</v>
      </c>
      <c r="T1161" s="4">
        <v>15074211787</v>
      </c>
      <c r="V1161" t="s">
        <v>9499</v>
      </c>
      <c r="W1161" t="s">
        <v>9500</v>
      </c>
      <c r="Y1161" t="s">
        <v>9498</v>
      </c>
      <c r="AA1161" t="s">
        <v>1040</v>
      </c>
      <c r="AB1161" t="s">
        <v>249</v>
      </c>
      <c r="AC1161" s="3" t="str">
        <f>"55912"</f>
        <v>55912</v>
      </c>
      <c r="AD1161" t="s">
        <v>128</v>
      </c>
      <c r="AE1161" t="s">
        <v>248</v>
      </c>
      <c r="AF1161" s="4">
        <v>15074211787</v>
      </c>
      <c r="AH1161" t="str">
        <f>"7139"</f>
        <v>7139</v>
      </c>
      <c r="AI1161" t="s">
        <v>130</v>
      </c>
      <c r="AJ1161" t="s">
        <v>4153</v>
      </c>
      <c r="AK1161" t="s">
        <v>301</v>
      </c>
      <c r="AL1161" t="s">
        <v>1978</v>
      </c>
      <c r="AM1161" t="s">
        <v>4154</v>
      </c>
      <c r="AN1161" t="s">
        <v>1980</v>
      </c>
      <c r="AO1161" t="s">
        <v>4155</v>
      </c>
      <c r="AP1161" t="s">
        <v>382</v>
      </c>
      <c r="AQ1161" s="5">
        <v>21401</v>
      </c>
      <c r="AR1161" t="s">
        <v>128</v>
      </c>
      <c r="AT1161" s="4">
        <v>14105739955</v>
      </c>
      <c r="AU1161">
        <v>0</v>
      </c>
      <c r="AV1161" t="s">
        <v>4156</v>
      </c>
      <c r="AW1161" t="s">
        <v>4157</v>
      </c>
      <c r="AX1161" t="s">
        <v>131</v>
      </c>
      <c r="AY1161" t="s">
        <v>131</v>
      </c>
      <c r="AZ1161" t="s">
        <v>131</v>
      </c>
      <c r="BA1161" t="s">
        <v>131</v>
      </c>
      <c r="BB1161" t="s">
        <v>131</v>
      </c>
      <c r="BC1161" t="s">
        <v>131</v>
      </c>
      <c r="BD1161" t="s">
        <v>131</v>
      </c>
      <c r="BE1161" t="s">
        <v>132</v>
      </c>
      <c r="BH1161" t="s">
        <v>9501</v>
      </c>
      <c r="BI1161" t="s">
        <v>131</v>
      </c>
      <c r="BL1161" t="s">
        <v>167</v>
      </c>
      <c r="BO1161" t="s">
        <v>131</v>
      </c>
      <c r="BP1161" t="s">
        <v>134</v>
      </c>
      <c r="BQ1161" t="s">
        <v>131</v>
      </c>
      <c r="BS1161" t="str">
        <f t="shared" si="82"/>
        <v>N/A</v>
      </c>
      <c r="BT1161" t="s">
        <v>131</v>
      </c>
      <c r="BV1161" t="str">
        <f>""</f>
        <v/>
      </c>
      <c r="BW1161" t="s">
        <v>135</v>
      </c>
      <c r="BX1161" t="str">
        <f>""</f>
        <v/>
      </c>
      <c r="BY1161" t="str">
        <f>""</f>
        <v/>
      </c>
      <c r="BZ1161" t="str">
        <f>""</f>
        <v/>
      </c>
      <c r="CA1161" t="str">
        <f>"Must pass post-hire drug testing and criminal background check paid by employer.  Must be able to lift 50 lbs."</f>
        <v>Must pass post-hire drug testing and criminal background check paid by employer.  Must be able to lift 50 lbs.</v>
      </c>
      <c r="CB1161" t="s">
        <v>131</v>
      </c>
      <c r="CF1161" t="s">
        <v>131</v>
      </c>
      <c r="CH1161" t="str">
        <f>""</f>
        <v/>
      </c>
      <c r="CI1161" t="s">
        <v>131</v>
      </c>
      <c r="CK1161" t="s">
        <v>131</v>
      </c>
      <c r="CL1161" t="str">
        <f>""</f>
        <v/>
      </c>
      <c r="CM1161" t="str">
        <f>""</f>
        <v/>
      </c>
      <c r="CN1161" t="str">
        <f>""</f>
        <v/>
      </c>
      <c r="CO1161" t="str">
        <f>""</f>
        <v/>
      </c>
      <c r="CP1161" t="str">
        <f>"35-3022.00"</f>
        <v>35-3022.00</v>
      </c>
      <c r="CQ1161" t="s">
        <v>5154</v>
      </c>
      <c r="CR1161" t="s">
        <v>460</v>
      </c>
      <c r="CS1161" t="s">
        <v>131</v>
      </c>
      <c r="CU1161" t="s">
        <v>9502</v>
      </c>
      <c r="CW1161" t="s">
        <v>3344</v>
      </c>
      <c r="CX1161" t="s">
        <v>249</v>
      </c>
      <c r="CZ1161" s="3" t="str">
        <f>"55902"</f>
        <v>55902</v>
      </c>
      <c r="DA1161" t="s">
        <v>131</v>
      </c>
      <c r="DB1161" t="str">
        <f>"35-3022"</f>
        <v>35-3022</v>
      </c>
      <c r="DC1161" t="s">
        <v>5154</v>
      </c>
      <c r="DD1161" t="s">
        <v>134</v>
      </c>
      <c r="DE1161" t="s">
        <v>134</v>
      </c>
      <c r="DF1161" t="str">
        <f>""</f>
        <v/>
      </c>
      <c r="DH1161" s="6">
        <v>12.58</v>
      </c>
      <c r="DI1161" t="s">
        <v>344</v>
      </c>
      <c r="DK1161" t="s">
        <v>345</v>
      </c>
      <c r="DR1161" t="s">
        <v>9503</v>
      </c>
      <c r="DS1161" s="6">
        <v>12.58</v>
      </c>
      <c r="DT1161" t="s">
        <v>424</v>
      </c>
      <c r="DU1161" s="1">
        <v>44377</v>
      </c>
      <c r="DV1161" s="1">
        <v>44466</v>
      </c>
    </row>
    <row r="1162" spans="1:126" ht="15" customHeight="1" x14ac:dyDescent="0.35">
      <c r="A1162" t="s">
        <v>9841</v>
      </c>
      <c r="B1162" t="s">
        <v>318</v>
      </c>
      <c r="C1162" s="1">
        <v>44350</v>
      </c>
      <c r="D1162" s="1">
        <v>44377</v>
      </c>
      <c r="H1162" t="s">
        <v>319</v>
      </c>
      <c r="I1162" t="s">
        <v>3311</v>
      </c>
      <c r="J1162" t="s">
        <v>9842</v>
      </c>
      <c r="L1162" t="s">
        <v>2076</v>
      </c>
      <c r="M1162" t="s">
        <v>9843</v>
      </c>
      <c r="O1162" t="s">
        <v>9844</v>
      </c>
      <c r="P1162" t="s">
        <v>194</v>
      </c>
      <c r="Q1162" s="3">
        <v>32407</v>
      </c>
      <c r="R1162" t="s">
        <v>128</v>
      </c>
      <c r="T1162" s="4">
        <v>18502337594</v>
      </c>
      <c r="V1162" t="s">
        <v>9845</v>
      </c>
      <c r="W1162" t="s">
        <v>9846</v>
      </c>
      <c r="X1162" t="s">
        <v>9847</v>
      </c>
      <c r="Y1162" t="s">
        <v>9848</v>
      </c>
      <c r="AA1162" t="s">
        <v>9844</v>
      </c>
      <c r="AB1162" t="s">
        <v>195</v>
      </c>
      <c r="AC1162" s="3" t="str">
        <f>"32407"</f>
        <v>32407</v>
      </c>
      <c r="AD1162" t="s">
        <v>128</v>
      </c>
      <c r="AF1162" s="4">
        <v>18502337594</v>
      </c>
      <c r="AH1162" t="str">
        <f>"72111"</f>
        <v>72111</v>
      </c>
      <c r="AI1162" t="s">
        <v>167</v>
      </c>
      <c r="AX1162" t="s">
        <v>131</v>
      </c>
      <c r="AY1162" t="s">
        <v>131</v>
      </c>
      <c r="AZ1162" t="s">
        <v>131</v>
      </c>
      <c r="BA1162" t="s">
        <v>131</v>
      </c>
      <c r="BB1162" t="s">
        <v>131</v>
      </c>
      <c r="BC1162" t="s">
        <v>131</v>
      </c>
      <c r="BD1162" t="s">
        <v>131</v>
      </c>
      <c r="BE1162" t="s">
        <v>132</v>
      </c>
      <c r="BH1162" t="s">
        <v>9849</v>
      </c>
      <c r="BI1162" t="s">
        <v>131</v>
      </c>
      <c r="BL1162" t="s">
        <v>167</v>
      </c>
      <c r="BO1162" t="s">
        <v>131</v>
      </c>
      <c r="BP1162" t="s">
        <v>134</v>
      </c>
      <c r="BQ1162" t="s">
        <v>131</v>
      </c>
      <c r="BS1162" t="str">
        <f t="shared" si="82"/>
        <v>N/A</v>
      </c>
      <c r="BT1162" t="s">
        <v>135</v>
      </c>
      <c r="BU1162">
        <v>1</v>
      </c>
      <c r="BV1162" t="str">
        <f>"LAUNDRY ATTENDANT"</f>
        <v>LAUNDRY ATTENDANT</v>
      </c>
      <c r="BW1162" t="s">
        <v>131</v>
      </c>
      <c r="BX1162" t="str">
        <f>""</f>
        <v/>
      </c>
      <c r="BY1162" t="str">
        <f>""</f>
        <v/>
      </c>
      <c r="BZ1162" t="str">
        <f>""</f>
        <v/>
      </c>
      <c r="CA1162" t="str">
        <f>""</f>
        <v/>
      </c>
      <c r="CB1162" t="s">
        <v>131</v>
      </c>
      <c r="CF1162" t="s">
        <v>131</v>
      </c>
      <c r="CH1162" t="str">
        <f>""</f>
        <v/>
      </c>
      <c r="CI1162" t="s">
        <v>131</v>
      </c>
      <c r="CK1162" t="s">
        <v>131</v>
      </c>
      <c r="CL1162" t="str">
        <f>""</f>
        <v/>
      </c>
      <c r="CM1162" t="str">
        <f>""</f>
        <v/>
      </c>
      <c r="CN1162" t="str">
        <f>""</f>
        <v/>
      </c>
      <c r="CO1162" t="str">
        <f>""</f>
        <v/>
      </c>
      <c r="CP1162" t="str">
        <f>"51-6011.00"</f>
        <v>51-6011.00</v>
      </c>
      <c r="CQ1162" t="s">
        <v>4850</v>
      </c>
      <c r="CR1162" t="s">
        <v>9849</v>
      </c>
      <c r="CS1162" t="s">
        <v>131</v>
      </c>
      <c r="CU1162" t="s">
        <v>9848</v>
      </c>
      <c r="CW1162" t="s">
        <v>9844</v>
      </c>
      <c r="CX1162" t="s">
        <v>195</v>
      </c>
      <c r="CZ1162" s="3" t="str">
        <f>"32407"</f>
        <v>32407</v>
      </c>
      <c r="DA1162" t="s">
        <v>135</v>
      </c>
      <c r="DB1162" t="str">
        <f>"51-6011"</f>
        <v>51-6011</v>
      </c>
      <c r="DC1162" t="s">
        <v>4850</v>
      </c>
      <c r="DD1162" t="s">
        <v>134</v>
      </c>
      <c r="DE1162" t="s">
        <v>134</v>
      </c>
      <c r="DF1162" t="str">
        <f>""</f>
        <v/>
      </c>
      <c r="DH1162" s="6">
        <v>10.79</v>
      </c>
      <c r="DI1162" t="s">
        <v>344</v>
      </c>
      <c r="DK1162" t="s">
        <v>345</v>
      </c>
      <c r="DR1162" t="s">
        <v>9850</v>
      </c>
      <c r="DS1162" s="6">
        <v>10.79</v>
      </c>
      <c r="DT1162" t="s">
        <v>424</v>
      </c>
      <c r="DU1162" s="1">
        <v>44377</v>
      </c>
      <c r="DV1162" s="1">
        <v>44466</v>
      </c>
    </row>
    <row r="1163" spans="1:126" ht="15" customHeight="1" x14ac:dyDescent="0.35">
      <c r="A1163" t="s">
        <v>16531</v>
      </c>
      <c r="B1163" t="s">
        <v>318</v>
      </c>
      <c r="C1163" s="1">
        <v>44350</v>
      </c>
      <c r="D1163" s="1">
        <v>44377</v>
      </c>
      <c r="H1163" t="s">
        <v>319</v>
      </c>
      <c r="I1163" t="s">
        <v>2074</v>
      </c>
      <c r="J1163" t="s">
        <v>2075</v>
      </c>
      <c r="L1163" t="s">
        <v>2076</v>
      </c>
      <c r="M1163" t="s">
        <v>2077</v>
      </c>
      <c r="O1163" t="s">
        <v>2078</v>
      </c>
      <c r="P1163" t="s">
        <v>194</v>
      </c>
      <c r="Q1163" s="3">
        <v>33040</v>
      </c>
      <c r="R1163" t="s">
        <v>128</v>
      </c>
      <c r="T1163" s="4">
        <v>13052929800</v>
      </c>
      <c r="V1163" t="s">
        <v>2079</v>
      </c>
      <c r="W1163" t="s">
        <v>2080</v>
      </c>
      <c r="X1163" t="s">
        <v>2081</v>
      </c>
      <c r="Y1163" t="s">
        <v>2077</v>
      </c>
      <c r="AA1163" t="s">
        <v>2078</v>
      </c>
      <c r="AB1163" t="s">
        <v>195</v>
      </c>
      <c r="AC1163" s="3" t="str">
        <f>"33040"</f>
        <v>33040</v>
      </c>
      <c r="AD1163" t="s">
        <v>128</v>
      </c>
      <c r="AF1163" s="4">
        <v>13052929800</v>
      </c>
      <c r="AH1163" t="str">
        <f>"721110"</f>
        <v>721110</v>
      </c>
      <c r="AI1163" t="s">
        <v>287</v>
      </c>
      <c r="AJ1163" t="s">
        <v>1207</v>
      </c>
      <c r="AK1163" t="s">
        <v>1208</v>
      </c>
      <c r="AM1163" t="s">
        <v>1209</v>
      </c>
      <c r="AN1163" t="s">
        <v>2082</v>
      </c>
      <c r="AO1163" t="s">
        <v>2083</v>
      </c>
      <c r="AP1163" t="s">
        <v>195</v>
      </c>
      <c r="AQ1163" s="5">
        <v>33141</v>
      </c>
      <c r="AR1163" t="s">
        <v>128</v>
      </c>
      <c r="AT1163" s="4">
        <v>17863480376</v>
      </c>
      <c r="AV1163" t="s">
        <v>1211</v>
      </c>
      <c r="AW1163" t="s">
        <v>1212</v>
      </c>
      <c r="AX1163" t="s">
        <v>131</v>
      </c>
      <c r="AY1163" t="s">
        <v>131</v>
      </c>
      <c r="AZ1163" t="s">
        <v>131</v>
      </c>
      <c r="BA1163" t="s">
        <v>131</v>
      </c>
      <c r="BB1163" t="s">
        <v>131</v>
      </c>
      <c r="BC1163" t="s">
        <v>131</v>
      </c>
      <c r="BD1163" t="s">
        <v>131</v>
      </c>
      <c r="BE1163" t="s">
        <v>132</v>
      </c>
      <c r="BH1163" t="s">
        <v>4277</v>
      </c>
      <c r="BI1163" t="s">
        <v>131</v>
      </c>
      <c r="BL1163" t="s">
        <v>167</v>
      </c>
      <c r="BO1163" t="s">
        <v>131</v>
      </c>
      <c r="BP1163" t="s">
        <v>134</v>
      </c>
      <c r="BQ1163" t="s">
        <v>131</v>
      </c>
      <c r="BS1163" t="str">
        <f t="shared" si="82"/>
        <v>N/A</v>
      </c>
      <c r="BT1163" t="s">
        <v>135</v>
      </c>
      <c r="BU1163">
        <v>1</v>
      </c>
      <c r="BV1163" t="str">
        <f>"HOUSEKEEPER/MAID/HOUSEMAN"</f>
        <v>HOUSEKEEPER/MAID/HOUSEMAN</v>
      </c>
      <c r="BW1163" t="s">
        <v>131</v>
      </c>
      <c r="BX1163" t="str">
        <f>""</f>
        <v/>
      </c>
      <c r="BY1163" t="str">
        <f>""</f>
        <v/>
      </c>
      <c r="BZ1163" t="str">
        <f>""</f>
        <v/>
      </c>
      <c r="CA1163" t="str">
        <f>""</f>
        <v/>
      </c>
      <c r="CB1163" t="s">
        <v>131</v>
      </c>
      <c r="CF1163" t="s">
        <v>131</v>
      </c>
      <c r="CH1163" t="str">
        <f>""</f>
        <v/>
      </c>
      <c r="CI1163" t="s">
        <v>131</v>
      </c>
      <c r="CK1163" t="s">
        <v>131</v>
      </c>
      <c r="CL1163" t="str">
        <f>""</f>
        <v/>
      </c>
      <c r="CM1163" t="str">
        <f>""</f>
        <v/>
      </c>
      <c r="CN1163" t="str">
        <f>""</f>
        <v/>
      </c>
      <c r="CO1163" t="str">
        <f>""</f>
        <v/>
      </c>
      <c r="CP1163" t="str">
        <f>"37-2012.00"</f>
        <v>37-2012.00</v>
      </c>
      <c r="CQ1163" t="s">
        <v>479</v>
      </c>
      <c r="CR1163" t="s">
        <v>4277</v>
      </c>
      <c r="CS1163" t="s">
        <v>131</v>
      </c>
      <c r="CU1163" t="s">
        <v>2077</v>
      </c>
      <c r="CW1163" t="s">
        <v>2078</v>
      </c>
      <c r="CX1163" t="s">
        <v>195</v>
      </c>
      <c r="CZ1163" s="3" t="str">
        <f>"33040"</f>
        <v>33040</v>
      </c>
      <c r="DA1163" t="s">
        <v>131</v>
      </c>
      <c r="DB1163" t="str">
        <f>"37-2012"</f>
        <v>37-2012</v>
      </c>
      <c r="DC1163" t="s">
        <v>479</v>
      </c>
      <c r="DD1163" t="s">
        <v>134</v>
      </c>
      <c r="DE1163" t="s">
        <v>134</v>
      </c>
      <c r="DF1163" t="str">
        <f>""</f>
        <v/>
      </c>
      <c r="DH1163" s="6">
        <v>12.28</v>
      </c>
      <c r="DI1163" t="s">
        <v>344</v>
      </c>
      <c r="DK1163" t="s">
        <v>345</v>
      </c>
      <c r="DR1163" t="s">
        <v>2085</v>
      </c>
      <c r="DS1163" s="6">
        <v>12.28</v>
      </c>
      <c r="DT1163" t="s">
        <v>424</v>
      </c>
      <c r="DU1163" s="1">
        <v>44377</v>
      </c>
      <c r="DV1163" s="1">
        <v>44466</v>
      </c>
    </row>
    <row r="1164" spans="1:126" ht="15" customHeight="1" x14ac:dyDescent="0.35">
      <c r="A1164" t="s">
        <v>2073</v>
      </c>
      <c r="B1164" t="s">
        <v>318</v>
      </c>
      <c r="C1164" s="1">
        <v>44350</v>
      </c>
      <c r="D1164" s="1">
        <v>44377</v>
      </c>
      <c r="H1164" t="s">
        <v>319</v>
      </c>
      <c r="I1164" t="s">
        <v>2074</v>
      </c>
      <c r="J1164" t="s">
        <v>2075</v>
      </c>
      <c r="L1164" t="s">
        <v>2076</v>
      </c>
      <c r="M1164" t="s">
        <v>2077</v>
      </c>
      <c r="O1164" t="s">
        <v>2078</v>
      </c>
      <c r="P1164" t="s">
        <v>194</v>
      </c>
      <c r="Q1164" s="3">
        <v>33040</v>
      </c>
      <c r="R1164" t="s">
        <v>128</v>
      </c>
      <c r="T1164" s="4">
        <v>13052929800</v>
      </c>
      <c r="V1164" t="s">
        <v>2079</v>
      </c>
      <c r="W1164" t="s">
        <v>2080</v>
      </c>
      <c r="X1164" t="s">
        <v>2081</v>
      </c>
      <c r="Y1164" t="s">
        <v>2077</v>
      </c>
      <c r="AA1164" t="s">
        <v>2078</v>
      </c>
      <c r="AB1164" t="s">
        <v>195</v>
      </c>
      <c r="AC1164" s="3" t="str">
        <f>"33040"</f>
        <v>33040</v>
      </c>
      <c r="AD1164" t="s">
        <v>128</v>
      </c>
      <c r="AF1164" s="4">
        <v>13052929800</v>
      </c>
      <c r="AH1164" t="str">
        <f>"721110"</f>
        <v>721110</v>
      </c>
      <c r="AI1164" t="s">
        <v>287</v>
      </c>
      <c r="AJ1164" t="s">
        <v>1207</v>
      </c>
      <c r="AK1164" t="s">
        <v>1208</v>
      </c>
      <c r="AM1164" t="s">
        <v>1209</v>
      </c>
      <c r="AN1164" t="s">
        <v>2082</v>
      </c>
      <c r="AO1164" t="s">
        <v>2083</v>
      </c>
      <c r="AP1164" t="s">
        <v>195</v>
      </c>
      <c r="AQ1164" s="5">
        <v>33040</v>
      </c>
      <c r="AR1164" t="s">
        <v>128</v>
      </c>
      <c r="AT1164" s="4">
        <v>17863480376</v>
      </c>
      <c r="AV1164" t="s">
        <v>1211</v>
      </c>
      <c r="AW1164" t="s">
        <v>1212</v>
      </c>
      <c r="AX1164" t="s">
        <v>131</v>
      </c>
      <c r="AY1164" t="s">
        <v>131</v>
      </c>
      <c r="AZ1164" t="s">
        <v>131</v>
      </c>
      <c r="BA1164" t="s">
        <v>131</v>
      </c>
      <c r="BB1164" t="s">
        <v>131</v>
      </c>
      <c r="BC1164" t="s">
        <v>131</v>
      </c>
      <c r="BD1164" t="s">
        <v>131</v>
      </c>
      <c r="BE1164" t="s">
        <v>132</v>
      </c>
      <c r="BH1164" t="s">
        <v>2084</v>
      </c>
      <c r="BI1164" t="s">
        <v>131</v>
      </c>
      <c r="BL1164" t="s">
        <v>167</v>
      </c>
      <c r="BO1164" t="s">
        <v>131</v>
      </c>
      <c r="BP1164" t="s">
        <v>134</v>
      </c>
      <c r="BQ1164" t="s">
        <v>131</v>
      </c>
      <c r="BS1164" t="str">
        <f t="shared" si="82"/>
        <v>N/A</v>
      </c>
      <c r="BT1164" t="s">
        <v>135</v>
      </c>
      <c r="BU1164">
        <v>1</v>
      </c>
      <c r="BV1164" t="str">
        <f>"WAITER/WAITRESS"</f>
        <v>WAITER/WAITRESS</v>
      </c>
      <c r="BW1164" t="s">
        <v>131</v>
      </c>
      <c r="BX1164" t="str">
        <f>""</f>
        <v/>
      </c>
      <c r="BY1164" t="str">
        <f>""</f>
        <v/>
      </c>
      <c r="BZ1164" t="str">
        <f>""</f>
        <v/>
      </c>
      <c r="CA1164" t="str">
        <f>""</f>
        <v/>
      </c>
      <c r="CB1164" t="s">
        <v>131</v>
      </c>
      <c r="CF1164" t="s">
        <v>131</v>
      </c>
      <c r="CH1164" t="str">
        <f>""</f>
        <v/>
      </c>
      <c r="CI1164" t="s">
        <v>131</v>
      </c>
      <c r="CK1164" t="s">
        <v>131</v>
      </c>
      <c r="CL1164" t="str">
        <f>""</f>
        <v/>
      </c>
      <c r="CM1164" t="str">
        <f>""</f>
        <v/>
      </c>
      <c r="CN1164" t="str">
        <f>""</f>
        <v/>
      </c>
      <c r="CO1164" t="str">
        <f>""</f>
        <v/>
      </c>
      <c r="CP1164" t="str">
        <f>"35-3031.00"</f>
        <v>35-3031.00</v>
      </c>
      <c r="CQ1164" t="s">
        <v>1214</v>
      </c>
      <c r="CR1164" t="s">
        <v>2084</v>
      </c>
      <c r="CS1164" t="s">
        <v>131</v>
      </c>
      <c r="CU1164" t="s">
        <v>2077</v>
      </c>
      <c r="CW1164" t="s">
        <v>2078</v>
      </c>
      <c r="CX1164" t="s">
        <v>195</v>
      </c>
      <c r="CZ1164" s="3" t="str">
        <f>"33040"</f>
        <v>33040</v>
      </c>
      <c r="DA1164" t="s">
        <v>131</v>
      </c>
      <c r="DB1164" t="str">
        <f>"35-3031"</f>
        <v>35-3031</v>
      </c>
      <c r="DC1164" t="s">
        <v>1214</v>
      </c>
      <c r="DD1164" t="s">
        <v>134</v>
      </c>
      <c r="DE1164" t="s">
        <v>134</v>
      </c>
      <c r="DF1164" t="str">
        <f>""</f>
        <v/>
      </c>
      <c r="DH1164" s="6">
        <v>13.72</v>
      </c>
      <c r="DI1164" t="s">
        <v>344</v>
      </c>
      <c r="DK1164" t="s">
        <v>345</v>
      </c>
      <c r="DR1164" t="s">
        <v>2085</v>
      </c>
      <c r="DS1164" s="6">
        <v>13.72</v>
      </c>
      <c r="DT1164" t="s">
        <v>424</v>
      </c>
      <c r="DU1164" s="1">
        <v>44377</v>
      </c>
      <c r="DV1164" s="1">
        <v>44466</v>
      </c>
    </row>
    <row r="1165" spans="1:126" ht="15" customHeight="1" x14ac:dyDescent="0.35">
      <c r="A1165" t="s">
        <v>17562</v>
      </c>
      <c r="B1165" t="s">
        <v>318</v>
      </c>
      <c r="C1165" s="1">
        <v>44350</v>
      </c>
      <c r="D1165" s="1">
        <v>44377</v>
      </c>
      <c r="H1165" t="s">
        <v>319</v>
      </c>
      <c r="I1165" t="s">
        <v>7622</v>
      </c>
      <c r="J1165" t="s">
        <v>1342</v>
      </c>
      <c r="K1165" t="s">
        <v>1568</v>
      </c>
      <c r="L1165" t="s">
        <v>10123</v>
      </c>
      <c r="M1165" t="s">
        <v>17563</v>
      </c>
      <c r="O1165" t="s">
        <v>17564</v>
      </c>
      <c r="P1165" t="s">
        <v>507</v>
      </c>
      <c r="Q1165" s="3">
        <v>48656</v>
      </c>
      <c r="R1165" t="s">
        <v>128</v>
      </c>
      <c r="T1165" s="4">
        <v>19894222534</v>
      </c>
      <c r="V1165" t="s">
        <v>17565</v>
      </c>
      <c r="W1165" t="s">
        <v>17566</v>
      </c>
      <c r="Y1165" t="s">
        <v>17563</v>
      </c>
      <c r="AA1165" t="s">
        <v>17564</v>
      </c>
      <c r="AB1165" t="s">
        <v>511</v>
      </c>
      <c r="AC1165" s="3" t="str">
        <f>"48656"</f>
        <v>48656</v>
      </c>
      <c r="AD1165" t="s">
        <v>128</v>
      </c>
      <c r="AF1165" s="4">
        <v>19899150530</v>
      </c>
      <c r="AH1165" t="str">
        <f>"62161"</f>
        <v>62161</v>
      </c>
      <c r="AI1165" t="s">
        <v>130</v>
      </c>
      <c r="AJ1165" t="s">
        <v>17567</v>
      </c>
      <c r="AK1165" t="s">
        <v>17568</v>
      </c>
      <c r="AL1165" t="s">
        <v>17569</v>
      </c>
      <c r="AM1165" t="s">
        <v>17570</v>
      </c>
      <c r="AN1165" t="s">
        <v>13763</v>
      </c>
      <c r="AO1165" t="s">
        <v>4097</v>
      </c>
      <c r="AP1165" t="s">
        <v>703</v>
      </c>
      <c r="AQ1165" s="5">
        <v>6510</v>
      </c>
      <c r="AR1165" t="s">
        <v>128</v>
      </c>
      <c r="AT1165" s="4">
        <v>19198270660</v>
      </c>
      <c r="AV1165" t="s">
        <v>17571</v>
      </c>
      <c r="AW1165" t="s">
        <v>17572</v>
      </c>
      <c r="AX1165" t="s">
        <v>131</v>
      </c>
      <c r="AY1165" t="s">
        <v>131</v>
      </c>
      <c r="AZ1165" t="s">
        <v>131</v>
      </c>
      <c r="BA1165" t="s">
        <v>131</v>
      </c>
      <c r="BB1165" t="s">
        <v>131</v>
      </c>
      <c r="BC1165" t="s">
        <v>131</v>
      </c>
      <c r="BD1165" t="s">
        <v>131</v>
      </c>
      <c r="BE1165" t="s">
        <v>132</v>
      </c>
      <c r="BH1165" t="s">
        <v>9392</v>
      </c>
      <c r="BI1165" t="s">
        <v>131</v>
      </c>
      <c r="BL1165" t="s">
        <v>167</v>
      </c>
      <c r="BO1165" t="s">
        <v>131</v>
      </c>
      <c r="BP1165" t="s">
        <v>134</v>
      </c>
      <c r="BQ1165" t="s">
        <v>131</v>
      </c>
      <c r="BS1165" t="str">
        <f t="shared" si="82"/>
        <v>N/A</v>
      </c>
      <c r="BT1165" t="s">
        <v>135</v>
      </c>
      <c r="BU1165">
        <v>12</v>
      </c>
      <c r="BV1165" t="str">
        <f>"Home health aide"</f>
        <v>Home health aide</v>
      </c>
      <c r="BW1165" t="s">
        <v>131</v>
      </c>
      <c r="BX1165" t="str">
        <f>""</f>
        <v/>
      </c>
      <c r="BY1165" t="str">
        <f>""</f>
        <v/>
      </c>
      <c r="BZ1165" t="str">
        <f>""</f>
        <v/>
      </c>
      <c r="CA1165" t="str">
        <f>""</f>
        <v/>
      </c>
      <c r="CB1165" t="s">
        <v>131</v>
      </c>
      <c r="CF1165" t="s">
        <v>131</v>
      </c>
      <c r="CH1165" t="str">
        <f>""</f>
        <v/>
      </c>
      <c r="CI1165" t="s">
        <v>131</v>
      </c>
      <c r="CK1165" t="s">
        <v>131</v>
      </c>
      <c r="CL1165" t="str">
        <f>""</f>
        <v/>
      </c>
      <c r="CM1165" t="str">
        <f>""</f>
        <v/>
      </c>
      <c r="CN1165" t="str">
        <f>""</f>
        <v/>
      </c>
      <c r="CO1165" t="str">
        <f>""</f>
        <v/>
      </c>
      <c r="CP1165" t="str">
        <f>"31-1011.00"</f>
        <v>31-1011.00</v>
      </c>
      <c r="CQ1165" t="s">
        <v>499</v>
      </c>
      <c r="CR1165" t="s">
        <v>9392</v>
      </c>
      <c r="CS1165" t="s">
        <v>131</v>
      </c>
      <c r="CU1165" t="s">
        <v>17573</v>
      </c>
      <c r="CW1165" t="s">
        <v>17564</v>
      </c>
      <c r="CX1165" t="s">
        <v>511</v>
      </c>
      <c r="CZ1165" s="3" t="str">
        <f>"48656"</f>
        <v>48656</v>
      </c>
      <c r="DA1165" t="s">
        <v>131</v>
      </c>
      <c r="DB1165" t="str">
        <f>"31-1011"</f>
        <v>31-1011</v>
      </c>
      <c r="DC1165" t="s">
        <v>499</v>
      </c>
      <c r="DD1165" t="s">
        <v>134</v>
      </c>
      <c r="DE1165" t="s">
        <v>134</v>
      </c>
      <c r="DF1165" t="str">
        <f>""</f>
        <v/>
      </c>
      <c r="DH1165" s="6">
        <v>11.87</v>
      </c>
      <c r="DI1165" t="s">
        <v>344</v>
      </c>
      <c r="DK1165" t="s">
        <v>345</v>
      </c>
      <c r="DR1165" t="s">
        <v>17574</v>
      </c>
      <c r="DS1165" s="6">
        <v>11.87</v>
      </c>
      <c r="DT1165" t="s">
        <v>424</v>
      </c>
      <c r="DU1165" s="1">
        <v>44377</v>
      </c>
      <c r="DV1165" s="1">
        <v>44466</v>
      </c>
    </row>
    <row r="1166" spans="1:126" ht="15" customHeight="1" x14ac:dyDescent="0.35">
      <c r="A1166" t="s">
        <v>19498</v>
      </c>
      <c r="B1166" t="s">
        <v>318</v>
      </c>
      <c r="C1166" s="1">
        <v>44350</v>
      </c>
      <c r="D1166" s="1">
        <v>44377</v>
      </c>
      <c r="H1166" t="s">
        <v>319</v>
      </c>
      <c r="I1166" t="s">
        <v>1215</v>
      </c>
      <c r="J1166" t="s">
        <v>1954</v>
      </c>
      <c r="L1166" t="s">
        <v>1105</v>
      </c>
      <c r="M1166" t="s">
        <v>19499</v>
      </c>
      <c r="O1166" t="s">
        <v>19500</v>
      </c>
      <c r="P1166" t="s">
        <v>539</v>
      </c>
      <c r="Q1166" s="3">
        <v>62618</v>
      </c>
      <c r="R1166" t="s">
        <v>128</v>
      </c>
      <c r="T1166" s="4">
        <v>12174736986</v>
      </c>
      <c r="V1166" t="s">
        <v>19501</v>
      </c>
      <c r="W1166" t="s">
        <v>19502</v>
      </c>
      <c r="Y1166" t="s">
        <v>19499</v>
      </c>
      <c r="AA1166" t="s">
        <v>19500</v>
      </c>
      <c r="AB1166" t="s">
        <v>263</v>
      </c>
      <c r="AC1166" s="3" t="str">
        <f>"62618"</f>
        <v>62618</v>
      </c>
      <c r="AD1166" t="s">
        <v>128</v>
      </c>
      <c r="AF1166" s="4">
        <v>12174736986</v>
      </c>
      <c r="AH1166" t="str">
        <f>"811192"</f>
        <v>811192</v>
      </c>
      <c r="AI1166" t="s">
        <v>130</v>
      </c>
      <c r="AJ1166" t="s">
        <v>4018</v>
      </c>
      <c r="AK1166" t="s">
        <v>2069</v>
      </c>
      <c r="AM1166" t="s">
        <v>4019</v>
      </c>
      <c r="AO1166" t="s">
        <v>1040</v>
      </c>
      <c r="AP1166" t="s">
        <v>400</v>
      </c>
      <c r="AQ1166" s="5">
        <v>78737</v>
      </c>
      <c r="AR1166" t="s">
        <v>128</v>
      </c>
      <c r="AT1166" s="4">
        <v>15128942128</v>
      </c>
      <c r="AV1166" t="s">
        <v>4020</v>
      </c>
      <c r="AW1166" t="s">
        <v>4021</v>
      </c>
      <c r="AX1166" t="s">
        <v>131</v>
      </c>
      <c r="AY1166" t="s">
        <v>131</v>
      </c>
      <c r="AZ1166" t="s">
        <v>131</v>
      </c>
      <c r="BA1166" t="s">
        <v>131</v>
      </c>
      <c r="BB1166" t="s">
        <v>131</v>
      </c>
      <c r="BC1166" t="s">
        <v>131</v>
      </c>
      <c r="BD1166" t="s">
        <v>131</v>
      </c>
      <c r="BE1166" t="s">
        <v>132</v>
      </c>
      <c r="BH1166" t="s">
        <v>19503</v>
      </c>
      <c r="BI1166" t="s">
        <v>131</v>
      </c>
      <c r="BL1166" t="s">
        <v>167</v>
      </c>
      <c r="BO1166" t="s">
        <v>131</v>
      </c>
      <c r="BP1166" t="s">
        <v>134</v>
      </c>
      <c r="BQ1166" t="s">
        <v>131</v>
      </c>
      <c r="BS1166" t="str">
        <f t="shared" si="82"/>
        <v>N/A</v>
      </c>
      <c r="BT1166" t="s">
        <v>131</v>
      </c>
      <c r="BV1166" t="str">
        <f>""</f>
        <v/>
      </c>
      <c r="BW1166" t="s">
        <v>135</v>
      </c>
      <c r="BX1166" t="str">
        <f>""</f>
        <v/>
      </c>
      <c r="BY1166" t="str">
        <f>""</f>
        <v/>
      </c>
      <c r="BZ1166" t="str">
        <f>""</f>
        <v/>
      </c>
      <c r="CA1166" t="s">
        <v>19504</v>
      </c>
      <c r="CB1166" t="s">
        <v>131</v>
      </c>
      <c r="CF1166" t="s">
        <v>131</v>
      </c>
      <c r="CH1166" t="str">
        <f>""</f>
        <v/>
      </c>
      <c r="CI1166" t="s">
        <v>131</v>
      </c>
      <c r="CK1166" t="s">
        <v>131</v>
      </c>
      <c r="CL1166" t="str">
        <f>""</f>
        <v/>
      </c>
      <c r="CM1166" t="str">
        <f>""</f>
        <v/>
      </c>
      <c r="CN1166" t="str">
        <f>""</f>
        <v/>
      </c>
      <c r="CO1166" t="str">
        <f>""</f>
        <v/>
      </c>
      <c r="CP1166" t="str">
        <f>"53-7061.00"</f>
        <v>53-7061.00</v>
      </c>
      <c r="CQ1166" t="s">
        <v>1719</v>
      </c>
      <c r="CR1166" t="s">
        <v>918</v>
      </c>
      <c r="CS1166" t="s">
        <v>131</v>
      </c>
      <c r="CU1166" t="s">
        <v>19499</v>
      </c>
      <c r="CW1166" t="s">
        <v>19500</v>
      </c>
      <c r="CX1166" t="s">
        <v>263</v>
      </c>
      <c r="CZ1166" s="3" t="str">
        <f>"62618"</f>
        <v>62618</v>
      </c>
      <c r="DA1166" t="s">
        <v>131</v>
      </c>
      <c r="DB1166" t="str">
        <f>"53-7061"</f>
        <v>53-7061</v>
      </c>
      <c r="DC1166" t="s">
        <v>1719</v>
      </c>
      <c r="DD1166" t="s">
        <v>134</v>
      </c>
      <c r="DE1166" t="s">
        <v>134</v>
      </c>
      <c r="DF1166" t="str">
        <f>""</f>
        <v/>
      </c>
      <c r="DH1166" s="6">
        <v>11.23</v>
      </c>
      <c r="DI1166" t="s">
        <v>344</v>
      </c>
      <c r="DK1166" t="s">
        <v>345</v>
      </c>
      <c r="DS1166" s="6">
        <v>11.23</v>
      </c>
      <c r="DT1166" t="s">
        <v>424</v>
      </c>
      <c r="DU1166" s="1">
        <v>44377</v>
      </c>
      <c r="DV1166" s="1">
        <v>44466</v>
      </c>
    </row>
    <row r="1167" spans="1:126" ht="15" customHeight="1" x14ac:dyDescent="0.35">
      <c r="A1167" t="s">
        <v>6870</v>
      </c>
      <c r="B1167" t="s">
        <v>318</v>
      </c>
      <c r="C1167" s="1">
        <v>44350</v>
      </c>
      <c r="D1167" s="1">
        <v>44377</v>
      </c>
      <c r="H1167" t="s">
        <v>319</v>
      </c>
      <c r="I1167" t="s">
        <v>2541</v>
      </c>
      <c r="J1167" t="s">
        <v>2542</v>
      </c>
      <c r="L1167" t="s">
        <v>628</v>
      </c>
      <c r="M1167" t="s">
        <v>2543</v>
      </c>
      <c r="N1167" t="s">
        <v>134</v>
      </c>
      <c r="O1167" t="s">
        <v>2544</v>
      </c>
      <c r="P1167" t="s">
        <v>2545</v>
      </c>
      <c r="Q1167" s="3">
        <v>5751</v>
      </c>
      <c r="R1167" t="s">
        <v>128</v>
      </c>
      <c r="S1167" t="s">
        <v>134</v>
      </c>
      <c r="T1167" s="4">
        <v>18024226100</v>
      </c>
      <c r="V1167" t="s">
        <v>2546</v>
      </c>
      <c r="W1167" t="s">
        <v>2547</v>
      </c>
      <c r="X1167" t="s">
        <v>2548</v>
      </c>
      <c r="Y1167" t="s">
        <v>2543</v>
      </c>
      <c r="Z1167" t="s">
        <v>134</v>
      </c>
      <c r="AA1167" t="s">
        <v>2544</v>
      </c>
      <c r="AB1167" t="s">
        <v>2549</v>
      </c>
      <c r="AC1167" s="3" t="str">
        <f t="shared" ref="AC1167:AC1173" si="83">"05751"</f>
        <v>05751</v>
      </c>
      <c r="AD1167" t="s">
        <v>128</v>
      </c>
      <c r="AE1167" t="s">
        <v>134</v>
      </c>
      <c r="AF1167" s="4">
        <v>18024226100</v>
      </c>
      <c r="AH1167" t="str">
        <f t="shared" ref="AH1167:AH1173" si="84">"721110"</f>
        <v>721110</v>
      </c>
      <c r="AI1167" t="s">
        <v>130</v>
      </c>
      <c r="AJ1167" t="s">
        <v>1386</v>
      </c>
      <c r="AK1167" t="s">
        <v>1387</v>
      </c>
      <c r="AL1167" t="s">
        <v>1036</v>
      </c>
      <c r="AM1167" t="s">
        <v>1388</v>
      </c>
      <c r="AN1167" t="s">
        <v>997</v>
      </c>
      <c r="AO1167" t="s">
        <v>719</v>
      </c>
      <c r="AP1167" t="s">
        <v>377</v>
      </c>
      <c r="AQ1167" s="5">
        <v>1701</v>
      </c>
      <c r="AR1167" t="s">
        <v>128</v>
      </c>
      <c r="AS1167" t="s">
        <v>134</v>
      </c>
      <c r="AT1167" s="4">
        <v>16179399444</v>
      </c>
      <c r="AV1167" t="s">
        <v>1389</v>
      </c>
      <c r="AW1167" t="s">
        <v>1390</v>
      </c>
      <c r="AX1167" t="s">
        <v>131</v>
      </c>
      <c r="AY1167" t="s">
        <v>131</v>
      </c>
      <c r="AZ1167" t="s">
        <v>131</v>
      </c>
      <c r="BA1167" t="s">
        <v>131</v>
      </c>
      <c r="BB1167" t="s">
        <v>131</v>
      </c>
      <c r="BC1167" t="s">
        <v>131</v>
      </c>
      <c r="BD1167" t="s">
        <v>131</v>
      </c>
      <c r="BE1167" t="s">
        <v>132</v>
      </c>
      <c r="BH1167" t="s">
        <v>6871</v>
      </c>
      <c r="BI1167" t="s">
        <v>131</v>
      </c>
      <c r="BL1167" t="s">
        <v>167</v>
      </c>
      <c r="BO1167" t="s">
        <v>131</v>
      </c>
      <c r="BP1167" t="s">
        <v>134</v>
      </c>
      <c r="BQ1167" t="s">
        <v>131</v>
      </c>
      <c r="BS1167" t="str">
        <f t="shared" si="82"/>
        <v>N/A</v>
      </c>
      <c r="BT1167" t="s">
        <v>135</v>
      </c>
      <c r="BU1167">
        <v>3</v>
      </c>
      <c r="BV1167" t="str">
        <f>"Snowmaker"</f>
        <v>Snowmaker</v>
      </c>
      <c r="BW1167" t="s">
        <v>135</v>
      </c>
      <c r="BX1167" t="str">
        <f>""</f>
        <v/>
      </c>
      <c r="BY1167" t="str">
        <f>""</f>
        <v/>
      </c>
      <c r="BZ1167" t="str">
        <f>""</f>
        <v/>
      </c>
      <c r="CA1167" s="2" t="s">
        <v>6872</v>
      </c>
      <c r="CB1167" t="s">
        <v>131</v>
      </c>
      <c r="CF1167" t="s">
        <v>131</v>
      </c>
      <c r="CH1167" t="str">
        <f>""</f>
        <v/>
      </c>
      <c r="CI1167" t="s">
        <v>131</v>
      </c>
      <c r="CK1167" t="s">
        <v>131</v>
      </c>
      <c r="CL1167" t="str">
        <f>""</f>
        <v/>
      </c>
      <c r="CM1167" t="str">
        <f>""</f>
        <v/>
      </c>
      <c r="CN1167" t="str">
        <f>""</f>
        <v/>
      </c>
      <c r="CO1167" t="str">
        <f>""</f>
        <v/>
      </c>
      <c r="CP1167" t="str">
        <f>"51-9193.00"</f>
        <v>51-9193.00</v>
      </c>
      <c r="CQ1167" t="s">
        <v>6873</v>
      </c>
      <c r="CR1167" t="s">
        <v>2679</v>
      </c>
      <c r="CS1167" t="s">
        <v>135</v>
      </c>
      <c r="CT1167" t="s">
        <v>6874</v>
      </c>
      <c r="CU1167" t="s">
        <v>2543</v>
      </c>
      <c r="CV1167" t="s">
        <v>134</v>
      </c>
      <c r="CW1167" t="s">
        <v>2544</v>
      </c>
      <c r="CX1167" t="s">
        <v>2549</v>
      </c>
      <c r="CZ1167" s="3" t="str">
        <f t="shared" ref="CZ1167:CZ1173" si="85">"05751"</f>
        <v>05751</v>
      </c>
      <c r="DA1167" t="s">
        <v>131</v>
      </c>
      <c r="DB1167" t="str">
        <f>"51-9193"</f>
        <v>51-9193</v>
      </c>
      <c r="DC1167" t="s">
        <v>6873</v>
      </c>
      <c r="DD1167" t="s">
        <v>134</v>
      </c>
      <c r="DE1167" t="s">
        <v>134</v>
      </c>
      <c r="DF1167" t="str">
        <f>""</f>
        <v/>
      </c>
      <c r="DH1167" s="6">
        <v>16.89</v>
      </c>
      <c r="DI1167" t="s">
        <v>344</v>
      </c>
      <c r="DK1167" t="s">
        <v>345</v>
      </c>
      <c r="DS1167" s="6">
        <v>16.89</v>
      </c>
      <c r="DT1167" s="2" t="s">
        <v>347</v>
      </c>
      <c r="DU1167" s="1">
        <v>44377</v>
      </c>
      <c r="DV1167" s="1">
        <v>44466</v>
      </c>
    </row>
    <row r="1168" spans="1:126" ht="15" customHeight="1" x14ac:dyDescent="0.35">
      <c r="A1168" t="s">
        <v>9379</v>
      </c>
      <c r="B1168" t="s">
        <v>318</v>
      </c>
      <c r="C1168" s="1">
        <v>44350</v>
      </c>
      <c r="D1168" s="1">
        <v>44377</v>
      </c>
      <c r="H1168" t="s">
        <v>319</v>
      </c>
      <c r="I1168" t="s">
        <v>2541</v>
      </c>
      <c r="J1168" t="s">
        <v>2542</v>
      </c>
      <c r="L1168" t="s">
        <v>628</v>
      </c>
      <c r="M1168" t="s">
        <v>2543</v>
      </c>
      <c r="N1168" t="s">
        <v>134</v>
      </c>
      <c r="O1168" t="s">
        <v>2544</v>
      </c>
      <c r="P1168" t="s">
        <v>2545</v>
      </c>
      <c r="Q1168" s="3">
        <v>5751</v>
      </c>
      <c r="R1168" t="s">
        <v>128</v>
      </c>
      <c r="S1168" t="s">
        <v>134</v>
      </c>
      <c r="T1168" s="4">
        <v>18024226100</v>
      </c>
      <c r="V1168" t="s">
        <v>2546</v>
      </c>
      <c r="W1168" t="s">
        <v>2547</v>
      </c>
      <c r="X1168" t="s">
        <v>2548</v>
      </c>
      <c r="Y1168" t="s">
        <v>2543</v>
      </c>
      <c r="Z1168" t="s">
        <v>134</v>
      </c>
      <c r="AA1168" t="s">
        <v>2544</v>
      </c>
      <c r="AB1168" t="s">
        <v>2549</v>
      </c>
      <c r="AC1168" s="3" t="str">
        <f t="shared" si="83"/>
        <v>05751</v>
      </c>
      <c r="AD1168" t="s">
        <v>128</v>
      </c>
      <c r="AE1168" t="s">
        <v>134</v>
      </c>
      <c r="AF1168" s="4">
        <v>18024226100</v>
      </c>
      <c r="AH1168" t="str">
        <f t="shared" si="84"/>
        <v>721110</v>
      </c>
      <c r="AI1168" t="s">
        <v>130</v>
      </c>
      <c r="AJ1168" t="s">
        <v>1386</v>
      </c>
      <c r="AK1168" t="s">
        <v>1387</v>
      </c>
      <c r="AL1168" t="s">
        <v>1036</v>
      </c>
      <c r="AM1168" t="s">
        <v>1388</v>
      </c>
      <c r="AN1168" t="s">
        <v>997</v>
      </c>
      <c r="AO1168" t="s">
        <v>719</v>
      </c>
      <c r="AP1168" t="s">
        <v>377</v>
      </c>
      <c r="AQ1168" s="5">
        <v>1701</v>
      </c>
      <c r="AR1168" t="s">
        <v>128</v>
      </c>
      <c r="AS1168" t="s">
        <v>134</v>
      </c>
      <c r="AT1168" s="4">
        <v>16179399444</v>
      </c>
      <c r="AV1168" t="s">
        <v>1389</v>
      </c>
      <c r="AW1168" t="s">
        <v>1390</v>
      </c>
      <c r="AX1168" t="s">
        <v>131</v>
      </c>
      <c r="AY1168" t="s">
        <v>131</v>
      </c>
      <c r="AZ1168" t="s">
        <v>131</v>
      </c>
      <c r="BA1168" t="s">
        <v>131</v>
      </c>
      <c r="BB1168" t="s">
        <v>131</v>
      </c>
      <c r="BC1168" t="s">
        <v>131</v>
      </c>
      <c r="BD1168" t="s">
        <v>131</v>
      </c>
      <c r="BE1168" t="s">
        <v>132</v>
      </c>
      <c r="BH1168" t="s">
        <v>9380</v>
      </c>
      <c r="BI1168" t="s">
        <v>131</v>
      </c>
      <c r="BL1168" t="s">
        <v>167</v>
      </c>
      <c r="BO1168" t="s">
        <v>131</v>
      </c>
      <c r="BP1168" t="s">
        <v>134</v>
      </c>
      <c r="BQ1168" t="s">
        <v>131</v>
      </c>
      <c r="BS1168" t="str">
        <f t="shared" si="82"/>
        <v>N/A</v>
      </c>
      <c r="BT1168" t="s">
        <v>135</v>
      </c>
      <c r="BU1168">
        <v>3</v>
      </c>
      <c r="BV1168" t="str">
        <f>"Public Area Attendant"</f>
        <v>Public Area Attendant</v>
      </c>
      <c r="BW1168" t="s">
        <v>135</v>
      </c>
      <c r="BX1168" t="str">
        <f>""</f>
        <v/>
      </c>
      <c r="BY1168" t="str">
        <f>""</f>
        <v/>
      </c>
      <c r="BZ1168" t="str">
        <f>""</f>
        <v/>
      </c>
      <c r="CA1168" s="2" t="s">
        <v>6872</v>
      </c>
      <c r="CB1168" t="s">
        <v>131</v>
      </c>
      <c r="CF1168" t="s">
        <v>131</v>
      </c>
      <c r="CH1168" t="str">
        <f>""</f>
        <v/>
      </c>
      <c r="CI1168" t="s">
        <v>131</v>
      </c>
      <c r="CK1168" t="s">
        <v>131</v>
      </c>
      <c r="CL1168" t="str">
        <f>""</f>
        <v/>
      </c>
      <c r="CM1168" t="str">
        <f>""</f>
        <v/>
      </c>
      <c r="CN1168" t="str">
        <f>""</f>
        <v/>
      </c>
      <c r="CO1168" t="str">
        <f>""</f>
        <v/>
      </c>
      <c r="CP1168" t="str">
        <f>"37-2012.00"</f>
        <v>37-2012.00</v>
      </c>
      <c r="CQ1168" t="s">
        <v>479</v>
      </c>
      <c r="CR1168" t="s">
        <v>2553</v>
      </c>
      <c r="CS1168" t="s">
        <v>135</v>
      </c>
      <c r="CT1168" t="s">
        <v>2554</v>
      </c>
      <c r="CU1168" t="s">
        <v>2543</v>
      </c>
      <c r="CV1168" t="s">
        <v>134</v>
      </c>
      <c r="CW1168" t="s">
        <v>2544</v>
      </c>
      <c r="CX1168" t="s">
        <v>2549</v>
      </c>
      <c r="CZ1168" s="3" t="str">
        <f t="shared" si="85"/>
        <v>05751</v>
      </c>
      <c r="DA1168" t="s">
        <v>131</v>
      </c>
      <c r="DB1168" t="str">
        <f>"37-2012"</f>
        <v>37-2012</v>
      </c>
      <c r="DC1168" t="s">
        <v>479</v>
      </c>
      <c r="DD1168" t="s">
        <v>134</v>
      </c>
      <c r="DE1168" t="s">
        <v>134</v>
      </c>
      <c r="DF1168" t="str">
        <f>""</f>
        <v/>
      </c>
      <c r="DH1168" s="6">
        <v>13.2</v>
      </c>
      <c r="DI1168" t="s">
        <v>344</v>
      </c>
      <c r="DK1168" t="s">
        <v>345</v>
      </c>
      <c r="DS1168" s="6">
        <v>13.2</v>
      </c>
      <c r="DT1168" s="2" t="s">
        <v>347</v>
      </c>
      <c r="DU1168" s="1">
        <v>44377</v>
      </c>
      <c r="DV1168" s="1">
        <v>44466</v>
      </c>
    </row>
    <row r="1169" spans="1:126" ht="15" customHeight="1" x14ac:dyDescent="0.35">
      <c r="A1169" t="s">
        <v>14450</v>
      </c>
      <c r="B1169" t="s">
        <v>318</v>
      </c>
      <c r="C1169" s="1">
        <v>44350</v>
      </c>
      <c r="D1169" s="1">
        <v>44377</v>
      </c>
      <c r="H1169" t="s">
        <v>319</v>
      </c>
      <c r="I1169" t="s">
        <v>2541</v>
      </c>
      <c r="J1169" t="s">
        <v>2542</v>
      </c>
      <c r="L1169" t="s">
        <v>628</v>
      </c>
      <c r="M1169" t="s">
        <v>2543</v>
      </c>
      <c r="N1169" t="s">
        <v>134</v>
      </c>
      <c r="O1169" t="s">
        <v>2544</v>
      </c>
      <c r="P1169" t="s">
        <v>2545</v>
      </c>
      <c r="Q1169" s="3">
        <v>5751</v>
      </c>
      <c r="R1169" t="s">
        <v>128</v>
      </c>
      <c r="S1169" t="s">
        <v>134</v>
      </c>
      <c r="T1169" s="4">
        <v>18024226100</v>
      </c>
      <c r="V1169" t="s">
        <v>2546</v>
      </c>
      <c r="W1169" t="s">
        <v>2547</v>
      </c>
      <c r="X1169" t="s">
        <v>2548</v>
      </c>
      <c r="Y1169" t="s">
        <v>2543</v>
      </c>
      <c r="Z1169" t="s">
        <v>134</v>
      </c>
      <c r="AA1169" t="s">
        <v>2544</v>
      </c>
      <c r="AB1169" t="s">
        <v>2549</v>
      </c>
      <c r="AC1169" s="3" t="str">
        <f t="shared" si="83"/>
        <v>05751</v>
      </c>
      <c r="AD1169" t="s">
        <v>128</v>
      </c>
      <c r="AE1169" t="s">
        <v>134</v>
      </c>
      <c r="AF1169" s="4">
        <v>18024226100</v>
      </c>
      <c r="AH1169" t="str">
        <f t="shared" si="84"/>
        <v>721110</v>
      </c>
      <c r="AI1169" t="s">
        <v>130</v>
      </c>
      <c r="AJ1169" t="s">
        <v>1386</v>
      </c>
      <c r="AK1169" t="s">
        <v>1387</v>
      </c>
      <c r="AL1169" t="s">
        <v>1036</v>
      </c>
      <c r="AM1169" t="s">
        <v>1388</v>
      </c>
      <c r="AN1169" t="s">
        <v>997</v>
      </c>
      <c r="AO1169" t="s">
        <v>719</v>
      </c>
      <c r="AP1169" t="s">
        <v>377</v>
      </c>
      <c r="AQ1169" s="5">
        <v>1701</v>
      </c>
      <c r="AR1169" t="s">
        <v>128</v>
      </c>
      <c r="AS1169" t="s">
        <v>134</v>
      </c>
      <c r="AT1169" s="4">
        <v>16179399444</v>
      </c>
      <c r="AV1169" t="s">
        <v>1389</v>
      </c>
      <c r="AW1169" t="s">
        <v>1390</v>
      </c>
      <c r="AX1169" t="s">
        <v>131</v>
      </c>
      <c r="AY1169" t="s">
        <v>131</v>
      </c>
      <c r="AZ1169" t="s">
        <v>131</v>
      </c>
      <c r="BA1169" t="s">
        <v>131</v>
      </c>
      <c r="BB1169" t="s">
        <v>131</v>
      </c>
      <c r="BC1169" t="s">
        <v>131</v>
      </c>
      <c r="BD1169" t="s">
        <v>131</v>
      </c>
      <c r="BE1169" t="s">
        <v>132</v>
      </c>
      <c r="BH1169" t="s">
        <v>5764</v>
      </c>
      <c r="BI1169" t="s">
        <v>131</v>
      </c>
      <c r="BL1169" t="s">
        <v>167</v>
      </c>
      <c r="BO1169" t="s">
        <v>131</v>
      </c>
      <c r="BP1169" t="s">
        <v>134</v>
      </c>
      <c r="BQ1169" t="s">
        <v>131</v>
      </c>
      <c r="BS1169" t="str">
        <f t="shared" si="82"/>
        <v>N/A</v>
      </c>
      <c r="BT1169" t="s">
        <v>135</v>
      </c>
      <c r="BU1169">
        <v>12</v>
      </c>
      <c r="BV1169" t="str">
        <f>"Line Cook"</f>
        <v>Line Cook</v>
      </c>
      <c r="BW1169" t="s">
        <v>135</v>
      </c>
      <c r="BX1169" t="str">
        <f>""</f>
        <v/>
      </c>
      <c r="BY1169" t="str">
        <f>""</f>
        <v/>
      </c>
      <c r="BZ1169" t="str">
        <f>""</f>
        <v/>
      </c>
      <c r="CA1169" s="2" t="s">
        <v>14451</v>
      </c>
      <c r="CB1169" t="s">
        <v>131</v>
      </c>
      <c r="CF1169" t="s">
        <v>131</v>
      </c>
      <c r="CH1169" t="str">
        <f>""</f>
        <v/>
      </c>
      <c r="CI1169" t="s">
        <v>131</v>
      </c>
      <c r="CK1169" t="s">
        <v>131</v>
      </c>
      <c r="CL1169" t="str">
        <f>""</f>
        <v/>
      </c>
      <c r="CM1169" t="str">
        <f>""</f>
        <v/>
      </c>
      <c r="CN1169" t="str">
        <f>""</f>
        <v/>
      </c>
      <c r="CO1169" t="str">
        <f>""</f>
        <v/>
      </c>
      <c r="CP1169" t="str">
        <f>"35-2014.00"</f>
        <v>35-2014.00</v>
      </c>
      <c r="CQ1169" t="s">
        <v>581</v>
      </c>
      <c r="CR1169" t="s">
        <v>7918</v>
      </c>
      <c r="CS1169" t="s">
        <v>135</v>
      </c>
      <c r="CT1169" t="s">
        <v>6874</v>
      </c>
      <c r="CU1169" t="s">
        <v>2543</v>
      </c>
      <c r="CV1169" t="s">
        <v>134</v>
      </c>
      <c r="CW1169" t="s">
        <v>2544</v>
      </c>
      <c r="CX1169" t="s">
        <v>2549</v>
      </c>
      <c r="CZ1169" s="3" t="str">
        <f t="shared" si="85"/>
        <v>05751</v>
      </c>
      <c r="DA1169" t="s">
        <v>131</v>
      </c>
      <c r="DB1169" t="str">
        <f>"35-2014"</f>
        <v>35-2014</v>
      </c>
      <c r="DC1169" t="s">
        <v>581</v>
      </c>
      <c r="DD1169" t="s">
        <v>134</v>
      </c>
      <c r="DE1169" t="s">
        <v>134</v>
      </c>
      <c r="DF1169" t="str">
        <f>""</f>
        <v/>
      </c>
      <c r="DH1169" s="6">
        <v>15.5</v>
      </c>
      <c r="DI1169" t="s">
        <v>344</v>
      </c>
      <c r="DK1169" t="s">
        <v>345</v>
      </c>
      <c r="DS1169" s="6">
        <v>15.5</v>
      </c>
      <c r="DT1169" t="s">
        <v>424</v>
      </c>
      <c r="DU1169" s="1">
        <v>44377</v>
      </c>
      <c r="DV1169" s="1">
        <v>44466</v>
      </c>
    </row>
    <row r="1170" spans="1:126" ht="15" customHeight="1" x14ac:dyDescent="0.35">
      <c r="A1170" t="s">
        <v>18463</v>
      </c>
      <c r="B1170" t="s">
        <v>318</v>
      </c>
      <c r="C1170" s="1">
        <v>44350</v>
      </c>
      <c r="D1170" s="1">
        <v>44377</v>
      </c>
      <c r="H1170" t="s">
        <v>319</v>
      </c>
      <c r="I1170" t="s">
        <v>2541</v>
      </c>
      <c r="J1170" t="s">
        <v>2542</v>
      </c>
      <c r="L1170" t="s">
        <v>628</v>
      </c>
      <c r="M1170" t="s">
        <v>2543</v>
      </c>
      <c r="N1170" t="s">
        <v>134</v>
      </c>
      <c r="O1170" t="s">
        <v>2544</v>
      </c>
      <c r="P1170" t="s">
        <v>2545</v>
      </c>
      <c r="Q1170" s="3">
        <v>5751</v>
      </c>
      <c r="R1170" t="s">
        <v>128</v>
      </c>
      <c r="S1170" t="s">
        <v>134</v>
      </c>
      <c r="T1170" s="4">
        <v>18024226100</v>
      </c>
      <c r="V1170" t="s">
        <v>2546</v>
      </c>
      <c r="W1170" t="s">
        <v>2547</v>
      </c>
      <c r="X1170" t="s">
        <v>2548</v>
      </c>
      <c r="Y1170" t="s">
        <v>2543</v>
      </c>
      <c r="Z1170" t="s">
        <v>134</v>
      </c>
      <c r="AA1170" t="s">
        <v>2544</v>
      </c>
      <c r="AB1170" t="s">
        <v>2549</v>
      </c>
      <c r="AC1170" s="3" t="str">
        <f t="shared" si="83"/>
        <v>05751</v>
      </c>
      <c r="AD1170" t="s">
        <v>128</v>
      </c>
      <c r="AE1170" t="s">
        <v>134</v>
      </c>
      <c r="AF1170" s="4">
        <v>18024226100</v>
      </c>
      <c r="AH1170" t="str">
        <f t="shared" si="84"/>
        <v>721110</v>
      </c>
      <c r="AI1170" t="s">
        <v>130</v>
      </c>
      <c r="AJ1170" t="s">
        <v>1386</v>
      </c>
      <c r="AK1170" t="s">
        <v>1387</v>
      </c>
      <c r="AL1170" t="s">
        <v>1036</v>
      </c>
      <c r="AM1170" t="s">
        <v>1388</v>
      </c>
      <c r="AN1170" t="s">
        <v>997</v>
      </c>
      <c r="AO1170" t="s">
        <v>719</v>
      </c>
      <c r="AP1170" t="s">
        <v>377</v>
      </c>
      <c r="AQ1170" s="5">
        <v>1701</v>
      </c>
      <c r="AR1170" t="s">
        <v>128</v>
      </c>
      <c r="AS1170" t="s">
        <v>134</v>
      </c>
      <c r="AT1170" s="4">
        <v>16179399444</v>
      </c>
      <c r="AV1170" t="s">
        <v>1389</v>
      </c>
      <c r="AW1170" t="s">
        <v>1390</v>
      </c>
      <c r="AX1170" t="s">
        <v>131</v>
      </c>
      <c r="AY1170" t="s">
        <v>131</v>
      </c>
      <c r="AZ1170" t="s">
        <v>131</v>
      </c>
      <c r="BA1170" t="s">
        <v>131</v>
      </c>
      <c r="BB1170" t="s">
        <v>131</v>
      </c>
      <c r="BC1170" t="s">
        <v>131</v>
      </c>
      <c r="BD1170" t="s">
        <v>131</v>
      </c>
      <c r="BE1170" t="s">
        <v>132</v>
      </c>
      <c r="BH1170" t="s">
        <v>18464</v>
      </c>
      <c r="BI1170" t="s">
        <v>131</v>
      </c>
      <c r="BL1170" t="s">
        <v>167</v>
      </c>
      <c r="BO1170" t="s">
        <v>131</v>
      </c>
      <c r="BP1170" t="s">
        <v>134</v>
      </c>
      <c r="BQ1170" t="s">
        <v>131</v>
      </c>
      <c r="BS1170" t="str">
        <f t="shared" si="82"/>
        <v>N/A</v>
      </c>
      <c r="BT1170" t="s">
        <v>135</v>
      </c>
      <c r="BU1170">
        <v>3</v>
      </c>
      <c r="BV1170" t="str">
        <f>"Lift Operator"</f>
        <v>Lift Operator</v>
      </c>
      <c r="BW1170" t="s">
        <v>135</v>
      </c>
      <c r="BX1170" t="str">
        <f>""</f>
        <v/>
      </c>
      <c r="BY1170" t="str">
        <f>""</f>
        <v/>
      </c>
      <c r="BZ1170" t="str">
        <f>""</f>
        <v/>
      </c>
      <c r="CA1170" s="2" t="s">
        <v>18465</v>
      </c>
      <c r="CB1170" t="s">
        <v>131</v>
      </c>
      <c r="CF1170" t="s">
        <v>131</v>
      </c>
      <c r="CH1170" t="str">
        <f>""</f>
        <v/>
      </c>
      <c r="CI1170" t="s">
        <v>131</v>
      </c>
      <c r="CK1170" t="s">
        <v>131</v>
      </c>
      <c r="CL1170" t="str">
        <f>""</f>
        <v/>
      </c>
      <c r="CM1170" t="str">
        <f>""</f>
        <v/>
      </c>
      <c r="CN1170" t="str">
        <f>""</f>
        <v/>
      </c>
      <c r="CO1170" t="str">
        <f>""</f>
        <v/>
      </c>
      <c r="CP1170" t="str">
        <f>"39-3091.00"</f>
        <v>39-3091.00</v>
      </c>
      <c r="CQ1170" t="s">
        <v>1374</v>
      </c>
      <c r="CR1170" t="s">
        <v>18466</v>
      </c>
      <c r="CS1170" t="s">
        <v>135</v>
      </c>
      <c r="CT1170" t="s">
        <v>2554</v>
      </c>
      <c r="CU1170" t="s">
        <v>2543</v>
      </c>
      <c r="CV1170" t="s">
        <v>134</v>
      </c>
      <c r="CW1170" t="s">
        <v>2544</v>
      </c>
      <c r="CX1170" t="s">
        <v>2549</v>
      </c>
      <c r="CZ1170" s="3" t="str">
        <f t="shared" si="85"/>
        <v>05751</v>
      </c>
      <c r="DA1170" t="s">
        <v>131</v>
      </c>
      <c r="DB1170" t="str">
        <f>"39-3091"</f>
        <v>39-3091</v>
      </c>
      <c r="DC1170" t="s">
        <v>1374</v>
      </c>
      <c r="DD1170" t="s">
        <v>134</v>
      </c>
      <c r="DE1170" t="s">
        <v>134</v>
      </c>
      <c r="DF1170" t="str">
        <f>""</f>
        <v/>
      </c>
      <c r="DH1170" s="6">
        <v>13.07</v>
      </c>
      <c r="DI1170" t="s">
        <v>344</v>
      </c>
      <c r="DK1170" t="s">
        <v>345</v>
      </c>
      <c r="DS1170" s="6">
        <v>13.07</v>
      </c>
      <c r="DT1170" s="2" t="s">
        <v>347</v>
      </c>
      <c r="DU1170" s="1">
        <v>44377</v>
      </c>
      <c r="DV1170" s="1">
        <v>44466</v>
      </c>
    </row>
    <row r="1171" spans="1:126" ht="15" customHeight="1" x14ac:dyDescent="0.35">
      <c r="A1171" t="s">
        <v>14016</v>
      </c>
      <c r="B1171" t="s">
        <v>318</v>
      </c>
      <c r="C1171" s="1">
        <v>44350</v>
      </c>
      <c r="D1171" s="1">
        <v>44377</v>
      </c>
      <c r="H1171" t="s">
        <v>319</v>
      </c>
      <c r="I1171" t="s">
        <v>2541</v>
      </c>
      <c r="J1171" t="s">
        <v>2542</v>
      </c>
      <c r="L1171" t="s">
        <v>628</v>
      </c>
      <c r="M1171" t="s">
        <v>2543</v>
      </c>
      <c r="N1171" t="s">
        <v>134</v>
      </c>
      <c r="O1171" t="s">
        <v>2544</v>
      </c>
      <c r="P1171" t="s">
        <v>2545</v>
      </c>
      <c r="Q1171" s="3">
        <v>5751</v>
      </c>
      <c r="R1171" t="s">
        <v>128</v>
      </c>
      <c r="S1171" t="s">
        <v>134</v>
      </c>
      <c r="T1171" s="4">
        <v>18024226100</v>
      </c>
      <c r="V1171" t="s">
        <v>2546</v>
      </c>
      <c r="W1171" t="s">
        <v>2547</v>
      </c>
      <c r="X1171" t="s">
        <v>2548</v>
      </c>
      <c r="Y1171" t="s">
        <v>2543</v>
      </c>
      <c r="Z1171" t="s">
        <v>134</v>
      </c>
      <c r="AA1171" t="s">
        <v>2544</v>
      </c>
      <c r="AB1171" t="s">
        <v>2549</v>
      </c>
      <c r="AC1171" s="3" t="str">
        <f t="shared" si="83"/>
        <v>05751</v>
      </c>
      <c r="AD1171" t="s">
        <v>128</v>
      </c>
      <c r="AE1171" t="s">
        <v>134</v>
      </c>
      <c r="AF1171" s="4">
        <v>18024226100</v>
      </c>
      <c r="AH1171" t="str">
        <f t="shared" si="84"/>
        <v>721110</v>
      </c>
      <c r="AI1171" t="s">
        <v>130</v>
      </c>
      <c r="AJ1171" t="s">
        <v>1386</v>
      </c>
      <c r="AK1171" t="s">
        <v>1387</v>
      </c>
      <c r="AL1171" t="s">
        <v>1036</v>
      </c>
      <c r="AM1171" t="s">
        <v>1388</v>
      </c>
      <c r="AN1171" t="s">
        <v>997</v>
      </c>
      <c r="AO1171" t="s">
        <v>719</v>
      </c>
      <c r="AP1171" t="s">
        <v>377</v>
      </c>
      <c r="AQ1171" s="5">
        <v>1701</v>
      </c>
      <c r="AR1171" t="s">
        <v>128</v>
      </c>
      <c r="AS1171" t="s">
        <v>134</v>
      </c>
      <c r="AT1171" s="4">
        <v>16179399444</v>
      </c>
      <c r="AV1171" t="s">
        <v>1389</v>
      </c>
      <c r="AW1171" t="s">
        <v>1390</v>
      </c>
      <c r="AX1171" t="s">
        <v>131</v>
      </c>
      <c r="AY1171" t="s">
        <v>131</v>
      </c>
      <c r="AZ1171" t="s">
        <v>131</v>
      </c>
      <c r="BA1171" t="s">
        <v>131</v>
      </c>
      <c r="BB1171" t="s">
        <v>131</v>
      </c>
      <c r="BC1171" t="s">
        <v>131</v>
      </c>
      <c r="BD1171" t="s">
        <v>131</v>
      </c>
      <c r="BE1171" t="s">
        <v>132</v>
      </c>
      <c r="BH1171" t="s">
        <v>14017</v>
      </c>
      <c r="BI1171" t="s">
        <v>131</v>
      </c>
      <c r="BL1171" t="s">
        <v>167</v>
      </c>
      <c r="BO1171" t="s">
        <v>131</v>
      </c>
      <c r="BP1171" t="s">
        <v>134</v>
      </c>
      <c r="BQ1171" t="s">
        <v>131</v>
      </c>
      <c r="BS1171" t="str">
        <f t="shared" si="82"/>
        <v>N/A</v>
      </c>
      <c r="BT1171" t="s">
        <v>135</v>
      </c>
      <c r="BU1171">
        <v>3</v>
      </c>
      <c r="BV1171" t="str">
        <f>"Food Service Worker"</f>
        <v>Food Service Worker</v>
      </c>
      <c r="BW1171" t="s">
        <v>135</v>
      </c>
      <c r="BX1171" t="str">
        <f>""</f>
        <v/>
      </c>
      <c r="BY1171" t="str">
        <f>""</f>
        <v/>
      </c>
      <c r="BZ1171" t="str">
        <f>""</f>
        <v/>
      </c>
      <c r="CA1171" s="2" t="s">
        <v>14018</v>
      </c>
      <c r="CB1171" t="s">
        <v>131</v>
      </c>
      <c r="CF1171" t="s">
        <v>131</v>
      </c>
      <c r="CH1171" t="str">
        <f>""</f>
        <v/>
      </c>
      <c r="CI1171" t="s">
        <v>131</v>
      </c>
      <c r="CK1171" t="s">
        <v>131</v>
      </c>
      <c r="CL1171" t="str">
        <f>""</f>
        <v/>
      </c>
      <c r="CM1171" t="str">
        <f>""</f>
        <v/>
      </c>
      <c r="CN1171" t="str">
        <f>""</f>
        <v/>
      </c>
      <c r="CO1171" t="str">
        <f>""</f>
        <v/>
      </c>
      <c r="CP1171" t="str">
        <f>"35-3022.00"</f>
        <v>35-3022.00</v>
      </c>
      <c r="CQ1171" t="s">
        <v>5154</v>
      </c>
      <c r="CR1171" t="s">
        <v>2553</v>
      </c>
      <c r="CS1171" t="s">
        <v>135</v>
      </c>
      <c r="CT1171" t="s">
        <v>2554</v>
      </c>
      <c r="CU1171" t="s">
        <v>2543</v>
      </c>
      <c r="CV1171" t="s">
        <v>134</v>
      </c>
      <c r="CW1171" t="s">
        <v>2544</v>
      </c>
      <c r="CX1171" t="s">
        <v>2549</v>
      </c>
      <c r="CZ1171" s="3" t="str">
        <f t="shared" si="85"/>
        <v>05751</v>
      </c>
      <c r="DA1171" t="s">
        <v>131</v>
      </c>
      <c r="DB1171" t="str">
        <f>"35-3022"</f>
        <v>35-3022</v>
      </c>
      <c r="DC1171" t="s">
        <v>5154</v>
      </c>
      <c r="DD1171" t="s">
        <v>134</v>
      </c>
      <c r="DE1171" t="s">
        <v>134</v>
      </c>
      <c r="DF1171" t="str">
        <f>""</f>
        <v/>
      </c>
      <c r="DH1171" s="6">
        <v>13.25</v>
      </c>
      <c r="DI1171" t="s">
        <v>344</v>
      </c>
      <c r="DK1171" t="s">
        <v>345</v>
      </c>
      <c r="DS1171" s="6">
        <v>13.25</v>
      </c>
      <c r="DT1171" t="s">
        <v>424</v>
      </c>
      <c r="DU1171" s="1">
        <v>44377</v>
      </c>
      <c r="DV1171" s="1">
        <v>44466</v>
      </c>
    </row>
    <row r="1172" spans="1:126" ht="15" customHeight="1" x14ac:dyDescent="0.35">
      <c r="A1172" t="s">
        <v>2540</v>
      </c>
      <c r="B1172" t="s">
        <v>318</v>
      </c>
      <c r="C1172" s="1">
        <v>44350</v>
      </c>
      <c r="D1172" s="1">
        <v>44377</v>
      </c>
      <c r="H1172" t="s">
        <v>319</v>
      </c>
      <c r="I1172" t="s">
        <v>2541</v>
      </c>
      <c r="J1172" t="s">
        <v>2542</v>
      </c>
      <c r="L1172" t="s">
        <v>628</v>
      </c>
      <c r="M1172" t="s">
        <v>2543</v>
      </c>
      <c r="N1172" t="s">
        <v>134</v>
      </c>
      <c r="O1172" t="s">
        <v>2544</v>
      </c>
      <c r="P1172" t="s">
        <v>2545</v>
      </c>
      <c r="Q1172" s="3">
        <v>5751</v>
      </c>
      <c r="R1172" t="s">
        <v>128</v>
      </c>
      <c r="S1172" t="s">
        <v>134</v>
      </c>
      <c r="T1172" s="4">
        <v>18024226100</v>
      </c>
      <c r="V1172" t="s">
        <v>2546</v>
      </c>
      <c r="W1172" t="s">
        <v>2547</v>
      </c>
      <c r="X1172" t="s">
        <v>2548</v>
      </c>
      <c r="Y1172" t="s">
        <v>2543</v>
      </c>
      <c r="Z1172" t="s">
        <v>134</v>
      </c>
      <c r="AA1172" t="s">
        <v>2544</v>
      </c>
      <c r="AB1172" t="s">
        <v>2549</v>
      </c>
      <c r="AC1172" s="3" t="str">
        <f t="shared" si="83"/>
        <v>05751</v>
      </c>
      <c r="AD1172" t="s">
        <v>128</v>
      </c>
      <c r="AE1172" t="s">
        <v>134</v>
      </c>
      <c r="AF1172" s="4">
        <v>18024226100</v>
      </c>
      <c r="AH1172" t="str">
        <f t="shared" si="84"/>
        <v>721110</v>
      </c>
      <c r="AI1172" t="s">
        <v>130</v>
      </c>
      <c r="AJ1172" t="s">
        <v>1386</v>
      </c>
      <c r="AK1172" t="s">
        <v>1387</v>
      </c>
      <c r="AL1172" t="s">
        <v>1036</v>
      </c>
      <c r="AM1172" t="s">
        <v>1388</v>
      </c>
      <c r="AN1172" t="s">
        <v>997</v>
      </c>
      <c r="AO1172" t="s">
        <v>719</v>
      </c>
      <c r="AP1172" t="s">
        <v>377</v>
      </c>
      <c r="AQ1172" s="5">
        <v>1701</v>
      </c>
      <c r="AR1172" t="s">
        <v>128</v>
      </c>
      <c r="AS1172" t="s">
        <v>134</v>
      </c>
      <c r="AT1172" s="4">
        <v>16179399444</v>
      </c>
      <c r="AV1172" t="s">
        <v>1389</v>
      </c>
      <c r="AW1172" t="s">
        <v>1390</v>
      </c>
      <c r="AX1172" t="s">
        <v>131</v>
      </c>
      <c r="AY1172" t="s">
        <v>131</v>
      </c>
      <c r="AZ1172" t="s">
        <v>131</v>
      </c>
      <c r="BA1172" t="s">
        <v>131</v>
      </c>
      <c r="BB1172" t="s">
        <v>131</v>
      </c>
      <c r="BC1172" t="s">
        <v>131</v>
      </c>
      <c r="BD1172" t="s">
        <v>131</v>
      </c>
      <c r="BE1172" t="s">
        <v>132</v>
      </c>
      <c r="BH1172" t="s">
        <v>2550</v>
      </c>
      <c r="BI1172" t="s">
        <v>131</v>
      </c>
      <c r="BL1172" t="s">
        <v>167</v>
      </c>
      <c r="BO1172" t="s">
        <v>131</v>
      </c>
      <c r="BP1172" t="s">
        <v>134</v>
      </c>
      <c r="BQ1172" t="s">
        <v>131</v>
      </c>
      <c r="BS1172" t="str">
        <f t="shared" si="82"/>
        <v>N/A</v>
      </c>
      <c r="BT1172" t="s">
        <v>135</v>
      </c>
      <c r="BU1172">
        <v>3</v>
      </c>
      <c r="BV1172" t="str">
        <f>"Dishwasher"</f>
        <v>Dishwasher</v>
      </c>
      <c r="BW1172" t="s">
        <v>135</v>
      </c>
      <c r="BX1172" t="str">
        <f>""</f>
        <v/>
      </c>
      <c r="BY1172" t="str">
        <f>""</f>
        <v/>
      </c>
      <c r="BZ1172" t="str">
        <f>""</f>
        <v/>
      </c>
      <c r="CA1172" s="2" t="s">
        <v>2551</v>
      </c>
      <c r="CB1172" t="s">
        <v>131</v>
      </c>
      <c r="CF1172" t="s">
        <v>131</v>
      </c>
      <c r="CH1172" t="str">
        <f>""</f>
        <v/>
      </c>
      <c r="CI1172" t="s">
        <v>131</v>
      </c>
      <c r="CK1172" t="s">
        <v>131</v>
      </c>
      <c r="CL1172" t="str">
        <f>""</f>
        <v/>
      </c>
      <c r="CM1172" t="str">
        <f>""</f>
        <v/>
      </c>
      <c r="CN1172" t="str">
        <f>""</f>
        <v/>
      </c>
      <c r="CO1172" t="str">
        <f>""</f>
        <v/>
      </c>
      <c r="CP1172" t="str">
        <f>"35-9021.00"</f>
        <v>35-9021.00</v>
      </c>
      <c r="CQ1172" t="s">
        <v>2552</v>
      </c>
      <c r="CR1172" t="s">
        <v>2553</v>
      </c>
      <c r="CS1172" t="s">
        <v>135</v>
      </c>
      <c r="CT1172" t="s">
        <v>2554</v>
      </c>
      <c r="CU1172" t="s">
        <v>2543</v>
      </c>
      <c r="CV1172" t="s">
        <v>134</v>
      </c>
      <c r="CW1172" t="s">
        <v>2544</v>
      </c>
      <c r="CX1172" t="s">
        <v>2549</v>
      </c>
      <c r="CZ1172" s="3" t="str">
        <f t="shared" si="85"/>
        <v>05751</v>
      </c>
      <c r="DA1172" t="s">
        <v>131</v>
      </c>
      <c r="DB1172" t="str">
        <f>"35-9021"</f>
        <v>35-9021</v>
      </c>
      <c r="DC1172" t="s">
        <v>2552</v>
      </c>
      <c r="DD1172" t="s">
        <v>134</v>
      </c>
      <c r="DE1172" t="s">
        <v>134</v>
      </c>
      <c r="DF1172" t="str">
        <f>""</f>
        <v/>
      </c>
      <c r="DH1172" s="6">
        <v>14.13</v>
      </c>
      <c r="DI1172" t="s">
        <v>344</v>
      </c>
      <c r="DK1172" t="s">
        <v>345</v>
      </c>
      <c r="DS1172" s="6">
        <v>14.13</v>
      </c>
      <c r="DT1172" t="s">
        <v>424</v>
      </c>
      <c r="DU1172" s="1">
        <v>44377</v>
      </c>
      <c r="DV1172" s="1">
        <v>44466</v>
      </c>
    </row>
    <row r="1173" spans="1:126" ht="15" customHeight="1" x14ac:dyDescent="0.35">
      <c r="A1173" t="s">
        <v>11322</v>
      </c>
      <c r="B1173" t="s">
        <v>318</v>
      </c>
      <c r="C1173" s="1">
        <v>44350</v>
      </c>
      <c r="D1173" s="1">
        <v>44377</v>
      </c>
      <c r="H1173" t="s">
        <v>319</v>
      </c>
      <c r="I1173" t="s">
        <v>2541</v>
      </c>
      <c r="J1173" t="s">
        <v>2542</v>
      </c>
      <c r="L1173" t="s">
        <v>628</v>
      </c>
      <c r="M1173" t="s">
        <v>2543</v>
      </c>
      <c r="N1173" t="s">
        <v>134</v>
      </c>
      <c r="O1173" t="s">
        <v>2544</v>
      </c>
      <c r="P1173" t="s">
        <v>2545</v>
      </c>
      <c r="Q1173" s="3">
        <v>5751</v>
      </c>
      <c r="R1173" t="s">
        <v>128</v>
      </c>
      <c r="S1173" t="s">
        <v>134</v>
      </c>
      <c r="T1173" s="4">
        <v>18024226100</v>
      </c>
      <c r="V1173" t="s">
        <v>2546</v>
      </c>
      <c r="W1173" t="s">
        <v>2547</v>
      </c>
      <c r="X1173" t="s">
        <v>2548</v>
      </c>
      <c r="Y1173" t="s">
        <v>2543</v>
      </c>
      <c r="Z1173" t="s">
        <v>134</v>
      </c>
      <c r="AA1173" t="s">
        <v>2544</v>
      </c>
      <c r="AB1173" t="s">
        <v>2549</v>
      </c>
      <c r="AC1173" s="3" t="str">
        <f t="shared" si="83"/>
        <v>05751</v>
      </c>
      <c r="AD1173" t="s">
        <v>128</v>
      </c>
      <c r="AE1173" t="s">
        <v>134</v>
      </c>
      <c r="AF1173" s="4">
        <v>18024226100</v>
      </c>
      <c r="AH1173" t="str">
        <f t="shared" si="84"/>
        <v>721110</v>
      </c>
      <c r="AI1173" t="s">
        <v>130</v>
      </c>
      <c r="AJ1173" t="s">
        <v>1386</v>
      </c>
      <c r="AK1173" t="s">
        <v>1387</v>
      </c>
      <c r="AL1173" t="s">
        <v>1036</v>
      </c>
      <c r="AM1173" t="s">
        <v>1388</v>
      </c>
      <c r="AN1173" t="s">
        <v>997</v>
      </c>
      <c r="AO1173" t="s">
        <v>719</v>
      </c>
      <c r="AP1173" t="s">
        <v>377</v>
      </c>
      <c r="AQ1173" s="5">
        <v>1701</v>
      </c>
      <c r="AR1173" t="s">
        <v>128</v>
      </c>
      <c r="AS1173" t="s">
        <v>134</v>
      </c>
      <c r="AT1173" s="4">
        <v>16179399444</v>
      </c>
      <c r="AV1173" t="s">
        <v>1389</v>
      </c>
      <c r="AW1173" t="s">
        <v>1390</v>
      </c>
      <c r="AX1173" t="s">
        <v>131</v>
      </c>
      <c r="AY1173" t="s">
        <v>131</v>
      </c>
      <c r="AZ1173" t="s">
        <v>131</v>
      </c>
      <c r="BA1173" t="s">
        <v>131</v>
      </c>
      <c r="BB1173" t="s">
        <v>131</v>
      </c>
      <c r="BC1173" t="s">
        <v>131</v>
      </c>
      <c r="BD1173" t="s">
        <v>131</v>
      </c>
      <c r="BE1173" t="s">
        <v>132</v>
      </c>
      <c r="BH1173" t="s">
        <v>11323</v>
      </c>
      <c r="BI1173" t="s">
        <v>131</v>
      </c>
      <c r="BL1173" t="s">
        <v>167</v>
      </c>
      <c r="BO1173" t="s">
        <v>131</v>
      </c>
      <c r="BP1173" t="s">
        <v>134</v>
      </c>
      <c r="BQ1173" t="s">
        <v>131</v>
      </c>
      <c r="BS1173" t="str">
        <f t="shared" si="82"/>
        <v>N/A</v>
      </c>
      <c r="BT1173" t="s">
        <v>135</v>
      </c>
      <c r="BU1173">
        <v>6</v>
      </c>
      <c r="BV1173" t="str">
        <f>"Cook"</f>
        <v>Cook</v>
      </c>
      <c r="BW1173" t="s">
        <v>135</v>
      </c>
      <c r="BX1173" t="str">
        <f>""</f>
        <v/>
      </c>
      <c r="BY1173" t="str">
        <f>""</f>
        <v/>
      </c>
      <c r="BZ1173" t="str">
        <f>""</f>
        <v/>
      </c>
      <c r="CA1173" s="2" t="s">
        <v>11324</v>
      </c>
      <c r="CB1173" t="s">
        <v>131</v>
      </c>
      <c r="CF1173" t="s">
        <v>131</v>
      </c>
      <c r="CH1173" t="str">
        <f>""</f>
        <v/>
      </c>
      <c r="CI1173" t="s">
        <v>131</v>
      </c>
      <c r="CK1173" t="s">
        <v>131</v>
      </c>
      <c r="CL1173" t="str">
        <f>""</f>
        <v/>
      </c>
      <c r="CM1173" t="str">
        <f>""</f>
        <v/>
      </c>
      <c r="CN1173" t="str">
        <f>""</f>
        <v/>
      </c>
      <c r="CO1173" t="str">
        <f>""</f>
        <v/>
      </c>
      <c r="CP1173" t="str">
        <f>"35-2012.00"</f>
        <v>35-2012.00</v>
      </c>
      <c r="CQ1173" t="s">
        <v>11325</v>
      </c>
      <c r="CR1173" t="s">
        <v>2553</v>
      </c>
      <c r="CS1173" t="s">
        <v>135</v>
      </c>
      <c r="CT1173" t="s">
        <v>2554</v>
      </c>
      <c r="CU1173" t="s">
        <v>2543</v>
      </c>
      <c r="CV1173" t="s">
        <v>134</v>
      </c>
      <c r="CW1173" t="s">
        <v>2544</v>
      </c>
      <c r="CX1173" t="s">
        <v>2549</v>
      </c>
      <c r="CZ1173" s="3" t="str">
        <f t="shared" si="85"/>
        <v>05751</v>
      </c>
      <c r="DA1173" t="s">
        <v>131</v>
      </c>
      <c r="DB1173" t="str">
        <f>"35-2012"</f>
        <v>35-2012</v>
      </c>
      <c r="DC1173" t="s">
        <v>11325</v>
      </c>
      <c r="DD1173" t="s">
        <v>134</v>
      </c>
      <c r="DE1173" t="s">
        <v>134</v>
      </c>
      <c r="DF1173" t="str">
        <f>""</f>
        <v/>
      </c>
      <c r="DH1173" s="6">
        <v>16.170000000000002</v>
      </c>
      <c r="DI1173" t="s">
        <v>344</v>
      </c>
      <c r="DK1173" t="s">
        <v>345</v>
      </c>
      <c r="DS1173" s="6">
        <v>16.170000000000002</v>
      </c>
      <c r="DT1173" t="s">
        <v>424</v>
      </c>
      <c r="DU1173" s="1">
        <v>44377</v>
      </c>
      <c r="DV1173" s="1">
        <v>44466</v>
      </c>
    </row>
    <row r="1174" spans="1:126" ht="15" customHeight="1" x14ac:dyDescent="0.35">
      <c r="A1174" t="s">
        <v>19528</v>
      </c>
      <c r="B1174" t="s">
        <v>318</v>
      </c>
      <c r="C1174" s="1">
        <v>44350</v>
      </c>
      <c r="D1174" s="1">
        <v>44377</v>
      </c>
      <c r="H1174" t="s">
        <v>319</v>
      </c>
      <c r="I1174" t="s">
        <v>2371</v>
      </c>
      <c r="J1174" t="s">
        <v>1081</v>
      </c>
      <c r="K1174" t="s">
        <v>415</v>
      </c>
      <c r="L1174" t="s">
        <v>1105</v>
      </c>
      <c r="M1174" t="s">
        <v>19529</v>
      </c>
      <c r="O1174" t="s">
        <v>19530</v>
      </c>
      <c r="P1174" t="s">
        <v>127</v>
      </c>
      <c r="Q1174" s="3">
        <v>12817</v>
      </c>
      <c r="R1174" t="s">
        <v>128</v>
      </c>
      <c r="T1174" s="4">
        <v>15184947238</v>
      </c>
      <c r="V1174" t="s">
        <v>19531</v>
      </c>
      <c r="W1174" t="s">
        <v>19532</v>
      </c>
      <c r="Y1174" t="s">
        <v>19529</v>
      </c>
      <c r="AA1174" t="s">
        <v>19530</v>
      </c>
      <c r="AB1174" t="s">
        <v>129</v>
      </c>
      <c r="AC1174" s="3" t="str">
        <f>"12817"</f>
        <v>12817</v>
      </c>
      <c r="AD1174" t="s">
        <v>128</v>
      </c>
      <c r="AF1174" s="4">
        <v>15184947238</v>
      </c>
      <c r="AH1174" t="str">
        <f>"5617"</f>
        <v>5617</v>
      </c>
      <c r="AI1174" t="s">
        <v>287</v>
      </c>
      <c r="AJ1174" t="s">
        <v>10098</v>
      </c>
      <c r="AK1174" t="s">
        <v>4224</v>
      </c>
      <c r="AL1174" t="s">
        <v>2449</v>
      </c>
      <c r="AM1174" t="s">
        <v>10099</v>
      </c>
      <c r="AN1174" t="s">
        <v>2377</v>
      </c>
      <c r="AO1174" t="s">
        <v>2838</v>
      </c>
      <c r="AP1174" t="s">
        <v>471</v>
      </c>
      <c r="AQ1174" s="5">
        <v>80550</v>
      </c>
      <c r="AR1174" t="s">
        <v>128</v>
      </c>
      <c r="AS1174" t="s">
        <v>134</v>
      </c>
      <c r="AT1174" s="4">
        <v>19706866068</v>
      </c>
      <c r="AV1174" t="s">
        <v>10100</v>
      </c>
      <c r="AW1174" t="s">
        <v>10101</v>
      </c>
      <c r="AX1174" t="s">
        <v>131</v>
      </c>
      <c r="AY1174" t="s">
        <v>131</v>
      </c>
      <c r="AZ1174" t="s">
        <v>131</v>
      </c>
      <c r="BA1174" t="s">
        <v>131</v>
      </c>
      <c r="BB1174" t="s">
        <v>131</v>
      </c>
      <c r="BC1174" t="s">
        <v>131</v>
      </c>
      <c r="BD1174" t="s">
        <v>131</v>
      </c>
      <c r="BE1174" t="s">
        <v>132</v>
      </c>
      <c r="BH1174" t="s">
        <v>920</v>
      </c>
      <c r="BI1174" t="s">
        <v>131</v>
      </c>
      <c r="BL1174" t="s">
        <v>167</v>
      </c>
      <c r="BO1174" t="s">
        <v>131</v>
      </c>
      <c r="BP1174" t="s">
        <v>134</v>
      </c>
      <c r="BQ1174" t="s">
        <v>131</v>
      </c>
      <c r="BS1174" t="str">
        <f t="shared" si="82"/>
        <v>N/A</v>
      </c>
      <c r="BT1174" t="s">
        <v>131</v>
      </c>
      <c r="BV1174" t="str">
        <f>""</f>
        <v/>
      </c>
      <c r="BW1174" t="s">
        <v>135</v>
      </c>
      <c r="BX1174" t="str">
        <f>""</f>
        <v/>
      </c>
      <c r="BY1174" t="str">
        <f>""</f>
        <v/>
      </c>
      <c r="BZ1174" t="str">
        <f>""</f>
        <v/>
      </c>
      <c r="CA1174" t="str">
        <f>"Lift and sustain 80lbs., no education/experience required, On the Job training available."</f>
        <v>Lift and sustain 80lbs., no education/experience required, On the Job training available.</v>
      </c>
      <c r="CB1174" t="s">
        <v>131</v>
      </c>
      <c r="CF1174" t="s">
        <v>131</v>
      </c>
      <c r="CH1174" t="str">
        <f>""</f>
        <v/>
      </c>
      <c r="CI1174" t="s">
        <v>131</v>
      </c>
      <c r="CK1174" t="s">
        <v>131</v>
      </c>
      <c r="CL1174" t="str">
        <f>""</f>
        <v/>
      </c>
      <c r="CM1174" t="str">
        <f>""</f>
        <v/>
      </c>
      <c r="CN1174" t="str">
        <f>""</f>
        <v/>
      </c>
      <c r="CO1174" t="str">
        <f>""</f>
        <v/>
      </c>
      <c r="CP1174" t="str">
        <f>"37-3011.00"</f>
        <v>37-3011.00</v>
      </c>
      <c r="CQ1174" t="s">
        <v>920</v>
      </c>
      <c r="CR1174" t="s">
        <v>920</v>
      </c>
      <c r="CS1174" t="s">
        <v>131</v>
      </c>
      <c r="CU1174" t="s">
        <v>19529</v>
      </c>
      <c r="CW1174" t="s">
        <v>19530</v>
      </c>
      <c r="CX1174" t="s">
        <v>129</v>
      </c>
      <c r="CZ1174" s="3" t="str">
        <f>"12817"</f>
        <v>12817</v>
      </c>
      <c r="DA1174" t="s">
        <v>131</v>
      </c>
      <c r="DB1174" t="str">
        <f>"37-3011"</f>
        <v>37-3011</v>
      </c>
      <c r="DC1174" t="s">
        <v>920</v>
      </c>
      <c r="DD1174" t="s">
        <v>134</v>
      </c>
      <c r="DE1174" t="s">
        <v>134</v>
      </c>
      <c r="DF1174" t="str">
        <f>""</f>
        <v/>
      </c>
      <c r="DH1174" s="6">
        <v>17.649999999999999</v>
      </c>
      <c r="DI1174" t="s">
        <v>344</v>
      </c>
      <c r="DK1174" t="s">
        <v>345</v>
      </c>
      <c r="DS1174" s="6">
        <v>17.649999999999999</v>
      </c>
      <c r="DT1174" t="s">
        <v>424</v>
      </c>
      <c r="DU1174" s="1">
        <v>44377</v>
      </c>
      <c r="DV1174" s="1">
        <v>44466</v>
      </c>
    </row>
    <row r="1175" spans="1:126" ht="15" customHeight="1" x14ac:dyDescent="0.35">
      <c r="A1175" t="s">
        <v>9909</v>
      </c>
      <c r="B1175" t="s">
        <v>318</v>
      </c>
      <c r="C1175" s="1">
        <v>44350</v>
      </c>
      <c r="D1175" s="1">
        <v>44377</v>
      </c>
      <c r="H1175" t="s">
        <v>319</v>
      </c>
      <c r="I1175" t="s">
        <v>1378</v>
      </c>
      <c r="J1175" t="s">
        <v>1379</v>
      </c>
      <c r="K1175" t="s">
        <v>134</v>
      </c>
      <c r="L1175" t="s">
        <v>1380</v>
      </c>
      <c r="M1175" t="s">
        <v>1381</v>
      </c>
      <c r="N1175" t="s">
        <v>134</v>
      </c>
      <c r="O1175" t="s">
        <v>1382</v>
      </c>
      <c r="P1175" t="s">
        <v>467</v>
      </c>
      <c r="Q1175" s="3">
        <v>80482</v>
      </c>
      <c r="R1175" t="s">
        <v>128</v>
      </c>
      <c r="S1175" t="s">
        <v>134</v>
      </c>
      <c r="T1175" s="4">
        <v>19707261536</v>
      </c>
      <c r="V1175" t="s">
        <v>1383</v>
      </c>
      <c r="W1175" t="s">
        <v>1384</v>
      </c>
      <c r="X1175" t="s">
        <v>1385</v>
      </c>
      <c r="Y1175" t="s">
        <v>1381</v>
      </c>
      <c r="Z1175" t="s">
        <v>134</v>
      </c>
      <c r="AA1175" t="s">
        <v>1382</v>
      </c>
      <c r="AB1175" t="s">
        <v>471</v>
      </c>
      <c r="AC1175" s="3" t="str">
        <f>"80482"</f>
        <v>80482</v>
      </c>
      <c r="AD1175" t="s">
        <v>128</v>
      </c>
      <c r="AE1175" t="s">
        <v>134</v>
      </c>
      <c r="AF1175" s="4">
        <v>19707261512</v>
      </c>
      <c r="AH1175" t="str">
        <f>"721110"</f>
        <v>721110</v>
      </c>
      <c r="AI1175" t="s">
        <v>130</v>
      </c>
      <c r="AJ1175" t="s">
        <v>1386</v>
      </c>
      <c r="AK1175" t="s">
        <v>1387</v>
      </c>
      <c r="AL1175" t="s">
        <v>1036</v>
      </c>
      <c r="AM1175" t="s">
        <v>1388</v>
      </c>
      <c r="AN1175" t="s">
        <v>997</v>
      </c>
      <c r="AO1175" t="s">
        <v>719</v>
      </c>
      <c r="AP1175" t="s">
        <v>377</v>
      </c>
      <c r="AQ1175" s="5">
        <v>1701</v>
      </c>
      <c r="AR1175" t="s">
        <v>128</v>
      </c>
      <c r="AS1175" t="s">
        <v>134</v>
      </c>
      <c r="AT1175" s="4">
        <v>16179399444</v>
      </c>
      <c r="AV1175" t="s">
        <v>1389</v>
      </c>
      <c r="AW1175" t="s">
        <v>1390</v>
      </c>
      <c r="AX1175" t="s">
        <v>131</v>
      </c>
      <c r="AY1175" t="s">
        <v>131</v>
      </c>
      <c r="AZ1175" t="s">
        <v>131</v>
      </c>
      <c r="BA1175" t="s">
        <v>131</v>
      </c>
      <c r="BB1175" t="s">
        <v>131</v>
      </c>
      <c r="BC1175" t="s">
        <v>131</v>
      </c>
      <c r="BD1175" t="s">
        <v>131</v>
      </c>
      <c r="BE1175" t="s">
        <v>132</v>
      </c>
      <c r="BH1175" t="s">
        <v>7233</v>
      </c>
      <c r="BI1175" t="s">
        <v>135</v>
      </c>
      <c r="BJ1175" t="s">
        <v>2730</v>
      </c>
      <c r="BK1175" t="s">
        <v>2731</v>
      </c>
      <c r="BL1175" t="s">
        <v>167</v>
      </c>
      <c r="BO1175" t="s">
        <v>131</v>
      </c>
      <c r="BP1175" t="s">
        <v>134</v>
      </c>
      <c r="BQ1175" t="s">
        <v>131</v>
      </c>
      <c r="BS1175" t="str">
        <f t="shared" si="82"/>
        <v>N/A</v>
      </c>
      <c r="BT1175" t="s">
        <v>135</v>
      </c>
      <c r="BU1175">
        <v>24</v>
      </c>
      <c r="BV1175" t="str">
        <f>"Sous Chef"</f>
        <v>Sous Chef</v>
      </c>
      <c r="BW1175" t="s">
        <v>135</v>
      </c>
      <c r="BX1175" t="str">
        <f>""</f>
        <v/>
      </c>
      <c r="BY1175" t="str">
        <f>""</f>
        <v/>
      </c>
      <c r="BZ1175" t="str">
        <f>""</f>
        <v/>
      </c>
      <c r="CA1175" t="s">
        <v>9910</v>
      </c>
      <c r="CB1175" t="s">
        <v>131</v>
      </c>
      <c r="CF1175" t="s">
        <v>131</v>
      </c>
      <c r="CH1175" t="str">
        <f>""</f>
        <v/>
      </c>
      <c r="CI1175" t="s">
        <v>131</v>
      </c>
      <c r="CK1175" t="s">
        <v>131</v>
      </c>
      <c r="CL1175" t="str">
        <f>""</f>
        <v/>
      </c>
      <c r="CM1175" t="str">
        <f>""</f>
        <v/>
      </c>
      <c r="CN1175" t="str">
        <f>""</f>
        <v/>
      </c>
      <c r="CO1175" t="str">
        <f>""</f>
        <v/>
      </c>
      <c r="CP1175" t="str">
        <f>"35-2014.00"</f>
        <v>35-2014.00</v>
      </c>
      <c r="CQ1175" t="s">
        <v>581</v>
      </c>
      <c r="CR1175" t="s">
        <v>1391</v>
      </c>
      <c r="CS1175" t="s">
        <v>131</v>
      </c>
      <c r="CU1175" t="s">
        <v>1381</v>
      </c>
      <c r="CV1175" t="s">
        <v>134</v>
      </c>
      <c r="CW1175" t="s">
        <v>1382</v>
      </c>
      <c r="CX1175" t="s">
        <v>471</v>
      </c>
      <c r="CZ1175" s="3" t="str">
        <f>"80482"</f>
        <v>80482</v>
      </c>
      <c r="DA1175" t="s">
        <v>131</v>
      </c>
      <c r="DB1175" t="str">
        <f>"35-1011"</f>
        <v>35-1011</v>
      </c>
      <c r="DC1175" t="s">
        <v>1392</v>
      </c>
      <c r="DD1175" t="s">
        <v>134</v>
      </c>
      <c r="DE1175" t="s">
        <v>134</v>
      </c>
      <c r="DF1175" t="str">
        <f>""</f>
        <v/>
      </c>
      <c r="DH1175" s="6">
        <v>27.73</v>
      </c>
      <c r="DI1175" t="s">
        <v>344</v>
      </c>
      <c r="DK1175" t="s">
        <v>345</v>
      </c>
      <c r="DS1175" s="6">
        <v>27.73</v>
      </c>
      <c r="DT1175" t="s">
        <v>424</v>
      </c>
      <c r="DU1175" s="1">
        <v>44377</v>
      </c>
      <c r="DV1175" s="1">
        <v>44466</v>
      </c>
    </row>
    <row r="1176" spans="1:126" ht="15" customHeight="1" x14ac:dyDescent="0.35">
      <c r="A1176" t="s">
        <v>12661</v>
      </c>
      <c r="B1176" t="s">
        <v>318</v>
      </c>
      <c r="C1176" s="1">
        <v>44350</v>
      </c>
      <c r="D1176" s="1">
        <v>44377</v>
      </c>
      <c r="H1176" t="s">
        <v>319</v>
      </c>
      <c r="I1176" t="s">
        <v>12662</v>
      </c>
      <c r="J1176" t="s">
        <v>10729</v>
      </c>
      <c r="K1176" t="s">
        <v>1198</v>
      </c>
      <c r="L1176" t="s">
        <v>1105</v>
      </c>
      <c r="M1176" t="s">
        <v>12663</v>
      </c>
      <c r="O1176" t="s">
        <v>12664</v>
      </c>
      <c r="P1176" t="s">
        <v>311</v>
      </c>
      <c r="Q1176" s="3">
        <v>19054</v>
      </c>
      <c r="R1176" t="s">
        <v>128</v>
      </c>
      <c r="T1176" s="4">
        <v>12159491104</v>
      </c>
      <c r="V1176" t="s">
        <v>134</v>
      </c>
      <c r="W1176" t="s">
        <v>12665</v>
      </c>
      <c r="Y1176" t="s">
        <v>12663</v>
      </c>
      <c r="AA1176" t="s">
        <v>12664</v>
      </c>
      <c r="AB1176" t="s">
        <v>312</v>
      </c>
      <c r="AC1176" s="3" t="str">
        <f>"19054"</f>
        <v>19054</v>
      </c>
      <c r="AD1176" t="s">
        <v>128</v>
      </c>
      <c r="AF1176" s="4">
        <v>1215991104</v>
      </c>
      <c r="AH1176" t="str">
        <f>"561730"</f>
        <v>561730</v>
      </c>
      <c r="AI1176" t="s">
        <v>130</v>
      </c>
      <c r="AJ1176" t="s">
        <v>4793</v>
      </c>
      <c r="AK1176" t="s">
        <v>3519</v>
      </c>
      <c r="AL1176" t="s">
        <v>301</v>
      </c>
      <c r="AM1176" t="s">
        <v>12666</v>
      </c>
      <c r="AN1176" t="s">
        <v>334</v>
      </c>
      <c r="AO1176" t="s">
        <v>1040</v>
      </c>
      <c r="AP1176" t="s">
        <v>400</v>
      </c>
      <c r="AQ1176" s="5">
        <v>78746</v>
      </c>
      <c r="AR1176" t="s">
        <v>128</v>
      </c>
      <c r="AT1176" s="4">
        <v>15123470007</v>
      </c>
      <c r="AV1176" t="s">
        <v>12667</v>
      </c>
      <c r="AW1176" t="s">
        <v>7079</v>
      </c>
      <c r="AX1176" t="s">
        <v>131</v>
      </c>
      <c r="AY1176" t="s">
        <v>131</v>
      </c>
      <c r="AZ1176" t="s">
        <v>131</v>
      </c>
      <c r="BA1176" t="s">
        <v>131</v>
      </c>
      <c r="BB1176" t="s">
        <v>131</v>
      </c>
      <c r="BC1176" t="s">
        <v>131</v>
      </c>
      <c r="BD1176" t="s">
        <v>131</v>
      </c>
      <c r="BE1176" t="s">
        <v>132</v>
      </c>
      <c r="BH1176" t="s">
        <v>3994</v>
      </c>
      <c r="BI1176" t="s">
        <v>131</v>
      </c>
      <c r="BL1176" t="s">
        <v>167</v>
      </c>
      <c r="BO1176" t="s">
        <v>131</v>
      </c>
      <c r="BP1176" t="s">
        <v>134</v>
      </c>
      <c r="BQ1176" t="s">
        <v>131</v>
      </c>
      <c r="BS1176" t="str">
        <f t="shared" si="82"/>
        <v>N/A</v>
      </c>
      <c r="BT1176" t="s">
        <v>131</v>
      </c>
      <c r="BV1176" t="str">
        <f>""</f>
        <v/>
      </c>
      <c r="BW1176" t="s">
        <v>131</v>
      </c>
      <c r="BX1176" t="str">
        <f>""</f>
        <v/>
      </c>
      <c r="BY1176" t="str">
        <f>""</f>
        <v/>
      </c>
      <c r="BZ1176" t="str">
        <f>""</f>
        <v/>
      </c>
      <c r="CA1176" t="str">
        <f>""</f>
        <v/>
      </c>
      <c r="CB1176" t="s">
        <v>131</v>
      </c>
      <c r="CF1176" t="s">
        <v>131</v>
      </c>
      <c r="CH1176" t="str">
        <f>""</f>
        <v/>
      </c>
      <c r="CI1176" t="s">
        <v>131</v>
      </c>
      <c r="CK1176" t="s">
        <v>131</v>
      </c>
      <c r="CL1176" t="str">
        <f>""</f>
        <v/>
      </c>
      <c r="CM1176" t="str">
        <f>""</f>
        <v/>
      </c>
      <c r="CN1176" t="str">
        <f>""</f>
        <v/>
      </c>
      <c r="CO1176" t="str">
        <f>""</f>
        <v/>
      </c>
      <c r="CP1176" t="str">
        <f>"37-3011.00"</f>
        <v>37-3011.00</v>
      </c>
      <c r="CQ1176" t="s">
        <v>920</v>
      </c>
      <c r="CR1176" t="s">
        <v>9813</v>
      </c>
      <c r="CS1176" t="s">
        <v>135</v>
      </c>
      <c r="CT1176" t="s">
        <v>12668</v>
      </c>
      <c r="CU1176" t="s">
        <v>12669</v>
      </c>
      <c r="CW1176" t="s">
        <v>12664</v>
      </c>
      <c r="CX1176" t="s">
        <v>312</v>
      </c>
      <c r="CZ1176" s="3" t="str">
        <f>"19057"</f>
        <v>19057</v>
      </c>
      <c r="DA1176" t="s">
        <v>131</v>
      </c>
      <c r="DB1176" t="str">
        <f>"37-3011"</f>
        <v>37-3011</v>
      </c>
      <c r="DC1176" t="s">
        <v>920</v>
      </c>
      <c r="DD1176" t="s">
        <v>134</v>
      </c>
      <c r="DE1176" t="s">
        <v>134</v>
      </c>
      <c r="DF1176" t="str">
        <f>""</f>
        <v/>
      </c>
      <c r="DH1176" s="6">
        <v>16.600000000000001</v>
      </c>
      <c r="DI1176" t="s">
        <v>344</v>
      </c>
      <c r="DK1176" t="s">
        <v>345</v>
      </c>
      <c r="DR1176" t="s">
        <v>12670</v>
      </c>
      <c r="DS1176" s="6">
        <v>16.600000000000001</v>
      </c>
      <c r="DT1176" s="2" t="s">
        <v>347</v>
      </c>
      <c r="DU1176" s="1">
        <v>44377</v>
      </c>
      <c r="DV1176" s="1">
        <v>44466</v>
      </c>
    </row>
    <row r="1177" spans="1:126" ht="15" customHeight="1" x14ac:dyDescent="0.35">
      <c r="A1177" t="s">
        <v>20205</v>
      </c>
      <c r="B1177" t="s">
        <v>318</v>
      </c>
      <c r="C1177" s="1">
        <v>44349</v>
      </c>
      <c r="D1177" s="1">
        <v>44376</v>
      </c>
      <c r="H1177" t="s">
        <v>319</v>
      </c>
      <c r="I1177" t="s">
        <v>1378</v>
      </c>
      <c r="J1177" t="s">
        <v>1379</v>
      </c>
      <c r="L1177" t="s">
        <v>1380</v>
      </c>
      <c r="M1177" t="s">
        <v>1381</v>
      </c>
      <c r="N1177" t="s">
        <v>134</v>
      </c>
      <c r="O1177" t="s">
        <v>1382</v>
      </c>
      <c r="P1177" t="s">
        <v>467</v>
      </c>
      <c r="Q1177" s="3">
        <v>80482</v>
      </c>
      <c r="R1177" t="s">
        <v>128</v>
      </c>
      <c r="S1177" t="s">
        <v>134</v>
      </c>
      <c r="T1177" s="4">
        <v>19707261536</v>
      </c>
      <c r="V1177" t="s">
        <v>1383</v>
      </c>
      <c r="W1177" t="s">
        <v>1384</v>
      </c>
      <c r="X1177" t="s">
        <v>1385</v>
      </c>
      <c r="Y1177" t="s">
        <v>1381</v>
      </c>
      <c r="Z1177" t="s">
        <v>134</v>
      </c>
      <c r="AA1177" t="s">
        <v>1382</v>
      </c>
      <c r="AB1177" t="s">
        <v>471</v>
      </c>
      <c r="AC1177" s="3" t="str">
        <f>"80482"</f>
        <v>80482</v>
      </c>
      <c r="AD1177" t="s">
        <v>128</v>
      </c>
      <c r="AE1177" t="s">
        <v>134</v>
      </c>
      <c r="AF1177" s="4">
        <v>19707261512</v>
      </c>
      <c r="AH1177" t="str">
        <f>"721110"</f>
        <v>721110</v>
      </c>
      <c r="AI1177" t="s">
        <v>130</v>
      </c>
      <c r="AJ1177" t="s">
        <v>1386</v>
      </c>
      <c r="AK1177" t="s">
        <v>1387</v>
      </c>
      <c r="AL1177" t="s">
        <v>1036</v>
      </c>
      <c r="AM1177" t="s">
        <v>1388</v>
      </c>
      <c r="AN1177" t="s">
        <v>997</v>
      </c>
      <c r="AO1177" t="s">
        <v>719</v>
      </c>
      <c r="AP1177" s="8" t="s">
        <v>377</v>
      </c>
      <c r="AQ1177" s="3">
        <v>1701</v>
      </c>
      <c r="AR1177" t="s">
        <v>128</v>
      </c>
      <c r="AS1177" s="4" t="s">
        <v>134</v>
      </c>
      <c r="AT1177">
        <v>16179399444</v>
      </c>
      <c r="AV1177" t="s">
        <v>1389</v>
      </c>
      <c r="AW1177" t="s">
        <v>1390</v>
      </c>
      <c r="AX1177" t="s">
        <v>131</v>
      </c>
      <c r="AY1177" t="s">
        <v>131</v>
      </c>
      <c r="AZ1177" t="s">
        <v>131</v>
      </c>
      <c r="BA1177" t="s">
        <v>131</v>
      </c>
      <c r="BB1177" t="s">
        <v>131</v>
      </c>
      <c r="BC1177" t="s">
        <v>131</v>
      </c>
      <c r="BD1177" t="s">
        <v>131</v>
      </c>
      <c r="BE1177" s="1" t="s">
        <v>132</v>
      </c>
      <c r="BG1177"/>
      <c r="BH1177" t="s">
        <v>20206</v>
      </c>
      <c r="BI1177" t="s">
        <v>131</v>
      </c>
      <c r="BL1177" t="s">
        <v>167</v>
      </c>
      <c r="BO1177" t="s">
        <v>131</v>
      </c>
      <c r="BP1177" t="s">
        <v>134</v>
      </c>
      <c r="BQ1177" t="s">
        <v>131</v>
      </c>
      <c r="BS1177" t="str">
        <f>"N/A"</f>
        <v>N/A</v>
      </c>
      <c r="BT1177" t="s">
        <v>135</v>
      </c>
      <c r="BU1177">
        <v>12</v>
      </c>
      <c r="BV1177" t="str">
        <f>"Cook III"</f>
        <v>Cook III</v>
      </c>
      <c r="BW1177" t="s">
        <v>135</v>
      </c>
      <c r="BX1177" t="str">
        <f>""</f>
        <v/>
      </c>
      <c r="BY1177" t="str">
        <f>""</f>
        <v/>
      </c>
      <c r="BZ1177" t="str">
        <f>""</f>
        <v/>
      </c>
      <c r="CA1177" t="s">
        <v>20207</v>
      </c>
      <c r="CB1177" t="s">
        <v>131</v>
      </c>
      <c r="CF1177" t="s">
        <v>131</v>
      </c>
      <c r="CH1177" t="str">
        <f>""</f>
        <v/>
      </c>
      <c r="CI1177" t="s">
        <v>131</v>
      </c>
      <c r="CK1177" t="s">
        <v>131</v>
      </c>
      <c r="CL1177" t="str">
        <f>""</f>
        <v/>
      </c>
      <c r="CM1177" t="str">
        <f>""</f>
        <v/>
      </c>
      <c r="CN1177" t="str">
        <f>""</f>
        <v/>
      </c>
      <c r="CO1177" t="str">
        <f>""</f>
        <v/>
      </c>
      <c r="CP1177" t="str">
        <f>"35-2014.00"</f>
        <v>35-2014.00</v>
      </c>
      <c r="CQ1177" t="s">
        <v>581</v>
      </c>
      <c r="CR1177" t="s">
        <v>1391</v>
      </c>
      <c r="CS1177" t="s">
        <v>131</v>
      </c>
      <c r="CU1177" t="s">
        <v>1381</v>
      </c>
      <c r="CV1177" t="s">
        <v>134</v>
      </c>
      <c r="CW1177" t="s">
        <v>1382</v>
      </c>
      <c r="CX1177" s="3" t="s">
        <v>471</v>
      </c>
      <c r="CZ1177" t="str">
        <f>"80482"</f>
        <v>80482</v>
      </c>
      <c r="DA1177" t="s">
        <v>131</v>
      </c>
      <c r="DB1177" t="str">
        <f>"35-1011"</f>
        <v>35-1011</v>
      </c>
      <c r="DC1177" t="s">
        <v>1392</v>
      </c>
      <c r="DD1177" t="s">
        <v>134</v>
      </c>
      <c r="DE1177" t="s">
        <v>134</v>
      </c>
      <c r="DF1177" s="6" t="str">
        <f>""</f>
        <v/>
      </c>
      <c r="DH1177" s="6">
        <v>27.73</v>
      </c>
      <c r="DI1177" t="s">
        <v>344</v>
      </c>
      <c r="DK1177" t="s">
        <v>345</v>
      </c>
      <c r="DQ1177" s="6"/>
      <c r="DR1177" s="2"/>
      <c r="DS1177" s="6">
        <v>27.73</v>
      </c>
      <c r="DT1177" s="1" t="s">
        <v>424</v>
      </c>
      <c r="DU1177" s="1">
        <v>44376</v>
      </c>
      <c r="DV1177" s="1">
        <v>44465</v>
      </c>
    </row>
    <row r="1178" spans="1:126" ht="15" customHeight="1" x14ac:dyDescent="0.35">
      <c r="A1178" t="s">
        <v>16658</v>
      </c>
      <c r="B1178" t="s">
        <v>138</v>
      </c>
      <c r="C1178" s="1">
        <v>44319</v>
      </c>
      <c r="G1178" s="1">
        <v>44340</v>
      </c>
      <c r="H1178" t="s">
        <v>125</v>
      </c>
      <c r="I1178" t="s">
        <v>7681</v>
      </c>
      <c r="J1178" t="s">
        <v>7682</v>
      </c>
      <c r="L1178" t="s">
        <v>2273</v>
      </c>
      <c r="M1178" t="s">
        <v>7683</v>
      </c>
      <c r="O1178" t="s">
        <v>7684</v>
      </c>
      <c r="P1178" t="s">
        <v>539</v>
      </c>
      <c r="Q1178" s="3">
        <v>61629</v>
      </c>
      <c r="R1178" t="s">
        <v>128</v>
      </c>
      <c r="T1178" s="4">
        <v>17863435269</v>
      </c>
      <c r="V1178" t="s">
        <v>7685</v>
      </c>
      <c r="W1178" t="s">
        <v>16659</v>
      </c>
      <c r="X1178" t="s">
        <v>16659</v>
      </c>
      <c r="Y1178" t="s">
        <v>7683</v>
      </c>
      <c r="AA1178" t="s">
        <v>7684</v>
      </c>
      <c r="AB1178" t="s">
        <v>263</v>
      </c>
      <c r="AC1178" s="3" t="str">
        <f>"61629"</f>
        <v>61629</v>
      </c>
      <c r="AD1178" t="s">
        <v>128</v>
      </c>
      <c r="AF1178" s="4">
        <v>17863435269</v>
      </c>
      <c r="AH1178" t="str">
        <f>"333120"</f>
        <v>333120</v>
      </c>
      <c r="AI1178" t="s">
        <v>167</v>
      </c>
      <c r="AX1178" t="s">
        <v>131</v>
      </c>
      <c r="AY1178" t="s">
        <v>131</v>
      </c>
      <c r="AZ1178" t="s">
        <v>131</v>
      </c>
      <c r="BA1178" t="s">
        <v>131</v>
      </c>
      <c r="BB1178" t="s">
        <v>131</v>
      </c>
      <c r="BC1178" t="s">
        <v>131</v>
      </c>
      <c r="BD1178" t="s">
        <v>131</v>
      </c>
      <c r="BE1178" t="s">
        <v>160</v>
      </c>
      <c r="BF1178" t="s">
        <v>16660</v>
      </c>
      <c r="BG1178" s="1">
        <v>44319</v>
      </c>
      <c r="BH1178" t="s">
        <v>2693</v>
      </c>
      <c r="BI1178" t="s">
        <v>131</v>
      </c>
      <c r="BL1178" t="s">
        <v>133</v>
      </c>
      <c r="BN1178" t="s">
        <v>16661</v>
      </c>
      <c r="BO1178" t="s">
        <v>131</v>
      </c>
      <c r="BP1178" t="s">
        <v>134</v>
      </c>
      <c r="BQ1178" t="s">
        <v>131</v>
      </c>
      <c r="BS1178" t="str">
        <f t="shared" si="82"/>
        <v>N/A</v>
      </c>
      <c r="BT1178" t="s">
        <v>135</v>
      </c>
      <c r="BU1178">
        <v>60</v>
      </c>
      <c r="BV1178" t="str">
        <f>"software development"</f>
        <v>software development</v>
      </c>
      <c r="BW1178" t="s">
        <v>131</v>
      </c>
      <c r="BX1178" t="str">
        <f>""</f>
        <v/>
      </c>
      <c r="BY1178" t="str">
        <f>""</f>
        <v/>
      </c>
      <c r="BZ1178" t="str">
        <f>""</f>
        <v/>
      </c>
      <c r="CA1178" t="str">
        <f>""</f>
        <v/>
      </c>
      <c r="CB1178" t="s">
        <v>131</v>
      </c>
      <c r="CF1178" t="s">
        <v>131</v>
      </c>
      <c r="CH1178" t="str">
        <f>""</f>
        <v/>
      </c>
      <c r="CI1178" t="s">
        <v>131</v>
      </c>
      <c r="CK1178" t="s">
        <v>131</v>
      </c>
      <c r="CL1178" t="str">
        <f>""</f>
        <v/>
      </c>
      <c r="CM1178" t="str">
        <f>""</f>
        <v/>
      </c>
      <c r="CN1178" t="str">
        <f>""</f>
        <v/>
      </c>
      <c r="CO1178" t="str">
        <f>""</f>
        <v/>
      </c>
      <c r="CP1178" t="str">
        <f>"15-2041.00"</f>
        <v>15-2041.00</v>
      </c>
      <c r="CQ1178" t="s">
        <v>379</v>
      </c>
      <c r="CR1178" t="s">
        <v>7377</v>
      </c>
      <c r="CS1178" t="s">
        <v>131</v>
      </c>
      <c r="CU1178" t="s">
        <v>16662</v>
      </c>
      <c r="CW1178" t="s">
        <v>9469</v>
      </c>
      <c r="CX1178" t="s">
        <v>263</v>
      </c>
      <c r="CZ1178" s="3" t="str">
        <f>"61820"</f>
        <v>61820</v>
      </c>
      <c r="DA1178" t="s">
        <v>131</v>
      </c>
      <c r="DB1178" t="str">
        <f>""</f>
        <v/>
      </c>
      <c r="DF1178" t="str">
        <f>""</f>
        <v/>
      </c>
    </row>
    <row r="1179" spans="1:126" ht="15" customHeight="1" x14ac:dyDescent="0.35">
      <c r="A1179" t="s">
        <v>18663</v>
      </c>
      <c r="B1179" t="s">
        <v>138</v>
      </c>
      <c r="C1179" s="1">
        <v>44319</v>
      </c>
      <c r="G1179" s="1">
        <v>44319</v>
      </c>
      <c r="H1179" t="s">
        <v>125</v>
      </c>
      <c r="I1179" t="s">
        <v>3203</v>
      </c>
      <c r="J1179" t="s">
        <v>1921</v>
      </c>
      <c r="L1179" t="s">
        <v>2612</v>
      </c>
      <c r="M1179" t="s">
        <v>2792</v>
      </c>
      <c r="O1179" t="s">
        <v>975</v>
      </c>
      <c r="P1179" t="s">
        <v>593</v>
      </c>
      <c r="Q1179" s="3">
        <v>27622</v>
      </c>
      <c r="R1179" t="s">
        <v>128</v>
      </c>
      <c r="T1179" s="4">
        <v>12028870855</v>
      </c>
      <c r="V1179" t="s">
        <v>3204</v>
      </c>
      <c r="W1179" t="s">
        <v>9408</v>
      </c>
      <c r="Y1179" t="s">
        <v>9407</v>
      </c>
      <c r="Z1179" t="s">
        <v>2875</v>
      </c>
      <c r="AA1179" t="s">
        <v>6299</v>
      </c>
      <c r="AB1179" t="s">
        <v>306</v>
      </c>
      <c r="AC1179" s="3" t="str">
        <f>"22908"</f>
        <v>22908</v>
      </c>
      <c r="AD1179" t="s">
        <v>128</v>
      </c>
      <c r="AF1179" s="4">
        <v>14349822735</v>
      </c>
      <c r="AH1179" t="str">
        <f>"611310"</f>
        <v>611310</v>
      </c>
      <c r="AI1179" t="s">
        <v>130</v>
      </c>
      <c r="AJ1179" t="s">
        <v>3533</v>
      </c>
      <c r="AK1179" t="s">
        <v>1921</v>
      </c>
      <c r="AM1179" t="s">
        <v>2792</v>
      </c>
      <c r="AO1179" t="s">
        <v>975</v>
      </c>
      <c r="AP1179" t="s">
        <v>594</v>
      </c>
      <c r="AQ1179" s="5">
        <v>27622</v>
      </c>
      <c r="AR1179" t="s">
        <v>128</v>
      </c>
      <c r="AT1179" s="4">
        <v>12028870855</v>
      </c>
      <c r="AV1179" t="s">
        <v>7406</v>
      </c>
      <c r="AW1179" t="s">
        <v>976</v>
      </c>
      <c r="AX1179" t="s">
        <v>135</v>
      </c>
      <c r="AY1179" t="s">
        <v>135</v>
      </c>
      <c r="AZ1179" t="s">
        <v>131</v>
      </c>
      <c r="BA1179" t="s">
        <v>131</v>
      </c>
      <c r="BB1179" t="s">
        <v>131</v>
      </c>
      <c r="BC1179" t="s">
        <v>131</v>
      </c>
      <c r="BD1179" t="s">
        <v>131</v>
      </c>
      <c r="BE1179" t="s">
        <v>132</v>
      </c>
      <c r="BH1179" t="s">
        <v>9409</v>
      </c>
      <c r="BI1179" t="s">
        <v>131</v>
      </c>
      <c r="BL1179" t="s">
        <v>188</v>
      </c>
      <c r="BN1179" t="s">
        <v>18664</v>
      </c>
      <c r="BO1179" t="s">
        <v>131</v>
      </c>
      <c r="BP1179" t="s">
        <v>134</v>
      </c>
      <c r="BQ1179" t="s">
        <v>131</v>
      </c>
      <c r="BS1179" t="str">
        <f t="shared" ref="BS1179:BS1197" si="86">"N/A"</f>
        <v>N/A</v>
      </c>
      <c r="BT1179" t="s">
        <v>135</v>
      </c>
      <c r="BU1179">
        <v>36</v>
      </c>
      <c r="BV1179" t="str">
        <f>"Providing individual psychotherapy to adults and providing crisis intervention services. "</f>
        <v xml:space="preserve">Providing individual psychotherapy to adults and providing crisis intervention services. </v>
      </c>
      <c r="BW1179" t="s">
        <v>135</v>
      </c>
      <c r="BX1179" t="str">
        <f>"Applicants must also have a license or be license-eligible to practice Psychotherapy in the Commonwealth of Virginia. "</f>
        <v xml:space="preserve">Applicants must also have a license or be license-eligible to practice Psychotherapy in the Commonwealth of Virginia. </v>
      </c>
      <c r="BY1179" t="str">
        <f>""</f>
        <v/>
      </c>
      <c r="BZ1179" t="str">
        <f>""</f>
        <v/>
      </c>
      <c r="CA1179" s="2" t="s">
        <v>9410</v>
      </c>
      <c r="CB1179" t="s">
        <v>131</v>
      </c>
      <c r="CF1179" t="s">
        <v>131</v>
      </c>
      <c r="CH1179" t="str">
        <f>""</f>
        <v/>
      </c>
      <c r="CI1179" t="s">
        <v>131</v>
      </c>
      <c r="CK1179" t="s">
        <v>131</v>
      </c>
      <c r="CL1179" t="str">
        <f>""</f>
        <v/>
      </c>
      <c r="CM1179" t="str">
        <f>""</f>
        <v/>
      </c>
      <c r="CN1179" t="str">
        <f>""</f>
        <v/>
      </c>
      <c r="CO1179" t="str">
        <f>""</f>
        <v/>
      </c>
      <c r="CP1179" t="str">
        <f>"19-3031.02"</f>
        <v>19-3031.02</v>
      </c>
      <c r="CQ1179" t="s">
        <v>7466</v>
      </c>
      <c r="CR1179" t="s">
        <v>9411</v>
      </c>
      <c r="CS1179" t="s">
        <v>131</v>
      </c>
      <c r="CU1179" t="s">
        <v>9412</v>
      </c>
      <c r="CW1179" t="s">
        <v>3773</v>
      </c>
      <c r="CX1179" t="s">
        <v>306</v>
      </c>
      <c r="CZ1179" s="3" t="str">
        <f>"22908"</f>
        <v>22908</v>
      </c>
      <c r="DA1179" t="s">
        <v>131</v>
      </c>
      <c r="DB1179" t="str">
        <f>""</f>
        <v/>
      </c>
      <c r="DF1179" t="str">
        <f>""</f>
        <v/>
      </c>
    </row>
    <row r="1180" spans="1:126" ht="15" customHeight="1" x14ac:dyDescent="0.35">
      <c r="A1180" t="s">
        <v>7680</v>
      </c>
      <c r="B1180" t="s">
        <v>138</v>
      </c>
      <c r="C1180" s="1">
        <v>44319</v>
      </c>
      <c r="G1180" s="1">
        <v>44340</v>
      </c>
      <c r="H1180" t="s">
        <v>125</v>
      </c>
      <c r="I1180" t="s">
        <v>7681</v>
      </c>
      <c r="J1180" t="s">
        <v>7682</v>
      </c>
      <c r="L1180" t="s">
        <v>2273</v>
      </c>
      <c r="M1180" t="s">
        <v>7683</v>
      </c>
      <c r="O1180" t="s">
        <v>7684</v>
      </c>
      <c r="P1180" t="s">
        <v>539</v>
      </c>
      <c r="Q1180" s="3">
        <v>61629</v>
      </c>
      <c r="R1180" t="s">
        <v>128</v>
      </c>
      <c r="T1180" s="4">
        <v>17863435269</v>
      </c>
      <c r="V1180" t="s">
        <v>7685</v>
      </c>
      <c r="W1180" t="s">
        <v>7686</v>
      </c>
      <c r="X1180" t="s">
        <v>7687</v>
      </c>
      <c r="Y1180" t="s">
        <v>7683</v>
      </c>
      <c r="AA1180" t="s">
        <v>7684</v>
      </c>
      <c r="AB1180" t="s">
        <v>263</v>
      </c>
      <c r="AC1180" s="3" t="str">
        <f>"61629"</f>
        <v>61629</v>
      </c>
      <c r="AD1180" t="s">
        <v>128</v>
      </c>
      <c r="AF1180" s="4">
        <v>17863435269</v>
      </c>
      <c r="AH1180" t="str">
        <f>"333120"</f>
        <v>333120</v>
      </c>
      <c r="AI1180" t="s">
        <v>167</v>
      </c>
      <c r="AX1180" t="s">
        <v>131</v>
      </c>
      <c r="AY1180" t="s">
        <v>131</v>
      </c>
      <c r="AZ1180" t="s">
        <v>131</v>
      </c>
      <c r="BA1180" t="s">
        <v>131</v>
      </c>
      <c r="BB1180" t="s">
        <v>131</v>
      </c>
      <c r="BC1180" t="s">
        <v>131</v>
      </c>
      <c r="BD1180" t="s">
        <v>131</v>
      </c>
      <c r="BE1180" t="s">
        <v>498</v>
      </c>
      <c r="BH1180" t="s">
        <v>6083</v>
      </c>
      <c r="BI1180" t="s">
        <v>131</v>
      </c>
      <c r="BL1180" t="s">
        <v>133</v>
      </c>
      <c r="BN1180" t="s">
        <v>7688</v>
      </c>
      <c r="BO1180" t="s">
        <v>131</v>
      </c>
      <c r="BP1180" t="s">
        <v>134</v>
      </c>
      <c r="BQ1180" t="s">
        <v>131</v>
      </c>
      <c r="BS1180" t="str">
        <f t="shared" si="86"/>
        <v>N/A</v>
      </c>
      <c r="BT1180" t="s">
        <v>135</v>
      </c>
      <c r="BU1180">
        <v>60</v>
      </c>
      <c r="BV1180" t="str">
        <f>"Computer Development"</f>
        <v>Computer Development</v>
      </c>
      <c r="BW1180" t="s">
        <v>131</v>
      </c>
      <c r="BX1180" t="str">
        <f>""</f>
        <v/>
      </c>
      <c r="BY1180" t="str">
        <f>""</f>
        <v/>
      </c>
      <c r="BZ1180" t="str">
        <f>""</f>
        <v/>
      </c>
      <c r="CA1180" t="str">
        <f>""</f>
        <v/>
      </c>
      <c r="CB1180" t="s">
        <v>131</v>
      </c>
      <c r="CF1180" t="s">
        <v>131</v>
      </c>
      <c r="CH1180" t="str">
        <f>""</f>
        <v/>
      </c>
      <c r="CI1180" t="s">
        <v>131</v>
      </c>
      <c r="CK1180" t="s">
        <v>131</v>
      </c>
      <c r="CL1180" t="str">
        <f>""</f>
        <v/>
      </c>
      <c r="CM1180" t="str">
        <f>""</f>
        <v/>
      </c>
      <c r="CN1180" t="str">
        <f>""</f>
        <v/>
      </c>
      <c r="CO1180" t="str">
        <f>""</f>
        <v/>
      </c>
      <c r="CP1180" t="str">
        <f>"15-1133.00"</f>
        <v>15-1133.00</v>
      </c>
      <c r="CQ1180" t="s">
        <v>648</v>
      </c>
      <c r="CR1180" t="s">
        <v>7689</v>
      </c>
      <c r="CS1180" t="s">
        <v>131</v>
      </c>
      <c r="CU1180" t="s">
        <v>7690</v>
      </c>
      <c r="CW1180" t="s">
        <v>791</v>
      </c>
      <c r="CX1180" t="s">
        <v>172</v>
      </c>
      <c r="CZ1180" s="3" t="str">
        <f>"92101"</f>
        <v>92101</v>
      </c>
      <c r="DA1180" t="s">
        <v>131</v>
      </c>
      <c r="DB1180" t="str">
        <f>""</f>
        <v/>
      </c>
      <c r="DF1180" t="str">
        <f>""</f>
        <v/>
      </c>
    </row>
    <row r="1181" spans="1:126" ht="15" customHeight="1" x14ac:dyDescent="0.35">
      <c r="A1181" t="s">
        <v>16592</v>
      </c>
      <c r="B1181" t="s">
        <v>138</v>
      </c>
      <c r="C1181" s="1">
        <v>44319</v>
      </c>
      <c r="G1181" s="1">
        <v>44323</v>
      </c>
      <c r="H1181" t="s">
        <v>125</v>
      </c>
      <c r="I1181" t="s">
        <v>1197</v>
      </c>
      <c r="J1181" t="s">
        <v>2373</v>
      </c>
      <c r="K1181" t="s">
        <v>2149</v>
      </c>
      <c r="L1181" t="s">
        <v>130</v>
      </c>
      <c r="M1181" t="s">
        <v>2574</v>
      </c>
      <c r="N1181" t="s">
        <v>2575</v>
      </c>
      <c r="O1181" t="s">
        <v>2576</v>
      </c>
      <c r="P1181" t="s">
        <v>273</v>
      </c>
      <c r="Q1181" s="3">
        <v>7632</v>
      </c>
      <c r="R1181" t="s">
        <v>128</v>
      </c>
      <c r="T1181" s="4">
        <v>12016741456</v>
      </c>
      <c r="V1181" t="s">
        <v>2577</v>
      </c>
      <c r="W1181" t="s">
        <v>16593</v>
      </c>
      <c r="Y1181" t="s">
        <v>16594</v>
      </c>
      <c r="AA1181" t="s">
        <v>7439</v>
      </c>
      <c r="AB1181" t="s">
        <v>276</v>
      </c>
      <c r="AC1181" s="3" t="str">
        <f>"07604"</f>
        <v>07604</v>
      </c>
      <c r="AD1181" t="s">
        <v>128</v>
      </c>
      <c r="AF1181" s="4">
        <v>12016381627</v>
      </c>
      <c r="AH1181" t="str">
        <f>"81311"</f>
        <v>81311</v>
      </c>
      <c r="AI1181" t="s">
        <v>130</v>
      </c>
      <c r="AJ1181" t="s">
        <v>1197</v>
      </c>
      <c r="AK1181" t="s">
        <v>2373</v>
      </c>
      <c r="AL1181" t="s">
        <v>2149</v>
      </c>
      <c r="AM1181" t="s">
        <v>2574</v>
      </c>
      <c r="AN1181" t="s">
        <v>2575</v>
      </c>
      <c r="AO1181" t="s">
        <v>2576</v>
      </c>
      <c r="AP1181" t="s">
        <v>276</v>
      </c>
      <c r="AQ1181" s="5">
        <v>7632</v>
      </c>
      <c r="AR1181" t="s">
        <v>128</v>
      </c>
      <c r="AT1181" s="4">
        <v>12016741456</v>
      </c>
      <c r="AV1181" t="s">
        <v>2577</v>
      </c>
      <c r="AW1181" t="s">
        <v>2578</v>
      </c>
      <c r="AX1181" t="s">
        <v>131</v>
      </c>
      <c r="AY1181" t="s">
        <v>131</v>
      </c>
      <c r="AZ1181" t="s">
        <v>131</v>
      </c>
      <c r="BA1181" t="s">
        <v>131</v>
      </c>
      <c r="BB1181" t="s">
        <v>131</v>
      </c>
      <c r="BC1181" t="s">
        <v>131</v>
      </c>
      <c r="BD1181" t="s">
        <v>131</v>
      </c>
      <c r="BE1181" t="s">
        <v>132</v>
      </c>
      <c r="BH1181" t="s">
        <v>3359</v>
      </c>
      <c r="BI1181" t="s">
        <v>131</v>
      </c>
      <c r="BL1181" t="s">
        <v>401</v>
      </c>
      <c r="BO1181" t="s">
        <v>131</v>
      </c>
      <c r="BP1181" t="s">
        <v>134</v>
      </c>
      <c r="BQ1181" t="s">
        <v>131</v>
      </c>
      <c r="BS1181" t="str">
        <f t="shared" si="86"/>
        <v>N/A</v>
      </c>
      <c r="BT1181" t="s">
        <v>131</v>
      </c>
      <c r="BV1181" t="str">
        <f>""</f>
        <v/>
      </c>
      <c r="BW1181" t="s">
        <v>135</v>
      </c>
      <c r="BX1181" t="str">
        <f>""</f>
        <v/>
      </c>
      <c r="BY1181" t="str">
        <f>"Korean language fluency required"</f>
        <v>Korean language fluency required</v>
      </c>
      <c r="BZ1181" t="str">
        <f>""</f>
        <v/>
      </c>
      <c r="CA1181" t="str">
        <f>""</f>
        <v/>
      </c>
      <c r="CB1181" t="s">
        <v>131</v>
      </c>
      <c r="CF1181" t="s">
        <v>131</v>
      </c>
      <c r="CH1181" t="str">
        <f>""</f>
        <v/>
      </c>
      <c r="CI1181" t="s">
        <v>131</v>
      </c>
      <c r="CK1181" t="s">
        <v>131</v>
      </c>
      <c r="CL1181" t="str">
        <f>""</f>
        <v/>
      </c>
      <c r="CM1181" t="str">
        <f>""</f>
        <v/>
      </c>
      <c r="CN1181" t="str">
        <f>""</f>
        <v/>
      </c>
      <c r="CO1181" t="str">
        <f>""</f>
        <v/>
      </c>
      <c r="CP1181" t="str">
        <f>"43-6014.00"</f>
        <v>43-6014.00</v>
      </c>
      <c r="CQ1181" t="s">
        <v>406</v>
      </c>
      <c r="CR1181" t="s">
        <v>7467</v>
      </c>
      <c r="CS1181" t="s">
        <v>131</v>
      </c>
      <c r="CU1181" t="s">
        <v>16594</v>
      </c>
      <c r="CW1181" t="s">
        <v>7439</v>
      </c>
      <c r="CX1181" t="s">
        <v>276</v>
      </c>
      <c r="CZ1181" s="3" t="str">
        <f>"07604"</f>
        <v>07604</v>
      </c>
      <c r="DA1181" t="s">
        <v>131</v>
      </c>
      <c r="DB1181" t="str">
        <f>""</f>
        <v/>
      </c>
      <c r="DF1181" t="str">
        <f>""</f>
        <v/>
      </c>
    </row>
    <row r="1182" spans="1:126" ht="15" customHeight="1" x14ac:dyDescent="0.35">
      <c r="A1182" t="s">
        <v>19319</v>
      </c>
      <c r="B1182" t="s">
        <v>138</v>
      </c>
      <c r="C1182" s="1">
        <v>44319</v>
      </c>
      <c r="G1182" s="1">
        <v>44340</v>
      </c>
      <c r="H1182" t="s">
        <v>125</v>
      </c>
      <c r="I1182" t="s">
        <v>7681</v>
      </c>
      <c r="J1182" t="s">
        <v>7682</v>
      </c>
      <c r="L1182" t="s">
        <v>2273</v>
      </c>
      <c r="M1182" t="s">
        <v>7683</v>
      </c>
      <c r="O1182" t="s">
        <v>7684</v>
      </c>
      <c r="P1182" t="s">
        <v>539</v>
      </c>
      <c r="Q1182" s="3">
        <v>61629</v>
      </c>
      <c r="R1182" t="s">
        <v>128</v>
      </c>
      <c r="T1182" s="4">
        <v>17863435269</v>
      </c>
      <c r="V1182" t="s">
        <v>7685</v>
      </c>
      <c r="W1182" t="s">
        <v>7686</v>
      </c>
      <c r="X1182" t="s">
        <v>7686</v>
      </c>
      <c r="Y1182" t="s">
        <v>7683</v>
      </c>
      <c r="AA1182" t="s">
        <v>7684</v>
      </c>
      <c r="AB1182" t="s">
        <v>263</v>
      </c>
      <c r="AC1182" s="3" t="str">
        <f>"61629"</f>
        <v>61629</v>
      </c>
      <c r="AD1182" t="s">
        <v>128</v>
      </c>
      <c r="AF1182" s="4">
        <v>17863435269</v>
      </c>
      <c r="AH1182" t="str">
        <f>"333120"</f>
        <v>333120</v>
      </c>
      <c r="AI1182" t="s">
        <v>167</v>
      </c>
      <c r="AX1182" t="s">
        <v>131</v>
      </c>
      <c r="AY1182" t="s">
        <v>131</v>
      </c>
      <c r="AZ1182" t="s">
        <v>131</v>
      </c>
      <c r="BA1182" t="s">
        <v>131</v>
      </c>
      <c r="BB1182" t="s">
        <v>131</v>
      </c>
      <c r="BC1182" t="s">
        <v>131</v>
      </c>
      <c r="BD1182" t="s">
        <v>131</v>
      </c>
      <c r="BE1182" t="s">
        <v>498</v>
      </c>
      <c r="BH1182" t="s">
        <v>19320</v>
      </c>
      <c r="BI1182" t="s">
        <v>131</v>
      </c>
      <c r="BL1182" t="s">
        <v>133</v>
      </c>
      <c r="BN1182" t="s">
        <v>19321</v>
      </c>
      <c r="BO1182" t="s">
        <v>131</v>
      </c>
      <c r="BP1182" t="s">
        <v>134</v>
      </c>
      <c r="BQ1182" t="s">
        <v>131</v>
      </c>
      <c r="BS1182" t="str">
        <f t="shared" si="86"/>
        <v>N/A</v>
      </c>
      <c r="BT1182" t="s">
        <v>135</v>
      </c>
      <c r="BU1182">
        <v>60</v>
      </c>
      <c r="BV1182" t="str">
        <f>"Software Development"</f>
        <v>Software Development</v>
      </c>
      <c r="BW1182" t="s">
        <v>131</v>
      </c>
      <c r="BX1182" t="str">
        <f>""</f>
        <v/>
      </c>
      <c r="BY1182" t="str">
        <f>""</f>
        <v/>
      </c>
      <c r="BZ1182" t="str">
        <f>""</f>
        <v/>
      </c>
      <c r="CA1182" t="str">
        <f>""</f>
        <v/>
      </c>
      <c r="CB1182" t="s">
        <v>131</v>
      </c>
      <c r="CF1182" t="s">
        <v>131</v>
      </c>
      <c r="CH1182" t="str">
        <f>""</f>
        <v/>
      </c>
      <c r="CI1182" t="s">
        <v>131</v>
      </c>
      <c r="CK1182" t="s">
        <v>131</v>
      </c>
      <c r="CL1182" t="str">
        <f>""</f>
        <v/>
      </c>
      <c r="CM1182" t="str">
        <f>""</f>
        <v/>
      </c>
      <c r="CN1182" t="str">
        <f>""</f>
        <v/>
      </c>
      <c r="CO1182" t="str">
        <f>""</f>
        <v/>
      </c>
      <c r="CP1182" t="str">
        <f>"15-1132.00"</f>
        <v>15-1132.00</v>
      </c>
      <c r="CQ1182" t="s">
        <v>198</v>
      </c>
      <c r="CR1182" t="s">
        <v>19322</v>
      </c>
      <c r="CS1182" t="s">
        <v>131</v>
      </c>
      <c r="CU1182" t="s">
        <v>12141</v>
      </c>
      <c r="CW1182" t="s">
        <v>12142</v>
      </c>
      <c r="CX1182" t="s">
        <v>263</v>
      </c>
      <c r="CZ1182" s="3" t="str">
        <f>"61552"</f>
        <v>61552</v>
      </c>
      <c r="DA1182" t="s">
        <v>131</v>
      </c>
      <c r="DB1182" t="str">
        <f>""</f>
        <v/>
      </c>
      <c r="DF1182" t="str">
        <f>""</f>
        <v/>
      </c>
    </row>
    <row r="1183" spans="1:126" ht="15" customHeight="1" x14ac:dyDescent="0.35">
      <c r="A1183" t="s">
        <v>18390</v>
      </c>
      <c r="B1183" t="s">
        <v>138</v>
      </c>
      <c r="C1183" s="1">
        <v>44319</v>
      </c>
      <c r="G1183" s="1">
        <v>44319</v>
      </c>
      <c r="H1183" t="s">
        <v>125</v>
      </c>
      <c r="I1183" t="s">
        <v>1215</v>
      </c>
      <c r="J1183" t="s">
        <v>5680</v>
      </c>
      <c r="L1183" t="s">
        <v>18245</v>
      </c>
      <c r="M1183" t="s">
        <v>13379</v>
      </c>
      <c r="O1183" t="s">
        <v>310</v>
      </c>
      <c r="P1183" t="s">
        <v>311</v>
      </c>
      <c r="Q1183" s="3">
        <v>19139</v>
      </c>
      <c r="R1183" t="s">
        <v>128</v>
      </c>
      <c r="T1183" s="4">
        <v>12158851336</v>
      </c>
      <c r="V1183" t="s">
        <v>13380</v>
      </c>
      <c r="W1183" t="s">
        <v>13381</v>
      </c>
      <c r="Y1183" t="s">
        <v>13382</v>
      </c>
      <c r="AA1183" t="s">
        <v>310</v>
      </c>
      <c r="AB1183" t="s">
        <v>312</v>
      </c>
      <c r="AC1183" s="3" t="str">
        <f>"19139"</f>
        <v>19139</v>
      </c>
      <c r="AD1183" t="s">
        <v>128</v>
      </c>
      <c r="AF1183" s="4">
        <v>12158851336</v>
      </c>
      <c r="AH1183" t="str">
        <f>"446110"</f>
        <v>446110</v>
      </c>
      <c r="AI1183" t="s">
        <v>130</v>
      </c>
      <c r="AJ1183" t="s">
        <v>3797</v>
      </c>
      <c r="AK1183" t="s">
        <v>2267</v>
      </c>
      <c r="AL1183" t="s">
        <v>415</v>
      </c>
      <c r="AM1183" t="s">
        <v>3798</v>
      </c>
      <c r="AN1183" t="s">
        <v>3799</v>
      </c>
      <c r="AO1183" t="s">
        <v>742</v>
      </c>
      <c r="AP1183" t="s">
        <v>306</v>
      </c>
      <c r="AQ1183" s="5">
        <v>23219</v>
      </c>
      <c r="AR1183" t="s">
        <v>128</v>
      </c>
      <c r="AT1183" s="4">
        <v>18047753825</v>
      </c>
      <c r="AV1183" t="s">
        <v>3800</v>
      </c>
      <c r="AW1183" t="s">
        <v>3801</v>
      </c>
      <c r="AX1183" t="s">
        <v>131</v>
      </c>
      <c r="AY1183" t="s">
        <v>131</v>
      </c>
      <c r="AZ1183" t="s">
        <v>131</v>
      </c>
      <c r="BA1183" t="s">
        <v>131</v>
      </c>
      <c r="BB1183" t="s">
        <v>131</v>
      </c>
      <c r="BC1183" t="s">
        <v>131</v>
      </c>
      <c r="BD1183" t="s">
        <v>131</v>
      </c>
      <c r="BE1183" t="s">
        <v>132</v>
      </c>
      <c r="BH1183" t="s">
        <v>4692</v>
      </c>
      <c r="BI1183" t="s">
        <v>131</v>
      </c>
      <c r="BL1183" t="s">
        <v>447</v>
      </c>
      <c r="BN1183" t="s">
        <v>13383</v>
      </c>
      <c r="BO1183" t="s">
        <v>131</v>
      </c>
      <c r="BP1183" t="s">
        <v>134</v>
      </c>
      <c r="BQ1183" t="s">
        <v>131</v>
      </c>
      <c r="BS1183" t="str">
        <f t="shared" si="86"/>
        <v>N/A</v>
      </c>
      <c r="BT1183" t="s">
        <v>135</v>
      </c>
      <c r="BU1183">
        <v>1</v>
      </c>
      <c r="BV1183" t="str">
        <f>"Pharmacist. "</f>
        <v xml:space="preserve">Pharmacist. </v>
      </c>
      <c r="BW1183" t="s">
        <v>135</v>
      </c>
      <c r="BX1183" t="str">
        <f>"Valid Pennsylvania Pharmacy License"</f>
        <v>Valid Pennsylvania Pharmacy License</v>
      </c>
      <c r="BY1183" t="str">
        <f>""</f>
        <v/>
      </c>
      <c r="BZ1183" t="str">
        <f>""</f>
        <v/>
      </c>
      <c r="CA1183" t="str">
        <f>"1 month of experience with: Blister-packing medication; Pharmacy management software. Experience can be gained during degree program."</f>
        <v>1 month of experience with: Blister-packing medication; Pharmacy management software. Experience can be gained during degree program.</v>
      </c>
      <c r="CB1183" t="s">
        <v>131</v>
      </c>
      <c r="CF1183" t="s">
        <v>131</v>
      </c>
      <c r="CH1183" t="str">
        <f>""</f>
        <v/>
      </c>
      <c r="CI1183" t="s">
        <v>131</v>
      </c>
      <c r="CK1183" t="s">
        <v>131</v>
      </c>
      <c r="CL1183" t="str">
        <f>""</f>
        <v/>
      </c>
      <c r="CM1183" t="str">
        <f>""</f>
        <v/>
      </c>
      <c r="CN1183" t="str">
        <f>""</f>
        <v/>
      </c>
      <c r="CO1183" t="str">
        <f>""</f>
        <v/>
      </c>
      <c r="CP1183" t="str">
        <f>"29-1051.00"</f>
        <v>29-1051.00</v>
      </c>
      <c r="CQ1183" t="s">
        <v>3811</v>
      </c>
      <c r="CR1183" t="s">
        <v>13384</v>
      </c>
      <c r="CS1183" t="s">
        <v>131</v>
      </c>
      <c r="CU1183" t="s">
        <v>13382</v>
      </c>
      <c r="CW1183" t="s">
        <v>310</v>
      </c>
      <c r="CX1183" t="s">
        <v>312</v>
      </c>
      <c r="CZ1183" s="3" t="str">
        <f>"19139"</f>
        <v>19139</v>
      </c>
      <c r="DA1183" t="s">
        <v>131</v>
      </c>
      <c r="DB1183" t="str">
        <f>""</f>
        <v/>
      </c>
      <c r="DF1183" t="str">
        <f>""</f>
        <v/>
      </c>
    </row>
    <row r="1184" spans="1:126" ht="15" customHeight="1" x14ac:dyDescent="0.35">
      <c r="A1184" t="s">
        <v>20115</v>
      </c>
      <c r="B1184" t="s">
        <v>138</v>
      </c>
      <c r="C1184" s="1">
        <v>44319</v>
      </c>
      <c r="G1184" s="1">
        <v>44333</v>
      </c>
      <c r="H1184" t="s">
        <v>125</v>
      </c>
      <c r="I1184" t="s">
        <v>2559</v>
      </c>
      <c r="J1184" t="s">
        <v>11590</v>
      </c>
      <c r="L1184" t="s">
        <v>583</v>
      </c>
      <c r="M1184" t="s">
        <v>12838</v>
      </c>
      <c r="O1184" t="s">
        <v>3342</v>
      </c>
      <c r="P1184" t="s">
        <v>826</v>
      </c>
      <c r="Q1184" s="3">
        <v>21029</v>
      </c>
      <c r="R1184" t="s">
        <v>128</v>
      </c>
      <c r="T1184" s="4">
        <v>14108648835</v>
      </c>
      <c r="V1184" t="s">
        <v>12839</v>
      </c>
      <c r="W1184" t="s">
        <v>12840</v>
      </c>
      <c r="Y1184" t="s">
        <v>12838</v>
      </c>
      <c r="AA1184" t="s">
        <v>3342</v>
      </c>
      <c r="AB1184" t="s">
        <v>382</v>
      </c>
      <c r="AC1184" s="3" t="str">
        <f>"21029"</f>
        <v>21029</v>
      </c>
      <c r="AD1184" t="s">
        <v>128</v>
      </c>
      <c r="AF1184" s="4">
        <v>14108658835</v>
      </c>
      <c r="AH1184" t="str">
        <f>"541511"</f>
        <v>541511</v>
      </c>
      <c r="AI1184" t="s">
        <v>130</v>
      </c>
      <c r="AJ1184" t="s">
        <v>10616</v>
      </c>
      <c r="AK1184" t="s">
        <v>1493</v>
      </c>
      <c r="AM1184" t="s">
        <v>20116</v>
      </c>
      <c r="AN1184" t="s">
        <v>12395</v>
      </c>
      <c r="AO1184" t="s">
        <v>3891</v>
      </c>
      <c r="AP1184" t="s">
        <v>382</v>
      </c>
      <c r="AQ1184" s="5">
        <v>20878</v>
      </c>
      <c r="AR1184" t="s">
        <v>128</v>
      </c>
      <c r="AT1184" s="4">
        <v>13013306903</v>
      </c>
      <c r="AV1184" t="s">
        <v>12841</v>
      </c>
      <c r="AW1184" t="s">
        <v>13196</v>
      </c>
      <c r="AX1184" t="s">
        <v>131</v>
      </c>
      <c r="AY1184" t="s">
        <v>131</v>
      </c>
      <c r="AZ1184" t="s">
        <v>131</v>
      </c>
      <c r="BA1184" t="s">
        <v>131</v>
      </c>
      <c r="BB1184" t="s">
        <v>131</v>
      </c>
      <c r="BC1184" t="s">
        <v>131</v>
      </c>
      <c r="BD1184" t="s">
        <v>131</v>
      </c>
      <c r="BE1184" t="s">
        <v>132</v>
      </c>
      <c r="BH1184" t="s">
        <v>614</v>
      </c>
      <c r="BI1184" t="s">
        <v>131</v>
      </c>
      <c r="BL1184" t="s">
        <v>188</v>
      </c>
      <c r="BN1184" t="s">
        <v>12842</v>
      </c>
      <c r="BO1184" t="s">
        <v>131</v>
      </c>
      <c r="BP1184" t="s">
        <v>134</v>
      </c>
      <c r="BQ1184" t="s">
        <v>131</v>
      </c>
      <c r="BS1184" t="str">
        <f t="shared" si="86"/>
        <v>N/A</v>
      </c>
      <c r="BT1184" t="s">
        <v>131</v>
      </c>
      <c r="BV1184" t="str">
        <f>""</f>
        <v/>
      </c>
      <c r="BW1184" t="s">
        <v>131</v>
      </c>
      <c r="BX1184" t="str">
        <f>""</f>
        <v/>
      </c>
      <c r="BY1184" t="str">
        <f>""</f>
        <v/>
      </c>
      <c r="BZ1184" t="str">
        <f>""</f>
        <v/>
      </c>
      <c r="CA1184" t="str">
        <f>""</f>
        <v/>
      </c>
      <c r="CB1184" t="s">
        <v>131</v>
      </c>
      <c r="CF1184" t="s">
        <v>131</v>
      </c>
      <c r="CH1184" t="str">
        <f>""</f>
        <v/>
      </c>
      <c r="CI1184" t="s">
        <v>131</v>
      </c>
      <c r="CK1184" t="s">
        <v>131</v>
      </c>
      <c r="CL1184" t="str">
        <f>""</f>
        <v/>
      </c>
      <c r="CM1184" t="str">
        <f>""</f>
        <v/>
      </c>
      <c r="CN1184" t="str">
        <f>""</f>
        <v/>
      </c>
      <c r="CO1184" t="str">
        <f>""</f>
        <v/>
      </c>
      <c r="CP1184" t="str">
        <f>"15-1121.00"</f>
        <v>15-1121.00</v>
      </c>
      <c r="CQ1184" t="s">
        <v>283</v>
      </c>
      <c r="CS1184" t="s">
        <v>131</v>
      </c>
      <c r="CU1184" t="s">
        <v>12838</v>
      </c>
      <c r="CW1184" t="s">
        <v>3342</v>
      </c>
      <c r="CX1184" t="s">
        <v>382</v>
      </c>
      <c r="CZ1184" s="3" t="str">
        <f>"21029"</f>
        <v>21029</v>
      </c>
      <c r="DA1184" t="s">
        <v>131</v>
      </c>
      <c r="DB1184" t="str">
        <f>""</f>
        <v/>
      </c>
      <c r="DF1184" t="str">
        <f>""</f>
        <v/>
      </c>
    </row>
    <row r="1185" spans="1:110" ht="15" customHeight="1" x14ac:dyDescent="0.35">
      <c r="A1185" t="s">
        <v>7414</v>
      </c>
      <c r="B1185" t="s">
        <v>138</v>
      </c>
      <c r="C1185" s="1">
        <v>44319</v>
      </c>
      <c r="G1185" s="1">
        <v>44323</v>
      </c>
      <c r="H1185" t="s">
        <v>125</v>
      </c>
      <c r="I1185" t="s">
        <v>1071</v>
      </c>
      <c r="J1185" t="s">
        <v>1487</v>
      </c>
      <c r="L1185" t="s">
        <v>7234</v>
      </c>
      <c r="M1185" t="s">
        <v>7415</v>
      </c>
      <c r="O1185" t="s">
        <v>1471</v>
      </c>
      <c r="P1185" t="s">
        <v>441</v>
      </c>
      <c r="Q1185" s="3">
        <v>44114</v>
      </c>
      <c r="R1185" t="s">
        <v>128</v>
      </c>
      <c r="T1185" s="4">
        <v>12165792174</v>
      </c>
      <c r="V1185" t="s">
        <v>7416</v>
      </c>
      <c r="W1185" t="s">
        <v>7417</v>
      </c>
      <c r="Y1185" t="s">
        <v>7415</v>
      </c>
      <c r="AA1185" t="s">
        <v>607</v>
      </c>
      <c r="AB1185" t="s">
        <v>444</v>
      </c>
      <c r="AC1185" s="3" t="str">
        <f>"44114"</f>
        <v>44114</v>
      </c>
      <c r="AD1185" t="s">
        <v>128</v>
      </c>
      <c r="AF1185" s="4">
        <v>12165792000</v>
      </c>
      <c r="AH1185" t="str">
        <f>"521110"</f>
        <v>521110</v>
      </c>
      <c r="AI1185" t="s">
        <v>130</v>
      </c>
      <c r="AJ1185" t="s">
        <v>635</v>
      </c>
      <c r="AK1185" t="s">
        <v>636</v>
      </c>
      <c r="AL1185" t="s">
        <v>383</v>
      </c>
      <c r="AM1185" t="s">
        <v>637</v>
      </c>
      <c r="AN1185" t="s">
        <v>638</v>
      </c>
      <c r="AO1185" t="s">
        <v>639</v>
      </c>
      <c r="AP1185" t="s">
        <v>444</v>
      </c>
      <c r="AQ1185" s="5">
        <v>44131</v>
      </c>
      <c r="AR1185" t="s">
        <v>128</v>
      </c>
      <c r="AT1185" s="4">
        <v>12163289878</v>
      </c>
      <c r="AV1185" t="s">
        <v>640</v>
      </c>
      <c r="AW1185" t="s">
        <v>641</v>
      </c>
      <c r="AX1185" t="s">
        <v>131</v>
      </c>
      <c r="AY1185" t="s">
        <v>131</v>
      </c>
      <c r="AZ1185" t="s">
        <v>131</v>
      </c>
      <c r="BA1185" t="s">
        <v>131</v>
      </c>
      <c r="BB1185" t="s">
        <v>131</v>
      </c>
      <c r="BC1185" t="s">
        <v>131</v>
      </c>
      <c r="BD1185" t="s">
        <v>131</v>
      </c>
      <c r="BE1185" t="s">
        <v>132</v>
      </c>
      <c r="BH1185" t="s">
        <v>7418</v>
      </c>
      <c r="BI1185" t="s">
        <v>131</v>
      </c>
      <c r="BL1185" t="s">
        <v>447</v>
      </c>
      <c r="BN1185" t="s">
        <v>7419</v>
      </c>
      <c r="BO1185" t="s">
        <v>131</v>
      </c>
      <c r="BP1185" t="s">
        <v>134</v>
      </c>
      <c r="BQ1185" t="s">
        <v>131</v>
      </c>
      <c r="BS1185" t="str">
        <f t="shared" si="86"/>
        <v>N/A</v>
      </c>
      <c r="BT1185" t="s">
        <v>131</v>
      </c>
      <c r="BV1185" t="str">
        <f>""</f>
        <v/>
      </c>
      <c r="BW1185" t="s">
        <v>135</v>
      </c>
      <c r="BX1185" t="str">
        <f>""</f>
        <v/>
      </c>
      <c r="BY1185" t="str">
        <f>""</f>
        <v/>
      </c>
      <c r="BZ1185" t="str">
        <f>""</f>
        <v/>
      </c>
      <c r="CA1185" t="str">
        <f>"Dissertation must focus in the areas of monetary policy, financial economics, dynamic contractual theory and apply it to problems in macroeconomics, and/or DSGE models.  "</f>
        <v xml:space="preserve">Dissertation must focus in the areas of monetary policy, financial economics, dynamic contractual theory and apply it to problems in macroeconomics, and/or DSGE models.  </v>
      </c>
      <c r="CB1185" t="s">
        <v>131</v>
      </c>
      <c r="CF1185" t="s">
        <v>131</v>
      </c>
      <c r="CH1185" t="str">
        <f>""</f>
        <v/>
      </c>
      <c r="CI1185" t="s">
        <v>131</v>
      </c>
      <c r="CK1185" t="s">
        <v>131</v>
      </c>
      <c r="CL1185" t="str">
        <f>""</f>
        <v/>
      </c>
      <c r="CM1185" t="str">
        <f>""</f>
        <v/>
      </c>
      <c r="CN1185" t="str">
        <f>""</f>
        <v/>
      </c>
      <c r="CO1185" t="str">
        <f>""</f>
        <v/>
      </c>
      <c r="CP1185" t="str">
        <f>"19-3011.00"</f>
        <v>19-3011.00</v>
      </c>
      <c r="CQ1185" t="s">
        <v>3678</v>
      </c>
      <c r="CR1185" t="s">
        <v>460</v>
      </c>
      <c r="CS1185" t="s">
        <v>131</v>
      </c>
      <c r="CU1185" t="s">
        <v>7420</v>
      </c>
      <c r="CW1185" t="s">
        <v>1471</v>
      </c>
      <c r="CX1185" t="s">
        <v>444</v>
      </c>
      <c r="CZ1185" s="3" t="str">
        <f>"44114"</f>
        <v>44114</v>
      </c>
      <c r="DA1185" t="s">
        <v>131</v>
      </c>
      <c r="DB1185" t="str">
        <f>""</f>
        <v/>
      </c>
      <c r="DF1185" t="str">
        <f>""</f>
        <v/>
      </c>
    </row>
    <row r="1186" spans="1:110" ht="15" customHeight="1" x14ac:dyDescent="0.35">
      <c r="A1186" t="s">
        <v>8526</v>
      </c>
      <c r="B1186" t="s">
        <v>138</v>
      </c>
      <c r="C1186" s="1">
        <v>44319</v>
      </c>
      <c r="G1186" s="1">
        <v>44319</v>
      </c>
      <c r="H1186" t="s">
        <v>125</v>
      </c>
      <c r="I1186" t="s">
        <v>8527</v>
      </c>
      <c r="J1186" t="s">
        <v>5967</v>
      </c>
      <c r="L1186" t="s">
        <v>1776</v>
      </c>
      <c r="M1186" t="s">
        <v>8528</v>
      </c>
      <c r="N1186" t="s">
        <v>8529</v>
      </c>
      <c r="O1186" t="s">
        <v>8530</v>
      </c>
      <c r="P1186" t="s">
        <v>539</v>
      </c>
      <c r="Q1186" s="3">
        <v>60515</v>
      </c>
      <c r="R1186" t="s">
        <v>128</v>
      </c>
      <c r="T1186" s="4">
        <v>16304936129</v>
      </c>
      <c r="V1186" t="s">
        <v>8531</v>
      </c>
      <c r="W1186" t="s">
        <v>8528</v>
      </c>
      <c r="Y1186" t="s">
        <v>8529</v>
      </c>
      <c r="AA1186" t="s">
        <v>8530</v>
      </c>
      <c r="AB1186" t="s">
        <v>511</v>
      </c>
      <c r="AC1186" s="3" t="str">
        <f>"60515"</f>
        <v>60515</v>
      </c>
      <c r="AD1186" t="s">
        <v>128</v>
      </c>
      <c r="AF1186" s="4">
        <v>16304936129</v>
      </c>
      <c r="AH1186" t="str">
        <f>"5415"</f>
        <v>5415</v>
      </c>
      <c r="AI1186" t="s">
        <v>130</v>
      </c>
      <c r="AJ1186" t="s">
        <v>8532</v>
      </c>
      <c r="AK1186" t="s">
        <v>631</v>
      </c>
      <c r="AL1186" t="s">
        <v>739</v>
      </c>
      <c r="AM1186" t="s">
        <v>8533</v>
      </c>
      <c r="AO1186" t="s">
        <v>2297</v>
      </c>
      <c r="AP1186" t="s">
        <v>511</v>
      </c>
      <c r="AQ1186" s="5">
        <v>48104</v>
      </c>
      <c r="AR1186" t="s">
        <v>128</v>
      </c>
      <c r="AT1186" s="4">
        <v>17346231694</v>
      </c>
      <c r="AV1186" t="s">
        <v>8534</v>
      </c>
      <c r="AW1186" t="s">
        <v>8535</v>
      </c>
      <c r="AX1186" t="s">
        <v>131</v>
      </c>
      <c r="AY1186" t="s">
        <v>131</v>
      </c>
      <c r="AZ1186" t="s">
        <v>131</v>
      </c>
      <c r="BA1186" t="s">
        <v>131</v>
      </c>
      <c r="BB1186" t="s">
        <v>131</v>
      </c>
      <c r="BC1186" t="s">
        <v>131</v>
      </c>
      <c r="BD1186" t="s">
        <v>131</v>
      </c>
      <c r="BE1186" t="s">
        <v>132</v>
      </c>
      <c r="BH1186" t="s">
        <v>8536</v>
      </c>
      <c r="BI1186" t="s">
        <v>131</v>
      </c>
      <c r="BL1186" t="s">
        <v>133</v>
      </c>
      <c r="BN1186" t="s">
        <v>8537</v>
      </c>
      <c r="BO1186" t="s">
        <v>131</v>
      </c>
      <c r="BP1186" t="s">
        <v>134</v>
      </c>
      <c r="BQ1186" t="s">
        <v>131</v>
      </c>
      <c r="BS1186" t="str">
        <f t="shared" si="86"/>
        <v>N/A</v>
      </c>
      <c r="BT1186" t="s">
        <v>135</v>
      </c>
      <c r="BU1186">
        <v>48</v>
      </c>
      <c r="BV1186" t="str">
        <f>"HR Business Partner, or in a related strategic HR role in Information &amp; Communications Technology industry"</f>
        <v>HR Business Partner, or in a related strategic HR role in Information &amp; Communications Technology industry</v>
      </c>
      <c r="BW1186" t="s">
        <v>135</v>
      </c>
      <c r="BX1186" t="str">
        <f>""</f>
        <v/>
      </c>
      <c r="BY1186" t="str">
        <f>""</f>
        <v/>
      </c>
      <c r="BZ1186" t="str">
        <f>""</f>
        <v/>
      </c>
      <c r="CA1186" s="2" t="s">
        <v>8538</v>
      </c>
      <c r="CB1186" t="s">
        <v>131</v>
      </c>
      <c r="CF1186" t="s">
        <v>131</v>
      </c>
      <c r="CH1186" t="str">
        <f>""</f>
        <v/>
      </c>
      <c r="CI1186" t="s">
        <v>131</v>
      </c>
      <c r="CK1186" t="s">
        <v>131</v>
      </c>
      <c r="CL1186" t="str">
        <f>""</f>
        <v/>
      </c>
      <c r="CM1186" t="str">
        <f>""</f>
        <v/>
      </c>
      <c r="CN1186" t="str">
        <f>""</f>
        <v/>
      </c>
      <c r="CO1186" t="str">
        <f>""</f>
        <v/>
      </c>
      <c r="CP1186" t="str">
        <f>"13-1071.00"</f>
        <v>13-1071.00</v>
      </c>
      <c r="CQ1186" t="s">
        <v>1442</v>
      </c>
      <c r="CR1186" t="s">
        <v>8539</v>
      </c>
      <c r="CS1186" t="s">
        <v>131</v>
      </c>
      <c r="CU1186" t="s">
        <v>8540</v>
      </c>
      <c r="CW1186" t="s">
        <v>8530</v>
      </c>
      <c r="CX1186" t="s">
        <v>263</v>
      </c>
      <c r="CZ1186" s="3" t="str">
        <f>"60515"</f>
        <v>60515</v>
      </c>
      <c r="DA1186" t="s">
        <v>131</v>
      </c>
      <c r="DB1186" t="str">
        <f>""</f>
        <v/>
      </c>
      <c r="DF1186" t="str">
        <f>""</f>
        <v/>
      </c>
    </row>
    <row r="1187" spans="1:110" ht="15" customHeight="1" x14ac:dyDescent="0.35">
      <c r="A1187" t="s">
        <v>10399</v>
      </c>
      <c r="B1187" t="s">
        <v>138</v>
      </c>
      <c r="C1187" s="1">
        <v>44319</v>
      </c>
      <c r="G1187" s="1">
        <v>44319</v>
      </c>
      <c r="H1187" t="s">
        <v>125</v>
      </c>
      <c r="I1187" t="s">
        <v>1561</v>
      </c>
      <c r="J1187" t="s">
        <v>1562</v>
      </c>
      <c r="K1187" t="s">
        <v>10400</v>
      </c>
      <c r="L1187" t="s">
        <v>130</v>
      </c>
      <c r="M1187" t="s">
        <v>1563</v>
      </c>
      <c r="N1187" t="s">
        <v>3363</v>
      </c>
      <c r="O1187" t="s">
        <v>523</v>
      </c>
      <c r="P1187" t="s">
        <v>178</v>
      </c>
      <c r="Q1187" s="3">
        <v>94111</v>
      </c>
      <c r="R1187" t="s">
        <v>128</v>
      </c>
      <c r="T1187" s="4">
        <v>14159861446</v>
      </c>
      <c r="V1187" t="s">
        <v>1564</v>
      </c>
      <c r="W1187" t="s">
        <v>1558</v>
      </c>
      <c r="Y1187" t="s">
        <v>1559</v>
      </c>
      <c r="AA1187" t="s">
        <v>1560</v>
      </c>
      <c r="AB1187" t="s">
        <v>172</v>
      </c>
      <c r="AC1187" s="3" t="str">
        <f>"95014"</f>
        <v>95014</v>
      </c>
      <c r="AD1187" t="s">
        <v>128</v>
      </c>
      <c r="AF1187" s="4">
        <v>14089742562</v>
      </c>
      <c r="AH1187" t="str">
        <f>"33411"</f>
        <v>33411</v>
      </c>
      <c r="AI1187" t="s">
        <v>130</v>
      </c>
      <c r="AJ1187" t="s">
        <v>1561</v>
      </c>
      <c r="AK1187" t="s">
        <v>1562</v>
      </c>
      <c r="AM1187" t="s">
        <v>1563</v>
      </c>
      <c r="AN1187" t="s">
        <v>997</v>
      </c>
      <c r="AO1187" t="s">
        <v>220</v>
      </c>
      <c r="AP1187" t="s">
        <v>172</v>
      </c>
      <c r="AQ1187" s="5">
        <v>94111</v>
      </c>
      <c r="AR1187" t="s">
        <v>128</v>
      </c>
      <c r="AT1187" s="4">
        <v>14159861446</v>
      </c>
      <c r="AV1187" t="s">
        <v>1564</v>
      </c>
      <c r="AW1187" t="s">
        <v>386</v>
      </c>
      <c r="AX1187" t="s">
        <v>131</v>
      </c>
      <c r="AY1187" t="s">
        <v>131</v>
      </c>
      <c r="AZ1187" t="s">
        <v>131</v>
      </c>
      <c r="BA1187" t="s">
        <v>131</v>
      </c>
      <c r="BB1187" t="s">
        <v>131</v>
      </c>
      <c r="BC1187" t="s">
        <v>131</v>
      </c>
      <c r="BD1187" t="s">
        <v>131</v>
      </c>
      <c r="BE1187" t="s">
        <v>132</v>
      </c>
      <c r="BH1187" t="s">
        <v>727</v>
      </c>
      <c r="BI1187" t="s">
        <v>131</v>
      </c>
      <c r="BL1187" t="s">
        <v>188</v>
      </c>
      <c r="BN1187" t="s">
        <v>10401</v>
      </c>
      <c r="BO1187" t="s">
        <v>131</v>
      </c>
      <c r="BP1187" t="s">
        <v>134</v>
      </c>
      <c r="BQ1187" t="s">
        <v>131</v>
      </c>
      <c r="BS1187" t="str">
        <f t="shared" si="86"/>
        <v>N/A</v>
      </c>
      <c r="BT1187" t="s">
        <v>135</v>
      </c>
      <c r="BU1187">
        <v>24</v>
      </c>
      <c r="BV1187" t="str">
        <f>"See sect.E.a.5."</f>
        <v>See sect.E.a.5.</v>
      </c>
      <c r="BW1187" t="s">
        <v>135</v>
      </c>
      <c r="BX1187" t="str">
        <f>""</f>
        <v/>
      </c>
      <c r="BY1187" t="str">
        <f>""</f>
        <v/>
      </c>
      <c r="BZ1187" t="str">
        <f>""</f>
        <v/>
      </c>
      <c r="CA1187" t="str">
        <f>"See sect.E.a.5."</f>
        <v>See sect.E.a.5.</v>
      </c>
      <c r="CB1187" t="s">
        <v>135</v>
      </c>
      <c r="CC1187" t="s">
        <v>133</v>
      </c>
      <c r="CE1187" t="s">
        <v>10401</v>
      </c>
      <c r="CF1187" t="s">
        <v>131</v>
      </c>
      <c r="CH1187" t="str">
        <f>"N/A"</f>
        <v>N/A</v>
      </c>
      <c r="CI1187" t="s">
        <v>135</v>
      </c>
      <c r="CJ1187">
        <v>60</v>
      </c>
      <c r="CK1187" t="s">
        <v>135</v>
      </c>
      <c r="CL1187" t="str">
        <f>""</f>
        <v/>
      </c>
      <c r="CM1187" t="str">
        <f>""</f>
        <v/>
      </c>
      <c r="CN1187" t="str">
        <f>""</f>
        <v/>
      </c>
      <c r="CO1187" t="str">
        <f>"See sect.E.a.5."</f>
        <v>See sect.E.a.5.</v>
      </c>
      <c r="CP1187" t="str">
        <f>"13-1161.00"</f>
        <v>13-1161.00</v>
      </c>
      <c r="CQ1187" t="s">
        <v>252</v>
      </c>
      <c r="CR1187" t="s">
        <v>460</v>
      </c>
      <c r="CS1187" t="s">
        <v>131</v>
      </c>
      <c r="CU1187" t="s">
        <v>1555</v>
      </c>
      <c r="CW1187" t="s">
        <v>1556</v>
      </c>
      <c r="CX1187" t="s">
        <v>172</v>
      </c>
      <c r="CZ1187" s="3" t="str">
        <f>"95014"</f>
        <v>95014</v>
      </c>
      <c r="DA1187" t="s">
        <v>131</v>
      </c>
      <c r="DB1187" t="str">
        <f>""</f>
        <v/>
      </c>
      <c r="DF1187" t="str">
        <f>""</f>
        <v/>
      </c>
    </row>
    <row r="1188" spans="1:110" ht="15" customHeight="1" x14ac:dyDescent="0.35">
      <c r="A1188" t="s">
        <v>17659</v>
      </c>
      <c r="B1188" t="s">
        <v>138</v>
      </c>
      <c r="C1188" s="1">
        <v>44319</v>
      </c>
      <c r="G1188" s="1">
        <v>44319</v>
      </c>
      <c r="H1188" t="s">
        <v>125</v>
      </c>
      <c r="I1188" t="s">
        <v>1552</v>
      </c>
      <c r="J1188" t="s">
        <v>1553</v>
      </c>
      <c r="L1188" t="s">
        <v>1554</v>
      </c>
      <c r="M1188" t="s">
        <v>1555</v>
      </c>
      <c r="O1188" t="s">
        <v>1556</v>
      </c>
      <c r="P1188" t="s">
        <v>178</v>
      </c>
      <c r="Q1188" s="3">
        <v>95014</v>
      </c>
      <c r="R1188" t="s">
        <v>128</v>
      </c>
      <c r="T1188" s="4">
        <v>14089742562</v>
      </c>
      <c r="V1188" t="s">
        <v>1557</v>
      </c>
      <c r="W1188" t="s">
        <v>1558</v>
      </c>
      <c r="Y1188" t="s">
        <v>1559</v>
      </c>
      <c r="AA1188" t="s">
        <v>1560</v>
      </c>
      <c r="AB1188" t="s">
        <v>172</v>
      </c>
      <c r="AC1188" s="3" t="str">
        <f>"95014"</f>
        <v>95014</v>
      </c>
      <c r="AD1188" t="s">
        <v>128</v>
      </c>
      <c r="AF1188" s="4">
        <v>14089742562</v>
      </c>
      <c r="AH1188" t="str">
        <f>"334111"</f>
        <v>334111</v>
      </c>
      <c r="AI1188" t="s">
        <v>130</v>
      </c>
      <c r="AJ1188" t="s">
        <v>1561</v>
      </c>
      <c r="AK1188" t="s">
        <v>1562</v>
      </c>
      <c r="AL1188" t="s">
        <v>602</v>
      </c>
      <c r="AM1188" t="s">
        <v>1563</v>
      </c>
      <c r="AN1188" t="s">
        <v>997</v>
      </c>
      <c r="AO1188" t="s">
        <v>220</v>
      </c>
      <c r="AP1188" t="s">
        <v>172</v>
      </c>
      <c r="AQ1188" s="5">
        <v>94111</v>
      </c>
      <c r="AR1188" t="s">
        <v>128</v>
      </c>
      <c r="AT1188" s="4">
        <v>14159861446</v>
      </c>
      <c r="AV1188" t="s">
        <v>1564</v>
      </c>
      <c r="AW1188" t="s">
        <v>386</v>
      </c>
      <c r="AX1188" t="s">
        <v>131</v>
      </c>
      <c r="AY1188" t="s">
        <v>131</v>
      </c>
      <c r="AZ1188" t="s">
        <v>131</v>
      </c>
      <c r="BA1188" t="s">
        <v>131</v>
      </c>
      <c r="BB1188" t="s">
        <v>131</v>
      </c>
      <c r="BC1188" t="s">
        <v>131</v>
      </c>
      <c r="BD1188" t="s">
        <v>131</v>
      </c>
      <c r="BE1188" t="s">
        <v>160</v>
      </c>
      <c r="BF1188" t="s">
        <v>1565</v>
      </c>
      <c r="BG1188" s="1">
        <v>44270</v>
      </c>
      <c r="BH1188" t="s">
        <v>7379</v>
      </c>
      <c r="BI1188" t="s">
        <v>131</v>
      </c>
      <c r="BL1188" t="s">
        <v>188</v>
      </c>
      <c r="BN1188" t="s">
        <v>1566</v>
      </c>
      <c r="BO1188" t="s">
        <v>131</v>
      </c>
      <c r="BP1188" t="s">
        <v>134</v>
      </c>
      <c r="BQ1188" t="s">
        <v>131</v>
      </c>
      <c r="BS1188" t="str">
        <f t="shared" si="86"/>
        <v>N/A</v>
      </c>
      <c r="BT1188" t="s">
        <v>135</v>
      </c>
      <c r="BU1188">
        <v>24</v>
      </c>
      <c r="BV1188" t="str">
        <f>"Please See Section F.a.2."</f>
        <v>Please See Section F.a.2.</v>
      </c>
      <c r="BW1188" t="s">
        <v>131</v>
      </c>
      <c r="BX1188" t="str">
        <f>""</f>
        <v/>
      </c>
      <c r="BY1188" t="str">
        <f>""</f>
        <v/>
      </c>
      <c r="BZ1188" t="str">
        <f>""</f>
        <v/>
      </c>
      <c r="CA1188" t="str">
        <f>""</f>
        <v/>
      </c>
      <c r="CB1188" t="s">
        <v>131</v>
      </c>
      <c r="CF1188" t="s">
        <v>131</v>
      </c>
      <c r="CH1188" t="str">
        <f>""</f>
        <v/>
      </c>
      <c r="CI1188" t="s">
        <v>131</v>
      </c>
      <c r="CK1188" t="s">
        <v>131</v>
      </c>
      <c r="CL1188" t="str">
        <f>""</f>
        <v/>
      </c>
      <c r="CM1188" t="str">
        <f>""</f>
        <v/>
      </c>
      <c r="CN1188" t="str">
        <f>""</f>
        <v/>
      </c>
      <c r="CO1188" t="str">
        <f>""</f>
        <v/>
      </c>
      <c r="CP1188" t="str">
        <f>"17-2141.00"</f>
        <v>17-2141.00</v>
      </c>
      <c r="CQ1188" t="s">
        <v>518</v>
      </c>
      <c r="CR1188" t="s">
        <v>460</v>
      </c>
      <c r="CS1188" t="s">
        <v>135</v>
      </c>
      <c r="CT1188" t="s">
        <v>7380</v>
      </c>
      <c r="CU1188" t="s">
        <v>1555</v>
      </c>
      <c r="CW1188" t="s">
        <v>1556</v>
      </c>
      <c r="CX1188" t="s">
        <v>172</v>
      </c>
      <c r="CZ1188" s="3" t="str">
        <f>"95014"</f>
        <v>95014</v>
      </c>
      <c r="DA1188" t="s">
        <v>131</v>
      </c>
      <c r="DB1188" t="str">
        <f>""</f>
        <v/>
      </c>
      <c r="DF1188" t="str">
        <f>""</f>
        <v/>
      </c>
    </row>
    <row r="1189" spans="1:110" ht="15" customHeight="1" x14ac:dyDescent="0.35">
      <c r="A1189" t="s">
        <v>14150</v>
      </c>
      <c r="B1189" t="s">
        <v>138</v>
      </c>
      <c r="C1189" s="1">
        <v>44319</v>
      </c>
      <c r="G1189" s="1">
        <v>44329</v>
      </c>
      <c r="H1189" t="s">
        <v>125</v>
      </c>
      <c r="I1189" t="s">
        <v>14151</v>
      </c>
      <c r="J1189" t="s">
        <v>14152</v>
      </c>
      <c r="L1189" t="s">
        <v>223</v>
      </c>
      <c r="M1189" t="s">
        <v>14153</v>
      </c>
      <c r="N1189" t="s">
        <v>6765</v>
      </c>
      <c r="O1189" t="s">
        <v>2212</v>
      </c>
      <c r="P1189" t="s">
        <v>412</v>
      </c>
      <c r="Q1189" s="3">
        <v>75034</v>
      </c>
      <c r="R1189" t="s">
        <v>128</v>
      </c>
      <c r="T1189" s="4">
        <v>19723934471</v>
      </c>
      <c r="V1189" t="s">
        <v>14154</v>
      </c>
      <c r="W1189" t="s">
        <v>14155</v>
      </c>
      <c r="Y1189" t="s">
        <v>14153</v>
      </c>
      <c r="Z1189" t="s">
        <v>6765</v>
      </c>
      <c r="AA1189" t="s">
        <v>2212</v>
      </c>
      <c r="AB1189" t="s">
        <v>400</v>
      </c>
      <c r="AC1189" s="3" t="str">
        <f>"75034"</f>
        <v>75034</v>
      </c>
      <c r="AD1189" t="s">
        <v>128</v>
      </c>
      <c r="AF1189" s="4">
        <v>19723934471</v>
      </c>
      <c r="AH1189" t="str">
        <f>"541511"</f>
        <v>541511</v>
      </c>
      <c r="AI1189" t="s">
        <v>130</v>
      </c>
      <c r="AJ1189" t="s">
        <v>3588</v>
      </c>
      <c r="AK1189" t="s">
        <v>250</v>
      </c>
      <c r="AL1189" t="s">
        <v>3589</v>
      </c>
      <c r="AM1189" t="s">
        <v>3590</v>
      </c>
      <c r="AN1189" t="s">
        <v>3591</v>
      </c>
      <c r="AO1189" t="s">
        <v>399</v>
      </c>
      <c r="AP1189" t="s">
        <v>400</v>
      </c>
      <c r="AQ1189" s="5">
        <v>75287</v>
      </c>
      <c r="AR1189" t="s">
        <v>128</v>
      </c>
      <c r="AT1189" s="4">
        <v>19722414698</v>
      </c>
      <c r="AV1189" t="s">
        <v>3592</v>
      </c>
      <c r="AW1189" t="s">
        <v>3593</v>
      </c>
      <c r="AX1189" t="s">
        <v>131</v>
      </c>
      <c r="AY1189" t="s">
        <v>131</v>
      </c>
      <c r="AZ1189" t="s">
        <v>131</v>
      </c>
      <c r="BA1189" t="s">
        <v>131</v>
      </c>
      <c r="BB1189" t="s">
        <v>131</v>
      </c>
      <c r="BC1189" t="s">
        <v>131</v>
      </c>
      <c r="BD1189" t="s">
        <v>131</v>
      </c>
      <c r="BE1189" t="s">
        <v>132</v>
      </c>
      <c r="BH1189" t="s">
        <v>14156</v>
      </c>
      <c r="BI1189" t="s">
        <v>131</v>
      </c>
      <c r="BL1189" t="s">
        <v>188</v>
      </c>
      <c r="BN1189" t="s">
        <v>8416</v>
      </c>
      <c r="BO1189" t="s">
        <v>131</v>
      </c>
      <c r="BP1189" t="s">
        <v>134</v>
      </c>
      <c r="BQ1189" t="s">
        <v>131</v>
      </c>
      <c r="BS1189" t="str">
        <f t="shared" si="86"/>
        <v>N/A</v>
      </c>
      <c r="BT1189" t="s">
        <v>135</v>
      </c>
      <c r="BU1189">
        <v>12</v>
      </c>
      <c r="BV1189" t="str">
        <f>"Please see F.b.5.a"</f>
        <v>Please see F.b.5.a</v>
      </c>
      <c r="BW1189" t="s">
        <v>135</v>
      </c>
      <c r="BX1189" t="str">
        <f>""</f>
        <v/>
      </c>
      <c r="BY1189" t="str">
        <f>""</f>
        <v/>
      </c>
      <c r="BZ1189" t="str">
        <f>""</f>
        <v/>
      </c>
      <c r="CA1189" t="str">
        <f>"Experience in Java, JavaScript, SQL, Spring MVC, HTML and CSS."</f>
        <v>Experience in Java, JavaScript, SQL, Spring MVC, HTML and CSS.</v>
      </c>
      <c r="CB1189" t="s">
        <v>131</v>
      </c>
      <c r="CF1189" t="s">
        <v>131</v>
      </c>
      <c r="CH1189" t="str">
        <f>""</f>
        <v/>
      </c>
      <c r="CI1189" t="s">
        <v>131</v>
      </c>
      <c r="CK1189" t="s">
        <v>131</v>
      </c>
      <c r="CL1189" t="str">
        <f>""</f>
        <v/>
      </c>
      <c r="CM1189" t="str">
        <f>""</f>
        <v/>
      </c>
      <c r="CN1189" t="str">
        <f>""</f>
        <v/>
      </c>
      <c r="CO1189" t="str">
        <f>""</f>
        <v/>
      </c>
      <c r="CP1189" t="str">
        <f>"15-1132.00"</f>
        <v>15-1132.00</v>
      </c>
      <c r="CQ1189" t="s">
        <v>198</v>
      </c>
      <c r="CS1189" t="s">
        <v>135</v>
      </c>
      <c r="CT1189" t="s">
        <v>3595</v>
      </c>
      <c r="CU1189" t="s">
        <v>14157</v>
      </c>
      <c r="CV1189" t="s">
        <v>3595</v>
      </c>
      <c r="CW1189" t="s">
        <v>2212</v>
      </c>
      <c r="CX1189" t="s">
        <v>400</v>
      </c>
      <c r="CZ1189" s="3" t="str">
        <f>"75034"</f>
        <v>75034</v>
      </c>
      <c r="DA1189" t="s">
        <v>135</v>
      </c>
      <c r="DB1189" t="str">
        <f>""</f>
        <v/>
      </c>
      <c r="DF1189" t="str">
        <f>""</f>
        <v/>
      </c>
    </row>
    <row r="1190" spans="1:110" ht="15" customHeight="1" x14ac:dyDescent="0.35">
      <c r="A1190" t="s">
        <v>19305</v>
      </c>
      <c r="B1190" t="s">
        <v>138</v>
      </c>
      <c r="C1190" s="1">
        <v>44319</v>
      </c>
      <c r="G1190" s="1">
        <v>44323</v>
      </c>
      <c r="H1190" t="s">
        <v>125</v>
      </c>
      <c r="I1190" t="s">
        <v>2631</v>
      </c>
      <c r="J1190" t="s">
        <v>1487</v>
      </c>
      <c r="L1190" t="s">
        <v>3545</v>
      </c>
      <c r="M1190" t="s">
        <v>3546</v>
      </c>
      <c r="N1190" t="s">
        <v>3547</v>
      </c>
      <c r="O1190" t="s">
        <v>376</v>
      </c>
      <c r="P1190" t="s">
        <v>720</v>
      </c>
      <c r="Q1190" s="3">
        <v>2115</v>
      </c>
      <c r="R1190" t="s">
        <v>128</v>
      </c>
      <c r="T1190" s="4">
        <v>16173732157</v>
      </c>
      <c r="V1190" t="s">
        <v>3548</v>
      </c>
      <c r="W1190" t="s">
        <v>3549</v>
      </c>
      <c r="Y1190" t="s">
        <v>3550</v>
      </c>
      <c r="Z1190" t="s">
        <v>3547</v>
      </c>
      <c r="AA1190" t="s">
        <v>376</v>
      </c>
      <c r="AB1190" t="s">
        <v>377</v>
      </c>
      <c r="AC1190" s="3" t="str">
        <f>"02115"</f>
        <v>02115</v>
      </c>
      <c r="AD1190" t="s">
        <v>128</v>
      </c>
      <c r="AF1190" s="4">
        <v>16173732157</v>
      </c>
      <c r="AH1190" t="str">
        <f>"61131"</f>
        <v>61131</v>
      </c>
      <c r="AI1190" t="s">
        <v>130</v>
      </c>
      <c r="AJ1190" t="s">
        <v>3551</v>
      </c>
      <c r="AK1190" t="s">
        <v>1278</v>
      </c>
      <c r="AL1190" t="s">
        <v>827</v>
      </c>
      <c r="AM1190" t="s">
        <v>3552</v>
      </c>
      <c r="AN1190" t="s">
        <v>997</v>
      </c>
      <c r="AO1190" t="s">
        <v>376</v>
      </c>
      <c r="AP1190" t="s">
        <v>377</v>
      </c>
      <c r="AQ1190" s="5">
        <v>2116</v>
      </c>
      <c r="AR1190" t="s">
        <v>128</v>
      </c>
      <c r="AT1190" s="4">
        <v>16173670025</v>
      </c>
      <c r="AU1190">
        <v>1228</v>
      </c>
      <c r="AV1190" t="s">
        <v>3553</v>
      </c>
      <c r="AW1190" t="s">
        <v>3554</v>
      </c>
      <c r="AX1190" t="s">
        <v>135</v>
      </c>
      <c r="AY1190" t="s">
        <v>135</v>
      </c>
      <c r="AZ1190" t="s">
        <v>131</v>
      </c>
      <c r="BA1190" t="s">
        <v>131</v>
      </c>
      <c r="BB1190" t="s">
        <v>134</v>
      </c>
      <c r="BC1190" t="s">
        <v>131</v>
      </c>
      <c r="BD1190" t="s">
        <v>131</v>
      </c>
      <c r="BE1190" t="s">
        <v>132</v>
      </c>
      <c r="BH1190" t="s">
        <v>5602</v>
      </c>
      <c r="BI1190" t="s">
        <v>131</v>
      </c>
      <c r="BL1190" t="s">
        <v>447</v>
      </c>
      <c r="BN1190" t="s">
        <v>3555</v>
      </c>
      <c r="BO1190" t="s">
        <v>131</v>
      </c>
      <c r="BP1190" t="s">
        <v>134</v>
      </c>
      <c r="BQ1190" t="s">
        <v>131</v>
      </c>
      <c r="BS1190" t="str">
        <f t="shared" si="86"/>
        <v>N/A</v>
      </c>
      <c r="BT1190" t="s">
        <v>131</v>
      </c>
      <c r="BV1190" t="str">
        <f>""</f>
        <v/>
      </c>
      <c r="BW1190" t="s">
        <v>135</v>
      </c>
      <c r="BX1190" t="str">
        <f>""</f>
        <v/>
      </c>
      <c r="BY1190" t="str">
        <f>""</f>
        <v/>
      </c>
      <c r="BZ1190" t="str">
        <f>""</f>
        <v/>
      </c>
      <c r="CA1190" t="str">
        <f>"Ph.D. in Industrial Engineering or a closely related field by the appointment start date. Excellent written and oral communication skills and evidence of teaching effectiveness."</f>
        <v>Ph.D. in Industrial Engineering or a closely related field by the appointment start date. Excellent written and oral communication skills and evidence of teaching effectiveness.</v>
      </c>
      <c r="CB1190" t="s">
        <v>131</v>
      </c>
      <c r="CF1190" t="s">
        <v>131</v>
      </c>
      <c r="CH1190" t="str">
        <f>""</f>
        <v/>
      </c>
      <c r="CI1190" t="s">
        <v>131</v>
      </c>
      <c r="CK1190" t="s">
        <v>131</v>
      </c>
      <c r="CL1190" t="str">
        <f>""</f>
        <v/>
      </c>
      <c r="CM1190" t="str">
        <f>""</f>
        <v/>
      </c>
      <c r="CN1190" t="str">
        <f>""</f>
        <v/>
      </c>
      <c r="CO1190" t="str">
        <f>""</f>
        <v/>
      </c>
      <c r="CP1190" t="str">
        <f>"25-1032.00"</f>
        <v>25-1032.00</v>
      </c>
      <c r="CQ1190" t="s">
        <v>1751</v>
      </c>
      <c r="CR1190" t="s">
        <v>3556</v>
      </c>
      <c r="CS1190" t="s">
        <v>131</v>
      </c>
      <c r="CU1190" t="s">
        <v>3557</v>
      </c>
      <c r="CW1190" t="s">
        <v>376</v>
      </c>
      <c r="CX1190" t="s">
        <v>377</v>
      </c>
      <c r="CZ1190" s="3" t="str">
        <f>"02115"</f>
        <v>02115</v>
      </c>
      <c r="DA1190" t="s">
        <v>131</v>
      </c>
      <c r="DB1190" t="str">
        <f>""</f>
        <v/>
      </c>
      <c r="DF1190" t="str">
        <f>""</f>
        <v/>
      </c>
    </row>
    <row r="1191" spans="1:110" ht="15" customHeight="1" x14ac:dyDescent="0.35">
      <c r="A1191" t="s">
        <v>11073</v>
      </c>
      <c r="B1191" t="s">
        <v>138</v>
      </c>
      <c r="C1191" s="1">
        <v>44319</v>
      </c>
      <c r="G1191" s="1">
        <v>44319</v>
      </c>
      <c r="H1191" t="s">
        <v>125</v>
      </c>
      <c r="I1191" t="s">
        <v>1967</v>
      </c>
      <c r="J1191" t="s">
        <v>1846</v>
      </c>
      <c r="K1191" t="s">
        <v>1198</v>
      </c>
      <c r="L1191" t="s">
        <v>1968</v>
      </c>
      <c r="M1191" t="s">
        <v>1969</v>
      </c>
      <c r="N1191" t="s">
        <v>1970</v>
      </c>
      <c r="O1191" t="s">
        <v>1012</v>
      </c>
      <c r="P1191" t="s">
        <v>1004</v>
      </c>
      <c r="Q1191" s="3">
        <v>84112</v>
      </c>
      <c r="R1191" t="s">
        <v>128</v>
      </c>
      <c r="T1191" s="4">
        <v>18015857002</v>
      </c>
      <c r="V1191" t="s">
        <v>1971</v>
      </c>
      <c r="W1191" t="s">
        <v>1972</v>
      </c>
      <c r="Y1191" t="s">
        <v>1969</v>
      </c>
      <c r="Z1191" t="s">
        <v>1970</v>
      </c>
      <c r="AA1191" t="s">
        <v>1012</v>
      </c>
      <c r="AB1191" t="s">
        <v>1008</v>
      </c>
      <c r="AC1191" s="3" t="str">
        <f>"84112"</f>
        <v>84112</v>
      </c>
      <c r="AD1191" t="s">
        <v>128</v>
      </c>
      <c r="AF1191" s="4">
        <v>18015857002</v>
      </c>
      <c r="AH1191" t="str">
        <f>"611310"</f>
        <v>611310</v>
      </c>
      <c r="AI1191" t="s">
        <v>167</v>
      </c>
      <c r="AX1191" t="s">
        <v>135</v>
      </c>
      <c r="AY1191" t="s">
        <v>135</v>
      </c>
      <c r="AZ1191" t="s">
        <v>131</v>
      </c>
      <c r="BA1191" t="s">
        <v>131</v>
      </c>
      <c r="BB1191" t="s">
        <v>131</v>
      </c>
      <c r="BC1191" t="s">
        <v>131</v>
      </c>
      <c r="BD1191" t="s">
        <v>131</v>
      </c>
      <c r="BE1191" t="s">
        <v>132</v>
      </c>
      <c r="BH1191" t="s">
        <v>11074</v>
      </c>
      <c r="BI1191" t="s">
        <v>131</v>
      </c>
      <c r="BL1191" t="s">
        <v>447</v>
      </c>
      <c r="BN1191" t="s">
        <v>11075</v>
      </c>
      <c r="BO1191" t="s">
        <v>131</v>
      </c>
      <c r="BP1191" t="s">
        <v>134</v>
      </c>
      <c r="BQ1191" t="s">
        <v>131</v>
      </c>
      <c r="BS1191" t="str">
        <f t="shared" si="86"/>
        <v>N/A</v>
      </c>
      <c r="BT1191" t="s">
        <v>131</v>
      </c>
      <c r="BV1191" t="str">
        <f>"Six months experience teaching college level language courses (this experience can be through employment, training, or an academic program). "</f>
        <v xml:space="preserve">Six months experience teaching college level language courses (this experience can be through employment, training, or an academic program). </v>
      </c>
      <c r="BW1191" t="s">
        <v>135</v>
      </c>
      <c r="BX1191" t="str">
        <f>""</f>
        <v/>
      </c>
      <c r="BY1191" t="str">
        <f>"Native or near-native fluency in Korean is required. "</f>
        <v xml:space="preserve">Native or near-native fluency in Korean is required. </v>
      </c>
      <c r="BZ1191" t="str">
        <f>""</f>
        <v/>
      </c>
      <c r="CA1191" t="s">
        <v>11076</v>
      </c>
      <c r="CB1191" t="s">
        <v>131</v>
      </c>
      <c r="CF1191" t="s">
        <v>131</v>
      </c>
      <c r="CH1191" t="str">
        <f>""</f>
        <v/>
      </c>
      <c r="CI1191" t="s">
        <v>131</v>
      </c>
      <c r="CK1191" t="s">
        <v>131</v>
      </c>
      <c r="CL1191" t="str">
        <f>""</f>
        <v/>
      </c>
      <c r="CM1191" t="str">
        <f>""</f>
        <v/>
      </c>
      <c r="CN1191" t="str">
        <f>""</f>
        <v/>
      </c>
      <c r="CO1191" t="str">
        <f>""</f>
        <v/>
      </c>
      <c r="CP1191" t="str">
        <f>"25-1124.00"</f>
        <v>25-1124.00</v>
      </c>
      <c r="CQ1191" t="s">
        <v>716</v>
      </c>
      <c r="CR1191" t="s">
        <v>717</v>
      </c>
      <c r="CS1191" t="s">
        <v>131</v>
      </c>
      <c r="CU1191" t="s">
        <v>11077</v>
      </c>
      <c r="CV1191" t="s">
        <v>11078</v>
      </c>
      <c r="CW1191" t="s">
        <v>1012</v>
      </c>
      <c r="CX1191" t="s">
        <v>1008</v>
      </c>
      <c r="CZ1191" s="3" t="str">
        <f>"84112"</f>
        <v>84112</v>
      </c>
      <c r="DA1191" t="s">
        <v>131</v>
      </c>
      <c r="DB1191" t="str">
        <f>""</f>
        <v/>
      </c>
      <c r="DF1191" t="str">
        <f>""</f>
        <v/>
      </c>
    </row>
    <row r="1192" spans="1:110" ht="15" customHeight="1" x14ac:dyDescent="0.35">
      <c r="A1192" t="s">
        <v>14003</v>
      </c>
      <c r="B1192" t="s">
        <v>138</v>
      </c>
      <c r="C1192" s="1">
        <v>44319</v>
      </c>
      <c r="G1192" s="1">
        <v>44319</v>
      </c>
      <c r="H1192" t="s">
        <v>125</v>
      </c>
      <c r="I1192" t="s">
        <v>10193</v>
      </c>
      <c r="J1192" t="s">
        <v>3332</v>
      </c>
      <c r="L1192" t="s">
        <v>10194</v>
      </c>
      <c r="M1192" t="s">
        <v>8860</v>
      </c>
      <c r="O1192" t="s">
        <v>494</v>
      </c>
      <c r="P1192" t="s">
        <v>127</v>
      </c>
      <c r="Q1192" s="3">
        <v>10281</v>
      </c>
      <c r="R1192" t="s">
        <v>128</v>
      </c>
      <c r="T1192" s="4">
        <v>12122255430</v>
      </c>
      <c r="V1192" t="s">
        <v>10195</v>
      </c>
      <c r="W1192" t="s">
        <v>14004</v>
      </c>
      <c r="X1192" t="s">
        <v>10196</v>
      </c>
      <c r="Y1192" t="s">
        <v>10197</v>
      </c>
      <c r="AA1192" t="s">
        <v>129</v>
      </c>
      <c r="AB1192" t="s">
        <v>129</v>
      </c>
      <c r="AC1192" s="3" t="str">
        <f>"10281"</f>
        <v>10281</v>
      </c>
      <c r="AD1192" t="s">
        <v>128</v>
      </c>
      <c r="AF1192" s="4">
        <v>12122255435</v>
      </c>
      <c r="AG1192">
        <v>0</v>
      </c>
      <c r="AH1192" t="str">
        <f>"523110"</f>
        <v>523110</v>
      </c>
      <c r="AI1192" t="s">
        <v>130</v>
      </c>
      <c r="AJ1192" t="s">
        <v>1098</v>
      </c>
      <c r="AK1192" t="s">
        <v>913</v>
      </c>
      <c r="AM1192" t="s">
        <v>493</v>
      </c>
      <c r="AO1192" t="s">
        <v>494</v>
      </c>
      <c r="AP1192" t="s">
        <v>129</v>
      </c>
      <c r="AQ1192" s="5">
        <v>10018</v>
      </c>
      <c r="AR1192" t="s">
        <v>128</v>
      </c>
      <c r="AT1192" s="4">
        <v>12126888555</v>
      </c>
      <c r="AV1192" t="s">
        <v>3724</v>
      </c>
      <c r="AW1192" t="s">
        <v>386</v>
      </c>
      <c r="AX1192" t="s">
        <v>131</v>
      </c>
      <c r="AY1192" t="s">
        <v>131</v>
      </c>
      <c r="AZ1192" t="s">
        <v>131</v>
      </c>
      <c r="BA1192" t="s">
        <v>131</v>
      </c>
      <c r="BB1192" t="s">
        <v>131</v>
      </c>
      <c r="BC1192" t="s">
        <v>131</v>
      </c>
      <c r="BD1192" t="s">
        <v>131</v>
      </c>
      <c r="BE1192" t="s">
        <v>160</v>
      </c>
      <c r="BF1192" t="s">
        <v>13145</v>
      </c>
      <c r="BG1192" s="1">
        <v>43922</v>
      </c>
      <c r="BH1192" t="s">
        <v>14005</v>
      </c>
      <c r="BI1192" t="s">
        <v>131</v>
      </c>
      <c r="BL1192" t="s">
        <v>133</v>
      </c>
      <c r="BN1192" t="s">
        <v>14006</v>
      </c>
      <c r="BO1192" t="s">
        <v>131</v>
      </c>
      <c r="BP1192" t="s">
        <v>134</v>
      </c>
      <c r="BQ1192" t="s">
        <v>131</v>
      </c>
      <c r="BS1192" t="str">
        <f t="shared" si="86"/>
        <v>N/A</v>
      </c>
      <c r="BT1192" t="s">
        <v>135</v>
      </c>
      <c r="BU1192">
        <v>120</v>
      </c>
      <c r="BV1192" t="str">
        <f>"Director; Associate Director; Associate; Analyst; or related"</f>
        <v>Director; Associate Director; Associate; Analyst; or related</v>
      </c>
      <c r="BW1192" t="s">
        <v>135</v>
      </c>
      <c r="BX1192" t="str">
        <f>""</f>
        <v/>
      </c>
      <c r="BY1192" t="str">
        <f>""</f>
        <v/>
      </c>
      <c r="BZ1192" t="str">
        <f>""</f>
        <v/>
      </c>
      <c r="CA1192" t="s">
        <v>14007</v>
      </c>
      <c r="CB1192" t="s">
        <v>131</v>
      </c>
      <c r="CF1192" t="s">
        <v>131</v>
      </c>
      <c r="CH1192" t="str">
        <f>""</f>
        <v/>
      </c>
      <c r="CI1192" t="s">
        <v>131</v>
      </c>
      <c r="CK1192" t="s">
        <v>131</v>
      </c>
      <c r="CL1192" t="str">
        <f>""</f>
        <v/>
      </c>
      <c r="CM1192" t="str">
        <f>""</f>
        <v/>
      </c>
      <c r="CN1192" t="str">
        <f>""</f>
        <v/>
      </c>
      <c r="CO1192" t="str">
        <f>""</f>
        <v/>
      </c>
      <c r="CP1192" t="str">
        <f>"13-2051.00"</f>
        <v>13-2051.00</v>
      </c>
      <c r="CQ1192" t="s">
        <v>245</v>
      </c>
      <c r="CR1192" t="s">
        <v>361</v>
      </c>
      <c r="CS1192" t="s">
        <v>131</v>
      </c>
      <c r="CU1192" t="s">
        <v>8860</v>
      </c>
      <c r="CW1192" t="s">
        <v>494</v>
      </c>
      <c r="CX1192" t="s">
        <v>129</v>
      </c>
      <c r="CZ1192" s="3" t="str">
        <f>"10281"</f>
        <v>10281</v>
      </c>
      <c r="DA1192" t="s">
        <v>131</v>
      </c>
      <c r="DB1192" t="str">
        <f>""</f>
        <v/>
      </c>
      <c r="DF1192" t="str">
        <f>""</f>
        <v/>
      </c>
    </row>
    <row r="1193" spans="1:110" ht="15" customHeight="1" x14ac:dyDescent="0.35">
      <c r="A1193" t="s">
        <v>2325</v>
      </c>
      <c r="B1193" t="s">
        <v>138</v>
      </c>
      <c r="C1193" s="1">
        <v>44319</v>
      </c>
      <c r="G1193" s="1">
        <v>44319</v>
      </c>
      <c r="H1193" t="s">
        <v>125</v>
      </c>
      <c r="I1193" t="s">
        <v>2326</v>
      </c>
      <c r="J1193" t="s">
        <v>2327</v>
      </c>
      <c r="L1193" t="s">
        <v>2328</v>
      </c>
      <c r="M1193" t="s">
        <v>2329</v>
      </c>
      <c r="N1193" t="s">
        <v>2330</v>
      </c>
      <c r="O1193" t="s">
        <v>205</v>
      </c>
      <c r="P1193" t="s">
        <v>194</v>
      </c>
      <c r="Q1193" s="3">
        <v>33607</v>
      </c>
      <c r="R1193" t="s">
        <v>128</v>
      </c>
      <c r="T1193" s="4">
        <v>17277230801</v>
      </c>
      <c r="V1193" t="s">
        <v>2331</v>
      </c>
      <c r="W1193" t="s">
        <v>2332</v>
      </c>
      <c r="Y1193" t="s">
        <v>2329</v>
      </c>
      <c r="Z1193" t="s">
        <v>2330</v>
      </c>
      <c r="AA1193" t="s">
        <v>205</v>
      </c>
      <c r="AB1193" t="s">
        <v>195</v>
      </c>
      <c r="AC1193" s="3" t="str">
        <f>"33607"</f>
        <v>33607</v>
      </c>
      <c r="AD1193" t="s">
        <v>128</v>
      </c>
      <c r="AF1193" s="4">
        <v>17277230801</v>
      </c>
      <c r="AH1193" t="str">
        <f>"541511"</f>
        <v>541511</v>
      </c>
      <c r="AI1193" t="s">
        <v>167</v>
      </c>
      <c r="AX1193" t="s">
        <v>131</v>
      </c>
      <c r="AY1193" t="s">
        <v>131</v>
      </c>
      <c r="AZ1193" t="s">
        <v>131</v>
      </c>
      <c r="BA1193" t="s">
        <v>131</v>
      </c>
      <c r="BB1193" t="s">
        <v>131</v>
      </c>
      <c r="BC1193" t="s">
        <v>131</v>
      </c>
      <c r="BD1193" t="s">
        <v>131</v>
      </c>
      <c r="BE1193" t="s">
        <v>132</v>
      </c>
      <c r="BH1193" t="s">
        <v>1133</v>
      </c>
      <c r="BI1193" t="s">
        <v>131</v>
      </c>
      <c r="BL1193" t="s">
        <v>188</v>
      </c>
      <c r="BN1193" t="s">
        <v>2333</v>
      </c>
      <c r="BO1193" t="s">
        <v>131</v>
      </c>
      <c r="BP1193" t="s">
        <v>134</v>
      </c>
      <c r="BQ1193" t="s">
        <v>131</v>
      </c>
      <c r="BS1193" t="str">
        <f t="shared" si="86"/>
        <v>N/A</v>
      </c>
      <c r="BT1193" t="s">
        <v>135</v>
      </c>
      <c r="BU1193">
        <v>24</v>
      </c>
      <c r="BV1193" t="str">
        <f>"Experience as Software Developer, Software Dev. Engineer in Test, or related IT positions. "</f>
        <v xml:space="preserve">Experience as Software Developer, Software Dev. Engineer in Test, or related IT positions. </v>
      </c>
      <c r="BW1193" t="s">
        <v>135</v>
      </c>
      <c r="BX1193" t="str">
        <f>""</f>
        <v/>
      </c>
      <c r="BY1193" t="str">
        <f>""</f>
        <v/>
      </c>
      <c r="BZ1193" t="str">
        <f>""</f>
        <v/>
      </c>
      <c r="CA1193" s="2" t="s">
        <v>2334</v>
      </c>
      <c r="CB1193" t="s">
        <v>135</v>
      </c>
      <c r="CC1193" t="s">
        <v>133</v>
      </c>
      <c r="CE1193" t="s">
        <v>2333</v>
      </c>
      <c r="CF1193" t="s">
        <v>131</v>
      </c>
      <c r="CH1193" t="str">
        <f>"N/A"</f>
        <v>N/A</v>
      </c>
      <c r="CI1193" t="s">
        <v>135</v>
      </c>
      <c r="CJ1193">
        <v>60</v>
      </c>
      <c r="CK1193" t="s">
        <v>135</v>
      </c>
      <c r="CL1193" t="str">
        <f>""</f>
        <v/>
      </c>
      <c r="CM1193" t="str">
        <f>""</f>
        <v/>
      </c>
      <c r="CN1193" t="str">
        <f>""</f>
        <v/>
      </c>
      <c r="CO1193" s="2" t="s">
        <v>2334</v>
      </c>
      <c r="CP1193" t="str">
        <f>"15-1132.00"</f>
        <v>15-1132.00</v>
      </c>
      <c r="CQ1193" t="s">
        <v>198</v>
      </c>
      <c r="CR1193" t="s">
        <v>1133</v>
      </c>
      <c r="CS1193" t="s">
        <v>131</v>
      </c>
      <c r="CU1193" t="s">
        <v>2335</v>
      </c>
      <c r="CV1193" t="s">
        <v>2336</v>
      </c>
      <c r="CW1193" t="s">
        <v>197</v>
      </c>
      <c r="CX1193" t="s">
        <v>195</v>
      </c>
      <c r="CZ1193" s="3" t="str">
        <f>"33607"</f>
        <v>33607</v>
      </c>
      <c r="DA1193" t="s">
        <v>131</v>
      </c>
      <c r="DB1193" t="str">
        <f>""</f>
        <v/>
      </c>
      <c r="DF1193" t="str">
        <f>""</f>
        <v/>
      </c>
    </row>
    <row r="1194" spans="1:110" ht="15" customHeight="1" x14ac:dyDescent="0.35">
      <c r="A1194" t="s">
        <v>13617</v>
      </c>
      <c r="B1194" t="s">
        <v>138</v>
      </c>
      <c r="C1194" s="1">
        <v>44319</v>
      </c>
      <c r="G1194" s="1">
        <v>44333</v>
      </c>
      <c r="H1194" t="s">
        <v>125</v>
      </c>
      <c r="I1194" t="s">
        <v>4751</v>
      </c>
      <c r="J1194" t="s">
        <v>3391</v>
      </c>
      <c r="K1194" t="s">
        <v>655</v>
      </c>
      <c r="L1194" t="s">
        <v>126</v>
      </c>
      <c r="M1194" t="s">
        <v>4752</v>
      </c>
      <c r="N1194" t="s">
        <v>4753</v>
      </c>
      <c r="O1194" t="s">
        <v>1034</v>
      </c>
      <c r="P1194" t="s">
        <v>593</v>
      </c>
      <c r="Q1194" s="3">
        <v>27615</v>
      </c>
      <c r="R1194" t="s">
        <v>128</v>
      </c>
      <c r="T1194" s="4">
        <v>19196474820</v>
      </c>
      <c r="V1194" t="s">
        <v>4756</v>
      </c>
      <c r="W1194" t="s">
        <v>13618</v>
      </c>
      <c r="Y1194" t="s">
        <v>13167</v>
      </c>
      <c r="Z1194" t="s">
        <v>3267</v>
      </c>
      <c r="AA1194" t="s">
        <v>10409</v>
      </c>
      <c r="AB1194" t="s">
        <v>779</v>
      </c>
      <c r="AC1194" s="3" t="str">
        <f>"38017"</f>
        <v>38017</v>
      </c>
      <c r="AD1194" t="s">
        <v>128</v>
      </c>
      <c r="AF1194" s="4">
        <v>19012634909</v>
      </c>
      <c r="AH1194" t="str">
        <f>"4921"</f>
        <v>4921</v>
      </c>
      <c r="AI1194" t="s">
        <v>130</v>
      </c>
      <c r="AJ1194" t="s">
        <v>4751</v>
      </c>
      <c r="AK1194" t="s">
        <v>3391</v>
      </c>
      <c r="AL1194" t="s">
        <v>655</v>
      </c>
      <c r="AM1194" t="s">
        <v>13619</v>
      </c>
      <c r="AN1194" t="s">
        <v>4753</v>
      </c>
      <c r="AO1194" t="s">
        <v>1034</v>
      </c>
      <c r="AP1194" t="s">
        <v>594</v>
      </c>
      <c r="AQ1194" s="5">
        <v>27615</v>
      </c>
      <c r="AR1194" t="s">
        <v>128</v>
      </c>
      <c r="AT1194" s="4">
        <v>19196474820</v>
      </c>
      <c r="AV1194" t="s">
        <v>4754</v>
      </c>
      <c r="AW1194" t="s">
        <v>4757</v>
      </c>
      <c r="AX1194" t="s">
        <v>131</v>
      </c>
      <c r="AY1194" t="s">
        <v>131</v>
      </c>
      <c r="AZ1194" t="s">
        <v>131</v>
      </c>
      <c r="BA1194" t="s">
        <v>131</v>
      </c>
      <c r="BB1194" t="s">
        <v>131</v>
      </c>
      <c r="BC1194" t="s">
        <v>131</v>
      </c>
      <c r="BD1194" t="s">
        <v>131</v>
      </c>
      <c r="BE1194" t="s">
        <v>132</v>
      </c>
      <c r="BH1194" t="s">
        <v>13620</v>
      </c>
      <c r="BI1194" t="s">
        <v>131</v>
      </c>
      <c r="BL1194" t="s">
        <v>188</v>
      </c>
      <c r="BN1194" t="s">
        <v>13621</v>
      </c>
      <c r="BO1194" t="s">
        <v>131</v>
      </c>
      <c r="BP1194" t="s">
        <v>134</v>
      </c>
      <c r="BQ1194" t="s">
        <v>131</v>
      </c>
      <c r="BS1194" t="str">
        <f t="shared" si="86"/>
        <v>N/A</v>
      </c>
      <c r="BT1194" t="s">
        <v>135</v>
      </c>
      <c r="BU1194">
        <v>60</v>
      </c>
      <c r="BV1194" t="str">
        <f>"INFORMATION TECHNOLOGY OR ENGINEERING ENVIRONMENT"</f>
        <v>INFORMATION TECHNOLOGY OR ENGINEERING ENVIRONMENT</v>
      </c>
      <c r="BW1194" t="s">
        <v>135</v>
      </c>
      <c r="BX1194" t="str">
        <f>""</f>
        <v/>
      </c>
      <c r="BY1194" t="str">
        <f>""</f>
        <v/>
      </c>
      <c r="BZ1194" t="str">
        <f>""</f>
        <v/>
      </c>
      <c r="CA1194" t="s">
        <v>13622</v>
      </c>
      <c r="CB1194" t="s">
        <v>135</v>
      </c>
      <c r="CC1194" t="s">
        <v>133</v>
      </c>
      <c r="CE1194" t="s">
        <v>13621</v>
      </c>
      <c r="CF1194" t="s">
        <v>131</v>
      </c>
      <c r="CH1194" t="str">
        <f>"N/A"</f>
        <v>N/A</v>
      </c>
      <c r="CI1194" t="s">
        <v>135</v>
      </c>
      <c r="CJ1194">
        <v>84</v>
      </c>
      <c r="CK1194" t="s">
        <v>131</v>
      </c>
      <c r="CL1194" t="str">
        <f>""</f>
        <v/>
      </c>
      <c r="CM1194" t="str">
        <f>""</f>
        <v/>
      </c>
      <c r="CN1194" t="str">
        <f>""</f>
        <v/>
      </c>
      <c r="CO1194" t="str">
        <f>""</f>
        <v/>
      </c>
      <c r="CP1194" t="str">
        <f>"15-1199.06"</f>
        <v>15-1199.06</v>
      </c>
      <c r="CQ1194" t="s">
        <v>988</v>
      </c>
      <c r="CR1194" t="s">
        <v>13623</v>
      </c>
      <c r="CS1194" t="s">
        <v>131</v>
      </c>
      <c r="CU1194" t="s">
        <v>13624</v>
      </c>
      <c r="CV1194" t="s">
        <v>13625</v>
      </c>
      <c r="CW1194" t="s">
        <v>5241</v>
      </c>
      <c r="CX1194" t="s">
        <v>779</v>
      </c>
      <c r="CZ1194" s="3" t="str">
        <f>"38125"</f>
        <v>38125</v>
      </c>
      <c r="DA1194" t="s">
        <v>131</v>
      </c>
      <c r="DB1194" t="str">
        <f>""</f>
        <v/>
      </c>
      <c r="DF1194" t="str">
        <f>""</f>
        <v/>
      </c>
    </row>
    <row r="1195" spans="1:110" ht="15" customHeight="1" x14ac:dyDescent="0.35">
      <c r="A1195" t="s">
        <v>18336</v>
      </c>
      <c r="B1195" t="s">
        <v>138</v>
      </c>
      <c r="C1195" s="1">
        <v>44319</v>
      </c>
      <c r="G1195" s="1">
        <v>44319</v>
      </c>
      <c r="H1195" t="s">
        <v>125</v>
      </c>
      <c r="I1195" t="s">
        <v>851</v>
      </c>
      <c r="J1195" t="s">
        <v>852</v>
      </c>
      <c r="L1195" t="s">
        <v>18337</v>
      </c>
      <c r="M1195" t="s">
        <v>854</v>
      </c>
      <c r="O1195" t="s">
        <v>856</v>
      </c>
      <c r="P1195" t="s">
        <v>857</v>
      </c>
      <c r="Q1195" s="3">
        <v>85248</v>
      </c>
      <c r="R1195" t="s">
        <v>128</v>
      </c>
      <c r="T1195" s="4">
        <v>14807154205</v>
      </c>
      <c r="V1195" t="s">
        <v>862</v>
      </c>
      <c r="W1195" t="s">
        <v>858</v>
      </c>
      <c r="X1195" t="s">
        <v>858</v>
      </c>
      <c r="Y1195" t="s">
        <v>859</v>
      </c>
      <c r="AA1195" t="s">
        <v>650</v>
      </c>
      <c r="AB1195" t="s">
        <v>172</v>
      </c>
      <c r="AC1195" s="3" t="str">
        <f>"95054"</f>
        <v>95054</v>
      </c>
      <c r="AD1195" t="s">
        <v>128</v>
      </c>
      <c r="AE1195" t="s">
        <v>134</v>
      </c>
      <c r="AF1195" s="4">
        <v>14087651681</v>
      </c>
      <c r="AH1195" t="str">
        <f>"3344"</f>
        <v>3344</v>
      </c>
      <c r="AI1195" t="s">
        <v>130</v>
      </c>
      <c r="AJ1195" t="s">
        <v>860</v>
      </c>
      <c r="AK1195" t="s">
        <v>800</v>
      </c>
      <c r="AM1195" t="s">
        <v>861</v>
      </c>
      <c r="AN1195" t="s">
        <v>806</v>
      </c>
      <c r="AO1195" t="s">
        <v>807</v>
      </c>
      <c r="AP1195" t="s">
        <v>808</v>
      </c>
      <c r="AQ1195" s="5">
        <v>85020</v>
      </c>
      <c r="AR1195" t="s">
        <v>128</v>
      </c>
      <c r="AT1195" s="4">
        <v>16022661825</v>
      </c>
      <c r="AV1195" t="s">
        <v>862</v>
      </c>
      <c r="AW1195" t="s">
        <v>548</v>
      </c>
      <c r="AX1195" t="s">
        <v>131</v>
      </c>
      <c r="AY1195" t="s">
        <v>131</v>
      </c>
      <c r="AZ1195" t="s">
        <v>131</v>
      </c>
      <c r="BA1195" t="s">
        <v>131</v>
      </c>
      <c r="BB1195" t="s">
        <v>131</v>
      </c>
      <c r="BC1195" t="s">
        <v>131</v>
      </c>
      <c r="BD1195" t="s">
        <v>131</v>
      </c>
      <c r="BE1195" t="s">
        <v>160</v>
      </c>
      <c r="BF1195" t="s">
        <v>18338</v>
      </c>
      <c r="BG1195" s="1">
        <v>44270</v>
      </c>
      <c r="BH1195" t="s">
        <v>8993</v>
      </c>
      <c r="BI1195" t="s">
        <v>131</v>
      </c>
      <c r="BL1195" t="s">
        <v>133</v>
      </c>
      <c r="BN1195" t="s">
        <v>864</v>
      </c>
      <c r="BO1195" t="s">
        <v>131</v>
      </c>
      <c r="BP1195" t="s">
        <v>134</v>
      </c>
      <c r="BQ1195" t="s">
        <v>131</v>
      </c>
      <c r="BS1195" t="str">
        <f t="shared" si="86"/>
        <v>N/A</v>
      </c>
      <c r="BT1195" t="s">
        <v>135</v>
      </c>
      <c r="BU1195">
        <v>60</v>
      </c>
      <c r="BV1195" t="str">
        <f>"job offered or related"</f>
        <v>job offered or related</v>
      </c>
      <c r="BW1195" t="s">
        <v>135</v>
      </c>
      <c r="BX1195" t="str">
        <f>""</f>
        <v/>
      </c>
      <c r="BY1195" t="str">
        <f>""</f>
        <v/>
      </c>
      <c r="BZ1195" t="str">
        <f>""</f>
        <v/>
      </c>
      <c r="CA1195" t="str">
        <f>"Memory Architecture; Circuit Design and/or Simulation; SRAM and RF Memory Design; Analog Circuit Design
"</f>
        <v xml:space="preserve">Memory Architecture; Circuit Design and/or Simulation; SRAM and RF Memory Design; Analog Circuit Design
</v>
      </c>
      <c r="CB1195" t="s">
        <v>135</v>
      </c>
      <c r="CC1195" t="s">
        <v>188</v>
      </c>
      <c r="CE1195" t="s">
        <v>1509</v>
      </c>
      <c r="CF1195" t="s">
        <v>131</v>
      </c>
      <c r="CH1195" t="str">
        <f>"N/A"</f>
        <v>N/A</v>
      </c>
      <c r="CI1195" t="s">
        <v>135</v>
      </c>
      <c r="CJ1195">
        <v>36</v>
      </c>
      <c r="CK1195" t="s">
        <v>135</v>
      </c>
      <c r="CL1195" t="str">
        <f>""</f>
        <v/>
      </c>
      <c r="CM1195" t="str">
        <f>""</f>
        <v/>
      </c>
      <c r="CN1195" t="str">
        <f>""</f>
        <v/>
      </c>
      <c r="CO1195" t="str">
        <f>"Memory Architecture; Circuit Design and/or Simulation; SRAM and RF Memory Design; Analog Circuit Design
"</f>
        <v xml:space="preserve">Memory Architecture; Circuit Design and/or Simulation; SRAM and RF Memory Design; Analog Circuit Design
</v>
      </c>
      <c r="CP1195" t="str">
        <f>"17-2072.00"</f>
        <v>17-2072.00</v>
      </c>
      <c r="CQ1195" t="s">
        <v>865</v>
      </c>
      <c r="CR1195" t="s">
        <v>460</v>
      </c>
      <c r="CS1195" t="s">
        <v>131</v>
      </c>
      <c r="CU1195" t="s">
        <v>1510</v>
      </c>
      <c r="CW1195" t="s">
        <v>1511</v>
      </c>
      <c r="CX1195" t="s">
        <v>1512</v>
      </c>
      <c r="CZ1195" s="3" t="str">
        <f>"97124"</f>
        <v>97124</v>
      </c>
      <c r="DA1195" t="s">
        <v>131</v>
      </c>
      <c r="DB1195" t="str">
        <f>""</f>
        <v/>
      </c>
      <c r="DF1195" t="str">
        <f>""</f>
        <v/>
      </c>
    </row>
    <row r="1196" spans="1:110" ht="15" customHeight="1" x14ac:dyDescent="0.35">
      <c r="A1196" t="s">
        <v>15926</v>
      </c>
      <c r="B1196" t="s">
        <v>138</v>
      </c>
      <c r="C1196" s="1">
        <v>44319</v>
      </c>
      <c r="G1196" s="1">
        <v>44322</v>
      </c>
      <c r="H1196" t="s">
        <v>125</v>
      </c>
      <c r="I1196" t="s">
        <v>2326</v>
      </c>
      <c r="J1196" t="s">
        <v>5625</v>
      </c>
      <c r="L1196" t="s">
        <v>2328</v>
      </c>
      <c r="M1196" t="s">
        <v>2329</v>
      </c>
      <c r="N1196" t="s">
        <v>2330</v>
      </c>
      <c r="O1196" t="s">
        <v>205</v>
      </c>
      <c r="P1196" t="s">
        <v>194</v>
      </c>
      <c r="Q1196" s="3">
        <v>33607</v>
      </c>
      <c r="R1196" t="s">
        <v>128</v>
      </c>
      <c r="T1196" s="4">
        <v>17277230801</v>
      </c>
      <c r="V1196" t="s">
        <v>2331</v>
      </c>
      <c r="W1196" t="s">
        <v>2332</v>
      </c>
      <c r="Y1196" t="s">
        <v>2329</v>
      </c>
      <c r="Z1196" t="s">
        <v>2330</v>
      </c>
      <c r="AA1196" t="s">
        <v>205</v>
      </c>
      <c r="AB1196" t="s">
        <v>195</v>
      </c>
      <c r="AC1196" s="3" t="str">
        <f>"33607"</f>
        <v>33607</v>
      </c>
      <c r="AD1196" t="s">
        <v>128</v>
      </c>
      <c r="AF1196" s="4">
        <v>17277230801</v>
      </c>
      <c r="AH1196" t="str">
        <f>"541511"</f>
        <v>541511</v>
      </c>
      <c r="AI1196" t="s">
        <v>167</v>
      </c>
      <c r="AX1196" t="s">
        <v>131</v>
      </c>
      <c r="AY1196" t="s">
        <v>131</v>
      </c>
      <c r="AZ1196" t="s">
        <v>131</v>
      </c>
      <c r="BA1196" t="s">
        <v>131</v>
      </c>
      <c r="BB1196" t="s">
        <v>131</v>
      </c>
      <c r="BC1196" t="s">
        <v>131</v>
      </c>
      <c r="BD1196" t="s">
        <v>131</v>
      </c>
      <c r="BE1196" t="s">
        <v>132</v>
      </c>
      <c r="BH1196" t="s">
        <v>1133</v>
      </c>
      <c r="BI1196" t="s">
        <v>131</v>
      </c>
      <c r="BL1196" t="s">
        <v>188</v>
      </c>
      <c r="BN1196" t="s">
        <v>15927</v>
      </c>
      <c r="BO1196" t="s">
        <v>131</v>
      </c>
      <c r="BP1196" t="s">
        <v>134</v>
      </c>
      <c r="BQ1196" t="s">
        <v>131</v>
      </c>
      <c r="BS1196" t="str">
        <f t="shared" si="86"/>
        <v>N/A</v>
      </c>
      <c r="BT1196" t="s">
        <v>135</v>
      </c>
      <c r="BU1196">
        <v>24</v>
      </c>
      <c r="BV1196" t="str">
        <f>"Experience as Software Developer, Software Development Engineer in Test, or related IT positions."</f>
        <v>Experience as Software Developer, Software Development Engineer in Test, or related IT positions.</v>
      </c>
      <c r="BW1196" t="s">
        <v>135</v>
      </c>
      <c r="BX1196" t="str">
        <f>""</f>
        <v/>
      </c>
      <c r="BY1196" t="str">
        <f>""</f>
        <v/>
      </c>
      <c r="BZ1196" t="str">
        <f>""</f>
        <v/>
      </c>
      <c r="CA1196" t="s">
        <v>15928</v>
      </c>
      <c r="CB1196" t="s">
        <v>135</v>
      </c>
      <c r="CC1196" t="s">
        <v>133</v>
      </c>
      <c r="CE1196" t="s">
        <v>15927</v>
      </c>
      <c r="CF1196" t="s">
        <v>131</v>
      </c>
      <c r="CH1196" t="str">
        <f>"N/A"</f>
        <v>N/A</v>
      </c>
      <c r="CI1196" t="s">
        <v>135</v>
      </c>
      <c r="CJ1196">
        <v>60</v>
      </c>
      <c r="CK1196" t="s">
        <v>135</v>
      </c>
      <c r="CL1196" t="str">
        <f>""</f>
        <v/>
      </c>
      <c r="CM1196" t="str">
        <f>""</f>
        <v/>
      </c>
      <c r="CN1196" t="str">
        <f>""</f>
        <v/>
      </c>
      <c r="CO1196" t="str">
        <f>"See Addendum**"</f>
        <v>See Addendum**</v>
      </c>
      <c r="CP1196" t="str">
        <f>"15-1132.00"</f>
        <v>15-1132.00</v>
      </c>
      <c r="CQ1196" t="s">
        <v>198</v>
      </c>
      <c r="CR1196" t="s">
        <v>1133</v>
      </c>
      <c r="CS1196" t="s">
        <v>131</v>
      </c>
      <c r="CU1196" t="s">
        <v>2335</v>
      </c>
      <c r="CV1196" t="s">
        <v>15929</v>
      </c>
      <c r="CW1196" t="s">
        <v>197</v>
      </c>
      <c r="CX1196" t="s">
        <v>195</v>
      </c>
      <c r="CZ1196" s="3" t="str">
        <f>"33607"</f>
        <v>33607</v>
      </c>
      <c r="DA1196" t="s">
        <v>131</v>
      </c>
      <c r="DB1196" t="str">
        <f>""</f>
        <v/>
      </c>
      <c r="DF1196" t="str">
        <f>""</f>
        <v/>
      </c>
    </row>
    <row r="1197" spans="1:110" ht="15" customHeight="1" x14ac:dyDescent="0.35">
      <c r="A1197" t="s">
        <v>18492</v>
      </c>
      <c r="B1197" t="s">
        <v>138</v>
      </c>
      <c r="C1197" s="1">
        <v>44319</v>
      </c>
      <c r="G1197" s="1">
        <v>44319</v>
      </c>
      <c r="H1197" t="s">
        <v>125</v>
      </c>
      <c r="I1197" t="s">
        <v>1215</v>
      </c>
      <c r="J1197" t="s">
        <v>5680</v>
      </c>
      <c r="L1197" t="s">
        <v>907</v>
      </c>
      <c r="M1197" t="s">
        <v>13379</v>
      </c>
      <c r="O1197" t="s">
        <v>310</v>
      </c>
      <c r="P1197" t="s">
        <v>311</v>
      </c>
      <c r="Q1197" s="3">
        <v>19139</v>
      </c>
      <c r="R1197" t="s">
        <v>128</v>
      </c>
      <c r="T1197" s="4">
        <v>12158851336</v>
      </c>
      <c r="V1197" t="s">
        <v>13380</v>
      </c>
      <c r="W1197" t="s">
        <v>6128</v>
      </c>
      <c r="Y1197" t="s">
        <v>6129</v>
      </c>
      <c r="Z1197" t="s">
        <v>554</v>
      </c>
      <c r="AA1197" t="s">
        <v>670</v>
      </c>
      <c r="AB1197" t="s">
        <v>511</v>
      </c>
      <c r="AC1197" s="3" t="str">
        <f>"48084"</f>
        <v>48084</v>
      </c>
      <c r="AD1197" t="s">
        <v>128</v>
      </c>
      <c r="AF1197" s="4">
        <v>12487127975</v>
      </c>
      <c r="AH1197" t="str">
        <f>"561320"</f>
        <v>561320</v>
      </c>
      <c r="AI1197" t="s">
        <v>130</v>
      </c>
      <c r="AJ1197" t="s">
        <v>3797</v>
      </c>
      <c r="AK1197" t="s">
        <v>2267</v>
      </c>
      <c r="AL1197" t="s">
        <v>415</v>
      </c>
      <c r="AM1197" t="s">
        <v>3798</v>
      </c>
      <c r="AN1197" t="s">
        <v>3799</v>
      </c>
      <c r="AO1197" t="s">
        <v>742</v>
      </c>
      <c r="AP1197" t="s">
        <v>306</v>
      </c>
      <c r="AQ1197" s="5">
        <v>23219</v>
      </c>
      <c r="AR1197" t="s">
        <v>128</v>
      </c>
      <c r="AT1197" s="4">
        <v>18047753825</v>
      </c>
      <c r="AV1197" t="s">
        <v>3800</v>
      </c>
      <c r="AW1197" t="s">
        <v>3801</v>
      </c>
      <c r="AX1197" t="s">
        <v>131</v>
      </c>
      <c r="AY1197" t="s">
        <v>131</v>
      </c>
      <c r="AZ1197" t="s">
        <v>131</v>
      </c>
      <c r="BA1197" t="s">
        <v>131</v>
      </c>
      <c r="BB1197" t="s">
        <v>131</v>
      </c>
      <c r="BC1197" t="s">
        <v>131</v>
      </c>
      <c r="BD1197" t="s">
        <v>131</v>
      </c>
      <c r="BE1197" t="s">
        <v>132</v>
      </c>
      <c r="BH1197" t="s">
        <v>4692</v>
      </c>
      <c r="BI1197" t="s">
        <v>131</v>
      </c>
      <c r="BL1197" t="s">
        <v>658</v>
      </c>
      <c r="BM1197" t="s">
        <v>12960</v>
      </c>
      <c r="BN1197" t="s">
        <v>13383</v>
      </c>
      <c r="BO1197" t="s">
        <v>131</v>
      </c>
      <c r="BP1197" t="s">
        <v>134</v>
      </c>
      <c r="BQ1197" t="s">
        <v>131</v>
      </c>
      <c r="BS1197" t="str">
        <f t="shared" si="86"/>
        <v>N/A</v>
      </c>
      <c r="BT1197" t="s">
        <v>135</v>
      </c>
      <c r="BU1197">
        <v>1</v>
      </c>
      <c r="BV1197" t="str">
        <f>"Any related occupation"</f>
        <v>Any related occupation</v>
      </c>
      <c r="BW1197" t="s">
        <v>135</v>
      </c>
      <c r="BX1197" t="str">
        <f>"Valid Pennsylvania Pharmacy License"</f>
        <v>Valid Pennsylvania Pharmacy License</v>
      </c>
      <c r="BY1197" t="str">
        <f>""</f>
        <v/>
      </c>
      <c r="BZ1197" t="str">
        <f>""</f>
        <v/>
      </c>
      <c r="CA1197" t="str">
        <f>"1 month of experience with: Blister-packing medication; Pharmacy Management software. Experience can be gained during degree program."</f>
        <v>1 month of experience with: Blister-packing medication; Pharmacy Management software. Experience can be gained during degree program.</v>
      </c>
      <c r="CB1197" t="s">
        <v>131</v>
      </c>
      <c r="CF1197" t="s">
        <v>131</v>
      </c>
      <c r="CH1197" t="str">
        <f>""</f>
        <v/>
      </c>
      <c r="CI1197" t="s">
        <v>131</v>
      </c>
      <c r="CK1197" t="s">
        <v>131</v>
      </c>
      <c r="CL1197" t="str">
        <f>""</f>
        <v/>
      </c>
      <c r="CM1197" t="str">
        <f>""</f>
        <v/>
      </c>
      <c r="CN1197" t="str">
        <f>""</f>
        <v/>
      </c>
      <c r="CO1197" t="str">
        <f>""</f>
        <v/>
      </c>
      <c r="CP1197" t="str">
        <f>"29-1051.00"</f>
        <v>29-1051.00</v>
      </c>
      <c r="CQ1197" t="s">
        <v>3811</v>
      </c>
      <c r="CR1197" t="s">
        <v>13384</v>
      </c>
      <c r="CS1197" t="s">
        <v>131</v>
      </c>
      <c r="CU1197" t="s">
        <v>13382</v>
      </c>
      <c r="CW1197" t="s">
        <v>310</v>
      </c>
      <c r="CX1197" t="s">
        <v>312</v>
      </c>
      <c r="CZ1197" s="3" t="str">
        <f>"19139"</f>
        <v>19139</v>
      </c>
      <c r="DA1197" t="s">
        <v>131</v>
      </c>
      <c r="DB1197" t="str">
        <f>""</f>
        <v/>
      </c>
      <c r="DF1197" t="str">
        <f>""</f>
        <v/>
      </c>
    </row>
    <row r="1198" spans="1:110" ht="15" customHeight="1" x14ac:dyDescent="0.35">
      <c r="A1198" t="s">
        <v>14275</v>
      </c>
      <c r="B1198" t="s">
        <v>138</v>
      </c>
      <c r="C1198" s="1">
        <v>44319</v>
      </c>
      <c r="G1198" s="1">
        <v>44328</v>
      </c>
      <c r="H1198" t="s">
        <v>125</v>
      </c>
      <c r="I1198" t="s">
        <v>12175</v>
      </c>
      <c r="J1198" t="s">
        <v>1222</v>
      </c>
      <c r="K1198" t="s">
        <v>4806</v>
      </c>
      <c r="L1198" t="s">
        <v>130</v>
      </c>
      <c r="M1198" t="s">
        <v>11477</v>
      </c>
      <c r="N1198" t="s">
        <v>611</v>
      </c>
      <c r="O1198" t="s">
        <v>494</v>
      </c>
      <c r="P1198" t="s">
        <v>127</v>
      </c>
      <c r="Q1198" s="3">
        <v>10001</v>
      </c>
      <c r="R1198" t="s">
        <v>128</v>
      </c>
      <c r="T1198" s="4">
        <v>12128403878</v>
      </c>
      <c r="V1198" t="s">
        <v>12176</v>
      </c>
      <c r="W1198" t="s">
        <v>14276</v>
      </c>
      <c r="Y1198" t="s">
        <v>14277</v>
      </c>
      <c r="AA1198" t="s">
        <v>5274</v>
      </c>
      <c r="AB1198" t="s">
        <v>129</v>
      </c>
      <c r="AC1198" s="3" t="str">
        <f>"10467"</f>
        <v>10467</v>
      </c>
      <c r="AD1198" t="s">
        <v>128</v>
      </c>
      <c r="AF1198" s="4">
        <v>17189208440</v>
      </c>
      <c r="AH1198" t="str">
        <f>"622110"</f>
        <v>622110</v>
      </c>
      <c r="AI1198" t="s">
        <v>130</v>
      </c>
      <c r="AJ1198" t="s">
        <v>12175</v>
      </c>
      <c r="AK1198" t="s">
        <v>1222</v>
      </c>
      <c r="AL1198" t="s">
        <v>4806</v>
      </c>
      <c r="AM1198" t="s">
        <v>11477</v>
      </c>
      <c r="AN1198" t="s">
        <v>611</v>
      </c>
      <c r="AO1198" t="s">
        <v>494</v>
      </c>
      <c r="AP1198" t="s">
        <v>129</v>
      </c>
      <c r="AQ1198" s="5">
        <v>10010</v>
      </c>
      <c r="AR1198" t="s">
        <v>128</v>
      </c>
      <c r="AT1198" s="4">
        <v>12128403878</v>
      </c>
      <c r="AV1198" t="s">
        <v>12176</v>
      </c>
      <c r="AW1198" t="s">
        <v>14278</v>
      </c>
      <c r="AX1198" t="s">
        <v>131</v>
      </c>
      <c r="AY1198" t="s">
        <v>131</v>
      </c>
      <c r="AZ1198" t="s">
        <v>131</v>
      </c>
      <c r="BA1198" t="s">
        <v>131</v>
      </c>
      <c r="BB1198" t="s">
        <v>131</v>
      </c>
      <c r="BC1198" t="s">
        <v>131</v>
      </c>
      <c r="BD1198" t="s">
        <v>131</v>
      </c>
      <c r="BE1198" t="s">
        <v>132</v>
      </c>
      <c r="BH1198" t="s">
        <v>12177</v>
      </c>
      <c r="BI1198" t="s">
        <v>131</v>
      </c>
      <c r="BL1198" t="s">
        <v>658</v>
      </c>
      <c r="BM1198" t="s">
        <v>3098</v>
      </c>
      <c r="BN1198" t="s">
        <v>659</v>
      </c>
      <c r="BO1198" t="s">
        <v>131</v>
      </c>
      <c r="BP1198" t="s">
        <v>134</v>
      </c>
      <c r="BQ1198" t="s">
        <v>135</v>
      </c>
      <c r="BR1198">
        <v>36</v>
      </c>
      <c r="BS1198" t="str">
        <f>"Internal Medicine Residency Training"</f>
        <v>Internal Medicine Residency Training</v>
      </c>
      <c r="BT1198" t="s">
        <v>131</v>
      </c>
      <c r="BV1198" t="str">
        <f>""</f>
        <v/>
      </c>
      <c r="BW1198" t="s">
        <v>131</v>
      </c>
      <c r="BX1198" t="str">
        <f>""</f>
        <v/>
      </c>
      <c r="BY1198" t="str">
        <f>""</f>
        <v/>
      </c>
      <c r="BZ1198" t="str">
        <f>""</f>
        <v/>
      </c>
      <c r="CA1198" t="str">
        <f>""</f>
        <v/>
      </c>
      <c r="CB1198" t="s">
        <v>131</v>
      </c>
      <c r="CF1198" t="s">
        <v>131</v>
      </c>
      <c r="CH1198" t="str">
        <f>""</f>
        <v/>
      </c>
      <c r="CI1198" t="s">
        <v>131</v>
      </c>
      <c r="CK1198" t="s">
        <v>131</v>
      </c>
      <c r="CL1198" t="str">
        <f>""</f>
        <v/>
      </c>
      <c r="CM1198" t="str">
        <f>""</f>
        <v/>
      </c>
      <c r="CN1198" t="str">
        <f>""</f>
        <v/>
      </c>
      <c r="CO1198" t="str">
        <f>""</f>
        <v/>
      </c>
      <c r="CP1198" t="str">
        <f>"29-1069.03"</f>
        <v>29-1069.03</v>
      </c>
      <c r="CQ1198" t="s">
        <v>660</v>
      </c>
      <c r="CR1198" t="s">
        <v>14279</v>
      </c>
      <c r="CS1198" t="s">
        <v>135</v>
      </c>
      <c r="CT1198" t="s">
        <v>14280</v>
      </c>
      <c r="CU1198" t="s">
        <v>12178</v>
      </c>
      <c r="CW1198" t="s">
        <v>5274</v>
      </c>
      <c r="CX1198" t="s">
        <v>129</v>
      </c>
      <c r="CZ1198" s="3" t="str">
        <f>"10466"</f>
        <v>10466</v>
      </c>
      <c r="DA1198" t="s">
        <v>131</v>
      </c>
      <c r="DB1198" t="str">
        <f>""</f>
        <v/>
      </c>
      <c r="DF1198" t="str">
        <f>""</f>
        <v/>
      </c>
    </row>
    <row r="1199" spans="1:110" ht="15" customHeight="1" x14ac:dyDescent="0.35">
      <c r="A1199" t="s">
        <v>18998</v>
      </c>
      <c r="B1199" t="s">
        <v>138</v>
      </c>
      <c r="C1199" s="1">
        <v>44319</v>
      </c>
      <c r="G1199" s="1">
        <v>44319</v>
      </c>
      <c r="H1199" t="s">
        <v>125</v>
      </c>
      <c r="I1199" t="s">
        <v>4633</v>
      </c>
      <c r="J1199" t="s">
        <v>560</v>
      </c>
      <c r="L1199" t="s">
        <v>14802</v>
      </c>
      <c r="M1199" t="s">
        <v>18999</v>
      </c>
      <c r="O1199" t="s">
        <v>6236</v>
      </c>
      <c r="P1199" t="s">
        <v>507</v>
      </c>
      <c r="Q1199" s="3">
        <v>48309</v>
      </c>
      <c r="R1199" t="s">
        <v>128</v>
      </c>
      <c r="T1199" s="4">
        <v>12482673972</v>
      </c>
      <c r="V1199" t="s">
        <v>14804</v>
      </c>
      <c r="W1199" t="s">
        <v>14805</v>
      </c>
      <c r="Y1199" t="s">
        <v>14806</v>
      </c>
      <c r="AA1199" t="s">
        <v>14807</v>
      </c>
      <c r="AB1199" t="s">
        <v>511</v>
      </c>
      <c r="AC1199" s="3" t="str">
        <f>"49252"</f>
        <v>49252</v>
      </c>
      <c r="AD1199" t="s">
        <v>128</v>
      </c>
      <c r="AF1199" s="4">
        <v>15175426105</v>
      </c>
      <c r="AH1199" t="str">
        <f>"3363"</f>
        <v>3363</v>
      </c>
      <c r="AI1199" t="s">
        <v>130</v>
      </c>
      <c r="AJ1199" t="s">
        <v>7307</v>
      </c>
      <c r="AK1199" t="s">
        <v>2428</v>
      </c>
      <c r="AL1199" t="s">
        <v>332</v>
      </c>
      <c r="AM1199" t="s">
        <v>10063</v>
      </c>
      <c r="AO1199" t="s">
        <v>4423</v>
      </c>
      <c r="AP1199" t="s">
        <v>511</v>
      </c>
      <c r="AQ1199" s="5">
        <v>49504</v>
      </c>
      <c r="AR1199" t="s">
        <v>128</v>
      </c>
      <c r="AT1199" s="4">
        <v>16163366441</v>
      </c>
      <c r="AV1199" t="s">
        <v>10064</v>
      </c>
      <c r="AW1199" t="s">
        <v>7235</v>
      </c>
      <c r="AX1199" t="s">
        <v>131</v>
      </c>
      <c r="AY1199" t="s">
        <v>131</v>
      </c>
      <c r="AZ1199" t="s">
        <v>131</v>
      </c>
      <c r="BA1199" t="s">
        <v>131</v>
      </c>
      <c r="BB1199" t="s">
        <v>131</v>
      </c>
      <c r="BC1199" t="s">
        <v>131</v>
      </c>
      <c r="BD1199" t="s">
        <v>131</v>
      </c>
      <c r="BE1199" t="s">
        <v>132</v>
      </c>
      <c r="BH1199" t="s">
        <v>14117</v>
      </c>
      <c r="BI1199" t="s">
        <v>131</v>
      </c>
      <c r="BL1199" t="s">
        <v>188</v>
      </c>
      <c r="BN1199" t="s">
        <v>14808</v>
      </c>
      <c r="BO1199" t="s">
        <v>131</v>
      </c>
      <c r="BP1199" t="s">
        <v>134</v>
      </c>
      <c r="BQ1199" t="s">
        <v>131</v>
      </c>
      <c r="BS1199" t="str">
        <f t="shared" ref="BS1199:BS1223" si="87">"N/A"</f>
        <v>N/A</v>
      </c>
      <c r="BT1199" t="s">
        <v>135</v>
      </c>
      <c r="BU1199">
        <v>3</v>
      </c>
      <c r="BV1199" t="str">
        <f>"related product development, design and engineering experience with components for the automotive industry "</f>
        <v xml:space="preserve">related product development, design and engineering experience with components for the automotive industry </v>
      </c>
      <c r="BW1199" t="s">
        <v>131</v>
      </c>
      <c r="BX1199" t="str">
        <f>""</f>
        <v/>
      </c>
      <c r="BY1199" t="str">
        <f>""</f>
        <v/>
      </c>
      <c r="BZ1199" t="str">
        <f>""</f>
        <v/>
      </c>
      <c r="CA1199" t="str">
        <f>""</f>
        <v/>
      </c>
      <c r="CB1199" t="s">
        <v>131</v>
      </c>
      <c r="CF1199" t="s">
        <v>131</v>
      </c>
      <c r="CH1199" t="str">
        <f>""</f>
        <v/>
      </c>
      <c r="CI1199" t="s">
        <v>131</v>
      </c>
      <c r="CK1199" t="s">
        <v>131</v>
      </c>
      <c r="CL1199" t="str">
        <f>""</f>
        <v/>
      </c>
      <c r="CM1199" t="str">
        <f>""</f>
        <v/>
      </c>
      <c r="CN1199" t="str">
        <f>""</f>
        <v/>
      </c>
      <c r="CO1199" t="str">
        <f>""</f>
        <v/>
      </c>
      <c r="CP1199" t="str">
        <f>"17-2141.00"</f>
        <v>17-2141.00</v>
      </c>
      <c r="CQ1199" t="s">
        <v>518</v>
      </c>
      <c r="CS1199" t="s">
        <v>131</v>
      </c>
      <c r="CU1199" t="s">
        <v>14803</v>
      </c>
      <c r="CW1199" t="s">
        <v>6236</v>
      </c>
      <c r="CX1199" t="s">
        <v>511</v>
      </c>
      <c r="CZ1199" s="3" t="str">
        <f>"48309"</f>
        <v>48309</v>
      </c>
      <c r="DA1199" t="s">
        <v>131</v>
      </c>
      <c r="DB1199" t="str">
        <f>""</f>
        <v/>
      </c>
      <c r="DF1199" t="str">
        <f>""</f>
        <v/>
      </c>
    </row>
    <row r="1200" spans="1:110" ht="15" customHeight="1" x14ac:dyDescent="0.35">
      <c r="A1200" t="s">
        <v>20044</v>
      </c>
      <c r="B1200" t="s">
        <v>138</v>
      </c>
      <c r="C1200" s="1">
        <v>44319</v>
      </c>
      <c r="G1200" s="1">
        <v>44319</v>
      </c>
      <c r="H1200" t="s">
        <v>125</v>
      </c>
      <c r="I1200" t="s">
        <v>3795</v>
      </c>
      <c r="J1200" t="s">
        <v>20045</v>
      </c>
      <c r="L1200" t="s">
        <v>20046</v>
      </c>
      <c r="M1200" t="s">
        <v>2000</v>
      </c>
      <c r="N1200" t="s">
        <v>565</v>
      </c>
      <c r="O1200" t="s">
        <v>220</v>
      </c>
      <c r="P1200" t="s">
        <v>178</v>
      </c>
      <c r="Q1200" s="3">
        <v>94104</v>
      </c>
      <c r="R1200" t="s">
        <v>128</v>
      </c>
      <c r="T1200" s="4">
        <v>14157717500</v>
      </c>
      <c r="V1200" t="s">
        <v>5325</v>
      </c>
      <c r="W1200" t="s">
        <v>5442</v>
      </c>
      <c r="Y1200" t="s">
        <v>5323</v>
      </c>
      <c r="AA1200" t="s">
        <v>1506</v>
      </c>
      <c r="AB1200" t="s">
        <v>172</v>
      </c>
      <c r="AC1200" s="3" t="str">
        <f>"94085"</f>
        <v>94085</v>
      </c>
      <c r="AD1200" t="s">
        <v>128</v>
      </c>
      <c r="AF1200" s="4">
        <v>14082121842</v>
      </c>
      <c r="AH1200" t="str">
        <f>"54171"</f>
        <v>54171</v>
      </c>
      <c r="AI1200" t="s">
        <v>130</v>
      </c>
      <c r="AJ1200" t="s">
        <v>3795</v>
      </c>
      <c r="AK1200" t="s">
        <v>3796</v>
      </c>
      <c r="AM1200" t="s">
        <v>2000</v>
      </c>
      <c r="AN1200" t="s">
        <v>565</v>
      </c>
      <c r="AO1200" t="s">
        <v>220</v>
      </c>
      <c r="AP1200" t="s">
        <v>172</v>
      </c>
      <c r="AQ1200" s="5">
        <v>94104</v>
      </c>
      <c r="AR1200" t="s">
        <v>128</v>
      </c>
      <c r="AT1200" s="4">
        <v>14157717511</v>
      </c>
      <c r="AV1200" t="s">
        <v>5325</v>
      </c>
      <c r="AW1200" t="s">
        <v>5443</v>
      </c>
      <c r="AX1200" t="s">
        <v>131</v>
      </c>
      <c r="AY1200" t="s">
        <v>131</v>
      </c>
      <c r="AZ1200" t="s">
        <v>131</v>
      </c>
      <c r="BA1200" t="s">
        <v>131</v>
      </c>
      <c r="BB1200" t="s">
        <v>131</v>
      </c>
      <c r="BC1200" t="s">
        <v>131</v>
      </c>
      <c r="BD1200" t="s">
        <v>131</v>
      </c>
      <c r="BE1200" t="s">
        <v>132</v>
      </c>
      <c r="BH1200" t="s">
        <v>8764</v>
      </c>
      <c r="BI1200" t="s">
        <v>131</v>
      </c>
      <c r="BL1200" t="s">
        <v>133</v>
      </c>
      <c r="BN1200" t="s">
        <v>20047</v>
      </c>
      <c r="BO1200" t="s">
        <v>131</v>
      </c>
      <c r="BP1200" t="s">
        <v>134</v>
      </c>
      <c r="BQ1200" t="s">
        <v>131</v>
      </c>
      <c r="BS1200" t="str">
        <f t="shared" si="87"/>
        <v>N/A</v>
      </c>
      <c r="BT1200" t="s">
        <v>135</v>
      </c>
      <c r="BU1200">
        <v>84</v>
      </c>
      <c r="BV1200" t="str">
        <f>"In the job offered, or in a related occupation. Employer will accept a three- or four-year degree. Any suitable combination of education, training, or experience is acceptable. "</f>
        <v xml:space="preserve">In the job offered, or in a related occupation. Employer will accept a three- or four-year degree. Any suitable combination of education, training, or experience is acceptable. </v>
      </c>
      <c r="BW1200" t="s">
        <v>135</v>
      </c>
      <c r="BX1200" t="str">
        <f>""</f>
        <v/>
      </c>
      <c r="BY1200" t="str">
        <f>""</f>
        <v/>
      </c>
      <c r="BZ1200" t="str">
        <f>""</f>
        <v/>
      </c>
      <c r="CA1200" t="s">
        <v>8765</v>
      </c>
      <c r="CB1200" t="s">
        <v>131</v>
      </c>
      <c r="CF1200" t="s">
        <v>131</v>
      </c>
      <c r="CH1200" t="str">
        <f>""</f>
        <v/>
      </c>
      <c r="CI1200" t="s">
        <v>131</v>
      </c>
      <c r="CK1200" t="s">
        <v>131</v>
      </c>
      <c r="CL1200" t="str">
        <f>""</f>
        <v/>
      </c>
      <c r="CM1200" t="str">
        <f>""</f>
        <v/>
      </c>
      <c r="CN1200" t="str">
        <f>""</f>
        <v/>
      </c>
      <c r="CO1200" t="str">
        <f>""</f>
        <v/>
      </c>
      <c r="CP1200" t="str">
        <f>"17-2141.00"</f>
        <v>17-2141.00</v>
      </c>
      <c r="CQ1200" t="s">
        <v>518</v>
      </c>
      <c r="CS1200" t="s">
        <v>131</v>
      </c>
      <c r="CU1200" t="s">
        <v>8766</v>
      </c>
      <c r="CW1200" t="s">
        <v>4722</v>
      </c>
      <c r="CX1200" t="s">
        <v>172</v>
      </c>
      <c r="CZ1200" s="3" t="str">
        <f>"90810"</f>
        <v>90810</v>
      </c>
      <c r="DA1200" t="s">
        <v>131</v>
      </c>
      <c r="DB1200" t="str">
        <f>""</f>
        <v/>
      </c>
      <c r="DF1200" t="str">
        <f>""</f>
        <v/>
      </c>
    </row>
    <row r="1201" spans="1:110" ht="15" customHeight="1" x14ac:dyDescent="0.35">
      <c r="A1201" t="s">
        <v>11564</v>
      </c>
      <c r="B1201" t="s">
        <v>138</v>
      </c>
      <c r="C1201" s="1">
        <v>44319</v>
      </c>
      <c r="G1201" s="1">
        <v>44319</v>
      </c>
      <c r="H1201" t="s">
        <v>125</v>
      </c>
      <c r="I1201" t="s">
        <v>2949</v>
      </c>
      <c r="J1201" t="s">
        <v>2950</v>
      </c>
      <c r="L1201" t="s">
        <v>3782</v>
      </c>
      <c r="M1201" t="s">
        <v>7572</v>
      </c>
      <c r="O1201" t="s">
        <v>2515</v>
      </c>
      <c r="P1201" t="s">
        <v>178</v>
      </c>
      <c r="Q1201" s="3">
        <v>92660</v>
      </c>
      <c r="R1201" t="s">
        <v>128</v>
      </c>
      <c r="T1201" s="4">
        <v>19497570200</v>
      </c>
      <c r="V1201" t="s">
        <v>2953</v>
      </c>
      <c r="W1201" t="s">
        <v>11565</v>
      </c>
      <c r="X1201" t="s">
        <v>11566</v>
      </c>
      <c r="Y1201" t="s">
        <v>11567</v>
      </c>
      <c r="AA1201" t="s">
        <v>8336</v>
      </c>
      <c r="AB1201" t="s">
        <v>172</v>
      </c>
      <c r="AC1201" s="3" t="str">
        <f>"92647"</f>
        <v>92647</v>
      </c>
      <c r="AD1201" t="s">
        <v>128</v>
      </c>
      <c r="AF1201" s="4">
        <v>17148485777</v>
      </c>
      <c r="AH1201" t="str">
        <f>"44612"</f>
        <v>44612</v>
      </c>
      <c r="AI1201" t="s">
        <v>130</v>
      </c>
      <c r="AJ1201" t="s">
        <v>2949</v>
      </c>
      <c r="AK1201" t="s">
        <v>2950</v>
      </c>
      <c r="AM1201" t="s">
        <v>7572</v>
      </c>
      <c r="AO1201" t="s">
        <v>2515</v>
      </c>
      <c r="AP1201" t="s">
        <v>172</v>
      </c>
      <c r="AQ1201" s="5">
        <v>92660</v>
      </c>
      <c r="AR1201" t="s">
        <v>128</v>
      </c>
      <c r="AT1201" s="4">
        <v>19497570200</v>
      </c>
      <c r="AV1201" t="s">
        <v>2953</v>
      </c>
      <c r="AW1201" t="s">
        <v>2954</v>
      </c>
      <c r="AX1201" t="s">
        <v>131</v>
      </c>
      <c r="AY1201" t="s">
        <v>131</v>
      </c>
      <c r="AZ1201" t="s">
        <v>131</v>
      </c>
      <c r="BA1201" t="s">
        <v>131</v>
      </c>
      <c r="BB1201" t="s">
        <v>131</v>
      </c>
      <c r="BC1201" t="s">
        <v>131</v>
      </c>
      <c r="BD1201" t="s">
        <v>131</v>
      </c>
      <c r="BE1201" t="s">
        <v>132</v>
      </c>
      <c r="BH1201" t="s">
        <v>11568</v>
      </c>
      <c r="BI1201" t="s">
        <v>131</v>
      </c>
      <c r="BL1201" t="s">
        <v>133</v>
      </c>
      <c r="BN1201" t="s">
        <v>11569</v>
      </c>
      <c r="BO1201" t="s">
        <v>131</v>
      </c>
      <c r="BP1201" t="s">
        <v>134</v>
      </c>
      <c r="BQ1201" t="s">
        <v>131</v>
      </c>
      <c r="BS1201" t="str">
        <f t="shared" si="87"/>
        <v>N/A</v>
      </c>
      <c r="BT1201" t="s">
        <v>135</v>
      </c>
      <c r="BU1201">
        <v>12</v>
      </c>
      <c r="BV1201" t="str">
        <f>"International Account Executive, Account Executive, or related."</f>
        <v>International Account Executive, Account Executive, or related.</v>
      </c>
      <c r="BW1201" t="s">
        <v>135</v>
      </c>
      <c r="BX1201" t="str">
        <f>""</f>
        <v/>
      </c>
      <c r="BY1201" t="str">
        <f>"Fluency in Japanese language"</f>
        <v>Fluency in Japanese language</v>
      </c>
      <c r="BZ1201" t="str">
        <f>""</f>
        <v/>
      </c>
      <c r="CA1201" t="str">
        <f>""</f>
        <v/>
      </c>
      <c r="CB1201" t="s">
        <v>131</v>
      </c>
      <c r="CF1201" t="s">
        <v>131</v>
      </c>
      <c r="CH1201" t="str">
        <f>""</f>
        <v/>
      </c>
      <c r="CI1201" t="s">
        <v>131</v>
      </c>
      <c r="CK1201" t="s">
        <v>131</v>
      </c>
      <c r="CL1201" t="str">
        <f>""</f>
        <v/>
      </c>
      <c r="CM1201" t="str">
        <f>""</f>
        <v/>
      </c>
      <c r="CN1201" t="str">
        <f>""</f>
        <v/>
      </c>
      <c r="CO1201" t="str">
        <f>""</f>
        <v/>
      </c>
      <c r="CP1201" t="str">
        <f>"41-4011.00"</f>
        <v>41-4011.00</v>
      </c>
      <c r="CQ1201" t="s">
        <v>2370</v>
      </c>
      <c r="CS1201" t="s">
        <v>131</v>
      </c>
      <c r="CU1201" t="s">
        <v>11567</v>
      </c>
      <c r="CW1201" t="s">
        <v>8336</v>
      </c>
      <c r="CX1201" t="s">
        <v>172</v>
      </c>
      <c r="CZ1201" s="3" t="str">
        <f>"92647"</f>
        <v>92647</v>
      </c>
      <c r="DA1201" t="s">
        <v>131</v>
      </c>
      <c r="DB1201" t="str">
        <f>""</f>
        <v/>
      </c>
      <c r="DF1201" t="str">
        <f>""</f>
        <v/>
      </c>
    </row>
    <row r="1202" spans="1:110" ht="15" customHeight="1" x14ac:dyDescent="0.35">
      <c r="A1202" t="s">
        <v>18719</v>
      </c>
      <c r="B1202" t="s">
        <v>138</v>
      </c>
      <c r="C1202" s="1">
        <v>44319</v>
      </c>
      <c r="G1202" s="1">
        <v>44320</v>
      </c>
      <c r="H1202" t="s">
        <v>125</v>
      </c>
      <c r="I1202" t="s">
        <v>18720</v>
      </c>
      <c r="J1202" t="s">
        <v>16388</v>
      </c>
      <c r="L1202" t="s">
        <v>1105</v>
      </c>
      <c r="M1202" t="s">
        <v>18721</v>
      </c>
      <c r="O1202" t="s">
        <v>16517</v>
      </c>
      <c r="P1202" t="s">
        <v>178</v>
      </c>
      <c r="Q1202" s="3">
        <v>91740</v>
      </c>
      <c r="R1202" t="s">
        <v>128</v>
      </c>
      <c r="T1202" s="4">
        <v>16269635955</v>
      </c>
      <c r="V1202" t="s">
        <v>18722</v>
      </c>
      <c r="W1202" t="s">
        <v>18723</v>
      </c>
      <c r="X1202" t="s">
        <v>18724</v>
      </c>
      <c r="Y1202" t="s">
        <v>18725</v>
      </c>
      <c r="AA1202" t="s">
        <v>16517</v>
      </c>
      <c r="AB1202" t="s">
        <v>172</v>
      </c>
      <c r="AC1202" s="3" t="str">
        <f>"91740"</f>
        <v>91740</v>
      </c>
      <c r="AD1202" t="s">
        <v>128</v>
      </c>
      <c r="AF1202" s="4">
        <v>16269635955</v>
      </c>
      <c r="AH1202" t="str">
        <f>"623110"</f>
        <v>623110</v>
      </c>
      <c r="AI1202" t="s">
        <v>167</v>
      </c>
      <c r="AX1202" t="s">
        <v>131</v>
      </c>
      <c r="AY1202" t="s">
        <v>131</v>
      </c>
      <c r="AZ1202" t="s">
        <v>131</v>
      </c>
      <c r="BA1202" t="s">
        <v>131</v>
      </c>
      <c r="BB1202" t="s">
        <v>131</v>
      </c>
      <c r="BC1202" t="s">
        <v>131</v>
      </c>
      <c r="BD1202" t="s">
        <v>131</v>
      </c>
      <c r="BE1202" t="s">
        <v>132</v>
      </c>
      <c r="BH1202" t="s">
        <v>15353</v>
      </c>
      <c r="BI1202" t="s">
        <v>131</v>
      </c>
      <c r="BL1202" t="s">
        <v>401</v>
      </c>
      <c r="BO1202" t="s">
        <v>131</v>
      </c>
      <c r="BP1202" t="s">
        <v>134</v>
      </c>
      <c r="BQ1202" t="s">
        <v>131</v>
      </c>
      <c r="BS1202" t="str">
        <f t="shared" si="87"/>
        <v>N/A</v>
      </c>
      <c r="BT1202" t="s">
        <v>135</v>
      </c>
      <c r="BU1202">
        <v>12</v>
      </c>
      <c r="BV1202" t="str">
        <f>"Must have at least 12 months experience as Caregiver"</f>
        <v>Must have at least 12 months experience as Caregiver</v>
      </c>
      <c r="BW1202" t="s">
        <v>131</v>
      </c>
      <c r="BX1202" t="str">
        <f>""</f>
        <v/>
      </c>
      <c r="BY1202" t="str">
        <f>""</f>
        <v/>
      </c>
      <c r="BZ1202" t="str">
        <f>""</f>
        <v/>
      </c>
      <c r="CA1202" t="str">
        <f>""</f>
        <v/>
      </c>
      <c r="CB1202" t="s">
        <v>131</v>
      </c>
      <c r="CF1202" t="s">
        <v>131</v>
      </c>
      <c r="CH1202" t="str">
        <f>""</f>
        <v/>
      </c>
      <c r="CI1202" t="s">
        <v>131</v>
      </c>
      <c r="CK1202" t="s">
        <v>131</v>
      </c>
      <c r="CL1202" t="str">
        <f>""</f>
        <v/>
      </c>
      <c r="CM1202" t="str">
        <f>""</f>
        <v/>
      </c>
      <c r="CN1202" t="str">
        <f>""</f>
        <v/>
      </c>
      <c r="CO1202" t="str">
        <f>""</f>
        <v/>
      </c>
      <c r="CP1202" t="str">
        <f>"31-1014.00"</f>
        <v>31-1014.00</v>
      </c>
      <c r="CQ1202" t="s">
        <v>4495</v>
      </c>
      <c r="CR1202" t="s">
        <v>1037</v>
      </c>
      <c r="CS1202" t="s">
        <v>131</v>
      </c>
      <c r="CU1202" t="s">
        <v>18725</v>
      </c>
      <c r="CW1202" t="s">
        <v>16517</v>
      </c>
      <c r="CX1202" t="s">
        <v>172</v>
      </c>
      <c r="CZ1202" s="3" t="str">
        <f>"91740"</f>
        <v>91740</v>
      </c>
      <c r="DA1202" t="s">
        <v>131</v>
      </c>
      <c r="DB1202" t="str">
        <f>""</f>
        <v/>
      </c>
      <c r="DF1202" t="str">
        <f>""</f>
        <v/>
      </c>
    </row>
    <row r="1203" spans="1:110" ht="15" customHeight="1" x14ac:dyDescent="0.35">
      <c r="A1203" t="s">
        <v>8763</v>
      </c>
      <c r="B1203" t="s">
        <v>138</v>
      </c>
      <c r="C1203" s="1">
        <v>44319</v>
      </c>
      <c r="G1203" s="1">
        <v>44322</v>
      </c>
      <c r="H1203" t="s">
        <v>125</v>
      </c>
      <c r="I1203" t="s">
        <v>5322</v>
      </c>
      <c r="J1203" t="s">
        <v>1060</v>
      </c>
      <c r="L1203" t="s">
        <v>5441</v>
      </c>
      <c r="M1203" t="s">
        <v>5323</v>
      </c>
      <c r="O1203" t="s">
        <v>1506</v>
      </c>
      <c r="P1203" t="s">
        <v>178</v>
      </c>
      <c r="Q1203" s="3">
        <v>94085</v>
      </c>
      <c r="R1203" t="s">
        <v>128</v>
      </c>
      <c r="T1203" s="4">
        <v>14089916200</v>
      </c>
      <c r="V1203" t="s">
        <v>5325</v>
      </c>
      <c r="W1203" t="s">
        <v>5442</v>
      </c>
      <c r="Y1203" t="s">
        <v>5323</v>
      </c>
      <c r="AA1203" t="s">
        <v>1506</v>
      </c>
      <c r="AB1203" t="s">
        <v>172</v>
      </c>
      <c r="AC1203" s="3" t="str">
        <f>"94085"</f>
        <v>94085</v>
      </c>
      <c r="AD1203" t="s">
        <v>128</v>
      </c>
      <c r="AF1203" s="4">
        <v>14082121842</v>
      </c>
      <c r="AH1203" t="str">
        <f>"54171"</f>
        <v>54171</v>
      </c>
      <c r="AI1203" t="s">
        <v>130</v>
      </c>
      <c r="AJ1203" t="s">
        <v>3795</v>
      </c>
      <c r="AK1203" t="s">
        <v>3796</v>
      </c>
      <c r="AM1203" t="s">
        <v>2000</v>
      </c>
      <c r="AN1203" t="s">
        <v>565</v>
      </c>
      <c r="AO1203" t="s">
        <v>220</v>
      </c>
      <c r="AP1203" t="s">
        <v>172</v>
      </c>
      <c r="AQ1203" s="5">
        <v>94104</v>
      </c>
      <c r="AR1203" t="s">
        <v>128</v>
      </c>
      <c r="AT1203" s="4">
        <v>14157717500</v>
      </c>
      <c r="AV1203" t="s">
        <v>5325</v>
      </c>
      <c r="AW1203" t="s">
        <v>5443</v>
      </c>
      <c r="AX1203" t="s">
        <v>131</v>
      </c>
      <c r="AY1203" t="s">
        <v>131</v>
      </c>
      <c r="AZ1203" t="s">
        <v>131</v>
      </c>
      <c r="BA1203" t="s">
        <v>131</v>
      </c>
      <c r="BB1203" t="s">
        <v>131</v>
      </c>
      <c r="BC1203" t="s">
        <v>131</v>
      </c>
      <c r="BD1203" t="s">
        <v>131</v>
      </c>
      <c r="BE1203" t="s">
        <v>132</v>
      </c>
      <c r="BH1203" t="s">
        <v>8764</v>
      </c>
      <c r="BI1203" t="s">
        <v>131</v>
      </c>
      <c r="BL1203" t="s">
        <v>133</v>
      </c>
      <c r="BN1203" t="s">
        <v>6764</v>
      </c>
      <c r="BO1203" t="s">
        <v>131</v>
      </c>
      <c r="BP1203" t="s">
        <v>134</v>
      </c>
      <c r="BQ1203" t="s">
        <v>131</v>
      </c>
      <c r="BS1203" t="str">
        <f t="shared" si="87"/>
        <v>N/A</v>
      </c>
      <c r="BT1203" t="s">
        <v>135</v>
      </c>
      <c r="BU1203">
        <v>84</v>
      </c>
      <c r="BV1203" t="str">
        <f>"In job offered, or in a related occupation. Employer will accept a three- or four-year degree. Any suitable combination of education, training, or experience is acceptable."</f>
        <v>In job offered, or in a related occupation. Employer will accept a three- or four-year degree. Any suitable combination of education, training, or experience is acceptable.</v>
      </c>
      <c r="BW1203" t="s">
        <v>135</v>
      </c>
      <c r="BX1203" t="str">
        <f>""</f>
        <v/>
      </c>
      <c r="BY1203" t="str">
        <f>""</f>
        <v/>
      </c>
      <c r="BZ1203" t="str">
        <f>""</f>
        <v/>
      </c>
      <c r="CA1203" t="s">
        <v>8765</v>
      </c>
      <c r="CB1203" t="s">
        <v>131</v>
      </c>
      <c r="CF1203" t="s">
        <v>131</v>
      </c>
      <c r="CH1203" t="str">
        <f>""</f>
        <v/>
      </c>
      <c r="CI1203" t="s">
        <v>131</v>
      </c>
      <c r="CK1203" t="s">
        <v>131</v>
      </c>
      <c r="CL1203" t="str">
        <f>""</f>
        <v/>
      </c>
      <c r="CM1203" t="str">
        <f>""</f>
        <v/>
      </c>
      <c r="CN1203" t="str">
        <f>""</f>
        <v/>
      </c>
      <c r="CO1203" t="str">
        <f>""</f>
        <v/>
      </c>
      <c r="CP1203" t="str">
        <f>"17-2141.00"</f>
        <v>17-2141.00</v>
      </c>
      <c r="CQ1203" t="s">
        <v>518</v>
      </c>
      <c r="CS1203" t="s">
        <v>131</v>
      </c>
      <c r="CU1203" t="s">
        <v>8766</v>
      </c>
      <c r="CW1203" t="s">
        <v>4722</v>
      </c>
      <c r="CX1203" t="s">
        <v>172</v>
      </c>
      <c r="CZ1203" s="3" t="str">
        <f>"90810"</f>
        <v>90810</v>
      </c>
      <c r="DA1203" t="s">
        <v>131</v>
      </c>
      <c r="DB1203" t="str">
        <f>""</f>
        <v/>
      </c>
      <c r="DF1203" t="str">
        <f>""</f>
        <v/>
      </c>
    </row>
    <row r="1204" spans="1:110" ht="15" customHeight="1" x14ac:dyDescent="0.35">
      <c r="A1204" t="s">
        <v>15270</v>
      </c>
      <c r="B1204" t="s">
        <v>138</v>
      </c>
      <c r="C1204" s="1">
        <v>44319</v>
      </c>
      <c r="G1204" s="1">
        <v>44321</v>
      </c>
      <c r="H1204" t="s">
        <v>125</v>
      </c>
      <c r="I1204" t="s">
        <v>13717</v>
      </c>
      <c r="J1204" t="s">
        <v>15271</v>
      </c>
      <c r="L1204" t="s">
        <v>13719</v>
      </c>
      <c r="M1204" t="s">
        <v>1438</v>
      </c>
      <c r="O1204" t="s">
        <v>521</v>
      </c>
      <c r="P1204" t="s">
        <v>178</v>
      </c>
      <c r="Q1204" s="3">
        <v>94304</v>
      </c>
      <c r="R1204" t="s">
        <v>128</v>
      </c>
      <c r="T1204" s="4">
        <v>14154421000</v>
      </c>
      <c r="U1204">
        <v>6659</v>
      </c>
      <c r="V1204" t="s">
        <v>13720</v>
      </c>
      <c r="W1204" t="s">
        <v>13721</v>
      </c>
      <c r="Y1204" t="s">
        <v>9811</v>
      </c>
      <c r="Z1204" t="s">
        <v>7310</v>
      </c>
      <c r="AA1204" t="s">
        <v>220</v>
      </c>
      <c r="AB1204" t="s">
        <v>172</v>
      </c>
      <c r="AC1204" s="3" t="str">
        <f>"94107"</f>
        <v>94107</v>
      </c>
      <c r="AD1204" t="s">
        <v>128</v>
      </c>
      <c r="AF1204" s="4">
        <v>14155905834</v>
      </c>
      <c r="AH1204" t="str">
        <f>"541519"</f>
        <v>541519</v>
      </c>
      <c r="AI1204" t="s">
        <v>130</v>
      </c>
      <c r="AJ1204" t="s">
        <v>12102</v>
      </c>
      <c r="AK1204" t="s">
        <v>12103</v>
      </c>
      <c r="AM1204" t="s">
        <v>1438</v>
      </c>
      <c r="AO1204" t="s">
        <v>521</v>
      </c>
      <c r="AP1204" t="s">
        <v>172</v>
      </c>
      <c r="AQ1204" s="5">
        <v>94304</v>
      </c>
      <c r="AR1204" t="s">
        <v>128</v>
      </c>
      <c r="AS1204" t="s">
        <v>178</v>
      </c>
      <c r="AT1204" s="4">
        <v>14154421000</v>
      </c>
      <c r="AU1204">
        <v>1343</v>
      </c>
      <c r="AV1204" t="s">
        <v>13720</v>
      </c>
      <c r="AW1204" t="s">
        <v>1440</v>
      </c>
      <c r="AX1204" t="s">
        <v>131</v>
      </c>
      <c r="AY1204" t="s">
        <v>131</v>
      </c>
      <c r="AZ1204" t="s">
        <v>131</v>
      </c>
      <c r="BA1204" t="s">
        <v>131</v>
      </c>
      <c r="BB1204" t="s">
        <v>131</v>
      </c>
      <c r="BC1204" t="s">
        <v>131</v>
      </c>
      <c r="BD1204" t="s">
        <v>131</v>
      </c>
      <c r="BE1204" t="s">
        <v>132</v>
      </c>
      <c r="BH1204" t="s">
        <v>1501</v>
      </c>
      <c r="BI1204" t="s">
        <v>131</v>
      </c>
      <c r="BL1204" t="s">
        <v>133</v>
      </c>
      <c r="BN1204" t="s">
        <v>4869</v>
      </c>
      <c r="BO1204" t="s">
        <v>131</v>
      </c>
      <c r="BP1204" t="s">
        <v>134</v>
      </c>
      <c r="BQ1204" t="s">
        <v>131</v>
      </c>
      <c r="BS1204" t="str">
        <f t="shared" si="87"/>
        <v>N/A</v>
      </c>
      <c r="BT1204" t="s">
        <v>135</v>
      </c>
      <c r="BU1204">
        <v>36</v>
      </c>
      <c r="BV1204" t="str">
        <f>"In the job offered or in a related occupation."</f>
        <v>In the job offered or in a related occupation.</v>
      </c>
      <c r="BW1204" t="s">
        <v>135</v>
      </c>
      <c r="BX1204" t="str">
        <f>""</f>
        <v/>
      </c>
      <c r="BY1204" t="str">
        <f>""</f>
        <v/>
      </c>
      <c r="BZ1204" t="str">
        <f>""</f>
        <v/>
      </c>
      <c r="CA1204" t="s">
        <v>15272</v>
      </c>
      <c r="CB1204" t="s">
        <v>131</v>
      </c>
      <c r="CF1204" t="s">
        <v>131</v>
      </c>
      <c r="CH1204" t="str">
        <f>""</f>
        <v/>
      </c>
      <c r="CI1204" t="s">
        <v>131</v>
      </c>
      <c r="CK1204" t="s">
        <v>131</v>
      </c>
      <c r="CL1204" t="str">
        <f>""</f>
        <v/>
      </c>
      <c r="CM1204" t="str">
        <f>""</f>
        <v/>
      </c>
      <c r="CN1204" t="str">
        <f>""</f>
        <v/>
      </c>
      <c r="CO1204" t="str">
        <f>""</f>
        <v/>
      </c>
      <c r="CP1204" t="str">
        <f>"15-1133.00"</f>
        <v>15-1133.00</v>
      </c>
      <c r="CQ1204" t="s">
        <v>648</v>
      </c>
      <c r="CR1204" t="s">
        <v>5810</v>
      </c>
      <c r="CS1204" t="s">
        <v>135</v>
      </c>
      <c r="CT1204" t="s">
        <v>15273</v>
      </c>
      <c r="CU1204" t="s">
        <v>9811</v>
      </c>
      <c r="CV1204" t="s">
        <v>1722</v>
      </c>
      <c r="CW1204" t="s">
        <v>220</v>
      </c>
      <c r="CX1204" t="s">
        <v>172</v>
      </c>
      <c r="CZ1204" s="3" t="str">
        <f>"94107"</f>
        <v>94107</v>
      </c>
      <c r="DA1204" t="s">
        <v>131</v>
      </c>
      <c r="DB1204" t="str">
        <f>""</f>
        <v/>
      </c>
      <c r="DF1204" t="str">
        <f>""</f>
        <v/>
      </c>
    </row>
    <row r="1205" spans="1:110" ht="15" customHeight="1" x14ac:dyDescent="0.35">
      <c r="A1205" t="s">
        <v>13326</v>
      </c>
      <c r="B1205" t="s">
        <v>138</v>
      </c>
      <c r="C1205" s="1">
        <v>44319</v>
      </c>
      <c r="G1205" s="1">
        <v>44335</v>
      </c>
      <c r="H1205" t="s">
        <v>125</v>
      </c>
      <c r="I1205" t="s">
        <v>9193</v>
      </c>
      <c r="J1205" t="s">
        <v>3179</v>
      </c>
      <c r="L1205" t="s">
        <v>9194</v>
      </c>
      <c r="M1205" t="s">
        <v>6974</v>
      </c>
      <c r="N1205" t="s">
        <v>884</v>
      </c>
      <c r="O1205" t="s">
        <v>220</v>
      </c>
      <c r="P1205" t="s">
        <v>178</v>
      </c>
      <c r="Q1205" s="3">
        <v>94105</v>
      </c>
      <c r="R1205" t="s">
        <v>128</v>
      </c>
      <c r="T1205" s="4">
        <v>15104322208</v>
      </c>
      <c r="V1205" t="s">
        <v>9195</v>
      </c>
      <c r="W1205" t="s">
        <v>9196</v>
      </c>
      <c r="Y1205" t="s">
        <v>6974</v>
      </c>
      <c r="Z1205" t="s">
        <v>884</v>
      </c>
      <c r="AA1205" t="s">
        <v>220</v>
      </c>
      <c r="AB1205" t="s">
        <v>172</v>
      </c>
      <c r="AC1205" s="3" t="str">
        <f>"94105"</f>
        <v>94105</v>
      </c>
      <c r="AD1205" t="s">
        <v>128</v>
      </c>
      <c r="AF1205" s="4">
        <v>15104322208</v>
      </c>
      <c r="AH1205" t="str">
        <f>"54151"</f>
        <v>54151</v>
      </c>
      <c r="AI1205" t="s">
        <v>130</v>
      </c>
      <c r="AJ1205" t="s">
        <v>7953</v>
      </c>
      <c r="AK1205" t="s">
        <v>1487</v>
      </c>
      <c r="AL1205" t="s">
        <v>5339</v>
      </c>
      <c r="AM1205" t="s">
        <v>7954</v>
      </c>
      <c r="AN1205" t="s">
        <v>1446</v>
      </c>
      <c r="AO1205" t="s">
        <v>2628</v>
      </c>
      <c r="AP1205" t="s">
        <v>172</v>
      </c>
      <c r="AQ1205" s="5">
        <v>94612</v>
      </c>
      <c r="AR1205" t="s">
        <v>128</v>
      </c>
      <c r="AT1205" s="4">
        <v>14155156783</v>
      </c>
      <c r="AV1205" t="s">
        <v>7955</v>
      </c>
      <c r="AW1205" t="s">
        <v>7956</v>
      </c>
      <c r="AX1205" t="s">
        <v>131</v>
      </c>
      <c r="AY1205" t="s">
        <v>131</v>
      </c>
      <c r="AZ1205" t="s">
        <v>131</v>
      </c>
      <c r="BA1205" t="s">
        <v>131</v>
      </c>
      <c r="BB1205" t="s">
        <v>131</v>
      </c>
      <c r="BC1205" t="s">
        <v>131</v>
      </c>
      <c r="BD1205" t="s">
        <v>131</v>
      </c>
      <c r="BE1205" t="s">
        <v>132</v>
      </c>
      <c r="BH1205" t="s">
        <v>13327</v>
      </c>
      <c r="BI1205" t="s">
        <v>131</v>
      </c>
      <c r="BL1205" t="s">
        <v>188</v>
      </c>
      <c r="BN1205" t="s">
        <v>13328</v>
      </c>
      <c r="BO1205" t="s">
        <v>131</v>
      </c>
      <c r="BP1205" t="s">
        <v>134</v>
      </c>
      <c r="BQ1205" t="s">
        <v>131</v>
      </c>
      <c r="BS1205" t="str">
        <f t="shared" si="87"/>
        <v>N/A</v>
      </c>
      <c r="BT1205" t="s">
        <v>135</v>
      </c>
      <c r="BU1205">
        <v>36</v>
      </c>
      <c r="BV1205" t="str">
        <f>"Occupation involving industry experience."</f>
        <v>Occupation involving industry experience.</v>
      </c>
      <c r="BW1205" t="s">
        <v>135</v>
      </c>
      <c r="BX1205" t="str">
        <f>""</f>
        <v/>
      </c>
      <c r="BY1205" t="str">
        <f>""</f>
        <v/>
      </c>
      <c r="BZ1205" t="str">
        <f>""</f>
        <v/>
      </c>
      <c r="CA1205" s="2" t="s">
        <v>13329</v>
      </c>
      <c r="CB1205" t="s">
        <v>135</v>
      </c>
      <c r="CC1205" t="s">
        <v>133</v>
      </c>
      <c r="CE1205" t="s">
        <v>13328</v>
      </c>
      <c r="CF1205" t="s">
        <v>131</v>
      </c>
      <c r="CH1205" t="str">
        <f>"N/A"</f>
        <v>N/A</v>
      </c>
      <c r="CI1205" t="s">
        <v>135</v>
      </c>
      <c r="CJ1205">
        <v>60</v>
      </c>
      <c r="CK1205" t="s">
        <v>135</v>
      </c>
      <c r="CL1205" t="str">
        <f>""</f>
        <v/>
      </c>
      <c r="CM1205" t="str">
        <f>""</f>
        <v/>
      </c>
      <c r="CN1205" t="str">
        <f>""</f>
        <v/>
      </c>
      <c r="CO1205" s="2" t="s">
        <v>13329</v>
      </c>
      <c r="CP1205" t="str">
        <f>"15-1199.01"</f>
        <v>15-1199.01</v>
      </c>
      <c r="CQ1205" t="s">
        <v>308</v>
      </c>
      <c r="CS1205" t="s">
        <v>131</v>
      </c>
      <c r="CU1205" t="s">
        <v>6973</v>
      </c>
      <c r="CV1205" t="s">
        <v>884</v>
      </c>
      <c r="CW1205" t="s">
        <v>220</v>
      </c>
      <c r="CX1205" t="s">
        <v>172</v>
      </c>
      <c r="CZ1205" s="3" t="str">
        <f>"94105"</f>
        <v>94105</v>
      </c>
      <c r="DA1205" t="s">
        <v>131</v>
      </c>
      <c r="DB1205" t="str">
        <f>""</f>
        <v/>
      </c>
      <c r="DF1205" t="str">
        <f>""</f>
        <v/>
      </c>
    </row>
    <row r="1206" spans="1:110" ht="15" customHeight="1" x14ac:dyDescent="0.35">
      <c r="A1206" t="s">
        <v>19800</v>
      </c>
      <c r="B1206" t="s">
        <v>138</v>
      </c>
      <c r="C1206" s="1">
        <v>44319</v>
      </c>
      <c r="G1206" s="1">
        <v>44319</v>
      </c>
      <c r="H1206" t="s">
        <v>125</v>
      </c>
      <c r="I1206" t="s">
        <v>7853</v>
      </c>
      <c r="J1206" t="s">
        <v>7854</v>
      </c>
      <c r="L1206" t="s">
        <v>460</v>
      </c>
      <c r="M1206" t="s">
        <v>19801</v>
      </c>
      <c r="N1206" t="s">
        <v>19802</v>
      </c>
      <c r="O1206" t="s">
        <v>620</v>
      </c>
      <c r="P1206" t="s">
        <v>194</v>
      </c>
      <c r="Q1206" s="3">
        <v>33134</v>
      </c>
      <c r="R1206" t="s">
        <v>128</v>
      </c>
      <c r="T1206" s="4">
        <v>13053921940</v>
      </c>
      <c r="V1206" t="s">
        <v>7856</v>
      </c>
      <c r="W1206" t="s">
        <v>7857</v>
      </c>
      <c r="Y1206" t="s">
        <v>7855</v>
      </c>
      <c r="AA1206" t="s">
        <v>620</v>
      </c>
      <c r="AB1206" t="s">
        <v>195</v>
      </c>
      <c r="AC1206" s="3" t="str">
        <f>"33134"</f>
        <v>33134</v>
      </c>
      <c r="AD1206" t="s">
        <v>128</v>
      </c>
      <c r="AF1206" s="4">
        <v>13053921940</v>
      </c>
      <c r="AH1206" t="str">
        <f>"54199"</f>
        <v>54199</v>
      </c>
      <c r="AI1206" t="s">
        <v>167</v>
      </c>
      <c r="AX1206" t="s">
        <v>131</v>
      </c>
      <c r="AY1206" t="s">
        <v>131</v>
      </c>
      <c r="AZ1206" t="s">
        <v>131</v>
      </c>
      <c r="BA1206" t="s">
        <v>131</v>
      </c>
      <c r="BB1206" t="s">
        <v>131</v>
      </c>
      <c r="BC1206" t="s">
        <v>131</v>
      </c>
      <c r="BD1206" t="s">
        <v>131</v>
      </c>
      <c r="BE1206" t="s">
        <v>132</v>
      </c>
      <c r="BH1206" t="s">
        <v>7858</v>
      </c>
      <c r="BI1206" t="s">
        <v>131</v>
      </c>
      <c r="BL1206" t="s">
        <v>401</v>
      </c>
      <c r="BO1206" t="s">
        <v>131</v>
      </c>
      <c r="BP1206" t="s">
        <v>134</v>
      </c>
      <c r="BQ1206" t="s">
        <v>131</v>
      </c>
      <c r="BS1206" t="str">
        <f t="shared" si="87"/>
        <v>N/A</v>
      </c>
      <c r="BT1206" t="s">
        <v>135</v>
      </c>
      <c r="BU1206">
        <v>12</v>
      </c>
      <c r="BV1206" t="str">
        <f>"Telemarketer"</f>
        <v>Telemarketer</v>
      </c>
      <c r="BW1206" t="s">
        <v>131</v>
      </c>
      <c r="BX1206" t="str">
        <f>""</f>
        <v/>
      </c>
      <c r="BY1206" t="str">
        <f>""</f>
        <v/>
      </c>
      <c r="BZ1206" t="str">
        <f>""</f>
        <v/>
      </c>
      <c r="CA1206" t="str">
        <f>""</f>
        <v/>
      </c>
      <c r="CB1206" t="s">
        <v>131</v>
      </c>
      <c r="CF1206" t="s">
        <v>131</v>
      </c>
      <c r="CH1206" t="str">
        <f>""</f>
        <v/>
      </c>
      <c r="CI1206" t="s">
        <v>131</v>
      </c>
      <c r="CK1206" t="s">
        <v>131</v>
      </c>
      <c r="CL1206" t="str">
        <f>""</f>
        <v/>
      </c>
      <c r="CM1206" t="str">
        <f>""</f>
        <v/>
      </c>
      <c r="CN1206" t="str">
        <f>""</f>
        <v/>
      </c>
      <c r="CO1206" t="str">
        <f>""</f>
        <v/>
      </c>
      <c r="CP1206" t="str">
        <f>"41-9041.00"</f>
        <v>41-9041.00</v>
      </c>
      <c r="CQ1206" t="s">
        <v>4395</v>
      </c>
      <c r="CS1206" t="s">
        <v>131</v>
      </c>
      <c r="CU1206" t="s">
        <v>19801</v>
      </c>
      <c r="CV1206" t="s">
        <v>19802</v>
      </c>
      <c r="CW1206" t="s">
        <v>620</v>
      </c>
      <c r="CX1206" t="s">
        <v>195</v>
      </c>
      <c r="CZ1206" s="3" t="str">
        <f>"33134"</f>
        <v>33134</v>
      </c>
      <c r="DA1206" t="s">
        <v>131</v>
      </c>
      <c r="DB1206" t="str">
        <f>""</f>
        <v/>
      </c>
      <c r="DF1206" t="str">
        <f>""</f>
        <v/>
      </c>
    </row>
    <row r="1207" spans="1:110" ht="15" customHeight="1" x14ac:dyDescent="0.35">
      <c r="A1207" t="s">
        <v>19894</v>
      </c>
      <c r="B1207" t="s">
        <v>138</v>
      </c>
      <c r="C1207" s="1">
        <v>44319</v>
      </c>
      <c r="G1207" s="1">
        <v>44320</v>
      </c>
      <c r="H1207" t="s">
        <v>125</v>
      </c>
      <c r="I1207" t="s">
        <v>1552</v>
      </c>
      <c r="J1207" t="s">
        <v>1553</v>
      </c>
      <c r="L1207" t="s">
        <v>1554</v>
      </c>
      <c r="M1207" t="s">
        <v>1555</v>
      </c>
      <c r="O1207" t="s">
        <v>1556</v>
      </c>
      <c r="P1207" t="s">
        <v>178</v>
      </c>
      <c r="Q1207" s="3">
        <v>95014</v>
      </c>
      <c r="R1207" t="s">
        <v>128</v>
      </c>
      <c r="T1207" s="4">
        <v>14089742562</v>
      </c>
      <c r="V1207" t="s">
        <v>1557</v>
      </c>
      <c r="W1207" t="s">
        <v>1558</v>
      </c>
      <c r="Y1207" t="s">
        <v>1559</v>
      </c>
      <c r="AA1207" t="s">
        <v>1560</v>
      </c>
      <c r="AB1207" t="s">
        <v>172</v>
      </c>
      <c r="AC1207" s="3" t="str">
        <f>"95014"</f>
        <v>95014</v>
      </c>
      <c r="AD1207" t="s">
        <v>128</v>
      </c>
      <c r="AF1207" s="4">
        <v>14089742562</v>
      </c>
      <c r="AH1207" t="str">
        <f>"33411"</f>
        <v>33411</v>
      </c>
      <c r="AI1207" t="s">
        <v>130</v>
      </c>
      <c r="AJ1207" t="s">
        <v>1561</v>
      </c>
      <c r="AK1207" t="s">
        <v>1562</v>
      </c>
      <c r="AL1207" t="s">
        <v>602</v>
      </c>
      <c r="AM1207" t="s">
        <v>1563</v>
      </c>
      <c r="AN1207" t="s">
        <v>997</v>
      </c>
      <c r="AO1207" t="s">
        <v>220</v>
      </c>
      <c r="AP1207" t="s">
        <v>172</v>
      </c>
      <c r="AQ1207" s="5">
        <v>94111</v>
      </c>
      <c r="AR1207" t="s">
        <v>128</v>
      </c>
      <c r="AT1207" s="4">
        <v>14159861446</v>
      </c>
      <c r="AV1207" t="s">
        <v>1564</v>
      </c>
      <c r="AW1207" t="s">
        <v>386</v>
      </c>
      <c r="AX1207" t="s">
        <v>131</v>
      </c>
      <c r="AY1207" t="s">
        <v>131</v>
      </c>
      <c r="AZ1207" t="s">
        <v>131</v>
      </c>
      <c r="BA1207" t="s">
        <v>131</v>
      </c>
      <c r="BB1207" t="s">
        <v>131</v>
      </c>
      <c r="BC1207" t="s">
        <v>131</v>
      </c>
      <c r="BD1207" t="s">
        <v>131</v>
      </c>
      <c r="BE1207" t="s">
        <v>160</v>
      </c>
      <c r="BF1207" t="s">
        <v>3360</v>
      </c>
      <c r="BG1207" s="1">
        <v>44270</v>
      </c>
      <c r="BH1207" t="s">
        <v>7379</v>
      </c>
      <c r="BI1207" t="s">
        <v>131</v>
      </c>
      <c r="BL1207" t="s">
        <v>188</v>
      </c>
      <c r="BN1207" t="s">
        <v>1566</v>
      </c>
      <c r="BO1207" t="s">
        <v>131</v>
      </c>
      <c r="BP1207" t="s">
        <v>134</v>
      </c>
      <c r="BQ1207" t="s">
        <v>131</v>
      </c>
      <c r="BS1207" t="str">
        <f t="shared" si="87"/>
        <v>N/A</v>
      </c>
      <c r="BT1207" t="s">
        <v>135</v>
      </c>
      <c r="BU1207">
        <v>24</v>
      </c>
      <c r="BV1207" t="str">
        <f>"Please See Section F.a.2."</f>
        <v>Please See Section F.a.2.</v>
      </c>
      <c r="BW1207" t="s">
        <v>131</v>
      </c>
      <c r="BX1207" t="str">
        <f>""</f>
        <v/>
      </c>
      <c r="BY1207" t="str">
        <f>""</f>
        <v/>
      </c>
      <c r="BZ1207" t="str">
        <f>""</f>
        <v/>
      </c>
      <c r="CA1207" t="str">
        <f>""</f>
        <v/>
      </c>
      <c r="CB1207" t="s">
        <v>131</v>
      </c>
      <c r="CF1207" t="s">
        <v>131</v>
      </c>
      <c r="CH1207" t="str">
        <f>""</f>
        <v/>
      </c>
      <c r="CI1207" t="s">
        <v>131</v>
      </c>
      <c r="CK1207" t="s">
        <v>131</v>
      </c>
      <c r="CL1207" t="str">
        <f>""</f>
        <v/>
      </c>
      <c r="CM1207" t="str">
        <f>""</f>
        <v/>
      </c>
      <c r="CN1207" t="str">
        <f>""</f>
        <v/>
      </c>
      <c r="CO1207" t="str">
        <f>""</f>
        <v/>
      </c>
      <c r="CP1207" t="str">
        <f>"17-2141.00"</f>
        <v>17-2141.00</v>
      </c>
      <c r="CQ1207" t="s">
        <v>518</v>
      </c>
      <c r="CR1207" t="s">
        <v>460</v>
      </c>
      <c r="CS1207" t="s">
        <v>135</v>
      </c>
      <c r="CT1207" t="s">
        <v>7380</v>
      </c>
      <c r="CU1207" t="s">
        <v>1555</v>
      </c>
      <c r="CW1207" t="s">
        <v>1556</v>
      </c>
      <c r="CX1207" t="s">
        <v>172</v>
      </c>
      <c r="CZ1207" s="3" t="str">
        <f>"95014"</f>
        <v>95014</v>
      </c>
      <c r="DA1207" t="s">
        <v>131</v>
      </c>
      <c r="DB1207" t="str">
        <f>""</f>
        <v/>
      </c>
      <c r="DF1207" t="str">
        <f>""</f>
        <v/>
      </c>
    </row>
    <row r="1208" spans="1:110" ht="15" customHeight="1" x14ac:dyDescent="0.35">
      <c r="A1208" t="s">
        <v>13716</v>
      </c>
      <c r="B1208" t="s">
        <v>138</v>
      </c>
      <c r="C1208" s="1">
        <v>44319</v>
      </c>
      <c r="G1208" s="1">
        <v>44328</v>
      </c>
      <c r="H1208" t="s">
        <v>125</v>
      </c>
      <c r="I1208" t="s">
        <v>13717</v>
      </c>
      <c r="J1208" t="s">
        <v>13718</v>
      </c>
      <c r="L1208" t="s">
        <v>13719</v>
      </c>
      <c r="M1208" t="s">
        <v>1438</v>
      </c>
      <c r="O1208" t="s">
        <v>521</v>
      </c>
      <c r="P1208" t="s">
        <v>178</v>
      </c>
      <c r="Q1208" s="3">
        <v>94304</v>
      </c>
      <c r="R1208" t="s">
        <v>128</v>
      </c>
      <c r="T1208" s="4">
        <v>14154421000</v>
      </c>
      <c r="U1208">
        <v>6218</v>
      </c>
      <c r="V1208" t="s">
        <v>13720</v>
      </c>
      <c r="W1208" t="s">
        <v>13721</v>
      </c>
      <c r="Y1208" t="s">
        <v>9811</v>
      </c>
      <c r="Z1208" t="s">
        <v>7310</v>
      </c>
      <c r="AA1208" t="s">
        <v>220</v>
      </c>
      <c r="AB1208" t="s">
        <v>172</v>
      </c>
      <c r="AC1208" s="3" t="str">
        <f>"94107"</f>
        <v>94107</v>
      </c>
      <c r="AD1208" t="s">
        <v>128</v>
      </c>
      <c r="AF1208" s="4">
        <v>14155905834</v>
      </c>
      <c r="AH1208" t="str">
        <f>"541519"</f>
        <v>541519</v>
      </c>
      <c r="AI1208" t="s">
        <v>130</v>
      </c>
      <c r="AJ1208" t="s">
        <v>12102</v>
      </c>
      <c r="AK1208" t="s">
        <v>12103</v>
      </c>
      <c r="AM1208" t="s">
        <v>1438</v>
      </c>
      <c r="AO1208" t="s">
        <v>521</v>
      </c>
      <c r="AP1208" t="s">
        <v>172</v>
      </c>
      <c r="AQ1208" s="5">
        <v>94304</v>
      </c>
      <c r="AR1208" t="s">
        <v>128</v>
      </c>
      <c r="AS1208" t="s">
        <v>178</v>
      </c>
      <c r="AT1208" s="4">
        <v>14154421000</v>
      </c>
      <c r="AU1208">
        <v>1343</v>
      </c>
      <c r="AV1208" t="s">
        <v>13720</v>
      </c>
      <c r="AW1208" t="s">
        <v>1440</v>
      </c>
      <c r="AX1208" t="s">
        <v>131</v>
      </c>
      <c r="AY1208" t="s">
        <v>131</v>
      </c>
      <c r="AZ1208" t="s">
        <v>131</v>
      </c>
      <c r="BA1208" t="s">
        <v>131</v>
      </c>
      <c r="BB1208" t="s">
        <v>131</v>
      </c>
      <c r="BC1208" t="s">
        <v>131</v>
      </c>
      <c r="BD1208" t="s">
        <v>131</v>
      </c>
      <c r="BE1208" t="s">
        <v>160</v>
      </c>
      <c r="BF1208" t="s">
        <v>1612</v>
      </c>
      <c r="BG1208" s="1">
        <v>44211</v>
      </c>
      <c r="BH1208" t="s">
        <v>13722</v>
      </c>
      <c r="BI1208" t="s">
        <v>131</v>
      </c>
      <c r="BL1208" t="s">
        <v>133</v>
      </c>
      <c r="BN1208" t="s">
        <v>13723</v>
      </c>
      <c r="BO1208" t="s">
        <v>131</v>
      </c>
      <c r="BP1208" t="s">
        <v>134</v>
      </c>
      <c r="BQ1208" t="s">
        <v>131</v>
      </c>
      <c r="BS1208" t="str">
        <f t="shared" si="87"/>
        <v>N/A</v>
      </c>
      <c r="BT1208" t="s">
        <v>135</v>
      </c>
      <c r="BU1208">
        <v>60</v>
      </c>
      <c r="BV1208" t="str">
        <f>"In the job offered or in a related occupation"</f>
        <v>In the job offered or in a related occupation</v>
      </c>
      <c r="BW1208" t="s">
        <v>135</v>
      </c>
      <c r="BX1208" t="str">
        <f>""</f>
        <v/>
      </c>
      <c r="BY1208" t="str">
        <f>""</f>
        <v/>
      </c>
      <c r="BZ1208" t="str">
        <f>""</f>
        <v/>
      </c>
      <c r="CA1208" t="s">
        <v>13724</v>
      </c>
      <c r="CB1208" t="s">
        <v>131</v>
      </c>
      <c r="CF1208" t="s">
        <v>131</v>
      </c>
      <c r="CH1208" t="str">
        <f>""</f>
        <v/>
      </c>
      <c r="CI1208" t="s">
        <v>131</v>
      </c>
      <c r="CK1208" t="s">
        <v>131</v>
      </c>
      <c r="CL1208" t="str">
        <f>""</f>
        <v/>
      </c>
      <c r="CM1208" t="str">
        <f>""</f>
        <v/>
      </c>
      <c r="CN1208" t="str">
        <f>""</f>
        <v/>
      </c>
      <c r="CO1208" t="str">
        <f>""</f>
        <v/>
      </c>
      <c r="CP1208" t="str">
        <f>"15-1121.00"</f>
        <v>15-1121.00</v>
      </c>
      <c r="CQ1208" t="s">
        <v>283</v>
      </c>
      <c r="CR1208" t="s">
        <v>1497</v>
      </c>
      <c r="CS1208" t="s">
        <v>135</v>
      </c>
      <c r="CT1208" t="s">
        <v>13725</v>
      </c>
      <c r="CU1208" t="s">
        <v>9811</v>
      </c>
      <c r="CV1208" t="s">
        <v>1722</v>
      </c>
      <c r="CW1208" t="s">
        <v>220</v>
      </c>
      <c r="CX1208" t="s">
        <v>172</v>
      </c>
      <c r="CZ1208" s="3" t="str">
        <f>"94107"</f>
        <v>94107</v>
      </c>
      <c r="DA1208" t="s">
        <v>131</v>
      </c>
      <c r="DB1208" t="str">
        <f>""</f>
        <v/>
      </c>
      <c r="DF1208" t="str">
        <f>""</f>
        <v/>
      </c>
    </row>
    <row r="1209" spans="1:110" ht="15" customHeight="1" x14ac:dyDescent="0.35">
      <c r="A1209" t="s">
        <v>13485</v>
      </c>
      <c r="B1209" t="s">
        <v>138</v>
      </c>
      <c r="C1209" s="1">
        <v>44320</v>
      </c>
      <c r="G1209" s="1">
        <v>44322</v>
      </c>
      <c r="H1209" t="s">
        <v>125</v>
      </c>
      <c r="I1209" t="s">
        <v>13486</v>
      </c>
      <c r="J1209" t="s">
        <v>13487</v>
      </c>
      <c r="L1209" t="s">
        <v>587</v>
      </c>
      <c r="M1209" t="s">
        <v>13488</v>
      </c>
      <c r="N1209" t="s">
        <v>8597</v>
      </c>
      <c r="O1209" t="s">
        <v>2035</v>
      </c>
      <c r="P1209" t="s">
        <v>588</v>
      </c>
      <c r="Q1209" s="3">
        <v>20171</v>
      </c>
      <c r="R1209" t="s">
        <v>128</v>
      </c>
      <c r="T1209" s="4">
        <v>15716556100</v>
      </c>
      <c r="V1209" t="s">
        <v>13489</v>
      </c>
      <c r="W1209" t="s">
        <v>13490</v>
      </c>
      <c r="Y1209" t="s">
        <v>13488</v>
      </c>
      <c r="Z1209" t="s">
        <v>8597</v>
      </c>
      <c r="AA1209" t="s">
        <v>2035</v>
      </c>
      <c r="AB1209" t="s">
        <v>306</v>
      </c>
      <c r="AC1209" s="3" t="str">
        <f>"20171"</f>
        <v>20171</v>
      </c>
      <c r="AD1209" t="s">
        <v>128</v>
      </c>
      <c r="AF1209" s="4">
        <v>15716556100</v>
      </c>
      <c r="AH1209" t="str">
        <f>"541511"</f>
        <v>541511</v>
      </c>
      <c r="AI1209" t="s">
        <v>130</v>
      </c>
      <c r="AJ1209" t="s">
        <v>1688</v>
      </c>
      <c r="AK1209" t="s">
        <v>3299</v>
      </c>
      <c r="AL1209" t="s">
        <v>3300</v>
      </c>
      <c r="AM1209" t="s">
        <v>3301</v>
      </c>
      <c r="AN1209" t="s">
        <v>2377</v>
      </c>
      <c r="AO1209" t="s">
        <v>642</v>
      </c>
      <c r="AP1209" t="s">
        <v>643</v>
      </c>
      <c r="AQ1209" s="5">
        <v>30339</v>
      </c>
      <c r="AR1209" t="s">
        <v>128</v>
      </c>
      <c r="AS1209" t="s">
        <v>643</v>
      </c>
      <c r="AT1209" s="4">
        <v>14043482829</v>
      </c>
      <c r="AV1209" t="s">
        <v>3302</v>
      </c>
      <c r="AW1209" t="s">
        <v>3303</v>
      </c>
      <c r="AX1209" t="s">
        <v>131</v>
      </c>
      <c r="AY1209" t="s">
        <v>131</v>
      </c>
      <c r="AZ1209" t="s">
        <v>131</v>
      </c>
      <c r="BA1209" t="s">
        <v>131</v>
      </c>
      <c r="BB1209" t="s">
        <v>131</v>
      </c>
      <c r="BC1209" t="s">
        <v>131</v>
      </c>
      <c r="BD1209" t="s">
        <v>131</v>
      </c>
      <c r="BE1209" t="s">
        <v>132</v>
      </c>
      <c r="BH1209" t="s">
        <v>13491</v>
      </c>
      <c r="BI1209" t="s">
        <v>131</v>
      </c>
      <c r="BL1209" t="s">
        <v>188</v>
      </c>
      <c r="BN1209" t="s">
        <v>13492</v>
      </c>
      <c r="BO1209" t="s">
        <v>131</v>
      </c>
      <c r="BP1209" t="s">
        <v>134</v>
      </c>
      <c r="BQ1209" t="s">
        <v>131</v>
      </c>
      <c r="BS1209" t="str">
        <f t="shared" si="87"/>
        <v>N/A</v>
      </c>
      <c r="BT1209" t="s">
        <v>135</v>
      </c>
      <c r="BU1209">
        <v>12</v>
      </c>
      <c r="BV1209" t="str">
        <f>"Job-related experience (any title)."</f>
        <v>Job-related experience (any title).</v>
      </c>
      <c r="BW1209" t="s">
        <v>135</v>
      </c>
      <c r="BX1209" t="str">
        <f>""</f>
        <v/>
      </c>
      <c r="BY1209" t="str">
        <f>""</f>
        <v/>
      </c>
      <c r="BZ1209" t="str">
        <f>""</f>
        <v/>
      </c>
      <c r="CA1209" t="str">
        <f>"Experience to include working with Maven, Jenkins, GIT, Openshift, CI/CD and Python. "</f>
        <v xml:space="preserve">Experience to include working with Maven, Jenkins, GIT, Openshift, CI/CD and Python. </v>
      </c>
      <c r="CB1209" t="s">
        <v>131</v>
      </c>
      <c r="CF1209" t="s">
        <v>131</v>
      </c>
      <c r="CH1209" t="str">
        <f>""</f>
        <v/>
      </c>
      <c r="CI1209" t="s">
        <v>131</v>
      </c>
      <c r="CK1209" t="s">
        <v>131</v>
      </c>
      <c r="CL1209" t="str">
        <f>""</f>
        <v/>
      </c>
      <c r="CM1209" t="str">
        <f>""</f>
        <v/>
      </c>
      <c r="CN1209" t="str">
        <f>""</f>
        <v/>
      </c>
      <c r="CO1209" t="str">
        <f>""</f>
        <v/>
      </c>
      <c r="CP1209" t="str">
        <f>"15-1199.09"</f>
        <v>15-1199.09</v>
      </c>
      <c r="CQ1209" t="s">
        <v>697</v>
      </c>
      <c r="CS1209" t="s">
        <v>135</v>
      </c>
      <c r="CT1209" t="s">
        <v>13493</v>
      </c>
      <c r="CU1209" t="s">
        <v>13488</v>
      </c>
      <c r="CV1209" t="s">
        <v>8597</v>
      </c>
      <c r="CW1209" t="s">
        <v>2035</v>
      </c>
      <c r="CX1209" t="s">
        <v>306</v>
      </c>
      <c r="CZ1209" s="3" t="str">
        <f>"20171"</f>
        <v>20171</v>
      </c>
      <c r="DA1209" t="s">
        <v>131</v>
      </c>
      <c r="DB1209" t="str">
        <f>""</f>
        <v/>
      </c>
      <c r="DF1209" t="str">
        <f>""</f>
        <v/>
      </c>
    </row>
    <row r="1210" spans="1:110" ht="15" customHeight="1" x14ac:dyDescent="0.35">
      <c r="A1210" t="s">
        <v>19588</v>
      </c>
      <c r="B1210" t="s">
        <v>138</v>
      </c>
      <c r="C1210" s="1">
        <v>44320</v>
      </c>
      <c r="G1210" s="1">
        <v>44320</v>
      </c>
      <c r="H1210" t="s">
        <v>125</v>
      </c>
      <c r="I1210" t="s">
        <v>10439</v>
      </c>
      <c r="J1210" t="s">
        <v>1108</v>
      </c>
      <c r="L1210" t="s">
        <v>4547</v>
      </c>
      <c r="M1210" t="s">
        <v>10442</v>
      </c>
      <c r="O1210" t="s">
        <v>494</v>
      </c>
      <c r="P1210" t="s">
        <v>127</v>
      </c>
      <c r="Q1210" s="3">
        <v>10010</v>
      </c>
      <c r="R1210" t="s">
        <v>128</v>
      </c>
      <c r="T1210" s="4">
        <v>12123252000</v>
      </c>
      <c r="V1210" t="s">
        <v>19589</v>
      </c>
      <c r="W1210" t="s">
        <v>10440</v>
      </c>
      <c r="X1210" t="s">
        <v>10441</v>
      </c>
      <c r="Y1210" t="s">
        <v>10442</v>
      </c>
      <c r="AA1210" t="s">
        <v>494</v>
      </c>
      <c r="AB1210" t="s">
        <v>129</v>
      </c>
      <c r="AC1210" s="3" t="str">
        <f>"10010"</f>
        <v>10010</v>
      </c>
      <c r="AD1210" t="s">
        <v>128</v>
      </c>
      <c r="AF1210" s="4">
        <v>12123252000</v>
      </c>
      <c r="AH1210" t="str">
        <f>"523110"</f>
        <v>523110</v>
      </c>
      <c r="AI1210" t="s">
        <v>130</v>
      </c>
      <c r="AJ1210" t="s">
        <v>1775</v>
      </c>
      <c r="AK1210" t="s">
        <v>600</v>
      </c>
      <c r="AL1210" t="s">
        <v>2314</v>
      </c>
      <c r="AM1210" t="s">
        <v>493</v>
      </c>
      <c r="AO1210" t="s">
        <v>494</v>
      </c>
      <c r="AP1210" t="s">
        <v>129</v>
      </c>
      <c r="AQ1210" s="5">
        <v>10018</v>
      </c>
      <c r="AR1210" t="s">
        <v>128</v>
      </c>
      <c r="AT1210" s="4">
        <v>12126888555</v>
      </c>
      <c r="AV1210" t="s">
        <v>10443</v>
      </c>
      <c r="AW1210" t="s">
        <v>4294</v>
      </c>
      <c r="AX1210" t="s">
        <v>131</v>
      </c>
      <c r="AY1210" t="s">
        <v>131</v>
      </c>
      <c r="AZ1210" t="s">
        <v>131</v>
      </c>
      <c r="BA1210" t="s">
        <v>131</v>
      </c>
      <c r="BB1210" t="s">
        <v>131</v>
      </c>
      <c r="BC1210" t="s">
        <v>131</v>
      </c>
      <c r="BD1210" t="s">
        <v>131</v>
      </c>
      <c r="BE1210" t="s">
        <v>132</v>
      </c>
      <c r="BH1210" t="s">
        <v>303</v>
      </c>
      <c r="BI1210" t="s">
        <v>135</v>
      </c>
      <c r="BJ1210" t="s">
        <v>2037</v>
      </c>
      <c r="BK1210" t="s">
        <v>245</v>
      </c>
      <c r="BL1210" t="s">
        <v>188</v>
      </c>
      <c r="BN1210" t="s">
        <v>19590</v>
      </c>
      <c r="BO1210" t="s">
        <v>131</v>
      </c>
      <c r="BP1210" t="s">
        <v>134</v>
      </c>
      <c r="BQ1210" t="s">
        <v>131</v>
      </c>
      <c r="BS1210" t="str">
        <f t="shared" si="87"/>
        <v>N/A</v>
      </c>
      <c r="BT1210" t="s">
        <v>135</v>
      </c>
      <c r="BU1210">
        <v>24</v>
      </c>
      <c r="BV1210" t="str">
        <f>"See Box F.b.4.b"</f>
        <v>See Box F.b.4.b</v>
      </c>
      <c r="BW1210" t="s">
        <v>135</v>
      </c>
      <c r="BX1210" t="str">
        <f>"FINRA Series license required."</f>
        <v>FINRA Series license required.</v>
      </c>
      <c r="BY1210" t="str">
        <f>"Japanese fluency required."</f>
        <v>Japanese fluency required.</v>
      </c>
      <c r="BZ1210" t="str">
        <f>""</f>
        <v/>
      </c>
      <c r="CA1210" t="str">
        <f>"Telecommuting permitted."</f>
        <v>Telecommuting permitted.</v>
      </c>
      <c r="CB1210" t="s">
        <v>135</v>
      </c>
      <c r="CC1210" t="s">
        <v>133</v>
      </c>
      <c r="CE1210" t="s">
        <v>19590</v>
      </c>
      <c r="CF1210" t="s">
        <v>131</v>
      </c>
      <c r="CH1210" t="str">
        <f>"N/A"</f>
        <v>N/A</v>
      </c>
      <c r="CI1210" t="s">
        <v>135</v>
      </c>
      <c r="CJ1210">
        <v>60</v>
      </c>
      <c r="CK1210" t="s">
        <v>135</v>
      </c>
      <c r="CL1210" t="str">
        <f>"FINRA Series 79"</f>
        <v>FINRA Series 79</v>
      </c>
      <c r="CM1210" t="str">
        <f>"Japanese"</f>
        <v>Japanese</v>
      </c>
      <c r="CN1210" t="str">
        <f>""</f>
        <v/>
      </c>
      <c r="CO1210" t="str">
        <f>"Telecommuting"</f>
        <v>Telecommuting</v>
      </c>
      <c r="CP1210" t="str">
        <f>"11-3031.00"</f>
        <v>11-3031.00</v>
      </c>
      <c r="CQ1210" t="s">
        <v>810</v>
      </c>
      <c r="CR1210" t="s">
        <v>286</v>
      </c>
      <c r="CS1210" t="s">
        <v>131</v>
      </c>
      <c r="CU1210" t="s">
        <v>10442</v>
      </c>
      <c r="CV1210" t="s">
        <v>134</v>
      </c>
      <c r="CW1210" t="s">
        <v>494</v>
      </c>
      <c r="CX1210" t="s">
        <v>129</v>
      </c>
      <c r="CZ1210" s="3" t="str">
        <f>"10010"</f>
        <v>10010</v>
      </c>
      <c r="DA1210" t="s">
        <v>131</v>
      </c>
      <c r="DB1210" t="str">
        <f>""</f>
        <v/>
      </c>
      <c r="DF1210" t="str">
        <f>""</f>
        <v/>
      </c>
    </row>
    <row r="1211" spans="1:110" ht="15" customHeight="1" x14ac:dyDescent="0.35">
      <c r="A1211" t="s">
        <v>14235</v>
      </c>
      <c r="B1211" t="s">
        <v>138</v>
      </c>
      <c r="C1211" s="1">
        <v>44320</v>
      </c>
      <c r="G1211" s="1">
        <v>44323</v>
      </c>
      <c r="H1211" t="s">
        <v>125</v>
      </c>
      <c r="I1211" t="s">
        <v>13643</v>
      </c>
      <c r="J1211" t="s">
        <v>8204</v>
      </c>
      <c r="L1211" t="s">
        <v>6221</v>
      </c>
      <c r="M1211" t="s">
        <v>1395</v>
      </c>
      <c r="O1211" t="s">
        <v>1396</v>
      </c>
      <c r="P1211" t="s">
        <v>256</v>
      </c>
      <c r="Q1211" s="3">
        <v>64116</v>
      </c>
      <c r="R1211" t="s">
        <v>128</v>
      </c>
      <c r="T1211" s="4">
        <v>18162215444</v>
      </c>
      <c r="V1211" t="s">
        <v>1397</v>
      </c>
      <c r="W1211" t="s">
        <v>7166</v>
      </c>
      <c r="Y1211" t="s">
        <v>7165</v>
      </c>
      <c r="AA1211" t="s">
        <v>1605</v>
      </c>
      <c r="AB1211" t="s">
        <v>149</v>
      </c>
      <c r="AC1211" s="3" t="str">
        <f>"98006"</f>
        <v>98006</v>
      </c>
      <c r="AD1211" t="s">
        <v>128</v>
      </c>
      <c r="AF1211" s="4">
        <v>19133159449</v>
      </c>
      <c r="AH1211" t="str">
        <f>"51731"</f>
        <v>51731</v>
      </c>
      <c r="AI1211" t="s">
        <v>130</v>
      </c>
      <c r="AJ1211" t="s">
        <v>9703</v>
      </c>
      <c r="AK1211" t="s">
        <v>6024</v>
      </c>
      <c r="AM1211" t="s">
        <v>1395</v>
      </c>
      <c r="AO1211" t="s">
        <v>1396</v>
      </c>
      <c r="AP1211" t="s">
        <v>258</v>
      </c>
      <c r="AQ1211" s="5">
        <v>64116</v>
      </c>
      <c r="AR1211" t="s">
        <v>128</v>
      </c>
      <c r="AT1211" s="4">
        <v>18162215444</v>
      </c>
      <c r="AV1211" t="s">
        <v>11202</v>
      </c>
      <c r="AW1211" t="s">
        <v>2345</v>
      </c>
      <c r="AX1211" t="s">
        <v>131</v>
      </c>
      <c r="AY1211" t="s">
        <v>131</v>
      </c>
      <c r="AZ1211" t="s">
        <v>131</v>
      </c>
      <c r="BA1211" t="s">
        <v>131</v>
      </c>
      <c r="BB1211" t="s">
        <v>131</v>
      </c>
      <c r="BC1211" t="s">
        <v>131</v>
      </c>
      <c r="BD1211" t="s">
        <v>131</v>
      </c>
      <c r="BE1211" t="s">
        <v>132</v>
      </c>
      <c r="BH1211" t="s">
        <v>7167</v>
      </c>
      <c r="BI1211" t="s">
        <v>131</v>
      </c>
      <c r="BL1211" t="s">
        <v>188</v>
      </c>
      <c r="BN1211" t="s">
        <v>9903</v>
      </c>
      <c r="BO1211" t="s">
        <v>131</v>
      </c>
      <c r="BP1211" t="s">
        <v>134</v>
      </c>
      <c r="BQ1211" t="s">
        <v>131</v>
      </c>
      <c r="BS1211" t="str">
        <f t="shared" si="87"/>
        <v>N/A</v>
      </c>
      <c r="BT1211" t="s">
        <v>135</v>
      </c>
      <c r="BU1211">
        <v>36</v>
      </c>
      <c r="BV1211" t="str">
        <f>"Relevant work experience"</f>
        <v>Relevant work experience</v>
      </c>
      <c r="BW1211" t="s">
        <v>131</v>
      </c>
      <c r="BX1211" t="str">
        <f>""</f>
        <v/>
      </c>
      <c r="BY1211" t="str">
        <f>""</f>
        <v/>
      </c>
      <c r="BZ1211" t="str">
        <f>""</f>
        <v/>
      </c>
      <c r="CA1211" t="str">
        <f>""</f>
        <v/>
      </c>
      <c r="CB1211" t="s">
        <v>135</v>
      </c>
      <c r="CC1211" t="s">
        <v>133</v>
      </c>
      <c r="CE1211" t="s">
        <v>9903</v>
      </c>
      <c r="CF1211" t="s">
        <v>131</v>
      </c>
      <c r="CH1211" t="str">
        <f>"N/A"</f>
        <v>N/A</v>
      </c>
      <c r="CI1211" t="s">
        <v>135</v>
      </c>
      <c r="CJ1211">
        <v>60</v>
      </c>
      <c r="CK1211" t="s">
        <v>131</v>
      </c>
      <c r="CL1211" t="str">
        <f>""</f>
        <v/>
      </c>
      <c r="CM1211" t="str">
        <f>""</f>
        <v/>
      </c>
      <c r="CN1211" t="str">
        <f>""</f>
        <v/>
      </c>
      <c r="CO1211" t="str">
        <f>""</f>
        <v/>
      </c>
      <c r="CP1211" t="str">
        <f>"15-1132.00"</f>
        <v>15-1132.00</v>
      </c>
      <c r="CQ1211" t="s">
        <v>198</v>
      </c>
      <c r="CR1211" t="s">
        <v>460</v>
      </c>
      <c r="CS1211" t="s">
        <v>131</v>
      </c>
      <c r="CU1211" t="s">
        <v>11204</v>
      </c>
      <c r="CW1211" t="s">
        <v>1550</v>
      </c>
      <c r="CX1211" t="s">
        <v>1551</v>
      </c>
      <c r="CZ1211" s="3" t="str">
        <f>"66251"</f>
        <v>66251</v>
      </c>
      <c r="DA1211" t="s">
        <v>131</v>
      </c>
      <c r="DB1211" t="str">
        <f>""</f>
        <v/>
      </c>
      <c r="DF1211" t="str">
        <f>""</f>
        <v/>
      </c>
    </row>
    <row r="1212" spans="1:110" ht="15" customHeight="1" x14ac:dyDescent="0.35">
      <c r="A1212" t="s">
        <v>20048</v>
      </c>
      <c r="B1212" t="s">
        <v>138</v>
      </c>
      <c r="C1212" s="1">
        <v>44320</v>
      </c>
      <c r="G1212" s="1">
        <v>44321</v>
      </c>
      <c r="H1212" t="s">
        <v>125</v>
      </c>
      <c r="I1212" t="s">
        <v>14839</v>
      </c>
      <c r="J1212" t="s">
        <v>5620</v>
      </c>
      <c r="L1212" t="s">
        <v>460</v>
      </c>
      <c r="M1212" t="s">
        <v>14840</v>
      </c>
      <c r="N1212" t="s">
        <v>14841</v>
      </c>
      <c r="O1212" t="s">
        <v>1196</v>
      </c>
      <c r="P1212" t="s">
        <v>539</v>
      </c>
      <c r="Q1212" s="3">
        <v>60173</v>
      </c>
      <c r="R1212" t="s">
        <v>128</v>
      </c>
      <c r="T1212" s="4">
        <v>16307960690</v>
      </c>
      <c r="V1212" t="s">
        <v>1289</v>
      </c>
      <c r="W1212" t="s">
        <v>14842</v>
      </c>
      <c r="Y1212" t="s">
        <v>14840</v>
      </c>
      <c r="Z1212" t="s">
        <v>14841</v>
      </c>
      <c r="AA1212" t="s">
        <v>1196</v>
      </c>
      <c r="AB1212" t="s">
        <v>263</v>
      </c>
      <c r="AC1212" s="3" t="str">
        <f>"60173"</f>
        <v>60173</v>
      </c>
      <c r="AD1212" t="s">
        <v>128</v>
      </c>
      <c r="AF1212" s="4">
        <v>16307966080</v>
      </c>
      <c r="AH1212" t="str">
        <f>"541511"</f>
        <v>541511</v>
      </c>
      <c r="AI1212" t="s">
        <v>287</v>
      </c>
      <c r="AJ1212" t="s">
        <v>14839</v>
      </c>
      <c r="AK1212" t="s">
        <v>5620</v>
      </c>
      <c r="AM1212" t="s">
        <v>14840</v>
      </c>
      <c r="AN1212" t="s">
        <v>14841</v>
      </c>
      <c r="AO1212" t="s">
        <v>1196</v>
      </c>
      <c r="AP1212" t="s">
        <v>263</v>
      </c>
      <c r="AQ1212" s="5">
        <v>60173</v>
      </c>
      <c r="AR1212" t="s">
        <v>128</v>
      </c>
      <c r="AT1212" s="4">
        <v>16307960690</v>
      </c>
      <c r="AV1212" t="s">
        <v>1289</v>
      </c>
      <c r="AW1212" t="s">
        <v>14842</v>
      </c>
      <c r="AX1212" t="s">
        <v>131</v>
      </c>
      <c r="AY1212" t="s">
        <v>131</v>
      </c>
      <c r="AZ1212" t="s">
        <v>131</v>
      </c>
      <c r="BA1212" t="s">
        <v>131</v>
      </c>
      <c r="BB1212" t="s">
        <v>131</v>
      </c>
      <c r="BC1212" t="s">
        <v>131</v>
      </c>
      <c r="BD1212" t="s">
        <v>131</v>
      </c>
      <c r="BE1212" t="s">
        <v>132</v>
      </c>
      <c r="BH1212" t="s">
        <v>542</v>
      </c>
      <c r="BI1212" t="s">
        <v>131</v>
      </c>
      <c r="BL1212" t="s">
        <v>188</v>
      </c>
      <c r="BN1212" t="s">
        <v>20049</v>
      </c>
      <c r="BO1212" t="s">
        <v>131</v>
      </c>
      <c r="BP1212" t="s">
        <v>134</v>
      </c>
      <c r="BQ1212" t="s">
        <v>131</v>
      </c>
      <c r="BS1212" t="str">
        <f t="shared" si="87"/>
        <v>N/A</v>
      </c>
      <c r="BT1212" t="s">
        <v>131</v>
      </c>
      <c r="BV1212" t="str">
        <f>""</f>
        <v/>
      </c>
      <c r="BW1212" t="s">
        <v>131</v>
      </c>
      <c r="BX1212" t="str">
        <f>""</f>
        <v/>
      </c>
      <c r="BY1212" t="str">
        <f>""</f>
        <v/>
      </c>
      <c r="BZ1212" t="str">
        <f>""</f>
        <v/>
      </c>
      <c r="CA1212" t="str">
        <f>""</f>
        <v/>
      </c>
      <c r="CB1212" t="s">
        <v>135</v>
      </c>
      <c r="CC1212" t="s">
        <v>133</v>
      </c>
      <c r="CE1212" t="s">
        <v>14844</v>
      </c>
      <c r="CF1212" t="s">
        <v>131</v>
      </c>
      <c r="CH1212" t="str">
        <f>"N/A"</f>
        <v>N/A</v>
      </c>
      <c r="CI1212" t="s">
        <v>135</v>
      </c>
      <c r="CJ1212">
        <v>60</v>
      </c>
      <c r="CK1212" t="s">
        <v>131</v>
      </c>
      <c r="CL1212" t="str">
        <f>""</f>
        <v/>
      </c>
      <c r="CM1212" t="str">
        <f>""</f>
        <v/>
      </c>
      <c r="CN1212" t="str">
        <f>""</f>
        <v/>
      </c>
      <c r="CO1212" t="str">
        <f>""</f>
        <v/>
      </c>
      <c r="CP1212" t="str">
        <f>"15-1132.00"</f>
        <v>15-1132.00</v>
      </c>
      <c r="CQ1212" t="s">
        <v>198</v>
      </c>
      <c r="CR1212" t="s">
        <v>460</v>
      </c>
      <c r="CS1212" t="s">
        <v>135</v>
      </c>
      <c r="CT1212" t="s">
        <v>6353</v>
      </c>
      <c r="CU1212" t="s">
        <v>20050</v>
      </c>
      <c r="CV1212" t="s">
        <v>14843</v>
      </c>
      <c r="CW1212" t="s">
        <v>1196</v>
      </c>
      <c r="CX1212" t="s">
        <v>263</v>
      </c>
      <c r="CZ1212" s="3" t="str">
        <f>"60173"</f>
        <v>60173</v>
      </c>
      <c r="DA1212" t="s">
        <v>131</v>
      </c>
      <c r="DB1212" t="str">
        <f>""</f>
        <v/>
      </c>
      <c r="DF1212" t="str">
        <f>""</f>
        <v/>
      </c>
    </row>
    <row r="1213" spans="1:110" ht="15" customHeight="1" x14ac:dyDescent="0.35">
      <c r="A1213" t="s">
        <v>18714</v>
      </c>
      <c r="B1213" t="s">
        <v>138</v>
      </c>
      <c r="C1213" s="1">
        <v>44320</v>
      </c>
      <c r="G1213" s="1">
        <v>44323</v>
      </c>
      <c r="H1213" t="s">
        <v>125</v>
      </c>
      <c r="I1213" t="s">
        <v>13643</v>
      </c>
      <c r="J1213" t="s">
        <v>8204</v>
      </c>
      <c r="L1213" t="s">
        <v>6221</v>
      </c>
      <c r="M1213" t="s">
        <v>1395</v>
      </c>
      <c r="O1213" t="s">
        <v>1396</v>
      </c>
      <c r="P1213" t="s">
        <v>256</v>
      </c>
      <c r="Q1213" s="3">
        <v>64116</v>
      </c>
      <c r="R1213" t="s">
        <v>128</v>
      </c>
      <c r="T1213" s="4">
        <v>18162215444</v>
      </c>
      <c r="V1213" t="s">
        <v>1397</v>
      </c>
      <c r="W1213" t="s">
        <v>7166</v>
      </c>
      <c r="Y1213" t="s">
        <v>16100</v>
      </c>
      <c r="AA1213" t="s">
        <v>11796</v>
      </c>
      <c r="AB1213" t="s">
        <v>149</v>
      </c>
      <c r="AC1213" s="3" t="str">
        <f>"98006"</f>
        <v>98006</v>
      </c>
      <c r="AD1213" t="s">
        <v>128</v>
      </c>
      <c r="AF1213" s="4">
        <v>18162215444</v>
      </c>
      <c r="AH1213" t="str">
        <f>"51731"</f>
        <v>51731</v>
      </c>
      <c r="AI1213" t="s">
        <v>130</v>
      </c>
      <c r="AJ1213" t="s">
        <v>9703</v>
      </c>
      <c r="AK1213" t="s">
        <v>18715</v>
      </c>
      <c r="AM1213" t="s">
        <v>1395</v>
      </c>
      <c r="AO1213" t="s">
        <v>1396</v>
      </c>
      <c r="AP1213" t="s">
        <v>258</v>
      </c>
      <c r="AQ1213" s="5">
        <v>64116</v>
      </c>
      <c r="AR1213" t="s">
        <v>128</v>
      </c>
      <c r="AT1213" s="4">
        <v>18162215444</v>
      </c>
      <c r="AV1213" t="s">
        <v>11202</v>
      </c>
      <c r="AW1213" t="s">
        <v>1398</v>
      </c>
      <c r="AX1213" t="s">
        <v>131</v>
      </c>
      <c r="AY1213" t="s">
        <v>131</v>
      </c>
      <c r="AZ1213" t="s">
        <v>131</v>
      </c>
      <c r="BA1213" t="s">
        <v>131</v>
      </c>
      <c r="BB1213" t="s">
        <v>131</v>
      </c>
      <c r="BC1213" t="s">
        <v>131</v>
      </c>
      <c r="BD1213" t="s">
        <v>131</v>
      </c>
      <c r="BE1213" t="s">
        <v>132</v>
      </c>
      <c r="BH1213" t="s">
        <v>7167</v>
      </c>
      <c r="BI1213" t="s">
        <v>131</v>
      </c>
      <c r="BL1213" t="s">
        <v>188</v>
      </c>
      <c r="BN1213" t="s">
        <v>4581</v>
      </c>
      <c r="BO1213" t="s">
        <v>131</v>
      </c>
      <c r="BP1213" t="s">
        <v>134</v>
      </c>
      <c r="BQ1213" t="s">
        <v>131</v>
      </c>
      <c r="BS1213" t="str">
        <f t="shared" si="87"/>
        <v>N/A</v>
      </c>
      <c r="BT1213" t="s">
        <v>135</v>
      </c>
      <c r="BU1213">
        <v>36</v>
      </c>
      <c r="BV1213" t="str">
        <f>"Relevant work experience"</f>
        <v>Relevant work experience</v>
      </c>
      <c r="BW1213" t="s">
        <v>131</v>
      </c>
      <c r="BX1213" t="str">
        <f>""</f>
        <v/>
      </c>
      <c r="BY1213" t="str">
        <f>""</f>
        <v/>
      </c>
      <c r="BZ1213" t="str">
        <f>""</f>
        <v/>
      </c>
      <c r="CA1213" t="str">
        <f>""</f>
        <v/>
      </c>
      <c r="CB1213" t="s">
        <v>135</v>
      </c>
      <c r="CC1213" t="s">
        <v>133</v>
      </c>
      <c r="CE1213" t="s">
        <v>5069</v>
      </c>
      <c r="CF1213" t="s">
        <v>131</v>
      </c>
      <c r="CH1213" t="str">
        <f>"N/A"</f>
        <v>N/A</v>
      </c>
      <c r="CI1213" t="s">
        <v>135</v>
      </c>
      <c r="CJ1213">
        <v>60</v>
      </c>
      <c r="CK1213" t="s">
        <v>131</v>
      </c>
      <c r="CL1213" t="str">
        <f>""</f>
        <v/>
      </c>
      <c r="CM1213" t="str">
        <f>""</f>
        <v/>
      </c>
      <c r="CN1213" t="str">
        <f>""</f>
        <v/>
      </c>
      <c r="CO1213" t="str">
        <f>""</f>
        <v/>
      </c>
      <c r="CP1213" t="str">
        <f>"15-1132.00"</f>
        <v>15-1132.00</v>
      </c>
      <c r="CQ1213" t="s">
        <v>198</v>
      </c>
      <c r="CR1213" t="s">
        <v>18716</v>
      </c>
      <c r="CS1213" t="s">
        <v>131</v>
      </c>
      <c r="CU1213" t="s">
        <v>12593</v>
      </c>
      <c r="CW1213" t="s">
        <v>797</v>
      </c>
      <c r="CX1213" t="s">
        <v>306</v>
      </c>
      <c r="CZ1213" s="3" t="str">
        <f>"20191"</f>
        <v>20191</v>
      </c>
      <c r="DA1213" t="s">
        <v>131</v>
      </c>
      <c r="DB1213" t="str">
        <f>""</f>
        <v/>
      </c>
      <c r="DF1213" t="str">
        <f>""</f>
        <v/>
      </c>
    </row>
    <row r="1214" spans="1:110" ht="15" customHeight="1" x14ac:dyDescent="0.35">
      <c r="A1214" t="s">
        <v>16802</v>
      </c>
      <c r="B1214" t="s">
        <v>138</v>
      </c>
      <c r="C1214" s="1">
        <v>44320</v>
      </c>
      <c r="G1214" s="1">
        <v>44320</v>
      </c>
      <c r="H1214" t="s">
        <v>125</v>
      </c>
      <c r="I1214" t="s">
        <v>956</v>
      </c>
      <c r="J1214" t="s">
        <v>16803</v>
      </c>
      <c r="K1214" t="s">
        <v>1568</v>
      </c>
      <c r="L1214" t="s">
        <v>130</v>
      </c>
      <c r="M1214" t="s">
        <v>16804</v>
      </c>
      <c r="N1214" t="s">
        <v>2136</v>
      </c>
      <c r="O1214" t="s">
        <v>1891</v>
      </c>
      <c r="P1214" t="s">
        <v>818</v>
      </c>
      <c r="Q1214" s="3">
        <v>30024</v>
      </c>
      <c r="R1214" t="s">
        <v>128</v>
      </c>
      <c r="T1214" s="4">
        <v>14047819212</v>
      </c>
      <c r="V1214" t="s">
        <v>1892</v>
      </c>
      <c r="W1214" t="s">
        <v>16094</v>
      </c>
      <c r="Y1214" t="s">
        <v>9956</v>
      </c>
      <c r="AA1214" t="s">
        <v>9957</v>
      </c>
      <c r="AC1214" s="3" t="str">
        <f>"30566"</f>
        <v>30566</v>
      </c>
      <c r="AD1214" t="s">
        <v>643</v>
      </c>
      <c r="AE1214" t="s">
        <v>818</v>
      </c>
      <c r="AF1214" s="4">
        <v>17705382120</v>
      </c>
      <c r="AH1214" t="str">
        <f>"311615"</f>
        <v>311615</v>
      </c>
      <c r="AI1214" t="s">
        <v>130</v>
      </c>
      <c r="AJ1214" t="s">
        <v>956</v>
      </c>
      <c r="AK1214" t="s">
        <v>2408</v>
      </c>
      <c r="AL1214" t="s">
        <v>2409</v>
      </c>
      <c r="AM1214" t="s">
        <v>9158</v>
      </c>
      <c r="AN1214" t="s">
        <v>1890</v>
      </c>
      <c r="AO1214" t="s">
        <v>1891</v>
      </c>
      <c r="AP1214" t="s">
        <v>643</v>
      </c>
      <c r="AQ1214" s="5">
        <v>30024</v>
      </c>
      <c r="AR1214" t="s">
        <v>128</v>
      </c>
      <c r="AT1214" s="4">
        <v>14047819212</v>
      </c>
      <c r="AV1214" t="s">
        <v>1892</v>
      </c>
      <c r="AW1214" t="s">
        <v>9159</v>
      </c>
      <c r="AX1214" t="s">
        <v>131</v>
      </c>
      <c r="AY1214" t="s">
        <v>131</v>
      </c>
      <c r="AZ1214" t="s">
        <v>131</v>
      </c>
      <c r="BA1214" t="s">
        <v>131</v>
      </c>
      <c r="BB1214" t="s">
        <v>131</v>
      </c>
      <c r="BC1214" t="s">
        <v>131</v>
      </c>
      <c r="BD1214" t="s">
        <v>131</v>
      </c>
      <c r="BE1214" t="s">
        <v>132</v>
      </c>
      <c r="BH1214" t="s">
        <v>16095</v>
      </c>
      <c r="BI1214" t="s">
        <v>131</v>
      </c>
      <c r="BL1214" t="s">
        <v>167</v>
      </c>
      <c r="BO1214" t="s">
        <v>131</v>
      </c>
      <c r="BP1214" t="s">
        <v>134</v>
      </c>
      <c r="BQ1214" t="s">
        <v>131</v>
      </c>
      <c r="BS1214" t="str">
        <f t="shared" si="87"/>
        <v>N/A</v>
      </c>
      <c r="BT1214" t="s">
        <v>131</v>
      </c>
      <c r="BV1214" t="str">
        <f>""</f>
        <v/>
      </c>
      <c r="BW1214" t="s">
        <v>131</v>
      </c>
      <c r="BX1214" t="str">
        <f>""</f>
        <v/>
      </c>
      <c r="BY1214" t="str">
        <f>""</f>
        <v/>
      </c>
      <c r="BZ1214" t="str">
        <f>""</f>
        <v/>
      </c>
      <c r="CA1214" t="str">
        <f>""</f>
        <v/>
      </c>
      <c r="CB1214" t="s">
        <v>131</v>
      </c>
      <c r="CF1214" t="s">
        <v>131</v>
      </c>
      <c r="CH1214" t="str">
        <f>""</f>
        <v/>
      </c>
      <c r="CI1214" t="s">
        <v>131</v>
      </c>
      <c r="CK1214" t="s">
        <v>131</v>
      </c>
      <c r="CL1214" t="str">
        <f>""</f>
        <v/>
      </c>
      <c r="CM1214" t="str">
        <f>""</f>
        <v/>
      </c>
      <c r="CN1214" t="str">
        <f>""</f>
        <v/>
      </c>
      <c r="CO1214" t="str">
        <f>""</f>
        <v/>
      </c>
      <c r="CP1214" t="str">
        <f>"51-3022.00"</f>
        <v>51-3022.00</v>
      </c>
      <c r="CQ1214" t="s">
        <v>1114</v>
      </c>
      <c r="CR1214" t="s">
        <v>1114</v>
      </c>
      <c r="CS1214" t="s">
        <v>131</v>
      </c>
      <c r="CU1214" t="s">
        <v>16096</v>
      </c>
      <c r="CW1214" t="s">
        <v>16097</v>
      </c>
      <c r="CX1214" t="s">
        <v>643</v>
      </c>
      <c r="CZ1214" s="3" t="str">
        <f>"30567"</f>
        <v>30567</v>
      </c>
      <c r="DA1214" t="s">
        <v>131</v>
      </c>
      <c r="DB1214" t="str">
        <f>""</f>
        <v/>
      </c>
      <c r="DF1214" t="str">
        <f>""</f>
        <v/>
      </c>
    </row>
    <row r="1215" spans="1:110" ht="15" customHeight="1" x14ac:dyDescent="0.35">
      <c r="A1215" t="s">
        <v>15091</v>
      </c>
      <c r="B1215" t="s">
        <v>138</v>
      </c>
      <c r="C1215" s="1">
        <v>44320</v>
      </c>
      <c r="G1215" s="1">
        <v>44333</v>
      </c>
      <c r="H1215" t="s">
        <v>125</v>
      </c>
      <c r="I1215" t="s">
        <v>4751</v>
      </c>
      <c r="J1215" t="s">
        <v>3391</v>
      </c>
      <c r="K1215" t="s">
        <v>655</v>
      </c>
      <c r="L1215" t="s">
        <v>126</v>
      </c>
      <c r="M1215" t="s">
        <v>4752</v>
      </c>
      <c r="N1215" t="s">
        <v>4753</v>
      </c>
      <c r="O1215" t="s">
        <v>1034</v>
      </c>
      <c r="P1215" t="s">
        <v>593</v>
      </c>
      <c r="Q1215" s="3">
        <v>27615</v>
      </c>
      <c r="R1215" t="s">
        <v>128</v>
      </c>
      <c r="T1215" s="4">
        <v>19196474820</v>
      </c>
      <c r="V1215" t="s">
        <v>4756</v>
      </c>
      <c r="W1215" t="s">
        <v>4755</v>
      </c>
      <c r="Y1215" t="s">
        <v>13167</v>
      </c>
      <c r="Z1215" t="s">
        <v>3267</v>
      </c>
      <c r="AA1215" t="s">
        <v>10409</v>
      </c>
      <c r="AB1215" t="s">
        <v>779</v>
      </c>
      <c r="AC1215" s="3" t="str">
        <f>"38017"</f>
        <v>38017</v>
      </c>
      <c r="AD1215" t="s">
        <v>128</v>
      </c>
      <c r="AF1215" s="4">
        <v>19012634909</v>
      </c>
      <c r="AH1215" t="str">
        <f>"4921"</f>
        <v>4921</v>
      </c>
      <c r="AI1215" t="s">
        <v>130</v>
      </c>
      <c r="AJ1215" t="s">
        <v>4751</v>
      </c>
      <c r="AK1215" t="s">
        <v>3391</v>
      </c>
      <c r="AL1215" t="s">
        <v>655</v>
      </c>
      <c r="AM1215" t="s">
        <v>13619</v>
      </c>
      <c r="AN1215" t="s">
        <v>4753</v>
      </c>
      <c r="AO1215" t="s">
        <v>1034</v>
      </c>
      <c r="AP1215" t="s">
        <v>594</v>
      </c>
      <c r="AQ1215" s="5">
        <v>27615</v>
      </c>
      <c r="AR1215" t="s">
        <v>128</v>
      </c>
      <c r="AT1215" s="4">
        <v>19196474820</v>
      </c>
      <c r="AV1215" t="s">
        <v>4754</v>
      </c>
      <c r="AW1215" t="s">
        <v>4757</v>
      </c>
      <c r="AX1215" t="s">
        <v>131</v>
      </c>
      <c r="AY1215" t="s">
        <v>131</v>
      </c>
      <c r="AZ1215" t="s">
        <v>131</v>
      </c>
      <c r="BA1215" t="s">
        <v>131</v>
      </c>
      <c r="BB1215" t="s">
        <v>131</v>
      </c>
      <c r="BC1215" t="s">
        <v>131</v>
      </c>
      <c r="BD1215" t="s">
        <v>131</v>
      </c>
      <c r="BE1215" t="s">
        <v>132</v>
      </c>
      <c r="BH1215" t="s">
        <v>13168</v>
      </c>
      <c r="BI1215" t="s">
        <v>131</v>
      </c>
      <c r="BL1215" t="s">
        <v>188</v>
      </c>
      <c r="BN1215" t="s">
        <v>15092</v>
      </c>
      <c r="BO1215" t="s">
        <v>131</v>
      </c>
      <c r="BP1215" t="s">
        <v>134</v>
      </c>
      <c r="BQ1215" t="s">
        <v>131</v>
      </c>
      <c r="BS1215" t="str">
        <f t="shared" si="87"/>
        <v>N/A</v>
      </c>
      <c r="BT1215" t="s">
        <v>135</v>
      </c>
      <c r="BU1215">
        <v>12</v>
      </c>
      <c r="BV1215" t="str">
        <f>"INFORMATION TECHNOLOGY OR ENGINEERING ENVIRONMENT "</f>
        <v xml:space="preserve">INFORMATION TECHNOLOGY OR ENGINEERING ENVIRONMENT </v>
      </c>
      <c r="BW1215" t="s">
        <v>135</v>
      </c>
      <c r="BX1215" t="str">
        <f>""</f>
        <v/>
      </c>
      <c r="BY1215" t="str">
        <f>""</f>
        <v/>
      </c>
      <c r="BZ1215" t="str">
        <f>""</f>
        <v/>
      </c>
      <c r="CA1215" s="2" t="s">
        <v>15093</v>
      </c>
      <c r="CB1215" t="s">
        <v>135</v>
      </c>
      <c r="CC1215" t="s">
        <v>133</v>
      </c>
      <c r="CE1215" t="s">
        <v>13169</v>
      </c>
      <c r="CF1215" t="s">
        <v>131</v>
      </c>
      <c r="CH1215" t="str">
        <f>"N/A"</f>
        <v>N/A</v>
      </c>
      <c r="CI1215" t="s">
        <v>135</v>
      </c>
      <c r="CJ1215">
        <v>36</v>
      </c>
      <c r="CK1215" t="s">
        <v>131</v>
      </c>
      <c r="CL1215" t="str">
        <f>""</f>
        <v/>
      </c>
      <c r="CM1215" t="str">
        <f>""</f>
        <v/>
      </c>
      <c r="CN1215" t="str">
        <f>""</f>
        <v/>
      </c>
      <c r="CO1215" t="str">
        <f>""</f>
        <v/>
      </c>
      <c r="CP1215" t="str">
        <f>"15-1132.00"</f>
        <v>15-1132.00</v>
      </c>
      <c r="CQ1215" t="s">
        <v>198</v>
      </c>
      <c r="CR1215" t="s">
        <v>7895</v>
      </c>
      <c r="CS1215" t="s">
        <v>131</v>
      </c>
      <c r="CU1215" t="s">
        <v>15094</v>
      </c>
      <c r="CV1215" t="s">
        <v>5891</v>
      </c>
      <c r="CW1215" t="s">
        <v>4822</v>
      </c>
      <c r="CX1215" t="s">
        <v>195</v>
      </c>
      <c r="CZ1215" s="3" t="str">
        <f>"32810"</f>
        <v>32810</v>
      </c>
      <c r="DA1215" t="s">
        <v>131</v>
      </c>
      <c r="DB1215" t="str">
        <f>""</f>
        <v/>
      </c>
      <c r="DF1215" t="str">
        <f>""</f>
        <v/>
      </c>
    </row>
    <row r="1216" spans="1:110" ht="15" customHeight="1" x14ac:dyDescent="0.35">
      <c r="A1216" t="s">
        <v>7629</v>
      </c>
      <c r="B1216" t="s">
        <v>138</v>
      </c>
      <c r="C1216" s="1">
        <v>44320</v>
      </c>
      <c r="G1216" s="1">
        <v>44321</v>
      </c>
      <c r="H1216" t="s">
        <v>125</v>
      </c>
      <c r="I1216" t="s">
        <v>7630</v>
      </c>
      <c r="J1216" t="s">
        <v>6030</v>
      </c>
      <c r="L1216" t="s">
        <v>7631</v>
      </c>
      <c r="M1216" t="s">
        <v>7632</v>
      </c>
      <c r="O1216" t="s">
        <v>7633</v>
      </c>
      <c r="P1216" t="s">
        <v>194</v>
      </c>
      <c r="Q1216" s="3">
        <v>33016</v>
      </c>
      <c r="R1216" t="s">
        <v>128</v>
      </c>
      <c r="T1216" s="4">
        <v>13059041696</v>
      </c>
      <c r="V1216" t="s">
        <v>7634</v>
      </c>
      <c r="W1216" t="s">
        <v>7635</v>
      </c>
      <c r="Y1216" t="s">
        <v>7636</v>
      </c>
      <c r="AA1216" t="s">
        <v>7637</v>
      </c>
      <c r="AB1216" t="s">
        <v>195</v>
      </c>
      <c r="AC1216" s="3" t="str">
        <f>"33016"</f>
        <v>33016</v>
      </c>
      <c r="AD1216" t="s">
        <v>128</v>
      </c>
      <c r="AF1216" s="4">
        <v>13059041696</v>
      </c>
      <c r="AH1216" t="str">
        <f>"424460"</f>
        <v>424460</v>
      </c>
      <c r="AI1216" t="s">
        <v>130</v>
      </c>
      <c r="AJ1216" t="s">
        <v>7638</v>
      </c>
      <c r="AK1216" t="s">
        <v>2441</v>
      </c>
      <c r="AM1216" t="s">
        <v>7639</v>
      </c>
      <c r="AN1216" t="s">
        <v>7640</v>
      </c>
      <c r="AO1216" t="s">
        <v>7641</v>
      </c>
      <c r="AP1216" t="s">
        <v>195</v>
      </c>
      <c r="AQ1216" s="5">
        <v>33021</v>
      </c>
      <c r="AR1216" t="s">
        <v>128</v>
      </c>
      <c r="AT1216" s="4">
        <v>19548433494</v>
      </c>
      <c r="AV1216" t="s">
        <v>7642</v>
      </c>
      <c r="AW1216" t="s">
        <v>7643</v>
      </c>
      <c r="AX1216" t="s">
        <v>131</v>
      </c>
      <c r="AY1216" t="s">
        <v>131</v>
      </c>
      <c r="AZ1216" t="s">
        <v>131</v>
      </c>
      <c r="BA1216" t="s">
        <v>131</v>
      </c>
      <c r="BB1216" t="s">
        <v>131</v>
      </c>
      <c r="BC1216" t="s">
        <v>131</v>
      </c>
      <c r="BD1216" t="s">
        <v>131</v>
      </c>
      <c r="BE1216" t="s">
        <v>132</v>
      </c>
      <c r="BH1216" t="s">
        <v>7644</v>
      </c>
      <c r="BI1216" t="s">
        <v>131</v>
      </c>
      <c r="BL1216" t="s">
        <v>133</v>
      </c>
      <c r="BN1216" t="s">
        <v>7645</v>
      </c>
      <c r="BO1216" t="s">
        <v>131</v>
      </c>
      <c r="BP1216" t="s">
        <v>134</v>
      </c>
      <c r="BQ1216" t="s">
        <v>131</v>
      </c>
      <c r="BS1216" t="str">
        <f t="shared" si="87"/>
        <v>N/A</v>
      </c>
      <c r="BT1216" t="s">
        <v>135</v>
      </c>
      <c r="BU1216">
        <v>24</v>
      </c>
      <c r="BV1216" t="str">
        <f>"Accountant, Senior Accountant, Auditor, Financial Auditor, Financial Consultant, Cost Accountant."</f>
        <v>Accountant, Senior Accountant, Auditor, Financial Auditor, Financial Consultant, Cost Accountant.</v>
      </c>
      <c r="BW1216" t="s">
        <v>135</v>
      </c>
      <c r="BX1216" t="str">
        <f>""</f>
        <v/>
      </c>
      <c r="BY1216" t="str">
        <f>""</f>
        <v/>
      </c>
      <c r="BZ1216" t="str">
        <f>""</f>
        <v/>
      </c>
      <c r="CA1216" t="s">
        <v>7646</v>
      </c>
      <c r="CB1216" t="s">
        <v>131</v>
      </c>
      <c r="CF1216" t="s">
        <v>131</v>
      </c>
      <c r="CH1216" t="str">
        <f>""</f>
        <v/>
      </c>
      <c r="CI1216" t="s">
        <v>131</v>
      </c>
      <c r="CK1216" t="s">
        <v>131</v>
      </c>
      <c r="CL1216" t="str">
        <f>""</f>
        <v/>
      </c>
      <c r="CM1216" t="str">
        <f>""</f>
        <v/>
      </c>
      <c r="CN1216" t="str">
        <f>""</f>
        <v/>
      </c>
      <c r="CO1216" t="str">
        <f>""</f>
        <v/>
      </c>
      <c r="CP1216" t="str">
        <f>"13-2011.00"</f>
        <v>13-2011.00</v>
      </c>
      <c r="CQ1216" t="s">
        <v>672</v>
      </c>
      <c r="CR1216" t="s">
        <v>1281</v>
      </c>
      <c r="CS1216" t="s">
        <v>135</v>
      </c>
      <c r="CT1216" t="s">
        <v>7647</v>
      </c>
      <c r="CU1216" t="s">
        <v>7648</v>
      </c>
      <c r="CW1216" t="s">
        <v>7637</v>
      </c>
      <c r="CX1216" t="s">
        <v>195</v>
      </c>
      <c r="CZ1216" s="3" t="str">
        <f>"33016"</f>
        <v>33016</v>
      </c>
      <c r="DA1216" t="s">
        <v>131</v>
      </c>
      <c r="DB1216" t="str">
        <f>""</f>
        <v/>
      </c>
      <c r="DF1216" t="str">
        <f>""</f>
        <v/>
      </c>
    </row>
    <row r="1217" spans="1:110" ht="15" customHeight="1" x14ac:dyDescent="0.35">
      <c r="A1217" t="s">
        <v>14243</v>
      </c>
      <c r="B1217" t="s">
        <v>138</v>
      </c>
      <c r="C1217" s="1">
        <v>44320</v>
      </c>
      <c r="G1217" s="1">
        <v>44334</v>
      </c>
      <c r="H1217" t="s">
        <v>125</v>
      </c>
      <c r="I1217" t="s">
        <v>4751</v>
      </c>
      <c r="J1217" t="s">
        <v>3391</v>
      </c>
      <c r="K1217" t="s">
        <v>655</v>
      </c>
      <c r="L1217" t="s">
        <v>126</v>
      </c>
      <c r="M1217" t="s">
        <v>4752</v>
      </c>
      <c r="N1217" t="s">
        <v>4753</v>
      </c>
      <c r="O1217" t="s">
        <v>1034</v>
      </c>
      <c r="P1217" t="s">
        <v>593</v>
      </c>
      <c r="Q1217" s="3">
        <v>27615</v>
      </c>
      <c r="R1217" t="s">
        <v>128</v>
      </c>
      <c r="T1217" s="4">
        <v>19196474820</v>
      </c>
      <c r="V1217" t="s">
        <v>4756</v>
      </c>
      <c r="W1217" t="s">
        <v>13618</v>
      </c>
      <c r="Y1217" t="s">
        <v>13167</v>
      </c>
      <c r="Z1217" t="s">
        <v>3267</v>
      </c>
      <c r="AA1217" t="s">
        <v>10409</v>
      </c>
      <c r="AB1217" t="s">
        <v>779</v>
      </c>
      <c r="AC1217" s="3" t="str">
        <f>"38017"</f>
        <v>38017</v>
      </c>
      <c r="AD1217" t="s">
        <v>128</v>
      </c>
      <c r="AF1217" s="4">
        <v>19012634909</v>
      </c>
      <c r="AH1217" t="str">
        <f>"4921"</f>
        <v>4921</v>
      </c>
      <c r="AI1217" t="s">
        <v>130</v>
      </c>
      <c r="AJ1217" t="s">
        <v>4751</v>
      </c>
      <c r="AK1217" t="s">
        <v>3391</v>
      </c>
      <c r="AL1217" t="s">
        <v>655</v>
      </c>
      <c r="AM1217" t="s">
        <v>4752</v>
      </c>
      <c r="AN1217" t="s">
        <v>4753</v>
      </c>
      <c r="AO1217" t="s">
        <v>1034</v>
      </c>
      <c r="AP1217" t="s">
        <v>594</v>
      </c>
      <c r="AQ1217" s="5">
        <v>27615</v>
      </c>
      <c r="AR1217" t="s">
        <v>128</v>
      </c>
      <c r="AT1217" s="4">
        <v>19196474820</v>
      </c>
      <c r="AV1217" t="s">
        <v>4754</v>
      </c>
      <c r="AW1217" t="s">
        <v>4757</v>
      </c>
      <c r="AX1217" t="s">
        <v>131</v>
      </c>
      <c r="AY1217" t="s">
        <v>131</v>
      </c>
      <c r="AZ1217" t="s">
        <v>131</v>
      </c>
      <c r="BA1217" t="s">
        <v>131</v>
      </c>
      <c r="BB1217" t="s">
        <v>131</v>
      </c>
      <c r="BC1217" t="s">
        <v>131</v>
      </c>
      <c r="BD1217" t="s">
        <v>131</v>
      </c>
      <c r="BE1217" t="s">
        <v>132</v>
      </c>
      <c r="BH1217" t="s">
        <v>14244</v>
      </c>
      <c r="BI1217" t="s">
        <v>131</v>
      </c>
      <c r="BL1217" t="s">
        <v>188</v>
      </c>
      <c r="BN1217" t="s">
        <v>13169</v>
      </c>
      <c r="BO1217" t="s">
        <v>131</v>
      </c>
      <c r="BP1217" t="s">
        <v>134</v>
      </c>
      <c r="BQ1217" t="s">
        <v>131</v>
      </c>
      <c r="BS1217" t="str">
        <f t="shared" si="87"/>
        <v>N/A</v>
      </c>
      <c r="BT1217" t="s">
        <v>135</v>
      </c>
      <c r="BU1217">
        <v>36</v>
      </c>
      <c r="BV1217" t="str">
        <f>"INFORMATION TECHNOLOGY OR ENGINEERING ENVIRONMENT"</f>
        <v>INFORMATION TECHNOLOGY OR ENGINEERING ENVIRONMENT</v>
      </c>
      <c r="BW1217" t="s">
        <v>135</v>
      </c>
      <c r="BX1217" t="str">
        <f>""</f>
        <v/>
      </c>
      <c r="BY1217" t="str">
        <f>""</f>
        <v/>
      </c>
      <c r="BZ1217" t="str">
        <f>""</f>
        <v/>
      </c>
      <c r="CA1217" t="s">
        <v>14245</v>
      </c>
      <c r="CB1217" t="s">
        <v>135</v>
      </c>
      <c r="CC1217" t="s">
        <v>133</v>
      </c>
      <c r="CE1217" t="s">
        <v>13169</v>
      </c>
      <c r="CF1217" t="s">
        <v>131</v>
      </c>
      <c r="CH1217" t="str">
        <f>"N/A"</f>
        <v>N/A</v>
      </c>
      <c r="CI1217" t="s">
        <v>135</v>
      </c>
      <c r="CJ1217">
        <v>60</v>
      </c>
      <c r="CK1217" t="s">
        <v>131</v>
      </c>
      <c r="CL1217" t="str">
        <f>""</f>
        <v/>
      </c>
      <c r="CM1217" t="str">
        <f>""</f>
        <v/>
      </c>
      <c r="CN1217" t="str">
        <f>""</f>
        <v/>
      </c>
      <c r="CO1217" t="str">
        <f>""</f>
        <v/>
      </c>
      <c r="CP1217" t="str">
        <f>"15-1199.06"</f>
        <v>15-1199.06</v>
      </c>
      <c r="CQ1217" t="s">
        <v>988</v>
      </c>
      <c r="CR1217" t="s">
        <v>14246</v>
      </c>
      <c r="CS1217" t="s">
        <v>131</v>
      </c>
      <c r="CU1217" t="s">
        <v>14247</v>
      </c>
      <c r="CV1217" t="s">
        <v>375</v>
      </c>
      <c r="CW1217" t="s">
        <v>4970</v>
      </c>
      <c r="CX1217" t="s">
        <v>779</v>
      </c>
      <c r="CZ1217" s="3" t="str">
        <f>"38017"</f>
        <v>38017</v>
      </c>
      <c r="DA1217" t="s">
        <v>131</v>
      </c>
      <c r="DB1217" t="str">
        <f>""</f>
        <v/>
      </c>
      <c r="DF1217" t="str">
        <f>""</f>
        <v/>
      </c>
    </row>
    <row r="1218" spans="1:110" ht="15" customHeight="1" x14ac:dyDescent="0.35">
      <c r="A1218" t="s">
        <v>10892</v>
      </c>
      <c r="B1218" t="s">
        <v>138</v>
      </c>
      <c r="C1218" s="1">
        <v>44320</v>
      </c>
      <c r="G1218" s="1">
        <v>44320</v>
      </c>
      <c r="H1218" t="s">
        <v>125</v>
      </c>
      <c r="I1218" t="s">
        <v>7008</v>
      </c>
      <c r="J1218" t="s">
        <v>5650</v>
      </c>
      <c r="K1218" t="s">
        <v>1221</v>
      </c>
      <c r="L1218" t="s">
        <v>1287</v>
      </c>
      <c r="M1218" t="s">
        <v>7009</v>
      </c>
      <c r="N1218" t="s">
        <v>5495</v>
      </c>
      <c r="O1218" t="s">
        <v>791</v>
      </c>
      <c r="P1218" t="s">
        <v>178</v>
      </c>
      <c r="Q1218" s="3">
        <v>92101</v>
      </c>
      <c r="R1218" t="s">
        <v>128</v>
      </c>
      <c r="T1218" s="4">
        <v>16192361551</v>
      </c>
      <c r="V1218" t="s">
        <v>7516</v>
      </c>
      <c r="W1218" t="s">
        <v>9049</v>
      </c>
      <c r="Y1218" t="s">
        <v>9050</v>
      </c>
      <c r="Z1218" t="s">
        <v>997</v>
      </c>
      <c r="AA1218" t="s">
        <v>220</v>
      </c>
      <c r="AB1218" t="s">
        <v>172</v>
      </c>
      <c r="AC1218" s="3" t="str">
        <f>"94103"</f>
        <v>94103</v>
      </c>
      <c r="AD1218" t="s">
        <v>128</v>
      </c>
      <c r="AF1218" s="4">
        <v>14157280115</v>
      </c>
      <c r="AH1218" t="str">
        <f>"561599"</f>
        <v>561599</v>
      </c>
      <c r="AI1218" t="s">
        <v>130</v>
      </c>
      <c r="AJ1218" t="s">
        <v>7008</v>
      </c>
      <c r="AK1218" t="s">
        <v>5650</v>
      </c>
      <c r="AL1218" t="s">
        <v>1221</v>
      </c>
      <c r="AM1218" t="s">
        <v>7009</v>
      </c>
      <c r="AN1218" t="s">
        <v>5495</v>
      </c>
      <c r="AO1218" t="s">
        <v>2707</v>
      </c>
      <c r="AP1218" t="s">
        <v>172</v>
      </c>
      <c r="AQ1218" s="5">
        <v>92101</v>
      </c>
      <c r="AR1218" t="s">
        <v>128</v>
      </c>
      <c r="AT1218" s="4">
        <v>16192361551</v>
      </c>
      <c r="AV1218" t="s">
        <v>7517</v>
      </c>
      <c r="AW1218" t="s">
        <v>7518</v>
      </c>
      <c r="AX1218" t="s">
        <v>131</v>
      </c>
      <c r="AY1218" t="s">
        <v>131</v>
      </c>
      <c r="AZ1218" t="s">
        <v>131</v>
      </c>
      <c r="BA1218" t="s">
        <v>131</v>
      </c>
      <c r="BB1218" t="s">
        <v>131</v>
      </c>
      <c r="BC1218" t="s">
        <v>131</v>
      </c>
      <c r="BD1218" t="s">
        <v>131</v>
      </c>
      <c r="BE1218" t="s">
        <v>132</v>
      </c>
      <c r="BH1218" t="s">
        <v>542</v>
      </c>
      <c r="BI1218" t="s">
        <v>131</v>
      </c>
      <c r="BL1218" t="s">
        <v>188</v>
      </c>
      <c r="BN1218" t="s">
        <v>9054</v>
      </c>
      <c r="BO1218" t="s">
        <v>131</v>
      </c>
      <c r="BP1218" t="s">
        <v>134</v>
      </c>
      <c r="BQ1218" t="s">
        <v>131</v>
      </c>
      <c r="BS1218" t="str">
        <f t="shared" si="87"/>
        <v>N/A</v>
      </c>
      <c r="BT1218" t="s">
        <v>135</v>
      </c>
      <c r="BU1218">
        <v>36</v>
      </c>
      <c r="BV1218" t="str">
        <f>"job offered or in Software Engineering"</f>
        <v>job offered or in Software Engineering</v>
      </c>
      <c r="BW1218" t="s">
        <v>135</v>
      </c>
      <c r="BX1218" t="str">
        <f>""</f>
        <v/>
      </c>
      <c r="BY1218" t="str">
        <f>""</f>
        <v/>
      </c>
      <c r="BZ1218" t="str">
        <f>""</f>
        <v/>
      </c>
      <c r="CA1218" t="s">
        <v>9055</v>
      </c>
      <c r="CB1218" t="s">
        <v>131</v>
      </c>
      <c r="CF1218" t="s">
        <v>131</v>
      </c>
      <c r="CH1218" t="str">
        <f>""</f>
        <v/>
      </c>
      <c r="CI1218" t="s">
        <v>131</v>
      </c>
      <c r="CK1218" t="s">
        <v>131</v>
      </c>
      <c r="CL1218" t="str">
        <f>""</f>
        <v/>
      </c>
      <c r="CM1218" t="str">
        <f>""</f>
        <v/>
      </c>
      <c r="CN1218" t="str">
        <f>""</f>
        <v/>
      </c>
      <c r="CO1218" t="str">
        <f>""</f>
        <v/>
      </c>
      <c r="CP1218" t="str">
        <f>"15-1132.00"</f>
        <v>15-1132.00</v>
      </c>
      <c r="CQ1218" t="s">
        <v>198</v>
      </c>
      <c r="CR1218" t="s">
        <v>1400</v>
      </c>
      <c r="CS1218" t="s">
        <v>131</v>
      </c>
      <c r="CU1218" t="s">
        <v>9050</v>
      </c>
      <c r="CV1218" t="s">
        <v>997</v>
      </c>
      <c r="CW1218" t="s">
        <v>220</v>
      </c>
      <c r="CX1218" t="s">
        <v>172</v>
      </c>
      <c r="CZ1218" s="3" t="str">
        <f>"94103"</f>
        <v>94103</v>
      </c>
      <c r="DA1218" t="s">
        <v>131</v>
      </c>
      <c r="DB1218" t="str">
        <f>""</f>
        <v/>
      </c>
      <c r="DF1218" t="str">
        <f>""</f>
        <v/>
      </c>
    </row>
    <row r="1219" spans="1:110" ht="15" customHeight="1" x14ac:dyDescent="0.35">
      <c r="A1219" t="s">
        <v>6467</v>
      </c>
      <c r="B1219" t="s">
        <v>138</v>
      </c>
      <c r="C1219" s="1">
        <v>44320</v>
      </c>
      <c r="G1219" s="1">
        <v>44320</v>
      </c>
      <c r="H1219" t="s">
        <v>125</v>
      </c>
      <c r="I1219" t="s">
        <v>6468</v>
      </c>
      <c r="J1219" t="s">
        <v>6469</v>
      </c>
      <c r="K1219" t="s">
        <v>2128</v>
      </c>
      <c r="L1219" t="s">
        <v>6470</v>
      </c>
      <c r="M1219" t="s">
        <v>6471</v>
      </c>
      <c r="N1219" t="s">
        <v>565</v>
      </c>
      <c r="O1219" t="s">
        <v>1012</v>
      </c>
      <c r="P1219" t="s">
        <v>1004</v>
      </c>
      <c r="Q1219" s="3">
        <v>84107</v>
      </c>
      <c r="R1219" t="s">
        <v>128</v>
      </c>
      <c r="T1219" s="4">
        <v>13854289528</v>
      </c>
      <c r="V1219" t="s">
        <v>6472</v>
      </c>
      <c r="W1219" t="s">
        <v>6473</v>
      </c>
      <c r="Y1219" t="s">
        <v>6471</v>
      </c>
      <c r="Z1219" t="s">
        <v>565</v>
      </c>
      <c r="AA1219" t="s">
        <v>1012</v>
      </c>
      <c r="AB1219" t="s">
        <v>1008</v>
      </c>
      <c r="AC1219" s="3" t="str">
        <f>"84107"</f>
        <v>84107</v>
      </c>
      <c r="AD1219" t="s">
        <v>128</v>
      </c>
      <c r="AF1219" s="4">
        <v>13854289528</v>
      </c>
      <c r="AH1219" t="str">
        <f>"61131"</f>
        <v>61131</v>
      </c>
      <c r="AI1219" t="s">
        <v>130</v>
      </c>
      <c r="AJ1219" t="s">
        <v>2036</v>
      </c>
      <c r="AK1219" t="s">
        <v>2429</v>
      </c>
      <c r="AL1219" t="s">
        <v>694</v>
      </c>
      <c r="AM1219" t="s">
        <v>6474</v>
      </c>
      <c r="AN1219" t="s">
        <v>940</v>
      </c>
      <c r="AO1219" t="s">
        <v>1012</v>
      </c>
      <c r="AP1219" t="s">
        <v>1008</v>
      </c>
      <c r="AQ1219" s="5">
        <v>84111</v>
      </c>
      <c r="AR1219" t="s">
        <v>128</v>
      </c>
      <c r="AT1219" s="4">
        <v>18013235940</v>
      </c>
      <c r="AV1219" t="s">
        <v>6475</v>
      </c>
      <c r="AW1219" t="s">
        <v>6476</v>
      </c>
      <c r="AX1219" t="s">
        <v>135</v>
      </c>
      <c r="AY1219" t="s">
        <v>135</v>
      </c>
      <c r="AZ1219" t="s">
        <v>131</v>
      </c>
      <c r="BA1219" t="s">
        <v>131</v>
      </c>
      <c r="BB1219" t="s">
        <v>134</v>
      </c>
      <c r="BC1219" t="s">
        <v>131</v>
      </c>
      <c r="BD1219" t="s">
        <v>131</v>
      </c>
      <c r="BE1219" t="s">
        <v>132</v>
      </c>
      <c r="BH1219" t="s">
        <v>4416</v>
      </c>
      <c r="BI1219" t="s">
        <v>131</v>
      </c>
      <c r="BL1219" t="s">
        <v>133</v>
      </c>
      <c r="BN1219" t="s">
        <v>6477</v>
      </c>
      <c r="BO1219" t="s">
        <v>131</v>
      </c>
      <c r="BP1219" t="s">
        <v>134</v>
      </c>
      <c r="BQ1219" t="s">
        <v>131</v>
      </c>
      <c r="BS1219" t="str">
        <f t="shared" si="87"/>
        <v>N/A</v>
      </c>
      <c r="BT1219" t="s">
        <v>135</v>
      </c>
      <c r="BU1219">
        <v>48</v>
      </c>
      <c r="BV1219" t="str">
        <f>"Software Engineer or closely related position"</f>
        <v>Software Engineer or closely related position</v>
      </c>
      <c r="BW1219" t="s">
        <v>135</v>
      </c>
      <c r="BX1219" t="str">
        <f>""</f>
        <v/>
      </c>
      <c r="BY1219" t="str">
        <f>""</f>
        <v/>
      </c>
      <c r="BZ1219" t="str">
        <f>""</f>
        <v/>
      </c>
      <c r="CA1219" s="2" t="s">
        <v>6478</v>
      </c>
      <c r="CB1219" t="s">
        <v>135</v>
      </c>
      <c r="CC1219" t="s">
        <v>188</v>
      </c>
      <c r="CE1219" t="s">
        <v>6479</v>
      </c>
      <c r="CF1219" t="s">
        <v>131</v>
      </c>
      <c r="CH1219" t="str">
        <f>"N/A"</f>
        <v>N/A</v>
      </c>
      <c r="CI1219" t="s">
        <v>135</v>
      </c>
      <c r="CJ1219">
        <v>24</v>
      </c>
      <c r="CK1219" t="s">
        <v>135</v>
      </c>
      <c r="CL1219" t="str">
        <f>""</f>
        <v/>
      </c>
      <c r="CM1219" t="str">
        <f>""</f>
        <v/>
      </c>
      <c r="CN1219" t="str">
        <f>""</f>
        <v/>
      </c>
      <c r="CO1219" t="str">
        <f>"Developing web-based applications and web services using SQL, AWS, Java, REST and JSON, including interfacing with Oracle databases and integrating third-party products with existing infrastructure."</f>
        <v>Developing web-based applications and web services using SQL, AWS, Java, REST and JSON, including interfacing with Oracle databases and integrating third-party products with existing infrastructure.</v>
      </c>
      <c r="CP1219" t="str">
        <f>"15-1034.00"</f>
        <v>15-1034.00</v>
      </c>
      <c r="CQ1219" t="s">
        <v>6480</v>
      </c>
      <c r="CR1219" t="s">
        <v>596</v>
      </c>
      <c r="CS1219" t="s">
        <v>131</v>
      </c>
      <c r="CU1219" t="s">
        <v>6471</v>
      </c>
      <c r="CV1219" t="s">
        <v>565</v>
      </c>
      <c r="CW1219" t="s">
        <v>1012</v>
      </c>
      <c r="CX1219" t="s">
        <v>1008</v>
      </c>
      <c r="CZ1219" s="3" t="str">
        <f>"84107"</f>
        <v>84107</v>
      </c>
      <c r="DA1219" t="s">
        <v>131</v>
      </c>
      <c r="DB1219" t="str">
        <f>""</f>
        <v/>
      </c>
      <c r="DF1219" t="str">
        <f>""</f>
        <v/>
      </c>
    </row>
    <row r="1220" spans="1:110" ht="15" customHeight="1" x14ac:dyDescent="0.35">
      <c r="A1220" t="s">
        <v>7378</v>
      </c>
      <c r="B1220" t="s">
        <v>138</v>
      </c>
      <c r="C1220" s="1">
        <v>44320</v>
      </c>
      <c r="G1220" s="1">
        <v>44320</v>
      </c>
      <c r="H1220" t="s">
        <v>125</v>
      </c>
      <c r="I1220" t="s">
        <v>1552</v>
      </c>
      <c r="J1220" t="s">
        <v>1553</v>
      </c>
      <c r="L1220" t="s">
        <v>1554</v>
      </c>
      <c r="M1220" t="s">
        <v>1555</v>
      </c>
      <c r="O1220" t="s">
        <v>1556</v>
      </c>
      <c r="P1220" t="s">
        <v>178</v>
      </c>
      <c r="Q1220" s="3">
        <v>95014</v>
      </c>
      <c r="R1220" t="s">
        <v>128</v>
      </c>
      <c r="T1220" s="4">
        <v>14089742562</v>
      </c>
      <c r="V1220" t="s">
        <v>1557</v>
      </c>
      <c r="W1220" t="s">
        <v>1558</v>
      </c>
      <c r="Y1220" t="s">
        <v>1559</v>
      </c>
      <c r="AA1220" t="s">
        <v>1560</v>
      </c>
      <c r="AB1220" t="s">
        <v>172</v>
      </c>
      <c r="AC1220" s="3" t="str">
        <f>"95014"</f>
        <v>95014</v>
      </c>
      <c r="AD1220" t="s">
        <v>128</v>
      </c>
      <c r="AF1220" s="4">
        <v>14089742562</v>
      </c>
      <c r="AH1220" t="str">
        <f>"334111"</f>
        <v>334111</v>
      </c>
      <c r="AI1220" t="s">
        <v>130</v>
      </c>
      <c r="AJ1220" t="s">
        <v>1561</v>
      </c>
      <c r="AK1220" t="s">
        <v>1562</v>
      </c>
      <c r="AL1220" t="s">
        <v>602</v>
      </c>
      <c r="AM1220" t="s">
        <v>1563</v>
      </c>
      <c r="AN1220" t="s">
        <v>997</v>
      </c>
      <c r="AO1220" t="s">
        <v>220</v>
      </c>
      <c r="AP1220" t="s">
        <v>172</v>
      </c>
      <c r="AQ1220" s="5">
        <v>94111</v>
      </c>
      <c r="AR1220" t="s">
        <v>128</v>
      </c>
      <c r="AT1220" s="4">
        <v>14159861446</v>
      </c>
      <c r="AV1220" t="s">
        <v>1564</v>
      </c>
      <c r="AW1220" t="s">
        <v>386</v>
      </c>
      <c r="AX1220" t="s">
        <v>131</v>
      </c>
      <c r="AY1220" t="s">
        <v>131</v>
      </c>
      <c r="AZ1220" t="s">
        <v>131</v>
      </c>
      <c r="BA1220" t="s">
        <v>131</v>
      </c>
      <c r="BB1220" t="s">
        <v>131</v>
      </c>
      <c r="BC1220" t="s">
        <v>131</v>
      </c>
      <c r="BD1220" t="s">
        <v>131</v>
      </c>
      <c r="BE1220" t="s">
        <v>160</v>
      </c>
      <c r="BF1220" t="s">
        <v>3360</v>
      </c>
      <c r="BG1220" s="1">
        <v>44270</v>
      </c>
      <c r="BH1220" t="s">
        <v>7379</v>
      </c>
      <c r="BI1220" t="s">
        <v>131</v>
      </c>
      <c r="BL1220" t="s">
        <v>188</v>
      </c>
      <c r="BN1220" t="s">
        <v>1566</v>
      </c>
      <c r="BO1220" t="s">
        <v>131</v>
      </c>
      <c r="BP1220" t="s">
        <v>134</v>
      </c>
      <c r="BQ1220" t="s">
        <v>131</v>
      </c>
      <c r="BS1220" t="str">
        <f t="shared" si="87"/>
        <v>N/A</v>
      </c>
      <c r="BT1220" t="s">
        <v>135</v>
      </c>
      <c r="BU1220">
        <v>24</v>
      </c>
      <c r="BV1220" t="str">
        <f>"Please See Section F.a.2."</f>
        <v>Please See Section F.a.2.</v>
      </c>
      <c r="BW1220" t="s">
        <v>131</v>
      </c>
      <c r="BX1220" t="str">
        <f>""</f>
        <v/>
      </c>
      <c r="BY1220" t="str">
        <f>""</f>
        <v/>
      </c>
      <c r="BZ1220" t="str">
        <f>""</f>
        <v/>
      </c>
      <c r="CA1220" t="str">
        <f>""</f>
        <v/>
      </c>
      <c r="CB1220" t="s">
        <v>131</v>
      </c>
      <c r="CF1220" t="s">
        <v>131</v>
      </c>
      <c r="CH1220" t="str">
        <f>""</f>
        <v/>
      </c>
      <c r="CI1220" t="s">
        <v>131</v>
      </c>
      <c r="CK1220" t="s">
        <v>131</v>
      </c>
      <c r="CL1220" t="str">
        <f>""</f>
        <v/>
      </c>
      <c r="CM1220" t="str">
        <f>""</f>
        <v/>
      </c>
      <c r="CN1220" t="str">
        <f>""</f>
        <v/>
      </c>
      <c r="CO1220" t="str">
        <f>""</f>
        <v/>
      </c>
      <c r="CP1220" t="str">
        <f>"17-2141.00"</f>
        <v>17-2141.00</v>
      </c>
      <c r="CQ1220" t="s">
        <v>518</v>
      </c>
      <c r="CR1220" t="s">
        <v>460</v>
      </c>
      <c r="CS1220" t="s">
        <v>135</v>
      </c>
      <c r="CT1220" t="s">
        <v>7380</v>
      </c>
      <c r="CU1220" t="s">
        <v>1555</v>
      </c>
      <c r="CW1220" t="s">
        <v>1556</v>
      </c>
      <c r="CX1220" t="s">
        <v>172</v>
      </c>
      <c r="CZ1220" s="3" t="str">
        <f>"95014"</f>
        <v>95014</v>
      </c>
      <c r="DA1220" t="s">
        <v>131</v>
      </c>
      <c r="DB1220" t="str">
        <f>""</f>
        <v/>
      </c>
      <c r="DF1220" t="str">
        <f>""</f>
        <v/>
      </c>
    </row>
    <row r="1221" spans="1:110" ht="15" customHeight="1" x14ac:dyDescent="0.35">
      <c r="A1221" t="s">
        <v>19318</v>
      </c>
      <c r="B1221" t="s">
        <v>138</v>
      </c>
      <c r="C1221" s="1">
        <v>44320</v>
      </c>
      <c r="G1221" s="1">
        <v>44320</v>
      </c>
      <c r="H1221" t="s">
        <v>125</v>
      </c>
      <c r="I1221" t="s">
        <v>956</v>
      </c>
      <c r="J1221" t="s">
        <v>2408</v>
      </c>
      <c r="K1221" t="s">
        <v>2409</v>
      </c>
      <c r="L1221" t="s">
        <v>130</v>
      </c>
      <c r="M1221" t="s">
        <v>16804</v>
      </c>
      <c r="N1221" t="s">
        <v>2136</v>
      </c>
      <c r="O1221" t="s">
        <v>1891</v>
      </c>
      <c r="P1221" t="s">
        <v>818</v>
      </c>
      <c r="Q1221" s="3">
        <v>30024</v>
      </c>
      <c r="R1221" t="s">
        <v>128</v>
      </c>
      <c r="T1221" s="4">
        <v>14047818212</v>
      </c>
      <c r="V1221" t="s">
        <v>1892</v>
      </c>
      <c r="W1221" t="s">
        <v>17713</v>
      </c>
      <c r="X1221" t="s">
        <v>134</v>
      </c>
      <c r="Y1221" t="s">
        <v>17714</v>
      </c>
      <c r="Z1221" t="s">
        <v>134</v>
      </c>
      <c r="AA1221" t="s">
        <v>17715</v>
      </c>
      <c r="AB1221" t="s">
        <v>172</v>
      </c>
      <c r="AC1221" s="3" t="str">
        <f>"92675"</f>
        <v>92675</v>
      </c>
      <c r="AD1221" t="s">
        <v>128</v>
      </c>
      <c r="AF1221" s="4">
        <v>19494810685</v>
      </c>
      <c r="AH1221" t="str">
        <f>"541614"</f>
        <v>541614</v>
      </c>
      <c r="AI1221" t="s">
        <v>130</v>
      </c>
      <c r="AJ1221" t="s">
        <v>956</v>
      </c>
      <c r="AK1221" t="s">
        <v>1887</v>
      </c>
      <c r="AL1221" t="s">
        <v>1888</v>
      </c>
      <c r="AM1221" t="s">
        <v>1889</v>
      </c>
      <c r="AN1221" t="s">
        <v>2136</v>
      </c>
      <c r="AO1221" t="s">
        <v>1891</v>
      </c>
      <c r="AP1221" t="s">
        <v>643</v>
      </c>
      <c r="AQ1221" s="5">
        <v>30024</v>
      </c>
      <c r="AR1221" t="s">
        <v>128</v>
      </c>
      <c r="AT1221" s="4">
        <v>14047819212</v>
      </c>
      <c r="AV1221" t="s">
        <v>1892</v>
      </c>
      <c r="AW1221" t="s">
        <v>9159</v>
      </c>
      <c r="AX1221" t="s">
        <v>131</v>
      </c>
      <c r="AY1221" t="s">
        <v>131</v>
      </c>
      <c r="AZ1221" t="s">
        <v>131</v>
      </c>
      <c r="BA1221" t="s">
        <v>131</v>
      </c>
      <c r="BB1221" t="s">
        <v>131</v>
      </c>
      <c r="BC1221" t="s">
        <v>131</v>
      </c>
      <c r="BD1221" t="s">
        <v>131</v>
      </c>
      <c r="BE1221" t="s">
        <v>132</v>
      </c>
      <c r="BH1221" t="s">
        <v>17716</v>
      </c>
      <c r="BI1221" t="s">
        <v>131</v>
      </c>
      <c r="BL1221" t="s">
        <v>167</v>
      </c>
      <c r="BO1221" t="s">
        <v>131</v>
      </c>
      <c r="BP1221" t="s">
        <v>134</v>
      </c>
      <c r="BQ1221" t="s">
        <v>131</v>
      </c>
      <c r="BS1221" t="str">
        <f t="shared" si="87"/>
        <v>N/A</v>
      </c>
      <c r="BT1221" t="s">
        <v>131</v>
      </c>
      <c r="BV1221" t="str">
        <f>""</f>
        <v/>
      </c>
      <c r="BW1221" t="s">
        <v>131</v>
      </c>
      <c r="BX1221" t="str">
        <f>""</f>
        <v/>
      </c>
      <c r="BY1221" t="str">
        <f>""</f>
        <v/>
      </c>
      <c r="BZ1221" t="str">
        <f>""</f>
        <v/>
      </c>
      <c r="CA1221" t="str">
        <f>""</f>
        <v/>
      </c>
      <c r="CB1221" t="s">
        <v>131</v>
      </c>
      <c r="CF1221" t="s">
        <v>131</v>
      </c>
      <c r="CH1221" t="str">
        <f>""</f>
        <v/>
      </c>
      <c r="CI1221" t="s">
        <v>131</v>
      </c>
      <c r="CK1221" t="s">
        <v>131</v>
      </c>
      <c r="CL1221" t="str">
        <f>""</f>
        <v/>
      </c>
      <c r="CM1221" t="str">
        <f>""</f>
        <v/>
      </c>
      <c r="CN1221" t="str">
        <f>""</f>
        <v/>
      </c>
      <c r="CO1221" t="str">
        <f>""</f>
        <v/>
      </c>
      <c r="CP1221" t="str">
        <f>"53-7062.00"</f>
        <v>53-7062.00</v>
      </c>
      <c r="CQ1221" t="s">
        <v>1030</v>
      </c>
      <c r="CR1221" t="s">
        <v>1030</v>
      </c>
      <c r="CS1221" t="s">
        <v>131</v>
      </c>
      <c r="CU1221" t="s">
        <v>17717</v>
      </c>
      <c r="CV1221" t="s">
        <v>134</v>
      </c>
      <c r="CW1221" t="s">
        <v>17409</v>
      </c>
      <c r="CX1221" t="s">
        <v>1512</v>
      </c>
      <c r="CZ1221" s="3" t="str">
        <f>"97015"</f>
        <v>97015</v>
      </c>
      <c r="DA1221" t="s">
        <v>131</v>
      </c>
      <c r="DB1221" t="str">
        <f>""</f>
        <v/>
      </c>
      <c r="DF1221" t="str">
        <f>""</f>
        <v/>
      </c>
    </row>
    <row r="1222" spans="1:110" ht="15" customHeight="1" x14ac:dyDescent="0.35">
      <c r="A1222" t="s">
        <v>18556</v>
      </c>
      <c r="B1222" t="s">
        <v>138</v>
      </c>
      <c r="C1222" s="1">
        <v>44320</v>
      </c>
      <c r="G1222" s="1">
        <v>44334</v>
      </c>
      <c r="H1222" t="s">
        <v>125</v>
      </c>
      <c r="I1222" t="s">
        <v>3332</v>
      </c>
      <c r="J1222" t="s">
        <v>15345</v>
      </c>
      <c r="L1222" t="s">
        <v>18557</v>
      </c>
      <c r="M1222" t="s">
        <v>15346</v>
      </c>
      <c r="O1222" t="s">
        <v>3886</v>
      </c>
      <c r="P1222" t="s">
        <v>311</v>
      </c>
      <c r="Q1222" s="3">
        <v>19355</v>
      </c>
      <c r="R1222" t="s">
        <v>128</v>
      </c>
      <c r="T1222" s="4">
        <v>14843284630</v>
      </c>
      <c r="V1222" t="s">
        <v>15347</v>
      </c>
      <c r="W1222" t="s">
        <v>15348</v>
      </c>
      <c r="Y1222" t="s">
        <v>15346</v>
      </c>
      <c r="AA1222" t="s">
        <v>3886</v>
      </c>
      <c r="AB1222" t="s">
        <v>312</v>
      </c>
      <c r="AC1222" s="3" t="str">
        <f>"19355"</f>
        <v>19355</v>
      </c>
      <c r="AD1222" t="s">
        <v>128</v>
      </c>
      <c r="AF1222" s="4">
        <v>14843284630</v>
      </c>
      <c r="AH1222" t="str">
        <f>"541511"</f>
        <v>541511</v>
      </c>
      <c r="AI1222" t="s">
        <v>130</v>
      </c>
      <c r="AJ1222" t="s">
        <v>5659</v>
      </c>
      <c r="AK1222" t="s">
        <v>1060</v>
      </c>
      <c r="AM1222" t="s">
        <v>5660</v>
      </c>
      <c r="AN1222" t="s">
        <v>611</v>
      </c>
      <c r="AO1222" t="s">
        <v>1812</v>
      </c>
      <c r="AP1222" t="s">
        <v>195</v>
      </c>
      <c r="AQ1222" s="5">
        <v>33431</v>
      </c>
      <c r="AR1222" t="s">
        <v>128</v>
      </c>
      <c r="AT1222" s="4">
        <v>15619622114</v>
      </c>
      <c r="AV1222" t="s">
        <v>5661</v>
      </c>
      <c r="AW1222" t="s">
        <v>5071</v>
      </c>
      <c r="AX1222" t="s">
        <v>131</v>
      </c>
      <c r="AY1222" t="s">
        <v>131</v>
      </c>
      <c r="AZ1222" t="s">
        <v>131</v>
      </c>
      <c r="BA1222" t="s">
        <v>131</v>
      </c>
      <c r="BB1222" t="s">
        <v>131</v>
      </c>
      <c r="BC1222" t="s">
        <v>131</v>
      </c>
      <c r="BD1222" t="s">
        <v>131</v>
      </c>
      <c r="BE1222" t="s">
        <v>132</v>
      </c>
      <c r="BH1222" t="s">
        <v>18558</v>
      </c>
      <c r="BI1222" t="s">
        <v>131</v>
      </c>
      <c r="BL1222" t="s">
        <v>133</v>
      </c>
      <c r="BN1222" t="s">
        <v>11088</v>
      </c>
      <c r="BO1222" t="s">
        <v>131</v>
      </c>
      <c r="BP1222" t="s">
        <v>134</v>
      </c>
      <c r="BQ1222" t="s">
        <v>131</v>
      </c>
      <c r="BS1222" t="str">
        <f t="shared" si="87"/>
        <v>N/A</v>
      </c>
      <c r="BT1222" t="s">
        <v>135</v>
      </c>
      <c r="BU1222">
        <v>60</v>
      </c>
      <c r="BV1222" t="str">
        <f>"Job offered, Consulting Manager, or Computer-Related Occupation."</f>
        <v>Job offered, Consulting Manager, or Computer-Related Occupation.</v>
      </c>
      <c r="BW1222" t="s">
        <v>135</v>
      </c>
      <c r="BX1222" t="str">
        <f>""</f>
        <v/>
      </c>
      <c r="BY1222" t="str">
        <f>""</f>
        <v/>
      </c>
      <c r="BZ1222" t="str">
        <f>""</f>
        <v/>
      </c>
      <c r="CA1222" t="s">
        <v>18559</v>
      </c>
      <c r="CB1222" t="s">
        <v>131</v>
      </c>
      <c r="CF1222" t="s">
        <v>131</v>
      </c>
      <c r="CH1222" t="str">
        <f>""</f>
        <v/>
      </c>
      <c r="CI1222" t="s">
        <v>131</v>
      </c>
      <c r="CK1222" t="s">
        <v>131</v>
      </c>
      <c r="CL1222" t="str">
        <f>""</f>
        <v/>
      </c>
      <c r="CM1222" t="str">
        <f>""</f>
        <v/>
      </c>
      <c r="CN1222" t="str">
        <f>""</f>
        <v/>
      </c>
      <c r="CO1222" t="str">
        <f>""</f>
        <v/>
      </c>
      <c r="CP1222" t="str">
        <f>"15-1199.09"</f>
        <v>15-1199.09</v>
      </c>
      <c r="CQ1222" t="s">
        <v>697</v>
      </c>
      <c r="CR1222" t="s">
        <v>15349</v>
      </c>
      <c r="CS1222" t="s">
        <v>135</v>
      </c>
      <c r="CT1222" t="s">
        <v>4948</v>
      </c>
      <c r="CU1222" t="s">
        <v>15350</v>
      </c>
      <c r="CV1222" t="s">
        <v>15351</v>
      </c>
      <c r="CW1222" t="s">
        <v>15352</v>
      </c>
      <c r="CX1222" t="s">
        <v>276</v>
      </c>
      <c r="CZ1222" s="3" t="str">
        <f>"07733"</f>
        <v>07733</v>
      </c>
      <c r="DA1222" t="s">
        <v>131</v>
      </c>
      <c r="DB1222" t="str">
        <f>""</f>
        <v/>
      </c>
      <c r="DF1222" t="str">
        <f>""</f>
        <v/>
      </c>
    </row>
    <row r="1223" spans="1:110" ht="15" customHeight="1" x14ac:dyDescent="0.35">
      <c r="A1223" t="s">
        <v>17222</v>
      </c>
      <c r="B1223" t="s">
        <v>138</v>
      </c>
      <c r="C1223" s="1">
        <v>44320</v>
      </c>
      <c r="G1223" s="1">
        <v>44321</v>
      </c>
      <c r="H1223" t="s">
        <v>125</v>
      </c>
      <c r="I1223" t="s">
        <v>12079</v>
      </c>
      <c r="J1223" t="s">
        <v>12080</v>
      </c>
      <c r="L1223" t="s">
        <v>1281</v>
      </c>
      <c r="M1223" t="s">
        <v>12081</v>
      </c>
      <c r="O1223" t="s">
        <v>998</v>
      </c>
      <c r="P1223" t="s">
        <v>178</v>
      </c>
      <c r="Q1223" s="3">
        <v>90248</v>
      </c>
      <c r="R1223" t="s">
        <v>128</v>
      </c>
      <c r="T1223" s="4">
        <v>13105157091</v>
      </c>
      <c r="V1223" t="s">
        <v>17223</v>
      </c>
      <c r="W1223" t="s">
        <v>12082</v>
      </c>
      <c r="Y1223" t="s">
        <v>12081</v>
      </c>
      <c r="AA1223" t="s">
        <v>998</v>
      </c>
      <c r="AB1223" t="s">
        <v>172</v>
      </c>
      <c r="AC1223" s="3" t="str">
        <f>"90248"</f>
        <v>90248</v>
      </c>
      <c r="AD1223" t="s">
        <v>128</v>
      </c>
      <c r="AF1223" s="4">
        <v>13105157091</v>
      </c>
      <c r="AH1223" t="str">
        <f>"722511"</f>
        <v>722511</v>
      </c>
      <c r="AI1223" t="s">
        <v>130</v>
      </c>
      <c r="AJ1223" t="s">
        <v>7729</v>
      </c>
      <c r="AK1223" t="s">
        <v>2787</v>
      </c>
      <c r="AM1223" t="s">
        <v>7730</v>
      </c>
      <c r="AO1223" t="s">
        <v>476</v>
      </c>
      <c r="AP1223" t="s">
        <v>172</v>
      </c>
      <c r="AQ1223" s="5">
        <v>90010</v>
      </c>
      <c r="AR1223" t="s">
        <v>128</v>
      </c>
      <c r="AT1223" s="4">
        <v>12133812900</v>
      </c>
      <c r="AV1223" t="s">
        <v>7731</v>
      </c>
      <c r="AW1223" t="s">
        <v>7160</v>
      </c>
      <c r="AX1223" t="s">
        <v>131</v>
      </c>
      <c r="AY1223" t="s">
        <v>131</v>
      </c>
      <c r="AZ1223" t="s">
        <v>131</v>
      </c>
      <c r="BA1223" t="s">
        <v>131</v>
      </c>
      <c r="BB1223" t="s">
        <v>131</v>
      </c>
      <c r="BC1223" t="s">
        <v>131</v>
      </c>
      <c r="BD1223" t="s">
        <v>131</v>
      </c>
      <c r="BE1223" t="s">
        <v>132</v>
      </c>
      <c r="BH1223" t="s">
        <v>12083</v>
      </c>
      <c r="BI1223" t="s">
        <v>135</v>
      </c>
      <c r="BJ1223" t="s">
        <v>2580</v>
      </c>
      <c r="BK1223" t="s">
        <v>2581</v>
      </c>
      <c r="BL1223" t="s">
        <v>401</v>
      </c>
      <c r="BO1223" t="s">
        <v>131</v>
      </c>
      <c r="BP1223" t="s">
        <v>134</v>
      </c>
      <c r="BQ1223" t="s">
        <v>131</v>
      </c>
      <c r="BS1223" t="str">
        <f t="shared" si="87"/>
        <v>N/A</v>
      </c>
      <c r="BT1223" t="s">
        <v>135</v>
      </c>
      <c r="BU1223">
        <v>12</v>
      </c>
      <c r="BV1223" t="str">
        <f>"Japanese Restaurant Manager or equivalent."</f>
        <v>Japanese Restaurant Manager or equivalent.</v>
      </c>
      <c r="BW1223" t="s">
        <v>131</v>
      </c>
      <c r="BX1223" t="str">
        <f>""</f>
        <v/>
      </c>
      <c r="BY1223" t="str">
        <f>""</f>
        <v/>
      </c>
      <c r="BZ1223" t="str">
        <f>""</f>
        <v/>
      </c>
      <c r="CA1223" t="str">
        <f>""</f>
        <v/>
      </c>
      <c r="CB1223" t="s">
        <v>131</v>
      </c>
      <c r="CF1223" t="s">
        <v>131</v>
      </c>
      <c r="CH1223" t="str">
        <f>""</f>
        <v/>
      </c>
      <c r="CI1223" t="s">
        <v>131</v>
      </c>
      <c r="CK1223" t="s">
        <v>131</v>
      </c>
      <c r="CL1223" t="str">
        <f>""</f>
        <v/>
      </c>
      <c r="CM1223" t="str">
        <f>""</f>
        <v/>
      </c>
      <c r="CN1223" t="str">
        <f>""</f>
        <v/>
      </c>
      <c r="CO1223" t="str">
        <f>""</f>
        <v/>
      </c>
      <c r="CP1223" t="str">
        <f>"11-9051.00"</f>
        <v>11-9051.00</v>
      </c>
      <c r="CQ1223" t="s">
        <v>4761</v>
      </c>
      <c r="CR1223" t="s">
        <v>583</v>
      </c>
      <c r="CS1223" t="s">
        <v>131</v>
      </c>
      <c r="CU1223" t="s">
        <v>17224</v>
      </c>
      <c r="CW1223" t="s">
        <v>998</v>
      </c>
      <c r="CX1223" t="s">
        <v>172</v>
      </c>
      <c r="CZ1223" s="3" t="str">
        <f>"90248"</f>
        <v>90248</v>
      </c>
      <c r="DA1223" t="s">
        <v>131</v>
      </c>
      <c r="DB1223" t="str">
        <f>""</f>
        <v/>
      </c>
      <c r="DF1223" t="str">
        <f>""</f>
        <v/>
      </c>
    </row>
    <row r="1224" spans="1:110" ht="15" customHeight="1" x14ac:dyDescent="0.35">
      <c r="A1224" t="s">
        <v>16532</v>
      </c>
      <c r="B1224" t="s">
        <v>138</v>
      </c>
      <c r="C1224" s="1">
        <v>44320</v>
      </c>
      <c r="G1224" s="1">
        <v>44321</v>
      </c>
      <c r="H1224" t="s">
        <v>125</v>
      </c>
      <c r="I1224" t="s">
        <v>3093</v>
      </c>
      <c r="J1224" t="s">
        <v>1057</v>
      </c>
      <c r="K1224" t="s">
        <v>9068</v>
      </c>
      <c r="L1224" t="s">
        <v>3094</v>
      </c>
      <c r="M1224" t="s">
        <v>3095</v>
      </c>
      <c r="N1224" t="s">
        <v>884</v>
      </c>
      <c r="O1224" t="s">
        <v>399</v>
      </c>
      <c r="P1224" t="s">
        <v>412</v>
      </c>
      <c r="Q1224" s="3">
        <v>75225</v>
      </c>
      <c r="R1224" t="s">
        <v>128</v>
      </c>
      <c r="T1224" s="4">
        <v>16026896139</v>
      </c>
      <c r="V1224" t="s">
        <v>3096</v>
      </c>
      <c r="W1224" t="s">
        <v>16533</v>
      </c>
      <c r="Y1224" t="s">
        <v>3097</v>
      </c>
      <c r="Z1224" t="s">
        <v>884</v>
      </c>
      <c r="AA1224" t="s">
        <v>399</v>
      </c>
      <c r="AB1224" t="s">
        <v>400</v>
      </c>
      <c r="AC1224" s="3" t="str">
        <f>"75225"</f>
        <v>75225</v>
      </c>
      <c r="AD1224" t="s">
        <v>128</v>
      </c>
      <c r="AF1224" s="4">
        <v>12143689600</v>
      </c>
      <c r="AH1224" t="str">
        <f>"62111"</f>
        <v>62111</v>
      </c>
      <c r="AI1224" t="s">
        <v>167</v>
      </c>
      <c r="AX1224" t="s">
        <v>131</v>
      </c>
      <c r="AY1224" t="s">
        <v>131</v>
      </c>
      <c r="AZ1224" t="s">
        <v>131</v>
      </c>
      <c r="BA1224" t="s">
        <v>131</v>
      </c>
      <c r="BB1224" t="s">
        <v>131</v>
      </c>
      <c r="BC1224" t="s">
        <v>131</v>
      </c>
      <c r="BD1224" t="s">
        <v>131</v>
      </c>
      <c r="BE1224" t="s">
        <v>132</v>
      </c>
      <c r="BH1224" t="s">
        <v>4341</v>
      </c>
      <c r="BI1224" t="s">
        <v>131</v>
      </c>
      <c r="BL1224" t="s">
        <v>658</v>
      </c>
      <c r="BM1224" t="s">
        <v>3098</v>
      </c>
      <c r="BN1224" t="s">
        <v>659</v>
      </c>
      <c r="BO1224" t="s">
        <v>131</v>
      </c>
      <c r="BP1224" t="s">
        <v>134</v>
      </c>
      <c r="BQ1224" t="s">
        <v>135</v>
      </c>
      <c r="BR1224">
        <v>36</v>
      </c>
      <c r="BS1224" t="str">
        <f>"Residency in Internal Medicine or Family Medicine "</f>
        <v xml:space="preserve">Residency in Internal Medicine or Family Medicine </v>
      </c>
      <c r="BT1224" t="s">
        <v>131</v>
      </c>
      <c r="BV1224" t="str">
        <f>""</f>
        <v/>
      </c>
      <c r="BW1224" t="s">
        <v>135</v>
      </c>
      <c r="BX1224" t="str">
        <f>""</f>
        <v/>
      </c>
      <c r="BY1224" t="str">
        <f>"Must hold or be eligible for a Michigan Medical License "</f>
        <v xml:space="preserve">Must hold or be eligible for a Michigan Medical License </v>
      </c>
      <c r="BZ1224" t="str">
        <f>"completed residency in Internal Medicine or Family Medicine "</f>
        <v xml:space="preserve">completed residency in Internal Medicine or Family Medicine </v>
      </c>
      <c r="CA1224" t="str">
        <f>""</f>
        <v/>
      </c>
      <c r="CB1224" t="s">
        <v>131</v>
      </c>
      <c r="CF1224" t="s">
        <v>131</v>
      </c>
      <c r="CH1224" t="str">
        <f>""</f>
        <v/>
      </c>
      <c r="CI1224" t="s">
        <v>131</v>
      </c>
      <c r="CK1224" t="s">
        <v>131</v>
      </c>
      <c r="CL1224" t="str">
        <f>""</f>
        <v/>
      </c>
      <c r="CM1224" t="str">
        <f>""</f>
        <v/>
      </c>
      <c r="CN1224" t="str">
        <f>""</f>
        <v/>
      </c>
      <c r="CO1224" t="str">
        <f>""</f>
        <v/>
      </c>
      <c r="CP1224" t="str">
        <f>"29-1069.03"</f>
        <v>29-1069.03</v>
      </c>
      <c r="CQ1224" t="s">
        <v>660</v>
      </c>
      <c r="CR1224" t="s">
        <v>3099</v>
      </c>
      <c r="CS1224" t="s">
        <v>131</v>
      </c>
      <c r="CU1224" t="s">
        <v>16534</v>
      </c>
      <c r="CW1224" t="s">
        <v>16535</v>
      </c>
      <c r="CX1224" t="s">
        <v>511</v>
      </c>
      <c r="CZ1224" s="3" t="str">
        <f>"49770"</f>
        <v>49770</v>
      </c>
      <c r="DA1224" t="s">
        <v>131</v>
      </c>
      <c r="DB1224" t="str">
        <f>""</f>
        <v/>
      </c>
      <c r="DF1224" t="str">
        <f>""</f>
        <v/>
      </c>
    </row>
    <row r="1225" spans="1:110" ht="15" customHeight="1" x14ac:dyDescent="0.35">
      <c r="A1225" t="s">
        <v>9048</v>
      </c>
      <c r="B1225" t="s">
        <v>138</v>
      </c>
      <c r="C1225" s="1">
        <v>44320</v>
      </c>
      <c r="G1225" s="1">
        <v>44323</v>
      </c>
      <c r="H1225" t="s">
        <v>125</v>
      </c>
      <c r="I1225" t="s">
        <v>7008</v>
      </c>
      <c r="J1225" t="s">
        <v>5650</v>
      </c>
      <c r="K1225" t="s">
        <v>1221</v>
      </c>
      <c r="L1225" t="s">
        <v>1287</v>
      </c>
      <c r="M1225" t="s">
        <v>7009</v>
      </c>
      <c r="N1225" t="s">
        <v>5495</v>
      </c>
      <c r="O1225" t="s">
        <v>791</v>
      </c>
      <c r="P1225" t="s">
        <v>178</v>
      </c>
      <c r="Q1225" s="3">
        <v>92101</v>
      </c>
      <c r="R1225" t="s">
        <v>128</v>
      </c>
      <c r="T1225" s="4">
        <v>16192361551</v>
      </c>
      <c r="V1225" t="s">
        <v>7516</v>
      </c>
      <c r="W1225" t="s">
        <v>9049</v>
      </c>
      <c r="Y1225" t="s">
        <v>9050</v>
      </c>
      <c r="Z1225" t="s">
        <v>997</v>
      </c>
      <c r="AA1225" t="s">
        <v>220</v>
      </c>
      <c r="AB1225" t="s">
        <v>172</v>
      </c>
      <c r="AC1225" s="3" t="str">
        <f>"94103"</f>
        <v>94103</v>
      </c>
      <c r="AD1225" t="s">
        <v>128</v>
      </c>
      <c r="AF1225" s="4">
        <v>14157280115</v>
      </c>
      <c r="AH1225" t="str">
        <f>"561599"</f>
        <v>561599</v>
      </c>
      <c r="AI1225" t="s">
        <v>287</v>
      </c>
      <c r="AJ1225" t="s">
        <v>9051</v>
      </c>
      <c r="AK1225" t="s">
        <v>9052</v>
      </c>
      <c r="AM1225" t="s">
        <v>9050</v>
      </c>
      <c r="AN1225" t="s">
        <v>997</v>
      </c>
      <c r="AO1225" t="s">
        <v>220</v>
      </c>
      <c r="AP1225" t="s">
        <v>172</v>
      </c>
      <c r="AQ1225" s="5">
        <v>94103</v>
      </c>
      <c r="AR1225" t="s">
        <v>128</v>
      </c>
      <c r="AT1225" s="4">
        <v>14157280115</v>
      </c>
      <c r="AV1225" t="s">
        <v>9053</v>
      </c>
      <c r="AW1225" t="s">
        <v>9049</v>
      </c>
      <c r="AX1225" t="s">
        <v>131</v>
      </c>
      <c r="AY1225" t="s">
        <v>131</v>
      </c>
      <c r="AZ1225" t="s">
        <v>131</v>
      </c>
      <c r="BA1225" t="s">
        <v>131</v>
      </c>
      <c r="BB1225" t="s">
        <v>131</v>
      </c>
      <c r="BC1225" t="s">
        <v>131</v>
      </c>
      <c r="BD1225" t="s">
        <v>131</v>
      </c>
      <c r="BE1225" t="s">
        <v>132</v>
      </c>
      <c r="BH1225" t="s">
        <v>542</v>
      </c>
      <c r="BI1225" t="s">
        <v>131</v>
      </c>
      <c r="BL1225" t="s">
        <v>188</v>
      </c>
      <c r="BN1225" t="s">
        <v>9054</v>
      </c>
      <c r="BO1225" t="s">
        <v>131</v>
      </c>
      <c r="BP1225" t="s">
        <v>134</v>
      </c>
      <c r="BQ1225" t="s">
        <v>131</v>
      </c>
      <c r="BS1225" t="str">
        <f t="shared" ref="BS1225:BS1288" si="88">"N/A"</f>
        <v>N/A</v>
      </c>
      <c r="BT1225" t="s">
        <v>135</v>
      </c>
      <c r="BU1225">
        <v>36</v>
      </c>
      <c r="BV1225" t="str">
        <f>"job offered or in Software Engineering"</f>
        <v>job offered or in Software Engineering</v>
      </c>
      <c r="BW1225" t="s">
        <v>135</v>
      </c>
      <c r="BX1225" t="str">
        <f>""</f>
        <v/>
      </c>
      <c r="BY1225" t="str">
        <f>""</f>
        <v/>
      </c>
      <c r="BZ1225" t="str">
        <f>""</f>
        <v/>
      </c>
      <c r="CA1225" t="s">
        <v>9055</v>
      </c>
      <c r="CB1225" t="s">
        <v>131</v>
      </c>
      <c r="CF1225" t="s">
        <v>131</v>
      </c>
      <c r="CH1225" t="str">
        <f>""</f>
        <v/>
      </c>
      <c r="CI1225" t="s">
        <v>131</v>
      </c>
      <c r="CK1225" t="s">
        <v>131</v>
      </c>
      <c r="CL1225" t="str">
        <f>""</f>
        <v/>
      </c>
      <c r="CM1225" t="str">
        <f>""</f>
        <v/>
      </c>
      <c r="CN1225" t="str">
        <f>""</f>
        <v/>
      </c>
      <c r="CO1225" t="str">
        <f>""</f>
        <v/>
      </c>
      <c r="CP1225" t="str">
        <f>"15-1132.00"</f>
        <v>15-1132.00</v>
      </c>
      <c r="CQ1225" t="s">
        <v>198</v>
      </c>
      <c r="CR1225" t="s">
        <v>542</v>
      </c>
      <c r="CS1225" t="s">
        <v>131</v>
      </c>
      <c r="CU1225" t="s">
        <v>9050</v>
      </c>
      <c r="CV1225" t="s">
        <v>997</v>
      </c>
      <c r="CW1225" t="s">
        <v>220</v>
      </c>
      <c r="CX1225" t="s">
        <v>172</v>
      </c>
      <c r="CZ1225" s="3" t="str">
        <f>"94103"</f>
        <v>94103</v>
      </c>
      <c r="DA1225" t="s">
        <v>131</v>
      </c>
      <c r="DB1225" t="str">
        <f>""</f>
        <v/>
      </c>
      <c r="DF1225" t="str">
        <f>""</f>
        <v/>
      </c>
    </row>
    <row r="1226" spans="1:110" ht="15" customHeight="1" x14ac:dyDescent="0.35">
      <c r="A1226" t="s">
        <v>18611</v>
      </c>
      <c r="B1226" t="s">
        <v>138</v>
      </c>
      <c r="C1226" s="1">
        <v>44320</v>
      </c>
      <c r="G1226" s="1">
        <v>44321</v>
      </c>
      <c r="H1226" t="s">
        <v>125</v>
      </c>
      <c r="I1226" t="s">
        <v>4751</v>
      </c>
      <c r="J1226" t="s">
        <v>3391</v>
      </c>
      <c r="K1226" t="s">
        <v>655</v>
      </c>
      <c r="L1226" t="s">
        <v>126</v>
      </c>
      <c r="M1226" t="s">
        <v>4752</v>
      </c>
      <c r="N1226" t="s">
        <v>4753</v>
      </c>
      <c r="O1226" t="s">
        <v>1034</v>
      </c>
      <c r="P1226" t="s">
        <v>593</v>
      </c>
      <c r="Q1226" s="3">
        <v>27615</v>
      </c>
      <c r="R1226" t="s">
        <v>128</v>
      </c>
      <c r="T1226" s="4">
        <v>19196474820</v>
      </c>
      <c r="V1226" t="s">
        <v>4756</v>
      </c>
      <c r="W1226" t="s">
        <v>18612</v>
      </c>
      <c r="Y1226" t="s">
        <v>17680</v>
      </c>
      <c r="AA1226" t="s">
        <v>7892</v>
      </c>
      <c r="AB1226" t="s">
        <v>312</v>
      </c>
      <c r="AC1226" s="3" t="str">
        <f>"16066"</f>
        <v>16066</v>
      </c>
      <c r="AD1226" t="s">
        <v>128</v>
      </c>
      <c r="AF1226" s="4">
        <v>17247205687</v>
      </c>
      <c r="AH1226" t="str">
        <f>"492110"</f>
        <v>492110</v>
      </c>
      <c r="AI1226" t="s">
        <v>130</v>
      </c>
      <c r="AJ1226" t="s">
        <v>4751</v>
      </c>
      <c r="AK1226" t="s">
        <v>3391</v>
      </c>
      <c r="AL1226" t="s">
        <v>655</v>
      </c>
      <c r="AM1226" t="s">
        <v>4752</v>
      </c>
      <c r="AN1226" t="s">
        <v>4753</v>
      </c>
      <c r="AO1226" t="s">
        <v>1034</v>
      </c>
      <c r="AP1226" t="s">
        <v>594</v>
      </c>
      <c r="AQ1226" s="5">
        <v>27615</v>
      </c>
      <c r="AR1226" t="s">
        <v>128</v>
      </c>
      <c r="AT1226" s="4">
        <v>19196474820</v>
      </c>
      <c r="AV1226" t="s">
        <v>4754</v>
      </c>
      <c r="AW1226" t="s">
        <v>18613</v>
      </c>
      <c r="AX1226" t="s">
        <v>131</v>
      </c>
      <c r="AY1226" t="s">
        <v>131</v>
      </c>
      <c r="AZ1226" t="s">
        <v>131</v>
      </c>
      <c r="BA1226" t="s">
        <v>131</v>
      </c>
      <c r="BB1226" t="s">
        <v>131</v>
      </c>
      <c r="BC1226" t="s">
        <v>131</v>
      </c>
      <c r="BD1226" t="s">
        <v>131</v>
      </c>
      <c r="BE1226" t="s">
        <v>132</v>
      </c>
      <c r="BH1226" t="s">
        <v>17681</v>
      </c>
      <c r="BI1226" t="s">
        <v>131</v>
      </c>
      <c r="BL1226" t="s">
        <v>188</v>
      </c>
      <c r="BN1226" t="s">
        <v>7894</v>
      </c>
      <c r="BO1226" t="s">
        <v>131</v>
      </c>
      <c r="BP1226" t="s">
        <v>134</v>
      </c>
      <c r="BQ1226" t="s">
        <v>131</v>
      </c>
      <c r="BS1226" t="str">
        <f t="shared" si="88"/>
        <v>N/A</v>
      </c>
      <c r="BT1226" t="s">
        <v>135</v>
      </c>
      <c r="BU1226">
        <v>24</v>
      </c>
      <c r="BV1226" t="str">
        <f>"IN A RELATED OCCUPATION"</f>
        <v>IN A RELATED OCCUPATION</v>
      </c>
      <c r="BW1226" t="s">
        <v>135</v>
      </c>
      <c r="BX1226" t="str">
        <f>""</f>
        <v/>
      </c>
      <c r="BY1226" t="str">
        <f>""</f>
        <v/>
      </c>
      <c r="BZ1226" t="str">
        <f>""</f>
        <v/>
      </c>
      <c r="CA1226" t="s">
        <v>18614</v>
      </c>
      <c r="CB1226" t="s">
        <v>135</v>
      </c>
      <c r="CC1226" t="s">
        <v>133</v>
      </c>
      <c r="CE1226" t="s">
        <v>7894</v>
      </c>
      <c r="CF1226" t="s">
        <v>131</v>
      </c>
      <c r="CH1226" t="str">
        <f>"N/A"</f>
        <v>N/A</v>
      </c>
      <c r="CI1226" t="s">
        <v>135</v>
      </c>
      <c r="CJ1226">
        <v>48</v>
      </c>
      <c r="CK1226" t="s">
        <v>131</v>
      </c>
      <c r="CL1226" t="str">
        <f>""</f>
        <v/>
      </c>
      <c r="CM1226" t="str">
        <f>""</f>
        <v/>
      </c>
      <c r="CN1226" t="str">
        <f>""</f>
        <v/>
      </c>
      <c r="CO1226" t="str">
        <f>""</f>
        <v/>
      </c>
      <c r="CP1226" t="str">
        <f>"15-1121.00"</f>
        <v>15-1121.00</v>
      </c>
      <c r="CQ1226" t="s">
        <v>283</v>
      </c>
      <c r="CR1226" t="s">
        <v>7895</v>
      </c>
      <c r="CS1226" t="s">
        <v>135</v>
      </c>
      <c r="CT1226" t="s">
        <v>18615</v>
      </c>
      <c r="CU1226" t="s">
        <v>16415</v>
      </c>
      <c r="CW1226" t="s">
        <v>8386</v>
      </c>
      <c r="CX1226" t="s">
        <v>312</v>
      </c>
      <c r="CZ1226" s="3" t="str">
        <f>"16066"</f>
        <v>16066</v>
      </c>
      <c r="DA1226" t="s">
        <v>135</v>
      </c>
      <c r="DB1226" t="str">
        <f>""</f>
        <v/>
      </c>
      <c r="DF1226" t="str">
        <f>""</f>
        <v/>
      </c>
    </row>
    <row r="1227" spans="1:110" ht="15" customHeight="1" x14ac:dyDescent="0.35">
      <c r="A1227" t="s">
        <v>13174</v>
      </c>
      <c r="B1227" t="s">
        <v>138</v>
      </c>
      <c r="C1227" s="1">
        <v>44320</v>
      </c>
      <c r="G1227" s="1">
        <v>44320</v>
      </c>
      <c r="H1227" t="s">
        <v>125</v>
      </c>
      <c r="I1227" t="s">
        <v>4520</v>
      </c>
      <c r="J1227" t="s">
        <v>3392</v>
      </c>
      <c r="K1227" t="s">
        <v>134</v>
      </c>
      <c r="L1227" t="s">
        <v>4521</v>
      </c>
      <c r="M1227" t="s">
        <v>4525</v>
      </c>
      <c r="O1227" t="s">
        <v>8600</v>
      </c>
      <c r="P1227" t="s">
        <v>1174</v>
      </c>
      <c r="Q1227" s="3">
        <v>97005</v>
      </c>
      <c r="R1227" t="s">
        <v>128</v>
      </c>
      <c r="T1227" s="4">
        <v>15036716228</v>
      </c>
      <c r="V1227" t="s">
        <v>4523</v>
      </c>
      <c r="W1227" t="s">
        <v>4524</v>
      </c>
      <c r="Y1227" t="s">
        <v>4525</v>
      </c>
      <c r="AA1227" t="s">
        <v>1173</v>
      </c>
      <c r="AB1227" t="s">
        <v>1512</v>
      </c>
      <c r="AC1227" s="3" t="str">
        <f>"97005"</f>
        <v>97005</v>
      </c>
      <c r="AD1227" t="s">
        <v>128</v>
      </c>
      <c r="AF1227" s="4">
        <v>15036716228</v>
      </c>
      <c r="AH1227" t="str">
        <f>"31621"</f>
        <v>31621</v>
      </c>
      <c r="AI1227" t="s">
        <v>130</v>
      </c>
      <c r="AJ1227" t="s">
        <v>1309</v>
      </c>
      <c r="AK1227" t="s">
        <v>473</v>
      </c>
      <c r="AM1227" t="s">
        <v>456</v>
      </c>
      <c r="AN1227" t="s">
        <v>4526</v>
      </c>
      <c r="AO1227" t="s">
        <v>458</v>
      </c>
      <c r="AP1227" t="s">
        <v>400</v>
      </c>
      <c r="AQ1227" s="5">
        <v>75082</v>
      </c>
      <c r="AR1227" t="s">
        <v>128</v>
      </c>
      <c r="AT1227" s="4">
        <v>14695052498</v>
      </c>
      <c r="AV1227" t="s">
        <v>8601</v>
      </c>
      <c r="AW1227" t="s">
        <v>367</v>
      </c>
      <c r="AX1227" t="s">
        <v>131</v>
      </c>
      <c r="AY1227" t="s">
        <v>131</v>
      </c>
      <c r="AZ1227" t="s">
        <v>131</v>
      </c>
      <c r="BA1227" t="s">
        <v>131</v>
      </c>
      <c r="BB1227" t="s">
        <v>131</v>
      </c>
      <c r="BC1227" t="s">
        <v>131</v>
      </c>
      <c r="BD1227" t="s">
        <v>131</v>
      </c>
      <c r="BE1227" t="s">
        <v>132</v>
      </c>
      <c r="BH1227" t="s">
        <v>13175</v>
      </c>
      <c r="BI1227" t="s">
        <v>131</v>
      </c>
      <c r="BL1227" t="s">
        <v>188</v>
      </c>
      <c r="BN1227" t="s">
        <v>5014</v>
      </c>
      <c r="BO1227" t="s">
        <v>131</v>
      </c>
      <c r="BP1227" t="s">
        <v>134</v>
      </c>
      <c r="BQ1227" t="s">
        <v>131</v>
      </c>
      <c r="BS1227" t="str">
        <f t="shared" si="88"/>
        <v>N/A</v>
      </c>
      <c r="BT1227" t="s">
        <v>135</v>
      </c>
      <c r="BU1227">
        <v>120</v>
      </c>
      <c r="BV1227" t="str">
        <f>"Please see section F.b.5.a."</f>
        <v>Please see section F.b.5.a.</v>
      </c>
      <c r="BW1227" t="s">
        <v>135</v>
      </c>
      <c r="BX1227" t="str">
        <f>""</f>
        <v/>
      </c>
      <c r="BY1227" t="str">
        <f>""</f>
        <v/>
      </c>
      <c r="BZ1227" t="str">
        <f>""</f>
        <v/>
      </c>
      <c r="CA1227" s="2" t="s">
        <v>13176</v>
      </c>
      <c r="CB1227" t="s">
        <v>131</v>
      </c>
      <c r="CF1227" t="s">
        <v>131</v>
      </c>
      <c r="CH1227" t="str">
        <f>""</f>
        <v/>
      </c>
      <c r="CI1227" t="s">
        <v>131</v>
      </c>
      <c r="CK1227" t="s">
        <v>131</v>
      </c>
      <c r="CL1227" t="str">
        <f>""</f>
        <v/>
      </c>
      <c r="CM1227" t="str">
        <f>""</f>
        <v/>
      </c>
      <c r="CN1227" t="str">
        <f>""</f>
        <v/>
      </c>
      <c r="CO1227" t="str">
        <f>""</f>
        <v/>
      </c>
      <c r="CP1227" t="str">
        <f>"11-3031.00"</f>
        <v>11-3031.00</v>
      </c>
      <c r="CQ1227" t="s">
        <v>810</v>
      </c>
      <c r="CS1227" t="s">
        <v>131</v>
      </c>
      <c r="CU1227" t="s">
        <v>4522</v>
      </c>
      <c r="CW1227" t="s">
        <v>1173</v>
      </c>
      <c r="CX1227" t="s">
        <v>1512</v>
      </c>
      <c r="CZ1227" s="3" t="str">
        <f>"97005"</f>
        <v>97005</v>
      </c>
      <c r="DA1227" t="s">
        <v>131</v>
      </c>
      <c r="DB1227" t="str">
        <f>""</f>
        <v/>
      </c>
      <c r="DF1227" t="str">
        <f>""</f>
        <v/>
      </c>
    </row>
    <row r="1228" spans="1:110" ht="15" customHeight="1" x14ac:dyDescent="0.35">
      <c r="A1228" t="s">
        <v>14094</v>
      </c>
      <c r="B1228" t="s">
        <v>138</v>
      </c>
      <c r="C1228" s="1">
        <v>44320</v>
      </c>
      <c r="G1228" s="1">
        <v>44320</v>
      </c>
      <c r="H1228" t="s">
        <v>125</v>
      </c>
      <c r="I1228" t="s">
        <v>14095</v>
      </c>
      <c r="J1228" t="s">
        <v>14096</v>
      </c>
      <c r="L1228" t="s">
        <v>11779</v>
      </c>
      <c r="M1228" t="s">
        <v>14097</v>
      </c>
      <c r="O1228" t="s">
        <v>3389</v>
      </c>
      <c r="P1228" t="s">
        <v>178</v>
      </c>
      <c r="Q1228" s="3">
        <v>91016</v>
      </c>
      <c r="R1228" t="s">
        <v>128</v>
      </c>
      <c r="T1228" s="4">
        <v>16263748458</v>
      </c>
      <c r="V1228" t="s">
        <v>14098</v>
      </c>
      <c r="W1228" t="s">
        <v>14099</v>
      </c>
      <c r="Y1228" t="s">
        <v>14100</v>
      </c>
      <c r="AA1228" t="s">
        <v>3389</v>
      </c>
      <c r="AB1228" t="s">
        <v>172</v>
      </c>
      <c r="AC1228" s="3" t="str">
        <f>"91016"</f>
        <v>91016</v>
      </c>
      <c r="AD1228" t="s">
        <v>128</v>
      </c>
      <c r="AF1228" s="4">
        <v>16263748458</v>
      </c>
      <c r="AH1228" t="str">
        <f>"334513"</f>
        <v>334513</v>
      </c>
      <c r="AI1228" t="s">
        <v>130</v>
      </c>
      <c r="AJ1228" t="s">
        <v>14101</v>
      </c>
      <c r="AK1228" t="s">
        <v>14102</v>
      </c>
      <c r="AL1228" t="s">
        <v>1198</v>
      </c>
      <c r="AM1228" t="s">
        <v>14103</v>
      </c>
      <c r="AN1228" t="s">
        <v>14104</v>
      </c>
      <c r="AO1228" t="s">
        <v>14105</v>
      </c>
      <c r="AP1228" t="s">
        <v>400</v>
      </c>
      <c r="AQ1228" s="5">
        <v>91016</v>
      </c>
      <c r="AR1228" t="s">
        <v>128</v>
      </c>
      <c r="AT1228" s="4">
        <v>16263748458</v>
      </c>
      <c r="AV1228" t="s">
        <v>14106</v>
      </c>
      <c r="AW1228" t="s">
        <v>14107</v>
      </c>
      <c r="AX1228" t="s">
        <v>131</v>
      </c>
      <c r="AY1228" t="s">
        <v>131</v>
      </c>
      <c r="AZ1228" t="s">
        <v>131</v>
      </c>
      <c r="BA1228" t="s">
        <v>131</v>
      </c>
      <c r="BB1228" t="s">
        <v>131</v>
      </c>
      <c r="BC1228" t="s">
        <v>131</v>
      </c>
      <c r="BD1228" t="s">
        <v>131</v>
      </c>
      <c r="BE1228" t="s">
        <v>132</v>
      </c>
      <c r="BH1228" t="s">
        <v>14108</v>
      </c>
      <c r="BI1228" t="s">
        <v>131</v>
      </c>
      <c r="BL1228" t="s">
        <v>188</v>
      </c>
      <c r="BN1228" t="s">
        <v>11562</v>
      </c>
      <c r="BO1228" t="s">
        <v>131</v>
      </c>
      <c r="BP1228" t="s">
        <v>134</v>
      </c>
      <c r="BQ1228" t="s">
        <v>131</v>
      </c>
      <c r="BS1228" t="str">
        <f t="shared" si="88"/>
        <v>N/A</v>
      </c>
      <c r="BT1228" t="s">
        <v>131</v>
      </c>
      <c r="BV1228" t="str">
        <f>""</f>
        <v/>
      </c>
      <c r="BW1228" t="s">
        <v>135</v>
      </c>
      <c r="BX1228" t="str">
        <f>""</f>
        <v/>
      </c>
      <c r="BY1228" t="str">
        <f>""</f>
        <v/>
      </c>
      <c r="BZ1228" t="str">
        <f>""</f>
        <v/>
      </c>
      <c r="CA1228" t="s">
        <v>14109</v>
      </c>
      <c r="CB1228" t="s">
        <v>131</v>
      </c>
      <c r="CF1228" t="s">
        <v>131</v>
      </c>
      <c r="CH1228" t="str">
        <f>""</f>
        <v/>
      </c>
      <c r="CI1228" t="s">
        <v>131</v>
      </c>
      <c r="CK1228" t="s">
        <v>131</v>
      </c>
      <c r="CL1228" t="str">
        <f>""</f>
        <v/>
      </c>
      <c r="CM1228" t="str">
        <f>""</f>
        <v/>
      </c>
      <c r="CN1228" t="str">
        <f>""</f>
        <v/>
      </c>
      <c r="CO1228" t="str">
        <f>""</f>
        <v/>
      </c>
      <c r="CP1228" t="str">
        <f>"17-2072.00"</f>
        <v>17-2072.00</v>
      </c>
      <c r="CQ1228" t="s">
        <v>865</v>
      </c>
      <c r="CR1228" t="s">
        <v>1785</v>
      </c>
      <c r="CS1228" t="s">
        <v>131</v>
      </c>
      <c r="CU1228" t="s">
        <v>14110</v>
      </c>
      <c r="CW1228" t="s">
        <v>3389</v>
      </c>
      <c r="CX1228" t="s">
        <v>172</v>
      </c>
      <c r="CZ1228" s="3" t="str">
        <f>"91016"</f>
        <v>91016</v>
      </c>
      <c r="DA1228" t="s">
        <v>131</v>
      </c>
      <c r="DB1228" t="str">
        <f>""</f>
        <v/>
      </c>
      <c r="DF1228" t="str">
        <f>""</f>
        <v/>
      </c>
    </row>
    <row r="1229" spans="1:110" ht="15" customHeight="1" x14ac:dyDescent="0.35">
      <c r="A1229" t="s">
        <v>11591</v>
      </c>
      <c r="B1229" t="s">
        <v>138</v>
      </c>
      <c r="C1229" s="1">
        <v>44320</v>
      </c>
      <c r="G1229" s="1">
        <v>44321</v>
      </c>
      <c r="H1229" t="s">
        <v>125</v>
      </c>
      <c r="I1229" t="s">
        <v>11592</v>
      </c>
      <c r="J1229" t="s">
        <v>3814</v>
      </c>
      <c r="L1229" t="s">
        <v>11593</v>
      </c>
      <c r="M1229" t="s">
        <v>11594</v>
      </c>
      <c r="N1229" t="s">
        <v>11595</v>
      </c>
      <c r="O1229" t="s">
        <v>2438</v>
      </c>
      <c r="P1229" t="s">
        <v>412</v>
      </c>
      <c r="Q1229" s="3">
        <v>75082</v>
      </c>
      <c r="R1229" t="s">
        <v>128</v>
      </c>
      <c r="T1229" s="4">
        <v>14694368100</v>
      </c>
      <c r="V1229" t="s">
        <v>11596</v>
      </c>
      <c r="W1229" t="s">
        <v>5648</v>
      </c>
      <c r="Y1229" t="s">
        <v>11594</v>
      </c>
      <c r="Z1229" t="s">
        <v>11595</v>
      </c>
      <c r="AA1229" t="s">
        <v>2438</v>
      </c>
      <c r="AB1229" t="s">
        <v>400</v>
      </c>
      <c r="AC1229" s="3" t="str">
        <f>"75082"</f>
        <v>75082</v>
      </c>
      <c r="AD1229" t="s">
        <v>128</v>
      </c>
      <c r="AF1229" s="4">
        <v>14694368100</v>
      </c>
      <c r="AH1229" t="str">
        <f>"54161"</f>
        <v>54161</v>
      </c>
      <c r="AI1229" t="s">
        <v>130</v>
      </c>
      <c r="AJ1229" t="s">
        <v>5649</v>
      </c>
      <c r="AK1229" t="s">
        <v>5650</v>
      </c>
      <c r="AL1229" t="s">
        <v>1225</v>
      </c>
      <c r="AM1229" t="s">
        <v>1515</v>
      </c>
      <c r="AN1229" t="s">
        <v>1516</v>
      </c>
      <c r="AO1229" t="s">
        <v>2438</v>
      </c>
      <c r="AP1229" t="s">
        <v>400</v>
      </c>
      <c r="AQ1229" s="5">
        <v>75082</v>
      </c>
      <c r="AR1229" t="s">
        <v>128</v>
      </c>
      <c r="AT1229" s="4">
        <v>12142785100</v>
      </c>
      <c r="AV1229" t="s">
        <v>5651</v>
      </c>
      <c r="AW1229" t="s">
        <v>7130</v>
      </c>
      <c r="AX1229" t="s">
        <v>131</v>
      </c>
      <c r="AY1229" t="s">
        <v>131</v>
      </c>
      <c r="AZ1229" t="s">
        <v>131</v>
      </c>
      <c r="BA1229" t="s">
        <v>131</v>
      </c>
      <c r="BB1229" t="s">
        <v>131</v>
      </c>
      <c r="BC1229" t="s">
        <v>131</v>
      </c>
      <c r="BD1229" t="s">
        <v>131</v>
      </c>
      <c r="BE1229" t="s">
        <v>132</v>
      </c>
      <c r="BH1229" t="s">
        <v>11597</v>
      </c>
      <c r="BI1229" t="s">
        <v>131</v>
      </c>
      <c r="BL1229" t="s">
        <v>188</v>
      </c>
      <c r="BN1229" t="s">
        <v>11598</v>
      </c>
      <c r="BO1229" t="s">
        <v>131</v>
      </c>
      <c r="BP1229" t="s">
        <v>134</v>
      </c>
      <c r="BQ1229" t="s">
        <v>131</v>
      </c>
      <c r="BS1229" t="str">
        <f t="shared" si="88"/>
        <v>N/A</v>
      </c>
      <c r="BT1229" t="s">
        <v>135</v>
      </c>
      <c r="BU1229">
        <v>12</v>
      </c>
      <c r="BV1229" t="str">
        <f>"DIGITAL INNOVATION/SOFTWARE DEVELOPMENT RELATED"</f>
        <v>DIGITAL INNOVATION/SOFTWARE DEVELOPMENT RELATED</v>
      </c>
      <c r="BW1229" t="s">
        <v>131</v>
      </c>
      <c r="BX1229" t="str">
        <f>""</f>
        <v/>
      </c>
      <c r="BY1229" t="str">
        <f>""</f>
        <v/>
      </c>
      <c r="BZ1229" t="str">
        <f>""</f>
        <v/>
      </c>
      <c r="CA1229" t="str">
        <f>""</f>
        <v/>
      </c>
      <c r="CB1229" t="s">
        <v>131</v>
      </c>
      <c r="CF1229" t="s">
        <v>131</v>
      </c>
      <c r="CH1229" t="str">
        <f>""</f>
        <v/>
      </c>
      <c r="CI1229" t="s">
        <v>131</v>
      </c>
      <c r="CK1229" t="s">
        <v>131</v>
      </c>
      <c r="CL1229" t="str">
        <f>""</f>
        <v/>
      </c>
      <c r="CM1229" t="str">
        <f>""</f>
        <v/>
      </c>
      <c r="CN1229" t="str">
        <f>""</f>
        <v/>
      </c>
      <c r="CO1229" t="str">
        <f>""</f>
        <v/>
      </c>
      <c r="CP1229" t="str">
        <f>"11-3021.00"</f>
        <v>11-3021.00</v>
      </c>
      <c r="CQ1229" t="s">
        <v>598</v>
      </c>
      <c r="CS1229" t="s">
        <v>131</v>
      </c>
      <c r="CU1229" t="s">
        <v>11594</v>
      </c>
      <c r="CV1229" t="s">
        <v>11595</v>
      </c>
      <c r="CW1229" t="s">
        <v>2438</v>
      </c>
      <c r="CX1229" t="s">
        <v>400</v>
      </c>
      <c r="CZ1229" s="3" t="str">
        <f>"75082"</f>
        <v>75082</v>
      </c>
      <c r="DA1229" t="s">
        <v>131</v>
      </c>
      <c r="DB1229" t="str">
        <f>""</f>
        <v/>
      </c>
      <c r="DF1229" t="str">
        <f>""</f>
        <v/>
      </c>
    </row>
    <row r="1230" spans="1:110" ht="15" customHeight="1" x14ac:dyDescent="0.35">
      <c r="A1230" t="s">
        <v>19057</v>
      </c>
      <c r="B1230" t="s">
        <v>138</v>
      </c>
      <c r="C1230" s="1">
        <v>44320</v>
      </c>
      <c r="G1230" s="1">
        <v>44320</v>
      </c>
      <c r="H1230" t="s">
        <v>125</v>
      </c>
      <c r="I1230" t="s">
        <v>9693</v>
      </c>
      <c r="J1230" t="s">
        <v>9694</v>
      </c>
      <c r="L1230" t="s">
        <v>130</v>
      </c>
      <c r="M1230" t="s">
        <v>9695</v>
      </c>
      <c r="N1230" t="s">
        <v>11734</v>
      </c>
      <c r="O1230" t="s">
        <v>310</v>
      </c>
      <c r="P1230" t="s">
        <v>311</v>
      </c>
      <c r="Q1230" s="3">
        <v>19103</v>
      </c>
      <c r="R1230" t="s">
        <v>128</v>
      </c>
      <c r="T1230" s="4">
        <v>12678313379</v>
      </c>
      <c r="V1230" t="s">
        <v>9696</v>
      </c>
      <c r="W1230" t="s">
        <v>9697</v>
      </c>
      <c r="Y1230" t="s">
        <v>9698</v>
      </c>
      <c r="AA1230" t="s">
        <v>6939</v>
      </c>
      <c r="AB1230" t="s">
        <v>172</v>
      </c>
      <c r="AC1230" s="3" t="str">
        <f>"94002"</f>
        <v>94002</v>
      </c>
      <c r="AD1230" t="s">
        <v>128</v>
      </c>
      <c r="AF1230" s="4">
        <v>17204405846</v>
      </c>
      <c r="AH1230" t="str">
        <f>"517311"</f>
        <v>517311</v>
      </c>
      <c r="AI1230" t="s">
        <v>167</v>
      </c>
      <c r="AX1230" t="s">
        <v>131</v>
      </c>
      <c r="AY1230" t="s">
        <v>131</v>
      </c>
      <c r="AZ1230" t="s">
        <v>131</v>
      </c>
      <c r="BA1230" t="s">
        <v>131</v>
      </c>
      <c r="BB1230" t="s">
        <v>131</v>
      </c>
      <c r="BC1230" t="s">
        <v>131</v>
      </c>
      <c r="BD1230" t="s">
        <v>131</v>
      </c>
      <c r="BE1230" t="s">
        <v>132</v>
      </c>
      <c r="BH1230" t="s">
        <v>17683</v>
      </c>
      <c r="BI1230" t="s">
        <v>131</v>
      </c>
      <c r="BL1230" t="s">
        <v>188</v>
      </c>
      <c r="BN1230" t="s">
        <v>14136</v>
      </c>
      <c r="BO1230" t="s">
        <v>131</v>
      </c>
      <c r="BP1230" t="s">
        <v>134</v>
      </c>
      <c r="BQ1230" t="s">
        <v>131</v>
      </c>
      <c r="BS1230" t="str">
        <f t="shared" si="88"/>
        <v>N/A</v>
      </c>
      <c r="BT1230" t="s">
        <v>135</v>
      </c>
      <c r="BU1230">
        <v>24</v>
      </c>
      <c r="BV1230" t="str">
        <f>"Software Developer, Data Engineer, Application Engineer or related    "</f>
        <v xml:space="preserve">Software Developer, Data Engineer, Application Engineer or related    </v>
      </c>
      <c r="BW1230" t="s">
        <v>135</v>
      </c>
      <c r="BX1230" t="str">
        <f>""</f>
        <v/>
      </c>
      <c r="BY1230" t="str">
        <f>""</f>
        <v/>
      </c>
      <c r="BZ1230" t="str">
        <f>""</f>
        <v/>
      </c>
      <c r="CA1230" t="s">
        <v>19058</v>
      </c>
      <c r="CB1230" t="s">
        <v>135</v>
      </c>
      <c r="CC1230" t="s">
        <v>133</v>
      </c>
      <c r="CE1230" t="s">
        <v>14136</v>
      </c>
      <c r="CF1230" t="s">
        <v>131</v>
      </c>
      <c r="CH1230" t="str">
        <f>"N/A"</f>
        <v>N/A</v>
      </c>
      <c r="CI1230" t="s">
        <v>135</v>
      </c>
      <c r="CJ1230">
        <v>60</v>
      </c>
      <c r="CK1230" t="s">
        <v>135</v>
      </c>
      <c r="CL1230" t="str">
        <f>""</f>
        <v/>
      </c>
      <c r="CM1230" t="str">
        <f>""</f>
        <v/>
      </c>
      <c r="CN1230" t="str">
        <f>""</f>
        <v/>
      </c>
      <c r="CO1230" t="s">
        <v>11735</v>
      </c>
      <c r="CP1230" t="str">
        <f>"15-1141.00"</f>
        <v>15-1141.00</v>
      </c>
      <c r="CQ1230" t="s">
        <v>1576</v>
      </c>
      <c r="CR1230" t="s">
        <v>10778</v>
      </c>
      <c r="CS1230" t="s">
        <v>131</v>
      </c>
      <c r="CU1230" t="s">
        <v>19059</v>
      </c>
      <c r="CW1230" t="s">
        <v>1173</v>
      </c>
      <c r="CX1230" t="s">
        <v>1512</v>
      </c>
      <c r="CZ1230" s="3" t="str">
        <f>"97006"</f>
        <v>97006</v>
      </c>
      <c r="DA1230" t="s">
        <v>131</v>
      </c>
      <c r="DB1230" t="str">
        <f>""</f>
        <v/>
      </c>
      <c r="DF1230" t="str">
        <f>""</f>
        <v/>
      </c>
    </row>
    <row r="1231" spans="1:110" ht="15" customHeight="1" x14ac:dyDescent="0.35">
      <c r="A1231" t="s">
        <v>18240</v>
      </c>
      <c r="B1231" t="s">
        <v>138</v>
      </c>
      <c r="C1231" s="1">
        <v>44320</v>
      </c>
      <c r="G1231" s="1">
        <v>44329</v>
      </c>
      <c r="H1231" t="s">
        <v>125</v>
      </c>
      <c r="I1231" t="s">
        <v>4520</v>
      </c>
      <c r="J1231" t="s">
        <v>3392</v>
      </c>
      <c r="L1231" t="s">
        <v>4521</v>
      </c>
      <c r="M1231" t="s">
        <v>4522</v>
      </c>
      <c r="O1231" t="s">
        <v>1173</v>
      </c>
      <c r="P1231" t="s">
        <v>1174</v>
      </c>
      <c r="Q1231" s="3">
        <v>97005</v>
      </c>
      <c r="R1231" t="s">
        <v>128</v>
      </c>
      <c r="T1231" s="4">
        <v>15036716228</v>
      </c>
      <c r="V1231" t="s">
        <v>4523</v>
      </c>
      <c r="W1231" t="s">
        <v>4524</v>
      </c>
      <c r="Y1231" t="s">
        <v>4525</v>
      </c>
      <c r="AA1231" t="s">
        <v>1173</v>
      </c>
      <c r="AB1231" t="s">
        <v>1512</v>
      </c>
      <c r="AC1231" s="3" t="str">
        <f>"97005"</f>
        <v>97005</v>
      </c>
      <c r="AD1231" t="s">
        <v>128</v>
      </c>
      <c r="AF1231" s="4">
        <v>15036716228</v>
      </c>
      <c r="AH1231" t="str">
        <f>"31621"</f>
        <v>31621</v>
      </c>
      <c r="AI1231" t="s">
        <v>130</v>
      </c>
      <c r="AJ1231" t="s">
        <v>1309</v>
      </c>
      <c r="AK1231" t="s">
        <v>473</v>
      </c>
      <c r="AM1231" t="s">
        <v>456</v>
      </c>
      <c r="AN1231" t="s">
        <v>4526</v>
      </c>
      <c r="AO1231" t="s">
        <v>458</v>
      </c>
      <c r="AP1231" t="s">
        <v>400</v>
      </c>
      <c r="AQ1231" s="5">
        <v>75082</v>
      </c>
      <c r="AR1231" t="s">
        <v>128</v>
      </c>
      <c r="AT1231" s="4">
        <v>14695052498</v>
      </c>
      <c r="AV1231" t="s">
        <v>4527</v>
      </c>
      <c r="AW1231" t="s">
        <v>367</v>
      </c>
      <c r="AX1231" t="s">
        <v>131</v>
      </c>
      <c r="AY1231" t="s">
        <v>131</v>
      </c>
      <c r="AZ1231" t="s">
        <v>131</v>
      </c>
      <c r="BA1231" t="s">
        <v>131</v>
      </c>
      <c r="BB1231" t="s">
        <v>131</v>
      </c>
      <c r="BC1231" t="s">
        <v>131</v>
      </c>
      <c r="BD1231" t="s">
        <v>131</v>
      </c>
      <c r="BE1231" t="s">
        <v>132</v>
      </c>
      <c r="BH1231" t="s">
        <v>16612</v>
      </c>
      <c r="BI1231" t="s">
        <v>131</v>
      </c>
      <c r="BL1231" t="s">
        <v>133</v>
      </c>
      <c r="BN1231" t="s">
        <v>2268</v>
      </c>
      <c r="BO1231" t="s">
        <v>131</v>
      </c>
      <c r="BP1231" t="s">
        <v>134</v>
      </c>
      <c r="BQ1231" t="s">
        <v>131</v>
      </c>
      <c r="BS1231" t="str">
        <f t="shared" si="88"/>
        <v>N/A</v>
      </c>
      <c r="BT1231" t="s">
        <v>135</v>
      </c>
      <c r="BU1231">
        <v>60</v>
      </c>
      <c r="BV1231" t="str">
        <f>"Please see job description."</f>
        <v>Please see job description.</v>
      </c>
      <c r="BW1231" t="s">
        <v>135</v>
      </c>
      <c r="BX1231" t="str">
        <f>""</f>
        <v/>
      </c>
      <c r="BY1231" t="str">
        <f>""</f>
        <v/>
      </c>
      <c r="BZ1231" t="str">
        <f>""</f>
        <v/>
      </c>
      <c r="CA1231" s="2" t="s">
        <v>18241</v>
      </c>
      <c r="CB1231" t="s">
        <v>131</v>
      </c>
      <c r="CF1231" t="s">
        <v>131</v>
      </c>
      <c r="CH1231" t="str">
        <f>""</f>
        <v/>
      </c>
      <c r="CI1231" t="s">
        <v>131</v>
      </c>
      <c r="CK1231" t="s">
        <v>131</v>
      </c>
      <c r="CL1231" t="str">
        <f>""</f>
        <v/>
      </c>
      <c r="CM1231" t="str">
        <f>""</f>
        <v/>
      </c>
      <c r="CN1231" t="str">
        <f>""</f>
        <v/>
      </c>
      <c r="CO1231" t="str">
        <f>""</f>
        <v/>
      </c>
      <c r="CP1231" t="str">
        <f>"15-1199.02"</f>
        <v>15-1199.02</v>
      </c>
      <c r="CQ1231" t="s">
        <v>2269</v>
      </c>
      <c r="CR1231" t="s">
        <v>1400</v>
      </c>
      <c r="CS1231" t="s">
        <v>131</v>
      </c>
      <c r="CU1231" t="s">
        <v>4522</v>
      </c>
      <c r="CW1231" t="s">
        <v>1173</v>
      </c>
      <c r="CX1231" t="s">
        <v>1512</v>
      </c>
      <c r="CZ1231" s="3" t="str">
        <f>"97005"</f>
        <v>97005</v>
      </c>
      <c r="DA1231" t="s">
        <v>131</v>
      </c>
      <c r="DB1231" t="str">
        <f>""</f>
        <v/>
      </c>
      <c r="DF1231" t="str">
        <f>""</f>
        <v/>
      </c>
    </row>
    <row r="1232" spans="1:110" ht="15" customHeight="1" x14ac:dyDescent="0.35">
      <c r="A1232" t="s">
        <v>19576</v>
      </c>
      <c r="B1232" t="s">
        <v>138</v>
      </c>
      <c r="C1232" s="1">
        <v>44320</v>
      </c>
      <c r="G1232" s="1">
        <v>44348</v>
      </c>
      <c r="H1232" t="s">
        <v>125</v>
      </c>
      <c r="I1232" t="s">
        <v>4520</v>
      </c>
      <c r="J1232" t="s">
        <v>3392</v>
      </c>
      <c r="K1232" t="s">
        <v>134</v>
      </c>
      <c r="L1232" t="s">
        <v>4521</v>
      </c>
      <c r="M1232" t="s">
        <v>4525</v>
      </c>
      <c r="O1232" t="s">
        <v>8600</v>
      </c>
      <c r="P1232" t="s">
        <v>1174</v>
      </c>
      <c r="Q1232" s="3">
        <v>97005</v>
      </c>
      <c r="R1232" t="s">
        <v>128</v>
      </c>
      <c r="T1232" s="4">
        <v>15036716228</v>
      </c>
      <c r="V1232" t="s">
        <v>4523</v>
      </c>
      <c r="W1232" t="s">
        <v>4524</v>
      </c>
      <c r="Y1232" t="s">
        <v>4525</v>
      </c>
      <c r="AA1232" t="s">
        <v>1173</v>
      </c>
      <c r="AB1232" t="s">
        <v>1512</v>
      </c>
      <c r="AC1232" s="3" t="str">
        <f>"97005"</f>
        <v>97005</v>
      </c>
      <c r="AD1232" t="s">
        <v>128</v>
      </c>
      <c r="AF1232" s="4">
        <v>15036716228</v>
      </c>
      <c r="AH1232" t="str">
        <f>"31621"</f>
        <v>31621</v>
      </c>
      <c r="AI1232" t="s">
        <v>130</v>
      </c>
      <c r="AJ1232" t="s">
        <v>1309</v>
      </c>
      <c r="AK1232" t="s">
        <v>473</v>
      </c>
      <c r="AM1232" t="s">
        <v>456</v>
      </c>
      <c r="AN1232" t="s">
        <v>4526</v>
      </c>
      <c r="AO1232" t="s">
        <v>458</v>
      </c>
      <c r="AP1232" t="s">
        <v>400</v>
      </c>
      <c r="AQ1232" s="5">
        <v>75082</v>
      </c>
      <c r="AR1232" t="s">
        <v>128</v>
      </c>
      <c r="AT1232" s="4">
        <v>14695052498</v>
      </c>
      <c r="AV1232" t="s">
        <v>8601</v>
      </c>
      <c r="AW1232" t="s">
        <v>367</v>
      </c>
      <c r="AX1232" t="s">
        <v>131</v>
      </c>
      <c r="AY1232" t="s">
        <v>131</v>
      </c>
      <c r="AZ1232" t="s">
        <v>131</v>
      </c>
      <c r="BA1232" t="s">
        <v>131</v>
      </c>
      <c r="BB1232" t="s">
        <v>131</v>
      </c>
      <c r="BC1232" t="s">
        <v>131</v>
      </c>
      <c r="BD1232" t="s">
        <v>131</v>
      </c>
      <c r="BE1232" t="s">
        <v>132</v>
      </c>
      <c r="BH1232" t="s">
        <v>13175</v>
      </c>
      <c r="BI1232" t="s">
        <v>131</v>
      </c>
      <c r="BL1232" t="s">
        <v>188</v>
      </c>
      <c r="BN1232" t="s">
        <v>19577</v>
      </c>
      <c r="BO1232" t="s">
        <v>131</v>
      </c>
      <c r="BP1232" t="s">
        <v>134</v>
      </c>
      <c r="BQ1232" t="s">
        <v>131</v>
      </c>
      <c r="BS1232" t="str">
        <f t="shared" si="88"/>
        <v>N/A</v>
      </c>
      <c r="BT1232" t="s">
        <v>135</v>
      </c>
      <c r="BU1232">
        <v>120</v>
      </c>
      <c r="BV1232" t="str">
        <f>"Please see section F.b.5.a."</f>
        <v>Please see section F.b.5.a.</v>
      </c>
      <c r="BW1232" t="s">
        <v>135</v>
      </c>
      <c r="BX1232" t="str">
        <f>""</f>
        <v/>
      </c>
      <c r="BY1232" t="str">
        <f>""</f>
        <v/>
      </c>
      <c r="BZ1232" t="str">
        <f>""</f>
        <v/>
      </c>
      <c r="CA1232" s="2" t="s">
        <v>19578</v>
      </c>
      <c r="CB1232" t="s">
        <v>131</v>
      </c>
      <c r="CF1232" t="s">
        <v>131</v>
      </c>
      <c r="CH1232" t="str">
        <f>""</f>
        <v/>
      </c>
      <c r="CI1232" t="s">
        <v>131</v>
      </c>
      <c r="CK1232" t="s">
        <v>131</v>
      </c>
      <c r="CL1232" t="str">
        <f>""</f>
        <v/>
      </c>
      <c r="CM1232" t="str">
        <f>""</f>
        <v/>
      </c>
      <c r="CN1232" t="str">
        <f>""</f>
        <v/>
      </c>
      <c r="CO1232" t="str">
        <f>""</f>
        <v/>
      </c>
      <c r="CP1232" t="str">
        <f>"11-3031.00"</f>
        <v>11-3031.00</v>
      </c>
      <c r="CQ1232" t="s">
        <v>810</v>
      </c>
      <c r="CS1232" t="s">
        <v>131</v>
      </c>
      <c r="CU1232" t="s">
        <v>4522</v>
      </c>
      <c r="CW1232" t="s">
        <v>1173</v>
      </c>
      <c r="CX1232" t="s">
        <v>1512</v>
      </c>
      <c r="CZ1232" s="3" t="str">
        <f>"97005"</f>
        <v>97005</v>
      </c>
      <c r="DA1232" t="s">
        <v>131</v>
      </c>
      <c r="DB1232" t="str">
        <f>""</f>
        <v/>
      </c>
      <c r="DF1232" t="str">
        <f>""</f>
        <v/>
      </c>
    </row>
    <row r="1233" spans="1:110" ht="15" customHeight="1" x14ac:dyDescent="0.35">
      <c r="A1233" t="s">
        <v>12491</v>
      </c>
      <c r="B1233" t="s">
        <v>138</v>
      </c>
      <c r="C1233" s="1">
        <v>44320</v>
      </c>
      <c r="G1233" s="1">
        <v>44322</v>
      </c>
      <c r="H1233" t="s">
        <v>125</v>
      </c>
      <c r="I1233" t="s">
        <v>6644</v>
      </c>
      <c r="J1233" t="s">
        <v>6645</v>
      </c>
      <c r="L1233" t="s">
        <v>583</v>
      </c>
      <c r="M1233" t="s">
        <v>6649</v>
      </c>
      <c r="O1233" t="s">
        <v>6646</v>
      </c>
      <c r="P1233" t="s">
        <v>412</v>
      </c>
      <c r="Q1233" s="3">
        <v>76034</v>
      </c>
      <c r="R1233" t="s">
        <v>128</v>
      </c>
      <c r="T1233" s="4">
        <v>14083097818</v>
      </c>
      <c r="V1233" t="s">
        <v>6647</v>
      </c>
      <c r="W1233" t="s">
        <v>6648</v>
      </c>
      <c r="Y1233" t="s">
        <v>6649</v>
      </c>
      <c r="AA1233" t="s">
        <v>6646</v>
      </c>
      <c r="AB1233" t="s">
        <v>400</v>
      </c>
      <c r="AC1233" s="3" t="str">
        <f>"76034"</f>
        <v>76034</v>
      </c>
      <c r="AD1233" t="s">
        <v>128</v>
      </c>
      <c r="AF1233" s="4">
        <v>14083097818</v>
      </c>
      <c r="AH1233" t="str">
        <f>"541511"</f>
        <v>541511</v>
      </c>
      <c r="AI1233" t="s">
        <v>130</v>
      </c>
      <c r="AJ1233" t="s">
        <v>3588</v>
      </c>
      <c r="AK1233" t="s">
        <v>250</v>
      </c>
      <c r="AL1233" t="s">
        <v>3589</v>
      </c>
      <c r="AM1233" t="s">
        <v>3590</v>
      </c>
      <c r="AN1233" t="s">
        <v>3591</v>
      </c>
      <c r="AO1233" t="s">
        <v>399</v>
      </c>
      <c r="AP1233" t="s">
        <v>400</v>
      </c>
      <c r="AQ1233" s="5">
        <v>75287</v>
      </c>
      <c r="AR1233" t="s">
        <v>128</v>
      </c>
      <c r="AT1233" s="4">
        <v>19722414698</v>
      </c>
      <c r="AV1233" t="s">
        <v>3592</v>
      </c>
      <c r="AW1233" t="s">
        <v>3593</v>
      </c>
      <c r="AX1233" t="s">
        <v>131</v>
      </c>
      <c r="AY1233" t="s">
        <v>131</v>
      </c>
      <c r="AZ1233" t="s">
        <v>131</v>
      </c>
      <c r="BA1233" t="s">
        <v>131</v>
      </c>
      <c r="BB1233" t="s">
        <v>131</v>
      </c>
      <c r="BC1233" t="s">
        <v>131</v>
      </c>
      <c r="BD1233" t="s">
        <v>131</v>
      </c>
      <c r="BE1233" t="s">
        <v>132</v>
      </c>
      <c r="BH1233" t="s">
        <v>6650</v>
      </c>
      <c r="BI1233" t="s">
        <v>131</v>
      </c>
      <c r="BL1233" t="s">
        <v>188</v>
      </c>
      <c r="BN1233" t="s">
        <v>8416</v>
      </c>
      <c r="BO1233" t="s">
        <v>131</v>
      </c>
      <c r="BP1233" t="s">
        <v>134</v>
      </c>
      <c r="BQ1233" t="s">
        <v>131</v>
      </c>
      <c r="BS1233" t="str">
        <f t="shared" si="88"/>
        <v>N/A</v>
      </c>
      <c r="BT1233" t="s">
        <v>135</v>
      </c>
      <c r="BU1233">
        <v>24</v>
      </c>
      <c r="BV1233" t="str">
        <f>"Please see F.b.5.a"</f>
        <v>Please see F.b.5.a</v>
      </c>
      <c r="BW1233" t="s">
        <v>135</v>
      </c>
      <c r="BX1233" t="str">
        <f>""</f>
        <v/>
      </c>
      <c r="BY1233" t="str">
        <f>""</f>
        <v/>
      </c>
      <c r="BZ1233" t="str">
        <f>""</f>
        <v/>
      </c>
      <c r="CA1233" t="str">
        <f>"Experience must include Java, VB.Net, SQL Server, J2EE, Hibernate, Red Hat Enterprise Linux, Maven, JDBC."</f>
        <v>Experience must include Java, VB.Net, SQL Server, J2EE, Hibernate, Red Hat Enterprise Linux, Maven, JDBC.</v>
      </c>
      <c r="CB1233" t="s">
        <v>131</v>
      </c>
      <c r="CF1233" t="s">
        <v>131</v>
      </c>
      <c r="CH1233" t="str">
        <f>""</f>
        <v/>
      </c>
      <c r="CI1233" t="s">
        <v>131</v>
      </c>
      <c r="CK1233" t="s">
        <v>131</v>
      </c>
      <c r="CL1233" t="str">
        <f>""</f>
        <v/>
      </c>
      <c r="CM1233" t="str">
        <f>""</f>
        <v/>
      </c>
      <c r="CN1233" t="str">
        <f>""</f>
        <v/>
      </c>
      <c r="CO1233" t="str">
        <f>""</f>
        <v/>
      </c>
      <c r="CP1233" t="str">
        <f>"15-1133.00"</f>
        <v>15-1133.00</v>
      </c>
      <c r="CQ1233" t="s">
        <v>648</v>
      </c>
      <c r="CS1233" t="s">
        <v>135</v>
      </c>
      <c r="CT1233" t="s">
        <v>3595</v>
      </c>
      <c r="CU1233" t="s">
        <v>6651</v>
      </c>
      <c r="CV1233" t="s">
        <v>3595</v>
      </c>
      <c r="CW1233" t="s">
        <v>6646</v>
      </c>
      <c r="CX1233" t="s">
        <v>400</v>
      </c>
      <c r="CZ1233" s="3" t="str">
        <f>"76034"</f>
        <v>76034</v>
      </c>
      <c r="DA1233" t="s">
        <v>135</v>
      </c>
      <c r="DB1233" t="str">
        <f>""</f>
        <v/>
      </c>
      <c r="DF1233" t="str">
        <f>""</f>
        <v/>
      </c>
    </row>
    <row r="1234" spans="1:110" ht="15" customHeight="1" x14ac:dyDescent="0.35">
      <c r="A1234" t="s">
        <v>14730</v>
      </c>
      <c r="B1234" t="s">
        <v>138</v>
      </c>
      <c r="C1234" s="1">
        <v>44320</v>
      </c>
      <c r="G1234" s="1">
        <v>44320</v>
      </c>
      <c r="H1234" t="s">
        <v>125</v>
      </c>
      <c r="I1234" t="s">
        <v>5471</v>
      </c>
      <c r="J1234" t="s">
        <v>5472</v>
      </c>
      <c r="L1234" t="s">
        <v>3200</v>
      </c>
      <c r="M1234" t="s">
        <v>5473</v>
      </c>
      <c r="O1234" t="s">
        <v>1340</v>
      </c>
      <c r="P1234" t="s">
        <v>778</v>
      </c>
      <c r="Q1234" s="3">
        <v>38103</v>
      </c>
      <c r="R1234" t="s">
        <v>128</v>
      </c>
      <c r="T1234" s="4">
        <v>19014958687</v>
      </c>
      <c r="V1234" t="s">
        <v>5474</v>
      </c>
      <c r="W1234" t="s">
        <v>5475</v>
      </c>
      <c r="Y1234" t="s">
        <v>5473</v>
      </c>
      <c r="AA1234" t="s">
        <v>5476</v>
      </c>
      <c r="AB1234" t="s">
        <v>779</v>
      </c>
      <c r="AC1234" s="3" t="str">
        <f>"38103"</f>
        <v>38103</v>
      </c>
      <c r="AD1234" t="s">
        <v>128</v>
      </c>
      <c r="AF1234" s="4">
        <v>19014958687</v>
      </c>
      <c r="AH1234" t="str">
        <f>"441310"</f>
        <v>441310</v>
      </c>
      <c r="AI1234" t="s">
        <v>130</v>
      </c>
      <c r="AJ1234" t="s">
        <v>4490</v>
      </c>
      <c r="AK1234" t="s">
        <v>896</v>
      </c>
      <c r="AM1234" t="s">
        <v>4491</v>
      </c>
      <c r="AO1234" t="s">
        <v>1340</v>
      </c>
      <c r="AP1234" t="s">
        <v>779</v>
      </c>
      <c r="AQ1234" s="5">
        <v>38119</v>
      </c>
      <c r="AR1234" t="s">
        <v>128</v>
      </c>
      <c r="AT1234" s="4">
        <v>19016826455</v>
      </c>
      <c r="AV1234" t="s">
        <v>4492</v>
      </c>
      <c r="AW1234" t="s">
        <v>4493</v>
      </c>
      <c r="AX1234" t="s">
        <v>131</v>
      </c>
      <c r="AY1234" t="s">
        <v>131</v>
      </c>
      <c r="AZ1234" t="s">
        <v>131</v>
      </c>
      <c r="BA1234" t="s">
        <v>131</v>
      </c>
      <c r="BB1234" t="s">
        <v>131</v>
      </c>
      <c r="BC1234" t="s">
        <v>131</v>
      </c>
      <c r="BD1234" t="s">
        <v>131</v>
      </c>
      <c r="BE1234" t="s">
        <v>132</v>
      </c>
      <c r="BH1234" t="s">
        <v>14639</v>
      </c>
      <c r="BI1234" t="s">
        <v>131</v>
      </c>
      <c r="BL1234" t="s">
        <v>133</v>
      </c>
      <c r="BN1234" t="s">
        <v>14731</v>
      </c>
      <c r="BO1234" t="s">
        <v>131</v>
      </c>
      <c r="BP1234" t="s">
        <v>134</v>
      </c>
      <c r="BQ1234" t="s">
        <v>131</v>
      </c>
      <c r="BS1234" t="str">
        <f t="shared" si="88"/>
        <v>N/A</v>
      </c>
      <c r="BT1234" t="s">
        <v>135</v>
      </c>
      <c r="BU1234">
        <v>60</v>
      </c>
      <c r="BV1234" t="str">
        <f>"Related"</f>
        <v>Related</v>
      </c>
      <c r="BW1234" t="s">
        <v>135</v>
      </c>
      <c r="BX1234" t="str">
        <f>""</f>
        <v/>
      </c>
      <c r="BY1234" t="str">
        <f>""</f>
        <v/>
      </c>
      <c r="BZ1234" t="str">
        <f>""</f>
        <v/>
      </c>
      <c r="CA1234" s="2" t="s">
        <v>14732</v>
      </c>
      <c r="CB1234" t="s">
        <v>131</v>
      </c>
      <c r="CF1234" t="s">
        <v>131</v>
      </c>
      <c r="CH1234" t="str">
        <f>""</f>
        <v/>
      </c>
      <c r="CI1234" t="s">
        <v>131</v>
      </c>
      <c r="CK1234" t="s">
        <v>131</v>
      </c>
      <c r="CL1234" t="str">
        <f>""</f>
        <v/>
      </c>
      <c r="CM1234" t="str">
        <f>""</f>
        <v/>
      </c>
      <c r="CN1234" t="str">
        <f>""</f>
        <v/>
      </c>
      <c r="CO1234" t="str">
        <f>""</f>
        <v/>
      </c>
      <c r="CP1234" t="str">
        <f>"15-1132.00"</f>
        <v>15-1132.00</v>
      </c>
      <c r="CQ1234" t="s">
        <v>198</v>
      </c>
      <c r="CS1234" t="s">
        <v>131</v>
      </c>
      <c r="CU1234" t="s">
        <v>5473</v>
      </c>
      <c r="CW1234" t="s">
        <v>1340</v>
      </c>
      <c r="CX1234" t="s">
        <v>779</v>
      </c>
      <c r="CZ1234" s="3" t="str">
        <f>"38103"</f>
        <v>38103</v>
      </c>
      <c r="DA1234" t="s">
        <v>131</v>
      </c>
      <c r="DB1234" t="str">
        <f>""</f>
        <v/>
      </c>
      <c r="DF1234" t="str">
        <f>""</f>
        <v/>
      </c>
    </row>
    <row r="1235" spans="1:110" ht="15" customHeight="1" x14ac:dyDescent="0.35">
      <c r="A1235" t="s">
        <v>10868</v>
      </c>
      <c r="B1235" t="s">
        <v>138</v>
      </c>
      <c r="C1235" s="1">
        <v>44320</v>
      </c>
      <c r="G1235" s="1">
        <v>44322</v>
      </c>
      <c r="H1235" t="s">
        <v>125</v>
      </c>
      <c r="I1235" t="s">
        <v>10869</v>
      </c>
      <c r="J1235" t="s">
        <v>354</v>
      </c>
      <c r="L1235" t="s">
        <v>130</v>
      </c>
      <c r="M1235" t="s">
        <v>9214</v>
      </c>
      <c r="N1235" t="s">
        <v>10870</v>
      </c>
      <c r="O1235" t="s">
        <v>476</v>
      </c>
      <c r="P1235" t="s">
        <v>178</v>
      </c>
      <c r="Q1235" s="3">
        <v>90010</v>
      </c>
      <c r="R1235" t="s">
        <v>128</v>
      </c>
      <c r="T1235" s="4">
        <v>12137388989</v>
      </c>
      <c r="V1235" t="s">
        <v>10871</v>
      </c>
      <c r="W1235" t="s">
        <v>10872</v>
      </c>
      <c r="Y1235" t="s">
        <v>10873</v>
      </c>
      <c r="AA1235" t="s">
        <v>7604</v>
      </c>
      <c r="AB1235" t="s">
        <v>471</v>
      </c>
      <c r="AC1235" s="3" t="str">
        <f>"80031"</f>
        <v>80031</v>
      </c>
      <c r="AD1235" t="s">
        <v>128</v>
      </c>
      <c r="AF1235" s="4">
        <v>17202951509</v>
      </c>
      <c r="AH1235" t="str">
        <f>"541211"</f>
        <v>541211</v>
      </c>
      <c r="AI1235" t="s">
        <v>167</v>
      </c>
      <c r="AX1235" t="s">
        <v>131</v>
      </c>
      <c r="AY1235" t="s">
        <v>131</v>
      </c>
      <c r="AZ1235" t="s">
        <v>131</v>
      </c>
      <c r="BA1235" t="s">
        <v>131</v>
      </c>
      <c r="BB1235" t="s">
        <v>131</v>
      </c>
      <c r="BC1235" t="s">
        <v>131</v>
      </c>
      <c r="BD1235" t="s">
        <v>131</v>
      </c>
      <c r="BE1235" t="s">
        <v>132</v>
      </c>
      <c r="BH1235" t="s">
        <v>1795</v>
      </c>
      <c r="BI1235" t="s">
        <v>131</v>
      </c>
      <c r="BL1235" t="s">
        <v>133</v>
      </c>
      <c r="BN1235" t="s">
        <v>10874</v>
      </c>
      <c r="BO1235" t="s">
        <v>131</v>
      </c>
      <c r="BP1235" t="s">
        <v>134</v>
      </c>
      <c r="BQ1235" t="s">
        <v>131</v>
      </c>
      <c r="BS1235" t="str">
        <f t="shared" si="88"/>
        <v>N/A</v>
      </c>
      <c r="BT1235" t="s">
        <v>131</v>
      </c>
      <c r="BV1235" t="str">
        <f>""</f>
        <v/>
      </c>
      <c r="BW1235" t="s">
        <v>131</v>
      </c>
      <c r="BX1235" t="str">
        <f>""</f>
        <v/>
      </c>
      <c r="BY1235" t="str">
        <f>""</f>
        <v/>
      </c>
      <c r="BZ1235" t="str">
        <f>""</f>
        <v/>
      </c>
      <c r="CA1235" t="str">
        <f>""</f>
        <v/>
      </c>
      <c r="CB1235" t="s">
        <v>131</v>
      </c>
      <c r="CF1235" t="s">
        <v>131</v>
      </c>
      <c r="CH1235" t="str">
        <f>""</f>
        <v/>
      </c>
      <c r="CI1235" t="s">
        <v>131</v>
      </c>
      <c r="CK1235" t="s">
        <v>131</v>
      </c>
      <c r="CL1235" t="str">
        <f>""</f>
        <v/>
      </c>
      <c r="CM1235" t="str">
        <f>""</f>
        <v/>
      </c>
      <c r="CN1235" t="str">
        <f>""</f>
        <v/>
      </c>
      <c r="CO1235" t="str">
        <f>""</f>
        <v/>
      </c>
      <c r="CP1235" t="str">
        <f>"13-2011.01"</f>
        <v>13-2011.01</v>
      </c>
      <c r="CQ1235" t="s">
        <v>1796</v>
      </c>
      <c r="CR1235" t="s">
        <v>668</v>
      </c>
      <c r="CS1235" t="s">
        <v>131</v>
      </c>
      <c r="CU1235" t="s">
        <v>10873</v>
      </c>
      <c r="CW1235" t="s">
        <v>7604</v>
      </c>
      <c r="CX1235" t="s">
        <v>471</v>
      </c>
      <c r="CZ1235" s="3" t="str">
        <f>"80031"</f>
        <v>80031</v>
      </c>
      <c r="DA1235" t="s">
        <v>131</v>
      </c>
      <c r="DB1235" t="str">
        <f>""</f>
        <v/>
      </c>
      <c r="DF1235" t="str">
        <f>""</f>
        <v/>
      </c>
    </row>
    <row r="1236" spans="1:110" ht="15" customHeight="1" x14ac:dyDescent="0.35">
      <c r="A1236" t="s">
        <v>13542</v>
      </c>
      <c r="B1236" t="s">
        <v>138</v>
      </c>
      <c r="C1236" s="1">
        <v>44320</v>
      </c>
      <c r="G1236" s="1">
        <v>44323</v>
      </c>
      <c r="H1236" t="s">
        <v>125</v>
      </c>
      <c r="I1236" t="s">
        <v>7008</v>
      </c>
      <c r="J1236" t="s">
        <v>5650</v>
      </c>
      <c r="K1236" t="s">
        <v>1221</v>
      </c>
      <c r="L1236" t="s">
        <v>1287</v>
      </c>
      <c r="M1236" t="s">
        <v>7009</v>
      </c>
      <c r="N1236" t="s">
        <v>5495</v>
      </c>
      <c r="O1236" t="s">
        <v>792</v>
      </c>
      <c r="P1236" t="s">
        <v>178</v>
      </c>
      <c r="Q1236" s="3">
        <v>92101</v>
      </c>
      <c r="R1236" t="s">
        <v>128</v>
      </c>
      <c r="T1236" s="4">
        <v>16192361551</v>
      </c>
      <c r="V1236" t="s">
        <v>7516</v>
      </c>
      <c r="W1236" t="s">
        <v>9049</v>
      </c>
      <c r="Y1236" t="s">
        <v>9050</v>
      </c>
      <c r="Z1236" t="s">
        <v>997</v>
      </c>
      <c r="AA1236" t="s">
        <v>220</v>
      </c>
      <c r="AB1236" t="s">
        <v>172</v>
      </c>
      <c r="AC1236" s="3" t="str">
        <f>"94103"</f>
        <v>94103</v>
      </c>
      <c r="AD1236" t="s">
        <v>128</v>
      </c>
      <c r="AF1236" s="4">
        <v>14157280115</v>
      </c>
      <c r="AH1236" t="str">
        <f>"561599"</f>
        <v>561599</v>
      </c>
      <c r="AI1236" t="s">
        <v>287</v>
      </c>
      <c r="AJ1236" t="s">
        <v>9051</v>
      </c>
      <c r="AK1236" t="s">
        <v>9052</v>
      </c>
      <c r="AM1236" t="s">
        <v>9050</v>
      </c>
      <c r="AN1236" t="s">
        <v>997</v>
      </c>
      <c r="AO1236" t="s">
        <v>220</v>
      </c>
      <c r="AP1236" t="s">
        <v>172</v>
      </c>
      <c r="AQ1236" s="5">
        <v>94103</v>
      </c>
      <c r="AR1236" t="s">
        <v>128</v>
      </c>
      <c r="AT1236" s="4">
        <v>14157280115</v>
      </c>
      <c r="AV1236" t="s">
        <v>12613</v>
      </c>
      <c r="AW1236" t="s">
        <v>13400</v>
      </c>
      <c r="AX1236" t="s">
        <v>131</v>
      </c>
      <c r="AY1236" t="s">
        <v>131</v>
      </c>
      <c r="AZ1236" t="s">
        <v>131</v>
      </c>
      <c r="BA1236" t="s">
        <v>131</v>
      </c>
      <c r="BB1236" t="s">
        <v>131</v>
      </c>
      <c r="BC1236" t="s">
        <v>131</v>
      </c>
      <c r="BD1236" t="s">
        <v>131</v>
      </c>
      <c r="BE1236" t="s">
        <v>132</v>
      </c>
      <c r="BH1236" t="s">
        <v>542</v>
      </c>
      <c r="BI1236" t="s">
        <v>131</v>
      </c>
      <c r="BL1236" t="s">
        <v>133</v>
      </c>
      <c r="BN1236" t="s">
        <v>9504</v>
      </c>
      <c r="BO1236" t="s">
        <v>131</v>
      </c>
      <c r="BP1236" t="s">
        <v>134</v>
      </c>
      <c r="BQ1236" t="s">
        <v>131</v>
      </c>
      <c r="BS1236" t="str">
        <f t="shared" si="88"/>
        <v>N/A</v>
      </c>
      <c r="BT1236" t="s">
        <v>135</v>
      </c>
      <c r="BU1236">
        <v>36</v>
      </c>
      <c r="BV1236" t="str">
        <f>"job offered or related"</f>
        <v>job offered or related</v>
      </c>
      <c r="BW1236" t="s">
        <v>135</v>
      </c>
      <c r="BX1236" t="str">
        <f>""</f>
        <v/>
      </c>
      <c r="BY1236" t="str">
        <f>""</f>
        <v/>
      </c>
      <c r="BZ1236" t="str">
        <f>""</f>
        <v/>
      </c>
      <c r="CA1236" t="s">
        <v>13543</v>
      </c>
      <c r="CB1236" t="s">
        <v>131</v>
      </c>
      <c r="CF1236" t="s">
        <v>131</v>
      </c>
      <c r="CH1236" t="str">
        <f>""</f>
        <v/>
      </c>
      <c r="CI1236" t="s">
        <v>131</v>
      </c>
      <c r="CK1236" t="s">
        <v>131</v>
      </c>
      <c r="CL1236" t="str">
        <f>""</f>
        <v/>
      </c>
      <c r="CM1236" t="str">
        <f>""</f>
        <v/>
      </c>
      <c r="CN1236" t="str">
        <f>""</f>
        <v/>
      </c>
      <c r="CO1236" t="str">
        <f>""</f>
        <v/>
      </c>
      <c r="CP1236" t="str">
        <f>"15-1133.00"</f>
        <v>15-1133.00</v>
      </c>
      <c r="CQ1236" t="s">
        <v>648</v>
      </c>
      <c r="CR1236" t="s">
        <v>1400</v>
      </c>
      <c r="CS1236" t="s">
        <v>131</v>
      </c>
      <c r="CU1236" t="s">
        <v>9505</v>
      </c>
      <c r="CW1236" t="s">
        <v>371</v>
      </c>
      <c r="CX1236" t="s">
        <v>149</v>
      </c>
      <c r="CZ1236" s="3" t="str">
        <f>"98101"</f>
        <v>98101</v>
      </c>
      <c r="DA1236" t="s">
        <v>131</v>
      </c>
      <c r="DB1236" t="str">
        <f>""</f>
        <v/>
      </c>
      <c r="DF1236" t="str">
        <f>""</f>
        <v/>
      </c>
    </row>
    <row r="1237" spans="1:110" ht="15" customHeight="1" x14ac:dyDescent="0.35">
      <c r="A1237" t="s">
        <v>17122</v>
      </c>
      <c r="B1237" t="s">
        <v>138</v>
      </c>
      <c r="C1237" s="1">
        <v>44320</v>
      </c>
      <c r="G1237" s="1">
        <v>44322</v>
      </c>
      <c r="H1237" t="s">
        <v>125</v>
      </c>
      <c r="I1237" t="s">
        <v>12581</v>
      </c>
      <c r="J1237" t="s">
        <v>12582</v>
      </c>
      <c r="L1237" t="s">
        <v>395</v>
      </c>
      <c r="M1237" t="s">
        <v>12583</v>
      </c>
      <c r="O1237" t="s">
        <v>11950</v>
      </c>
      <c r="P1237" t="s">
        <v>6896</v>
      </c>
      <c r="Q1237" s="3">
        <v>99508</v>
      </c>
      <c r="R1237" t="s">
        <v>128</v>
      </c>
      <c r="T1237" s="4">
        <v>19079872500</v>
      </c>
      <c r="V1237" t="s">
        <v>12585</v>
      </c>
      <c r="W1237" t="s">
        <v>17123</v>
      </c>
      <c r="Y1237" t="s">
        <v>17124</v>
      </c>
      <c r="AA1237" t="s">
        <v>17125</v>
      </c>
      <c r="AB1237" t="s">
        <v>2406</v>
      </c>
      <c r="AC1237" s="3" t="str">
        <f>"99508"</f>
        <v>99508</v>
      </c>
      <c r="AD1237" t="s">
        <v>128</v>
      </c>
      <c r="AF1237" s="4">
        <v>19079872500</v>
      </c>
      <c r="AH1237" t="str">
        <f>"484121"</f>
        <v>484121</v>
      </c>
      <c r="AI1237" t="s">
        <v>130</v>
      </c>
      <c r="AJ1237" t="s">
        <v>12461</v>
      </c>
      <c r="AK1237" t="s">
        <v>12462</v>
      </c>
      <c r="AM1237" t="s">
        <v>12230</v>
      </c>
      <c r="AN1237">
        <v>300</v>
      </c>
      <c r="AO1237" t="s">
        <v>262</v>
      </c>
      <c r="AP1237" t="s">
        <v>263</v>
      </c>
      <c r="AQ1237" s="5">
        <v>60625</v>
      </c>
      <c r="AR1237" t="s">
        <v>128</v>
      </c>
      <c r="AT1237" s="4">
        <v>18472589954</v>
      </c>
      <c r="AV1237" t="s">
        <v>12231</v>
      </c>
      <c r="AW1237" t="s">
        <v>12463</v>
      </c>
      <c r="AX1237" t="s">
        <v>131</v>
      </c>
      <c r="AY1237" t="s">
        <v>131</v>
      </c>
      <c r="AZ1237" t="s">
        <v>131</v>
      </c>
      <c r="BA1237" t="s">
        <v>131</v>
      </c>
      <c r="BB1237" t="s">
        <v>131</v>
      </c>
      <c r="BC1237" t="s">
        <v>131</v>
      </c>
      <c r="BD1237" t="s">
        <v>131</v>
      </c>
      <c r="BE1237" t="s">
        <v>132</v>
      </c>
      <c r="BH1237" t="s">
        <v>1714</v>
      </c>
      <c r="BI1237" t="s">
        <v>131</v>
      </c>
      <c r="BL1237" t="s">
        <v>401</v>
      </c>
      <c r="BO1237" t="s">
        <v>131</v>
      </c>
      <c r="BP1237" t="s">
        <v>134</v>
      </c>
      <c r="BQ1237" t="s">
        <v>131</v>
      </c>
      <c r="BS1237" t="str">
        <f t="shared" si="88"/>
        <v>N/A</v>
      </c>
      <c r="BT1237" t="s">
        <v>135</v>
      </c>
      <c r="BU1237">
        <v>6</v>
      </c>
      <c r="BV1237" t="str">
        <f>"Job offered or closely related"</f>
        <v>Job offered or closely related</v>
      </c>
      <c r="BW1237" t="s">
        <v>135</v>
      </c>
      <c r="BX1237" t="str">
        <f>"Must obtain CDL License within 60 days of employment."</f>
        <v>Must obtain CDL License within 60 days of employment.</v>
      </c>
      <c r="BY1237" t="str">
        <f>""</f>
        <v/>
      </c>
      <c r="BZ1237" t="str">
        <f>""</f>
        <v/>
      </c>
      <c r="CA1237" t="str">
        <f>""</f>
        <v/>
      </c>
      <c r="CB1237" t="s">
        <v>131</v>
      </c>
      <c r="CF1237" t="s">
        <v>131</v>
      </c>
      <c r="CH1237" t="str">
        <f>""</f>
        <v/>
      </c>
      <c r="CI1237" t="s">
        <v>131</v>
      </c>
      <c r="CK1237" t="s">
        <v>131</v>
      </c>
      <c r="CL1237" t="str">
        <f>""</f>
        <v/>
      </c>
      <c r="CM1237" t="str">
        <f>""</f>
        <v/>
      </c>
      <c r="CN1237" t="str">
        <f>""</f>
        <v/>
      </c>
      <c r="CO1237" t="str">
        <f>""</f>
        <v/>
      </c>
      <c r="CP1237" t="str">
        <f>"53-3032.00"</f>
        <v>53-3032.00</v>
      </c>
      <c r="CQ1237" t="s">
        <v>1238</v>
      </c>
      <c r="CR1237" t="s">
        <v>395</v>
      </c>
      <c r="CS1237" t="s">
        <v>135</v>
      </c>
      <c r="CT1237" t="s">
        <v>17126</v>
      </c>
      <c r="CU1237" t="s">
        <v>12583</v>
      </c>
      <c r="CW1237" t="s">
        <v>17127</v>
      </c>
      <c r="CX1237" t="s">
        <v>2406</v>
      </c>
      <c r="CZ1237" s="3" t="str">
        <f>"99508"</f>
        <v>99508</v>
      </c>
      <c r="DA1237" t="s">
        <v>131</v>
      </c>
      <c r="DB1237" t="str">
        <f>""</f>
        <v/>
      </c>
      <c r="DF1237" t="str">
        <f>""</f>
        <v/>
      </c>
    </row>
    <row r="1238" spans="1:110" ht="15" customHeight="1" x14ac:dyDescent="0.35">
      <c r="A1238" t="s">
        <v>11574</v>
      </c>
      <c r="B1238" t="s">
        <v>138</v>
      </c>
      <c r="C1238" s="1">
        <v>44320</v>
      </c>
      <c r="G1238" s="1">
        <v>44348</v>
      </c>
      <c r="H1238" t="s">
        <v>125</v>
      </c>
      <c r="I1238" t="s">
        <v>11575</v>
      </c>
      <c r="J1238" t="s">
        <v>260</v>
      </c>
      <c r="L1238" t="s">
        <v>395</v>
      </c>
      <c r="M1238" t="s">
        <v>11576</v>
      </c>
      <c r="O1238" t="s">
        <v>11577</v>
      </c>
      <c r="P1238" t="s">
        <v>539</v>
      </c>
      <c r="Q1238" s="3">
        <v>60053</v>
      </c>
      <c r="R1238" t="s">
        <v>128</v>
      </c>
      <c r="T1238" s="4">
        <v>18479653900</v>
      </c>
      <c r="V1238" t="s">
        <v>11578</v>
      </c>
      <c r="W1238" t="s">
        <v>11579</v>
      </c>
      <c r="Y1238" t="s">
        <v>11576</v>
      </c>
      <c r="AA1238" t="s">
        <v>11577</v>
      </c>
      <c r="AB1238" t="s">
        <v>263</v>
      </c>
      <c r="AC1238" s="3" t="str">
        <f>"60053"</f>
        <v>60053</v>
      </c>
      <c r="AD1238" t="s">
        <v>128</v>
      </c>
      <c r="AF1238" s="4">
        <v>18479653900</v>
      </c>
      <c r="AH1238" t="str">
        <f>"238220"</f>
        <v>238220</v>
      </c>
      <c r="AI1238" t="s">
        <v>130</v>
      </c>
      <c r="AJ1238" t="s">
        <v>2277</v>
      </c>
      <c r="AK1238" t="s">
        <v>313</v>
      </c>
      <c r="AL1238" t="s">
        <v>1493</v>
      </c>
      <c r="AM1238" t="s">
        <v>2278</v>
      </c>
      <c r="AN1238" t="s">
        <v>1169</v>
      </c>
      <c r="AO1238" t="s">
        <v>262</v>
      </c>
      <c r="AP1238" t="s">
        <v>263</v>
      </c>
      <c r="AQ1238" s="5">
        <v>60654</v>
      </c>
      <c r="AR1238" t="s">
        <v>128</v>
      </c>
      <c r="AT1238" s="4">
        <v>13127155252</v>
      </c>
      <c r="AV1238" t="s">
        <v>2279</v>
      </c>
      <c r="AW1238" t="s">
        <v>1171</v>
      </c>
      <c r="AX1238" t="s">
        <v>131</v>
      </c>
      <c r="AY1238" t="s">
        <v>131</v>
      </c>
      <c r="AZ1238" t="s">
        <v>131</v>
      </c>
      <c r="BA1238" t="s">
        <v>131</v>
      </c>
      <c r="BB1238" t="s">
        <v>131</v>
      </c>
      <c r="BC1238" t="s">
        <v>131</v>
      </c>
      <c r="BD1238" t="s">
        <v>131</v>
      </c>
      <c r="BE1238" t="s">
        <v>132</v>
      </c>
      <c r="BH1238" t="s">
        <v>1279</v>
      </c>
      <c r="BI1238" t="s">
        <v>131</v>
      </c>
      <c r="BL1238" t="s">
        <v>133</v>
      </c>
      <c r="BN1238" t="s">
        <v>11580</v>
      </c>
      <c r="BO1238" t="s">
        <v>131</v>
      </c>
      <c r="BP1238" t="s">
        <v>134</v>
      </c>
      <c r="BQ1238" t="s">
        <v>131</v>
      </c>
      <c r="BS1238" t="str">
        <f t="shared" si="88"/>
        <v>N/A</v>
      </c>
      <c r="BT1238" t="s">
        <v>135</v>
      </c>
      <c r="BU1238">
        <v>24</v>
      </c>
      <c r="BV1238" t="str">
        <f>"mechanical engineering "</f>
        <v xml:space="preserve">mechanical engineering </v>
      </c>
      <c r="BW1238" t="s">
        <v>135</v>
      </c>
      <c r="BX1238" t="str">
        <f>""</f>
        <v/>
      </c>
      <c r="BY1238" t="str">
        <f>""</f>
        <v/>
      </c>
      <c r="BZ1238" t="str">
        <f>""</f>
        <v/>
      </c>
      <c r="CA1238" t="str">
        <f>"Please see Section F.a.2"</f>
        <v>Please see Section F.a.2</v>
      </c>
      <c r="CB1238" t="s">
        <v>131</v>
      </c>
      <c r="CF1238" t="s">
        <v>131</v>
      </c>
      <c r="CH1238" t="str">
        <f>""</f>
        <v/>
      </c>
      <c r="CI1238" t="s">
        <v>131</v>
      </c>
      <c r="CK1238" t="s">
        <v>131</v>
      </c>
      <c r="CL1238" t="str">
        <f>""</f>
        <v/>
      </c>
      <c r="CM1238" t="str">
        <f>""</f>
        <v/>
      </c>
      <c r="CN1238" t="str">
        <f>""</f>
        <v/>
      </c>
      <c r="CO1238" t="str">
        <f>""</f>
        <v/>
      </c>
      <c r="CP1238" t="str">
        <f>"17-2141.00"</f>
        <v>17-2141.00</v>
      </c>
      <c r="CQ1238" t="s">
        <v>518</v>
      </c>
      <c r="CR1238" t="s">
        <v>303</v>
      </c>
      <c r="CS1238" t="s">
        <v>131</v>
      </c>
      <c r="CU1238" t="s">
        <v>11576</v>
      </c>
      <c r="CW1238" t="s">
        <v>11577</v>
      </c>
      <c r="CX1238" t="s">
        <v>263</v>
      </c>
      <c r="CZ1238" s="3" t="str">
        <f>"60053"</f>
        <v>60053</v>
      </c>
      <c r="DA1238" t="s">
        <v>131</v>
      </c>
      <c r="DB1238" t="str">
        <f>""</f>
        <v/>
      </c>
      <c r="DF1238" t="str">
        <f>""</f>
        <v/>
      </c>
    </row>
    <row r="1239" spans="1:110" ht="15" customHeight="1" x14ac:dyDescent="0.35">
      <c r="A1239" t="s">
        <v>15736</v>
      </c>
      <c r="B1239" t="s">
        <v>138</v>
      </c>
      <c r="C1239" s="1">
        <v>44321</v>
      </c>
      <c r="G1239" s="1">
        <v>44342</v>
      </c>
      <c r="H1239" t="s">
        <v>125</v>
      </c>
      <c r="I1239" t="s">
        <v>7280</v>
      </c>
      <c r="J1239" t="s">
        <v>5133</v>
      </c>
      <c r="L1239" t="s">
        <v>9105</v>
      </c>
      <c r="M1239" t="s">
        <v>7281</v>
      </c>
      <c r="O1239" t="s">
        <v>399</v>
      </c>
      <c r="P1239" t="s">
        <v>412</v>
      </c>
      <c r="Q1239" s="3">
        <v>75217</v>
      </c>
      <c r="R1239" t="s">
        <v>128</v>
      </c>
      <c r="T1239" s="4">
        <v>12143094355</v>
      </c>
      <c r="V1239" t="s">
        <v>9106</v>
      </c>
      <c r="W1239" t="s">
        <v>11136</v>
      </c>
      <c r="Y1239" t="s">
        <v>9107</v>
      </c>
      <c r="AA1239" t="s">
        <v>7282</v>
      </c>
      <c r="AB1239" t="s">
        <v>643</v>
      </c>
      <c r="AC1239" s="3" t="str">
        <f>"30701"</f>
        <v>30701</v>
      </c>
      <c r="AD1239" t="s">
        <v>128</v>
      </c>
      <c r="AF1239" s="4">
        <v>12143094355</v>
      </c>
      <c r="AH1239" t="str">
        <f>"326150"</f>
        <v>326150</v>
      </c>
      <c r="AI1239" t="s">
        <v>130</v>
      </c>
      <c r="AJ1239" t="s">
        <v>2936</v>
      </c>
      <c r="AK1239" t="s">
        <v>2937</v>
      </c>
      <c r="AM1239" t="s">
        <v>2938</v>
      </c>
      <c r="AN1239" t="s">
        <v>2939</v>
      </c>
      <c r="AO1239" t="s">
        <v>642</v>
      </c>
      <c r="AP1239" t="s">
        <v>643</v>
      </c>
      <c r="AQ1239" s="5">
        <v>30309</v>
      </c>
      <c r="AR1239" t="s">
        <v>128</v>
      </c>
      <c r="AT1239" s="4">
        <v>14048817375</v>
      </c>
      <c r="AU1239">
        <v>7375</v>
      </c>
      <c r="AV1239" t="s">
        <v>2940</v>
      </c>
      <c r="AW1239" t="s">
        <v>2939</v>
      </c>
      <c r="AX1239" t="s">
        <v>131</v>
      </c>
      <c r="AY1239" t="s">
        <v>131</v>
      </c>
      <c r="AZ1239" t="s">
        <v>131</v>
      </c>
      <c r="BA1239" t="s">
        <v>131</v>
      </c>
      <c r="BB1239" t="s">
        <v>131</v>
      </c>
      <c r="BC1239" t="s">
        <v>131</v>
      </c>
      <c r="BD1239" t="s">
        <v>131</v>
      </c>
      <c r="BE1239" t="s">
        <v>132</v>
      </c>
      <c r="BH1239" t="s">
        <v>15737</v>
      </c>
      <c r="BI1239" t="s">
        <v>131</v>
      </c>
      <c r="BL1239" t="s">
        <v>133</v>
      </c>
      <c r="BN1239" t="s">
        <v>9108</v>
      </c>
      <c r="BO1239" t="s">
        <v>131</v>
      </c>
      <c r="BP1239" t="s">
        <v>134</v>
      </c>
      <c r="BQ1239" t="s">
        <v>131</v>
      </c>
      <c r="BS1239" t="str">
        <f t="shared" si="88"/>
        <v>N/A</v>
      </c>
      <c r="BT1239" t="s">
        <v>135</v>
      </c>
      <c r="BU1239">
        <v>96</v>
      </c>
      <c r="BV1239" t="str">
        <f>"Must have 8 years of experience in systems development positions "</f>
        <v xml:space="preserve">Must have 8 years of experience in systems development positions </v>
      </c>
      <c r="BW1239" t="s">
        <v>135</v>
      </c>
      <c r="BX1239" t="str">
        <f>""</f>
        <v/>
      </c>
      <c r="BY1239" t="str">
        <f>""</f>
        <v/>
      </c>
      <c r="BZ1239" t="str">
        <f>""</f>
        <v/>
      </c>
      <c r="CA1239" t="s">
        <v>15738</v>
      </c>
      <c r="CB1239" t="s">
        <v>131</v>
      </c>
      <c r="CF1239" t="s">
        <v>131</v>
      </c>
      <c r="CH1239" t="str">
        <f>""</f>
        <v/>
      </c>
      <c r="CI1239" t="s">
        <v>131</v>
      </c>
      <c r="CK1239" t="s">
        <v>131</v>
      </c>
      <c r="CL1239" t="str">
        <f>""</f>
        <v/>
      </c>
      <c r="CM1239" t="str">
        <f>""</f>
        <v/>
      </c>
      <c r="CN1239" t="str">
        <f>""</f>
        <v/>
      </c>
      <c r="CO1239" t="str">
        <f>""</f>
        <v/>
      </c>
      <c r="CP1239" t="str">
        <f>"15-1132.00"</f>
        <v>15-1132.00</v>
      </c>
      <c r="CQ1239" t="s">
        <v>198</v>
      </c>
      <c r="CS1239" t="s">
        <v>131</v>
      </c>
      <c r="CU1239" t="s">
        <v>9107</v>
      </c>
      <c r="CW1239" t="s">
        <v>7282</v>
      </c>
      <c r="CX1239" t="s">
        <v>643</v>
      </c>
      <c r="CZ1239" s="3" t="str">
        <f>"30701"</f>
        <v>30701</v>
      </c>
      <c r="DA1239" t="s">
        <v>131</v>
      </c>
      <c r="DB1239" t="str">
        <f>""</f>
        <v/>
      </c>
      <c r="DF1239" t="str">
        <f>""</f>
        <v/>
      </c>
    </row>
    <row r="1240" spans="1:110" ht="15" customHeight="1" x14ac:dyDescent="0.35">
      <c r="A1240" t="s">
        <v>5418</v>
      </c>
      <c r="B1240" t="s">
        <v>138</v>
      </c>
      <c r="C1240" s="1">
        <v>44321</v>
      </c>
      <c r="G1240" s="1">
        <v>44321</v>
      </c>
      <c r="H1240" t="s">
        <v>125</v>
      </c>
      <c r="I1240" t="s">
        <v>5419</v>
      </c>
      <c r="J1240" t="s">
        <v>4565</v>
      </c>
      <c r="L1240" t="s">
        <v>930</v>
      </c>
      <c r="M1240" t="s">
        <v>5420</v>
      </c>
      <c r="N1240" t="s">
        <v>788</v>
      </c>
      <c r="O1240" t="s">
        <v>220</v>
      </c>
      <c r="P1240" t="s">
        <v>178</v>
      </c>
      <c r="Q1240" s="3">
        <v>94111</v>
      </c>
      <c r="R1240" t="s">
        <v>128</v>
      </c>
      <c r="T1240" s="4">
        <v>14156219022</v>
      </c>
      <c r="V1240" t="s">
        <v>5421</v>
      </c>
      <c r="W1240" t="s">
        <v>5422</v>
      </c>
      <c r="Y1240" t="s">
        <v>5420</v>
      </c>
      <c r="Z1240" t="s">
        <v>788</v>
      </c>
      <c r="AA1240" t="s">
        <v>220</v>
      </c>
      <c r="AB1240" t="s">
        <v>172</v>
      </c>
      <c r="AC1240" s="3" t="str">
        <f>"94111"</f>
        <v>94111</v>
      </c>
      <c r="AD1240" t="s">
        <v>128</v>
      </c>
      <c r="AF1240" s="4">
        <v>14156219022</v>
      </c>
      <c r="AH1240" t="str">
        <f>"54151"</f>
        <v>54151</v>
      </c>
      <c r="AI1240" t="s">
        <v>130</v>
      </c>
      <c r="AJ1240" t="s">
        <v>1406</v>
      </c>
      <c r="AK1240" t="s">
        <v>1407</v>
      </c>
      <c r="AL1240" t="s">
        <v>134</v>
      </c>
      <c r="AM1240" t="s">
        <v>1408</v>
      </c>
      <c r="AN1240" t="s">
        <v>690</v>
      </c>
      <c r="AO1240" t="s">
        <v>691</v>
      </c>
      <c r="AP1240" t="s">
        <v>306</v>
      </c>
      <c r="AQ1240" s="5">
        <v>22201</v>
      </c>
      <c r="AR1240" t="s">
        <v>128</v>
      </c>
      <c r="AS1240" t="s">
        <v>134</v>
      </c>
      <c r="AT1240" s="4">
        <v>17036784000</v>
      </c>
      <c r="AU1240">
        <v>0</v>
      </c>
      <c r="AV1240" t="s">
        <v>1409</v>
      </c>
      <c r="AW1240" t="s">
        <v>692</v>
      </c>
      <c r="AX1240" t="s">
        <v>131</v>
      </c>
      <c r="AY1240" t="s">
        <v>131</v>
      </c>
      <c r="AZ1240" t="s">
        <v>131</v>
      </c>
      <c r="BA1240" t="s">
        <v>131</v>
      </c>
      <c r="BB1240" t="s">
        <v>131</v>
      </c>
      <c r="BC1240" t="s">
        <v>131</v>
      </c>
      <c r="BD1240" t="s">
        <v>131</v>
      </c>
      <c r="BE1240" t="s">
        <v>132</v>
      </c>
      <c r="BH1240" t="s">
        <v>1501</v>
      </c>
      <c r="BI1240" t="s">
        <v>131</v>
      </c>
      <c r="BL1240" t="s">
        <v>133</v>
      </c>
      <c r="BN1240" t="s">
        <v>2900</v>
      </c>
      <c r="BO1240" t="s">
        <v>131</v>
      </c>
      <c r="BP1240" t="s">
        <v>134</v>
      </c>
      <c r="BQ1240" t="s">
        <v>131</v>
      </c>
      <c r="BS1240" t="str">
        <f t="shared" si="88"/>
        <v>N/A</v>
      </c>
      <c r="BT1240" t="s">
        <v>131</v>
      </c>
      <c r="BV1240" t="str">
        <f>""</f>
        <v/>
      </c>
      <c r="BW1240" t="s">
        <v>135</v>
      </c>
      <c r="BX1240" t="str">
        <f>""</f>
        <v/>
      </c>
      <c r="BY1240" t="str">
        <f>""</f>
        <v/>
      </c>
      <c r="BZ1240" t="str">
        <f>""</f>
        <v/>
      </c>
      <c r="CA1240" s="2" t="s">
        <v>5423</v>
      </c>
      <c r="CB1240" t="s">
        <v>131</v>
      </c>
      <c r="CF1240" t="s">
        <v>131</v>
      </c>
      <c r="CH1240" t="str">
        <f>""</f>
        <v/>
      </c>
      <c r="CI1240" t="s">
        <v>131</v>
      </c>
      <c r="CK1240" t="s">
        <v>131</v>
      </c>
      <c r="CL1240" t="str">
        <f>""</f>
        <v/>
      </c>
      <c r="CM1240" t="str">
        <f>""</f>
        <v/>
      </c>
      <c r="CN1240" t="str">
        <f>""</f>
        <v/>
      </c>
      <c r="CO1240" t="str">
        <f>""</f>
        <v/>
      </c>
      <c r="CP1240" t="str">
        <f>"15-1132.00"</f>
        <v>15-1132.00</v>
      </c>
      <c r="CQ1240" t="s">
        <v>198</v>
      </c>
      <c r="CR1240" t="s">
        <v>5424</v>
      </c>
      <c r="CS1240" t="s">
        <v>131</v>
      </c>
      <c r="CU1240" t="s">
        <v>5425</v>
      </c>
      <c r="CV1240" t="s">
        <v>788</v>
      </c>
      <c r="CW1240" t="s">
        <v>1605</v>
      </c>
      <c r="CX1240" t="s">
        <v>149</v>
      </c>
      <c r="CZ1240" s="3" t="str">
        <f>"98004"</f>
        <v>98004</v>
      </c>
      <c r="DA1240" t="s">
        <v>131</v>
      </c>
      <c r="DB1240" t="str">
        <f>""</f>
        <v/>
      </c>
      <c r="DF1240" t="str">
        <f>""</f>
        <v/>
      </c>
    </row>
    <row r="1241" spans="1:110" ht="15" customHeight="1" x14ac:dyDescent="0.35">
      <c r="A1241" t="s">
        <v>15756</v>
      </c>
      <c r="B1241" t="s">
        <v>138</v>
      </c>
      <c r="C1241" s="1">
        <v>44321</v>
      </c>
      <c r="G1241" s="1">
        <v>44326</v>
      </c>
      <c r="H1241" t="s">
        <v>125</v>
      </c>
      <c r="I1241" t="s">
        <v>1622</v>
      </c>
      <c r="J1241" t="s">
        <v>1623</v>
      </c>
      <c r="K1241" t="s">
        <v>1624</v>
      </c>
      <c r="L1241" t="s">
        <v>130</v>
      </c>
      <c r="M1241" t="s">
        <v>4386</v>
      </c>
      <c r="N1241" t="s">
        <v>4387</v>
      </c>
      <c r="O1241" t="s">
        <v>719</v>
      </c>
      <c r="P1241" t="s">
        <v>720</v>
      </c>
      <c r="Q1241" s="3">
        <v>1701</v>
      </c>
      <c r="R1241" t="s">
        <v>128</v>
      </c>
      <c r="T1241" s="4">
        <v>15085323527</v>
      </c>
      <c r="V1241" t="s">
        <v>4388</v>
      </c>
      <c r="W1241" t="s">
        <v>4619</v>
      </c>
      <c r="Y1241" t="s">
        <v>4620</v>
      </c>
      <c r="Z1241" t="s">
        <v>4618</v>
      </c>
      <c r="AA1241" t="s">
        <v>664</v>
      </c>
      <c r="AB1241" t="s">
        <v>172</v>
      </c>
      <c r="AC1241" s="3" t="str">
        <f>"95124"</f>
        <v>95124</v>
      </c>
      <c r="AD1241" t="s">
        <v>128</v>
      </c>
      <c r="AF1241" s="4">
        <v>14088192336</v>
      </c>
      <c r="AH1241" t="str">
        <f>"541511"</f>
        <v>541511</v>
      </c>
      <c r="AI1241" t="s">
        <v>130</v>
      </c>
      <c r="AJ1241" t="s">
        <v>1622</v>
      </c>
      <c r="AK1241" t="s">
        <v>1623</v>
      </c>
      <c r="AL1241" t="s">
        <v>1624</v>
      </c>
      <c r="AM1241" t="s">
        <v>4386</v>
      </c>
      <c r="AN1241" t="s">
        <v>4387</v>
      </c>
      <c r="AO1241" t="s">
        <v>719</v>
      </c>
      <c r="AP1241" t="s">
        <v>377</v>
      </c>
      <c r="AQ1241" s="5">
        <v>1701</v>
      </c>
      <c r="AR1241" t="s">
        <v>128</v>
      </c>
      <c r="AT1241" s="4">
        <v>15085323527</v>
      </c>
      <c r="AV1241" t="s">
        <v>10561</v>
      </c>
      <c r="AW1241" t="s">
        <v>11439</v>
      </c>
      <c r="AX1241" t="s">
        <v>131</v>
      </c>
      <c r="AY1241" t="s">
        <v>131</v>
      </c>
      <c r="AZ1241" t="s">
        <v>131</v>
      </c>
      <c r="BA1241" t="s">
        <v>131</v>
      </c>
      <c r="BB1241" t="s">
        <v>131</v>
      </c>
      <c r="BC1241" t="s">
        <v>131</v>
      </c>
      <c r="BD1241" t="s">
        <v>131</v>
      </c>
      <c r="BE1241" t="s">
        <v>132</v>
      </c>
      <c r="BH1241" t="s">
        <v>2512</v>
      </c>
      <c r="BI1241" t="s">
        <v>131</v>
      </c>
      <c r="BL1241" t="s">
        <v>188</v>
      </c>
      <c r="BN1241" t="s">
        <v>15757</v>
      </c>
      <c r="BO1241" t="s">
        <v>131</v>
      </c>
      <c r="BP1241" t="s">
        <v>134</v>
      </c>
      <c r="BQ1241" t="s">
        <v>131</v>
      </c>
      <c r="BS1241" t="str">
        <f t="shared" si="88"/>
        <v>N/A</v>
      </c>
      <c r="BT1241" t="s">
        <v>135</v>
      </c>
      <c r="BU1241">
        <v>12</v>
      </c>
      <c r="BV1241" t="str">
        <f>"Experience must include demonstrable knowledge of: SQL; PL/SQL; Unix Bash Scripting; Sybase; Oracle; ETL; Data Warehousing; Jira; Jenkins; Ansible; GitHub; DevOps, and; Agile."</f>
        <v>Experience must include demonstrable knowledge of: SQL; PL/SQL; Unix Bash Scripting; Sybase; Oracle; ETL; Data Warehousing; Jira; Jenkins; Ansible; GitHub; DevOps, and; Agile.</v>
      </c>
      <c r="BW1241" t="s">
        <v>131</v>
      </c>
      <c r="BX1241" t="str">
        <f>""</f>
        <v/>
      </c>
      <c r="BY1241" t="str">
        <f>""</f>
        <v/>
      </c>
      <c r="BZ1241" t="str">
        <f>""</f>
        <v/>
      </c>
      <c r="CA1241" t="str">
        <f>""</f>
        <v/>
      </c>
      <c r="CB1241" t="s">
        <v>131</v>
      </c>
      <c r="CF1241" t="s">
        <v>131</v>
      </c>
      <c r="CH1241" t="str">
        <f>""</f>
        <v/>
      </c>
      <c r="CI1241" t="s">
        <v>131</v>
      </c>
      <c r="CK1241" t="s">
        <v>131</v>
      </c>
      <c r="CL1241" t="str">
        <f>""</f>
        <v/>
      </c>
      <c r="CM1241" t="str">
        <f>""</f>
        <v/>
      </c>
      <c r="CN1241" t="str">
        <f>""</f>
        <v/>
      </c>
      <c r="CO1241" t="str">
        <f>""</f>
        <v/>
      </c>
      <c r="CP1241" t="str">
        <f>"15-1199.08"</f>
        <v>15-1199.08</v>
      </c>
      <c r="CQ1241" t="s">
        <v>265</v>
      </c>
      <c r="CR1241" t="s">
        <v>10563</v>
      </c>
      <c r="CS1241" t="s">
        <v>135</v>
      </c>
      <c r="CT1241" t="s">
        <v>8415</v>
      </c>
      <c r="CU1241" t="s">
        <v>10560</v>
      </c>
      <c r="CV1241" t="s">
        <v>4618</v>
      </c>
      <c r="CW1241" t="s">
        <v>664</v>
      </c>
      <c r="CX1241" t="s">
        <v>172</v>
      </c>
      <c r="CZ1241" s="3" t="str">
        <f>"95124"</f>
        <v>95124</v>
      </c>
      <c r="DA1241" t="s">
        <v>131</v>
      </c>
      <c r="DB1241" t="str">
        <f>""</f>
        <v/>
      </c>
      <c r="DF1241" t="str">
        <f>""</f>
        <v/>
      </c>
    </row>
    <row r="1242" spans="1:110" ht="15" customHeight="1" x14ac:dyDescent="0.35">
      <c r="A1242" t="s">
        <v>15356</v>
      </c>
      <c r="B1242" t="s">
        <v>138</v>
      </c>
      <c r="C1242" s="1">
        <v>44321</v>
      </c>
      <c r="G1242" s="1">
        <v>44321</v>
      </c>
      <c r="H1242" t="s">
        <v>125</v>
      </c>
      <c r="I1242" t="s">
        <v>9805</v>
      </c>
      <c r="J1242" t="s">
        <v>6092</v>
      </c>
      <c r="L1242" t="s">
        <v>14614</v>
      </c>
      <c r="M1242" t="s">
        <v>2329</v>
      </c>
      <c r="N1242" t="s">
        <v>2330</v>
      </c>
      <c r="O1242" t="s">
        <v>205</v>
      </c>
      <c r="P1242" t="s">
        <v>194</v>
      </c>
      <c r="Q1242" s="3">
        <v>33607</v>
      </c>
      <c r="R1242" t="s">
        <v>128</v>
      </c>
      <c r="T1242" s="4">
        <v>17277230801</v>
      </c>
      <c r="V1242" t="s">
        <v>14616</v>
      </c>
      <c r="W1242" t="s">
        <v>2332</v>
      </c>
      <c r="Y1242" t="s">
        <v>2329</v>
      </c>
      <c r="Z1242" t="s">
        <v>2330</v>
      </c>
      <c r="AA1242" t="s">
        <v>205</v>
      </c>
      <c r="AB1242" t="s">
        <v>195</v>
      </c>
      <c r="AC1242" s="3" t="str">
        <f>"33607"</f>
        <v>33607</v>
      </c>
      <c r="AD1242" t="s">
        <v>128</v>
      </c>
      <c r="AF1242" s="4">
        <v>17277230801</v>
      </c>
      <c r="AH1242" t="str">
        <f>"541511"</f>
        <v>541511</v>
      </c>
      <c r="AI1242" t="s">
        <v>167</v>
      </c>
      <c r="AX1242" t="s">
        <v>131</v>
      </c>
      <c r="AY1242" t="s">
        <v>131</v>
      </c>
      <c r="AZ1242" t="s">
        <v>131</v>
      </c>
      <c r="BA1242" t="s">
        <v>131</v>
      </c>
      <c r="BB1242" t="s">
        <v>131</v>
      </c>
      <c r="BC1242" t="s">
        <v>131</v>
      </c>
      <c r="BD1242" t="s">
        <v>131</v>
      </c>
      <c r="BE1242" t="s">
        <v>132</v>
      </c>
      <c r="BH1242" t="s">
        <v>846</v>
      </c>
      <c r="BI1242" t="s">
        <v>131</v>
      </c>
      <c r="BL1242" t="s">
        <v>188</v>
      </c>
      <c r="BN1242" t="s">
        <v>15357</v>
      </c>
      <c r="BO1242" t="s">
        <v>131</v>
      </c>
      <c r="BP1242" t="s">
        <v>134</v>
      </c>
      <c r="BQ1242" t="s">
        <v>131</v>
      </c>
      <c r="BS1242" t="str">
        <f t="shared" si="88"/>
        <v>N/A</v>
      </c>
      <c r="BT1242" t="s">
        <v>135</v>
      </c>
      <c r="BU1242">
        <v>24</v>
      </c>
      <c r="BV1242" t="str">
        <f>"Software Developer/Engineer or related positions."</f>
        <v>Software Developer/Engineer or related positions.</v>
      </c>
      <c r="BW1242" t="s">
        <v>135</v>
      </c>
      <c r="BX1242" t="str">
        <f>""</f>
        <v/>
      </c>
      <c r="BY1242" t="str">
        <f>""</f>
        <v/>
      </c>
      <c r="BZ1242" t="str">
        <f>""</f>
        <v/>
      </c>
      <c r="CA1242" t="str">
        <f>"Experience in Business Intelligence and Analytics reporting/dashboarding tools such QlikView/MicroStrategy, Cognos, SQL Server, Teradata, Microsoft SSIS, Hadoop and GIT. "</f>
        <v xml:space="preserve">Experience in Business Intelligence and Analytics reporting/dashboarding tools such QlikView/MicroStrategy, Cognos, SQL Server, Teradata, Microsoft SSIS, Hadoop and GIT. </v>
      </c>
      <c r="CB1242" t="s">
        <v>135</v>
      </c>
      <c r="CC1242" t="s">
        <v>133</v>
      </c>
      <c r="CE1242" t="s">
        <v>15358</v>
      </c>
      <c r="CF1242" t="s">
        <v>131</v>
      </c>
      <c r="CH1242" t="str">
        <f>"N/A"</f>
        <v>N/A</v>
      </c>
      <c r="CI1242" t="s">
        <v>135</v>
      </c>
      <c r="CJ1242">
        <v>60</v>
      </c>
      <c r="CK1242" t="s">
        <v>135</v>
      </c>
      <c r="CL1242" t="str">
        <f>""</f>
        <v/>
      </c>
      <c r="CM1242" t="str">
        <f>""</f>
        <v/>
      </c>
      <c r="CN1242" t="str">
        <f>""</f>
        <v/>
      </c>
      <c r="CO1242" t="str">
        <f>"Experience in Business Intelligence and Analytics reporting/dashboarding tools such QlikView/MicroStrategy, Cognos, SQL Server, Teradata, Microsoft SSIS, Hadoop and GIT. "</f>
        <v xml:space="preserve">Experience in Business Intelligence and Analytics reporting/dashboarding tools such QlikView/MicroStrategy, Cognos, SQL Server, Teradata, Microsoft SSIS, Hadoop and GIT. </v>
      </c>
      <c r="CP1242" t="str">
        <f>"15-1132.00"</f>
        <v>15-1132.00</v>
      </c>
      <c r="CQ1242" t="s">
        <v>198</v>
      </c>
      <c r="CR1242" t="s">
        <v>849</v>
      </c>
      <c r="CS1242" t="s">
        <v>131</v>
      </c>
      <c r="CU1242" t="s">
        <v>15359</v>
      </c>
      <c r="CV1242" t="s">
        <v>14620</v>
      </c>
      <c r="CW1242" t="s">
        <v>205</v>
      </c>
      <c r="CX1242" t="s">
        <v>195</v>
      </c>
      <c r="CZ1242" s="3" t="str">
        <f>"33607"</f>
        <v>33607</v>
      </c>
      <c r="DA1242" t="s">
        <v>131</v>
      </c>
      <c r="DB1242" t="str">
        <f>""</f>
        <v/>
      </c>
      <c r="DF1242" t="str">
        <f>""</f>
        <v/>
      </c>
    </row>
    <row r="1243" spans="1:110" ht="15" customHeight="1" x14ac:dyDescent="0.35">
      <c r="A1243" t="s">
        <v>17679</v>
      </c>
      <c r="B1243" t="s">
        <v>138</v>
      </c>
      <c r="C1243" s="1">
        <v>44321</v>
      </c>
      <c r="G1243" s="1">
        <v>44354</v>
      </c>
      <c r="H1243" t="s">
        <v>125</v>
      </c>
      <c r="I1243" t="s">
        <v>4751</v>
      </c>
      <c r="J1243" t="s">
        <v>3391</v>
      </c>
      <c r="K1243" t="s">
        <v>655</v>
      </c>
      <c r="L1243" t="s">
        <v>126</v>
      </c>
      <c r="M1243" t="s">
        <v>4752</v>
      </c>
      <c r="N1243" t="s">
        <v>4753</v>
      </c>
      <c r="O1243" t="s">
        <v>1034</v>
      </c>
      <c r="P1243" t="s">
        <v>593</v>
      </c>
      <c r="Q1243" s="3">
        <v>27615</v>
      </c>
      <c r="R1243" t="s">
        <v>128</v>
      </c>
      <c r="T1243" s="4">
        <v>19196474820</v>
      </c>
      <c r="V1243" t="s">
        <v>4756</v>
      </c>
      <c r="W1243" t="s">
        <v>7890</v>
      </c>
      <c r="Y1243" t="s">
        <v>17680</v>
      </c>
      <c r="AA1243" t="s">
        <v>7892</v>
      </c>
      <c r="AB1243" t="s">
        <v>312</v>
      </c>
      <c r="AC1243" s="3" t="str">
        <f>"16066"</f>
        <v>16066</v>
      </c>
      <c r="AD1243" t="s">
        <v>128</v>
      </c>
      <c r="AF1243" s="4">
        <v>17247205687</v>
      </c>
      <c r="AH1243" t="str">
        <f>"492110"</f>
        <v>492110</v>
      </c>
      <c r="AI1243" t="s">
        <v>130</v>
      </c>
      <c r="AJ1243" t="s">
        <v>4751</v>
      </c>
      <c r="AK1243" t="s">
        <v>3391</v>
      </c>
      <c r="AL1243" t="s">
        <v>655</v>
      </c>
      <c r="AM1243" t="s">
        <v>13619</v>
      </c>
      <c r="AN1243" t="s">
        <v>4753</v>
      </c>
      <c r="AO1243" t="s">
        <v>1034</v>
      </c>
      <c r="AP1243" t="s">
        <v>594</v>
      </c>
      <c r="AQ1243" s="5">
        <v>27615</v>
      </c>
      <c r="AR1243" t="s">
        <v>128</v>
      </c>
      <c r="AT1243" s="4">
        <v>19196474820</v>
      </c>
      <c r="AV1243" t="s">
        <v>4754</v>
      </c>
      <c r="AW1243" t="s">
        <v>12768</v>
      </c>
      <c r="AX1243" t="s">
        <v>131</v>
      </c>
      <c r="AY1243" t="s">
        <v>131</v>
      </c>
      <c r="AZ1243" t="s">
        <v>131</v>
      </c>
      <c r="BA1243" t="s">
        <v>131</v>
      </c>
      <c r="BB1243" t="s">
        <v>131</v>
      </c>
      <c r="BC1243" t="s">
        <v>131</v>
      </c>
      <c r="BD1243" t="s">
        <v>131</v>
      </c>
      <c r="BE1243" t="s">
        <v>132</v>
      </c>
      <c r="BH1243" t="s">
        <v>17681</v>
      </c>
      <c r="BI1243" t="s">
        <v>131</v>
      </c>
      <c r="BL1243" t="s">
        <v>188</v>
      </c>
      <c r="BN1243" t="s">
        <v>7894</v>
      </c>
      <c r="BO1243" t="s">
        <v>131</v>
      </c>
      <c r="BP1243" t="s">
        <v>134</v>
      </c>
      <c r="BQ1243" t="s">
        <v>131</v>
      </c>
      <c r="BS1243" t="str">
        <f t="shared" si="88"/>
        <v>N/A</v>
      </c>
      <c r="BT1243" t="s">
        <v>135</v>
      </c>
      <c r="BU1243">
        <v>24</v>
      </c>
      <c r="BV1243" t="str">
        <f>"IN A RELATED OCCUPATION"</f>
        <v>IN A RELATED OCCUPATION</v>
      </c>
      <c r="BW1243" t="s">
        <v>135</v>
      </c>
      <c r="BX1243" t="str">
        <f>""</f>
        <v/>
      </c>
      <c r="BY1243" t="str">
        <f>""</f>
        <v/>
      </c>
      <c r="BZ1243" t="str">
        <f>""</f>
        <v/>
      </c>
      <c r="CA1243" t="s">
        <v>17682</v>
      </c>
      <c r="CB1243" t="s">
        <v>135</v>
      </c>
      <c r="CC1243" t="s">
        <v>133</v>
      </c>
      <c r="CE1243" t="s">
        <v>7894</v>
      </c>
      <c r="CF1243" t="s">
        <v>131</v>
      </c>
      <c r="CH1243" t="str">
        <f>"N/A"</f>
        <v>N/A</v>
      </c>
      <c r="CI1243" t="s">
        <v>135</v>
      </c>
      <c r="CJ1243">
        <v>48</v>
      </c>
      <c r="CK1243" t="s">
        <v>131</v>
      </c>
      <c r="CL1243" t="str">
        <f>""</f>
        <v/>
      </c>
      <c r="CM1243" t="str">
        <f>""</f>
        <v/>
      </c>
      <c r="CN1243" t="str">
        <f>""</f>
        <v/>
      </c>
      <c r="CO1243" t="str">
        <f>""</f>
        <v/>
      </c>
      <c r="CP1243" t="str">
        <f>"15-1121.00"</f>
        <v>15-1121.00</v>
      </c>
      <c r="CQ1243" t="s">
        <v>283</v>
      </c>
      <c r="CR1243" t="s">
        <v>7895</v>
      </c>
      <c r="CS1243" t="s">
        <v>135</v>
      </c>
      <c r="CT1243" t="s">
        <v>12770</v>
      </c>
      <c r="CU1243" t="s">
        <v>17680</v>
      </c>
      <c r="CW1243" t="s">
        <v>7892</v>
      </c>
      <c r="CX1243" t="s">
        <v>312</v>
      </c>
      <c r="CZ1243" s="3" t="str">
        <f>"16066"</f>
        <v>16066</v>
      </c>
      <c r="DA1243" t="s">
        <v>131</v>
      </c>
      <c r="DB1243" t="str">
        <f>""</f>
        <v/>
      </c>
      <c r="DF1243" t="str">
        <f>""</f>
        <v/>
      </c>
    </row>
    <row r="1244" spans="1:110" ht="15" customHeight="1" x14ac:dyDescent="0.35">
      <c r="A1244" t="s">
        <v>12136</v>
      </c>
      <c r="B1244" t="s">
        <v>138</v>
      </c>
      <c r="C1244" s="1">
        <v>44321</v>
      </c>
      <c r="G1244" s="1">
        <v>44340</v>
      </c>
      <c r="H1244" t="s">
        <v>125</v>
      </c>
      <c r="I1244" t="s">
        <v>7681</v>
      </c>
      <c r="J1244" t="s">
        <v>7682</v>
      </c>
      <c r="L1244" t="s">
        <v>2273</v>
      </c>
      <c r="M1244" t="s">
        <v>7683</v>
      </c>
      <c r="O1244" t="s">
        <v>7684</v>
      </c>
      <c r="P1244" t="s">
        <v>539</v>
      </c>
      <c r="Q1244" s="3">
        <v>61629</v>
      </c>
      <c r="R1244" t="s">
        <v>128</v>
      </c>
      <c r="T1244" s="4">
        <v>17863435269</v>
      </c>
      <c r="V1244" t="s">
        <v>12137</v>
      </c>
      <c r="W1244" t="s">
        <v>7686</v>
      </c>
      <c r="X1244" t="s">
        <v>7686</v>
      </c>
      <c r="Y1244" t="s">
        <v>7683</v>
      </c>
      <c r="AA1244" t="s">
        <v>7684</v>
      </c>
      <c r="AB1244" t="s">
        <v>263</v>
      </c>
      <c r="AC1244" s="3" t="str">
        <f>"61629"</f>
        <v>61629</v>
      </c>
      <c r="AD1244" t="s">
        <v>128</v>
      </c>
      <c r="AF1244" s="4">
        <v>17863435269</v>
      </c>
      <c r="AH1244" t="str">
        <f>"333120"</f>
        <v>333120</v>
      </c>
      <c r="AI1244" t="s">
        <v>167</v>
      </c>
      <c r="AX1244" t="s">
        <v>131</v>
      </c>
      <c r="AY1244" t="s">
        <v>131</v>
      </c>
      <c r="AZ1244" t="s">
        <v>131</v>
      </c>
      <c r="BA1244" t="s">
        <v>131</v>
      </c>
      <c r="BB1244" t="s">
        <v>131</v>
      </c>
      <c r="BC1244" t="s">
        <v>131</v>
      </c>
      <c r="BD1244" t="s">
        <v>131</v>
      </c>
      <c r="BE1244" t="s">
        <v>1948</v>
      </c>
      <c r="BH1244" t="s">
        <v>12138</v>
      </c>
      <c r="BI1244" t="s">
        <v>131</v>
      </c>
      <c r="BL1244" t="s">
        <v>133</v>
      </c>
      <c r="BN1244" t="s">
        <v>2702</v>
      </c>
      <c r="BO1244" t="s">
        <v>131</v>
      </c>
      <c r="BP1244" t="s">
        <v>134</v>
      </c>
      <c r="BQ1244" t="s">
        <v>131</v>
      </c>
      <c r="BS1244" t="str">
        <f t="shared" si="88"/>
        <v>N/A</v>
      </c>
      <c r="BT1244" t="s">
        <v>135</v>
      </c>
      <c r="BU1244">
        <v>60</v>
      </c>
      <c r="BV1244" t="str">
        <f>"Electrical Engineering"</f>
        <v>Electrical Engineering</v>
      </c>
      <c r="BW1244" t="s">
        <v>131</v>
      </c>
      <c r="BX1244" t="str">
        <f>""</f>
        <v/>
      </c>
      <c r="BY1244" t="str">
        <f>""</f>
        <v/>
      </c>
      <c r="BZ1244" t="str">
        <f>""</f>
        <v/>
      </c>
      <c r="CA1244" t="str">
        <f>""</f>
        <v/>
      </c>
      <c r="CB1244" t="s">
        <v>135</v>
      </c>
      <c r="CC1244" t="s">
        <v>188</v>
      </c>
      <c r="CE1244" t="s">
        <v>12139</v>
      </c>
      <c r="CF1244" t="s">
        <v>131</v>
      </c>
      <c r="CH1244" t="str">
        <f>"N/A"</f>
        <v>N/A</v>
      </c>
      <c r="CI1244" t="s">
        <v>135</v>
      </c>
      <c r="CJ1244">
        <v>48</v>
      </c>
      <c r="CK1244" t="s">
        <v>131</v>
      </c>
      <c r="CL1244" t="str">
        <f>""</f>
        <v/>
      </c>
      <c r="CM1244" t="str">
        <f>""</f>
        <v/>
      </c>
      <c r="CN1244" t="str">
        <f>""</f>
        <v/>
      </c>
      <c r="CO1244" t="str">
        <f>""</f>
        <v/>
      </c>
      <c r="CP1244" t="str">
        <f>"17-2071.00"</f>
        <v>17-2071.00</v>
      </c>
      <c r="CQ1244" t="s">
        <v>649</v>
      </c>
      <c r="CR1244" t="s">
        <v>12140</v>
      </c>
      <c r="CS1244" t="s">
        <v>131</v>
      </c>
      <c r="CU1244" t="s">
        <v>12141</v>
      </c>
      <c r="CW1244" t="s">
        <v>12142</v>
      </c>
      <c r="CX1244" t="s">
        <v>263</v>
      </c>
      <c r="CZ1244" s="3" t="str">
        <f>"61525"</f>
        <v>61525</v>
      </c>
      <c r="DA1244" t="s">
        <v>131</v>
      </c>
      <c r="DB1244" t="str">
        <f>""</f>
        <v/>
      </c>
      <c r="DF1244" t="str">
        <f>""</f>
        <v/>
      </c>
    </row>
    <row r="1245" spans="1:110" ht="15" customHeight="1" x14ac:dyDescent="0.35">
      <c r="A1245" t="s">
        <v>8577</v>
      </c>
      <c r="B1245" t="s">
        <v>138</v>
      </c>
      <c r="C1245" s="1">
        <v>44321</v>
      </c>
      <c r="G1245" s="1">
        <v>44321</v>
      </c>
      <c r="H1245" t="s">
        <v>125</v>
      </c>
      <c r="I1245" t="s">
        <v>8578</v>
      </c>
      <c r="J1245" t="s">
        <v>8579</v>
      </c>
      <c r="L1245" t="s">
        <v>668</v>
      </c>
      <c r="M1245" t="s">
        <v>8580</v>
      </c>
      <c r="O1245" t="s">
        <v>494</v>
      </c>
      <c r="P1245" t="s">
        <v>127</v>
      </c>
      <c r="Q1245" s="3">
        <v>10122</v>
      </c>
      <c r="R1245" t="s">
        <v>128</v>
      </c>
      <c r="T1245" s="4">
        <v>16318883636</v>
      </c>
      <c r="V1245" t="s">
        <v>8581</v>
      </c>
      <c r="W1245" t="s">
        <v>8582</v>
      </c>
      <c r="Y1245" t="s">
        <v>8583</v>
      </c>
      <c r="AA1245" t="s">
        <v>494</v>
      </c>
      <c r="AB1245" t="s">
        <v>129</v>
      </c>
      <c r="AC1245" s="3" t="str">
        <f>"10002"</f>
        <v>10002</v>
      </c>
      <c r="AD1245" t="s">
        <v>128</v>
      </c>
      <c r="AF1245" s="4">
        <v>16464158011</v>
      </c>
      <c r="AH1245" t="str">
        <f>"541219"</f>
        <v>541219</v>
      </c>
      <c r="AI1245" t="s">
        <v>130</v>
      </c>
      <c r="AJ1245" t="s">
        <v>8584</v>
      </c>
      <c r="AK1245" t="s">
        <v>8585</v>
      </c>
      <c r="AM1245" t="s">
        <v>8580</v>
      </c>
      <c r="AO1245" t="s">
        <v>494</v>
      </c>
      <c r="AP1245" t="s">
        <v>129</v>
      </c>
      <c r="AQ1245" s="5">
        <v>10122</v>
      </c>
      <c r="AR1245" t="s">
        <v>128</v>
      </c>
      <c r="AT1245" s="4">
        <v>16318883636</v>
      </c>
      <c r="AV1245" t="s">
        <v>8581</v>
      </c>
      <c r="AW1245" t="s">
        <v>8586</v>
      </c>
      <c r="AX1245" t="s">
        <v>131</v>
      </c>
      <c r="AY1245" t="s">
        <v>131</v>
      </c>
      <c r="AZ1245" t="s">
        <v>131</v>
      </c>
      <c r="BA1245" t="s">
        <v>131</v>
      </c>
      <c r="BB1245" t="s">
        <v>131</v>
      </c>
      <c r="BC1245" t="s">
        <v>131</v>
      </c>
      <c r="BD1245" t="s">
        <v>131</v>
      </c>
      <c r="BE1245" t="s">
        <v>132</v>
      </c>
      <c r="BH1245" t="s">
        <v>7884</v>
      </c>
      <c r="BI1245" t="s">
        <v>131</v>
      </c>
      <c r="BL1245" t="s">
        <v>188</v>
      </c>
      <c r="BN1245" t="s">
        <v>8587</v>
      </c>
      <c r="BO1245" t="s">
        <v>131</v>
      </c>
      <c r="BP1245" t="s">
        <v>134</v>
      </c>
      <c r="BQ1245" t="s">
        <v>131</v>
      </c>
      <c r="BS1245" t="str">
        <f t="shared" si="88"/>
        <v>N/A</v>
      </c>
      <c r="BT1245" t="s">
        <v>135</v>
      </c>
      <c r="BU1245">
        <v>12</v>
      </c>
      <c r="BV1245" t="str">
        <f>"At least 12 months of work experience at same or similar role in CPA firms"</f>
        <v>At least 12 months of work experience at same or similar role in CPA firms</v>
      </c>
      <c r="BW1245" t="s">
        <v>131</v>
      </c>
      <c r="BX1245" t="str">
        <f>""</f>
        <v/>
      </c>
      <c r="BY1245" t="str">
        <f>""</f>
        <v/>
      </c>
      <c r="BZ1245" t="str">
        <f>""</f>
        <v/>
      </c>
      <c r="CA1245" t="str">
        <f>""</f>
        <v/>
      </c>
      <c r="CB1245" t="s">
        <v>131</v>
      </c>
      <c r="CF1245" t="s">
        <v>131</v>
      </c>
      <c r="CH1245" t="str">
        <f>""</f>
        <v/>
      </c>
      <c r="CI1245" t="s">
        <v>131</v>
      </c>
      <c r="CK1245" t="s">
        <v>131</v>
      </c>
      <c r="CL1245" t="str">
        <f>""</f>
        <v/>
      </c>
      <c r="CM1245" t="str">
        <f>""</f>
        <v/>
      </c>
      <c r="CN1245" t="str">
        <f>""</f>
        <v/>
      </c>
      <c r="CO1245" t="str">
        <f>""</f>
        <v/>
      </c>
      <c r="CP1245" t="str">
        <f>"13-2011.01"</f>
        <v>13-2011.01</v>
      </c>
      <c r="CQ1245" t="s">
        <v>1796</v>
      </c>
      <c r="CR1245" t="s">
        <v>2754</v>
      </c>
      <c r="CS1245" t="s">
        <v>131</v>
      </c>
      <c r="CU1245" t="s">
        <v>8588</v>
      </c>
      <c r="CW1245" t="s">
        <v>494</v>
      </c>
      <c r="CX1245" t="s">
        <v>129</v>
      </c>
      <c r="CZ1245" s="3" t="str">
        <f>"10002"</f>
        <v>10002</v>
      </c>
      <c r="DA1245" t="s">
        <v>131</v>
      </c>
      <c r="DB1245" t="str">
        <f>""</f>
        <v/>
      </c>
      <c r="DF1245" t="str">
        <f>""</f>
        <v/>
      </c>
    </row>
    <row r="1246" spans="1:110" ht="15" customHeight="1" x14ac:dyDescent="0.35">
      <c r="A1246" t="s">
        <v>18467</v>
      </c>
      <c r="B1246" t="s">
        <v>138</v>
      </c>
      <c r="C1246" s="1">
        <v>44321</v>
      </c>
      <c r="G1246" s="1">
        <v>44340</v>
      </c>
      <c r="H1246" t="s">
        <v>125</v>
      </c>
      <c r="I1246" t="s">
        <v>7681</v>
      </c>
      <c r="J1246" t="s">
        <v>7682</v>
      </c>
      <c r="L1246" t="s">
        <v>2273</v>
      </c>
      <c r="M1246" t="s">
        <v>7683</v>
      </c>
      <c r="O1246" t="s">
        <v>7684</v>
      </c>
      <c r="P1246" t="s">
        <v>539</v>
      </c>
      <c r="Q1246" s="3">
        <v>61629</v>
      </c>
      <c r="R1246" t="s">
        <v>128</v>
      </c>
      <c r="T1246" s="4">
        <v>17863435269</v>
      </c>
      <c r="V1246" t="s">
        <v>7685</v>
      </c>
      <c r="W1246" t="s">
        <v>7686</v>
      </c>
      <c r="X1246" t="s">
        <v>7686</v>
      </c>
      <c r="Y1246" t="s">
        <v>7683</v>
      </c>
      <c r="AA1246" t="s">
        <v>7684</v>
      </c>
      <c r="AB1246" t="s">
        <v>263</v>
      </c>
      <c r="AC1246" s="3" t="str">
        <f>"61629"</f>
        <v>61629</v>
      </c>
      <c r="AD1246" t="s">
        <v>128</v>
      </c>
      <c r="AF1246" s="4">
        <v>17863435269</v>
      </c>
      <c r="AH1246" t="str">
        <f>"333120"</f>
        <v>333120</v>
      </c>
      <c r="AI1246" t="s">
        <v>167</v>
      </c>
      <c r="AX1246" t="s">
        <v>131</v>
      </c>
      <c r="AY1246" t="s">
        <v>131</v>
      </c>
      <c r="AZ1246" t="s">
        <v>131</v>
      </c>
      <c r="BA1246" t="s">
        <v>131</v>
      </c>
      <c r="BB1246" t="s">
        <v>131</v>
      </c>
      <c r="BC1246" t="s">
        <v>131</v>
      </c>
      <c r="BD1246" t="s">
        <v>131</v>
      </c>
      <c r="BE1246" t="s">
        <v>1948</v>
      </c>
      <c r="BH1246" t="s">
        <v>8329</v>
      </c>
      <c r="BI1246" t="s">
        <v>131</v>
      </c>
      <c r="BL1246" t="s">
        <v>133</v>
      </c>
      <c r="BN1246" t="s">
        <v>9599</v>
      </c>
      <c r="BO1246" t="s">
        <v>131</v>
      </c>
      <c r="BP1246" t="s">
        <v>134</v>
      </c>
      <c r="BQ1246" t="s">
        <v>131</v>
      </c>
      <c r="BS1246" t="str">
        <f t="shared" si="88"/>
        <v>N/A</v>
      </c>
      <c r="BT1246" t="s">
        <v>135</v>
      </c>
      <c r="BU1246">
        <v>60</v>
      </c>
      <c r="BV1246" t="str">
        <f>"ELECTRICAL ENGINEERING"</f>
        <v>ELECTRICAL ENGINEERING</v>
      </c>
      <c r="BW1246" t="s">
        <v>131</v>
      </c>
      <c r="BX1246" t="str">
        <f>""</f>
        <v/>
      </c>
      <c r="BY1246" t="str">
        <f>""</f>
        <v/>
      </c>
      <c r="BZ1246" t="str">
        <f>""</f>
        <v/>
      </c>
      <c r="CA1246" t="str">
        <f>""</f>
        <v/>
      </c>
      <c r="CB1246" t="s">
        <v>131</v>
      </c>
      <c r="CF1246" t="s">
        <v>131</v>
      </c>
      <c r="CH1246" t="str">
        <f>""</f>
        <v/>
      </c>
      <c r="CI1246" t="s">
        <v>131</v>
      </c>
      <c r="CK1246" t="s">
        <v>131</v>
      </c>
      <c r="CL1246" t="str">
        <f>""</f>
        <v/>
      </c>
      <c r="CM1246" t="str">
        <f>""</f>
        <v/>
      </c>
      <c r="CN1246" t="str">
        <f>""</f>
        <v/>
      </c>
      <c r="CO1246" t="str">
        <f>""</f>
        <v/>
      </c>
      <c r="CP1246" t="str">
        <f>"17-2071.00"</f>
        <v>17-2071.00</v>
      </c>
      <c r="CQ1246" t="s">
        <v>649</v>
      </c>
      <c r="CR1246" t="s">
        <v>136</v>
      </c>
      <c r="CS1246" t="s">
        <v>131</v>
      </c>
      <c r="CU1246" t="s">
        <v>12141</v>
      </c>
      <c r="CW1246" t="s">
        <v>12142</v>
      </c>
      <c r="CX1246" t="s">
        <v>263</v>
      </c>
      <c r="CZ1246" s="3" t="str">
        <f>"61629"</f>
        <v>61629</v>
      </c>
      <c r="DA1246" t="s">
        <v>131</v>
      </c>
      <c r="DB1246" t="str">
        <f>""</f>
        <v/>
      </c>
      <c r="DF1246" t="str">
        <f>""</f>
        <v/>
      </c>
    </row>
    <row r="1247" spans="1:110" ht="15" customHeight="1" x14ac:dyDescent="0.35">
      <c r="A1247" t="s">
        <v>13150</v>
      </c>
      <c r="B1247" t="s">
        <v>138</v>
      </c>
      <c r="C1247" s="1">
        <v>44321</v>
      </c>
      <c r="G1247" s="1">
        <v>44322</v>
      </c>
      <c r="H1247" t="s">
        <v>125</v>
      </c>
      <c r="I1247" t="s">
        <v>13151</v>
      </c>
      <c r="J1247" t="s">
        <v>277</v>
      </c>
      <c r="L1247" t="s">
        <v>2223</v>
      </c>
      <c r="M1247" t="s">
        <v>12124</v>
      </c>
      <c r="N1247" t="s">
        <v>12125</v>
      </c>
      <c r="O1247" t="s">
        <v>494</v>
      </c>
      <c r="P1247" t="s">
        <v>127</v>
      </c>
      <c r="Q1247" s="3">
        <v>10013</v>
      </c>
      <c r="R1247" t="s">
        <v>128</v>
      </c>
      <c r="T1247" s="4">
        <v>12129667450</v>
      </c>
      <c r="V1247" t="s">
        <v>13152</v>
      </c>
      <c r="W1247" t="s">
        <v>13153</v>
      </c>
      <c r="Y1247" t="s">
        <v>13154</v>
      </c>
      <c r="Z1247" t="s">
        <v>13155</v>
      </c>
      <c r="AA1247" t="s">
        <v>2145</v>
      </c>
      <c r="AB1247" t="s">
        <v>129</v>
      </c>
      <c r="AC1247" s="3" t="str">
        <f>"10013"</f>
        <v>10013</v>
      </c>
      <c r="AD1247" t="s">
        <v>128</v>
      </c>
      <c r="AF1247" s="4">
        <v>12129667450</v>
      </c>
      <c r="AH1247" t="str">
        <f>"541310"</f>
        <v>541310</v>
      </c>
      <c r="AI1247" t="s">
        <v>130</v>
      </c>
      <c r="AJ1247" t="s">
        <v>4399</v>
      </c>
      <c r="AK1247" t="s">
        <v>1469</v>
      </c>
      <c r="AL1247" t="s">
        <v>13156</v>
      </c>
      <c r="AM1247" t="s">
        <v>4400</v>
      </c>
      <c r="AN1247" t="s">
        <v>1645</v>
      </c>
      <c r="AO1247" t="s">
        <v>494</v>
      </c>
      <c r="AP1247" t="s">
        <v>129</v>
      </c>
      <c r="AQ1247" s="5">
        <v>10036</v>
      </c>
      <c r="AR1247" t="s">
        <v>128</v>
      </c>
      <c r="AT1247" s="4">
        <v>12123919090</v>
      </c>
      <c r="AV1247" t="s">
        <v>4401</v>
      </c>
      <c r="AW1247" t="s">
        <v>4402</v>
      </c>
      <c r="AX1247" t="s">
        <v>131</v>
      </c>
      <c r="AY1247" t="s">
        <v>131</v>
      </c>
      <c r="AZ1247" t="s">
        <v>131</v>
      </c>
      <c r="BA1247" t="s">
        <v>131</v>
      </c>
      <c r="BB1247" t="s">
        <v>131</v>
      </c>
      <c r="BC1247" t="s">
        <v>131</v>
      </c>
      <c r="BD1247" t="s">
        <v>131</v>
      </c>
      <c r="BE1247" t="s">
        <v>132</v>
      </c>
      <c r="BH1247" t="s">
        <v>4403</v>
      </c>
      <c r="BI1247" t="s">
        <v>131</v>
      </c>
      <c r="BL1247" t="s">
        <v>133</v>
      </c>
      <c r="BN1247" t="s">
        <v>13157</v>
      </c>
      <c r="BO1247" t="s">
        <v>131</v>
      </c>
      <c r="BP1247" t="s">
        <v>134</v>
      </c>
      <c r="BQ1247" t="s">
        <v>131</v>
      </c>
      <c r="BS1247" t="str">
        <f t="shared" si="88"/>
        <v>N/A</v>
      </c>
      <c r="BT1247" t="s">
        <v>135</v>
      </c>
      <c r="BU1247">
        <v>12</v>
      </c>
      <c r="BV1247" t="str">
        <f>"ANY RELATED WORK EXPERIENCE "</f>
        <v xml:space="preserve">ANY RELATED WORK EXPERIENCE </v>
      </c>
      <c r="BW1247" t="s">
        <v>131</v>
      </c>
      <c r="BX1247" t="str">
        <f>""</f>
        <v/>
      </c>
      <c r="BY1247" t="str">
        <f>""</f>
        <v/>
      </c>
      <c r="BZ1247" t="str">
        <f>""</f>
        <v/>
      </c>
      <c r="CA1247" t="str">
        <f>""</f>
        <v/>
      </c>
      <c r="CB1247" t="s">
        <v>131</v>
      </c>
      <c r="CF1247" t="s">
        <v>131</v>
      </c>
      <c r="CH1247" t="str">
        <f>""</f>
        <v/>
      </c>
      <c r="CI1247" t="s">
        <v>131</v>
      </c>
      <c r="CK1247" t="s">
        <v>131</v>
      </c>
      <c r="CL1247" t="str">
        <f>""</f>
        <v/>
      </c>
      <c r="CM1247" t="str">
        <f>""</f>
        <v/>
      </c>
      <c r="CN1247" t="str">
        <f>""</f>
        <v/>
      </c>
      <c r="CO1247" t="str">
        <f>""</f>
        <v/>
      </c>
      <c r="CP1247" t="str">
        <f>"17-1011.00"</f>
        <v>17-1011.00</v>
      </c>
      <c r="CQ1247" t="s">
        <v>2670</v>
      </c>
      <c r="CR1247" t="s">
        <v>4404</v>
      </c>
      <c r="CS1247" t="s">
        <v>131</v>
      </c>
      <c r="CU1247" t="s">
        <v>12124</v>
      </c>
      <c r="CV1247" t="s">
        <v>12125</v>
      </c>
      <c r="CW1247" t="s">
        <v>494</v>
      </c>
      <c r="CX1247" t="s">
        <v>129</v>
      </c>
      <c r="CZ1247" s="3" t="str">
        <f>"10013"</f>
        <v>10013</v>
      </c>
      <c r="DA1247" t="s">
        <v>131</v>
      </c>
      <c r="DB1247" t="str">
        <f>""</f>
        <v/>
      </c>
      <c r="DF1247" t="str">
        <f>""</f>
        <v/>
      </c>
    </row>
    <row r="1248" spans="1:110" ht="15" customHeight="1" x14ac:dyDescent="0.35">
      <c r="A1248" t="s">
        <v>14546</v>
      </c>
      <c r="B1248" t="s">
        <v>138</v>
      </c>
      <c r="C1248" s="1">
        <v>44321</v>
      </c>
      <c r="G1248" s="1">
        <v>44321</v>
      </c>
      <c r="H1248" t="s">
        <v>125</v>
      </c>
      <c r="I1248" t="s">
        <v>888</v>
      </c>
      <c r="J1248" t="s">
        <v>889</v>
      </c>
      <c r="L1248" t="s">
        <v>890</v>
      </c>
      <c r="M1248" t="s">
        <v>891</v>
      </c>
      <c r="O1248" t="s">
        <v>220</v>
      </c>
      <c r="P1248" t="s">
        <v>178</v>
      </c>
      <c r="Q1248" s="3">
        <v>94105</v>
      </c>
      <c r="R1248" t="s">
        <v>128</v>
      </c>
      <c r="T1248" s="4">
        <v>14154234215</v>
      </c>
      <c r="U1248">
        <v>0</v>
      </c>
      <c r="V1248" t="s">
        <v>892</v>
      </c>
      <c r="W1248" t="s">
        <v>893</v>
      </c>
      <c r="Y1248" t="s">
        <v>891</v>
      </c>
      <c r="AA1248" t="s">
        <v>220</v>
      </c>
      <c r="AB1248" t="s">
        <v>172</v>
      </c>
      <c r="AC1248" s="3" t="str">
        <f>"94105"</f>
        <v>94105</v>
      </c>
      <c r="AD1248" t="s">
        <v>128</v>
      </c>
      <c r="AF1248" s="4">
        <v>14154234215</v>
      </c>
      <c r="AG1248">
        <v>0</v>
      </c>
      <c r="AH1248" t="str">
        <f>"54151"</f>
        <v>54151</v>
      </c>
      <c r="AI1248" t="s">
        <v>287</v>
      </c>
      <c r="AJ1248" t="s">
        <v>3218</v>
      </c>
      <c r="AK1248" t="s">
        <v>3219</v>
      </c>
      <c r="AL1248" t="s">
        <v>3220</v>
      </c>
      <c r="AM1248" t="s">
        <v>897</v>
      </c>
      <c r="AN1248" t="s">
        <v>2558</v>
      </c>
      <c r="AO1248" t="s">
        <v>3221</v>
      </c>
      <c r="AP1248" t="s">
        <v>306</v>
      </c>
      <c r="AQ1248" s="5">
        <v>22201</v>
      </c>
      <c r="AR1248" t="s">
        <v>128</v>
      </c>
      <c r="AT1248" s="4">
        <v>17036784000</v>
      </c>
      <c r="AU1248">
        <v>0</v>
      </c>
      <c r="AV1248" t="s">
        <v>3222</v>
      </c>
      <c r="AW1248" t="s">
        <v>692</v>
      </c>
      <c r="AX1248" t="s">
        <v>131</v>
      </c>
      <c r="AY1248" t="s">
        <v>131</v>
      </c>
      <c r="AZ1248" t="s">
        <v>131</v>
      </c>
      <c r="BA1248" t="s">
        <v>131</v>
      </c>
      <c r="BB1248" t="s">
        <v>131</v>
      </c>
      <c r="BC1248" t="s">
        <v>131</v>
      </c>
      <c r="BD1248" t="s">
        <v>131</v>
      </c>
      <c r="BE1248" t="s">
        <v>160</v>
      </c>
      <c r="BF1248" t="s">
        <v>3563</v>
      </c>
      <c r="BG1248" s="1">
        <v>44270</v>
      </c>
      <c r="BH1248" t="s">
        <v>6454</v>
      </c>
      <c r="BI1248" t="s">
        <v>131</v>
      </c>
      <c r="BL1248" t="s">
        <v>188</v>
      </c>
      <c r="BN1248" t="s">
        <v>8446</v>
      </c>
      <c r="BO1248" t="s">
        <v>131</v>
      </c>
      <c r="BP1248" t="s">
        <v>134</v>
      </c>
      <c r="BQ1248" t="s">
        <v>131</v>
      </c>
      <c r="BS1248" t="str">
        <f t="shared" si="88"/>
        <v>N/A</v>
      </c>
      <c r="BT1248" t="s">
        <v>135</v>
      </c>
      <c r="BU1248">
        <v>48</v>
      </c>
      <c r="BV1248" t="str">
        <f>"field of software engineering "</f>
        <v xml:space="preserve">field of software engineering </v>
      </c>
      <c r="BW1248" t="s">
        <v>135</v>
      </c>
      <c r="BX1248" t="str">
        <f>""</f>
        <v/>
      </c>
      <c r="BY1248" t="str">
        <f>""</f>
        <v/>
      </c>
      <c r="BZ1248" t="str">
        <f>""</f>
        <v/>
      </c>
      <c r="CA1248" t="s">
        <v>14547</v>
      </c>
      <c r="CB1248" t="s">
        <v>135</v>
      </c>
      <c r="CC1248" t="s">
        <v>133</v>
      </c>
      <c r="CE1248" t="s">
        <v>8446</v>
      </c>
      <c r="CF1248" t="s">
        <v>131</v>
      </c>
      <c r="CH1248" t="str">
        <f>"N/A"</f>
        <v>N/A</v>
      </c>
      <c r="CI1248" t="s">
        <v>135</v>
      </c>
      <c r="CJ1248">
        <v>72</v>
      </c>
      <c r="CK1248" t="s">
        <v>131</v>
      </c>
      <c r="CL1248" t="str">
        <f>""</f>
        <v/>
      </c>
      <c r="CM1248" t="str">
        <f>""</f>
        <v/>
      </c>
      <c r="CN1248" t="str">
        <f>""</f>
        <v/>
      </c>
      <c r="CO1248" t="str">
        <f>""</f>
        <v/>
      </c>
      <c r="CP1248" t="str">
        <f>"15-1121.00"</f>
        <v>15-1121.00</v>
      </c>
      <c r="CQ1248" t="s">
        <v>283</v>
      </c>
      <c r="CR1248" t="s">
        <v>14548</v>
      </c>
      <c r="CS1248" t="s">
        <v>131</v>
      </c>
      <c r="CU1248" t="s">
        <v>891</v>
      </c>
      <c r="CW1248" t="s">
        <v>220</v>
      </c>
      <c r="CX1248" t="s">
        <v>172</v>
      </c>
      <c r="CZ1248" s="3" t="str">
        <f>"94105"</f>
        <v>94105</v>
      </c>
      <c r="DA1248" t="s">
        <v>131</v>
      </c>
      <c r="DB1248" t="str">
        <f>""</f>
        <v/>
      </c>
      <c r="DF1248" t="str">
        <f>""</f>
        <v/>
      </c>
    </row>
    <row r="1249" spans="1:110" ht="15" customHeight="1" x14ac:dyDescent="0.35">
      <c r="A1249" t="s">
        <v>12508</v>
      </c>
      <c r="B1249" t="s">
        <v>138</v>
      </c>
      <c r="C1249" s="1">
        <v>44321</v>
      </c>
      <c r="G1249" s="1">
        <v>44321</v>
      </c>
      <c r="H1249" t="s">
        <v>125</v>
      </c>
      <c r="I1249" t="s">
        <v>139</v>
      </c>
      <c r="J1249" t="s">
        <v>140</v>
      </c>
      <c r="L1249" t="s">
        <v>141</v>
      </c>
      <c r="M1249" t="s">
        <v>142</v>
      </c>
      <c r="O1249" t="s">
        <v>143</v>
      </c>
      <c r="P1249" t="s">
        <v>144</v>
      </c>
      <c r="Q1249" s="3">
        <v>98052</v>
      </c>
      <c r="R1249" t="s">
        <v>128</v>
      </c>
      <c r="T1249" s="4">
        <v>14255383872</v>
      </c>
      <c r="V1249" t="s">
        <v>145</v>
      </c>
      <c r="W1249" t="s">
        <v>1411</v>
      </c>
      <c r="Y1249" t="s">
        <v>142</v>
      </c>
      <c r="AA1249" t="s">
        <v>143</v>
      </c>
      <c r="AB1249" t="s">
        <v>149</v>
      </c>
      <c r="AC1249" s="3" t="str">
        <f>"98052"</f>
        <v>98052</v>
      </c>
      <c r="AD1249" t="s">
        <v>128</v>
      </c>
      <c r="AF1249" s="4">
        <v>14255383872</v>
      </c>
      <c r="AH1249" t="str">
        <f>"511210"</f>
        <v>511210</v>
      </c>
      <c r="AI1249" t="s">
        <v>130</v>
      </c>
      <c r="AJ1249" t="s">
        <v>1412</v>
      </c>
      <c r="AK1249" t="s">
        <v>1413</v>
      </c>
      <c r="AM1249" t="s">
        <v>1414</v>
      </c>
      <c r="AN1249" t="s">
        <v>698</v>
      </c>
      <c r="AO1249" t="s">
        <v>1415</v>
      </c>
      <c r="AP1249" t="s">
        <v>382</v>
      </c>
      <c r="AQ1249" s="5">
        <v>21117</v>
      </c>
      <c r="AR1249" t="s">
        <v>128</v>
      </c>
      <c r="AT1249" s="4">
        <v>14103565440</v>
      </c>
      <c r="AV1249" t="s">
        <v>2496</v>
      </c>
      <c r="AW1249" t="s">
        <v>1416</v>
      </c>
      <c r="AX1249" t="s">
        <v>131</v>
      </c>
      <c r="AY1249" t="s">
        <v>131</v>
      </c>
      <c r="AZ1249" t="s">
        <v>131</v>
      </c>
      <c r="BA1249" t="s">
        <v>131</v>
      </c>
      <c r="BB1249" t="s">
        <v>131</v>
      </c>
      <c r="BC1249" t="s">
        <v>131</v>
      </c>
      <c r="BD1249" t="s">
        <v>131</v>
      </c>
      <c r="BE1249" t="s">
        <v>160</v>
      </c>
      <c r="BF1249" t="s">
        <v>1612</v>
      </c>
      <c r="BG1249" s="1">
        <v>44270</v>
      </c>
      <c r="BH1249" t="s">
        <v>12509</v>
      </c>
      <c r="BI1249" t="s">
        <v>131</v>
      </c>
      <c r="BL1249" t="s">
        <v>133</v>
      </c>
      <c r="BN1249" t="s">
        <v>2497</v>
      </c>
      <c r="BO1249" t="s">
        <v>131</v>
      </c>
      <c r="BP1249" t="s">
        <v>134</v>
      </c>
      <c r="BQ1249" t="s">
        <v>131</v>
      </c>
      <c r="BS1249" t="str">
        <f t="shared" si="88"/>
        <v>N/A</v>
      </c>
      <c r="BT1249" t="s">
        <v>135</v>
      </c>
      <c r="BU1249">
        <v>60</v>
      </c>
      <c r="BV1249" t="str">
        <f>"software-related program or project management"</f>
        <v>software-related program or project management</v>
      </c>
      <c r="BW1249" t="s">
        <v>135</v>
      </c>
      <c r="BX1249" t="str">
        <f>""</f>
        <v/>
      </c>
      <c r="BY1249" t="str">
        <f>""</f>
        <v/>
      </c>
      <c r="BZ1249" t="str">
        <f>""</f>
        <v/>
      </c>
      <c r="CA1249" t="s">
        <v>12510</v>
      </c>
      <c r="CB1249" t="s">
        <v>131</v>
      </c>
      <c r="CF1249" t="s">
        <v>131</v>
      </c>
      <c r="CH1249" t="str">
        <f>""</f>
        <v/>
      </c>
      <c r="CI1249" t="s">
        <v>131</v>
      </c>
      <c r="CK1249" t="s">
        <v>131</v>
      </c>
      <c r="CL1249" t="str">
        <f>""</f>
        <v/>
      </c>
      <c r="CM1249" t="str">
        <f>""</f>
        <v/>
      </c>
      <c r="CN1249" t="str">
        <f>""</f>
        <v/>
      </c>
      <c r="CO1249" t="str">
        <f>""</f>
        <v/>
      </c>
      <c r="CP1249" t="str">
        <f>"15-1199.09"</f>
        <v>15-1199.09</v>
      </c>
      <c r="CQ1249" t="s">
        <v>697</v>
      </c>
      <c r="CS1249" t="s">
        <v>135</v>
      </c>
      <c r="CT1249" t="s">
        <v>12511</v>
      </c>
      <c r="CU1249" t="s">
        <v>142</v>
      </c>
      <c r="CW1249" t="s">
        <v>143</v>
      </c>
      <c r="CX1249" t="s">
        <v>149</v>
      </c>
      <c r="CZ1249" s="3" t="str">
        <f>"98052"</f>
        <v>98052</v>
      </c>
      <c r="DA1249" t="s">
        <v>131</v>
      </c>
      <c r="DB1249" t="str">
        <f>""</f>
        <v/>
      </c>
      <c r="DF1249" t="str">
        <f>""</f>
        <v/>
      </c>
    </row>
    <row r="1250" spans="1:110" ht="15" customHeight="1" x14ac:dyDescent="0.35">
      <c r="A1250" t="s">
        <v>15227</v>
      </c>
      <c r="B1250" t="s">
        <v>138</v>
      </c>
      <c r="C1250" s="1">
        <v>44321</v>
      </c>
      <c r="G1250" s="1">
        <v>44340</v>
      </c>
      <c r="H1250" t="s">
        <v>125</v>
      </c>
      <c r="I1250" t="s">
        <v>7681</v>
      </c>
      <c r="J1250" t="s">
        <v>7682</v>
      </c>
      <c r="L1250" t="s">
        <v>530</v>
      </c>
      <c r="M1250" t="s">
        <v>7683</v>
      </c>
      <c r="O1250" t="s">
        <v>7684</v>
      </c>
      <c r="P1250" t="s">
        <v>539</v>
      </c>
      <c r="Q1250" s="3">
        <v>61629</v>
      </c>
      <c r="R1250" t="s">
        <v>128</v>
      </c>
      <c r="T1250" s="4">
        <v>17863435269</v>
      </c>
      <c r="V1250" t="s">
        <v>7685</v>
      </c>
      <c r="W1250" t="s">
        <v>7686</v>
      </c>
      <c r="X1250" t="s">
        <v>7686</v>
      </c>
      <c r="Y1250" t="s">
        <v>7683</v>
      </c>
      <c r="AA1250" t="s">
        <v>7684</v>
      </c>
      <c r="AB1250" t="s">
        <v>263</v>
      </c>
      <c r="AC1250" s="3" t="str">
        <f>"61629"</f>
        <v>61629</v>
      </c>
      <c r="AD1250" t="s">
        <v>128</v>
      </c>
      <c r="AF1250" s="4">
        <v>17863435269</v>
      </c>
      <c r="AH1250" t="str">
        <f>"333120"</f>
        <v>333120</v>
      </c>
      <c r="AI1250" t="s">
        <v>167</v>
      </c>
      <c r="AX1250" t="s">
        <v>131</v>
      </c>
      <c r="AY1250" t="s">
        <v>131</v>
      </c>
      <c r="AZ1250" t="s">
        <v>131</v>
      </c>
      <c r="BA1250" t="s">
        <v>131</v>
      </c>
      <c r="BB1250" t="s">
        <v>131</v>
      </c>
      <c r="BC1250" t="s">
        <v>131</v>
      </c>
      <c r="BD1250" t="s">
        <v>131</v>
      </c>
      <c r="BE1250" t="s">
        <v>498</v>
      </c>
      <c r="BH1250" t="s">
        <v>15228</v>
      </c>
      <c r="BI1250" t="s">
        <v>131</v>
      </c>
      <c r="BL1250" t="s">
        <v>133</v>
      </c>
      <c r="BN1250" t="s">
        <v>2702</v>
      </c>
      <c r="BO1250" t="s">
        <v>131</v>
      </c>
      <c r="BP1250" t="s">
        <v>134</v>
      </c>
      <c r="BQ1250" t="s">
        <v>131</v>
      </c>
      <c r="BS1250" t="str">
        <f t="shared" si="88"/>
        <v>N/A</v>
      </c>
      <c r="BT1250" t="s">
        <v>135</v>
      </c>
      <c r="BU1250">
        <v>120</v>
      </c>
      <c r="BV1250" t="str">
        <f>"Electrical  Engineering and Computer Software Development. Automation Software and Subject matter expert for Ubuntu/Linux based middleware software including ensuring the proper concept, design, and d"</f>
        <v>Electrical  Engineering and Computer Software Development. Automation Software and Subject matter expert for Ubuntu/Linux based middleware software including ensuring the proper concept, design, and d</v>
      </c>
      <c r="BW1250" t="s">
        <v>135</v>
      </c>
      <c r="BX1250" t="str">
        <f>""</f>
        <v/>
      </c>
      <c r="BY1250" t="str">
        <f>""</f>
        <v/>
      </c>
      <c r="BZ1250" t="str">
        <f>""</f>
        <v/>
      </c>
      <c r="CA1250" t="s">
        <v>15229</v>
      </c>
      <c r="CB1250" t="s">
        <v>135</v>
      </c>
      <c r="CC1250" t="s">
        <v>133</v>
      </c>
      <c r="CE1250" t="s">
        <v>15230</v>
      </c>
      <c r="CF1250" t="s">
        <v>131</v>
      </c>
      <c r="CH1250" t="str">
        <f>"N/A"</f>
        <v>N/A</v>
      </c>
      <c r="CI1250" t="s">
        <v>135</v>
      </c>
      <c r="CJ1250">
        <v>180</v>
      </c>
      <c r="CK1250" t="s">
        <v>135</v>
      </c>
      <c r="CL1250" t="str">
        <f>""</f>
        <v/>
      </c>
      <c r="CM1250" t="str">
        <f>""</f>
        <v/>
      </c>
      <c r="CN1250" t="str">
        <f>""</f>
        <v/>
      </c>
      <c r="CO1250" t="s">
        <v>15231</v>
      </c>
      <c r="CP1250" t="str">
        <f>"15-1133.00"</f>
        <v>15-1133.00</v>
      </c>
      <c r="CQ1250" t="s">
        <v>648</v>
      </c>
      <c r="CR1250" t="s">
        <v>136</v>
      </c>
      <c r="CS1250" t="s">
        <v>131</v>
      </c>
      <c r="CU1250" t="s">
        <v>12141</v>
      </c>
      <c r="CW1250" t="s">
        <v>15232</v>
      </c>
      <c r="CX1250" t="s">
        <v>263</v>
      </c>
      <c r="CZ1250" s="3" t="str">
        <f>"61525"</f>
        <v>61525</v>
      </c>
      <c r="DA1250" t="s">
        <v>131</v>
      </c>
      <c r="DB1250" t="str">
        <f>""</f>
        <v/>
      </c>
      <c r="DF1250" t="str">
        <f>""</f>
        <v/>
      </c>
    </row>
    <row r="1251" spans="1:110" ht="15" customHeight="1" x14ac:dyDescent="0.35">
      <c r="A1251" t="s">
        <v>15370</v>
      </c>
      <c r="B1251" t="s">
        <v>138</v>
      </c>
      <c r="C1251" s="1">
        <v>44321</v>
      </c>
      <c r="G1251" s="1">
        <v>44321</v>
      </c>
      <c r="H1251" t="s">
        <v>125</v>
      </c>
      <c r="I1251" t="s">
        <v>2514</v>
      </c>
      <c r="J1251" t="s">
        <v>1468</v>
      </c>
      <c r="L1251" t="s">
        <v>5236</v>
      </c>
      <c r="M1251" t="s">
        <v>15371</v>
      </c>
      <c r="N1251" t="s">
        <v>15372</v>
      </c>
      <c r="O1251" t="s">
        <v>3140</v>
      </c>
      <c r="P1251" t="s">
        <v>396</v>
      </c>
      <c r="Q1251" s="3">
        <v>72223</v>
      </c>
      <c r="R1251" t="s">
        <v>128</v>
      </c>
      <c r="T1251" s="4">
        <v>15016049936</v>
      </c>
      <c r="U1251">
        <v>1254</v>
      </c>
      <c r="V1251" t="s">
        <v>11643</v>
      </c>
      <c r="W1251" t="s">
        <v>15373</v>
      </c>
      <c r="X1251" t="s">
        <v>15374</v>
      </c>
      <c r="Y1251" t="s">
        <v>15371</v>
      </c>
      <c r="AA1251" t="s">
        <v>3140</v>
      </c>
      <c r="AB1251" t="s">
        <v>397</v>
      </c>
      <c r="AC1251" s="3" t="str">
        <f>"72223"</f>
        <v>72223</v>
      </c>
      <c r="AD1251" t="s">
        <v>128</v>
      </c>
      <c r="AF1251" s="4">
        <v>15016049936</v>
      </c>
      <c r="AH1251" t="str">
        <f>"541219"</f>
        <v>541219</v>
      </c>
      <c r="AI1251" t="s">
        <v>130</v>
      </c>
      <c r="AJ1251" t="s">
        <v>8834</v>
      </c>
      <c r="AK1251" t="s">
        <v>11641</v>
      </c>
      <c r="AM1251" t="s">
        <v>11642</v>
      </c>
      <c r="AN1251" t="s">
        <v>15372</v>
      </c>
      <c r="AO1251" t="s">
        <v>817</v>
      </c>
      <c r="AP1251" t="s">
        <v>643</v>
      </c>
      <c r="AQ1251" s="5">
        <v>30093</v>
      </c>
      <c r="AR1251" t="s">
        <v>128</v>
      </c>
      <c r="AT1251" s="4">
        <v>16783800698</v>
      </c>
      <c r="AV1251" t="s">
        <v>15375</v>
      </c>
      <c r="AW1251" t="s">
        <v>15376</v>
      </c>
      <c r="AX1251" t="s">
        <v>131</v>
      </c>
      <c r="AY1251" t="s">
        <v>131</v>
      </c>
      <c r="AZ1251" t="s">
        <v>131</v>
      </c>
      <c r="BA1251" t="s">
        <v>131</v>
      </c>
      <c r="BB1251" t="s">
        <v>131</v>
      </c>
      <c r="BC1251" t="s">
        <v>131</v>
      </c>
      <c r="BD1251" t="s">
        <v>131</v>
      </c>
      <c r="BE1251" t="s">
        <v>132</v>
      </c>
      <c r="BH1251" t="s">
        <v>1944</v>
      </c>
      <c r="BI1251" t="s">
        <v>131</v>
      </c>
      <c r="BL1251" t="s">
        <v>133</v>
      </c>
      <c r="BN1251" t="s">
        <v>15377</v>
      </c>
      <c r="BO1251" t="s">
        <v>131</v>
      </c>
      <c r="BP1251" t="s">
        <v>134</v>
      </c>
      <c r="BQ1251" t="s">
        <v>131</v>
      </c>
      <c r="BS1251" t="str">
        <f t="shared" si="88"/>
        <v>N/A</v>
      </c>
      <c r="BT1251" t="s">
        <v>135</v>
      </c>
      <c r="BU1251">
        <v>60</v>
      </c>
      <c r="BV1251" t="str">
        <f>"Five years of progressive experience in IT application development"</f>
        <v>Five years of progressive experience in IT application development</v>
      </c>
      <c r="BW1251" t="s">
        <v>135</v>
      </c>
      <c r="BX1251" t="str">
        <f>""</f>
        <v/>
      </c>
      <c r="BY1251" t="str">
        <f>""</f>
        <v/>
      </c>
      <c r="BZ1251" t="str">
        <f>""</f>
        <v/>
      </c>
      <c r="CA1251" t="str">
        <f>"Proficient in using C#. C#/VB.NET, SQL, JQuery/Typescript, ReactJS, HTML5, Bootstrap and CSS3, .NET Core 1.1 and WCF, .NET N-Tier, SOA, WebAPI and MVC, Waterfall and Agile, Microsoft TFS and GitHub.   Occasional travel is required.  "</f>
        <v xml:space="preserve">Proficient in using C#. C#/VB.NET, SQL, JQuery/Typescript, ReactJS, HTML5, Bootstrap and CSS3, .NET Core 1.1 and WCF, .NET N-Tier, SOA, WebAPI and MVC, Waterfall and Agile, Microsoft TFS and GitHub.   Occasional travel is required.  </v>
      </c>
      <c r="CB1251" t="s">
        <v>131</v>
      </c>
      <c r="CF1251" t="s">
        <v>131</v>
      </c>
      <c r="CH1251" t="str">
        <f>""</f>
        <v/>
      </c>
      <c r="CI1251" t="s">
        <v>131</v>
      </c>
      <c r="CK1251" t="s">
        <v>131</v>
      </c>
      <c r="CL1251" t="str">
        <f>""</f>
        <v/>
      </c>
      <c r="CM1251" t="str">
        <f>""</f>
        <v/>
      </c>
      <c r="CN1251" t="str">
        <f>""</f>
        <v/>
      </c>
      <c r="CO1251" t="str">
        <f>""</f>
        <v/>
      </c>
      <c r="CP1251" t="str">
        <f>"15-1132.00"</f>
        <v>15-1132.00</v>
      </c>
      <c r="CQ1251" t="s">
        <v>198</v>
      </c>
      <c r="CR1251" t="s">
        <v>460</v>
      </c>
      <c r="CS1251" t="s">
        <v>135</v>
      </c>
      <c r="CT1251" t="s">
        <v>15378</v>
      </c>
      <c r="CU1251" t="s">
        <v>15371</v>
      </c>
      <c r="CW1251" t="s">
        <v>3140</v>
      </c>
      <c r="CX1251" t="s">
        <v>397</v>
      </c>
      <c r="CZ1251" s="3" t="str">
        <f>"72223"</f>
        <v>72223</v>
      </c>
      <c r="DA1251" t="s">
        <v>131</v>
      </c>
      <c r="DB1251" t="str">
        <f>""</f>
        <v/>
      </c>
      <c r="DF1251" t="str">
        <f>""</f>
        <v/>
      </c>
    </row>
    <row r="1252" spans="1:110" ht="15" customHeight="1" x14ac:dyDescent="0.35">
      <c r="A1252" t="s">
        <v>9998</v>
      </c>
      <c r="B1252" t="s">
        <v>138</v>
      </c>
      <c r="C1252" s="1">
        <v>44321</v>
      </c>
      <c r="G1252" s="1">
        <v>44340</v>
      </c>
      <c r="H1252" t="s">
        <v>125</v>
      </c>
      <c r="I1252" t="s">
        <v>7681</v>
      </c>
      <c r="J1252" t="s">
        <v>7682</v>
      </c>
      <c r="L1252" t="s">
        <v>2273</v>
      </c>
      <c r="M1252" t="s">
        <v>7683</v>
      </c>
      <c r="O1252" t="s">
        <v>7684</v>
      </c>
      <c r="P1252" t="s">
        <v>539</v>
      </c>
      <c r="Q1252" s="3">
        <v>61629</v>
      </c>
      <c r="R1252" t="s">
        <v>128</v>
      </c>
      <c r="T1252" s="4">
        <v>17863435269</v>
      </c>
      <c r="V1252" t="s">
        <v>7685</v>
      </c>
      <c r="W1252" t="s">
        <v>7686</v>
      </c>
      <c r="X1252" t="s">
        <v>7686</v>
      </c>
      <c r="Y1252" t="s">
        <v>7683</v>
      </c>
      <c r="AA1252" t="s">
        <v>7684</v>
      </c>
      <c r="AB1252" t="s">
        <v>263</v>
      </c>
      <c r="AC1252" s="3" t="str">
        <f>"61629"</f>
        <v>61629</v>
      </c>
      <c r="AD1252" t="s">
        <v>128</v>
      </c>
      <c r="AF1252" s="4">
        <v>17863435269</v>
      </c>
      <c r="AH1252" t="str">
        <f>"333120"</f>
        <v>333120</v>
      </c>
      <c r="AI1252" t="s">
        <v>167</v>
      </c>
      <c r="AX1252" t="s">
        <v>131</v>
      </c>
      <c r="AY1252" t="s">
        <v>131</v>
      </c>
      <c r="AZ1252" t="s">
        <v>131</v>
      </c>
      <c r="BA1252" t="s">
        <v>131</v>
      </c>
      <c r="BB1252" t="s">
        <v>131</v>
      </c>
      <c r="BC1252" t="s">
        <v>131</v>
      </c>
      <c r="BD1252" t="s">
        <v>131</v>
      </c>
      <c r="BE1252" t="s">
        <v>498</v>
      </c>
      <c r="BH1252" t="s">
        <v>9999</v>
      </c>
      <c r="BI1252" t="s">
        <v>131</v>
      </c>
      <c r="BL1252" t="s">
        <v>133</v>
      </c>
      <c r="BN1252" t="s">
        <v>10000</v>
      </c>
      <c r="BO1252" t="s">
        <v>131</v>
      </c>
      <c r="BP1252" t="s">
        <v>134</v>
      </c>
      <c r="BQ1252" t="s">
        <v>131</v>
      </c>
      <c r="BS1252" t="str">
        <f t="shared" si="88"/>
        <v>N/A</v>
      </c>
      <c r="BT1252" t="s">
        <v>135</v>
      </c>
      <c r="BU1252">
        <v>120</v>
      </c>
      <c r="BV1252" t="str">
        <f>"Electrical Engineering"</f>
        <v>Electrical Engineering</v>
      </c>
      <c r="BW1252" t="s">
        <v>131</v>
      </c>
      <c r="BX1252" t="str">
        <f>""</f>
        <v/>
      </c>
      <c r="BY1252" t="str">
        <f>""</f>
        <v/>
      </c>
      <c r="BZ1252" t="str">
        <f>""</f>
        <v/>
      </c>
      <c r="CA1252" t="str">
        <f>""</f>
        <v/>
      </c>
      <c r="CB1252" t="s">
        <v>135</v>
      </c>
      <c r="CC1252" t="s">
        <v>188</v>
      </c>
      <c r="CE1252" t="s">
        <v>2702</v>
      </c>
      <c r="CF1252" t="s">
        <v>131</v>
      </c>
      <c r="CH1252" t="str">
        <f>"N/A"</f>
        <v>N/A</v>
      </c>
      <c r="CI1252" t="s">
        <v>135</v>
      </c>
      <c r="CJ1252">
        <v>60</v>
      </c>
      <c r="CK1252" t="s">
        <v>131</v>
      </c>
      <c r="CL1252" t="str">
        <f>""</f>
        <v/>
      </c>
      <c r="CM1252" t="str">
        <f>""</f>
        <v/>
      </c>
      <c r="CN1252" t="str">
        <f>""</f>
        <v/>
      </c>
      <c r="CO1252" t="str">
        <f>""</f>
        <v/>
      </c>
      <c r="CP1252" t="str">
        <f>"15-1133.00"</f>
        <v>15-1133.00</v>
      </c>
      <c r="CQ1252" t="s">
        <v>648</v>
      </c>
      <c r="CR1252" t="s">
        <v>1814</v>
      </c>
      <c r="CS1252" t="s">
        <v>131</v>
      </c>
      <c r="CU1252" t="s">
        <v>10001</v>
      </c>
      <c r="CW1252" t="s">
        <v>262</v>
      </c>
      <c r="CX1252" t="s">
        <v>263</v>
      </c>
      <c r="CZ1252" s="3" t="str">
        <f>"60661"</f>
        <v>60661</v>
      </c>
      <c r="DA1252" t="s">
        <v>131</v>
      </c>
      <c r="DB1252" t="str">
        <f>""</f>
        <v/>
      </c>
      <c r="DF1252" t="str">
        <f>""</f>
        <v/>
      </c>
    </row>
    <row r="1253" spans="1:110" ht="15" customHeight="1" x14ac:dyDescent="0.35">
      <c r="A1253" t="s">
        <v>13399</v>
      </c>
      <c r="B1253" t="s">
        <v>138</v>
      </c>
      <c r="C1253" s="1">
        <v>44321</v>
      </c>
      <c r="G1253" s="1">
        <v>44323</v>
      </c>
      <c r="H1253" t="s">
        <v>125</v>
      </c>
      <c r="I1253" t="s">
        <v>7008</v>
      </c>
      <c r="J1253" t="s">
        <v>5650</v>
      </c>
      <c r="K1253" t="s">
        <v>1221</v>
      </c>
      <c r="L1253" t="s">
        <v>1287</v>
      </c>
      <c r="M1253" t="s">
        <v>7009</v>
      </c>
      <c r="N1253" t="s">
        <v>5495</v>
      </c>
      <c r="O1253" t="s">
        <v>791</v>
      </c>
      <c r="P1253" t="s">
        <v>178</v>
      </c>
      <c r="Q1253" s="3">
        <v>92101</v>
      </c>
      <c r="R1253" t="s">
        <v>128</v>
      </c>
      <c r="T1253" s="4">
        <v>16192361551</v>
      </c>
      <c r="V1253" t="s">
        <v>7516</v>
      </c>
      <c r="W1253" t="s">
        <v>9049</v>
      </c>
      <c r="Y1253" t="s">
        <v>9050</v>
      </c>
      <c r="Z1253" t="s">
        <v>997</v>
      </c>
      <c r="AA1253" t="s">
        <v>220</v>
      </c>
      <c r="AB1253" t="s">
        <v>172</v>
      </c>
      <c r="AC1253" s="3" t="str">
        <f>"94103"</f>
        <v>94103</v>
      </c>
      <c r="AD1253" t="s">
        <v>128</v>
      </c>
      <c r="AF1253" s="4">
        <v>14157280115</v>
      </c>
      <c r="AH1253" t="str">
        <f>"561599"</f>
        <v>561599</v>
      </c>
      <c r="AI1253" t="s">
        <v>287</v>
      </c>
      <c r="AJ1253" t="s">
        <v>9051</v>
      </c>
      <c r="AK1253" t="s">
        <v>9052</v>
      </c>
      <c r="AM1253" t="s">
        <v>9050</v>
      </c>
      <c r="AN1253" t="s">
        <v>997</v>
      </c>
      <c r="AO1253" t="s">
        <v>220</v>
      </c>
      <c r="AP1253" t="s">
        <v>172</v>
      </c>
      <c r="AQ1253" s="5">
        <v>94103</v>
      </c>
      <c r="AR1253" t="s">
        <v>128</v>
      </c>
      <c r="AT1253" s="4">
        <v>14157280115</v>
      </c>
      <c r="AV1253" t="s">
        <v>12613</v>
      </c>
      <c r="AW1253" t="s">
        <v>13400</v>
      </c>
      <c r="AX1253" t="s">
        <v>131</v>
      </c>
      <c r="AY1253" t="s">
        <v>131</v>
      </c>
      <c r="AZ1253" t="s">
        <v>131</v>
      </c>
      <c r="BA1253" t="s">
        <v>131</v>
      </c>
      <c r="BB1253" t="s">
        <v>131</v>
      </c>
      <c r="BC1253" t="s">
        <v>131</v>
      </c>
      <c r="BD1253" t="s">
        <v>131</v>
      </c>
      <c r="BE1253" t="s">
        <v>132</v>
      </c>
      <c r="BH1253" t="s">
        <v>542</v>
      </c>
      <c r="BI1253" t="s">
        <v>131</v>
      </c>
      <c r="BL1253" t="s">
        <v>188</v>
      </c>
      <c r="BN1253" t="s">
        <v>13401</v>
      </c>
      <c r="BO1253" t="s">
        <v>131</v>
      </c>
      <c r="BP1253" t="s">
        <v>134</v>
      </c>
      <c r="BQ1253" t="s">
        <v>131</v>
      </c>
      <c r="BS1253" t="str">
        <f t="shared" si="88"/>
        <v>N/A</v>
      </c>
      <c r="BT1253" t="s">
        <v>135</v>
      </c>
      <c r="BU1253">
        <v>48</v>
      </c>
      <c r="BV1253" t="str">
        <f>"job offered or related occupation"</f>
        <v>job offered or related occupation</v>
      </c>
      <c r="BW1253" t="s">
        <v>135</v>
      </c>
      <c r="BX1253" t="str">
        <f>""</f>
        <v/>
      </c>
      <c r="BY1253" t="str">
        <f>""</f>
        <v/>
      </c>
      <c r="BZ1253" t="str">
        <f>""</f>
        <v/>
      </c>
      <c r="CA1253" t="s">
        <v>13402</v>
      </c>
      <c r="CB1253" t="s">
        <v>131</v>
      </c>
      <c r="CF1253" t="s">
        <v>131</v>
      </c>
      <c r="CH1253" t="str">
        <f>""</f>
        <v/>
      </c>
      <c r="CI1253" t="s">
        <v>131</v>
      </c>
      <c r="CK1253" t="s">
        <v>131</v>
      </c>
      <c r="CL1253" t="str">
        <f>""</f>
        <v/>
      </c>
      <c r="CM1253" t="str">
        <f>""</f>
        <v/>
      </c>
      <c r="CN1253" t="str">
        <f>""</f>
        <v/>
      </c>
      <c r="CO1253" t="str">
        <f>""</f>
        <v/>
      </c>
      <c r="CP1253" t="str">
        <f>"15-1132.00"</f>
        <v>15-1132.00</v>
      </c>
      <c r="CQ1253" t="s">
        <v>198</v>
      </c>
      <c r="CR1253" t="s">
        <v>1400</v>
      </c>
      <c r="CS1253" t="s">
        <v>131</v>
      </c>
      <c r="CU1253" t="s">
        <v>9050</v>
      </c>
      <c r="CV1253" t="s">
        <v>997</v>
      </c>
      <c r="CW1253" t="s">
        <v>220</v>
      </c>
      <c r="CX1253" t="s">
        <v>172</v>
      </c>
      <c r="CZ1253" s="3" t="str">
        <f>"94103"</f>
        <v>94103</v>
      </c>
      <c r="DA1253" t="s">
        <v>131</v>
      </c>
      <c r="DB1253" t="str">
        <f>""</f>
        <v/>
      </c>
      <c r="DF1253" t="str">
        <f>""</f>
        <v/>
      </c>
    </row>
    <row r="1254" spans="1:110" ht="15" customHeight="1" x14ac:dyDescent="0.35">
      <c r="A1254" t="s">
        <v>14613</v>
      </c>
      <c r="B1254" t="s">
        <v>138</v>
      </c>
      <c r="C1254" s="1">
        <v>44321</v>
      </c>
      <c r="G1254" s="1">
        <v>44321</v>
      </c>
      <c r="H1254" t="s">
        <v>125</v>
      </c>
      <c r="I1254" t="s">
        <v>9805</v>
      </c>
      <c r="J1254" t="s">
        <v>6092</v>
      </c>
      <c r="L1254" t="s">
        <v>14614</v>
      </c>
      <c r="M1254" t="s">
        <v>14615</v>
      </c>
      <c r="N1254" t="s">
        <v>4943</v>
      </c>
      <c r="O1254" t="s">
        <v>4218</v>
      </c>
      <c r="P1254" t="s">
        <v>588</v>
      </c>
      <c r="Q1254" s="3">
        <v>20171</v>
      </c>
      <c r="R1254" t="s">
        <v>128</v>
      </c>
      <c r="T1254" s="4">
        <v>17038707407</v>
      </c>
      <c r="V1254" t="s">
        <v>14616</v>
      </c>
      <c r="W1254" t="s">
        <v>2332</v>
      </c>
      <c r="Y1254" t="s">
        <v>2329</v>
      </c>
      <c r="Z1254" t="s">
        <v>2330</v>
      </c>
      <c r="AA1254" t="s">
        <v>205</v>
      </c>
      <c r="AB1254" t="s">
        <v>195</v>
      </c>
      <c r="AC1254" s="3" t="str">
        <f>"33607"</f>
        <v>33607</v>
      </c>
      <c r="AD1254" t="s">
        <v>128</v>
      </c>
      <c r="AF1254" s="4">
        <v>17277230801</v>
      </c>
      <c r="AH1254" t="str">
        <f>"541511"</f>
        <v>541511</v>
      </c>
      <c r="AI1254" t="s">
        <v>167</v>
      </c>
      <c r="AX1254" t="s">
        <v>131</v>
      </c>
      <c r="AY1254" t="s">
        <v>131</v>
      </c>
      <c r="AZ1254" t="s">
        <v>131</v>
      </c>
      <c r="BA1254" t="s">
        <v>131</v>
      </c>
      <c r="BB1254" t="s">
        <v>131</v>
      </c>
      <c r="BC1254" t="s">
        <v>131</v>
      </c>
      <c r="BD1254" t="s">
        <v>131</v>
      </c>
      <c r="BE1254" t="s">
        <v>132</v>
      </c>
      <c r="BH1254" t="s">
        <v>846</v>
      </c>
      <c r="BI1254" t="s">
        <v>131</v>
      </c>
      <c r="BL1254" t="s">
        <v>188</v>
      </c>
      <c r="BN1254" t="s">
        <v>14617</v>
      </c>
      <c r="BO1254" t="s">
        <v>131</v>
      </c>
      <c r="BP1254" t="s">
        <v>134</v>
      </c>
      <c r="BQ1254" t="s">
        <v>131</v>
      </c>
      <c r="BS1254" t="str">
        <f t="shared" si="88"/>
        <v>N/A</v>
      </c>
      <c r="BT1254" t="s">
        <v>135</v>
      </c>
      <c r="BU1254">
        <v>24</v>
      </c>
      <c r="BV1254" t="str">
        <f>"Software Developer/Engineer or related positions."</f>
        <v>Software Developer/Engineer or related positions.</v>
      </c>
      <c r="BW1254" t="s">
        <v>135</v>
      </c>
      <c r="BX1254" t="str">
        <f>""</f>
        <v/>
      </c>
      <c r="BY1254" t="str">
        <f>""</f>
        <v/>
      </c>
      <c r="BZ1254" t="str">
        <f>""</f>
        <v/>
      </c>
      <c r="CA1254" s="2" t="s">
        <v>14618</v>
      </c>
      <c r="CB1254" t="s">
        <v>135</v>
      </c>
      <c r="CC1254" t="s">
        <v>133</v>
      </c>
      <c r="CE1254" t="s">
        <v>14617</v>
      </c>
      <c r="CF1254" t="s">
        <v>131</v>
      </c>
      <c r="CH1254" t="str">
        <f>"N/A"</f>
        <v>N/A</v>
      </c>
      <c r="CI1254" t="s">
        <v>135</v>
      </c>
      <c r="CJ1254">
        <v>60</v>
      </c>
      <c r="CK1254" t="s">
        <v>135</v>
      </c>
      <c r="CL1254" t="str">
        <f>""</f>
        <v/>
      </c>
      <c r="CM1254" t="str">
        <f>""</f>
        <v/>
      </c>
      <c r="CN1254" t="str">
        <f>""</f>
        <v/>
      </c>
      <c r="CO1254" s="2" t="s">
        <v>14619</v>
      </c>
      <c r="CP1254" t="str">
        <f>"15-1132.00"</f>
        <v>15-1132.00</v>
      </c>
      <c r="CQ1254" t="s">
        <v>198</v>
      </c>
      <c r="CR1254" t="s">
        <v>849</v>
      </c>
      <c r="CS1254" t="s">
        <v>131</v>
      </c>
      <c r="CU1254" t="s">
        <v>2335</v>
      </c>
      <c r="CV1254" t="s">
        <v>14620</v>
      </c>
      <c r="CW1254" t="s">
        <v>14621</v>
      </c>
      <c r="CX1254" t="s">
        <v>195</v>
      </c>
      <c r="CZ1254" s="3" t="str">
        <f>"33607"</f>
        <v>33607</v>
      </c>
      <c r="DA1254" t="s">
        <v>131</v>
      </c>
      <c r="DB1254" t="str">
        <f>""</f>
        <v/>
      </c>
      <c r="DF1254" t="str">
        <f>""</f>
        <v/>
      </c>
    </row>
    <row r="1255" spans="1:110" ht="15" customHeight="1" x14ac:dyDescent="0.35">
      <c r="A1255" t="s">
        <v>15631</v>
      </c>
      <c r="B1255" t="s">
        <v>138</v>
      </c>
      <c r="C1255" s="1">
        <v>44321</v>
      </c>
      <c r="G1255" s="1">
        <v>44321</v>
      </c>
      <c r="H1255" t="s">
        <v>125</v>
      </c>
      <c r="I1255" t="s">
        <v>1159</v>
      </c>
      <c r="J1255" t="s">
        <v>1160</v>
      </c>
      <c r="L1255" t="s">
        <v>1161</v>
      </c>
      <c r="M1255" t="s">
        <v>1162</v>
      </c>
      <c r="O1255" t="s">
        <v>494</v>
      </c>
      <c r="P1255" t="s">
        <v>127</v>
      </c>
      <c r="Q1255" s="3">
        <v>10022</v>
      </c>
      <c r="R1255" t="s">
        <v>128</v>
      </c>
      <c r="T1255" s="4">
        <v>12128414100</v>
      </c>
      <c r="V1255" t="s">
        <v>1163</v>
      </c>
      <c r="W1255" t="s">
        <v>1164</v>
      </c>
      <c r="X1255" t="s">
        <v>1165</v>
      </c>
      <c r="Y1255" t="s">
        <v>1162</v>
      </c>
      <c r="AA1255" t="s">
        <v>494</v>
      </c>
      <c r="AB1255" t="s">
        <v>129</v>
      </c>
      <c r="AC1255" s="3" t="str">
        <f>"10022"</f>
        <v>10022</v>
      </c>
      <c r="AD1255" t="s">
        <v>128</v>
      </c>
      <c r="AF1255" s="4">
        <v>12128414100</v>
      </c>
      <c r="AH1255" t="str">
        <f>"523"</f>
        <v>523</v>
      </c>
      <c r="AI1255" t="s">
        <v>130</v>
      </c>
      <c r="AJ1255" t="s">
        <v>1166</v>
      </c>
      <c r="AK1255" t="s">
        <v>1167</v>
      </c>
      <c r="AM1255" t="s">
        <v>1168</v>
      </c>
      <c r="AN1255" t="s">
        <v>1169</v>
      </c>
      <c r="AO1255" t="s">
        <v>262</v>
      </c>
      <c r="AP1255" t="s">
        <v>263</v>
      </c>
      <c r="AQ1255" s="5">
        <v>60654</v>
      </c>
      <c r="AR1255" t="s">
        <v>128</v>
      </c>
      <c r="AT1255" s="4">
        <v>13127155124</v>
      </c>
      <c r="AV1255" t="s">
        <v>1170</v>
      </c>
      <c r="AW1255" t="s">
        <v>1171</v>
      </c>
      <c r="AX1255" t="s">
        <v>131</v>
      </c>
      <c r="AY1255" t="s">
        <v>131</v>
      </c>
      <c r="AZ1255" t="s">
        <v>131</v>
      </c>
      <c r="BA1255" t="s">
        <v>131</v>
      </c>
      <c r="BB1255" t="s">
        <v>131</v>
      </c>
      <c r="BC1255" t="s">
        <v>131</v>
      </c>
      <c r="BD1255" t="s">
        <v>131</v>
      </c>
      <c r="BE1255" t="s">
        <v>132</v>
      </c>
      <c r="BH1255" t="s">
        <v>12180</v>
      </c>
      <c r="BI1255" t="s">
        <v>131</v>
      </c>
      <c r="BL1255" t="s">
        <v>188</v>
      </c>
      <c r="BN1255" t="s">
        <v>13773</v>
      </c>
      <c r="BO1255" t="s">
        <v>131</v>
      </c>
      <c r="BP1255" t="s">
        <v>134</v>
      </c>
      <c r="BQ1255" t="s">
        <v>131</v>
      </c>
      <c r="BS1255" t="str">
        <f t="shared" si="88"/>
        <v>N/A</v>
      </c>
      <c r="BT1255" t="s">
        <v>135</v>
      </c>
      <c r="BU1255">
        <v>24</v>
      </c>
      <c r="BV1255" t="str">
        <f>"See E.a.5"</f>
        <v>See E.a.5</v>
      </c>
      <c r="BW1255" t="s">
        <v>131</v>
      </c>
      <c r="BX1255" t="str">
        <f>""</f>
        <v/>
      </c>
      <c r="BY1255" t="str">
        <f>""</f>
        <v/>
      </c>
      <c r="BZ1255" t="str">
        <f>""</f>
        <v/>
      </c>
      <c r="CA1255" t="str">
        <f>""</f>
        <v/>
      </c>
      <c r="CB1255" t="s">
        <v>135</v>
      </c>
      <c r="CC1255" t="s">
        <v>133</v>
      </c>
      <c r="CE1255" t="s">
        <v>13773</v>
      </c>
      <c r="CF1255" t="s">
        <v>131</v>
      </c>
      <c r="CH1255" t="str">
        <f>"N/A"</f>
        <v>N/A</v>
      </c>
      <c r="CI1255" t="s">
        <v>135</v>
      </c>
      <c r="CJ1255">
        <v>60</v>
      </c>
      <c r="CK1255" t="s">
        <v>131</v>
      </c>
      <c r="CL1255" t="str">
        <f>""</f>
        <v/>
      </c>
      <c r="CM1255" t="str">
        <f>""</f>
        <v/>
      </c>
      <c r="CN1255" t="str">
        <f>""</f>
        <v/>
      </c>
      <c r="CO1255" t="str">
        <f>""</f>
        <v/>
      </c>
      <c r="CP1255" t="str">
        <f>"13-2099.01"</f>
        <v>13-2099.01</v>
      </c>
      <c r="CQ1255" t="s">
        <v>552</v>
      </c>
      <c r="CR1255" t="s">
        <v>12181</v>
      </c>
      <c r="CS1255" t="s">
        <v>131</v>
      </c>
      <c r="CU1255" t="s">
        <v>1162</v>
      </c>
      <c r="CW1255" t="s">
        <v>494</v>
      </c>
      <c r="CX1255" t="s">
        <v>129</v>
      </c>
      <c r="CZ1255" s="3" t="str">
        <f>"10022"</f>
        <v>10022</v>
      </c>
      <c r="DA1255" t="s">
        <v>131</v>
      </c>
      <c r="DB1255" t="str">
        <f>""</f>
        <v/>
      </c>
      <c r="DF1255" t="str">
        <f>""</f>
        <v/>
      </c>
    </row>
    <row r="1256" spans="1:110" ht="15" customHeight="1" x14ac:dyDescent="0.35">
      <c r="A1256" t="s">
        <v>10382</v>
      </c>
      <c r="B1256" t="s">
        <v>138</v>
      </c>
      <c r="C1256" s="1">
        <v>44321</v>
      </c>
      <c r="G1256" s="1">
        <v>44321</v>
      </c>
      <c r="H1256" t="s">
        <v>125</v>
      </c>
      <c r="I1256" t="s">
        <v>3210</v>
      </c>
      <c r="J1256" t="s">
        <v>9438</v>
      </c>
      <c r="L1256" t="s">
        <v>2562</v>
      </c>
      <c r="M1256" t="s">
        <v>5665</v>
      </c>
      <c r="N1256" t="s">
        <v>10383</v>
      </c>
      <c r="O1256" t="s">
        <v>4871</v>
      </c>
      <c r="P1256" t="s">
        <v>818</v>
      </c>
      <c r="Q1256" s="3">
        <v>30096</v>
      </c>
      <c r="R1256" t="s">
        <v>128</v>
      </c>
      <c r="S1256" t="s">
        <v>818</v>
      </c>
      <c r="T1256" s="4">
        <v>17704764054</v>
      </c>
      <c r="V1256" t="s">
        <v>9440</v>
      </c>
      <c r="W1256" t="s">
        <v>10384</v>
      </c>
      <c r="Y1256" t="s">
        <v>10385</v>
      </c>
      <c r="AA1256" t="s">
        <v>10040</v>
      </c>
      <c r="AB1256" t="s">
        <v>1218</v>
      </c>
      <c r="AC1256" s="3" t="str">
        <f>"36117"</f>
        <v>36117</v>
      </c>
      <c r="AD1256" t="s">
        <v>128</v>
      </c>
      <c r="AF1256" s="4">
        <v>13343013307</v>
      </c>
      <c r="AH1256" t="str">
        <f>"541511"</f>
        <v>541511</v>
      </c>
      <c r="AI1256" t="s">
        <v>130</v>
      </c>
      <c r="AJ1256" t="s">
        <v>3210</v>
      </c>
      <c r="AK1256" t="s">
        <v>9438</v>
      </c>
      <c r="AM1256" t="s">
        <v>9439</v>
      </c>
      <c r="AO1256" t="s">
        <v>4871</v>
      </c>
      <c r="AP1256" t="s">
        <v>643</v>
      </c>
      <c r="AQ1256" s="5">
        <v>30096</v>
      </c>
      <c r="AR1256" t="s">
        <v>128</v>
      </c>
      <c r="AT1256" s="4">
        <v>17704764054</v>
      </c>
      <c r="AV1256" t="s">
        <v>9440</v>
      </c>
      <c r="AW1256" t="s">
        <v>10386</v>
      </c>
      <c r="AX1256" t="s">
        <v>131</v>
      </c>
      <c r="AY1256" t="s">
        <v>131</v>
      </c>
      <c r="AZ1256" t="s">
        <v>131</v>
      </c>
      <c r="BA1256" t="s">
        <v>131</v>
      </c>
      <c r="BB1256" t="s">
        <v>131</v>
      </c>
      <c r="BC1256" t="s">
        <v>131</v>
      </c>
      <c r="BD1256" t="s">
        <v>131</v>
      </c>
      <c r="BE1256" t="s">
        <v>132</v>
      </c>
      <c r="BH1256" t="s">
        <v>8131</v>
      </c>
      <c r="BI1256" t="s">
        <v>131</v>
      </c>
      <c r="BL1256" t="s">
        <v>133</v>
      </c>
      <c r="BN1256" t="s">
        <v>1696</v>
      </c>
      <c r="BO1256" t="s">
        <v>131</v>
      </c>
      <c r="BP1256" t="s">
        <v>134</v>
      </c>
      <c r="BQ1256" t="s">
        <v>131</v>
      </c>
      <c r="BS1256" t="str">
        <f t="shared" si="88"/>
        <v>N/A</v>
      </c>
      <c r="BT1256" t="s">
        <v>135</v>
      </c>
      <c r="BU1256">
        <v>60</v>
      </c>
      <c r="BV1256" t="str">
        <f>"Occupation in development of SAP/ERP based business solutions."</f>
        <v>Occupation in development of SAP/ERP based business solutions.</v>
      </c>
      <c r="BW1256" t="s">
        <v>131</v>
      </c>
      <c r="BX1256" t="str">
        <f>""</f>
        <v/>
      </c>
      <c r="BY1256" t="str">
        <f>""</f>
        <v/>
      </c>
      <c r="BZ1256" t="str">
        <f>""</f>
        <v/>
      </c>
      <c r="CA1256" t="str">
        <f>""</f>
        <v/>
      </c>
      <c r="CB1256" t="s">
        <v>131</v>
      </c>
      <c r="CF1256" t="s">
        <v>131</v>
      </c>
      <c r="CH1256" t="str">
        <f>""</f>
        <v/>
      </c>
      <c r="CI1256" t="s">
        <v>131</v>
      </c>
      <c r="CK1256" t="s">
        <v>131</v>
      </c>
      <c r="CL1256" t="str">
        <f>""</f>
        <v/>
      </c>
      <c r="CM1256" t="str">
        <f>""</f>
        <v/>
      </c>
      <c r="CN1256" t="str">
        <f>""</f>
        <v/>
      </c>
      <c r="CO1256" t="str">
        <f>""</f>
        <v/>
      </c>
      <c r="CP1256" t="str">
        <f>"15-1121.00"</f>
        <v>15-1121.00</v>
      </c>
      <c r="CQ1256" t="s">
        <v>283</v>
      </c>
      <c r="CR1256" t="s">
        <v>8131</v>
      </c>
      <c r="CS1256" t="s">
        <v>131</v>
      </c>
      <c r="CU1256" t="s">
        <v>10387</v>
      </c>
      <c r="CV1256" t="s">
        <v>3357</v>
      </c>
      <c r="CW1256" t="s">
        <v>3298</v>
      </c>
      <c r="CX1256" t="s">
        <v>643</v>
      </c>
      <c r="CZ1256" s="3" t="str">
        <f>"30024"</f>
        <v>30024</v>
      </c>
      <c r="DA1256" t="s">
        <v>131</v>
      </c>
      <c r="DB1256" t="str">
        <f>""</f>
        <v/>
      </c>
      <c r="DF1256" t="str">
        <f>""</f>
        <v/>
      </c>
    </row>
    <row r="1257" spans="1:110" ht="15" customHeight="1" x14ac:dyDescent="0.35">
      <c r="A1257" t="s">
        <v>2270</v>
      </c>
      <c r="B1257" t="s">
        <v>138</v>
      </c>
      <c r="C1257" s="1">
        <v>44321</v>
      </c>
      <c r="G1257" s="1">
        <v>44355</v>
      </c>
      <c r="H1257" t="s">
        <v>125</v>
      </c>
      <c r="I1257" t="s">
        <v>2271</v>
      </c>
      <c r="J1257" t="s">
        <v>332</v>
      </c>
      <c r="K1257" t="s">
        <v>2272</v>
      </c>
      <c r="L1257" t="s">
        <v>2273</v>
      </c>
      <c r="M1257" t="s">
        <v>2274</v>
      </c>
      <c r="N1257" t="s">
        <v>362</v>
      </c>
      <c r="O1257" t="s">
        <v>262</v>
      </c>
      <c r="P1257" t="s">
        <v>539</v>
      </c>
      <c r="Q1257" s="3">
        <v>60612</v>
      </c>
      <c r="R1257" t="s">
        <v>128</v>
      </c>
      <c r="T1257" s="4">
        <v>13129423972</v>
      </c>
      <c r="V1257" t="s">
        <v>2275</v>
      </c>
      <c r="W1257" t="s">
        <v>2276</v>
      </c>
      <c r="Y1257" t="s">
        <v>2274</v>
      </c>
      <c r="Z1257" t="s">
        <v>362</v>
      </c>
      <c r="AA1257" t="s">
        <v>262</v>
      </c>
      <c r="AB1257" t="s">
        <v>263</v>
      </c>
      <c r="AC1257" s="3" t="str">
        <f>"60612"</f>
        <v>60612</v>
      </c>
      <c r="AD1257" t="s">
        <v>128</v>
      </c>
      <c r="AF1257" s="4">
        <v>13129423972</v>
      </c>
      <c r="AH1257" t="str">
        <f>"622110"</f>
        <v>622110</v>
      </c>
      <c r="AI1257" t="s">
        <v>130</v>
      </c>
      <c r="AJ1257" t="s">
        <v>2277</v>
      </c>
      <c r="AK1257" t="s">
        <v>313</v>
      </c>
      <c r="AL1257" t="s">
        <v>1493</v>
      </c>
      <c r="AM1257" t="s">
        <v>2278</v>
      </c>
      <c r="AN1257" t="s">
        <v>1169</v>
      </c>
      <c r="AO1257" t="s">
        <v>262</v>
      </c>
      <c r="AP1257" t="s">
        <v>263</v>
      </c>
      <c r="AQ1257" s="5">
        <v>60654</v>
      </c>
      <c r="AR1257" t="s">
        <v>128</v>
      </c>
      <c r="AT1257" s="4">
        <v>13127155252</v>
      </c>
      <c r="AV1257" t="s">
        <v>2279</v>
      </c>
      <c r="AW1257" t="s">
        <v>1171</v>
      </c>
      <c r="AX1257" t="s">
        <v>135</v>
      </c>
      <c r="AY1257" t="s">
        <v>135</v>
      </c>
      <c r="AZ1257" t="s">
        <v>135</v>
      </c>
      <c r="BA1257" t="s">
        <v>131</v>
      </c>
      <c r="BB1257" t="s">
        <v>134</v>
      </c>
      <c r="BC1257" t="s">
        <v>131</v>
      </c>
      <c r="BD1257" t="s">
        <v>131</v>
      </c>
      <c r="BE1257" t="s">
        <v>132</v>
      </c>
      <c r="BH1257" t="s">
        <v>2280</v>
      </c>
      <c r="BI1257" t="s">
        <v>131</v>
      </c>
      <c r="BL1257" t="s">
        <v>133</v>
      </c>
      <c r="BN1257" t="s">
        <v>2281</v>
      </c>
      <c r="BO1257" t="s">
        <v>131</v>
      </c>
      <c r="BP1257" t="s">
        <v>134</v>
      </c>
      <c r="BQ1257" t="s">
        <v>131</v>
      </c>
      <c r="BS1257" t="str">
        <f t="shared" si="88"/>
        <v>N/A</v>
      </c>
      <c r="BT1257" t="s">
        <v>135</v>
      </c>
      <c r="BU1257">
        <v>24</v>
      </c>
      <c r="BV1257" t="str">
        <f>"experience in an accounting or business analyst role"</f>
        <v>experience in an accounting or business analyst role</v>
      </c>
      <c r="BW1257" t="s">
        <v>135</v>
      </c>
      <c r="BX1257" t="str">
        <f>""</f>
        <v/>
      </c>
      <c r="BY1257" t="str">
        <f>""</f>
        <v/>
      </c>
      <c r="BZ1257" t="str">
        <f>""</f>
        <v/>
      </c>
      <c r="CA1257" t="str">
        <f>"Please see Section F.a.2"</f>
        <v>Please see Section F.a.2</v>
      </c>
      <c r="CB1257" t="s">
        <v>131</v>
      </c>
      <c r="CF1257" t="s">
        <v>131</v>
      </c>
      <c r="CH1257" t="str">
        <f>""</f>
        <v/>
      </c>
      <c r="CI1257" t="s">
        <v>131</v>
      </c>
      <c r="CK1257" t="s">
        <v>131</v>
      </c>
      <c r="CL1257" t="str">
        <f>""</f>
        <v/>
      </c>
      <c r="CM1257" t="str">
        <f>""</f>
        <v/>
      </c>
      <c r="CN1257" t="str">
        <f>""</f>
        <v/>
      </c>
      <c r="CO1257" t="str">
        <f>""</f>
        <v/>
      </c>
      <c r="CP1257" t="str">
        <f>"15-1132.00"</f>
        <v>15-1132.00</v>
      </c>
      <c r="CQ1257" t="s">
        <v>198</v>
      </c>
      <c r="CR1257" t="s">
        <v>286</v>
      </c>
      <c r="CS1257" t="s">
        <v>131</v>
      </c>
      <c r="CU1257" t="s">
        <v>2274</v>
      </c>
      <c r="CW1257" t="s">
        <v>262</v>
      </c>
      <c r="CX1257" t="s">
        <v>263</v>
      </c>
      <c r="CZ1257" s="3" t="str">
        <f>"60612"</f>
        <v>60612</v>
      </c>
      <c r="DA1257" t="s">
        <v>131</v>
      </c>
      <c r="DB1257" t="str">
        <f>""</f>
        <v/>
      </c>
      <c r="DF1257" t="str">
        <f>""</f>
        <v/>
      </c>
    </row>
    <row r="1258" spans="1:110" ht="15" customHeight="1" x14ac:dyDescent="0.35">
      <c r="A1258" t="s">
        <v>16073</v>
      </c>
      <c r="B1258" t="s">
        <v>138</v>
      </c>
      <c r="C1258" s="1">
        <v>44321</v>
      </c>
      <c r="G1258" s="1">
        <v>44321</v>
      </c>
      <c r="H1258" t="s">
        <v>125</v>
      </c>
      <c r="I1258" t="s">
        <v>1048</v>
      </c>
      <c r="J1258" t="s">
        <v>1049</v>
      </c>
      <c r="K1258" t="s">
        <v>2128</v>
      </c>
      <c r="L1258" t="s">
        <v>1051</v>
      </c>
      <c r="M1258" t="s">
        <v>1052</v>
      </c>
      <c r="O1258" t="s">
        <v>1053</v>
      </c>
      <c r="P1258" t="s">
        <v>273</v>
      </c>
      <c r="Q1258" s="3">
        <v>7302</v>
      </c>
      <c r="R1258" t="s">
        <v>128</v>
      </c>
      <c r="T1258" s="4">
        <v>12129021000</v>
      </c>
      <c r="V1258" t="s">
        <v>1054</v>
      </c>
      <c r="W1258" t="s">
        <v>1055</v>
      </c>
      <c r="Y1258" t="s">
        <v>1052</v>
      </c>
      <c r="AA1258" t="s">
        <v>1053</v>
      </c>
      <c r="AB1258" t="s">
        <v>276</v>
      </c>
      <c r="AC1258" s="3" t="str">
        <f>"07302"</f>
        <v>07302</v>
      </c>
      <c r="AD1258" t="s">
        <v>128</v>
      </c>
      <c r="AF1258" s="4">
        <v>12129021000</v>
      </c>
      <c r="AH1258" t="str">
        <f>"52311"</f>
        <v>52311</v>
      </c>
      <c r="AI1258" t="s">
        <v>130</v>
      </c>
      <c r="AJ1258" t="s">
        <v>2129</v>
      </c>
      <c r="AK1258" t="s">
        <v>2130</v>
      </c>
      <c r="AM1258" t="s">
        <v>514</v>
      </c>
      <c r="AO1258" t="s">
        <v>129</v>
      </c>
      <c r="AP1258" t="s">
        <v>129</v>
      </c>
      <c r="AQ1258" s="5">
        <v>10018</v>
      </c>
      <c r="AR1258" t="s">
        <v>128</v>
      </c>
      <c r="AT1258" s="4">
        <v>12126888555</v>
      </c>
      <c r="AV1258" t="s">
        <v>16074</v>
      </c>
      <c r="AW1258" t="s">
        <v>386</v>
      </c>
      <c r="AX1258" t="s">
        <v>131</v>
      </c>
      <c r="AY1258" t="s">
        <v>131</v>
      </c>
      <c r="AZ1258" t="s">
        <v>131</v>
      </c>
      <c r="BA1258" t="s">
        <v>131</v>
      </c>
      <c r="BB1258" t="s">
        <v>131</v>
      </c>
      <c r="BC1258" t="s">
        <v>131</v>
      </c>
      <c r="BD1258" t="s">
        <v>131</v>
      </c>
      <c r="BE1258" t="s">
        <v>160</v>
      </c>
      <c r="BF1258" t="s">
        <v>10575</v>
      </c>
      <c r="BG1258" s="1">
        <v>44013</v>
      </c>
      <c r="BH1258" t="s">
        <v>303</v>
      </c>
      <c r="BI1258" t="s">
        <v>131</v>
      </c>
      <c r="BL1258" t="s">
        <v>133</v>
      </c>
      <c r="BN1258" t="s">
        <v>16075</v>
      </c>
      <c r="BO1258" t="s">
        <v>131</v>
      </c>
      <c r="BP1258" t="s">
        <v>134</v>
      </c>
      <c r="BQ1258" t="s">
        <v>131</v>
      </c>
      <c r="BS1258" t="str">
        <f t="shared" si="88"/>
        <v>N/A</v>
      </c>
      <c r="BT1258" t="s">
        <v>135</v>
      </c>
      <c r="BU1258">
        <v>60</v>
      </c>
      <c r="BV1258" t="str">
        <f>"Five (5) years of experience in the job offered or a related investment banking role."</f>
        <v>Five (5) years of experience in the job offered or a related investment banking role.</v>
      </c>
      <c r="BW1258" t="s">
        <v>135</v>
      </c>
      <c r="BX1258" t="str">
        <f>""</f>
        <v/>
      </c>
      <c r="BY1258" t="str">
        <f>""</f>
        <v/>
      </c>
      <c r="BZ1258" t="str">
        <f>""</f>
        <v/>
      </c>
      <c r="CA1258" t="s">
        <v>16076</v>
      </c>
      <c r="CB1258" t="s">
        <v>131</v>
      </c>
      <c r="CF1258" t="s">
        <v>131</v>
      </c>
      <c r="CH1258" t="str">
        <f>""</f>
        <v/>
      </c>
      <c r="CI1258" t="s">
        <v>131</v>
      </c>
      <c r="CK1258" t="s">
        <v>131</v>
      </c>
      <c r="CL1258" t="str">
        <f>""</f>
        <v/>
      </c>
      <c r="CM1258" t="str">
        <f>""</f>
        <v/>
      </c>
      <c r="CN1258" t="str">
        <f>""</f>
        <v/>
      </c>
      <c r="CO1258" t="str">
        <f>""</f>
        <v/>
      </c>
      <c r="CP1258" t="str">
        <f>"13-2051.00"</f>
        <v>13-2051.00</v>
      </c>
      <c r="CQ1258" t="s">
        <v>245</v>
      </c>
      <c r="CR1258" t="s">
        <v>2110</v>
      </c>
      <c r="CS1258" t="s">
        <v>135</v>
      </c>
      <c r="CT1258" t="s">
        <v>16077</v>
      </c>
      <c r="CU1258" t="s">
        <v>16078</v>
      </c>
      <c r="CW1258" t="s">
        <v>129</v>
      </c>
      <c r="CX1258" t="s">
        <v>129</v>
      </c>
      <c r="CZ1258" s="3" t="str">
        <f>"10282"</f>
        <v>10282</v>
      </c>
      <c r="DA1258" t="s">
        <v>131</v>
      </c>
      <c r="DB1258" t="str">
        <f>""</f>
        <v/>
      </c>
      <c r="DF1258" t="str">
        <f>""</f>
        <v/>
      </c>
    </row>
    <row r="1259" spans="1:110" ht="15" customHeight="1" x14ac:dyDescent="0.35">
      <c r="A1259" t="s">
        <v>18512</v>
      </c>
      <c r="B1259" t="s">
        <v>138</v>
      </c>
      <c r="C1259" s="1">
        <v>44321</v>
      </c>
      <c r="G1259" s="1">
        <v>44323</v>
      </c>
      <c r="H1259" t="s">
        <v>125</v>
      </c>
      <c r="I1259" t="s">
        <v>9669</v>
      </c>
      <c r="J1259" t="s">
        <v>4355</v>
      </c>
      <c r="L1259" t="s">
        <v>18159</v>
      </c>
      <c r="M1259" t="s">
        <v>18160</v>
      </c>
      <c r="O1259" t="s">
        <v>3809</v>
      </c>
      <c r="P1259" t="s">
        <v>178</v>
      </c>
      <c r="Q1259" s="3">
        <v>94588</v>
      </c>
      <c r="R1259" t="s">
        <v>128</v>
      </c>
      <c r="T1259" s="4">
        <v>19254017300</v>
      </c>
      <c r="V1259" t="s">
        <v>18161</v>
      </c>
      <c r="W1259" t="s">
        <v>18162</v>
      </c>
      <c r="Y1259" t="s">
        <v>18160</v>
      </c>
      <c r="AA1259" t="s">
        <v>3809</v>
      </c>
      <c r="AB1259" t="s">
        <v>172</v>
      </c>
      <c r="AC1259" s="3" t="str">
        <f>"94566"</f>
        <v>94566</v>
      </c>
      <c r="AD1259" t="s">
        <v>128</v>
      </c>
      <c r="AF1259" s="4">
        <v>19254017300</v>
      </c>
      <c r="AG1259">
        <v>0</v>
      </c>
      <c r="AH1259" t="str">
        <f>"5417"</f>
        <v>5417</v>
      </c>
      <c r="AI1259" t="s">
        <v>130</v>
      </c>
      <c r="AJ1259" t="s">
        <v>1477</v>
      </c>
      <c r="AK1259" t="s">
        <v>618</v>
      </c>
      <c r="AL1259" t="s">
        <v>3014</v>
      </c>
      <c r="AM1259" t="s">
        <v>3015</v>
      </c>
      <c r="AN1259" t="s">
        <v>2377</v>
      </c>
      <c r="AO1259" t="s">
        <v>1674</v>
      </c>
      <c r="AP1259" t="s">
        <v>1176</v>
      </c>
      <c r="AQ1259" s="5">
        <v>68508</v>
      </c>
      <c r="AR1259" t="s">
        <v>128</v>
      </c>
      <c r="AT1259" s="4">
        <v>14023289899</v>
      </c>
      <c r="AU1259">
        <v>0</v>
      </c>
      <c r="AV1259" t="s">
        <v>3016</v>
      </c>
      <c r="AW1259" t="s">
        <v>3017</v>
      </c>
      <c r="AX1259" t="s">
        <v>131</v>
      </c>
      <c r="AY1259" t="s">
        <v>131</v>
      </c>
      <c r="AZ1259" t="s">
        <v>131</v>
      </c>
      <c r="BA1259" t="s">
        <v>131</v>
      </c>
      <c r="BB1259" t="s">
        <v>131</v>
      </c>
      <c r="BC1259" t="s">
        <v>131</v>
      </c>
      <c r="BD1259" t="s">
        <v>131</v>
      </c>
      <c r="BE1259" t="s">
        <v>132</v>
      </c>
      <c r="BH1259" t="s">
        <v>7816</v>
      </c>
      <c r="BI1259" t="s">
        <v>131</v>
      </c>
      <c r="BL1259" t="s">
        <v>188</v>
      </c>
      <c r="BN1259" t="s">
        <v>18513</v>
      </c>
      <c r="BO1259" t="s">
        <v>131</v>
      </c>
      <c r="BP1259" t="s">
        <v>134</v>
      </c>
      <c r="BQ1259" t="s">
        <v>131</v>
      </c>
      <c r="BS1259" t="str">
        <f t="shared" si="88"/>
        <v>N/A</v>
      </c>
      <c r="BT1259" t="s">
        <v>135</v>
      </c>
      <c r="BU1259">
        <v>12</v>
      </c>
      <c r="BV1259" t="str">
        <f>"Job offered or related positions."</f>
        <v>Job offered or related positions.</v>
      </c>
      <c r="BW1259" t="s">
        <v>135</v>
      </c>
      <c r="BX1259" t="str">
        <f>""</f>
        <v/>
      </c>
      <c r="BY1259" t="str">
        <f>""</f>
        <v/>
      </c>
      <c r="BZ1259" t="str">
        <f>""</f>
        <v/>
      </c>
      <c r="CA1259" t="s">
        <v>18514</v>
      </c>
      <c r="CB1259" t="s">
        <v>135</v>
      </c>
      <c r="CC1259" t="s">
        <v>133</v>
      </c>
      <c r="CE1259" t="s">
        <v>18513</v>
      </c>
      <c r="CF1259" t="s">
        <v>131</v>
      </c>
      <c r="CH1259" t="str">
        <f>"N/A"</f>
        <v>N/A</v>
      </c>
      <c r="CI1259" t="s">
        <v>135</v>
      </c>
      <c r="CJ1259">
        <v>60</v>
      </c>
      <c r="CK1259" t="s">
        <v>135</v>
      </c>
      <c r="CL1259" t="str">
        <f>""</f>
        <v/>
      </c>
      <c r="CM1259" t="str">
        <f>""</f>
        <v/>
      </c>
      <c r="CN1259" t="str">
        <f>""</f>
        <v/>
      </c>
      <c r="CO1259" t="s">
        <v>18514</v>
      </c>
      <c r="CP1259" t="str">
        <f>"17-2199.06"</f>
        <v>17-2199.06</v>
      </c>
      <c r="CQ1259" t="s">
        <v>14242</v>
      </c>
      <c r="CR1259" t="s">
        <v>18515</v>
      </c>
      <c r="CS1259" t="s">
        <v>131</v>
      </c>
      <c r="CU1259" t="s">
        <v>18160</v>
      </c>
      <c r="CW1259" t="s">
        <v>3809</v>
      </c>
      <c r="CX1259" t="s">
        <v>172</v>
      </c>
      <c r="CZ1259" s="3" t="str">
        <f>"94588"</f>
        <v>94588</v>
      </c>
      <c r="DA1259" t="s">
        <v>131</v>
      </c>
      <c r="DB1259" t="str">
        <f>""</f>
        <v/>
      </c>
      <c r="DF1259" t="str">
        <f>""</f>
        <v/>
      </c>
    </row>
    <row r="1260" spans="1:110" ht="15" customHeight="1" x14ac:dyDescent="0.35">
      <c r="A1260" t="s">
        <v>12600</v>
      </c>
      <c r="B1260" t="s">
        <v>138</v>
      </c>
      <c r="C1260" s="1">
        <v>44321</v>
      </c>
      <c r="G1260" s="1">
        <v>44323</v>
      </c>
      <c r="H1260" t="s">
        <v>125</v>
      </c>
      <c r="I1260" t="s">
        <v>4227</v>
      </c>
      <c r="J1260" t="s">
        <v>4228</v>
      </c>
      <c r="K1260" t="s">
        <v>2086</v>
      </c>
      <c r="L1260" t="s">
        <v>4229</v>
      </c>
      <c r="M1260" t="s">
        <v>4230</v>
      </c>
      <c r="N1260" t="s">
        <v>362</v>
      </c>
      <c r="O1260" t="s">
        <v>958</v>
      </c>
      <c r="P1260" t="s">
        <v>273</v>
      </c>
      <c r="Q1260" s="3">
        <v>8540</v>
      </c>
      <c r="R1260" t="s">
        <v>128</v>
      </c>
      <c r="T1260" s="4">
        <v>17702906191</v>
      </c>
      <c r="V1260" t="s">
        <v>4231</v>
      </c>
      <c r="W1260" t="s">
        <v>4232</v>
      </c>
      <c r="Y1260" t="s">
        <v>4233</v>
      </c>
      <c r="Z1260" t="s">
        <v>362</v>
      </c>
      <c r="AA1260" t="s">
        <v>958</v>
      </c>
      <c r="AB1260" t="s">
        <v>276</v>
      </c>
      <c r="AC1260" s="3" t="str">
        <f>"08540"</f>
        <v>08540</v>
      </c>
      <c r="AD1260" t="s">
        <v>128</v>
      </c>
      <c r="AF1260" s="4">
        <v>17702906191</v>
      </c>
      <c r="AH1260" t="str">
        <f>"541512"</f>
        <v>541512</v>
      </c>
      <c r="AI1260" t="s">
        <v>130</v>
      </c>
      <c r="AJ1260" t="s">
        <v>4234</v>
      </c>
      <c r="AK1260" t="s">
        <v>4235</v>
      </c>
      <c r="AM1260" t="s">
        <v>4236</v>
      </c>
      <c r="AN1260" t="s">
        <v>1989</v>
      </c>
      <c r="AO1260" t="s">
        <v>733</v>
      </c>
      <c r="AP1260" t="s">
        <v>643</v>
      </c>
      <c r="AQ1260" s="5">
        <v>30305</v>
      </c>
      <c r="AR1260" t="s">
        <v>128</v>
      </c>
      <c r="AT1260" s="4">
        <v>16785532497</v>
      </c>
      <c r="AV1260" t="s">
        <v>4231</v>
      </c>
      <c r="AW1260" t="s">
        <v>4238</v>
      </c>
      <c r="AX1260" t="s">
        <v>131</v>
      </c>
      <c r="AY1260" t="s">
        <v>131</v>
      </c>
      <c r="AZ1260" t="s">
        <v>131</v>
      </c>
      <c r="BA1260" t="s">
        <v>131</v>
      </c>
      <c r="BB1260" t="s">
        <v>131</v>
      </c>
      <c r="BC1260" t="s">
        <v>131</v>
      </c>
      <c r="BD1260" t="s">
        <v>131</v>
      </c>
      <c r="BE1260" t="s">
        <v>132</v>
      </c>
      <c r="BH1260" t="s">
        <v>4239</v>
      </c>
      <c r="BI1260" t="s">
        <v>135</v>
      </c>
      <c r="BJ1260" t="s">
        <v>282</v>
      </c>
      <c r="BK1260" t="s">
        <v>283</v>
      </c>
      <c r="BL1260" t="s">
        <v>133</v>
      </c>
      <c r="BN1260" t="s">
        <v>7200</v>
      </c>
      <c r="BO1260" t="s">
        <v>131</v>
      </c>
      <c r="BP1260" t="s">
        <v>134</v>
      </c>
      <c r="BQ1260" t="s">
        <v>131</v>
      </c>
      <c r="BS1260" t="str">
        <f t="shared" si="88"/>
        <v>N/A</v>
      </c>
      <c r="BT1260" t="s">
        <v>135</v>
      </c>
      <c r="BU1260">
        <v>60</v>
      </c>
      <c r="BV1260" t="str">
        <f>"Any occupation in which required experience was gained"</f>
        <v>Any occupation in which required experience was gained</v>
      </c>
      <c r="BW1260" t="s">
        <v>135</v>
      </c>
      <c r="BX1260" t="str">
        <f>""</f>
        <v/>
      </c>
      <c r="BY1260" t="str">
        <f>""</f>
        <v/>
      </c>
      <c r="BZ1260" t="str">
        <f>""</f>
        <v/>
      </c>
      <c r="CA1260" t="s">
        <v>4240</v>
      </c>
      <c r="CB1260" t="s">
        <v>131</v>
      </c>
      <c r="CF1260" t="s">
        <v>131</v>
      </c>
      <c r="CH1260" t="str">
        <f>""</f>
        <v/>
      </c>
      <c r="CI1260" t="s">
        <v>131</v>
      </c>
      <c r="CK1260" t="s">
        <v>131</v>
      </c>
      <c r="CL1260" t="str">
        <f>""</f>
        <v/>
      </c>
      <c r="CM1260" t="str">
        <f>""</f>
        <v/>
      </c>
      <c r="CN1260" t="str">
        <f>""</f>
        <v/>
      </c>
      <c r="CO1260" t="str">
        <f>""</f>
        <v/>
      </c>
      <c r="CP1260" t="str">
        <f>"15-1199.09"</f>
        <v>15-1199.09</v>
      </c>
      <c r="CQ1260" t="s">
        <v>697</v>
      </c>
      <c r="CR1260" t="s">
        <v>303</v>
      </c>
      <c r="CS1260" t="s">
        <v>135</v>
      </c>
      <c r="CT1260" t="s">
        <v>12601</v>
      </c>
      <c r="CU1260" t="s">
        <v>4244</v>
      </c>
      <c r="CV1260" t="s">
        <v>4245</v>
      </c>
      <c r="CW1260" t="s">
        <v>958</v>
      </c>
      <c r="CX1260" t="s">
        <v>276</v>
      </c>
      <c r="CZ1260" s="3" t="str">
        <f>"08540"</f>
        <v>08540</v>
      </c>
      <c r="DA1260" t="s">
        <v>135</v>
      </c>
      <c r="DB1260" t="str">
        <f>""</f>
        <v/>
      </c>
      <c r="DF1260" t="str">
        <f>""</f>
        <v/>
      </c>
    </row>
    <row r="1261" spans="1:110" ht="15" customHeight="1" x14ac:dyDescent="0.35">
      <c r="A1261" t="s">
        <v>14725</v>
      </c>
      <c r="B1261" t="s">
        <v>138</v>
      </c>
      <c r="C1261" s="1">
        <v>44321</v>
      </c>
      <c r="G1261" s="1">
        <v>44323</v>
      </c>
      <c r="H1261" t="s">
        <v>125</v>
      </c>
      <c r="I1261" t="s">
        <v>4227</v>
      </c>
      <c r="J1261" t="s">
        <v>4228</v>
      </c>
      <c r="K1261" t="s">
        <v>2086</v>
      </c>
      <c r="L1261" t="s">
        <v>4229</v>
      </c>
      <c r="M1261" t="s">
        <v>4230</v>
      </c>
      <c r="N1261" t="s">
        <v>362</v>
      </c>
      <c r="O1261" t="s">
        <v>958</v>
      </c>
      <c r="P1261" t="s">
        <v>273</v>
      </c>
      <c r="Q1261" s="3">
        <v>8540</v>
      </c>
      <c r="R1261" t="s">
        <v>128</v>
      </c>
      <c r="T1261" s="4">
        <v>17702906191</v>
      </c>
      <c r="V1261" t="s">
        <v>14726</v>
      </c>
      <c r="W1261" t="s">
        <v>4232</v>
      </c>
      <c r="Y1261" t="s">
        <v>4233</v>
      </c>
      <c r="Z1261" t="s">
        <v>362</v>
      </c>
      <c r="AA1261" t="s">
        <v>958</v>
      </c>
      <c r="AB1261" t="s">
        <v>276</v>
      </c>
      <c r="AC1261" s="3" t="str">
        <f>"08540"</f>
        <v>08540</v>
      </c>
      <c r="AD1261" t="s">
        <v>128</v>
      </c>
      <c r="AF1261" s="4">
        <v>17702906191</v>
      </c>
      <c r="AH1261" t="str">
        <f>"541512"</f>
        <v>541512</v>
      </c>
      <c r="AI1261" t="s">
        <v>130</v>
      </c>
      <c r="AJ1261" t="s">
        <v>4234</v>
      </c>
      <c r="AK1261" t="s">
        <v>4235</v>
      </c>
      <c r="AM1261" t="s">
        <v>4236</v>
      </c>
      <c r="AN1261" t="s">
        <v>1989</v>
      </c>
      <c r="AO1261" t="s">
        <v>733</v>
      </c>
      <c r="AP1261" t="s">
        <v>643</v>
      </c>
      <c r="AQ1261" s="5">
        <v>30305</v>
      </c>
      <c r="AR1261" t="s">
        <v>128</v>
      </c>
      <c r="AT1261" s="4">
        <v>16785532497</v>
      </c>
      <c r="AV1261" t="s">
        <v>4231</v>
      </c>
      <c r="AW1261" t="s">
        <v>4238</v>
      </c>
      <c r="AX1261" t="s">
        <v>131</v>
      </c>
      <c r="AY1261" t="s">
        <v>131</v>
      </c>
      <c r="AZ1261" t="s">
        <v>131</v>
      </c>
      <c r="BA1261" t="s">
        <v>131</v>
      </c>
      <c r="BB1261" t="s">
        <v>131</v>
      </c>
      <c r="BC1261" t="s">
        <v>131</v>
      </c>
      <c r="BD1261" t="s">
        <v>131</v>
      </c>
      <c r="BE1261" t="s">
        <v>132</v>
      </c>
      <c r="BH1261" t="s">
        <v>4239</v>
      </c>
      <c r="BI1261" t="s">
        <v>135</v>
      </c>
      <c r="BJ1261" t="s">
        <v>282</v>
      </c>
      <c r="BK1261" t="s">
        <v>283</v>
      </c>
      <c r="BL1261" t="s">
        <v>188</v>
      </c>
      <c r="BN1261" t="s">
        <v>4241</v>
      </c>
      <c r="BO1261" t="s">
        <v>131</v>
      </c>
      <c r="BP1261" t="s">
        <v>134</v>
      </c>
      <c r="BQ1261" t="s">
        <v>131</v>
      </c>
      <c r="BS1261" t="str">
        <f t="shared" si="88"/>
        <v>N/A</v>
      </c>
      <c r="BT1261" t="s">
        <v>135</v>
      </c>
      <c r="BU1261">
        <v>36</v>
      </c>
      <c r="BV1261" t="str">
        <f>"Any occupation in which required experience was gained"</f>
        <v>Any occupation in which required experience was gained</v>
      </c>
      <c r="BW1261" t="s">
        <v>135</v>
      </c>
      <c r="BX1261" t="str">
        <f>""</f>
        <v/>
      </c>
      <c r="BY1261" t="str">
        <f>""</f>
        <v/>
      </c>
      <c r="BZ1261" t="str">
        <f>""</f>
        <v/>
      </c>
      <c r="CA1261" t="s">
        <v>4789</v>
      </c>
      <c r="CB1261" t="s">
        <v>131</v>
      </c>
      <c r="CF1261" t="s">
        <v>131</v>
      </c>
      <c r="CH1261" t="str">
        <f>""</f>
        <v/>
      </c>
      <c r="CI1261" t="s">
        <v>131</v>
      </c>
      <c r="CK1261" t="s">
        <v>131</v>
      </c>
      <c r="CL1261" t="str">
        <f>""</f>
        <v/>
      </c>
      <c r="CM1261" t="str">
        <f>""</f>
        <v/>
      </c>
      <c r="CN1261" t="str">
        <f>""</f>
        <v/>
      </c>
      <c r="CO1261" t="str">
        <f>""</f>
        <v/>
      </c>
      <c r="CP1261" t="str">
        <f>"15-1199.09"</f>
        <v>15-1199.09</v>
      </c>
      <c r="CQ1261" t="s">
        <v>697</v>
      </c>
      <c r="CR1261" t="s">
        <v>303</v>
      </c>
      <c r="CS1261" t="s">
        <v>135</v>
      </c>
      <c r="CT1261" t="s">
        <v>4243</v>
      </c>
      <c r="CU1261" t="s">
        <v>4244</v>
      </c>
      <c r="CV1261" t="s">
        <v>4245</v>
      </c>
      <c r="CW1261" t="s">
        <v>958</v>
      </c>
      <c r="CX1261" t="s">
        <v>276</v>
      </c>
      <c r="CZ1261" s="3" t="str">
        <f>"08540"</f>
        <v>08540</v>
      </c>
      <c r="DA1261" t="s">
        <v>135</v>
      </c>
      <c r="DB1261" t="str">
        <f>""</f>
        <v/>
      </c>
      <c r="DF1261" t="str">
        <f>""</f>
        <v/>
      </c>
    </row>
    <row r="1262" spans="1:110" ht="15" customHeight="1" x14ac:dyDescent="0.35">
      <c r="A1262" t="s">
        <v>622</v>
      </c>
      <c r="B1262" t="s">
        <v>138</v>
      </c>
      <c r="C1262" s="1">
        <v>44322</v>
      </c>
      <c r="G1262" s="1">
        <v>44335</v>
      </c>
      <c r="H1262" t="s">
        <v>125</v>
      </c>
      <c r="I1262" t="s">
        <v>353</v>
      </c>
      <c r="J1262" t="s">
        <v>354</v>
      </c>
      <c r="K1262" t="s">
        <v>355</v>
      </c>
      <c r="L1262" t="s">
        <v>130</v>
      </c>
      <c r="M1262" t="s">
        <v>356</v>
      </c>
      <c r="O1262" t="s">
        <v>310</v>
      </c>
      <c r="P1262" t="s">
        <v>311</v>
      </c>
      <c r="Q1262" s="3">
        <v>19106</v>
      </c>
      <c r="R1262" t="s">
        <v>128</v>
      </c>
      <c r="T1262" s="4">
        <v>12155921240</v>
      </c>
      <c r="V1262" t="s">
        <v>357</v>
      </c>
      <c r="W1262" t="s">
        <v>351</v>
      </c>
      <c r="Y1262" t="s">
        <v>623</v>
      </c>
      <c r="Z1262" t="s">
        <v>624</v>
      </c>
      <c r="AA1262" t="s">
        <v>352</v>
      </c>
      <c r="AB1262" t="s">
        <v>312</v>
      </c>
      <c r="AC1262" s="3" t="str">
        <f>"19087"</f>
        <v>19087</v>
      </c>
      <c r="AD1262" t="s">
        <v>128</v>
      </c>
      <c r="AF1262" s="4">
        <v>18132471754</v>
      </c>
      <c r="AH1262" t="str">
        <f>"324110"</f>
        <v>324110</v>
      </c>
      <c r="AI1262" t="s">
        <v>130</v>
      </c>
      <c r="AJ1262" t="s">
        <v>353</v>
      </c>
      <c r="AK1262" t="s">
        <v>354</v>
      </c>
      <c r="AL1262" t="s">
        <v>192</v>
      </c>
      <c r="AM1262" t="s">
        <v>356</v>
      </c>
      <c r="AO1262" t="s">
        <v>310</v>
      </c>
      <c r="AP1262" t="s">
        <v>312</v>
      </c>
      <c r="AQ1262" s="5">
        <v>19106</v>
      </c>
      <c r="AR1262" t="s">
        <v>128</v>
      </c>
      <c r="AT1262" s="4">
        <v>12155921240</v>
      </c>
      <c r="AV1262" t="s">
        <v>357</v>
      </c>
      <c r="AW1262" t="s">
        <v>358</v>
      </c>
      <c r="AX1262" t="s">
        <v>131</v>
      </c>
      <c r="AY1262" t="s">
        <v>131</v>
      </c>
      <c r="AZ1262" t="s">
        <v>131</v>
      </c>
      <c r="BA1262" t="s">
        <v>131</v>
      </c>
      <c r="BB1262" t="s">
        <v>131</v>
      </c>
      <c r="BC1262" t="s">
        <v>131</v>
      </c>
      <c r="BD1262" t="s">
        <v>131</v>
      </c>
      <c r="BE1262" t="s">
        <v>132</v>
      </c>
      <c r="BH1262" t="s">
        <v>359</v>
      </c>
      <c r="BI1262" t="s">
        <v>131</v>
      </c>
      <c r="BL1262" t="s">
        <v>133</v>
      </c>
      <c r="BN1262" t="s">
        <v>625</v>
      </c>
      <c r="BO1262" t="s">
        <v>131</v>
      </c>
      <c r="BP1262" t="s">
        <v>134</v>
      </c>
      <c r="BQ1262" t="s">
        <v>131</v>
      </c>
      <c r="BS1262" t="str">
        <f t="shared" si="88"/>
        <v>N/A</v>
      </c>
      <c r="BT1262" t="s">
        <v>135</v>
      </c>
      <c r="BU1262">
        <v>6</v>
      </c>
      <c r="BV1262" t="str">
        <f>"Engineering in  in chemical, refining technology or a related industry"</f>
        <v>Engineering in  in chemical, refining technology or a related industry</v>
      </c>
      <c r="BW1262" t="s">
        <v>135</v>
      </c>
      <c r="BX1262" t="str">
        <f>""</f>
        <v/>
      </c>
      <c r="BY1262" t="str">
        <f>"Ability to effectively communicate in both German and English"</f>
        <v>Ability to effectively communicate in both German and English</v>
      </c>
      <c r="BZ1262" t="str">
        <f>""</f>
        <v/>
      </c>
      <c r="CA1262" t="s">
        <v>626</v>
      </c>
      <c r="CB1262" t="s">
        <v>131</v>
      </c>
      <c r="CF1262" t="s">
        <v>131</v>
      </c>
      <c r="CH1262" t="str">
        <f>""</f>
        <v/>
      </c>
      <c r="CI1262" t="s">
        <v>131</v>
      </c>
      <c r="CK1262" t="s">
        <v>131</v>
      </c>
      <c r="CL1262" t="str">
        <f>""</f>
        <v/>
      </c>
      <c r="CM1262" t="str">
        <f>""</f>
        <v/>
      </c>
      <c r="CN1262" t="str">
        <f>""</f>
        <v/>
      </c>
      <c r="CO1262" t="str">
        <f>""</f>
        <v/>
      </c>
      <c r="CP1262" t="str">
        <f>"17-2112.00"</f>
        <v>17-2112.00</v>
      </c>
      <c r="CQ1262" t="s">
        <v>360</v>
      </c>
      <c r="CR1262" t="s">
        <v>361</v>
      </c>
      <c r="CS1262" t="s">
        <v>131</v>
      </c>
      <c r="CU1262" t="s">
        <v>350</v>
      </c>
      <c r="CW1262" t="s">
        <v>197</v>
      </c>
      <c r="CX1262" t="s">
        <v>195</v>
      </c>
      <c r="CZ1262" s="3" t="str">
        <f>"19087"</f>
        <v>19087</v>
      </c>
      <c r="DA1262" t="s">
        <v>131</v>
      </c>
      <c r="DB1262" t="str">
        <f>""</f>
        <v/>
      </c>
      <c r="DF1262" t="str">
        <f>""</f>
        <v/>
      </c>
    </row>
    <row r="1263" spans="1:110" ht="15" customHeight="1" x14ac:dyDescent="0.35">
      <c r="A1263" t="s">
        <v>12965</v>
      </c>
      <c r="B1263" t="s">
        <v>138</v>
      </c>
      <c r="C1263" s="1">
        <v>44322</v>
      </c>
      <c r="G1263" s="1">
        <v>44333</v>
      </c>
      <c r="H1263" t="s">
        <v>125</v>
      </c>
      <c r="I1263" t="s">
        <v>838</v>
      </c>
      <c r="J1263" t="s">
        <v>839</v>
      </c>
      <c r="K1263" t="s">
        <v>840</v>
      </c>
      <c r="L1263" t="s">
        <v>2565</v>
      </c>
      <c r="M1263" t="s">
        <v>841</v>
      </c>
      <c r="N1263" t="s">
        <v>842</v>
      </c>
      <c r="O1263" t="s">
        <v>843</v>
      </c>
      <c r="P1263" t="s">
        <v>273</v>
      </c>
      <c r="Q1263" s="3">
        <v>7080</v>
      </c>
      <c r="R1263" t="s">
        <v>128</v>
      </c>
      <c r="T1263" s="4">
        <v>17328327978</v>
      </c>
      <c r="V1263" t="s">
        <v>844</v>
      </c>
      <c r="W1263" t="s">
        <v>5994</v>
      </c>
      <c r="Y1263" t="s">
        <v>4344</v>
      </c>
      <c r="Z1263" t="s">
        <v>4345</v>
      </c>
      <c r="AA1263" t="s">
        <v>4346</v>
      </c>
      <c r="AB1263" t="s">
        <v>276</v>
      </c>
      <c r="AC1263" s="3" t="str">
        <f>"08512"</f>
        <v>08512</v>
      </c>
      <c r="AD1263" t="s">
        <v>128</v>
      </c>
      <c r="AF1263" s="4">
        <v>17327883910</v>
      </c>
      <c r="AH1263" t="str">
        <f>"541511"</f>
        <v>541511</v>
      </c>
      <c r="AI1263" t="s">
        <v>130</v>
      </c>
      <c r="AJ1263" t="s">
        <v>838</v>
      </c>
      <c r="AK1263" t="s">
        <v>839</v>
      </c>
      <c r="AL1263" t="s">
        <v>840</v>
      </c>
      <c r="AM1263" t="s">
        <v>841</v>
      </c>
      <c r="AN1263" t="s">
        <v>842</v>
      </c>
      <c r="AO1263" t="s">
        <v>843</v>
      </c>
      <c r="AP1263" t="s">
        <v>276</v>
      </c>
      <c r="AQ1263" s="5">
        <v>7080</v>
      </c>
      <c r="AR1263" t="s">
        <v>128</v>
      </c>
      <c r="AT1263" s="4">
        <v>17328327978</v>
      </c>
      <c r="AV1263" t="s">
        <v>844</v>
      </c>
      <c r="AW1263" t="s">
        <v>12966</v>
      </c>
      <c r="AX1263" t="s">
        <v>131</v>
      </c>
      <c r="AY1263" t="s">
        <v>131</v>
      </c>
      <c r="AZ1263" t="s">
        <v>131</v>
      </c>
      <c r="BA1263" t="s">
        <v>131</v>
      </c>
      <c r="BB1263" t="s">
        <v>131</v>
      </c>
      <c r="BC1263" t="s">
        <v>131</v>
      </c>
      <c r="BD1263" t="s">
        <v>131</v>
      </c>
      <c r="BE1263" t="s">
        <v>132</v>
      </c>
      <c r="BH1263" t="s">
        <v>500</v>
      </c>
      <c r="BI1263" t="s">
        <v>131</v>
      </c>
      <c r="BL1263" t="s">
        <v>188</v>
      </c>
      <c r="BN1263" t="s">
        <v>847</v>
      </c>
      <c r="BO1263" t="s">
        <v>131</v>
      </c>
      <c r="BP1263" t="s">
        <v>134</v>
      </c>
      <c r="BQ1263" t="s">
        <v>131</v>
      </c>
      <c r="BS1263" t="str">
        <f t="shared" si="88"/>
        <v>N/A</v>
      </c>
      <c r="BT1263" t="s">
        <v>135</v>
      </c>
      <c r="BU1263">
        <v>12</v>
      </c>
      <c r="BV1263" t="str">
        <f>"JOB OFFERED OR RELATED OCCUPATION."</f>
        <v>JOB OFFERED OR RELATED OCCUPATION.</v>
      </c>
      <c r="BW1263" t="s">
        <v>135</v>
      </c>
      <c r="BX1263" t="str">
        <f>""</f>
        <v/>
      </c>
      <c r="BY1263" t="str">
        <f>""</f>
        <v/>
      </c>
      <c r="BZ1263" t="str">
        <f>""</f>
        <v/>
      </c>
      <c r="CA1263" t="str">
        <f>"SKILLS REQUIRED: HTML, Apex, SOQL, SOSL, REST API, GitLab, ANT, Salesforce, and Eclipse."</f>
        <v>SKILLS REQUIRED: HTML, Apex, SOQL, SOSL, REST API, GitLab, ANT, Salesforce, and Eclipse.</v>
      </c>
      <c r="CB1263" t="s">
        <v>135</v>
      </c>
      <c r="CC1263" t="s">
        <v>133</v>
      </c>
      <c r="CE1263" t="s">
        <v>847</v>
      </c>
      <c r="CF1263" t="s">
        <v>131</v>
      </c>
      <c r="CH1263" t="str">
        <f>"N/A"</f>
        <v>N/A</v>
      </c>
      <c r="CI1263" t="s">
        <v>135</v>
      </c>
      <c r="CJ1263">
        <v>60</v>
      </c>
      <c r="CK1263" t="s">
        <v>131</v>
      </c>
      <c r="CL1263" t="str">
        <f>""</f>
        <v/>
      </c>
      <c r="CM1263" t="str">
        <f>""</f>
        <v/>
      </c>
      <c r="CN1263" t="str">
        <f>""</f>
        <v/>
      </c>
      <c r="CO1263" t="str">
        <f>""</f>
        <v/>
      </c>
      <c r="CP1263" t="str">
        <f>"15-1132.00"</f>
        <v>15-1132.00</v>
      </c>
      <c r="CQ1263" t="s">
        <v>198</v>
      </c>
      <c r="CR1263" t="s">
        <v>849</v>
      </c>
      <c r="CS1263" t="s">
        <v>131</v>
      </c>
      <c r="CU1263" t="s">
        <v>4344</v>
      </c>
      <c r="CV1263" t="s">
        <v>4345</v>
      </c>
      <c r="CW1263" t="s">
        <v>4346</v>
      </c>
      <c r="CX1263" t="s">
        <v>276</v>
      </c>
      <c r="CZ1263" s="3" t="str">
        <f>"08512"</f>
        <v>08512</v>
      </c>
      <c r="DA1263" t="s">
        <v>131</v>
      </c>
      <c r="DB1263" t="str">
        <f>""</f>
        <v/>
      </c>
      <c r="DF1263" t="str">
        <f>""</f>
        <v/>
      </c>
    </row>
    <row r="1264" spans="1:110" ht="15" customHeight="1" x14ac:dyDescent="0.35">
      <c r="A1264" t="s">
        <v>18082</v>
      </c>
      <c r="B1264" t="s">
        <v>138</v>
      </c>
      <c r="C1264" s="1">
        <v>44322</v>
      </c>
      <c r="G1264" s="1">
        <v>44333</v>
      </c>
      <c r="H1264" t="s">
        <v>125</v>
      </c>
      <c r="I1264" t="s">
        <v>838</v>
      </c>
      <c r="J1264" t="s">
        <v>839</v>
      </c>
      <c r="K1264" t="s">
        <v>840</v>
      </c>
      <c r="L1264" t="s">
        <v>2565</v>
      </c>
      <c r="M1264" t="s">
        <v>841</v>
      </c>
      <c r="N1264" t="s">
        <v>842</v>
      </c>
      <c r="O1264" t="s">
        <v>843</v>
      </c>
      <c r="P1264" t="s">
        <v>273</v>
      </c>
      <c r="Q1264" s="3">
        <v>7080</v>
      </c>
      <c r="R1264" t="s">
        <v>128</v>
      </c>
      <c r="T1264" s="4">
        <v>17328327978</v>
      </c>
      <c r="V1264" t="s">
        <v>844</v>
      </c>
      <c r="W1264" t="s">
        <v>18083</v>
      </c>
      <c r="Y1264" t="s">
        <v>11335</v>
      </c>
      <c r="Z1264" t="s">
        <v>9668</v>
      </c>
      <c r="AA1264" t="s">
        <v>2205</v>
      </c>
      <c r="AB1264" t="s">
        <v>643</v>
      </c>
      <c r="AC1264" s="3" t="str">
        <f>"30022"</f>
        <v>30022</v>
      </c>
      <c r="AD1264" t="s">
        <v>128</v>
      </c>
      <c r="AF1264" s="4">
        <v>16787998929</v>
      </c>
      <c r="AH1264" t="str">
        <f>"541511"</f>
        <v>541511</v>
      </c>
      <c r="AI1264" t="s">
        <v>130</v>
      </c>
      <c r="AJ1264" t="s">
        <v>838</v>
      </c>
      <c r="AK1264" t="s">
        <v>839</v>
      </c>
      <c r="AL1264" t="s">
        <v>840</v>
      </c>
      <c r="AM1264" t="s">
        <v>841</v>
      </c>
      <c r="AN1264" t="s">
        <v>842</v>
      </c>
      <c r="AO1264" t="s">
        <v>843</v>
      </c>
      <c r="AP1264" t="s">
        <v>276</v>
      </c>
      <c r="AQ1264" s="5">
        <v>7080</v>
      </c>
      <c r="AR1264" t="s">
        <v>128</v>
      </c>
      <c r="AT1264" s="4">
        <v>17328327978</v>
      </c>
      <c r="AV1264" t="s">
        <v>844</v>
      </c>
      <c r="AW1264" t="s">
        <v>2779</v>
      </c>
      <c r="AX1264" t="s">
        <v>131</v>
      </c>
      <c r="AY1264" t="s">
        <v>131</v>
      </c>
      <c r="AZ1264" t="s">
        <v>131</v>
      </c>
      <c r="BA1264" t="s">
        <v>131</v>
      </c>
      <c r="BB1264" t="s">
        <v>131</v>
      </c>
      <c r="BC1264" t="s">
        <v>131</v>
      </c>
      <c r="BD1264" t="s">
        <v>131</v>
      </c>
      <c r="BE1264" t="s">
        <v>132</v>
      </c>
      <c r="BH1264" t="s">
        <v>11337</v>
      </c>
      <c r="BI1264" t="s">
        <v>131</v>
      </c>
      <c r="BL1264" t="s">
        <v>188</v>
      </c>
      <c r="BN1264" t="s">
        <v>11338</v>
      </c>
      <c r="BO1264" t="s">
        <v>131</v>
      </c>
      <c r="BP1264" t="s">
        <v>134</v>
      </c>
      <c r="BQ1264" t="s">
        <v>131</v>
      </c>
      <c r="BS1264" t="str">
        <f t="shared" si="88"/>
        <v>N/A</v>
      </c>
      <c r="BT1264" t="s">
        <v>131</v>
      </c>
      <c r="BV1264" t="str">
        <f>""</f>
        <v/>
      </c>
      <c r="BW1264" t="s">
        <v>131</v>
      </c>
      <c r="BX1264" t="str">
        <f>""</f>
        <v/>
      </c>
      <c r="BY1264" t="str">
        <f>""</f>
        <v/>
      </c>
      <c r="BZ1264" t="str">
        <f>""</f>
        <v/>
      </c>
      <c r="CA1264" t="str">
        <f>""</f>
        <v/>
      </c>
      <c r="CB1264" t="s">
        <v>135</v>
      </c>
      <c r="CC1264" t="s">
        <v>133</v>
      </c>
      <c r="CE1264" t="s">
        <v>11338</v>
      </c>
      <c r="CF1264" t="s">
        <v>131</v>
      </c>
      <c r="CH1264" t="str">
        <f>"N/A"</f>
        <v>N/A</v>
      </c>
      <c r="CI1264" t="s">
        <v>135</v>
      </c>
      <c r="CJ1264">
        <v>60</v>
      </c>
      <c r="CK1264" t="s">
        <v>131</v>
      </c>
      <c r="CL1264" t="str">
        <f>""</f>
        <v/>
      </c>
      <c r="CM1264" t="str">
        <f>""</f>
        <v/>
      </c>
      <c r="CN1264" t="str">
        <f>""</f>
        <v/>
      </c>
      <c r="CO1264" t="str">
        <f>""</f>
        <v/>
      </c>
      <c r="CP1264" t="str">
        <f>"15-1199.07"</f>
        <v>15-1199.07</v>
      </c>
      <c r="CQ1264" t="s">
        <v>996</v>
      </c>
      <c r="CR1264" t="s">
        <v>849</v>
      </c>
      <c r="CS1264" t="s">
        <v>131</v>
      </c>
      <c r="CU1264" t="s">
        <v>11335</v>
      </c>
      <c r="CV1264" t="s">
        <v>9668</v>
      </c>
      <c r="CW1264" t="s">
        <v>2205</v>
      </c>
      <c r="CX1264" t="s">
        <v>643</v>
      </c>
      <c r="CZ1264" s="3" t="str">
        <f>"30022"</f>
        <v>30022</v>
      </c>
      <c r="DA1264" t="s">
        <v>131</v>
      </c>
      <c r="DB1264" t="str">
        <f>""</f>
        <v/>
      </c>
      <c r="DF1264" t="str">
        <f>""</f>
        <v/>
      </c>
    </row>
    <row r="1265" spans="1:110" ht="15" customHeight="1" x14ac:dyDescent="0.35">
      <c r="A1265" t="s">
        <v>18870</v>
      </c>
      <c r="B1265" t="s">
        <v>138</v>
      </c>
      <c r="C1265" s="1">
        <v>44322</v>
      </c>
      <c r="G1265" s="1">
        <v>44322</v>
      </c>
      <c r="H1265" t="s">
        <v>125</v>
      </c>
      <c r="I1265" t="s">
        <v>4669</v>
      </c>
      <c r="J1265" t="s">
        <v>18534</v>
      </c>
      <c r="L1265" t="s">
        <v>3558</v>
      </c>
      <c r="M1265" t="s">
        <v>18871</v>
      </c>
      <c r="O1265" t="s">
        <v>5274</v>
      </c>
      <c r="P1265" t="s">
        <v>127</v>
      </c>
      <c r="Q1265" s="3">
        <v>10001</v>
      </c>
      <c r="R1265" t="s">
        <v>128</v>
      </c>
      <c r="T1265" s="4">
        <v>12125946657</v>
      </c>
      <c r="V1265" t="s">
        <v>18872</v>
      </c>
      <c r="W1265" t="s">
        <v>18536</v>
      </c>
      <c r="Y1265" t="s">
        <v>18535</v>
      </c>
      <c r="AA1265" t="s">
        <v>497</v>
      </c>
      <c r="AB1265" t="s">
        <v>129</v>
      </c>
      <c r="AC1265" s="3" t="str">
        <f>"10453"</f>
        <v>10453</v>
      </c>
      <c r="AD1265" t="s">
        <v>128</v>
      </c>
      <c r="AF1265" s="4">
        <v>17189242688</v>
      </c>
      <c r="AH1265" t="str">
        <f>"44611"</f>
        <v>44611</v>
      </c>
      <c r="AI1265" t="s">
        <v>130</v>
      </c>
      <c r="AJ1265" t="s">
        <v>8210</v>
      </c>
      <c r="AK1265" t="s">
        <v>11251</v>
      </c>
      <c r="AM1265" t="s">
        <v>18873</v>
      </c>
      <c r="AO1265" t="s">
        <v>494</v>
      </c>
      <c r="AP1265" t="s">
        <v>129</v>
      </c>
      <c r="AQ1265" s="5">
        <v>10001</v>
      </c>
      <c r="AR1265" t="s">
        <v>128</v>
      </c>
      <c r="AT1265" s="4">
        <v>12125946657</v>
      </c>
      <c r="AV1265" t="s">
        <v>8211</v>
      </c>
      <c r="AW1265" t="s">
        <v>4710</v>
      </c>
      <c r="AX1265" t="s">
        <v>131</v>
      </c>
      <c r="AY1265" t="s">
        <v>131</v>
      </c>
      <c r="AZ1265" t="s">
        <v>131</v>
      </c>
      <c r="BA1265" t="s">
        <v>131</v>
      </c>
      <c r="BB1265" t="s">
        <v>131</v>
      </c>
      <c r="BC1265" t="s">
        <v>131</v>
      </c>
      <c r="BD1265" t="s">
        <v>131</v>
      </c>
      <c r="BE1265" t="s">
        <v>132</v>
      </c>
      <c r="BH1265" t="s">
        <v>18355</v>
      </c>
      <c r="BI1265" t="s">
        <v>131</v>
      </c>
      <c r="BL1265" t="s">
        <v>658</v>
      </c>
      <c r="BM1265" t="s">
        <v>18537</v>
      </c>
      <c r="BN1265" t="s">
        <v>4711</v>
      </c>
      <c r="BO1265" t="s">
        <v>131</v>
      </c>
      <c r="BP1265" t="s">
        <v>134</v>
      </c>
      <c r="BQ1265" t="s">
        <v>131</v>
      </c>
      <c r="BS1265" t="str">
        <f t="shared" si="88"/>
        <v>N/A</v>
      </c>
      <c r="BT1265" t="s">
        <v>135</v>
      </c>
      <c r="BU1265">
        <v>12</v>
      </c>
      <c r="BV1265" t="str">
        <f>"Pharmacist "</f>
        <v xml:space="preserve">Pharmacist </v>
      </c>
      <c r="BW1265" t="s">
        <v>135</v>
      </c>
      <c r="BX1265" t="str">
        <f>"Must have NY State Registered Pharmacist License."</f>
        <v>Must have NY State Registered Pharmacist License.</v>
      </c>
      <c r="BY1265" t="str">
        <f>""</f>
        <v/>
      </c>
      <c r="BZ1265" t="str">
        <f>""</f>
        <v/>
      </c>
      <c r="CA1265" t="str">
        <f>""</f>
        <v/>
      </c>
      <c r="CB1265" t="s">
        <v>135</v>
      </c>
      <c r="CC1265" t="s">
        <v>133</v>
      </c>
      <c r="CE1265" s="2" t="s">
        <v>18874</v>
      </c>
      <c r="CF1265" t="s">
        <v>131</v>
      </c>
      <c r="CH1265" t="str">
        <f>"N/A"</f>
        <v>N/A</v>
      </c>
      <c r="CI1265" t="s">
        <v>131</v>
      </c>
      <c r="CK1265" t="s">
        <v>135</v>
      </c>
      <c r="CL1265" t="str">
        <f>""</f>
        <v/>
      </c>
      <c r="CM1265" t="str">
        <f>""</f>
        <v/>
      </c>
      <c r="CN1265" t="str">
        <f>""</f>
        <v/>
      </c>
      <c r="CO1265" s="2" t="s">
        <v>18875</v>
      </c>
      <c r="CP1265" t="str">
        <f>"29-1051.00"</f>
        <v>29-1051.00</v>
      </c>
      <c r="CQ1265" t="s">
        <v>3811</v>
      </c>
      <c r="CR1265" t="s">
        <v>286</v>
      </c>
      <c r="CS1265" t="s">
        <v>131</v>
      </c>
      <c r="CU1265" t="s">
        <v>18871</v>
      </c>
      <c r="CW1265" t="s">
        <v>5274</v>
      </c>
      <c r="CX1265" t="s">
        <v>129</v>
      </c>
      <c r="CZ1265" s="3" t="str">
        <f>"10453"</f>
        <v>10453</v>
      </c>
      <c r="DA1265" t="s">
        <v>131</v>
      </c>
      <c r="DB1265" t="str">
        <f>""</f>
        <v/>
      </c>
      <c r="DF1265" t="str">
        <f>""</f>
        <v/>
      </c>
    </row>
    <row r="1266" spans="1:110" ht="15" customHeight="1" x14ac:dyDescent="0.35">
      <c r="A1266" t="s">
        <v>18893</v>
      </c>
      <c r="B1266" t="s">
        <v>138</v>
      </c>
      <c r="C1266" s="1">
        <v>44322</v>
      </c>
      <c r="G1266" s="1">
        <v>44330</v>
      </c>
      <c r="H1266" t="s">
        <v>125</v>
      </c>
      <c r="I1266" t="s">
        <v>4445</v>
      </c>
      <c r="J1266" t="s">
        <v>4392</v>
      </c>
      <c r="L1266" t="s">
        <v>4446</v>
      </c>
      <c r="M1266" t="s">
        <v>4447</v>
      </c>
      <c r="O1266" t="s">
        <v>1875</v>
      </c>
      <c r="P1266" t="s">
        <v>507</v>
      </c>
      <c r="Q1266" s="3">
        <v>48377</v>
      </c>
      <c r="R1266" t="s">
        <v>128</v>
      </c>
      <c r="T1266" s="4">
        <v>17346291274</v>
      </c>
      <c r="V1266" t="s">
        <v>4448</v>
      </c>
      <c r="W1266" t="s">
        <v>4449</v>
      </c>
      <c r="Y1266" t="s">
        <v>4450</v>
      </c>
      <c r="AA1266" t="s">
        <v>4451</v>
      </c>
      <c r="AB1266" t="s">
        <v>444</v>
      </c>
      <c r="AC1266" s="3" t="str">
        <f>"43537"</f>
        <v>43537</v>
      </c>
      <c r="AD1266" t="s">
        <v>128</v>
      </c>
      <c r="AF1266" s="4">
        <v>14198873550</v>
      </c>
      <c r="AH1266" t="str">
        <f>"3363"</f>
        <v>3363</v>
      </c>
      <c r="AI1266" t="s">
        <v>130</v>
      </c>
      <c r="AJ1266" t="s">
        <v>4452</v>
      </c>
      <c r="AK1266" t="s">
        <v>1468</v>
      </c>
      <c r="AL1266" t="s">
        <v>739</v>
      </c>
      <c r="AM1266" t="s">
        <v>3182</v>
      </c>
      <c r="AN1266" t="s">
        <v>656</v>
      </c>
      <c r="AO1266" t="s">
        <v>642</v>
      </c>
      <c r="AP1266" t="s">
        <v>643</v>
      </c>
      <c r="AQ1266" s="5">
        <v>30309</v>
      </c>
      <c r="AR1266" t="s">
        <v>128</v>
      </c>
      <c r="AT1266" s="4">
        <v>14048565527</v>
      </c>
      <c r="AV1266" t="s">
        <v>4453</v>
      </c>
      <c r="AW1266" t="s">
        <v>386</v>
      </c>
      <c r="AX1266" t="s">
        <v>131</v>
      </c>
      <c r="AY1266" t="s">
        <v>131</v>
      </c>
      <c r="AZ1266" t="s">
        <v>131</v>
      </c>
      <c r="BA1266" t="s">
        <v>131</v>
      </c>
      <c r="BB1266" t="s">
        <v>131</v>
      </c>
      <c r="BC1266" t="s">
        <v>131</v>
      </c>
      <c r="BD1266" t="s">
        <v>131</v>
      </c>
      <c r="BE1266" t="s">
        <v>132</v>
      </c>
      <c r="BH1266" t="s">
        <v>9215</v>
      </c>
      <c r="BI1266" t="s">
        <v>131</v>
      </c>
      <c r="BL1266" t="s">
        <v>133</v>
      </c>
      <c r="BN1266" t="s">
        <v>13069</v>
      </c>
      <c r="BO1266" t="s">
        <v>131</v>
      </c>
      <c r="BP1266" t="s">
        <v>134</v>
      </c>
      <c r="BQ1266" t="s">
        <v>131</v>
      </c>
      <c r="BS1266" t="str">
        <f t="shared" si="88"/>
        <v>N/A</v>
      </c>
      <c r="BT1266" t="s">
        <v>135</v>
      </c>
      <c r="BU1266">
        <v>84</v>
      </c>
      <c r="BV1266" t="str">
        <f>"Any occupation where required experience was gained."</f>
        <v>Any occupation where required experience was gained.</v>
      </c>
      <c r="BW1266" t="s">
        <v>135</v>
      </c>
      <c r="BX1266" t="str">
        <f>""</f>
        <v/>
      </c>
      <c r="BY1266" t="str">
        <f>""</f>
        <v/>
      </c>
      <c r="BZ1266" t="str">
        <f>""</f>
        <v/>
      </c>
      <c r="CA1266" t="s">
        <v>13070</v>
      </c>
      <c r="CB1266" t="s">
        <v>131</v>
      </c>
      <c r="CF1266" t="s">
        <v>131</v>
      </c>
      <c r="CH1266" t="str">
        <f>""</f>
        <v/>
      </c>
      <c r="CI1266" t="s">
        <v>131</v>
      </c>
      <c r="CK1266" t="s">
        <v>131</v>
      </c>
      <c r="CL1266" t="str">
        <f>""</f>
        <v/>
      </c>
      <c r="CM1266" t="str">
        <f>""</f>
        <v/>
      </c>
      <c r="CN1266" t="str">
        <f>""</f>
        <v/>
      </c>
      <c r="CO1266" t="str">
        <f>""</f>
        <v/>
      </c>
      <c r="CP1266" t="str">
        <f>"17-2141.02"</f>
        <v>17-2141.02</v>
      </c>
      <c r="CQ1266" t="s">
        <v>2705</v>
      </c>
      <c r="CR1266" t="s">
        <v>13071</v>
      </c>
      <c r="CS1266" t="s">
        <v>135</v>
      </c>
      <c r="CT1266" t="s">
        <v>18894</v>
      </c>
      <c r="CU1266" t="s">
        <v>4447</v>
      </c>
      <c r="CW1266" t="s">
        <v>1875</v>
      </c>
      <c r="CX1266" t="s">
        <v>511</v>
      </c>
      <c r="CZ1266" s="3" t="str">
        <f>"48377"</f>
        <v>48377</v>
      </c>
      <c r="DA1266" t="s">
        <v>131</v>
      </c>
      <c r="DB1266" t="str">
        <f>""</f>
        <v/>
      </c>
      <c r="DF1266" t="str">
        <f>""</f>
        <v/>
      </c>
    </row>
    <row r="1267" spans="1:110" ht="15" customHeight="1" x14ac:dyDescent="0.35">
      <c r="A1267" t="s">
        <v>13216</v>
      </c>
      <c r="B1267" t="s">
        <v>138</v>
      </c>
      <c r="C1267" s="1">
        <v>44322</v>
      </c>
      <c r="G1267" s="1">
        <v>44370</v>
      </c>
      <c r="H1267" t="s">
        <v>125</v>
      </c>
      <c r="I1267" t="s">
        <v>13217</v>
      </c>
      <c r="J1267" t="s">
        <v>689</v>
      </c>
      <c r="K1267" t="s">
        <v>13218</v>
      </c>
      <c r="L1267" t="s">
        <v>13219</v>
      </c>
      <c r="M1267" t="s">
        <v>13220</v>
      </c>
      <c r="O1267" t="s">
        <v>13061</v>
      </c>
      <c r="P1267" t="s">
        <v>178</v>
      </c>
      <c r="Q1267" s="3">
        <v>92705</v>
      </c>
      <c r="R1267" t="s">
        <v>128</v>
      </c>
      <c r="T1267" s="4">
        <v>17149722530</v>
      </c>
      <c r="V1267" t="s">
        <v>13060</v>
      </c>
      <c r="W1267" t="s">
        <v>13221</v>
      </c>
      <c r="Y1267" t="s">
        <v>13222</v>
      </c>
      <c r="AA1267" t="s">
        <v>7809</v>
      </c>
      <c r="AB1267" t="s">
        <v>172</v>
      </c>
      <c r="AC1267" s="3" t="str">
        <f>"90021"</f>
        <v>90021</v>
      </c>
      <c r="AD1267" t="s">
        <v>128</v>
      </c>
      <c r="AF1267" s="4">
        <v>17145586100</v>
      </c>
      <c r="AH1267" t="str">
        <f>"541320"</f>
        <v>541320</v>
      </c>
      <c r="AI1267" t="s">
        <v>130</v>
      </c>
      <c r="AJ1267" t="s">
        <v>6904</v>
      </c>
      <c r="AK1267" t="s">
        <v>2019</v>
      </c>
      <c r="AL1267" t="s">
        <v>13223</v>
      </c>
      <c r="AM1267" t="s">
        <v>13224</v>
      </c>
      <c r="AO1267" t="s">
        <v>13061</v>
      </c>
      <c r="AP1267" t="s">
        <v>172</v>
      </c>
      <c r="AQ1267" s="5">
        <v>92705</v>
      </c>
      <c r="AR1267" t="s">
        <v>128</v>
      </c>
      <c r="AT1267" s="4">
        <v>17149722530</v>
      </c>
      <c r="AV1267" t="s">
        <v>13062</v>
      </c>
      <c r="AW1267" t="s">
        <v>13225</v>
      </c>
      <c r="AX1267" t="s">
        <v>131</v>
      </c>
      <c r="AY1267" t="s">
        <v>131</v>
      </c>
      <c r="AZ1267" t="s">
        <v>131</v>
      </c>
      <c r="BA1267" t="s">
        <v>131</v>
      </c>
      <c r="BB1267" t="s">
        <v>131</v>
      </c>
      <c r="BC1267" t="s">
        <v>131</v>
      </c>
      <c r="BD1267" t="s">
        <v>131</v>
      </c>
      <c r="BE1267" t="s">
        <v>498</v>
      </c>
      <c r="BH1267" t="s">
        <v>9870</v>
      </c>
      <c r="BI1267" t="s">
        <v>131</v>
      </c>
      <c r="BL1267" t="s">
        <v>167</v>
      </c>
      <c r="BO1267" t="s">
        <v>131</v>
      </c>
      <c r="BP1267" t="s">
        <v>134</v>
      </c>
      <c r="BQ1267" t="s">
        <v>131</v>
      </c>
      <c r="BS1267" t="str">
        <f t="shared" si="88"/>
        <v>N/A</v>
      </c>
      <c r="BT1267" t="s">
        <v>131</v>
      </c>
      <c r="BV1267" t="str">
        <f>""</f>
        <v/>
      </c>
      <c r="BW1267" t="s">
        <v>131</v>
      </c>
      <c r="BX1267" t="str">
        <f>""</f>
        <v/>
      </c>
      <c r="BY1267" t="str">
        <f>""</f>
        <v/>
      </c>
      <c r="BZ1267" t="str">
        <f>""</f>
        <v/>
      </c>
      <c r="CA1267" t="str">
        <f>""</f>
        <v/>
      </c>
      <c r="CB1267" t="s">
        <v>131</v>
      </c>
      <c r="CF1267" t="s">
        <v>131</v>
      </c>
      <c r="CH1267" t="str">
        <f>""</f>
        <v/>
      </c>
      <c r="CI1267" t="s">
        <v>131</v>
      </c>
      <c r="CK1267" t="s">
        <v>131</v>
      </c>
      <c r="CL1267" t="str">
        <f>""</f>
        <v/>
      </c>
      <c r="CM1267" t="str">
        <f>""</f>
        <v/>
      </c>
      <c r="CN1267" t="str">
        <f>""</f>
        <v/>
      </c>
      <c r="CO1267" t="str">
        <f>""</f>
        <v/>
      </c>
      <c r="CP1267" t="str">
        <f>"43-3031.00"</f>
        <v>43-3031.00</v>
      </c>
      <c r="CQ1267" t="s">
        <v>1783</v>
      </c>
      <c r="CR1267" t="s">
        <v>392</v>
      </c>
      <c r="CS1267" t="s">
        <v>131</v>
      </c>
      <c r="CU1267" t="s">
        <v>13226</v>
      </c>
      <c r="CW1267" t="s">
        <v>7809</v>
      </c>
      <c r="CX1267" t="s">
        <v>172</v>
      </c>
      <c r="CZ1267" s="3" t="str">
        <f>"90021"</f>
        <v>90021</v>
      </c>
      <c r="DA1267" t="s">
        <v>131</v>
      </c>
      <c r="DB1267" t="str">
        <f>""</f>
        <v/>
      </c>
      <c r="DF1267" t="str">
        <f>""</f>
        <v/>
      </c>
    </row>
    <row r="1268" spans="1:110" ht="15" customHeight="1" x14ac:dyDescent="0.35">
      <c r="A1268" t="s">
        <v>16595</v>
      </c>
      <c r="B1268" t="s">
        <v>138</v>
      </c>
      <c r="C1268" s="1">
        <v>44322</v>
      </c>
      <c r="G1268" s="1">
        <v>44325</v>
      </c>
      <c r="H1268" t="s">
        <v>125</v>
      </c>
      <c r="I1268" t="s">
        <v>5322</v>
      </c>
      <c r="J1268" t="s">
        <v>1060</v>
      </c>
      <c r="L1268" t="s">
        <v>5441</v>
      </c>
      <c r="M1268" t="s">
        <v>5323</v>
      </c>
      <c r="O1268" t="s">
        <v>1506</v>
      </c>
      <c r="P1268" t="s">
        <v>178</v>
      </c>
      <c r="Q1268" s="3">
        <v>94085</v>
      </c>
      <c r="R1268" t="s">
        <v>128</v>
      </c>
      <c r="T1268" s="4">
        <v>14089916200</v>
      </c>
      <c r="V1268" t="s">
        <v>5324</v>
      </c>
      <c r="W1268" t="s">
        <v>5442</v>
      </c>
      <c r="Y1268" t="s">
        <v>6763</v>
      </c>
      <c r="AA1268" t="s">
        <v>1506</v>
      </c>
      <c r="AB1268" t="s">
        <v>172</v>
      </c>
      <c r="AC1268" s="3" t="str">
        <f>"94085"</f>
        <v>94085</v>
      </c>
      <c r="AD1268" t="s">
        <v>128</v>
      </c>
      <c r="AF1268" s="4">
        <v>14089916200</v>
      </c>
      <c r="AH1268" t="str">
        <f>"54171"</f>
        <v>54171</v>
      </c>
      <c r="AI1268" t="s">
        <v>130</v>
      </c>
      <c r="AJ1268" t="s">
        <v>3795</v>
      </c>
      <c r="AK1268" t="s">
        <v>3796</v>
      </c>
      <c r="AM1268" t="s">
        <v>2000</v>
      </c>
      <c r="AN1268" t="s">
        <v>565</v>
      </c>
      <c r="AO1268" t="s">
        <v>220</v>
      </c>
      <c r="AP1268" t="s">
        <v>172</v>
      </c>
      <c r="AQ1268" s="5">
        <v>94104</v>
      </c>
      <c r="AR1268" t="s">
        <v>128</v>
      </c>
      <c r="AT1268" s="4">
        <v>14157717500</v>
      </c>
      <c r="AV1268" t="s">
        <v>5325</v>
      </c>
      <c r="AW1268" t="s">
        <v>5443</v>
      </c>
      <c r="AX1268" t="s">
        <v>131</v>
      </c>
      <c r="AY1268" t="s">
        <v>131</v>
      </c>
      <c r="AZ1268" t="s">
        <v>131</v>
      </c>
      <c r="BA1268" t="s">
        <v>131</v>
      </c>
      <c r="BB1268" t="s">
        <v>131</v>
      </c>
      <c r="BC1268" t="s">
        <v>131</v>
      </c>
      <c r="BD1268" t="s">
        <v>131</v>
      </c>
      <c r="BE1268" t="s">
        <v>132</v>
      </c>
      <c r="BH1268" t="s">
        <v>3620</v>
      </c>
      <c r="BI1268" t="s">
        <v>131</v>
      </c>
      <c r="BL1268" t="s">
        <v>188</v>
      </c>
      <c r="BN1268" t="s">
        <v>14759</v>
      </c>
      <c r="BO1268" t="s">
        <v>131</v>
      </c>
      <c r="BP1268" t="s">
        <v>134</v>
      </c>
      <c r="BQ1268" t="s">
        <v>131</v>
      </c>
      <c r="BS1268" t="str">
        <f t="shared" si="88"/>
        <v>N/A</v>
      </c>
      <c r="BT1268" t="s">
        <v>135</v>
      </c>
      <c r="BU1268">
        <v>24</v>
      </c>
      <c r="BV1268" t="str">
        <f>"In job offered, or a related position.	"</f>
        <v xml:space="preserve">In job offered, or a related position.	</v>
      </c>
      <c r="BW1268" t="s">
        <v>135</v>
      </c>
      <c r="BX1268" t="str">
        <f>""</f>
        <v/>
      </c>
      <c r="BY1268" t="str">
        <f>""</f>
        <v/>
      </c>
      <c r="BZ1268" t="str">
        <f>""</f>
        <v/>
      </c>
      <c r="CA1268" s="2" t="s">
        <v>14760</v>
      </c>
      <c r="CB1268" t="s">
        <v>131</v>
      </c>
      <c r="CF1268" t="s">
        <v>131</v>
      </c>
      <c r="CH1268" t="str">
        <f>""</f>
        <v/>
      </c>
      <c r="CI1268" t="s">
        <v>131</v>
      </c>
      <c r="CK1268" t="s">
        <v>131</v>
      </c>
      <c r="CL1268" t="str">
        <f>""</f>
        <v/>
      </c>
      <c r="CM1268" t="str">
        <f>""</f>
        <v/>
      </c>
      <c r="CN1268" t="str">
        <f>""</f>
        <v/>
      </c>
      <c r="CO1268" t="str">
        <f>""</f>
        <v/>
      </c>
      <c r="CP1268" t="str">
        <f>"15-1132.00"</f>
        <v>15-1132.00</v>
      </c>
      <c r="CQ1268" t="s">
        <v>198</v>
      </c>
      <c r="CS1268" t="s">
        <v>131</v>
      </c>
      <c r="CU1268" t="s">
        <v>5323</v>
      </c>
      <c r="CW1268" t="s">
        <v>1506</v>
      </c>
      <c r="CX1268" t="s">
        <v>172</v>
      </c>
      <c r="CZ1268" s="3" t="str">
        <f>"94085"</f>
        <v>94085</v>
      </c>
      <c r="DA1268" t="s">
        <v>131</v>
      </c>
      <c r="DB1268" t="str">
        <f>""</f>
        <v/>
      </c>
      <c r="DF1268" t="str">
        <f>""</f>
        <v/>
      </c>
    </row>
    <row r="1269" spans="1:110" ht="15" customHeight="1" x14ac:dyDescent="0.35">
      <c r="A1269" t="s">
        <v>19815</v>
      </c>
      <c r="B1269" t="s">
        <v>138</v>
      </c>
      <c r="C1269" s="1">
        <v>44322</v>
      </c>
      <c r="G1269" s="1">
        <v>44370</v>
      </c>
      <c r="H1269" t="s">
        <v>125</v>
      </c>
      <c r="I1269" t="s">
        <v>19327</v>
      </c>
      <c r="J1269" t="s">
        <v>8232</v>
      </c>
      <c r="L1269" t="s">
        <v>8219</v>
      </c>
      <c r="M1269" t="s">
        <v>13226</v>
      </c>
      <c r="O1269" t="s">
        <v>7809</v>
      </c>
      <c r="P1269" t="s">
        <v>178</v>
      </c>
      <c r="Q1269" s="3">
        <v>90021</v>
      </c>
      <c r="R1269" t="s">
        <v>128</v>
      </c>
      <c r="T1269" s="4">
        <v>17148000400</v>
      </c>
      <c r="V1269" t="s">
        <v>13060</v>
      </c>
      <c r="W1269" t="s">
        <v>13221</v>
      </c>
      <c r="Y1269" t="s">
        <v>13226</v>
      </c>
      <c r="AA1269" t="s">
        <v>7809</v>
      </c>
      <c r="AB1269" t="s">
        <v>172</v>
      </c>
      <c r="AC1269" s="3" t="str">
        <f>"90021"</f>
        <v>90021</v>
      </c>
      <c r="AD1269" t="s">
        <v>128</v>
      </c>
      <c r="AF1269" s="4">
        <v>17145586100</v>
      </c>
      <c r="AH1269" t="str">
        <f>"541320"</f>
        <v>541320</v>
      </c>
      <c r="AI1269" t="s">
        <v>130</v>
      </c>
      <c r="AJ1269" t="s">
        <v>14935</v>
      </c>
      <c r="AK1269" t="s">
        <v>2019</v>
      </c>
      <c r="AL1269" t="s">
        <v>3975</v>
      </c>
      <c r="AM1269" t="s">
        <v>13224</v>
      </c>
      <c r="AN1269" t="s">
        <v>10456</v>
      </c>
      <c r="AO1269" t="s">
        <v>13061</v>
      </c>
      <c r="AP1269" t="s">
        <v>172</v>
      </c>
      <c r="AQ1269" s="5">
        <v>92705</v>
      </c>
      <c r="AR1269" t="s">
        <v>128</v>
      </c>
      <c r="AT1269" s="4">
        <v>17149722530</v>
      </c>
      <c r="AV1269" t="s">
        <v>13062</v>
      </c>
      <c r="AW1269" t="s">
        <v>19816</v>
      </c>
      <c r="AX1269" t="s">
        <v>131</v>
      </c>
      <c r="AY1269" t="s">
        <v>131</v>
      </c>
      <c r="AZ1269" t="s">
        <v>131</v>
      </c>
      <c r="BA1269" t="s">
        <v>131</v>
      </c>
      <c r="BB1269" t="s">
        <v>131</v>
      </c>
      <c r="BC1269" t="s">
        <v>131</v>
      </c>
      <c r="BD1269" t="s">
        <v>131</v>
      </c>
      <c r="BE1269" t="s">
        <v>1948</v>
      </c>
      <c r="BH1269" t="s">
        <v>9870</v>
      </c>
      <c r="BI1269" t="s">
        <v>131</v>
      </c>
      <c r="BL1269" t="s">
        <v>167</v>
      </c>
      <c r="BO1269" t="s">
        <v>131</v>
      </c>
      <c r="BP1269" t="s">
        <v>134</v>
      </c>
      <c r="BQ1269" t="s">
        <v>131</v>
      </c>
      <c r="BS1269" t="str">
        <f t="shared" si="88"/>
        <v>N/A</v>
      </c>
      <c r="BT1269" t="s">
        <v>131</v>
      </c>
      <c r="BV1269" t="str">
        <f>""</f>
        <v/>
      </c>
      <c r="BW1269" t="s">
        <v>131</v>
      </c>
      <c r="BX1269" t="str">
        <f>""</f>
        <v/>
      </c>
      <c r="BY1269" t="str">
        <f>""</f>
        <v/>
      </c>
      <c r="BZ1269" t="str">
        <f>""</f>
        <v/>
      </c>
      <c r="CA1269" t="str">
        <f>""</f>
        <v/>
      </c>
      <c r="CB1269" t="s">
        <v>131</v>
      </c>
      <c r="CF1269" t="s">
        <v>131</v>
      </c>
      <c r="CH1269" t="str">
        <f>""</f>
        <v/>
      </c>
      <c r="CI1269" t="s">
        <v>131</v>
      </c>
      <c r="CK1269" t="s">
        <v>131</v>
      </c>
      <c r="CL1269" t="str">
        <f>""</f>
        <v/>
      </c>
      <c r="CM1269" t="str">
        <f>""</f>
        <v/>
      </c>
      <c r="CN1269" t="str">
        <f>""</f>
        <v/>
      </c>
      <c r="CO1269" t="str">
        <f>""</f>
        <v/>
      </c>
      <c r="CP1269" t="str">
        <f>"43-3031.00"</f>
        <v>43-3031.00</v>
      </c>
      <c r="CQ1269" t="s">
        <v>1783</v>
      </c>
      <c r="CR1269" t="s">
        <v>392</v>
      </c>
      <c r="CS1269" t="s">
        <v>131</v>
      </c>
      <c r="CU1269" t="s">
        <v>13226</v>
      </c>
      <c r="CW1269" t="s">
        <v>7809</v>
      </c>
      <c r="CX1269" t="s">
        <v>172</v>
      </c>
      <c r="CZ1269" s="3" t="str">
        <f>"90021"</f>
        <v>90021</v>
      </c>
      <c r="DA1269" t="s">
        <v>131</v>
      </c>
      <c r="DB1269" t="str">
        <f>""</f>
        <v/>
      </c>
      <c r="DF1269" t="str">
        <f>""</f>
        <v/>
      </c>
    </row>
    <row r="1270" spans="1:110" ht="15" customHeight="1" x14ac:dyDescent="0.35">
      <c r="A1270" t="s">
        <v>2630</v>
      </c>
      <c r="B1270" t="s">
        <v>138</v>
      </c>
      <c r="C1270" s="1">
        <v>44322</v>
      </c>
      <c r="G1270" s="1">
        <v>44333</v>
      </c>
      <c r="H1270" t="s">
        <v>125</v>
      </c>
      <c r="I1270" t="s">
        <v>2631</v>
      </c>
      <c r="J1270" t="s">
        <v>1459</v>
      </c>
      <c r="L1270" t="s">
        <v>2632</v>
      </c>
      <c r="M1270" t="s">
        <v>2633</v>
      </c>
      <c r="N1270" t="s">
        <v>2634</v>
      </c>
      <c r="O1270" t="s">
        <v>2635</v>
      </c>
      <c r="P1270" t="s">
        <v>2545</v>
      </c>
      <c r="Q1270" s="3">
        <v>5403</v>
      </c>
      <c r="R1270" t="s">
        <v>128</v>
      </c>
      <c r="T1270" s="4">
        <v>18023831500</v>
      </c>
      <c r="U1270">
        <v>101</v>
      </c>
      <c r="V1270" t="s">
        <v>2636</v>
      </c>
      <c r="W1270" t="s">
        <v>2637</v>
      </c>
      <c r="Y1270" t="s">
        <v>2633</v>
      </c>
      <c r="Z1270" t="s">
        <v>2634</v>
      </c>
      <c r="AA1270" t="s">
        <v>2635</v>
      </c>
      <c r="AB1270" t="s">
        <v>2549</v>
      </c>
      <c r="AC1270" s="3" t="str">
        <f>"05403"</f>
        <v>05403</v>
      </c>
      <c r="AD1270" t="s">
        <v>128</v>
      </c>
      <c r="AF1270" s="4">
        <v>18023831500</v>
      </c>
      <c r="AG1270">
        <v>101</v>
      </c>
      <c r="AH1270" t="str">
        <f>"54151"</f>
        <v>54151</v>
      </c>
      <c r="AI1270" t="s">
        <v>167</v>
      </c>
      <c r="AX1270" t="s">
        <v>131</v>
      </c>
      <c r="AY1270" t="s">
        <v>131</v>
      </c>
      <c r="AZ1270" t="s">
        <v>131</v>
      </c>
      <c r="BA1270" t="s">
        <v>131</v>
      </c>
      <c r="BB1270" t="s">
        <v>131</v>
      </c>
      <c r="BC1270" t="s">
        <v>131</v>
      </c>
      <c r="BD1270" t="s">
        <v>131</v>
      </c>
      <c r="BE1270" t="s">
        <v>132</v>
      </c>
      <c r="BH1270" t="s">
        <v>1158</v>
      </c>
      <c r="BI1270" t="s">
        <v>131</v>
      </c>
      <c r="BL1270" t="s">
        <v>188</v>
      </c>
      <c r="BN1270" t="s">
        <v>2638</v>
      </c>
      <c r="BO1270" t="s">
        <v>131</v>
      </c>
      <c r="BP1270" t="s">
        <v>134</v>
      </c>
      <c r="BQ1270" t="s">
        <v>131</v>
      </c>
      <c r="BS1270" t="str">
        <f t="shared" si="88"/>
        <v>N/A</v>
      </c>
      <c r="BT1270" t="s">
        <v>135</v>
      </c>
      <c r="BU1270">
        <v>24</v>
      </c>
      <c r="BV1270" t="str">
        <f>"Occupations related to programmer analyst/software development/systems engineer"</f>
        <v>Occupations related to programmer analyst/software development/systems engineer</v>
      </c>
      <c r="BW1270" t="s">
        <v>135</v>
      </c>
      <c r="BX1270" t="str">
        <f>""</f>
        <v/>
      </c>
      <c r="BY1270" t="str">
        <f>""</f>
        <v/>
      </c>
      <c r="BZ1270" t="str">
        <f>""</f>
        <v/>
      </c>
      <c r="CA1270" t="s">
        <v>2639</v>
      </c>
      <c r="CB1270" t="s">
        <v>135</v>
      </c>
      <c r="CC1270" t="s">
        <v>133</v>
      </c>
      <c r="CE1270" t="s">
        <v>2638</v>
      </c>
      <c r="CF1270" t="s">
        <v>131</v>
      </c>
      <c r="CH1270" t="str">
        <f>"N/A"</f>
        <v>N/A</v>
      </c>
      <c r="CI1270" t="s">
        <v>135</v>
      </c>
      <c r="CJ1270">
        <v>60</v>
      </c>
      <c r="CK1270" t="s">
        <v>135</v>
      </c>
      <c r="CL1270" t="str">
        <f>""</f>
        <v/>
      </c>
      <c r="CM1270" t="str">
        <f>""</f>
        <v/>
      </c>
      <c r="CN1270" t="str">
        <f>""</f>
        <v/>
      </c>
      <c r="CO1270" t="s">
        <v>2639</v>
      </c>
      <c r="CP1270" t="str">
        <f>"15-1199.09"</f>
        <v>15-1199.09</v>
      </c>
      <c r="CQ1270" t="s">
        <v>697</v>
      </c>
      <c r="CR1270" t="s">
        <v>1632</v>
      </c>
      <c r="CS1270" t="s">
        <v>135</v>
      </c>
      <c r="CT1270" t="s">
        <v>2640</v>
      </c>
      <c r="CU1270" t="s">
        <v>2633</v>
      </c>
      <c r="CV1270" t="s">
        <v>2634</v>
      </c>
      <c r="CW1270" t="s">
        <v>2641</v>
      </c>
      <c r="CX1270" t="s">
        <v>2549</v>
      </c>
      <c r="CZ1270" s="3" t="str">
        <f>"05403"</f>
        <v>05403</v>
      </c>
      <c r="DA1270" t="s">
        <v>135</v>
      </c>
      <c r="DB1270" t="str">
        <f>""</f>
        <v/>
      </c>
      <c r="DF1270" t="str">
        <f>""</f>
        <v/>
      </c>
    </row>
    <row r="1271" spans="1:110" ht="15" customHeight="1" x14ac:dyDescent="0.35">
      <c r="A1271" t="s">
        <v>18307</v>
      </c>
      <c r="B1271" t="s">
        <v>138</v>
      </c>
      <c r="C1271" s="1">
        <v>44322</v>
      </c>
      <c r="G1271" s="1">
        <v>44329</v>
      </c>
      <c r="H1271" t="s">
        <v>125</v>
      </c>
      <c r="I1271" t="s">
        <v>3578</v>
      </c>
      <c r="J1271" t="s">
        <v>3579</v>
      </c>
      <c r="L1271" t="s">
        <v>3580</v>
      </c>
      <c r="M1271" t="s">
        <v>3581</v>
      </c>
      <c r="N1271" t="s">
        <v>3582</v>
      </c>
      <c r="O1271" t="s">
        <v>3583</v>
      </c>
      <c r="P1271" t="s">
        <v>412</v>
      </c>
      <c r="Q1271" s="3">
        <v>75034</v>
      </c>
      <c r="R1271" t="s">
        <v>128</v>
      </c>
      <c r="T1271" s="4">
        <v>12148886800</v>
      </c>
      <c r="V1271" t="s">
        <v>3584</v>
      </c>
      <c r="W1271" t="s">
        <v>3585</v>
      </c>
      <c r="Y1271" t="s">
        <v>3586</v>
      </c>
      <c r="Z1271" t="s">
        <v>3587</v>
      </c>
      <c r="AA1271" t="s">
        <v>2212</v>
      </c>
      <c r="AB1271" t="s">
        <v>400</v>
      </c>
      <c r="AC1271" s="3" t="str">
        <f>"75034"</f>
        <v>75034</v>
      </c>
      <c r="AD1271" t="s">
        <v>128</v>
      </c>
      <c r="AF1271" s="4">
        <v>12148886800</v>
      </c>
      <c r="AH1271" t="str">
        <f>"541511"</f>
        <v>541511</v>
      </c>
      <c r="AI1271" t="s">
        <v>130</v>
      </c>
      <c r="AJ1271" t="s">
        <v>3588</v>
      </c>
      <c r="AK1271" t="s">
        <v>250</v>
      </c>
      <c r="AL1271" t="s">
        <v>3589</v>
      </c>
      <c r="AM1271" t="s">
        <v>3590</v>
      </c>
      <c r="AN1271" t="s">
        <v>3591</v>
      </c>
      <c r="AO1271" t="s">
        <v>399</v>
      </c>
      <c r="AP1271" t="s">
        <v>400</v>
      </c>
      <c r="AQ1271" s="5">
        <v>75287</v>
      </c>
      <c r="AR1271" t="s">
        <v>128</v>
      </c>
      <c r="AT1271" s="4">
        <v>19722414698</v>
      </c>
      <c r="AV1271" t="s">
        <v>3592</v>
      </c>
      <c r="AW1271" t="s">
        <v>3593</v>
      </c>
      <c r="AX1271" t="s">
        <v>131</v>
      </c>
      <c r="AY1271" t="s">
        <v>131</v>
      </c>
      <c r="AZ1271" t="s">
        <v>131</v>
      </c>
      <c r="BA1271" t="s">
        <v>131</v>
      </c>
      <c r="BB1271" t="s">
        <v>131</v>
      </c>
      <c r="BC1271" t="s">
        <v>131</v>
      </c>
      <c r="BD1271" t="s">
        <v>131</v>
      </c>
      <c r="BE1271" t="s">
        <v>132</v>
      </c>
      <c r="BH1271" t="s">
        <v>3594</v>
      </c>
      <c r="BI1271" t="s">
        <v>131</v>
      </c>
      <c r="BL1271" t="s">
        <v>188</v>
      </c>
      <c r="BN1271" t="s">
        <v>8416</v>
      </c>
      <c r="BO1271" t="s">
        <v>131</v>
      </c>
      <c r="BP1271" t="s">
        <v>134</v>
      </c>
      <c r="BQ1271" t="s">
        <v>131</v>
      </c>
      <c r="BS1271" t="str">
        <f t="shared" si="88"/>
        <v>N/A</v>
      </c>
      <c r="BT1271" t="s">
        <v>131</v>
      </c>
      <c r="BV1271" t="str">
        <f>""</f>
        <v/>
      </c>
      <c r="BW1271" t="s">
        <v>131</v>
      </c>
      <c r="BX1271" t="str">
        <f>""</f>
        <v/>
      </c>
      <c r="BY1271" t="str">
        <f>""</f>
        <v/>
      </c>
      <c r="BZ1271" t="str">
        <f>""</f>
        <v/>
      </c>
      <c r="CA1271" t="str">
        <f>""</f>
        <v/>
      </c>
      <c r="CB1271" t="s">
        <v>131</v>
      </c>
      <c r="CF1271" t="s">
        <v>131</v>
      </c>
      <c r="CH1271" t="str">
        <f>""</f>
        <v/>
      </c>
      <c r="CI1271" t="s">
        <v>131</v>
      </c>
      <c r="CK1271" t="s">
        <v>131</v>
      </c>
      <c r="CL1271" t="str">
        <f>""</f>
        <v/>
      </c>
      <c r="CM1271" t="str">
        <f>""</f>
        <v/>
      </c>
      <c r="CN1271" t="str">
        <f>""</f>
        <v/>
      </c>
      <c r="CO1271" t="str">
        <f>""</f>
        <v/>
      </c>
      <c r="CP1271" t="str">
        <f>"15-1141.00"</f>
        <v>15-1141.00</v>
      </c>
      <c r="CQ1271" t="s">
        <v>1576</v>
      </c>
      <c r="CR1271" t="s">
        <v>3594</v>
      </c>
      <c r="CS1271" t="s">
        <v>135</v>
      </c>
      <c r="CT1271" t="s">
        <v>3595</v>
      </c>
      <c r="CU1271" t="s">
        <v>3596</v>
      </c>
      <c r="CV1271" t="s">
        <v>3595</v>
      </c>
      <c r="CW1271" t="s">
        <v>2212</v>
      </c>
      <c r="CX1271" t="s">
        <v>400</v>
      </c>
      <c r="CZ1271" s="3" t="str">
        <f>"75034"</f>
        <v>75034</v>
      </c>
      <c r="DA1271" t="s">
        <v>135</v>
      </c>
      <c r="DB1271" t="str">
        <f>""</f>
        <v/>
      </c>
      <c r="DF1271" t="str">
        <f>""</f>
        <v/>
      </c>
    </row>
    <row r="1272" spans="1:110" ht="15" customHeight="1" x14ac:dyDescent="0.35">
      <c r="A1272" t="s">
        <v>18555</v>
      </c>
      <c r="B1272" t="s">
        <v>138</v>
      </c>
      <c r="C1272" s="1">
        <v>44322</v>
      </c>
      <c r="G1272" s="1">
        <v>44323</v>
      </c>
      <c r="H1272" t="s">
        <v>125</v>
      </c>
      <c r="I1272" t="s">
        <v>6687</v>
      </c>
      <c r="J1272" t="s">
        <v>6688</v>
      </c>
      <c r="L1272" t="s">
        <v>6689</v>
      </c>
      <c r="M1272" t="s">
        <v>6690</v>
      </c>
      <c r="O1272" t="s">
        <v>6691</v>
      </c>
      <c r="P1272" t="s">
        <v>178</v>
      </c>
      <c r="Q1272" s="3">
        <v>95032</v>
      </c>
      <c r="R1272" t="s">
        <v>128</v>
      </c>
      <c r="T1272" s="4">
        <v>14083556000</v>
      </c>
      <c r="V1272" t="s">
        <v>6692</v>
      </c>
      <c r="W1272" t="s">
        <v>6693</v>
      </c>
      <c r="X1272" t="s">
        <v>6102</v>
      </c>
      <c r="Y1272" t="s">
        <v>6694</v>
      </c>
      <c r="AA1272" t="s">
        <v>6695</v>
      </c>
      <c r="AB1272" t="s">
        <v>172</v>
      </c>
      <c r="AC1272" s="3" t="str">
        <f>"95032"</f>
        <v>95032</v>
      </c>
      <c r="AD1272" t="s">
        <v>128</v>
      </c>
      <c r="AF1272" s="4">
        <v>14083556000</v>
      </c>
      <c r="AH1272" t="str">
        <f>"54151"</f>
        <v>54151</v>
      </c>
      <c r="AI1272" t="s">
        <v>130</v>
      </c>
      <c r="AJ1272" t="s">
        <v>1185</v>
      </c>
      <c r="AK1272" t="s">
        <v>1186</v>
      </c>
      <c r="AL1272" t="s">
        <v>1187</v>
      </c>
      <c r="AM1272" t="s">
        <v>1188</v>
      </c>
      <c r="AO1272" t="s">
        <v>1189</v>
      </c>
      <c r="AP1272" t="s">
        <v>172</v>
      </c>
      <c r="AQ1272" s="5">
        <v>95054</v>
      </c>
      <c r="AR1272" t="s">
        <v>128</v>
      </c>
      <c r="AT1272" s="4">
        <v>14089700100</v>
      </c>
      <c r="AV1272" t="s">
        <v>6696</v>
      </c>
      <c r="AW1272" t="s">
        <v>1191</v>
      </c>
      <c r="AX1272" t="s">
        <v>131</v>
      </c>
      <c r="AY1272" t="s">
        <v>131</v>
      </c>
      <c r="AZ1272" t="s">
        <v>131</v>
      </c>
      <c r="BA1272" t="s">
        <v>131</v>
      </c>
      <c r="BB1272" t="s">
        <v>131</v>
      </c>
      <c r="BC1272" t="s">
        <v>131</v>
      </c>
      <c r="BD1272" t="s">
        <v>131</v>
      </c>
      <c r="BE1272" t="s">
        <v>132</v>
      </c>
      <c r="BH1272" t="s">
        <v>1928</v>
      </c>
      <c r="BI1272" t="s">
        <v>131</v>
      </c>
      <c r="BL1272" t="s">
        <v>133</v>
      </c>
      <c r="BN1272" t="s">
        <v>9705</v>
      </c>
      <c r="BO1272" t="s">
        <v>131</v>
      </c>
      <c r="BP1272" t="s">
        <v>134</v>
      </c>
      <c r="BQ1272" t="s">
        <v>131</v>
      </c>
      <c r="BS1272" t="str">
        <f t="shared" si="88"/>
        <v>N/A</v>
      </c>
      <c r="BT1272" t="s">
        <v>135</v>
      </c>
      <c r="BU1272">
        <v>60</v>
      </c>
      <c r="BV1272" t="str">
        <f>"Project Manager, Program Manager, Consultant, or related."</f>
        <v>Project Manager, Program Manager, Consultant, or related.</v>
      </c>
      <c r="BW1272" t="s">
        <v>131</v>
      </c>
      <c r="BX1272" t="str">
        <f>""</f>
        <v/>
      </c>
      <c r="BY1272" t="str">
        <f>""</f>
        <v/>
      </c>
      <c r="BZ1272" t="str">
        <f>""</f>
        <v/>
      </c>
      <c r="CA1272" t="str">
        <f>""</f>
        <v/>
      </c>
      <c r="CB1272" t="s">
        <v>131</v>
      </c>
      <c r="CF1272" t="s">
        <v>131</v>
      </c>
      <c r="CH1272" t="str">
        <f>""</f>
        <v/>
      </c>
      <c r="CI1272" t="s">
        <v>131</v>
      </c>
      <c r="CK1272" t="s">
        <v>131</v>
      </c>
      <c r="CL1272" t="str">
        <f>""</f>
        <v/>
      </c>
      <c r="CM1272" t="str">
        <f>""</f>
        <v/>
      </c>
      <c r="CN1272" t="str">
        <f>""</f>
        <v/>
      </c>
      <c r="CO1272" t="str">
        <f>""</f>
        <v/>
      </c>
      <c r="CP1272" t="str">
        <f>"15-1199.09"</f>
        <v>15-1199.09</v>
      </c>
      <c r="CQ1272" t="s">
        <v>697</v>
      </c>
      <c r="CR1272" t="s">
        <v>1928</v>
      </c>
      <c r="CS1272" t="s">
        <v>135</v>
      </c>
      <c r="CT1272" t="s">
        <v>6697</v>
      </c>
      <c r="CU1272" t="s">
        <v>6698</v>
      </c>
      <c r="CV1272" t="s">
        <v>16259</v>
      </c>
      <c r="CW1272" t="s">
        <v>1447</v>
      </c>
      <c r="CX1272" t="s">
        <v>400</v>
      </c>
      <c r="CZ1272" s="3" t="str">
        <f>"75024"</f>
        <v>75024</v>
      </c>
      <c r="DA1272" t="s">
        <v>131</v>
      </c>
      <c r="DB1272" t="str">
        <f>""</f>
        <v/>
      </c>
      <c r="DF1272" t="str">
        <f>""</f>
        <v/>
      </c>
    </row>
    <row r="1273" spans="1:110" ht="15" customHeight="1" x14ac:dyDescent="0.35">
      <c r="A1273" t="s">
        <v>18412</v>
      </c>
      <c r="B1273" t="s">
        <v>138</v>
      </c>
      <c r="C1273" s="1">
        <v>44322</v>
      </c>
      <c r="G1273" s="1">
        <v>44322</v>
      </c>
      <c r="H1273" t="s">
        <v>125</v>
      </c>
      <c r="I1273" t="s">
        <v>1187</v>
      </c>
      <c r="J1273" t="s">
        <v>9546</v>
      </c>
      <c r="K1273" t="s">
        <v>134</v>
      </c>
      <c r="L1273" t="s">
        <v>9547</v>
      </c>
      <c r="M1273" t="s">
        <v>9548</v>
      </c>
      <c r="O1273" t="s">
        <v>1189</v>
      </c>
      <c r="P1273" t="s">
        <v>178</v>
      </c>
      <c r="Q1273" s="3">
        <v>95054</v>
      </c>
      <c r="R1273" t="s">
        <v>128</v>
      </c>
      <c r="T1273" s="4">
        <v>14082167010</v>
      </c>
      <c r="V1273" t="s">
        <v>9549</v>
      </c>
      <c r="W1273" t="s">
        <v>9550</v>
      </c>
      <c r="X1273" t="s">
        <v>134</v>
      </c>
      <c r="Y1273" t="s">
        <v>9551</v>
      </c>
      <c r="AA1273" t="s">
        <v>1189</v>
      </c>
      <c r="AB1273" t="s">
        <v>172</v>
      </c>
      <c r="AC1273" s="3" t="str">
        <f>"95054"</f>
        <v>95054</v>
      </c>
      <c r="AD1273" t="s">
        <v>128</v>
      </c>
      <c r="AF1273" s="4">
        <v>14082167010</v>
      </c>
      <c r="AH1273" t="str">
        <f>"54151"</f>
        <v>54151</v>
      </c>
      <c r="AI1273" t="s">
        <v>130</v>
      </c>
      <c r="AJ1273" t="s">
        <v>1185</v>
      </c>
      <c r="AK1273" t="s">
        <v>1186</v>
      </c>
      <c r="AL1273" t="s">
        <v>1187</v>
      </c>
      <c r="AM1273" t="s">
        <v>1188</v>
      </c>
      <c r="AO1273" t="s">
        <v>1189</v>
      </c>
      <c r="AP1273" t="s">
        <v>172</v>
      </c>
      <c r="AQ1273" s="5">
        <v>95054</v>
      </c>
      <c r="AR1273" t="s">
        <v>128</v>
      </c>
      <c r="AT1273" s="4">
        <v>14089700100</v>
      </c>
      <c r="AV1273" t="s">
        <v>6696</v>
      </c>
      <c r="AW1273" t="s">
        <v>1191</v>
      </c>
      <c r="AX1273" t="s">
        <v>131</v>
      </c>
      <c r="AY1273" t="s">
        <v>131</v>
      </c>
      <c r="AZ1273" t="s">
        <v>131</v>
      </c>
      <c r="BA1273" t="s">
        <v>131</v>
      </c>
      <c r="BB1273" t="s">
        <v>131</v>
      </c>
      <c r="BC1273" t="s">
        <v>131</v>
      </c>
      <c r="BD1273" t="s">
        <v>131</v>
      </c>
      <c r="BE1273" t="s">
        <v>132</v>
      </c>
      <c r="BH1273" t="s">
        <v>9552</v>
      </c>
      <c r="BI1273" t="s">
        <v>131</v>
      </c>
      <c r="BL1273" t="s">
        <v>133</v>
      </c>
      <c r="BN1273" t="s">
        <v>18413</v>
      </c>
      <c r="BO1273" t="s">
        <v>131</v>
      </c>
      <c r="BP1273" t="s">
        <v>134</v>
      </c>
      <c r="BQ1273" t="s">
        <v>131</v>
      </c>
      <c r="BS1273" t="str">
        <f t="shared" si="88"/>
        <v>N/A</v>
      </c>
      <c r="BT1273" t="s">
        <v>135</v>
      </c>
      <c r="BU1273">
        <v>60</v>
      </c>
      <c r="BV1273" t="str">
        <f>"Director, Executive Director, Sr. Manager or related Field. "</f>
        <v xml:space="preserve">Director, Executive Director, Sr. Manager or related Field. </v>
      </c>
      <c r="BW1273" t="s">
        <v>131</v>
      </c>
      <c r="BX1273" t="str">
        <f>""</f>
        <v/>
      </c>
      <c r="BY1273" t="str">
        <f>""</f>
        <v/>
      </c>
      <c r="BZ1273" t="str">
        <f>""</f>
        <v/>
      </c>
      <c r="CA1273" t="str">
        <f>""</f>
        <v/>
      </c>
      <c r="CB1273" t="s">
        <v>131</v>
      </c>
      <c r="CF1273" t="s">
        <v>131</v>
      </c>
      <c r="CH1273" t="str">
        <f>""</f>
        <v/>
      </c>
      <c r="CI1273" t="s">
        <v>131</v>
      </c>
      <c r="CK1273" t="s">
        <v>131</v>
      </c>
      <c r="CL1273" t="str">
        <f>""</f>
        <v/>
      </c>
      <c r="CM1273" t="str">
        <f>""</f>
        <v/>
      </c>
      <c r="CN1273" t="str">
        <f>""</f>
        <v/>
      </c>
      <c r="CO1273" t="str">
        <f>""</f>
        <v/>
      </c>
      <c r="CP1273" t="str">
        <f>"15-1199.09"</f>
        <v>15-1199.09</v>
      </c>
      <c r="CQ1273" t="s">
        <v>697</v>
      </c>
      <c r="CR1273" t="s">
        <v>9552</v>
      </c>
      <c r="CS1273" t="s">
        <v>135</v>
      </c>
      <c r="CT1273" t="s">
        <v>9554</v>
      </c>
      <c r="CU1273" t="s">
        <v>12927</v>
      </c>
      <c r="CV1273" t="s">
        <v>9555</v>
      </c>
      <c r="CW1273" t="s">
        <v>650</v>
      </c>
      <c r="CX1273" t="s">
        <v>172</v>
      </c>
      <c r="CZ1273" s="3" t="str">
        <f>"95054"</f>
        <v>95054</v>
      </c>
      <c r="DA1273" t="s">
        <v>131</v>
      </c>
      <c r="DB1273" t="str">
        <f>""</f>
        <v/>
      </c>
      <c r="DF1273" t="str">
        <f>""</f>
        <v/>
      </c>
    </row>
    <row r="1274" spans="1:110" ht="15" customHeight="1" x14ac:dyDescent="0.35">
      <c r="A1274" t="s">
        <v>11547</v>
      </c>
      <c r="B1274" t="s">
        <v>138</v>
      </c>
      <c r="C1274" s="1">
        <v>44322</v>
      </c>
      <c r="G1274" s="1">
        <v>44322</v>
      </c>
      <c r="H1274" t="s">
        <v>125</v>
      </c>
      <c r="I1274" t="s">
        <v>5622</v>
      </c>
      <c r="J1274" t="s">
        <v>1312</v>
      </c>
      <c r="L1274" t="s">
        <v>2375</v>
      </c>
      <c r="M1274" t="s">
        <v>11548</v>
      </c>
      <c r="N1274" t="s">
        <v>698</v>
      </c>
      <c r="O1274" t="s">
        <v>458</v>
      </c>
      <c r="P1274" t="s">
        <v>412</v>
      </c>
      <c r="Q1274" s="3">
        <v>75082</v>
      </c>
      <c r="R1274" t="s">
        <v>128</v>
      </c>
      <c r="T1274" s="4">
        <v>14695052660</v>
      </c>
      <c r="V1274" t="s">
        <v>10033</v>
      </c>
      <c r="W1274" t="s">
        <v>11549</v>
      </c>
      <c r="Y1274" t="s">
        <v>11550</v>
      </c>
      <c r="AA1274" t="s">
        <v>4426</v>
      </c>
      <c r="AB1274" t="s">
        <v>172</v>
      </c>
      <c r="AC1274" s="3" t="str">
        <f>"94080"</f>
        <v>94080</v>
      </c>
      <c r="AD1274" t="s">
        <v>128</v>
      </c>
      <c r="AE1274" t="s">
        <v>172</v>
      </c>
      <c r="AF1274" s="4">
        <v>16502530000</v>
      </c>
      <c r="AG1274">
        <v>4513</v>
      </c>
      <c r="AH1274" t="str">
        <f>"541512"</f>
        <v>541512</v>
      </c>
      <c r="AI1274" t="s">
        <v>130</v>
      </c>
      <c r="AJ1274" t="s">
        <v>4092</v>
      </c>
      <c r="AK1274" t="s">
        <v>1387</v>
      </c>
      <c r="AL1274" t="s">
        <v>131</v>
      </c>
      <c r="AM1274" t="s">
        <v>5237</v>
      </c>
      <c r="AN1274" t="s">
        <v>457</v>
      </c>
      <c r="AO1274" t="s">
        <v>458</v>
      </c>
      <c r="AP1274" t="s">
        <v>400</v>
      </c>
      <c r="AQ1274" s="5">
        <v>75082</v>
      </c>
      <c r="AR1274" t="s">
        <v>128</v>
      </c>
      <c r="AT1274" s="4">
        <v>19727296000</v>
      </c>
      <c r="AU1274">
        <v>6092</v>
      </c>
      <c r="AV1274" t="s">
        <v>11551</v>
      </c>
      <c r="AW1274" t="s">
        <v>367</v>
      </c>
      <c r="AX1274" t="s">
        <v>131</v>
      </c>
      <c r="AY1274" t="s">
        <v>131</v>
      </c>
      <c r="AZ1274" t="s">
        <v>131</v>
      </c>
      <c r="BA1274" t="s">
        <v>131</v>
      </c>
      <c r="BB1274" t="s">
        <v>131</v>
      </c>
      <c r="BC1274" t="s">
        <v>131</v>
      </c>
      <c r="BD1274" t="s">
        <v>131</v>
      </c>
      <c r="BE1274" t="s">
        <v>132</v>
      </c>
      <c r="BH1274" t="s">
        <v>11552</v>
      </c>
      <c r="BI1274" t="s">
        <v>131</v>
      </c>
      <c r="BL1274" t="s">
        <v>188</v>
      </c>
      <c r="BN1274" t="s">
        <v>2268</v>
      </c>
      <c r="BO1274" t="s">
        <v>131</v>
      </c>
      <c r="BP1274" t="s">
        <v>134</v>
      </c>
      <c r="BQ1274" t="s">
        <v>131</v>
      </c>
      <c r="BS1274" t="str">
        <f t="shared" si="88"/>
        <v>N/A</v>
      </c>
      <c r="BT1274" t="s">
        <v>135</v>
      </c>
      <c r="BU1274">
        <v>24</v>
      </c>
      <c r="BV1274" t="str">
        <f>"Please see job description."</f>
        <v>Please see job description.</v>
      </c>
      <c r="BW1274" t="s">
        <v>131</v>
      </c>
      <c r="BX1274" t="str">
        <f>""</f>
        <v/>
      </c>
      <c r="BY1274" t="str">
        <f>""</f>
        <v/>
      </c>
      <c r="BZ1274" t="str">
        <f>""</f>
        <v/>
      </c>
      <c r="CA1274" t="str">
        <f>""</f>
        <v/>
      </c>
      <c r="CB1274" t="s">
        <v>135</v>
      </c>
      <c r="CC1274" t="s">
        <v>447</v>
      </c>
      <c r="CE1274" t="s">
        <v>2268</v>
      </c>
      <c r="CF1274" t="s">
        <v>131</v>
      </c>
      <c r="CH1274" t="str">
        <f>"N/A"</f>
        <v>N/A</v>
      </c>
      <c r="CI1274" t="s">
        <v>135</v>
      </c>
      <c r="CJ1274">
        <v>12</v>
      </c>
      <c r="CK1274" t="s">
        <v>131</v>
      </c>
      <c r="CL1274" t="str">
        <f>""</f>
        <v/>
      </c>
      <c r="CM1274" t="str">
        <f>""</f>
        <v/>
      </c>
      <c r="CN1274" t="str">
        <f>""</f>
        <v/>
      </c>
      <c r="CO1274" t="str">
        <f>""</f>
        <v/>
      </c>
      <c r="CP1274" t="str">
        <f>"15-2041.00"</f>
        <v>15-2041.00</v>
      </c>
      <c r="CQ1274" t="s">
        <v>379</v>
      </c>
      <c r="CR1274" t="s">
        <v>460</v>
      </c>
      <c r="CS1274" t="s">
        <v>131</v>
      </c>
      <c r="CU1274" t="s">
        <v>11550</v>
      </c>
      <c r="CW1274" t="s">
        <v>4426</v>
      </c>
      <c r="CX1274" t="s">
        <v>172</v>
      </c>
      <c r="CZ1274" s="3" t="str">
        <f>"94080"</f>
        <v>94080</v>
      </c>
      <c r="DA1274" t="s">
        <v>131</v>
      </c>
      <c r="DB1274" t="str">
        <f>""</f>
        <v/>
      </c>
      <c r="DF1274" t="str">
        <f>""</f>
        <v/>
      </c>
    </row>
    <row r="1275" spans="1:110" ht="15" customHeight="1" x14ac:dyDescent="0.35">
      <c r="A1275" t="s">
        <v>19876</v>
      </c>
      <c r="B1275" t="s">
        <v>138</v>
      </c>
      <c r="C1275" s="1">
        <v>44322</v>
      </c>
      <c r="G1275" s="1">
        <v>44335</v>
      </c>
      <c r="H1275" t="s">
        <v>125</v>
      </c>
      <c r="I1275" t="s">
        <v>4549</v>
      </c>
      <c r="J1275" t="s">
        <v>4548</v>
      </c>
      <c r="K1275" t="s">
        <v>134</v>
      </c>
      <c r="L1275" t="s">
        <v>223</v>
      </c>
      <c r="M1275" t="s">
        <v>19877</v>
      </c>
      <c r="O1275" t="s">
        <v>4550</v>
      </c>
      <c r="Q1275" s="3">
        <v>30047</v>
      </c>
      <c r="R1275" t="s">
        <v>643</v>
      </c>
      <c r="S1275" t="s">
        <v>134</v>
      </c>
      <c r="T1275" s="4">
        <v>17705723062</v>
      </c>
      <c r="U1275">
        <v>4867</v>
      </c>
      <c r="V1275" t="s">
        <v>4551</v>
      </c>
      <c r="W1275" t="s">
        <v>4552</v>
      </c>
      <c r="X1275" t="s">
        <v>134</v>
      </c>
      <c r="Y1275" t="s">
        <v>19878</v>
      </c>
      <c r="Z1275" t="s">
        <v>134</v>
      </c>
      <c r="AA1275" t="s">
        <v>4550</v>
      </c>
      <c r="AB1275" t="s">
        <v>643</v>
      </c>
      <c r="AC1275" s="3" t="str">
        <f>"30047"</f>
        <v>30047</v>
      </c>
      <c r="AD1275" t="s">
        <v>128</v>
      </c>
      <c r="AE1275" t="s">
        <v>134</v>
      </c>
      <c r="AF1275" s="4">
        <v>16783801826</v>
      </c>
      <c r="AG1275">
        <v>1826</v>
      </c>
      <c r="AH1275" t="str">
        <f>"52421"</f>
        <v>52421</v>
      </c>
      <c r="AI1275" t="s">
        <v>167</v>
      </c>
      <c r="AX1275" t="s">
        <v>131</v>
      </c>
      <c r="AY1275" t="s">
        <v>131</v>
      </c>
      <c r="AZ1275" t="s">
        <v>131</v>
      </c>
      <c r="BA1275" t="s">
        <v>131</v>
      </c>
      <c r="BB1275" t="s">
        <v>131</v>
      </c>
      <c r="BC1275" t="s">
        <v>131</v>
      </c>
      <c r="BD1275" t="s">
        <v>131</v>
      </c>
      <c r="BE1275" t="s">
        <v>132</v>
      </c>
      <c r="BH1275" t="s">
        <v>19879</v>
      </c>
      <c r="BI1275" t="s">
        <v>131</v>
      </c>
      <c r="BL1275" t="s">
        <v>133</v>
      </c>
      <c r="BN1275" t="s">
        <v>16490</v>
      </c>
      <c r="BO1275" t="s">
        <v>131</v>
      </c>
      <c r="BP1275" t="s">
        <v>134</v>
      </c>
      <c r="BQ1275" t="s">
        <v>131</v>
      </c>
      <c r="BS1275" t="str">
        <f t="shared" si="88"/>
        <v>N/A</v>
      </c>
      <c r="BT1275" t="s">
        <v>135</v>
      </c>
      <c r="BU1275">
        <v>24</v>
      </c>
      <c r="BV1275" t="str">
        <f>"Managing multiple business projects."</f>
        <v>Managing multiple business projects.</v>
      </c>
      <c r="BW1275" t="s">
        <v>135</v>
      </c>
      <c r="BX1275" t="str">
        <f>"Bachelor’s degree or foreign equivalent in Business, Technology, or Education, 
a Property &amp; Casualty Insurance License, 
a Certificate of Notary Public, a valid driver’s license, "</f>
        <v xml:space="preserve">Bachelor’s degree or foreign equivalent in Business, Technology, or Education, 
a Property &amp; Casualty Insurance License, 
a Certificate of Notary Public, a valid driver’s license, </v>
      </c>
      <c r="BY1275" t="str">
        <f>""</f>
        <v/>
      </c>
      <c r="BZ1275" t="str">
        <f>""</f>
        <v/>
      </c>
      <c r="CA1275" t="s">
        <v>4553</v>
      </c>
      <c r="CB1275" t="s">
        <v>135</v>
      </c>
      <c r="CC1275" t="s">
        <v>133</v>
      </c>
      <c r="CE1275" t="s">
        <v>16490</v>
      </c>
      <c r="CF1275" t="s">
        <v>131</v>
      </c>
      <c r="CH1275" t="str">
        <f>"N/A"</f>
        <v>N/A</v>
      </c>
      <c r="CI1275" t="s">
        <v>135</v>
      </c>
      <c r="CJ1275">
        <v>24</v>
      </c>
      <c r="CK1275" t="s">
        <v>135</v>
      </c>
      <c r="CL1275" t="str">
        <f>"Bachelor’s degree or foreign equivalent in Business, Technology, or Education, a Property &amp; Casualty Insurance License, a Certificate of Notary Public, a valid driver’s license, "</f>
        <v xml:space="preserve">Bachelor’s degree or foreign equivalent in Business, Technology, or Education, a Property &amp; Casualty Insurance License, a Certificate of Notary Public, a valid driver’s license, </v>
      </c>
      <c r="CM1275" t="str">
        <f>""</f>
        <v/>
      </c>
      <c r="CN1275" t="str">
        <f>""</f>
        <v/>
      </c>
      <c r="CO1275" t="s">
        <v>4553</v>
      </c>
      <c r="CP1275" t="str">
        <f>"41-3021.00"</f>
        <v>41-3021.00</v>
      </c>
      <c r="CQ1275" t="s">
        <v>4554</v>
      </c>
      <c r="CR1275" t="s">
        <v>404</v>
      </c>
      <c r="CS1275" t="s">
        <v>131</v>
      </c>
      <c r="CU1275" t="s">
        <v>19880</v>
      </c>
      <c r="CW1275" t="s">
        <v>4550</v>
      </c>
      <c r="CX1275" t="s">
        <v>643</v>
      </c>
      <c r="CZ1275" s="3" t="str">
        <f>"30047"</f>
        <v>30047</v>
      </c>
      <c r="DA1275" t="s">
        <v>135</v>
      </c>
      <c r="DB1275" t="str">
        <f>""</f>
        <v/>
      </c>
      <c r="DF1275" t="str">
        <f>""</f>
        <v/>
      </c>
    </row>
    <row r="1276" spans="1:110" ht="15" customHeight="1" x14ac:dyDescent="0.35">
      <c r="A1276" t="s">
        <v>10839</v>
      </c>
      <c r="B1276" t="s">
        <v>138</v>
      </c>
      <c r="C1276" s="1">
        <v>44322</v>
      </c>
      <c r="G1276" s="1">
        <v>44328</v>
      </c>
      <c r="H1276" t="s">
        <v>125</v>
      </c>
      <c r="I1276" t="s">
        <v>10840</v>
      </c>
      <c r="J1276" t="s">
        <v>1865</v>
      </c>
      <c r="L1276" t="s">
        <v>8684</v>
      </c>
      <c r="M1276" t="s">
        <v>4684</v>
      </c>
      <c r="O1276" t="s">
        <v>1189</v>
      </c>
      <c r="P1276" t="s">
        <v>178</v>
      </c>
      <c r="Q1276" s="3">
        <v>95054</v>
      </c>
      <c r="R1276" t="s">
        <v>128</v>
      </c>
      <c r="T1276" s="4">
        <v>14089190600</v>
      </c>
      <c r="V1276" t="s">
        <v>8685</v>
      </c>
      <c r="W1276" t="s">
        <v>8686</v>
      </c>
      <c r="Y1276" t="s">
        <v>8687</v>
      </c>
      <c r="AA1276" t="s">
        <v>1866</v>
      </c>
      <c r="AB1276" t="s">
        <v>172</v>
      </c>
      <c r="AC1276" s="3" t="str">
        <f>"95134"</f>
        <v>95134</v>
      </c>
      <c r="AD1276" t="s">
        <v>128</v>
      </c>
      <c r="AF1276" s="4">
        <v>14085761500</v>
      </c>
      <c r="AH1276" t="str">
        <f>"33599"</f>
        <v>33599</v>
      </c>
      <c r="AI1276" t="s">
        <v>130</v>
      </c>
      <c r="AJ1276" t="s">
        <v>1074</v>
      </c>
      <c r="AK1276" t="s">
        <v>8688</v>
      </c>
      <c r="AL1276" t="s">
        <v>134</v>
      </c>
      <c r="AM1276" t="s">
        <v>4684</v>
      </c>
      <c r="AN1276" t="s">
        <v>134</v>
      </c>
      <c r="AO1276" t="s">
        <v>1189</v>
      </c>
      <c r="AP1276" t="s">
        <v>172</v>
      </c>
      <c r="AQ1276" s="5">
        <v>95054</v>
      </c>
      <c r="AR1276" t="s">
        <v>128</v>
      </c>
      <c r="AS1276" t="s">
        <v>134</v>
      </c>
      <c r="AT1276" s="4">
        <v>14089190600</v>
      </c>
      <c r="AV1276" t="s">
        <v>10841</v>
      </c>
      <c r="AW1276" t="s">
        <v>386</v>
      </c>
      <c r="AX1276" t="s">
        <v>131</v>
      </c>
      <c r="AY1276" t="s">
        <v>131</v>
      </c>
      <c r="AZ1276" t="s">
        <v>131</v>
      </c>
      <c r="BA1276" t="s">
        <v>131</v>
      </c>
      <c r="BB1276" t="s">
        <v>131</v>
      </c>
      <c r="BC1276" t="s">
        <v>131</v>
      </c>
      <c r="BD1276" t="s">
        <v>131</v>
      </c>
      <c r="BE1276" t="s">
        <v>132</v>
      </c>
      <c r="BH1276" t="s">
        <v>10842</v>
      </c>
      <c r="BI1276" t="s">
        <v>131</v>
      </c>
      <c r="BL1276" t="s">
        <v>188</v>
      </c>
      <c r="BN1276" t="s">
        <v>9597</v>
      </c>
      <c r="BO1276" t="s">
        <v>131</v>
      </c>
      <c r="BP1276" t="s">
        <v>134</v>
      </c>
      <c r="BQ1276" t="s">
        <v>131</v>
      </c>
      <c r="BS1276" t="str">
        <f t="shared" si="88"/>
        <v>N/A</v>
      </c>
      <c r="BT1276" t="s">
        <v>131</v>
      </c>
      <c r="BV1276" t="str">
        <f>""</f>
        <v/>
      </c>
      <c r="BW1276" t="s">
        <v>135</v>
      </c>
      <c r="BX1276" t="str">
        <f>""</f>
        <v/>
      </c>
      <c r="BY1276" t="str">
        <f>""</f>
        <v/>
      </c>
      <c r="BZ1276" t="str">
        <f>""</f>
        <v/>
      </c>
      <c r="CA1276" s="2" t="s">
        <v>10843</v>
      </c>
      <c r="CB1276" t="s">
        <v>131</v>
      </c>
      <c r="CF1276" t="s">
        <v>131</v>
      </c>
      <c r="CH1276" t="str">
        <f>""</f>
        <v/>
      </c>
      <c r="CI1276" t="s">
        <v>131</v>
      </c>
      <c r="CK1276" t="s">
        <v>131</v>
      </c>
      <c r="CL1276" t="str">
        <f>""</f>
        <v/>
      </c>
      <c r="CM1276" t="str">
        <f>""</f>
        <v/>
      </c>
      <c r="CN1276" t="str">
        <f>""</f>
        <v/>
      </c>
      <c r="CO1276" t="str">
        <f>""</f>
        <v/>
      </c>
      <c r="CP1276" t="str">
        <f>"17-2072.00"</f>
        <v>17-2072.00</v>
      </c>
      <c r="CQ1276" t="s">
        <v>865</v>
      </c>
      <c r="CR1276" t="s">
        <v>460</v>
      </c>
      <c r="CS1276" t="s">
        <v>131</v>
      </c>
      <c r="CU1276" t="s">
        <v>9598</v>
      </c>
      <c r="CV1276" t="s">
        <v>439</v>
      </c>
      <c r="CW1276" t="s">
        <v>856</v>
      </c>
      <c r="CX1276" t="s">
        <v>808</v>
      </c>
      <c r="CZ1276" s="3" t="str">
        <f>"85226"</f>
        <v>85226</v>
      </c>
      <c r="DA1276" t="s">
        <v>131</v>
      </c>
      <c r="DB1276" t="str">
        <f>""</f>
        <v/>
      </c>
      <c r="DF1276" t="str">
        <f>""</f>
        <v/>
      </c>
    </row>
    <row r="1277" spans="1:110" ht="15" customHeight="1" x14ac:dyDescent="0.35">
      <c r="A1277" t="s">
        <v>17407</v>
      </c>
      <c r="B1277" t="s">
        <v>138</v>
      </c>
      <c r="C1277" s="1">
        <v>44322</v>
      </c>
      <c r="G1277" s="1">
        <v>44326</v>
      </c>
      <c r="H1277" t="s">
        <v>125</v>
      </c>
      <c r="I1277" t="s">
        <v>12581</v>
      </c>
      <c r="J1277" t="s">
        <v>12582</v>
      </c>
      <c r="L1277" t="s">
        <v>395</v>
      </c>
      <c r="M1277" t="s">
        <v>12583</v>
      </c>
      <c r="N1277" t="s">
        <v>12584</v>
      </c>
      <c r="O1277" t="s">
        <v>11950</v>
      </c>
      <c r="P1277" t="s">
        <v>6896</v>
      </c>
      <c r="Q1277" s="3">
        <v>99508</v>
      </c>
      <c r="R1277" t="s">
        <v>128</v>
      </c>
      <c r="T1277" s="4">
        <v>19079872500</v>
      </c>
      <c r="V1277" t="s">
        <v>12585</v>
      </c>
      <c r="W1277" t="s">
        <v>12586</v>
      </c>
      <c r="Y1277" t="s">
        <v>12583</v>
      </c>
      <c r="Z1277" t="s">
        <v>12584</v>
      </c>
      <c r="AA1277" t="s">
        <v>11950</v>
      </c>
      <c r="AB1277" t="s">
        <v>2406</v>
      </c>
      <c r="AC1277" s="3" t="str">
        <f>"99508"</f>
        <v>99508</v>
      </c>
      <c r="AD1277" t="s">
        <v>128</v>
      </c>
      <c r="AF1277" s="4">
        <v>19079872500</v>
      </c>
      <c r="AH1277" t="str">
        <f>"484122"</f>
        <v>484122</v>
      </c>
      <c r="AI1277" t="s">
        <v>130</v>
      </c>
      <c r="AJ1277" t="s">
        <v>12461</v>
      </c>
      <c r="AK1277" t="s">
        <v>12462</v>
      </c>
      <c r="AM1277" t="s">
        <v>12230</v>
      </c>
      <c r="AN1277">
        <v>300</v>
      </c>
      <c r="AO1277" t="s">
        <v>262</v>
      </c>
      <c r="AP1277" t="s">
        <v>263</v>
      </c>
      <c r="AQ1277" s="5">
        <v>60625</v>
      </c>
      <c r="AR1277" t="s">
        <v>128</v>
      </c>
      <c r="AT1277" s="4">
        <v>18472589954</v>
      </c>
      <c r="AV1277" t="s">
        <v>12231</v>
      </c>
      <c r="AW1277" t="s">
        <v>12463</v>
      </c>
      <c r="AX1277" t="s">
        <v>131</v>
      </c>
      <c r="AY1277" t="s">
        <v>131</v>
      </c>
      <c r="AZ1277" t="s">
        <v>131</v>
      </c>
      <c r="BA1277" t="s">
        <v>131</v>
      </c>
      <c r="BB1277" t="s">
        <v>131</v>
      </c>
      <c r="BC1277" t="s">
        <v>131</v>
      </c>
      <c r="BD1277" t="s">
        <v>131</v>
      </c>
      <c r="BE1277" t="s">
        <v>132</v>
      </c>
      <c r="BH1277" t="s">
        <v>1714</v>
      </c>
      <c r="BI1277" t="s">
        <v>131</v>
      </c>
      <c r="BL1277" t="s">
        <v>401</v>
      </c>
      <c r="BO1277" t="s">
        <v>131</v>
      </c>
      <c r="BP1277" t="s">
        <v>134</v>
      </c>
      <c r="BQ1277" t="s">
        <v>131</v>
      </c>
      <c r="BS1277" t="str">
        <f t="shared" si="88"/>
        <v>N/A</v>
      </c>
      <c r="BT1277" t="s">
        <v>135</v>
      </c>
      <c r="BU1277">
        <v>6</v>
      </c>
      <c r="BV1277" t="str">
        <f>"Job offered or closely related"</f>
        <v>Job offered or closely related</v>
      </c>
      <c r="BW1277" t="s">
        <v>135</v>
      </c>
      <c r="BX1277" t="str">
        <f>"Must obtain a commercial driving license (CDL) within 60 days of employment."</f>
        <v>Must obtain a commercial driving license (CDL) within 60 days of employment.</v>
      </c>
      <c r="BY1277" t="str">
        <f>""</f>
        <v/>
      </c>
      <c r="BZ1277" t="str">
        <f>""</f>
        <v/>
      </c>
      <c r="CA1277" t="str">
        <f>""</f>
        <v/>
      </c>
      <c r="CB1277" t="s">
        <v>131</v>
      </c>
      <c r="CF1277" t="s">
        <v>131</v>
      </c>
      <c r="CH1277" t="str">
        <f>""</f>
        <v/>
      </c>
      <c r="CI1277" t="s">
        <v>131</v>
      </c>
      <c r="CK1277" t="s">
        <v>131</v>
      </c>
      <c r="CL1277" t="str">
        <f>""</f>
        <v/>
      </c>
      <c r="CM1277" t="str">
        <f>""</f>
        <v/>
      </c>
      <c r="CN1277" t="str">
        <f>""</f>
        <v/>
      </c>
      <c r="CO1277" t="str">
        <f>""</f>
        <v/>
      </c>
      <c r="CP1277" t="str">
        <f>"53-3032.00"</f>
        <v>53-3032.00</v>
      </c>
      <c r="CQ1277" t="s">
        <v>1238</v>
      </c>
      <c r="CR1277" t="s">
        <v>395</v>
      </c>
      <c r="CS1277" t="s">
        <v>135</v>
      </c>
      <c r="CT1277" t="s">
        <v>17408</v>
      </c>
      <c r="CU1277" t="s">
        <v>12583</v>
      </c>
      <c r="CV1277" t="s">
        <v>12584</v>
      </c>
      <c r="CW1277" t="s">
        <v>11950</v>
      </c>
      <c r="CX1277" t="s">
        <v>2406</v>
      </c>
      <c r="CZ1277" s="3" t="str">
        <f>"99508"</f>
        <v>99508</v>
      </c>
      <c r="DA1277" t="s">
        <v>131</v>
      </c>
      <c r="DB1277" t="str">
        <f>""</f>
        <v/>
      </c>
      <c r="DF1277" t="str">
        <f>""</f>
        <v/>
      </c>
    </row>
    <row r="1278" spans="1:110" ht="15" customHeight="1" x14ac:dyDescent="0.35">
      <c r="A1278" t="s">
        <v>19997</v>
      </c>
      <c r="B1278" t="s">
        <v>138</v>
      </c>
      <c r="C1278" s="1">
        <v>44322</v>
      </c>
      <c r="G1278" s="1">
        <v>44322</v>
      </c>
      <c r="H1278" t="s">
        <v>125</v>
      </c>
      <c r="I1278" t="s">
        <v>18544</v>
      </c>
      <c r="J1278" t="s">
        <v>6935</v>
      </c>
      <c r="L1278" t="s">
        <v>14599</v>
      </c>
      <c r="M1278" t="s">
        <v>18549</v>
      </c>
      <c r="O1278" t="s">
        <v>4426</v>
      </c>
      <c r="P1278" t="s">
        <v>178</v>
      </c>
      <c r="Q1278" s="3">
        <v>94080</v>
      </c>
      <c r="R1278" t="s">
        <v>128</v>
      </c>
      <c r="T1278" s="4">
        <v>18335094583</v>
      </c>
      <c r="V1278" t="s">
        <v>18546</v>
      </c>
      <c r="W1278" t="s">
        <v>18547</v>
      </c>
      <c r="X1278" t="s">
        <v>18548</v>
      </c>
      <c r="Y1278" t="s">
        <v>18545</v>
      </c>
      <c r="AA1278" t="s">
        <v>4426</v>
      </c>
      <c r="AB1278" t="s">
        <v>172</v>
      </c>
      <c r="AC1278" s="3" t="str">
        <f>"94080"</f>
        <v>94080</v>
      </c>
      <c r="AD1278" t="s">
        <v>128</v>
      </c>
      <c r="AF1278" s="4">
        <v>18335094583</v>
      </c>
      <c r="AH1278" t="str">
        <f>"54171"</f>
        <v>54171</v>
      </c>
      <c r="AI1278" t="s">
        <v>130</v>
      </c>
      <c r="AJ1278" t="s">
        <v>18550</v>
      </c>
      <c r="AK1278" t="s">
        <v>1689</v>
      </c>
      <c r="AM1278" t="s">
        <v>4808</v>
      </c>
      <c r="AN1278" t="s">
        <v>788</v>
      </c>
      <c r="AO1278" t="s">
        <v>220</v>
      </c>
      <c r="AP1278" t="s">
        <v>172</v>
      </c>
      <c r="AQ1278" s="5">
        <v>94133</v>
      </c>
      <c r="AR1278" t="s">
        <v>128</v>
      </c>
      <c r="AT1278" s="4">
        <v>14159864559</v>
      </c>
      <c r="AV1278" t="s">
        <v>4809</v>
      </c>
      <c r="AW1278" t="s">
        <v>2727</v>
      </c>
      <c r="AX1278" t="s">
        <v>131</v>
      </c>
      <c r="AY1278" t="s">
        <v>131</v>
      </c>
      <c r="AZ1278" t="s">
        <v>131</v>
      </c>
      <c r="BA1278" t="s">
        <v>131</v>
      </c>
      <c r="BB1278" t="s">
        <v>131</v>
      </c>
      <c r="BC1278" t="s">
        <v>131</v>
      </c>
      <c r="BD1278" t="s">
        <v>131</v>
      </c>
      <c r="BE1278" t="s">
        <v>160</v>
      </c>
      <c r="BF1278" t="s">
        <v>15089</v>
      </c>
      <c r="BG1278" s="1">
        <v>44270</v>
      </c>
      <c r="BH1278" t="s">
        <v>18551</v>
      </c>
      <c r="BI1278" t="s">
        <v>131</v>
      </c>
      <c r="BL1278" t="s">
        <v>133</v>
      </c>
      <c r="BN1278" t="s">
        <v>18552</v>
      </c>
      <c r="BO1278" t="s">
        <v>131</v>
      </c>
      <c r="BP1278" t="s">
        <v>134</v>
      </c>
      <c r="BQ1278" t="s">
        <v>131</v>
      </c>
      <c r="BS1278" t="str">
        <f t="shared" si="88"/>
        <v>N/A</v>
      </c>
      <c r="BT1278" t="s">
        <v>135</v>
      </c>
      <c r="BU1278">
        <v>60</v>
      </c>
      <c r="BV1278" t="str">
        <f>"Clinical Trial Administrator, Clinical Research Coordinator, or related occupation."</f>
        <v>Clinical Trial Administrator, Clinical Research Coordinator, or related occupation.</v>
      </c>
      <c r="BW1278" t="s">
        <v>135</v>
      </c>
      <c r="BX1278" t="str">
        <f>""</f>
        <v/>
      </c>
      <c r="BY1278" t="str">
        <f>""</f>
        <v/>
      </c>
      <c r="BZ1278" t="str">
        <f>""</f>
        <v/>
      </c>
      <c r="CA1278" s="2" t="s">
        <v>18553</v>
      </c>
      <c r="CB1278" t="s">
        <v>131</v>
      </c>
      <c r="CF1278" t="s">
        <v>131</v>
      </c>
      <c r="CH1278" t="str">
        <f>""</f>
        <v/>
      </c>
      <c r="CI1278" t="s">
        <v>131</v>
      </c>
      <c r="CK1278" t="s">
        <v>131</v>
      </c>
      <c r="CL1278" t="str">
        <f>""</f>
        <v/>
      </c>
      <c r="CM1278" t="str">
        <f>""</f>
        <v/>
      </c>
      <c r="CN1278" t="str">
        <f>""</f>
        <v/>
      </c>
      <c r="CO1278" t="str">
        <f>""</f>
        <v/>
      </c>
      <c r="CP1278" t="str">
        <f>"19-1029.02"</f>
        <v>19-1029.02</v>
      </c>
      <c r="CQ1278" t="s">
        <v>4429</v>
      </c>
      <c r="CR1278" t="s">
        <v>18554</v>
      </c>
      <c r="CS1278" t="s">
        <v>135</v>
      </c>
      <c r="CT1278" t="s">
        <v>19998</v>
      </c>
      <c r="CU1278" t="s">
        <v>18549</v>
      </c>
      <c r="CW1278" t="s">
        <v>4426</v>
      </c>
      <c r="CX1278" t="s">
        <v>172</v>
      </c>
      <c r="CZ1278" s="3" t="str">
        <f>"94080"</f>
        <v>94080</v>
      </c>
      <c r="DA1278" t="s">
        <v>131</v>
      </c>
      <c r="DB1278" t="str">
        <f>""</f>
        <v/>
      </c>
      <c r="DF1278" t="str">
        <f>""</f>
        <v/>
      </c>
    </row>
    <row r="1279" spans="1:110" ht="15" customHeight="1" x14ac:dyDescent="0.35">
      <c r="A1279" t="s">
        <v>12621</v>
      </c>
      <c r="B1279" t="s">
        <v>138</v>
      </c>
      <c r="C1279" s="1">
        <v>44322</v>
      </c>
      <c r="G1279" s="1">
        <v>44333</v>
      </c>
      <c r="H1279" t="s">
        <v>125</v>
      </c>
      <c r="I1279" t="s">
        <v>1477</v>
      </c>
      <c r="J1279" t="s">
        <v>1846</v>
      </c>
      <c r="L1279" t="s">
        <v>12268</v>
      </c>
      <c r="M1279" t="s">
        <v>12622</v>
      </c>
      <c r="N1279" t="s">
        <v>554</v>
      </c>
      <c r="O1279" t="s">
        <v>989</v>
      </c>
      <c r="P1279" t="s">
        <v>412</v>
      </c>
      <c r="Q1279" s="3">
        <v>75019</v>
      </c>
      <c r="R1279" t="s">
        <v>128</v>
      </c>
      <c r="T1279" s="4">
        <v>14152463235</v>
      </c>
      <c r="V1279" t="s">
        <v>12623</v>
      </c>
      <c r="W1279" t="s">
        <v>12624</v>
      </c>
      <c r="Y1279" t="s">
        <v>12622</v>
      </c>
      <c r="Z1279" t="s">
        <v>554</v>
      </c>
      <c r="AA1279" t="s">
        <v>989</v>
      </c>
      <c r="AB1279" t="s">
        <v>400</v>
      </c>
      <c r="AC1279" s="3" t="str">
        <f>"75019"</f>
        <v>75019</v>
      </c>
      <c r="AD1279" t="s">
        <v>128</v>
      </c>
      <c r="AF1279" s="4">
        <v>14152463235</v>
      </c>
      <c r="AH1279" t="str">
        <f>"512110"</f>
        <v>512110</v>
      </c>
      <c r="AI1279" t="s">
        <v>130</v>
      </c>
      <c r="AJ1279" t="s">
        <v>4566</v>
      </c>
      <c r="AK1279" t="s">
        <v>4567</v>
      </c>
      <c r="AL1279" t="s">
        <v>4568</v>
      </c>
      <c r="AM1279" t="s">
        <v>4569</v>
      </c>
      <c r="AN1279" t="s">
        <v>4570</v>
      </c>
      <c r="AO1279" t="s">
        <v>433</v>
      </c>
      <c r="AP1279" t="s">
        <v>400</v>
      </c>
      <c r="AQ1279" s="5">
        <v>75234</v>
      </c>
      <c r="AR1279" t="s">
        <v>128</v>
      </c>
      <c r="AT1279" s="4">
        <v>19722416445</v>
      </c>
      <c r="AV1279" t="s">
        <v>4571</v>
      </c>
      <c r="AW1279" t="s">
        <v>4572</v>
      </c>
      <c r="AX1279" t="s">
        <v>131</v>
      </c>
      <c r="AY1279" t="s">
        <v>131</v>
      </c>
      <c r="AZ1279" t="s">
        <v>131</v>
      </c>
      <c r="BA1279" t="s">
        <v>131</v>
      </c>
      <c r="BB1279" t="s">
        <v>131</v>
      </c>
      <c r="BC1279" t="s">
        <v>131</v>
      </c>
      <c r="BD1279" t="s">
        <v>131</v>
      </c>
      <c r="BE1279" t="s">
        <v>132</v>
      </c>
      <c r="BH1279" t="s">
        <v>1501</v>
      </c>
      <c r="BI1279" t="s">
        <v>131</v>
      </c>
      <c r="BL1279" t="s">
        <v>188</v>
      </c>
      <c r="BN1279" t="s">
        <v>12625</v>
      </c>
      <c r="BO1279" t="s">
        <v>131</v>
      </c>
      <c r="BP1279" t="s">
        <v>134</v>
      </c>
      <c r="BQ1279" t="s">
        <v>131</v>
      </c>
      <c r="BS1279" t="str">
        <f t="shared" si="88"/>
        <v>N/A</v>
      </c>
      <c r="BT1279" t="s">
        <v>135</v>
      </c>
      <c r="BU1279">
        <v>24</v>
      </c>
      <c r="BV1279" t="str">
        <f>"Programmer Analyst, System Engineer, Software Engineer, or related"</f>
        <v>Programmer Analyst, System Engineer, Software Engineer, or related</v>
      </c>
      <c r="BW1279" t="s">
        <v>135</v>
      </c>
      <c r="BX1279" t="str">
        <f>""</f>
        <v/>
      </c>
      <c r="BY1279" t="str">
        <f>""</f>
        <v/>
      </c>
      <c r="BZ1279" t="str">
        <f>""</f>
        <v/>
      </c>
      <c r="CA1279" t="s">
        <v>12626</v>
      </c>
      <c r="CB1279" t="s">
        <v>135</v>
      </c>
      <c r="CC1279" t="s">
        <v>133</v>
      </c>
      <c r="CE1279" t="s">
        <v>12625</v>
      </c>
      <c r="CF1279" t="s">
        <v>131</v>
      </c>
      <c r="CH1279" t="str">
        <f>"N/A"</f>
        <v>N/A</v>
      </c>
      <c r="CI1279" t="s">
        <v>135</v>
      </c>
      <c r="CJ1279">
        <v>60</v>
      </c>
      <c r="CK1279" t="s">
        <v>135</v>
      </c>
      <c r="CL1279" t="str">
        <f>""</f>
        <v/>
      </c>
      <c r="CM1279" t="str">
        <f>""</f>
        <v/>
      </c>
      <c r="CN1279" t="str">
        <f>""</f>
        <v/>
      </c>
      <c r="CO1279" t="s">
        <v>12626</v>
      </c>
      <c r="CP1279" t="str">
        <f>"15-1132.00"</f>
        <v>15-1132.00</v>
      </c>
      <c r="CQ1279" t="s">
        <v>198</v>
      </c>
      <c r="CR1279" t="s">
        <v>1814</v>
      </c>
      <c r="CS1279" t="s">
        <v>131</v>
      </c>
      <c r="CU1279" t="s">
        <v>12622</v>
      </c>
      <c r="CV1279" t="s">
        <v>554</v>
      </c>
      <c r="CW1279" t="s">
        <v>989</v>
      </c>
      <c r="CX1279" t="s">
        <v>400</v>
      </c>
      <c r="CZ1279" s="3" t="str">
        <f>"75019"</f>
        <v>75019</v>
      </c>
      <c r="DA1279" t="s">
        <v>131</v>
      </c>
      <c r="DB1279" t="str">
        <f>""</f>
        <v/>
      </c>
      <c r="DF1279" t="str">
        <f>""</f>
        <v/>
      </c>
    </row>
    <row r="1280" spans="1:110" ht="15" customHeight="1" x14ac:dyDescent="0.35">
      <c r="A1280" t="s">
        <v>18011</v>
      </c>
      <c r="B1280" t="s">
        <v>138</v>
      </c>
      <c r="C1280" s="1">
        <v>44322</v>
      </c>
      <c r="G1280" s="1">
        <v>44333</v>
      </c>
      <c r="H1280" t="s">
        <v>125</v>
      </c>
      <c r="I1280" t="s">
        <v>1477</v>
      </c>
      <c r="J1280" t="s">
        <v>1846</v>
      </c>
      <c r="L1280" t="s">
        <v>12268</v>
      </c>
      <c r="M1280" t="s">
        <v>12622</v>
      </c>
      <c r="N1280" t="s">
        <v>554</v>
      </c>
      <c r="O1280" t="s">
        <v>989</v>
      </c>
      <c r="P1280" t="s">
        <v>412</v>
      </c>
      <c r="Q1280" s="3">
        <v>75019</v>
      </c>
      <c r="R1280" t="s">
        <v>128</v>
      </c>
      <c r="T1280" s="4">
        <v>14152463235</v>
      </c>
      <c r="V1280" t="s">
        <v>12623</v>
      </c>
      <c r="W1280" t="s">
        <v>12624</v>
      </c>
      <c r="Y1280" t="s">
        <v>12622</v>
      </c>
      <c r="Z1280" t="s">
        <v>554</v>
      </c>
      <c r="AA1280" t="s">
        <v>989</v>
      </c>
      <c r="AB1280" t="s">
        <v>400</v>
      </c>
      <c r="AC1280" s="3" t="str">
        <f>"75019"</f>
        <v>75019</v>
      </c>
      <c r="AD1280" t="s">
        <v>128</v>
      </c>
      <c r="AF1280" s="4">
        <v>14152463235</v>
      </c>
      <c r="AH1280" t="str">
        <f>"512110"</f>
        <v>512110</v>
      </c>
      <c r="AI1280" t="s">
        <v>130</v>
      </c>
      <c r="AJ1280" t="s">
        <v>4566</v>
      </c>
      <c r="AK1280" t="s">
        <v>4567</v>
      </c>
      <c r="AL1280" t="s">
        <v>4568</v>
      </c>
      <c r="AM1280" t="s">
        <v>4569</v>
      </c>
      <c r="AN1280" t="s">
        <v>4570</v>
      </c>
      <c r="AO1280" t="s">
        <v>433</v>
      </c>
      <c r="AP1280" t="s">
        <v>400</v>
      </c>
      <c r="AQ1280" s="5">
        <v>75234</v>
      </c>
      <c r="AR1280" t="s">
        <v>128</v>
      </c>
      <c r="AT1280" s="4">
        <v>19722416445</v>
      </c>
      <c r="AV1280" t="s">
        <v>4571</v>
      </c>
      <c r="AW1280" t="s">
        <v>4572</v>
      </c>
      <c r="AX1280" t="s">
        <v>131</v>
      </c>
      <c r="AY1280" t="s">
        <v>131</v>
      </c>
      <c r="AZ1280" t="s">
        <v>131</v>
      </c>
      <c r="BA1280" t="s">
        <v>131</v>
      </c>
      <c r="BB1280" t="s">
        <v>131</v>
      </c>
      <c r="BC1280" t="s">
        <v>131</v>
      </c>
      <c r="BD1280" t="s">
        <v>131</v>
      </c>
      <c r="BE1280" t="s">
        <v>132</v>
      </c>
      <c r="BH1280" t="s">
        <v>1501</v>
      </c>
      <c r="BI1280" t="s">
        <v>131</v>
      </c>
      <c r="BL1280" t="s">
        <v>133</v>
      </c>
      <c r="BN1280" t="s">
        <v>12625</v>
      </c>
      <c r="BO1280" t="s">
        <v>131</v>
      </c>
      <c r="BP1280" t="s">
        <v>134</v>
      </c>
      <c r="BQ1280" t="s">
        <v>131</v>
      </c>
      <c r="BS1280" t="str">
        <f t="shared" si="88"/>
        <v>N/A</v>
      </c>
      <c r="BT1280" t="s">
        <v>135</v>
      </c>
      <c r="BU1280">
        <v>60</v>
      </c>
      <c r="BV1280" t="str">
        <f>"Programmer Analyst, System Engineer, Software Engineer, or related"</f>
        <v>Programmer Analyst, System Engineer, Software Engineer, or related</v>
      </c>
      <c r="BW1280" t="s">
        <v>135</v>
      </c>
      <c r="BX1280" t="str">
        <f>""</f>
        <v/>
      </c>
      <c r="BY1280" t="str">
        <f>""</f>
        <v/>
      </c>
      <c r="BZ1280" t="str">
        <f>""</f>
        <v/>
      </c>
      <c r="CA1280" t="s">
        <v>12626</v>
      </c>
      <c r="CB1280" t="s">
        <v>135</v>
      </c>
      <c r="CC1280" t="s">
        <v>188</v>
      </c>
      <c r="CE1280" t="s">
        <v>12625</v>
      </c>
      <c r="CF1280" t="s">
        <v>131</v>
      </c>
      <c r="CH1280" t="str">
        <f>"N/A"</f>
        <v>N/A</v>
      </c>
      <c r="CI1280" t="s">
        <v>135</v>
      </c>
      <c r="CJ1280">
        <v>24</v>
      </c>
      <c r="CK1280" t="s">
        <v>135</v>
      </c>
      <c r="CL1280" t="str">
        <f>""</f>
        <v/>
      </c>
      <c r="CM1280" t="str">
        <f>""</f>
        <v/>
      </c>
      <c r="CN1280" t="str">
        <f>""</f>
        <v/>
      </c>
      <c r="CO1280" t="s">
        <v>12626</v>
      </c>
      <c r="CP1280" t="str">
        <f>"15-1132.00"</f>
        <v>15-1132.00</v>
      </c>
      <c r="CQ1280" t="s">
        <v>198</v>
      </c>
      <c r="CR1280" t="s">
        <v>1814</v>
      </c>
      <c r="CS1280" t="s">
        <v>131</v>
      </c>
      <c r="CU1280" t="s">
        <v>12622</v>
      </c>
      <c r="CV1280" t="s">
        <v>554</v>
      </c>
      <c r="CW1280" t="s">
        <v>989</v>
      </c>
      <c r="CX1280" t="s">
        <v>400</v>
      </c>
      <c r="CZ1280" s="3" t="str">
        <f>"75019"</f>
        <v>75019</v>
      </c>
      <c r="DA1280" t="s">
        <v>131</v>
      </c>
      <c r="DB1280" t="str">
        <f>""</f>
        <v/>
      </c>
      <c r="DF1280" t="str">
        <f>""</f>
        <v/>
      </c>
    </row>
    <row r="1281" spans="1:110" ht="15" customHeight="1" x14ac:dyDescent="0.35">
      <c r="A1281" t="s">
        <v>5440</v>
      </c>
      <c r="B1281" t="s">
        <v>138</v>
      </c>
      <c r="C1281" s="1">
        <v>44322</v>
      </c>
      <c r="G1281" s="1">
        <v>44325</v>
      </c>
      <c r="H1281" t="s">
        <v>125</v>
      </c>
      <c r="I1281" t="s">
        <v>5322</v>
      </c>
      <c r="J1281" t="s">
        <v>1060</v>
      </c>
      <c r="L1281" t="s">
        <v>5441</v>
      </c>
      <c r="M1281" t="s">
        <v>5323</v>
      </c>
      <c r="O1281" t="s">
        <v>1506</v>
      </c>
      <c r="P1281" t="s">
        <v>178</v>
      </c>
      <c r="Q1281" s="3">
        <v>94085</v>
      </c>
      <c r="R1281" t="s">
        <v>128</v>
      </c>
      <c r="T1281" s="4">
        <v>14089916200</v>
      </c>
      <c r="V1281" t="s">
        <v>5324</v>
      </c>
      <c r="W1281" t="s">
        <v>5442</v>
      </c>
      <c r="Y1281" t="s">
        <v>5323</v>
      </c>
      <c r="AA1281" t="s">
        <v>1506</v>
      </c>
      <c r="AB1281" t="s">
        <v>172</v>
      </c>
      <c r="AC1281" s="3" t="str">
        <f>"94085"</f>
        <v>94085</v>
      </c>
      <c r="AD1281" t="s">
        <v>128</v>
      </c>
      <c r="AF1281" s="4">
        <v>14082121842</v>
      </c>
      <c r="AH1281" t="str">
        <f>"54171"</f>
        <v>54171</v>
      </c>
      <c r="AI1281" t="s">
        <v>130</v>
      </c>
      <c r="AJ1281" t="s">
        <v>3795</v>
      </c>
      <c r="AK1281" t="s">
        <v>3796</v>
      </c>
      <c r="AM1281" t="s">
        <v>2000</v>
      </c>
      <c r="AN1281" t="s">
        <v>565</v>
      </c>
      <c r="AO1281" t="s">
        <v>220</v>
      </c>
      <c r="AP1281" t="s">
        <v>172</v>
      </c>
      <c r="AQ1281" s="5">
        <v>94104</v>
      </c>
      <c r="AR1281" t="s">
        <v>128</v>
      </c>
      <c r="AT1281" s="4">
        <v>14157717500</v>
      </c>
      <c r="AV1281" t="s">
        <v>5325</v>
      </c>
      <c r="AW1281" t="s">
        <v>5443</v>
      </c>
      <c r="AX1281" t="s">
        <v>131</v>
      </c>
      <c r="AY1281" t="s">
        <v>131</v>
      </c>
      <c r="AZ1281" t="s">
        <v>131</v>
      </c>
      <c r="BA1281" t="s">
        <v>131</v>
      </c>
      <c r="BB1281" t="s">
        <v>131</v>
      </c>
      <c r="BC1281" t="s">
        <v>131</v>
      </c>
      <c r="BD1281" t="s">
        <v>131</v>
      </c>
      <c r="BE1281" t="s">
        <v>132</v>
      </c>
      <c r="BH1281" t="s">
        <v>3348</v>
      </c>
      <c r="BI1281" t="s">
        <v>131</v>
      </c>
      <c r="BL1281" t="s">
        <v>133</v>
      </c>
      <c r="BN1281" t="s">
        <v>5444</v>
      </c>
      <c r="BO1281" t="s">
        <v>131</v>
      </c>
      <c r="BP1281" t="s">
        <v>134</v>
      </c>
      <c r="BQ1281" t="s">
        <v>131</v>
      </c>
      <c r="BS1281" t="str">
        <f t="shared" si="88"/>
        <v>N/A</v>
      </c>
      <c r="BT1281" t="s">
        <v>135</v>
      </c>
      <c r="BU1281">
        <v>60</v>
      </c>
      <c r="BV1281" t="str">
        <f>"In job offered, or in a related occupation. "</f>
        <v xml:space="preserve">In job offered, or in a related occupation. </v>
      </c>
      <c r="BW1281" t="s">
        <v>135</v>
      </c>
      <c r="BX1281" t="str">
        <f>""</f>
        <v/>
      </c>
      <c r="BY1281" t="str">
        <f>""</f>
        <v/>
      </c>
      <c r="BZ1281" t="str">
        <f>""</f>
        <v/>
      </c>
      <c r="CA1281" t="str">
        <f>"Experience must include: 
1) Java development; 
2) Microservices development &amp; 12-Factor design; 
3) Unit testing frameworks; 
4) Agile development practices; 
5) Cloud-based services."</f>
        <v>Experience must include: 
1) Java development; 
2) Microservices development &amp; 12-Factor design; 
3) Unit testing frameworks; 
4) Agile development practices; 
5) Cloud-based services.</v>
      </c>
      <c r="CB1281" t="s">
        <v>131</v>
      </c>
      <c r="CF1281" t="s">
        <v>131</v>
      </c>
      <c r="CH1281" t="str">
        <f>""</f>
        <v/>
      </c>
      <c r="CI1281" t="s">
        <v>131</v>
      </c>
      <c r="CK1281" t="s">
        <v>131</v>
      </c>
      <c r="CL1281" t="str">
        <f>""</f>
        <v/>
      </c>
      <c r="CM1281" t="str">
        <f>""</f>
        <v/>
      </c>
      <c r="CN1281" t="str">
        <f>""</f>
        <v/>
      </c>
      <c r="CO1281" t="str">
        <f>""</f>
        <v/>
      </c>
      <c r="CP1281" t="str">
        <f>"15-1133.00"</f>
        <v>15-1133.00</v>
      </c>
      <c r="CQ1281" t="s">
        <v>648</v>
      </c>
      <c r="CS1281" t="s">
        <v>131</v>
      </c>
      <c r="CU1281" t="s">
        <v>5326</v>
      </c>
      <c r="CV1281" t="s">
        <v>439</v>
      </c>
      <c r="CW1281" t="s">
        <v>371</v>
      </c>
      <c r="CX1281" t="s">
        <v>172</v>
      </c>
      <c r="CZ1281" s="3" t="str">
        <f>"98101"</f>
        <v>98101</v>
      </c>
      <c r="DA1281" t="s">
        <v>131</v>
      </c>
      <c r="DB1281" t="str">
        <f>""</f>
        <v/>
      </c>
      <c r="DF1281" t="str">
        <f>""</f>
        <v/>
      </c>
    </row>
    <row r="1282" spans="1:110" ht="15" customHeight="1" x14ac:dyDescent="0.35">
      <c r="A1282" t="s">
        <v>3906</v>
      </c>
      <c r="B1282" t="s">
        <v>138</v>
      </c>
      <c r="C1282" s="1">
        <v>44322</v>
      </c>
      <c r="G1282" s="1">
        <v>44326</v>
      </c>
      <c r="H1282" t="s">
        <v>125</v>
      </c>
      <c r="I1282" t="s">
        <v>1552</v>
      </c>
      <c r="J1282" t="s">
        <v>1553</v>
      </c>
      <c r="L1282" t="s">
        <v>1554</v>
      </c>
      <c r="M1282" t="s">
        <v>1555</v>
      </c>
      <c r="O1282" t="s">
        <v>1556</v>
      </c>
      <c r="P1282" t="s">
        <v>178</v>
      </c>
      <c r="Q1282" s="3">
        <v>95014</v>
      </c>
      <c r="R1282" t="s">
        <v>128</v>
      </c>
      <c r="T1282" s="4">
        <v>14089742562</v>
      </c>
      <c r="V1282" t="s">
        <v>1557</v>
      </c>
      <c r="W1282" t="s">
        <v>1558</v>
      </c>
      <c r="Y1282" t="s">
        <v>1559</v>
      </c>
      <c r="AA1282" t="s">
        <v>1560</v>
      </c>
      <c r="AB1282" t="s">
        <v>172</v>
      </c>
      <c r="AC1282" s="3" t="str">
        <f>"95014"</f>
        <v>95014</v>
      </c>
      <c r="AD1282" t="s">
        <v>128</v>
      </c>
      <c r="AF1282" s="4">
        <v>14089742562</v>
      </c>
      <c r="AH1282" t="str">
        <f>"33411"</f>
        <v>33411</v>
      </c>
      <c r="AI1282" t="s">
        <v>130</v>
      </c>
      <c r="AJ1282" t="s">
        <v>3476</v>
      </c>
      <c r="AK1282" t="s">
        <v>781</v>
      </c>
      <c r="AM1282" t="s">
        <v>1563</v>
      </c>
      <c r="AN1282" t="s">
        <v>997</v>
      </c>
      <c r="AO1282" t="s">
        <v>220</v>
      </c>
      <c r="AP1282" t="s">
        <v>172</v>
      </c>
      <c r="AQ1282" s="5">
        <v>94111</v>
      </c>
      <c r="AR1282" t="s">
        <v>128</v>
      </c>
      <c r="AT1282" s="4">
        <v>14159861446</v>
      </c>
      <c r="AV1282" t="s">
        <v>1564</v>
      </c>
      <c r="AW1282" t="s">
        <v>386</v>
      </c>
      <c r="AX1282" t="s">
        <v>131</v>
      </c>
      <c r="AY1282" t="s">
        <v>131</v>
      </c>
      <c r="AZ1282" t="s">
        <v>131</v>
      </c>
      <c r="BA1282" t="s">
        <v>131</v>
      </c>
      <c r="BB1282" t="s">
        <v>131</v>
      </c>
      <c r="BC1282" t="s">
        <v>131</v>
      </c>
      <c r="BD1282" t="s">
        <v>131</v>
      </c>
      <c r="BE1282" t="s">
        <v>160</v>
      </c>
      <c r="BF1282" t="s">
        <v>2499</v>
      </c>
      <c r="BG1282" s="1">
        <v>44270</v>
      </c>
      <c r="BH1282" t="s">
        <v>3907</v>
      </c>
      <c r="BI1282" t="s">
        <v>131</v>
      </c>
      <c r="BL1282" t="s">
        <v>188</v>
      </c>
      <c r="BN1282" t="s">
        <v>3908</v>
      </c>
      <c r="BO1282" t="s">
        <v>131</v>
      </c>
      <c r="BP1282" t="s">
        <v>134</v>
      </c>
      <c r="BQ1282" t="s">
        <v>131</v>
      </c>
      <c r="BS1282" t="str">
        <f t="shared" si="88"/>
        <v>N/A</v>
      </c>
      <c r="BT1282" t="s">
        <v>135</v>
      </c>
      <c r="BU1282">
        <v>12</v>
      </c>
      <c r="BV1282" t="str">
        <f>"See section F.a.2."</f>
        <v>See section F.a.2.</v>
      </c>
      <c r="BW1282" t="s">
        <v>135</v>
      </c>
      <c r="BX1282" t="str">
        <f>""</f>
        <v/>
      </c>
      <c r="BY1282" t="str">
        <f>""</f>
        <v/>
      </c>
      <c r="BZ1282" t="str">
        <f>""</f>
        <v/>
      </c>
      <c r="CA1282" t="str">
        <f>"See section F.a.2."</f>
        <v>See section F.a.2.</v>
      </c>
      <c r="CB1282" t="s">
        <v>131</v>
      </c>
      <c r="CF1282" t="s">
        <v>131</v>
      </c>
      <c r="CH1282" t="str">
        <f>""</f>
        <v/>
      </c>
      <c r="CI1282" t="s">
        <v>131</v>
      </c>
      <c r="CK1282" t="s">
        <v>131</v>
      </c>
      <c r="CL1282" t="str">
        <f>""</f>
        <v/>
      </c>
      <c r="CM1282" t="str">
        <f>""</f>
        <v/>
      </c>
      <c r="CN1282" t="str">
        <f>""</f>
        <v/>
      </c>
      <c r="CO1282" t="str">
        <f>""</f>
        <v/>
      </c>
      <c r="CP1282" t="str">
        <f>"15-1133.00"</f>
        <v>15-1133.00</v>
      </c>
      <c r="CQ1282" t="s">
        <v>648</v>
      </c>
      <c r="CR1282" t="s">
        <v>3807</v>
      </c>
      <c r="CS1282" t="s">
        <v>131</v>
      </c>
      <c r="CU1282" t="s">
        <v>1559</v>
      </c>
      <c r="CW1282" t="s">
        <v>3909</v>
      </c>
      <c r="CX1282" t="s">
        <v>172</v>
      </c>
      <c r="CZ1282" s="3" t="str">
        <f>"95014"</f>
        <v>95014</v>
      </c>
      <c r="DA1282" t="s">
        <v>131</v>
      </c>
      <c r="DB1282" t="str">
        <f>""</f>
        <v/>
      </c>
      <c r="DF1282" t="str">
        <f>""</f>
        <v/>
      </c>
    </row>
    <row r="1283" spans="1:110" ht="15" customHeight="1" x14ac:dyDescent="0.35">
      <c r="A1283" t="s">
        <v>14862</v>
      </c>
      <c r="B1283" t="s">
        <v>138</v>
      </c>
      <c r="C1283" s="1">
        <v>44322</v>
      </c>
      <c r="G1283" s="1">
        <v>44322</v>
      </c>
      <c r="H1283" t="s">
        <v>125</v>
      </c>
      <c r="I1283" t="s">
        <v>1187</v>
      </c>
      <c r="J1283" t="s">
        <v>9546</v>
      </c>
      <c r="K1283" t="s">
        <v>134</v>
      </c>
      <c r="L1283" t="s">
        <v>9547</v>
      </c>
      <c r="M1283" t="s">
        <v>9548</v>
      </c>
      <c r="O1283" t="s">
        <v>1189</v>
      </c>
      <c r="P1283" t="s">
        <v>178</v>
      </c>
      <c r="Q1283" s="3">
        <v>95054</v>
      </c>
      <c r="R1283" t="s">
        <v>128</v>
      </c>
      <c r="T1283" s="4">
        <v>14082167010</v>
      </c>
      <c r="V1283" t="s">
        <v>9549</v>
      </c>
      <c r="W1283" t="s">
        <v>9550</v>
      </c>
      <c r="X1283" t="s">
        <v>134</v>
      </c>
      <c r="Y1283" t="s">
        <v>9551</v>
      </c>
      <c r="AA1283" t="s">
        <v>1189</v>
      </c>
      <c r="AB1283" t="s">
        <v>172</v>
      </c>
      <c r="AC1283" s="3" t="str">
        <f>"95054"</f>
        <v>95054</v>
      </c>
      <c r="AD1283" t="s">
        <v>128</v>
      </c>
      <c r="AF1283" s="4">
        <v>14082167010</v>
      </c>
      <c r="AH1283" t="str">
        <f>"54151"</f>
        <v>54151</v>
      </c>
      <c r="AI1283" t="s">
        <v>130</v>
      </c>
      <c r="AJ1283" t="s">
        <v>1185</v>
      </c>
      <c r="AK1283" t="s">
        <v>1186</v>
      </c>
      <c r="AL1283" t="s">
        <v>1187</v>
      </c>
      <c r="AM1283" t="s">
        <v>1188</v>
      </c>
      <c r="AO1283" t="s">
        <v>1189</v>
      </c>
      <c r="AP1283" t="s">
        <v>172</v>
      </c>
      <c r="AQ1283" s="5">
        <v>95054</v>
      </c>
      <c r="AR1283" t="s">
        <v>128</v>
      </c>
      <c r="AT1283" s="4">
        <v>14089700100</v>
      </c>
      <c r="AV1283" t="s">
        <v>6696</v>
      </c>
      <c r="AW1283" t="s">
        <v>1191</v>
      </c>
      <c r="AX1283" t="s">
        <v>131</v>
      </c>
      <c r="AY1283" t="s">
        <v>131</v>
      </c>
      <c r="AZ1283" t="s">
        <v>131</v>
      </c>
      <c r="BA1283" t="s">
        <v>131</v>
      </c>
      <c r="BB1283" t="s">
        <v>131</v>
      </c>
      <c r="BC1283" t="s">
        <v>131</v>
      </c>
      <c r="BD1283" t="s">
        <v>131</v>
      </c>
      <c r="BE1283" t="s">
        <v>132</v>
      </c>
      <c r="BH1283" t="s">
        <v>7708</v>
      </c>
      <c r="BI1283" t="s">
        <v>131</v>
      </c>
      <c r="BL1283" t="s">
        <v>133</v>
      </c>
      <c r="BN1283" t="s">
        <v>12925</v>
      </c>
      <c r="BO1283" t="s">
        <v>131</v>
      </c>
      <c r="BP1283" t="s">
        <v>134</v>
      </c>
      <c r="BQ1283" t="s">
        <v>131</v>
      </c>
      <c r="BS1283" t="str">
        <f t="shared" si="88"/>
        <v>N/A</v>
      </c>
      <c r="BT1283" t="s">
        <v>135</v>
      </c>
      <c r="BU1283">
        <v>60</v>
      </c>
      <c r="BV1283" t="str">
        <f>"Software Developer, Programmer, Software Professional, Technical Lead, IT Analyst or related."</f>
        <v>Software Developer, Programmer, Software Professional, Technical Lead, IT Analyst or related.</v>
      </c>
      <c r="BW1283" t="s">
        <v>131</v>
      </c>
      <c r="BX1283" t="str">
        <f>""</f>
        <v/>
      </c>
      <c r="BY1283" t="str">
        <f>""</f>
        <v/>
      </c>
      <c r="BZ1283" t="str">
        <f>""</f>
        <v/>
      </c>
      <c r="CA1283" t="str">
        <f>""</f>
        <v/>
      </c>
      <c r="CB1283" t="s">
        <v>131</v>
      </c>
      <c r="CF1283" t="s">
        <v>131</v>
      </c>
      <c r="CH1283" t="str">
        <f>""</f>
        <v/>
      </c>
      <c r="CI1283" t="s">
        <v>131</v>
      </c>
      <c r="CK1283" t="s">
        <v>131</v>
      </c>
      <c r="CL1283" t="str">
        <f>""</f>
        <v/>
      </c>
      <c r="CM1283" t="str">
        <f>""</f>
        <v/>
      </c>
      <c r="CN1283" t="str">
        <f>""</f>
        <v/>
      </c>
      <c r="CO1283" t="str">
        <f>""</f>
        <v/>
      </c>
      <c r="CP1283" t="str">
        <f>"15-1199.02"</f>
        <v>15-1199.02</v>
      </c>
      <c r="CQ1283" t="s">
        <v>2269</v>
      </c>
      <c r="CR1283" t="s">
        <v>7708</v>
      </c>
      <c r="CS1283" t="s">
        <v>135</v>
      </c>
      <c r="CT1283" t="s">
        <v>12926</v>
      </c>
      <c r="CU1283" t="s">
        <v>12927</v>
      </c>
      <c r="CV1283" t="s">
        <v>9555</v>
      </c>
      <c r="CW1283" t="s">
        <v>650</v>
      </c>
      <c r="CX1283" t="s">
        <v>172</v>
      </c>
      <c r="CZ1283" s="3" t="str">
        <f>"95054"</f>
        <v>95054</v>
      </c>
      <c r="DA1283" t="s">
        <v>131</v>
      </c>
      <c r="DB1283" t="str">
        <f>""</f>
        <v/>
      </c>
      <c r="DF1283" t="str">
        <f>""</f>
        <v/>
      </c>
    </row>
    <row r="1284" spans="1:110" ht="15" customHeight="1" x14ac:dyDescent="0.35">
      <c r="A1284" t="s">
        <v>14039</v>
      </c>
      <c r="B1284" t="s">
        <v>138</v>
      </c>
      <c r="C1284" s="1">
        <v>44322</v>
      </c>
      <c r="G1284" s="1">
        <v>44327</v>
      </c>
      <c r="H1284" t="s">
        <v>125</v>
      </c>
      <c r="I1284" t="s">
        <v>860</v>
      </c>
      <c r="J1284" t="s">
        <v>14040</v>
      </c>
      <c r="L1284" t="s">
        <v>14041</v>
      </c>
      <c r="M1284" t="s">
        <v>14042</v>
      </c>
      <c r="N1284" t="s">
        <v>14043</v>
      </c>
      <c r="O1284" t="s">
        <v>12238</v>
      </c>
      <c r="P1284" t="s">
        <v>2675</v>
      </c>
      <c r="Q1284" s="3">
        <v>89107</v>
      </c>
      <c r="R1284" t="s">
        <v>128</v>
      </c>
      <c r="T1284" s="4">
        <v>17024010000</v>
      </c>
      <c r="V1284" t="s">
        <v>14044</v>
      </c>
      <c r="W1284" t="s">
        <v>14045</v>
      </c>
      <c r="Y1284" t="s">
        <v>14042</v>
      </c>
      <c r="Z1284" t="s">
        <v>14043</v>
      </c>
      <c r="AA1284" t="s">
        <v>12238</v>
      </c>
      <c r="AB1284" t="s">
        <v>1073</v>
      </c>
      <c r="AC1284" s="3" t="str">
        <f>"89107"</f>
        <v>89107</v>
      </c>
      <c r="AD1284" t="s">
        <v>128</v>
      </c>
      <c r="AF1284" s="4">
        <v>17024010000</v>
      </c>
      <c r="AH1284" t="str">
        <f>"541611"</f>
        <v>541611</v>
      </c>
      <c r="AI1284" t="s">
        <v>130</v>
      </c>
      <c r="AJ1284" t="s">
        <v>9926</v>
      </c>
      <c r="AK1284" t="s">
        <v>1419</v>
      </c>
      <c r="AL1284" t="s">
        <v>268</v>
      </c>
      <c r="AM1284" t="s">
        <v>1199</v>
      </c>
      <c r="AN1284" t="s">
        <v>14046</v>
      </c>
      <c r="AO1284" t="s">
        <v>4813</v>
      </c>
      <c r="AP1284" t="s">
        <v>172</v>
      </c>
      <c r="AQ1284" s="5">
        <v>91301</v>
      </c>
      <c r="AR1284" t="s">
        <v>128</v>
      </c>
      <c r="AT1284" s="4">
        <v>18189146482</v>
      </c>
      <c r="AV1284" t="s">
        <v>1201</v>
      </c>
      <c r="AW1284" t="s">
        <v>4814</v>
      </c>
      <c r="AX1284" t="s">
        <v>131</v>
      </c>
      <c r="AY1284" t="s">
        <v>131</v>
      </c>
      <c r="AZ1284" t="s">
        <v>131</v>
      </c>
      <c r="BA1284" t="s">
        <v>131</v>
      </c>
      <c r="BB1284" t="s">
        <v>131</v>
      </c>
      <c r="BC1284" t="s">
        <v>131</v>
      </c>
      <c r="BD1284" t="s">
        <v>131</v>
      </c>
      <c r="BE1284" t="s">
        <v>132</v>
      </c>
      <c r="BH1284" t="s">
        <v>6766</v>
      </c>
      <c r="BI1284" t="s">
        <v>131</v>
      </c>
      <c r="BL1284" t="s">
        <v>133</v>
      </c>
      <c r="BN1284" t="s">
        <v>1284</v>
      </c>
      <c r="BO1284" t="s">
        <v>131</v>
      </c>
      <c r="BP1284" t="s">
        <v>134</v>
      </c>
      <c r="BQ1284" t="s">
        <v>131</v>
      </c>
      <c r="BS1284" t="str">
        <f t="shared" si="88"/>
        <v>N/A</v>
      </c>
      <c r="BT1284" t="s">
        <v>135</v>
      </c>
      <c r="BU1284">
        <v>24</v>
      </c>
      <c r="BV1284" t="str">
        <f>"See F.a.2. "</f>
        <v xml:space="preserve">See F.a.2. </v>
      </c>
      <c r="BW1284" t="s">
        <v>135</v>
      </c>
      <c r="BX1284" t="str">
        <f>""</f>
        <v/>
      </c>
      <c r="BY1284" t="str">
        <f>""</f>
        <v/>
      </c>
      <c r="BZ1284" t="str">
        <f>""</f>
        <v/>
      </c>
      <c r="CA1284" s="2" t="s">
        <v>14047</v>
      </c>
      <c r="CB1284" t="s">
        <v>131</v>
      </c>
      <c r="CF1284" t="s">
        <v>131</v>
      </c>
      <c r="CH1284" t="str">
        <f>""</f>
        <v/>
      </c>
      <c r="CI1284" t="s">
        <v>131</v>
      </c>
      <c r="CK1284" t="s">
        <v>131</v>
      </c>
      <c r="CL1284" t="str">
        <f>""</f>
        <v/>
      </c>
      <c r="CM1284" t="str">
        <f>""</f>
        <v/>
      </c>
      <c r="CN1284" t="str">
        <f>""</f>
        <v/>
      </c>
      <c r="CO1284" t="str">
        <f>""</f>
        <v/>
      </c>
      <c r="CP1284" t="str">
        <f>"11-1021.00"</f>
        <v>11-1021.00</v>
      </c>
      <c r="CQ1284" t="s">
        <v>1296</v>
      </c>
      <c r="CR1284" t="s">
        <v>13608</v>
      </c>
      <c r="CS1284" t="s">
        <v>135</v>
      </c>
      <c r="CT1284" t="s">
        <v>1284</v>
      </c>
      <c r="CU1284" t="s">
        <v>14042</v>
      </c>
      <c r="CV1284" t="s">
        <v>14043</v>
      </c>
      <c r="CW1284" t="s">
        <v>12238</v>
      </c>
      <c r="CX1284" t="s">
        <v>1073</v>
      </c>
      <c r="CZ1284" s="3" t="str">
        <f>"89107"</f>
        <v>89107</v>
      </c>
      <c r="DA1284" t="s">
        <v>131</v>
      </c>
      <c r="DB1284" t="str">
        <f>""</f>
        <v/>
      </c>
      <c r="DF1284" t="str">
        <f>""</f>
        <v/>
      </c>
    </row>
    <row r="1285" spans="1:110" ht="15" customHeight="1" x14ac:dyDescent="0.35">
      <c r="A1285" t="s">
        <v>16179</v>
      </c>
      <c r="B1285" t="s">
        <v>138</v>
      </c>
      <c r="C1285" s="1">
        <v>44322</v>
      </c>
      <c r="G1285" s="1">
        <v>44322</v>
      </c>
      <c r="H1285" t="s">
        <v>125</v>
      </c>
      <c r="I1285" t="s">
        <v>1187</v>
      </c>
      <c r="J1285" t="s">
        <v>9546</v>
      </c>
      <c r="K1285" t="s">
        <v>134</v>
      </c>
      <c r="L1285" t="s">
        <v>9547</v>
      </c>
      <c r="M1285" t="s">
        <v>9548</v>
      </c>
      <c r="O1285" t="s">
        <v>1189</v>
      </c>
      <c r="P1285" t="s">
        <v>178</v>
      </c>
      <c r="Q1285" s="3">
        <v>95054</v>
      </c>
      <c r="R1285" t="s">
        <v>128</v>
      </c>
      <c r="T1285" s="4">
        <v>14082167010</v>
      </c>
      <c r="V1285" t="s">
        <v>9549</v>
      </c>
      <c r="W1285" t="s">
        <v>9550</v>
      </c>
      <c r="X1285" t="s">
        <v>134</v>
      </c>
      <c r="Y1285" t="s">
        <v>9551</v>
      </c>
      <c r="AA1285" t="s">
        <v>1189</v>
      </c>
      <c r="AB1285" t="s">
        <v>172</v>
      </c>
      <c r="AC1285" s="3" t="str">
        <f>"95054"</f>
        <v>95054</v>
      </c>
      <c r="AD1285" t="s">
        <v>128</v>
      </c>
      <c r="AF1285" s="4">
        <v>14082167010</v>
      </c>
      <c r="AH1285" t="str">
        <f>"54151"</f>
        <v>54151</v>
      </c>
      <c r="AI1285" t="s">
        <v>130</v>
      </c>
      <c r="AJ1285" t="s">
        <v>1185</v>
      </c>
      <c r="AK1285" t="s">
        <v>1186</v>
      </c>
      <c r="AL1285" t="s">
        <v>1187</v>
      </c>
      <c r="AM1285" t="s">
        <v>1188</v>
      </c>
      <c r="AO1285" t="s">
        <v>1189</v>
      </c>
      <c r="AP1285" t="s">
        <v>172</v>
      </c>
      <c r="AQ1285" s="5">
        <v>95054</v>
      </c>
      <c r="AR1285" t="s">
        <v>128</v>
      </c>
      <c r="AT1285" s="4">
        <v>14089700100</v>
      </c>
      <c r="AV1285" t="s">
        <v>6696</v>
      </c>
      <c r="AW1285" t="s">
        <v>1191</v>
      </c>
      <c r="AX1285" t="s">
        <v>131</v>
      </c>
      <c r="AY1285" t="s">
        <v>131</v>
      </c>
      <c r="AZ1285" t="s">
        <v>131</v>
      </c>
      <c r="BA1285" t="s">
        <v>131</v>
      </c>
      <c r="BB1285" t="s">
        <v>131</v>
      </c>
      <c r="BC1285" t="s">
        <v>131</v>
      </c>
      <c r="BD1285" t="s">
        <v>131</v>
      </c>
      <c r="BE1285" t="s">
        <v>132</v>
      </c>
      <c r="BH1285" t="s">
        <v>7708</v>
      </c>
      <c r="BI1285" t="s">
        <v>131</v>
      </c>
      <c r="BL1285" t="s">
        <v>133</v>
      </c>
      <c r="BN1285" t="s">
        <v>12925</v>
      </c>
      <c r="BO1285" t="s">
        <v>131</v>
      </c>
      <c r="BP1285" t="s">
        <v>134</v>
      </c>
      <c r="BQ1285" t="s">
        <v>131</v>
      </c>
      <c r="BS1285" t="str">
        <f t="shared" si="88"/>
        <v>N/A</v>
      </c>
      <c r="BT1285" t="s">
        <v>135</v>
      </c>
      <c r="BU1285">
        <v>24</v>
      </c>
      <c r="BV1285" t="str">
        <f>"Software Developer, Programmer, Software Professional, Technical Lead, IT Analyst or related. "</f>
        <v xml:space="preserve">Software Developer, Programmer, Software Professional, Technical Lead, IT Analyst or related. </v>
      </c>
      <c r="BW1285" t="s">
        <v>131</v>
      </c>
      <c r="BX1285" t="str">
        <f>""</f>
        <v/>
      </c>
      <c r="BY1285" t="str">
        <f>""</f>
        <v/>
      </c>
      <c r="BZ1285" t="str">
        <f>""</f>
        <v/>
      </c>
      <c r="CA1285" t="str">
        <f>""</f>
        <v/>
      </c>
      <c r="CB1285" t="s">
        <v>131</v>
      </c>
      <c r="CF1285" t="s">
        <v>131</v>
      </c>
      <c r="CH1285" t="str">
        <f>""</f>
        <v/>
      </c>
      <c r="CI1285" t="s">
        <v>131</v>
      </c>
      <c r="CK1285" t="s">
        <v>131</v>
      </c>
      <c r="CL1285" t="str">
        <f>""</f>
        <v/>
      </c>
      <c r="CM1285" t="str">
        <f>""</f>
        <v/>
      </c>
      <c r="CN1285" t="str">
        <f>""</f>
        <v/>
      </c>
      <c r="CO1285" t="str">
        <f>""</f>
        <v/>
      </c>
      <c r="CP1285" t="str">
        <f>"15-1199.02"</f>
        <v>15-1199.02</v>
      </c>
      <c r="CQ1285" t="s">
        <v>2269</v>
      </c>
      <c r="CR1285" t="s">
        <v>7708</v>
      </c>
      <c r="CS1285" t="s">
        <v>135</v>
      </c>
      <c r="CT1285" t="s">
        <v>12926</v>
      </c>
      <c r="CU1285" t="s">
        <v>12927</v>
      </c>
      <c r="CV1285" t="s">
        <v>9555</v>
      </c>
      <c r="CW1285" t="s">
        <v>650</v>
      </c>
      <c r="CX1285" t="s">
        <v>172</v>
      </c>
      <c r="CZ1285" s="3" t="str">
        <f>"95054"</f>
        <v>95054</v>
      </c>
      <c r="DA1285" t="s">
        <v>131</v>
      </c>
      <c r="DB1285" t="str">
        <f>""</f>
        <v/>
      </c>
      <c r="DF1285" t="str">
        <f>""</f>
        <v/>
      </c>
    </row>
    <row r="1286" spans="1:110" ht="15" customHeight="1" x14ac:dyDescent="0.35">
      <c r="A1286" t="s">
        <v>19606</v>
      </c>
      <c r="B1286" t="s">
        <v>138</v>
      </c>
      <c r="C1286" s="1">
        <v>44322</v>
      </c>
      <c r="G1286" s="1">
        <v>44342</v>
      </c>
      <c r="H1286" t="s">
        <v>125</v>
      </c>
      <c r="I1286" t="s">
        <v>1552</v>
      </c>
      <c r="J1286" t="s">
        <v>1553</v>
      </c>
      <c r="L1286" t="s">
        <v>1554</v>
      </c>
      <c r="M1286" t="s">
        <v>1555</v>
      </c>
      <c r="O1286" t="s">
        <v>1556</v>
      </c>
      <c r="P1286" t="s">
        <v>178</v>
      </c>
      <c r="Q1286" s="3">
        <v>95014</v>
      </c>
      <c r="R1286" t="s">
        <v>128</v>
      </c>
      <c r="T1286" s="4">
        <v>14089742562</v>
      </c>
      <c r="V1286" t="s">
        <v>1557</v>
      </c>
      <c r="W1286" t="s">
        <v>1558</v>
      </c>
      <c r="Y1286" t="s">
        <v>1559</v>
      </c>
      <c r="AA1286" t="s">
        <v>1560</v>
      </c>
      <c r="AB1286" t="s">
        <v>172</v>
      </c>
      <c r="AC1286" s="3" t="str">
        <f>"95014"</f>
        <v>95014</v>
      </c>
      <c r="AD1286" t="s">
        <v>128</v>
      </c>
      <c r="AF1286" s="4">
        <v>14089742562</v>
      </c>
      <c r="AH1286" t="str">
        <f>"33411"</f>
        <v>33411</v>
      </c>
      <c r="AI1286" t="s">
        <v>130</v>
      </c>
      <c r="AJ1286" t="s">
        <v>1787</v>
      </c>
      <c r="AK1286" t="s">
        <v>1788</v>
      </c>
      <c r="AM1286" t="s">
        <v>1563</v>
      </c>
      <c r="AN1286" t="s">
        <v>997</v>
      </c>
      <c r="AO1286" t="s">
        <v>220</v>
      </c>
      <c r="AP1286" t="s">
        <v>172</v>
      </c>
      <c r="AQ1286" s="5">
        <v>94111</v>
      </c>
      <c r="AR1286" t="s">
        <v>128</v>
      </c>
      <c r="AT1286" s="4">
        <v>14159861446</v>
      </c>
      <c r="AV1286" t="s">
        <v>1564</v>
      </c>
      <c r="AW1286" t="s">
        <v>386</v>
      </c>
      <c r="AX1286" t="s">
        <v>131</v>
      </c>
      <c r="AY1286" t="s">
        <v>131</v>
      </c>
      <c r="AZ1286" t="s">
        <v>131</v>
      </c>
      <c r="BA1286" t="s">
        <v>131</v>
      </c>
      <c r="BB1286" t="s">
        <v>131</v>
      </c>
      <c r="BC1286" t="s">
        <v>131</v>
      </c>
      <c r="BD1286" t="s">
        <v>131</v>
      </c>
      <c r="BE1286" t="s">
        <v>160</v>
      </c>
      <c r="BF1286" t="s">
        <v>2499</v>
      </c>
      <c r="BG1286" s="1">
        <v>44270</v>
      </c>
      <c r="BH1286" t="s">
        <v>3441</v>
      </c>
      <c r="BI1286" t="s">
        <v>131</v>
      </c>
      <c r="BL1286" t="s">
        <v>188</v>
      </c>
      <c r="BN1286" t="s">
        <v>3908</v>
      </c>
      <c r="BO1286" t="s">
        <v>131</v>
      </c>
      <c r="BP1286" t="s">
        <v>134</v>
      </c>
      <c r="BQ1286" t="s">
        <v>131</v>
      </c>
      <c r="BS1286" t="str">
        <f t="shared" si="88"/>
        <v>N/A</v>
      </c>
      <c r="BT1286" t="s">
        <v>135</v>
      </c>
      <c r="BU1286">
        <v>24</v>
      </c>
      <c r="BV1286" t="str">
        <f>"See section F.a.2."</f>
        <v>See section F.a.2.</v>
      </c>
      <c r="BW1286" t="s">
        <v>135</v>
      </c>
      <c r="BX1286" t="str">
        <f>""</f>
        <v/>
      </c>
      <c r="BY1286" t="str">
        <f>""</f>
        <v/>
      </c>
      <c r="BZ1286" t="str">
        <f>""</f>
        <v/>
      </c>
      <c r="CA1286" t="str">
        <f>"See section F.a.2."</f>
        <v>See section F.a.2.</v>
      </c>
      <c r="CB1286" t="s">
        <v>131</v>
      </c>
      <c r="CF1286" t="s">
        <v>131</v>
      </c>
      <c r="CH1286" t="str">
        <f>""</f>
        <v/>
      </c>
      <c r="CI1286" t="s">
        <v>131</v>
      </c>
      <c r="CK1286" t="s">
        <v>131</v>
      </c>
      <c r="CL1286" t="str">
        <f>""</f>
        <v/>
      </c>
      <c r="CM1286" t="str">
        <f>""</f>
        <v/>
      </c>
      <c r="CN1286" t="str">
        <f>""</f>
        <v/>
      </c>
      <c r="CO1286" t="str">
        <f>""</f>
        <v/>
      </c>
      <c r="CP1286" t="str">
        <f>"15-1133.00"</f>
        <v>15-1133.00</v>
      </c>
      <c r="CQ1286" t="s">
        <v>648</v>
      </c>
      <c r="CR1286" t="s">
        <v>392</v>
      </c>
      <c r="CS1286" t="s">
        <v>131</v>
      </c>
      <c r="CU1286" t="s">
        <v>1559</v>
      </c>
      <c r="CW1286" t="s">
        <v>3909</v>
      </c>
      <c r="CX1286" t="s">
        <v>172</v>
      </c>
      <c r="CZ1286" s="3" t="str">
        <f>"95014"</f>
        <v>95014</v>
      </c>
      <c r="DA1286" t="s">
        <v>131</v>
      </c>
      <c r="DB1286" t="str">
        <f>""</f>
        <v/>
      </c>
      <c r="DF1286" t="str">
        <f>""</f>
        <v/>
      </c>
    </row>
    <row r="1287" spans="1:110" ht="15" customHeight="1" x14ac:dyDescent="0.35">
      <c r="A1287" t="s">
        <v>12924</v>
      </c>
      <c r="B1287" t="s">
        <v>138</v>
      </c>
      <c r="C1287" s="1">
        <v>44322</v>
      </c>
      <c r="G1287" s="1">
        <v>44322</v>
      </c>
      <c r="H1287" t="s">
        <v>125</v>
      </c>
      <c r="I1287" t="s">
        <v>1187</v>
      </c>
      <c r="J1287" t="s">
        <v>9546</v>
      </c>
      <c r="K1287" t="s">
        <v>134</v>
      </c>
      <c r="L1287" t="s">
        <v>9547</v>
      </c>
      <c r="M1287" t="s">
        <v>9548</v>
      </c>
      <c r="O1287" t="s">
        <v>1189</v>
      </c>
      <c r="P1287" t="s">
        <v>178</v>
      </c>
      <c r="Q1287" s="3">
        <v>95054</v>
      </c>
      <c r="R1287" t="s">
        <v>128</v>
      </c>
      <c r="T1287" s="4">
        <v>14082167010</v>
      </c>
      <c r="V1287" t="s">
        <v>9549</v>
      </c>
      <c r="W1287" t="s">
        <v>9550</v>
      </c>
      <c r="X1287" t="s">
        <v>134</v>
      </c>
      <c r="Y1287" t="s">
        <v>9551</v>
      </c>
      <c r="AA1287" t="s">
        <v>1189</v>
      </c>
      <c r="AB1287" t="s">
        <v>172</v>
      </c>
      <c r="AC1287" s="3" t="str">
        <f>"95054"</f>
        <v>95054</v>
      </c>
      <c r="AD1287" t="s">
        <v>128</v>
      </c>
      <c r="AF1287" s="4">
        <v>14082167010</v>
      </c>
      <c r="AH1287" t="str">
        <f>"54151"</f>
        <v>54151</v>
      </c>
      <c r="AI1287" t="s">
        <v>130</v>
      </c>
      <c r="AJ1287" t="s">
        <v>1185</v>
      </c>
      <c r="AK1287" t="s">
        <v>1186</v>
      </c>
      <c r="AL1287" t="s">
        <v>1187</v>
      </c>
      <c r="AM1287" t="s">
        <v>1188</v>
      </c>
      <c r="AO1287" t="s">
        <v>1189</v>
      </c>
      <c r="AP1287" t="s">
        <v>172</v>
      </c>
      <c r="AQ1287" s="5">
        <v>95054</v>
      </c>
      <c r="AR1287" t="s">
        <v>128</v>
      </c>
      <c r="AT1287" s="4">
        <v>14089700100</v>
      </c>
      <c r="AV1287" t="s">
        <v>6696</v>
      </c>
      <c r="AW1287" t="s">
        <v>1191</v>
      </c>
      <c r="AX1287" t="s">
        <v>131</v>
      </c>
      <c r="AY1287" t="s">
        <v>131</v>
      </c>
      <c r="AZ1287" t="s">
        <v>131</v>
      </c>
      <c r="BA1287" t="s">
        <v>131</v>
      </c>
      <c r="BB1287" t="s">
        <v>131</v>
      </c>
      <c r="BC1287" t="s">
        <v>131</v>
      </c>
      <c r="BD1287" t="s">
        <v>131</v>
      </c>
      <c r="BE1287" t="s">
        <v>132</v>
      </c>
      <c r="BH1287" t="s">
        <v>1133</v>
      </c>
      <c r="BI1287" t="s">
        <v>131</v>
      </c>
      <c r="BL1287" t="s">
        <v>133</v>
      </c>
      <c r="BN1287" t="s">
        <v>12925</v>
      </c>
      <c r="BO1287" t="s">
        <v>131</v>
      </c>
      <c r="BP1287" t="s">
        <v>134</v>
      </c>
      <c r="BQ1287" t="s">
        <v>131</v>
      </c>
      <c r="BS1287" t="str">
        <f t="shared" si="88"/>
        <v>N/A</v>
      </c>
      <c r="BT1287" t="s">
        <v>135</v>
      </c>
      <c r="BU1287">
        <v>24</v>
      </c>
      <c r="BV1287" t="str">
        <f>"Software Developer, Programmer, Software Professional, Technical Lead, IT Analyst or related."</f>
        <v>Software Developer, Programmer, Software Professional, Technical Lead, IT Analyst or related.</v>
      </c>
      <c r="BW1287" t="s">
        <v>131</v>
      </c>
      <c r="BX1287" t="str">
        <f>""</f>
        <v/>
      </c>
      <c r="BY1287" t="str">
        <f>""</f>
        <v/>
      </c>
      <c r="BZ1287" t="str">
        <f>""</f>
        <v/>
      </c>
      <c r="CA1287" t="str">
        <f>""</f>
        <v/>
      </c>
      <c r="CB1287" t="s">
        <v>131</v>
      </c>
      <c r="CF1287" t="s">
        <v>131</v>
      </c>
      <c r="CH1287" t="str">
        <f>""</f>
        <v/>
      </c>
      <c r="CI1287" t="s">
        <v>131</v>
      </c>
      <c r="CK1287" t="s">
        <v>131</v>
      </c>
      <c r="CL1287" t="str">
        <f>""</f>
        <v/>
      </c>
      <c r="CM1287" t="str">
        <f>""</f>
        <v/>
      </c>
      <c r="CN1287" t="str">
        <f>""</f>
        <v/>
      </c>
      <c r="CO1287" t="str">
        <f>""</f>
        <v/>
      </c>
      <c r="CP1287" t="str">
        <f>"15-1132.00"</f>
        <v>15-1132.00</v>
      </c>
      <c r="CQ1287" t="s">
        <v>198</v>
      </c>
      <c r="CR1287" t="s">
        <v>1133</v>
      </c>
      <c r="CS1287" t="s">
        <v>135</v>
      </c>
      <c r="CT1287" t="s">
        <v>12926</v>
      </c>
      <c r="CU1287" t="s">
        <v>12927</v>
      </c>
      <c r="CV1287" t="s">
        <v>9555</v>
      </c>
      <c r="CW1287" t="s">
        <v>650</v>
      </c>
      <c r="CX1287" t="s">
        <v>172</v>
      </c>
      <c r="CZ1287" s="3" t="str">
        <f>"95054"</f>
        <v>95054</v>
      </c>
      <c r="DA1287" t="s">
        <v>131</v>
      </c>
      <c r="DB1287" t="str">
        <f>""</f>
        <v/>
      </c>
      <c r="DF1287" t="str">
        <f>""</f>
        <v/>
      </c>
    </row>
    <row r="1288" spans="1:110" ht="15" customHeight="1" x14ac:dyDescent="0.35">
      <c r="A1288" t="s">
        <v>19283</v>
      </c>
      <c r="B1288" t="s">
        <v>138</v>
      </c>
      <c r="C1288" s="1">
        <v>44322</v>
      </c>
      <c r="G1288" s="1">
        <v>44323</v>
      </c>
      <c r="H1288" t="s">
        <v>125</v>
      </c>
      <c r="I1288" t="s">
        <v>1187</v>
      </c>
      <c r="J1288" t="s">
        <v>9546</v>
      </c>
      <c r="K1288" t="s">
        <v>134</v>
      </c>
      <c r="L1288" t="s">
        <v>9547</v>
      </c>
      <c r="M1288" t="s">
        <v>9548</v>
      </c>
      <c r="O1288" t="s">
        <v>1189</v>
      </c>
      <c r="P1288" t="s">
        <v>178</v>
      </c>
      <c r="Q1288" s="3">
        <v>95054</v>
      </c>
      <c r="R1288" t="s">
        <v>128</v>
      </c>
      <c r="T1288" s="4">
        <v>14082167010</v>
      </c>
      <c r="V1288" t="s">
        <v>9549</v>
      </c>
      <c r="W1288" t="s">
        <v>9550</v>
      </c>
      <c r="X1288" t="s">
        <v>134</v>
      </c>
      <c r="Y1288" t="s">
        <v>9551</v>
      </c>
      <c r="AA1288" t="s">
        <v>1189</v>
      </c>
      <c r="AB1288" t="s">
        <v>172</v>
      </c>
      <c r="AC1288" s="3" t="str">
        <f>"95054"</f>
        <v>95054</v>
      </c>
      <c r="AD1288" t="s">
        <v>128</v>
      </c>
      <c r="AF1288" s="4">
        <v>14082167010</v>
      </c>
      <c r="AH1288" t="str">
        <f>"54151"</f>
        <v>54151</v>
      </c>
      <c r="AI1288" t="s">
        <v>130</v>
      </c>
      <c r="AJ1288" t="s">
        <v>1185</v>
      </c>
      <c r="AK1288" t="s">
        <v>1186</v>
      </c>
      <c r="AL1288" t="s">
        <v>1187</v>
      </c>
      <c r="AM1288" t="s">
        <v>1188</v>
      </c>
      <c r="AO1288" t="s">
        <v>1189</v>
      </c>
      <c r="AP1288" t="s">
        <v>172</v>
      </c>
      <c r="AQ1288" s="5">
        <v>95054</v>
      </c>
      <c r="AR1288" t="s">
        <v>128</v>
      </c>
      <c r="AT1288" s="4">
        <v>14089700100</v>
      </c>
      <c r="AV1288" t="s">
        <v>6696</v>
      </c>
      <c r="AW1288" t="s">
        <v>1191</v>
      </c>
      <c r="AX1288" t="s">
        <v>131</v>
      </c>
      <c r="AY1288" t="s">
        <v>131</v>
      </c>
      <c r="AZ1288" t="s">
        <v>131</v>
      </c>
      <c r="BA1288" t="s">
        <v>131</v>
      </c>
      <c r="BB1288" t="s">
        <v>131</v>
      </c>
      <c r="BC1288" t="s">
        <v>131</v>
      </c>
      <c r="BD1288" t="s">
        <v>131</v>
      </c>
      <c r="BE1288" t="s">
        <v>132</v>
      </c>
      <c r="BH1288" t="s">
        <v>1133</v>
      </c>
      <c r="BI1288" t="s">
        <v>131</v>
      </c>
      <c r="BL1288" t="s">
        <v>133</v>
      </c>
      <c r="BN1288" t="s">
        <v>12925</v>
      </c>
      <c r="BO1288" t="s">
        <v>131</v>
      </c>
      <c r="BP1288" t="s">
        <v>134</v>
      </c>
      <c r="BQ1288" t="s">
        <v>131</v>
      </c>
      <c r="BS1288" t="str">
        <f t="shared" si="88"/>
        <v>N/A</v>
      </c>
      <c r="BT1288" t="s">
        <v>135</v>
      </c>
      <c r="BU1288">
        <v>60</v>
      </c>
      <c r="BV1288" t="str">
        <f>"Software Developer, Programmer, Software Architect, Solution Architect, Technical Lead, IT Analyst or related. "</f>
        <v xml:space="preserve">Software Developer, Programmer, Software Architect, Solution Architect, Technical Lead, IT Analyst or related. </v>
      </c>
      <c r="BW1288" t="s">
        <v>131</v>
      </c>
      <c r="BX1288" t="str">
        <f>""</f>
        <v/>
      </c>
      <c r="BY1288" t="str">
        <f>""</f>
        <v/>
      </c>
      <c r="BZ1288" t="str">
        <f>""</f>
        <v/>
      </c>
      <c r="CA1288" t="str">
        <f>""</f>
        <v/>
      </c>
      <c r="CB1288" t="s">
        <v>131</v>
      </c>
      <c r="CF1288" t="s">
        <v>131</v>
      </c>
      <c r="CH1288" t="str">
        <f>""</f>
        <v/>
      </c>
      <c r="CI1288" t="s">
        <v>131</v>
      </c>
      <c r="CK1288" t="s">
        <v>131</v>
      </c>
      <c r="CL1288" t="str">
        <f>""</f>
        <v/>
      </c>
      <c r="CM1288" t="str">
        <f>""</f>
        <v/>
      </c>
      <c r="CN1288" t="str">
        <f>""</f>
        <v/>
      </c>
      <c r="CO1288" t="str">
        <f>""</f>
        <v/>
      </c>
      <c r="CP1288" t="str">
        <f>"15-1132.00"</f>
        <v>15-1132.00</v>
      </c>
      <c r="CQ1288" t="s">
        <v>198</v>
      </c>
      <c r="CR1288" t="s">
        <v>1133</v>
      </c>
      <c r="CS1288" t="s">
        <v>135</v>
      </c>
      <c r="CT1288" t="s">
        <v>16169</v>
      </c>
      <c r="CU1288" t="s">
        <v>9550</v>
      </c>
      <c r="CV1288" t="s">
        <v>9555</v>
      </c>
      <c r="CW1288" t="s">
        <v>650</v>
      </c>
      <c r="CX1288" t="s">
        <v>172</v>
      </c>
      <c r="CZ1288" s="3" t="str">
        <f>"95054"</f>
        <v>95054</v>
      </c>
      <c r="DA1288" t="s">
        <v>131</v>
      </c>
      <c r="DB1288" t="str">
        <f>""</f>
        <v/>
      </c>
      <c r="DF1288" t="str">
        <f>""</f>
        <v/>
      </c>
    </row>
    <row r="1289" spans="1:110" ht="15" customHeight="1" x14ac:dyDescent="0.35">
      <c r="A1289" t="s">
        <v>4960</v>
      </c>
      <c r="B1289" t="s">
        <v>138</v>
      </c>
      <c r="C1289" s="1">
        <v>44322</v>
      </c>
      <c r="G1289" s="1">
        <v>44328</v>
      </c>
      <c r="H1289" t="s">
        <v>125</v>
      </c>
      <c r="I1289" t="s">
        <v>4961</v>
      </c>
      <c r="J1289" t="s">
        <v>1157</v>
      </c>
      <c r="K1289" t="s">
        <v>415</v>
      </c>
      <c r="L1289" t="s">
        <v>3782</v>
      </c>
      <c r="M1289" t="s">
        <v>4962</v>
      </c>
      <c r="N1289" t="s">
        <v>4908</v>
      </c>
      <c r="O1289" t="s">
        <v>4963</v>
      </c>
      <c r="P1289" t="s">
        <v>178</v>
      </c>
      <c r="Q1289" s="3">
        <v>91108</v>
      </c>
      <c r="R1289" t="s">
        <v>128</v>
      </c>
      <c r="T1289" s="4">
        <v>16262801772</v>
      </c>
      <c r="V1289" t="s">
        <v>4964</v>
      </c>
      <c r="W1289" t="s">
        <v>4965</v>
      </c>
      <c r="Y1289" t="s">
        <v>4966</v>
      </c>
      <c r="AA1289" t="s">
        <v>4834</v>
      </c>
      <c r="AB1289" t="s">
        <v>172</v>
      </c>
      <c r="AC1289" s="3" t="str">
        <f>"91710"</f>
        <v>91710</v>
      </c>
      <c r="AD1289" t="s">
        <v>128</v>
      </c>
      <c r="AF1289" s="4">
        <v>19092309888</v>
      </c>
      <c r="AH1289" t="str">
        <f>"322291"</f>
        <v>322291</v>
      </c>
      <c r="AI1289" t="s">
        <v>130</v>
      </c>
      <c r="AJ1289" t="s">
        <v>4961</v>
      </c>
      <c r="AK1289" t="s">
        <v>1157</v>
      </c>
      <c r="AL1289" t="s">
        <v>415</v>
      </c>
      <c r="AM1289" t="s">
        <v>4962</v>
      </c>
      <c r="AN1289" t="s">
        <v>4908</v>
      </c>
      <c r="AO1289" t="s">
        <v>4963</v>
      </c>
      <c r="AP1289" t="s">
        <v>172</v>
      </c>
      <c r="AQ1289" s="5">
        <v>91108</v>
      </c>
      <c r="AR1289" t="s">
        <v>128</v>
      </c>
      <c r="AT1289" s="4">
        <v>16262801772</v>
      </c>
      <c r="AV1289" t="s">
        <v>4964</v>
      </c>
      <c r="AW1289" t="s">
        <v>4967</v>
      </c>
      <c r="AX1289" t="s">
        <v>131</v>
      </c>
      <c r="AY1289" t="s">
        <v>131</v>
      </c>
      <c r="AZ1289" t="s">
        <v>131</v>
      </c>
      <c r="BA1289" t="s">
        <v>131</v>
      </c>
      <c r="BB1289" t="s">
        <v>131</v>
      </c>
      <c r="BC1289" t="s">
        <v>131</v>
      </c>
      <c r="BD1289" t="s">
        <v>131</v>
      </c>
      <c r="BE1289" t="s">
        <v>132</v>
      </c>
      <c r="BH1289" t="s">
        <v>4968</v>
      </c>
      <c r="BI1289" t="s">
        <v>131</v>
      </c>
      <c r="BL1289" t="s">
        <v>188</v>
      </c>
      <c r="BN1289" t="s">
        <v>4969</v>
      </c>
      <c r="BO1289" t="s">
        <v>131</v>
      </c>
      <c r="BP1289" t="s">
        <v>134</v>
      </c>
      <c r="BQ1289" t="s">
        <v>131</v>
      </c>
      <c r="BS1289" t="str">
        <f t="shared" ref="BS1289:BS1352" si="89">"N/A"</f>
        <v>N/A</v>
      </c>
      <c r="BT1289" t="s">
        <v>131</v>
      </c>
      <c r="BV1289" t="str">
        <f>""</f>
        <v/>
      </c>
      <c r="BW1289" t="s">
        <v>131</v>
      </c>
      <c r="BX1289" t="str">
        <f>""</f>
        <v/>
      </c>
      <c r="BY1289" t="str">
        <f>""</f>
        <v/>
      </c>
      <c r="BZ1289" t="str">
        <f>""</f>
        <v/>
      </c>
      <c r="CA1289" t="str">
        <f>""</f>
        <v/>
      </c>
      <c r="CB1289" t="s">
        <v>135</v>
      </c>
      <c r="CC1289" t="s">
        <v>188</v>
      </c>
      <c r="CE1289" t="s">
        <v>1984</v>
      </c>
      <c r="CF1289" t="s">
        <v>131</v>
      </c>
      <c r="CH1289" t="str">
        <f>"N/A"</f>
        <v>N/A</v>
      </c>
      <c r="CI1289" t="s">
        <v>131</v>
      </c>
      <c r="CK1289" t="s">
        <v>131</v>
      </c>
      <c r="CL1289" t="str">
        <f>""</f>
        <v/>
      </c>
      <c r="CM1289" t="str">
        <f>""</f>
        <v/>
      </c>
      <c r="CN1289" t="str">
        <f>""</f>
        <v/>
      </c>
      <c r="CO1289" t="str">
        <f>""</f>
        <v/>
      </c>
      <c r="CP1289" t="str">
        <f>"15-1141.00"</f>
        <v>15-1141.00</v>
      </c>
      <c r="CQ1289" t="s">
        <v>1576</v>
      </c>
      <c r="CR1289" t="s">
        <v>1205</v>
      </c>
      <c r="CS1289" t="s">
        <v>131</v>
      </c>
      <c r="CU1289" t="s">
        <v>4966</v>
      </c>
      <c r="CW1289" t="s">
        <v>4834</v>
      </c>
      <c r="CX1289" t="s">
        <v>172</v>
      </c>
      <c r="CZ1289" s="3" t="str">
        <f>"91710"</f>
        <v>91710</v>
      </c>
      <c r="DA1289" t="s">
        <v>131</v>
      </c>
      <c r="DB1289" t="str">
        <f>""</f>
        <v/>
      </c>
      <c r="DF1289" t="str">
        <f>""</f>
        <v/>
      </c>
    </row>
    <row r="1290" spans="1:110" ht="15" customHeight="1" x14ac:dyDescent="0.35">
      <c r="A1290" t="s">
        <v>15976</v>
      </c>
      <c r="B1290" t="s">
        <v>138</v>
      </c>
      <c r="C1290" s="1">
        <v>44322</v>
      </c>
      <c r="G1290" s="1">
        <v>44323</v>
      </c>
      <c r="H1290" t="s">
        <v>125</v>
      </c>
      <c r="I1290" t="s">
        <v>7914</v>
      </c>
      <c r="J1290" t="s">
        <v>11686</v>
      </c>
      <c r="L1290" t="s">
        <v>5305</v>
      </c>
      <c r="M1290" t="s">
        <v>11687</v>
      </c>
      <c r="O1290" t="s">
        <v>184</v>
      </c>
      <c r="P1290" t="s">
        <v>178</v>
      </c>
      <c r="Q1290" s="3">
        <v>94538</v>
      </c>
      <c r="R1290" t="s">
        <v>128</v>
      </c>
      <c r="T1290" s="4">
        <v>15108976710</v>
      </c>
      <c r="V1290" t="s">
        <v>11688</v>
      </c>
      <c r="W1290" t="s">
        <v>11689</v>
      </c>
      <c r="Y1290" t="s">
        <v>11687</v>
      </c>
      <c r="AA1290" t="s">
        <v>184</v>
      </c>
      <c r="AB1290" t="s">
        <v>172</v>
      </c>
      <c r="AC1290" s="3" t="str">
        <f>"94538"</f>
        <v>94538</v>
      </c>
      <c r="AD1290" t="s">
        <v>128</v>
      </c>
      <c r="AF1290" s="4">
        <v>15108976745</v>
      </c>
      <c r="AH1290" t="str">
        <f>"54151"</f>
        <v>54151</v>
      </c>
      <c r="AI1290" t="s">
        <v>130</v>
      </c>
      <c r="AJ1290" t="s">
        <v>1185</v>
      </c>
      <c r="AK1290" t="s">
        <v>1186</v>
      </c>
      <c r="AL1290" t="s">
        <v>1187</v>
      </c>
      <c r="AM1290" t="s">
        <v>1188</v>
      </c>
      <c r="AO1290" t="s">
        <v>1189</v>
      </c>
      <c r="AP1290" t="s">
        <v>172</v>
      </c>
      <c r="AQ1290" s="5">
        <v>95054</v>
      </c>
      <c r="AR1290" t="s">
        <v>128</v>
      </c>
      <c r="AT1290" s="4">
        <v>14089700100</v>
      </c>
      <c r="AV1290" t="s">
        <v>6696</v>
      </c>
      <c r="AW1290" t="s">
        <v>1191</v>
      </c>
      <c r="AX1290" t="s">
        <v>131</v>
      </c>
      <c r="AY1290" t="s">
        <v>131</v>
      </c>
      <c r="AZ1290" t="s">
        <v>131</v>
      </c>
      <c r="BA1290" t="s">
        <v>131</v>
      </c>
      <c r="BB1290" t="s">
        <v>131</v>
      </c>
      <c r="BC1290" t="s">
        <v>131</v>
      </c>
      <c r="BD1290" t="s">
        <v>131</v>
      </c>
      <c r="BE1290" t="s">
        <v>132</v>
      </c>
      <c r="BH1290" t="s">
        <v>542</v>
      </c>
      <c r="BI1290" t="s">
        <v>131</v>
      </c>
      <c r="BL1290" t="s">
        <v>133</v>
      </c>
      <c r="BN1290" t="s">
        <v>11690</v>
      </c>
      <c r="BO1290" t="s">
        <v>131</v>
      </c>
      <c r="BP1290" t="s">
        <v>134</v>
      </c>
      <c r="BQ1290" t="s">
        <v>131</v>
      </c>
      <c r="BS1290" t="str">
        <f t="shared" si="89"/>
        <v>N/A</v>
      </c>
      <c r="BT1290" t="s">
        <v>135</v>
      </c>
      <c r="BU1290">
        <v>60</v>
      </c>
      <c r="BV1290" t="str">
        <f>"Software Engineer, Systems Engineer, Programmer, or related."</f>
        <v>Software Engineer, Systems Engineer, Programmer, or related.</v>
      </c>
      <c r="BW1290" t="s">
        <v>131</v>
      </c>
      <c r="BX1290" t="str">
        <f>""</f>
        <v/>
      </c>
      <c r="BY1290" t="str">
        <f>""</f>
        <v/>
      </c>
      <c r="BZ1290" t="str">
        <f>""</f>
        <v/>
      </c>
      <c r="CA1290" t="str">
        <f>""</f>
        <v/>
      </c>
      <c r="CB1290" t="s">
        <v>131</v>
      </c>
      <c r="CF1290" t="s">
        <v>131</v>
      </c>
      <c r="CH1290" t="str">
        <f>""</f>
        <v/>
      </c>
      <c r="CI1290" t="s">
        <v>131</v>
      </c>
      <c r="CK1290" t="s">
        <v>131</v>
      </c>
      <c r="CL1290" t="str">
        <f>""</f>
        <v/>
      </c>
      <c r="CM1290" t="str">
        <f>""</f>
        <v/>
      </c>
      <c r="CN1290" t="str">
        <f>""</f>
        <v/>
      </c>
      <c r="CO1290" t="str">
        <f>""</f>
        <v/>
      </c>
      <c r="CP1290" t="str">
        <f>"15-1132.00"</f>
        <v>15-1132.00</v>
      </c>
      <c r="CQ1290" t="s">
        <v>198</v>
      </c>
      <c r="CR1290" t="s">
        <v>542</v>
      </c>
      <c r="CS1290" t="s">
        <v>135</v>
      </c>
      <c r="CT1290" t="s">
        <v>11691</v>
      </c>
      <c r="CU1290" t="s">
        <v>15977</v>
      </c>
      <c r="CV1290" t="s">
        <v>11692</v>
      </c>
      <c r="CW1290" t="s">
        <v>647</v>
      </c>
      <c r="CX1290" t="s">
        <v>172</v>
      </c>
      <c r="CZ1290" s="3" t="str">
        <f>"94538"</f>
        <v>94538</v>
      </c>
      <c r="DA1290" t="s">
        <v>131</v>
      </c>
      <c r="DB1290" t="str">
        <f>""</f>
        <v/>
      </c>
      <c r="DF1290" t="str">
        <f>""</f>
        <v/>
      </c>
    </row>
    <row r="1291" spans="1:110" ht="15" customHeight="1" x14ac:dyDescent="0.35">
      <c r="A1291" t="s">
        <v>16601</v>
      </c>
      <c r="B1291" t="s">
        <v>138</v>
      </c>
      <c r="C1291" s="1">
        <v>44322</v>
      </c>
      <c r="G1291" s="1">
        <v>44323</v>
      </c>
      <c r="H1291" t="s">
        <v>125</v>
      </c>
      <c r="I1291" t="s">
        <v>5815</v>
      </c>
      <c r="J1291" t="s">
        <v>1954</v>
      </c>
      <c r="L1291" t="s">
        <v>5816</v>
      </c>
      <c r="M1291" t="s">
        <v>5817</v>
      </c>
      <c r="N1291" t="s">
        <v>5818</v>
      </c>
      <c r="O1291" t="s">
        <v>2482</v>
      </c>
      <c r="P1291" t="s">
        <v>194</v>
      </c>
      <c r="Q1291" s="3">
        <v>32801</v>
      </c>
      <c r="R1291" t="s">
        <v>128</v>
      </c>
      <c r="T1291" s="4">
        <v>14072050201</v>
      </c>
      <c r="V1291" t="s">
        <v>5819</v>
      </c>
      <c r="W1291" t="s">
        <v>5820</v>
      </c>
      <c r="Y1291" t="s">
        <v>5817</v>
      </c>
      <c r="Z1291" t="s">
        <v>5818</v>
      </c>
      <c r="AA1291" t="s">
        <v>2482</v>
      </c>
      <c r="AB1291" t="s">
        <v>195</v>
      </c>
      <c r="AC1291" s="3" t="str">
        <f>"32801"</f>
        <v>32801</v>
      </c>
      <c r="AD1291" t="s">
        <v>128</v>
      </c>
      <c r="AF1291" s="4">
        <v>14072050201</v>
      </c>
      <c r="AH1291" t="str">
        <f>"54199"</f>
        <v>54199</v>
      </c>
      <c r="AI1291" t="s">
        <v>130</v>
      </c>
      <c r="AJ1291" t="s">
        <v>14868</v>
      </c>
      <c r="AK1291" t="s">
        <v>8130</v>
      </c>
      <c r="AM1291" t="s">
        <v>16602</v>
      </c>
      <c r="AN1291" t="s">
        <v>16603</v>
      </c>
      <c r="AO1291" t="s">
        <v>214</v>
      </c>
      <c r="AQ1291" s="5" t="s">
        <v>16604</v>
      </c>
      <c r="AR1291" t="s">
        <v>156</v>
      </c>
      <c r="AS1291" t="s">
        <v>216</v>
      </c>
      <c r="AT1291" s="4">
        <v>17166350501</v>
      </c>
      <c r="AV1291" t="s">
        <v>5821</v>
      </c>
      <c r="AW1291" t="s">
        <v>6839</v>
      </c>
      <c r="AX1291" t="s">
        <v>131</v>
      </c>
      <c r="AY1291" t="s">
        <v>131</v>
      </c>
      <c r="AZ1291" t="s">
        <v>131</v>
      </c>
      <c r="BA1291" t="s">
        <v>131</v>
      </c>
      <c r="BB1291" t="s">
        <v>131</v>
      </c>
      <c r="BC1291" t="s">
        <v>131</v>
      </c>
      <c r="BD1291" t="s">
        <v>131</v>
      </c>
      <c r="BE1291" t="s">
        <v>132</v>
      </c>
      <c r="BH1291" t="s">
        <v>5822</v>
      </c>
      <c r="BI1291" t="s">
        <v>131</v>
      </c>
      <c r="BL1291" t="s">
        <v>133</v>
      </c>
      <c r="BN1291" t="s">
        <v>15949</v>
      </c>
      <c r="BO1291" t="s">
        <v>131</v>
      </c>
      <c r="BP1291" t="s">
        <v>134</v>
      </c>
      <c r="BQ1291" t="s">
        <v>131</v>
      </c>
      <c r="BS1291" t="str">
        <f t="shared" si="89"/>
        <v>N/A</v>
      </c>
      <c r="BT1291" t="s">
        <v>135</v>
      </c>
      <c r="BU1291">
        <v>96</v>
      </c>
      <c r="BV1291" t="str">
        <f>"Job Offered or Related"</f>
        <v>Job Offered or Related</v>
      </c>
      <c r="BW1291" t="s">
        <v>135</v>
      </c>
      <c r="BX1291" t="str">
        <f>"•	Series 7 &amp; 57 Licensure."</f>
        <v>•	Series 7 &amp; 57 Licensure.</v>
      </c>
      <c r="BY1291" t="str">
        <f>""</f>
        <v/>
      </c>
      <c r="BZ1291" t="str">
        <f>""</f>
        <v/>
      </c>
      <c r="CA1291" s="2" t="s">
        <v>5823</v>
      </c>
      <c r="CB1291" t="s">
        <v>131</v>
      </c>
      <c r="CF1291" t="s">
        <v>131</v>
      </c>
      <c r="CH1291" t="str">
        <f>""</f>
        <v/>
      </c>
      <c r="CI1291" t="s">
        <v>131</v>
      </c>
      <c r="CK1291" t="s">
        <v>131</v>
      </c>
      <c r="CL1291" t="str">
        <f>""</f>
        <v/>
      </c>
      <c r="CM1291" t="str">
        <f>""</f>
        <v/>
      </c>
      <c r="CN1291" t="str">
        <f>""</f>
        <v/>
      </c>
      <c r="CO1291" t="str">
        <f>""</f>
        <v/>
      </c>
      <c r="CP1291" t="str">
        <f>"13-1111.00"</f>
        <v>13-1111.00</v>
      </c>
      <c r="CQ1291" t="s">
        <v>292</v>
      </c>
      <c r="CR1291" t="s">
        <v>682</v>
      </c>
      <c r="CS1291" t="s">
        <v>135</v>
      </c>
      <c r="CT1291" t="s">
        <v>5824</v>
      </c>
      <c r="CU1291" t="s">
        <v>5817</v>
      </c>
      <c r="CV1291" t="s">
        <v>5818</v>
      </c>
      <c r="CW1291" t="s">
        <v>2482</v>
      </c>
      <c r="CX1291" t="s">
        <v>195</v>
      </c>
      <c r="CZ1291" s="3" t="str">
        <f>"32801"</f>
        <v>32801</v>
      </c>
      <c r="DA1291" t="s">
        <v>131</v>
      </c>
      <c r="DB1291" t="str">
        <f>""</f>
        <v/>
      </c>
      <c r="DF1291" t="str">
        <f>""</f>
        <v/>
      </c>
    </row>
    <row r="1292" spans="1:110" ht="15" customHeight="1" x14ac:dyDescent="0.35">
      <c r="A1292" t="s">
        <v>6718</v>
      </c>
      <c r="B1292" t="s">
        <v>138</v>
      </c>
      <c r="C1292" s="1">
        <v>44323</v>
      </c>
      <c r="G1292" s="1">
        <v>44328</v>
      </c>
      <c r="H1292" t="s">
        <v>125</v>
      </c>
      <c r="I1292" t="s">
        <v>1448</v>
      </c>
      <c r="J1292" t="s">
        <v>618</v>
      </c>
      <c r="L1292" t="s">
        <v>4112</v>
      </c>
      <c r="M1292" t="s">
        <v>4113</v>
      </c>
      <c r="O1292" t="s">
        <v>707</v>
      </c>
      <c r="P1292" t="s">
        <v>248</v>
      </c>
      <c r="Q1292" s="3">
        <v>55402</v>
      </c>
      <c r="R1292" t="s">
        <v>128</v>
      </c>
      <c r="T1292" s="4">
        <v>16126964229</v>
      </c>
      <c r="V1292" t="s">
        <v>4114</v>
      </c>
      <c r="W1292" t="s">
        <v>4115</v>
      </c>
      <c r="Y1292" t="s">
        <v>4116</v>
      </c>
      <c r="AA1292" t="s">
        <v>707</v>
      </c>
      <c r="AB1292" t="s">
        <v>249</v>
      </c>
      <c r="AC1292" s="3" t="str">
        <f>"55403"</f>
        <v>55403</v>
      </c>
      <c r="AD1292" t="s">
        <v>128</v>
      </c>
      <c r="AF1292" s="4">
        <v>16126964229</v>
      </c>
      <c r="AH1292" t="str">
        <f>"4523"</f>
        <v>4523</v>
      </c>
      <c r="AI1292" t="s">
        <v>130</v>
      </c>
      <c r="AJ1292" t="s">
        <v>4117</v>
      </c>
      <c r="AK1292" t="s">
        <v>4118</v>
      </c>
      <c r="AL1292" t="s">
        <v>813</v>
      </c>
      <c r="AM1292" t="s">
        <v>4119</v>
      </c>
      <c r="AN1292" t="s">
        <v>1980</v>
      </c>
      <c r="AO1292" t="s">
        <v>1276</v>
      </c>
      <c r="AP1292" t="s">
        <v>249</v>
      </c>
      <c r="AQ1292" s="5">
        <v>55425</v>
      </c>
      <c r="AR1292" t="s">
        <v>128</v>
      </c>
      <c r="AT1292" s="4">
        <v>19528543313</v>
      </c>
      <c r="AU1292">
        <v>537</v>
      </c>
      <c r="AV1292" t="s">
        <v>4120</v>
      </c>
      <c r="AW1292" t="s">
        <v>4121</v>
      </c>
      <c r="AX1292" t="s">
        <v>131</v>
      </c>
      <c r="AY1292" t="s">
        <v>131</v>
      </c>
      <c r="AZ1292" t="s">
        <v>131</v>
      </c>
      <c r="BA1292" t="s">
        <v>131</v>
      </c>
      <c r="BB1292" t="s">
        <v>131</v>
      </c>
      <c r="BC1292" t="s">
        <v>131</v>
      </c>
      <c r="BD1292" t="s">
        <v>131</v>
      </c>
      <c r="BE1292" t="s">
        <v>132</v>
      </c>
      <c r="BH1292" t="s">
        <v>4016</v>
      </c>
      <c r="BI1292" t="s">
        <v>131</v>
      </c>
      <c r="BL1292" t="s">
        <v>188</v>
      </c>
      <c r="BN1292" t="s">
        <v>6719</v>
      </c>
      <c r="BO1292" t="s">
        <v>131</v>
      </c>
      <c r="BP1292" t="s">
        <v>134</v>
      </c>
      <c r="BQ1292" t="s">
        <v>131</v>
      </c>
      <c r="BS1292" t="str">
        <f t="shared" si="89"/>
        <v>N/A</v>
      </c>
      <c r="BT1292" t="s">
        <v>135</v>
      </c>
      <c r="BU1292">
        <v>36</v>
      </c>
      <c r="BV1292" t="str">
        <f>"Application development/application architecture (any title) "</f>
        <v xml:space="preserve">Application development/application architecture (any title) </v>
      </c>
      <c r="BW1292" t="s">
        <v>131</v>
      </c>
      <c r="BX1292" t="str">
        <f>""</f>
        <v/>
      </c>
      <c r="BY1292" t="str">
        <f>""</f>
        <v/>
      </c>
      <c r="BZ1292" t="str">
        <f>""</f>
        <v/>
      </c>
      <c r="CA1292" t="str">
        <f>""</f>
        <v/>
      </c>
      <c r="CB1292" t="s">
        <v>135</v>
      </c>
      <c r="CC1292" t="s">
        <v>133</v>
      </c>
      <c r="CE1292" t="s">
        <v>6719</v>
      </c>
      <c r="CF1292" t="s">
        <v>131</v>
      </c>
      <c r="CH1292" t="str">
        <f>"N/A"</f>
        <v>N/A</v>
      </c>
      <c r="CI1292" t="s">
        <v>135</v>
      </c>
      <c r="CJ1292">
        <v>60</v>
      </c>
      <c r="CK1292" t="s">
        <v>135</v>
      </c>
      <c r="CL1292" t="str">
        <f>""</f>
        <v/>
      </c>
      <c r="CM1292" t="str">
        <f>""</f>
        <v/>
      </c>
      <c r="CN1292" t="str">
        <f>""</f>
        <v/>
      </c>
      <c r="CO1292" t="s">
        <v>6720</v>
      </c>
      <c r="CP1292" t="str">
        <f>"15-1132.00"</f>
        <v>15-1132.00</v>
      </c>
      <c r="CQ1292" t="s">
        <v>198</v>
      </c>
      <c r="CR1292" t="s">
        <v>1068</v>
      </c>
      <c r="CS1292" t="s">
        <v>131</v>
      </c>
      <c r="CU1292" t="s">
        <v>4116</v>
      </c>
      <c r="CW1292" t="s">
        <v>707</v>
      </c>
      <c r="CX1292" t="s">
        <v>249</v>
      </c>
      <c r="CZ1292" s="3" t="str">
        <f>"55403"</f>
        <v>55403</v>
      </c>
      <c r="DA1292" t="s">
        <v>131</v>
      </c>
      <c r="DB1292" t="str">
        <f>""</f>
        <v/>
      </c>
      <c r="DF1292" t="str">
        <f>""</f>
        <v/>
      </c>
    </row>
    <row r="1293" spans="1:110" ht="15" customHeight="1" x14ac:dyDescent="0.35">
      <c r="A1293" t="s">
        <v>19070</v>
      </c>
      <c r="B1293" t="s">
        <v>138</v>
      </c>
      <c r="C1293" s="1">
        <v>44323</v>
      </c>
      <c r="G1293" s="1">
        <v>44323</v>
      </c>
      <c r="H1293" t="s">
        <v>125</v>
      </c>
      <c r="I1293" t="s">
        <v>4227</v>
      </c>
      <c r="J1293" t="s">
        <v>4228</v>
      </c>
      <c r="K1293" t="s">
        <v>2086</v>
      </c>
      <c r="L1293" t="s">
        <v>4229</v>
      </c>
      <c r="M1293" t="s">
        <v>4230</v>
      </c>
      <c r="N1293" t="s">
        <v>362</v>
      </c>
      <c r="O1293" t="s">
        <v>958</v>
      </c>
      <c r="P1293" t="s">
        <v>273</v>
      </c>
      <c r="Q1293" s="3">
        <v>8540</v>
      </c>
      <c r="R1293" t="s">
        <v>128</v>
      </c>
      <c r="T1293" s="4">
        <v>17702906191</v>
      </c>
      <c r="V1293" t="s">
        <v>4231</v>
      </c>
      <c r="W1293" t="s">
        <v>4232</v>
      </c>
      <c r="Y1293" t="s">
        <v>4233</v>
      </c>
      <c r="Z1293" t="s">
        <v>362</v>
      </c>
      <c r="AA1293" t="s">
        <v>958</v>
      </c>
      <c r="AB1293" t="s">
        <v>276</v>
      </c>
      <c r="AC1293" s="3" t="str">
        <f>"08540"</f>
        <v>08540</v>
      </c>
      <c r="AD1293" t="s">
        <v>128</v>
      </c>
      <c r="AF1293" s="4">
        <v>17702906191</v>
      </c>
      <c r="AH1293" t="str">
        <f>"541512"</f>
        <v>541512</v>
      </c>
      <c r="AI1293" t="s">
        <v>130</v>
      </c>
      <c r="AJ1293" t="s">
        <v>4234</v>
      </c>
      <c r="AK1293" t="s">
        <v>4235</v>
      </c>
      <c r="AM1293" t="s">
        <v>4236</v>
      </c>
      <c r="AN1293" t="s">
        <v>1989</v>
      </c>
      <c r="AO1293" t="s">
        <v>733</v>
      </c>
      <c r="AP1293" t="s">
        <v>643</v>
      </c>
      <c r="AQ1293" s="5">
        <v>30305</v>
      </c>
      <c r="AR1293" t="s">
        <v>128</v>
      </c>
      <c r="AT1293" s="4">
        <v>16785532497</v>
      </c>
      <c r="AV1293" t="s">
        <v>4237</v>
      </c>
      <c r="AW1293" t="s">
        <v>4238</v>
      </c>
      <c r="AX1293" t="s">
        <v>131</v>
      </c>
      <c r="AY1293" t="s">
        <v>131</v>
      </c>
      <c r="AZ1293" t="s">
        <v>131</v>
      </c>
      <c r="BA1293" t="s">
        <v>131</v>
      </c>
      <c r="BB1293" t="s">
        <v>131</v>
      </c>
      <c r="BC1293" t="s">
        <v>131</v>
      </c>
      <c r="BD1293" t="s">
        <v>131</v>
      </c>
      <c r="BE1293" t="s">
        <v>132</v>
      </c>
      <c r="BH1293" t="s">
        <v>4239</v>
      </c>
      <c r="BI1293" t="s">
        <v>135</v>
      </c>
      <c r="BJ1293" t="s">
        <v>282</v>
      </c>
      <c r="BK1293" t="s">
        <v>283</v>
      </c>
      <c r="BL1293" t="s">
        <v>188</v>
      </c>
      <c r="BN1293" t="s">
        <v>5211</v>
      </c>
      <c r="BO1293" t="s">
        <v>131</v>
      </c>
      <c r="BP1293" t="s">
        <v>134</v>
      </c>
      <c r="BQ1293" t="s">
        <v>131</v>
      </c>
      <c r="BS1293" t="str">
        <f t="shared" si="89"/>
        <v>N/A</v>
      </c>
      <c r="BT1293" t="s">
        <v>135</v>
      </c>
      <c r="BU1293">
        <v>36</v>
      </c>
      <c r="BV1293" t="str">
        <f>"Any occupation in which required experience was gained"</f>
        <v>Any occupation in which required experience was gained</v>
      </c>
      <c r="BW1293" t="s">
        <v>135</v>
      </c>
      <c r="BX1293" t="str">
        <f>""</f>
        <v/>
      </c>
      <c r="BY1293" t="str">
        <f>""</f>
        <v/>
      </c>
      <c r="BZ1293" t="str">
        <f>""</f>
        <v/>
      </c>
      <c r="CA1293" t="s">
        <v>4242</v>
      </c>
      <c r="CB1293" t="s">
        <v>135</v>
      </c>
      <c r="CC1293" t="s">
        <v>133</v>
      </c>
      <c r="CE1293" t="s">
        <v>5211</v>
      </c>
      <c r="CF1293" t="s">
        <v>131</v>
      </c>
      <c r="CH1293" t="str">
        <f>"N/A"</f>
        <v>N/A</v>
      </c>
      <c r="CI1293" t="s">
        <v>135</v>
      </c>
      <c r="CJ1293">
        <v>60</v>
      </c>
      <c r="CK1293" t="s">
        <v>135</v>
      </c>
      <c r="CL1293" t="str">
        <f>""</f>
        <v/>
      </c>
      <c r="CM1293" t="str">
        <f>""</f>
        <v/>
      </c>
      <c r="CN1293" t="str">
        <f>""</f>
        <v/>
      </c>
      <c r="CO1293" t="s">
        <v>4240</v>
      </c>
      <c r="CP1293" t="str">
        <f>"15-1121.00"</f>
        <v>15-1121.00</v>
      </c>
      <c r="CQ1293" t="s">
        <v>283</v>
      </c>
      <c r="CR1293" t="s">
        <v>303</v>
      </c>
      <c r="CS1293" t="s">
        <v>135</v>
      </c>
      <c r="CT1293" t="s">
        <v>4790</v>
      </c>
      <c r="CU1293" t="s">
        <v>4244</v>
      </c>
      <c r="CV1293" t="s">
        <v>4245</v>
      </c>
      <c r="CW1293" t="s">
        <v>958</v>
      </c>
      <c r="CX1293" t="s">
        <v>276</v>
      </c>
      <c r="CZ1293" s="3" t="str">
        <f>"08540"</f>
        <v>08540</v>
      </c>
      <c r="DA1293" t="s">
        <v>135</v>
      </c>
      <c r="DB1293" t="str">
        <f>""</f>
        <v/>
      </c>
      <c r="DF1293" t="str">
        <f>""</f>
        <v/>
      </c>
    </row>
    <row r="1294" spans="1:110" ht="15" customHeight="1" x14ac:dyDescent="0.35">
      <c r="A1294" t="s">
        <v>15956</v>
      </c>
      <c r="B1294" t="s">
        <v>138</v>
      </c>
      <c r="C1294" s="1">
        <v>44323</v>
      </c>
      <c r="G1294" s="1">
        <v>44323</v>
      </c>
      <c r="H1294" t="s">
        <v>125</v>
      </c>
      <c r="I1294" t="s">
        <v>3444</v>
      </c>
      <c r="J1294" t="s">
        <v>3445</v>
      </c>
      <c r="K1294" t="s">
        <v>365</v>
      </c>
      <c r="L1294" t="s">
        <v>3446</v>
      </c>
      <c r="M1294" t="s">
        <v>3447</v>
      </c>
      <c r="N1294" t="s">
        <v>439</v>
      </c>
      <c r="O1294" t="s">
        <v>2150</v>
      </c>
      <c r="P1294" t="s">
        <v>778</v>
      </c>
      <c r="Q1294" s="3">
        <v>37238</v>
      </c>
      <c r="R1294" t="s">
        <v>128</v>
      </c>
      <c r="T1294" s="4">
        <v>16153937491</v>
      </c>
      <c r="V1294" t="s">
        <v>134</v>
      </c>
      <c r="W1294" t="s">
        <v>3448</v>
      </c>
      <c r="Y1294" t="s">
        <v>3447</v>
      </c>
      <c r="Z1294" t="s">
        <v>2200</v>
      </c>
      <c r="AA1294" t="s">
        <v>2150</v>
      </c>
      <c r="AB1294" t="s">
        <v>594</v>
      </c>
      <c r="AC1294" s="3" t="str">
        <f>"37238"</f>
        <v>37238</v>
      </c>
      <c r="AD1294" t="s">
        <v>128</v>
      </c>
      <c r="AF1294" s="4">
        <v>16153937491</v>
      </c>
      <c r="AH1294" t="str">
        <f>"523110"</f>
        <v>523110</v>
      </c>
      <c r="AI1294" t="s">
        <v>130</v>
      </c>
      <c r="AJ1294" t="s">
        <v>4039</v>
      </c>
      <c r="AK1294" t="s">
        <v>1623</v>
      </c>
      <c r="AL1294" t="s">
        <v>268</v>
      </c>
      <c r="AM1294" t="s">
        <v>973</v>
      </c>
      <c r="AN1294" t="s">
        <v>974</v>
      </c>
      <c r="AO1294" t="s">
        <v>975</v>
      </c>
      <c r="AP1294" t="s">
        <v>594</v>
      </c>
      <c r="AQ1294" s="5">
        <v>27615</v>
      </c>
      <c r="AR1294" t="s">
        <v>128</v>
      </c>
      <c r="AT1294" s="4">
        <v>19197879700</v>
      </c>
      <c r="AV1294" t="s">
        <v>3708</v>
      </c>
      <c r="AW1294" t="s">
        <v>3709</v>
      </c>
      <c r="AX1294" t="s">
        <v>131</v>
      </c>
      <c r="AY1294" t="s">
        <v>131</v>
      </c>
      <c r="AZ1294" t="s">
        <v>131</v>
      </c>
      <c r="BA1294" t="s">
        <v>131</v>
      </c>
      <c r="BB1294" t="s">
        <v>131</v>
      </c>
      <c r="BC1294" t="s">
        <v>131</v>
      </c>
      <c r="BD1294" t="s">
        <v>131</v>
      </c>
      <c r="BE1294" t="s">
        <v>132</v>
      </c>
      <c r="BH1294" t="s">
        <v>15957</v>
      </c>
      <c r="BI1294" t="s">
        <v>131</v>
      </c>
      <c r="BL1294" t="s">
        <v>188</v>
      </c>
      <c r="BN1294" t="s">
        <v>15958</v>
      </c>
      <c r="BO1294" t="s">
        <v>131</v>
      </c>
      <c r="BP1294" t="s">
        <v>134</v>
      </c>
      <c r="BQ1294" t="s">
        <v>131</v>
      </c>
      <c r="BS1294" t="str">
        <f t="shared" si="89"/>
        <v>N/A</v>
      </c>
      <c r="BT1294" t="s">
        <v>135</v>
      </c>
      <c r="BU1294">
        <v>36</v>
      </c>
      <c r="BV1294" t="str">
        <f>"C &amp; ORC Specialist, Associate, Technology Analyst, Software Developer, Programming Subject Matter Expert, Model Validation, Model Audit, Model Development or related occupation."</f>
        <v>C &amp; ORC Specialist, Associate, Technology Analyst, Software Developer, Programming Subject Matter Expert, Model Validation, Model Audit, Model Development or related occupation.</v>
      </c>
      <c r="BW1294" t="s">
        <v>135</v>
      </c>
      <c r="BX1294" t="str">
        <f>""</f>
        <v/>
      </c>
      <c r="BY1294" t="str">
        <f>""</f>
        <v/>
      </c>
      <c r="BZ1294" t="str">
        <f>""</f>
        <v/>
      </c>
      <c r="CA1294" s="2" t="s">
        <v>15959</v>
      </c>
      <c r="CB1294" t="s">
        <v>135</v>
      </c>
      <c r="CC1294" t="s">
        <v>447</v>
      </c>
      <c r="CE1294" t="s">
        <v>15958</v>
      </c>
      <c r="CF1294" t="s">
        <v>131</v>
      </c>
      <c r="CH1294" t="str">
        <f>"N/A"</f>
        <v>N/A</v>
      </c>
      <c r="CI1294" t="s">
        <v>135</v>
      </c>
      <c r="CJ1294">
        <v>24</v>
      </c>
      <c r="CK1294" t="s">
        <v>135</v>
      </c>
      <c r="CL1294" t="str">
        <f>""</f>
        <v/>
      </c>
      <c r="CM1294" t="str">
        <f>""</f>
        <v/>
      </c>
      <c r="CN1294" t="str">
        <f>""</f>
        <v/>
      </c>
      <c r="CO1294" s="2" t="s">
        <v>15959</v>
      </c>
      <c r="CP1294" t="str">
        <f>"13-2099.01"</f>
        <v>13-2099.01</v>
      </c>
      <c r="CQ1294" t="s">
        <v>552</v>
      </c>
      <c r="CR1294" t="s">
        <v>5196</v>
      </c>
      <c r="CS1294" t="s">
        <v>131</v>
      </c>
      <c r="CU1294" t="s">
        <v>15960</v>
      </c>
      <c r="CW1294" t="s">
        <v>1872</v>
      </c>
      <c r="CX1294" t="s">
        <v>276</v>
      </c>
      <c r="CZ1294" s="3" t="str">
        <f>"07310"</f>
        <v>07310</v>
      </c>
      <c r="DA1294" t="s">
        <v>131</v>
      </c>
      <c r="DB1294" t="str">
        <f>""</f>
        <v/>
      </c>
      <c r="DF1294" t="str">
        <f>""</f>
        <v/>
      </c>
    </row>
    <row r="1295" spans="1:110" ht="15" customHeight="1" x14ac:dyDescent="0.35">
      <c r="A1295" t="s">
        <v>16854</v>
      </c>
      <c r="B1295" t="s">
        <v>138</v>
      </c>
      <c r="C1295" s="1">
        <v>44323</v>
      </c>
      <c r="G1295" s="1">
        <v>44326</v>
      </c>
      <c r="H1295" t="s">
        <v>125</v>
      </c>
      <c r="I1295" t="s">
        <v>6599</v>
      </c>
      <c r="J1295" t="s">
        <v>6600</v>
      </c>
      <c r="L1295" t="s">
        <v>2350</v>
      </c>
      <c r="M1295" t="s">
        <v>6601</v>
      </c>
      <c r="O1295" t="s">
        <v>6602</v>
      </c>
      <c r="P1295" t="s">
        <v>412</v>
      </c>
      <c r="Q1295" s="3">
        <v>78629</v>
      </c>
      <c r="R1295" t="s">
        <v>128</v>
      </c>
      <c r="T1295" s="4">
        <v>18306726511</v>
      </c>
      <c r="V1295" t="s">
        <v>6603</v>
      </c>
      <c r="W1295" t="s">
        <v>6604</v>
      </c>
      <c r="Y1295" t="s">
        <v>16855</v>
      </c>
      <c r="AA1295" t="s">
        <v>6602</v>
      </c>
      <c r="AB1295" t="s">
        <v>400</v>
      </c>
      <c r="AC1295" s="3" t="str">
        <f>"78629"</f>
        <v>78629</v>
      </c>
      <c r="AD1295" t="s">
        <v>128</v>
      </c>
      <c r="AF1295" s="4">
        <v>18306726511</v>
      </c>
      <c r="AH1295" t="str">
        <f>"62211"</f>
        <v>62211</v>
      </c>
      <c r="AI1295" t="s">
        <v>130</v>
      </c>
      <c r="AJ1295" t="s">
        <v>6605</v>
      </c>
      <c r="AK1295" t="s">
        <v>5952</v>
      </c>
      <c r="AM1295" t="s">
        <v>9727</v>
      </c>
      <c r="AN1295" t="s">
        <v>6606</v>
      </c>
      <c r="AO1295" t="s">
        <v>9728</v>
      </c>
      <c r="AP1295" t="s">
        <v>172</v>
      </c>
      <c r="AQ1295" s="5">
        <v>91301</v>
      </c>
      <c r="AR1295" t="s">
        <v>128</v>
      </c>
      <c r="AT1295" s="4">
        <v>18189146482</v>
      </c>
      <c r="AV1295" t="s">
        <v>6607</v>
      </c>
      <c r="AW1295" t="s">
        <v>6608</v>
      </c>
      <c r="AX1295" t="s">
        <v>131</v>
      </c>
      <c r="AY1295" t="s">
        <v>131</v>
      </c>
      <c r="AZ1295" t="s">
        <v>131</v>
      </c>
      <c r="BA1295" t="s">
        <v>131</v>
      </c>
      <c r="BB1295" t="s">
        <v>131</v>
      </c>
      <c r="BC1295" t="s">
        <v>131</v>
      </c>
      <c r="BD1295" t="s">
        <v>131</v>
      </c>
      <c r="BE1295" t="s">
        <v>132</v>
      </c>
      <c r="BH1295" t="s">
        <v>10396</v>
      </c>
      <c r="BI1295" t="s">
        <v>131</v>
      </c>
      <c r="BL1295" t="s">
        <v>658</v>
      </c>
      <c r="BM1295" t="s">
        <v>4589</v>
      </c>
      <c r="BN1295" t="s">
        <v>4589</v>
      </c>
      <c r="BO1295" t="s">
        <v>131</v>
      </c>
      <c r="BP1295" t="s">
        <v>134</v>
      </c>
      <c r="BQ1295" t="s">
        <v>131</v>
      </c>
      <c r="BS1295" t="str">
        <f t="shared" si="89"/>
        <v>N/A</v>
      </c>
      <c r="BT1295" t="s">
        <v>135</v>
      </c>
      <c r="BU1295">
        <v>12</v>
      </c>
      <c r="BV1295" t="str">
        <f>"SEE F.A.2"</f>
        <v>SEE F.A.2</v>
      </c>
      <c r="BW1295" t="s">
        <v>135</v>
      </c>
      <c r="BX1295" t="str">
        <f>"CERTIFICATION FROM TEXAS MEDICAL BOARD"</f>
        <v>CERTIFICATION FROM TEXAS MEDICAL BOARD</v>
      </c>
      <c r="BY1295" t="str">
        <f>""</f>
        <v/>
      </c>
      <c r="BZ1295" t="str">
        <f>""</f>
        <v/>
      </c>
      <c r="CA1295" t="str">
        <f>""</f>
        <v/>
      </c>
      <c r="CB1295" t="s">
        <v>131</v>
      </c>
      <c r="CF1295" t="s">
        <v>131</v>
      </c>
      <c r="CH1295" t="str">
        <f>""</f>
        <v/>
      </c>
      <c r="CI1295" t="s">
        <v>131</v>
      </c>
      <c r="CK1295" t="s">
        <v>131</v>
      </c>
      <c r="CL1295" t="str">
        <f>""</f>
        <v/>
      </c>
      <c r="CM1295" t="str">
        <f>""</f>
        <v/>
      </c>
      <c r="CN1295" t="str">
        <f>""</f>
        <v/>
      </c>
      <c r="CO1295" t="str">
        <f>""</f>
        <v/>
      </c>
      <c r="CP1295" t="str">
        <f>"29-1065.00"</f>
        <v>29-1065.00</v>
      </c>
      <c r="CQ1295" t="s">
        <v>4332</v>
      </c>
      <c r="CR1295" t="s">
        <v>583</v>
      </c>
      <c r="CS1295" t="s">
        <v>131</v>
      </c>
      <c r="CU1295" t="s">
        <v>10397</v>
      </c>
      <c r="CW1295" t="s">
        <v>10398</v>
      </c>
      <c r="CX1295" t="s">
        <v>400</v>
      </c>
      <c r="CZ1295" s="3" t="str">
        <f>"78621"</f>
        <v>78621</v>
      </c>
      <c r="DA1295" t="s">
        <v>131</v>
      </c>
      <c r="DB1295" t="str">
        <f>""</f>
        <v/>
      </c>
      <c r="DF1295" t="str">
        <f>""</f>
        <v/>
      </c>
    </row>
    <row r="1296" spans="1:110" ht="15" customHeight="1" x14ac:dyDescent="0.35">
      <c r="A1296" t="s">
        <v>16597</v>
      </c>
      <c r="B1296" t="s">
        <v>138</v>
      </c>
      <c r="C1296" s="1">
        <v>44323</v>
      </c>
      <c r="G1296" s="1">
        <v>44323</v>
      </c>
      <c r="H1296" t="s">
        <v>125</v>
      </c>
      <c r="I1296" t="s">
        <v>1775</v>
      </c>
      <c r="J1296" t="s">
        <v>6638</v>
      </c>
      <c r="L1296" t="s">
        <v>902</v>
      </c>
      <c r="M1296" t="s">
        <v>1569</v>
      </c>
      <c r="N1296" t="s">
        <v>1262</v>
      </c>
      <c r="O1296" t="s">
        <v>642</v>
      </c>
      <c r="P1296" t="s">
        <v>818</v>
      </c>
      <c r="Q1296" s="3">
        <v>30309</v>
      </c>
      <c r="R1296" t="s">
        <v>128</v>
      </c>
      <c r="T1296" s="4">
        <v>14042372000</v>
      </c>
      <c r="V1296" t="s">
        <v>6640</v>
      </c>
      <c r="W1296" t="s">
        <v>6641</v>
      </c>
      <c r="Y1296" t="s">
        <v>6639</v>
      </c>
      <c r="Z1296" t="s">
        <v>1262</v>
      </c>
      <c r="AA1296" t="s">
        <v>642</v>
      </c>
      <c r="AB1296" t="s">
        <v>643</v>
      </c>
      <c r="AC1296" s="3" t="str">
        <f>"30303"</f>
        <v>30303</v>
      </c>
      <c r="AD1296" t="s">
        <v>128</v>
      </c>
      <c r="AF1296" s="4">
        <v>14042372000</v>
      </c>
      <c r="AH1296" t="str">
        <f>"54131"</f>
        <v>54131</v>
      </c>
      <c r="AI1296" t="s">
        <v>130</v>
      </c>
      <c r="AJ1296" t="s">
        <v>3035</v>
      </c>
      <c r="AK1296" t="s">
        <v>1071</v>
      </c>
      <c r="AL1296" t="s">
        <v>1312</v>
      </c>
      <c r="AM1296" t="s">
        <v>16598</v>
      </c>
      <c r="AN1296" t="s">
        <v>1262</v>
      </c>
      <c r="AO1296" t="s">
        <v>642</v>
      </c>
      <c r="AP1296" t="s">
        <v>643</v>
      </c>
      <c r="AQ1296" s="5">
        <v>30309</v>
      </c>
      <c r="AR1296" t="s">
        <v>128</v>
      </c>
      <c r="AT1296" s="4">
        <v>14049469779</v>
      </c>
      <c r="AV1296" t="s">
        <v>6642</v>
      </c>
      <c r="AW1296" t="s">
        <v>6643</v>
      </c>
      <c r="AX1296" t="s">
        <v>131</v>
      </c>
      <c r="AY1296" t="s">
        <v>131</v>
      </c>
      <c r="AZ1296" t="s">
        <v>131</v>
      </c>
      <c r="BA1296" t="s">
        <v>131</v>
      </c>
      <c r="BB1296" t="s">
        <v>131</v>
      </c>
      <c r="BC1296" t="s">
        <v>131</v>
      </c>
      <c r="BD1296" t="s">
        <v>131</v>
      </c>
      <c r="BE1296" t="s">
        <v>132</v>
      </c>
      <c r="BH1296" t="s">
        <v>16599</v>
      </c>
      <c r="BI1296" t="s">
        <v>131</v>
      </c>
      <c r="BL1296" t="s">
        <v>133</v>
      </c>
      <c r="BN1296" t="s">
        <v>2669</v>
      </c>
      <c r="BO1296" t="s">
        <v>131</v>
      </c>
      <c r="BP1296" t="s">
        <v>134</v>
      </c>
      <c r="BQ1296" t="s">
        <v>131</v>
      </c>
      <c r="BS1296" t="str">
        <f t="shared" si="89"/>
        <v>N/A</v>
      </c>
      <c r="BT1296" t="s">
        <v>135</v>
      </c>
      <c r="BU1296">
        <v>24</v>
      </c>
      <c r="BV1296" t="str">
        <f>"Architectural Designer or related position"</f>
        <v>Architectural Designer or related position</v>
      </c>
      <c r="BW1296" t="s">
        <v>135</v>
      </c>
      <c r="BX1296" t="str">
        <f>"Have valid architectural license."</f>
        <v>Have valid architectural license.</v>
      </c>
      <c r="BY1296" t="str">
        <f>""</f>
        <v/>
      </c>
      <c r="BZ1296" t="str">
        <f>""</f>
        <v/>
      </c>
      <c r="CA1296" t="s">
        <v>16600</v>
      </c>
      <c r="CB1296" t="s">
        <v>131</v>
      </c>
      <c r="CF1296" t="s">
        <v>131</v>
      </c>
      <c r="CH1296" t="str">
        <f>""</f>
        <v/>
      </c>
      <c r="CI1296" t="s">
        <v>131</v>
      </c>
      <c r="CK1296" t="s">
        <v>131</v>
      </c>
      <c r="CL1296" t="str">
        <f>""</f>
        <v/>
      </c>
      <c r="CM1296" t="str">
        <f>""</f>
        <v/>
      </c>
      <c r="CN1296" t="str">
        <f>""</f>
        <v/>
      </c>
      <c r="CO1296" t="str">
        <f>""</f>
        <v/>
      </c>
      <c r="CP1296" t="str">
        <f>"17-1011.00"</f>
        <v>17-1011.00</v>
      </c>
      <c r="CQ1296" t="s">
        <v>2670</v>
      </c>
      <c r="CS1296" t="s">
        <v>131</v>
      </c>
      <c r="CU1296" t="s">
        <v>1569</v>
      </c>
      <c r="CV1296" t="s">
        <v>1262</v>
      </c>
      <c r="CW1296" t="s">
        <v>642</v>
      </c>
      <c r="CX1296" t="s">
        <v>643</v>
      </c>
      <c r="CZ1296" s="3" t="str">
        <f>"30303"</f>
        <v>30303</v>
      </c>
      <c r="DA1296" t="s">
        <v>131</v>
      </c>
      <c r="DB1296" t="str">
        <f>""</f>
        <v/>
      </c>
      <c r="DF1296" t="str">
        <f>""</f>
        <v/>
      </c>
    </row>
    <row r="1297" spans="1:110" ht="15" customHeight="1" x14ac:dyDescent="0.35">
      <c r="A1297" t="s">
        <v>10370</v>
      </c>
      <c r="B1297" t="s">
        <v>138</v>
      </c>
      <c r="C1297" s="1">
        <v>44323</v>
      </c>
      <c r="G1297" s="1">
        <v>44323</v>
      </c>
      <c r="H1297" t="s">
        <v>125</v>
      </c>
      <c r="I1297" t="s">
        <v>1622</v>
      </c>
      <c r="J1297" t="s">
        <v>1623</v>
      </c>
      <c r="K1297" t="s">
        <v>1624</v>
      </c>
      <c r="L1297" t="s">
        <v>130</v>
      </c>
      <c r="M1297" t="s">
        <v>1625</v>
      </c>
      <c r="N1297" t="s">
        <v>1626</v>
      </c>
      <c r="O1297" t="s">
        <v>719</v>
      </c>
      <c r="P1297" t="s">
        <v>720</v>
      </c>
      <c r="Q1297" s="3">
        <v>1701</v>
      </c>
      <c r="R1297" t="s">
        <v>128</v>
      </c>
      <c r="T1297" s="4">
        <v>15085323527</v>
      </c>
      <c r="V1297" t="s">
        <v>1927</v>
      </c>
      <c r="W1297" t="s">
        <v>2483</v>
      </c>
      <c r="Y1297" t="s">
        <v>2480</v>
      </c>
      <c r="Z1297" t="s">
        <v>2481</v>
      </c>
      <c r="AA1297" t="s">
        <v>2482</v>
      </c>
      <c r="AB1297" t="s">
        <v>195</v>
      </c>
      <c r="AC1297" s="3" t="str">
        <f>"32822"</f>
        <v>32822</v>
      </c>
      <c r="AD1297" t="s">
        <v>128</v>
      </c>
      <c r="AF1297" s="4">
        <v>14073704664</v>
      </c>
      <c r="AH1297" t="str">
        <f>"541614"</f>
        <v>541614</v>
      </c>
      <c r="AI1297" t="s">
        <v>130</v>
      </c>
      <c r="AJ1297" t="s">
        <v>1622</v>
      </c>
      <c r="AK1297" t="s">
        <v>1623</v>
      </c>
      <c r="AL1297" t="s">
        <v>1624</v>
      </c>
      <c r="AM1297" t="s">
        <v>1625</v>
      </c>
      <c r="AN1297" t="s">
        <v>1626</v>
      </c>
      <c r="AO1297" t="s">
        <v>719</v>
      </c>
      <c r="AP1297" t="s">
        <v>377</v>
      </c>
      <c r="AQ1297" s="5">
        <v>1701</v>
      </c>
      <c r="AR1297" t="s">
        <v>128</v>
      </c>
      <c r="AT1297" s="4">
        <v>15085323527</v>
      </c>
      <c r="AV1297" t="s">
        <v>1927</v>
      </c>
      <c r="AW1297" t="s">
        <v>1628</v>
      </c>
      <c r="AX1297" t="s">
        <v>131</v>
      </c>
      <c r="AY1297" t="s">
        <v>131</v>
      </c>
      <c r="AZ1297" t="s">
        <v>131</v>
      </c>
      <c r="BA1297" t="s">
        <v>131</v>
      </c>
      <c r="BB1297" t="s">
        <v>131</v>
      </c>
      <c r="BC1297" t="s">
        <v>131</v>
      </c>
      <c r="BD1297" t="s">
        <v>131</v>
      </c>
      <c r="BE1297" t="s">
        <v>132</v>
      </c>
      <c r="BH1297" t="s">
        <v>2484</v>
      </c>
      <c r="BI1297" t="s">
        <v>131</v>
      </c>
      <c r="BL1297" t="s">
        <v>188</v>
      </c>
      <c r="BN1297" t="s">
        <v>2485</v>
      </c>
      <c r="BO1297" t="s">
        <v>131</v>
      </c>
      <c r="BP1297" t="s">
        <v>134</v>
      </c>
      <c r="BQ1297" t="s">
        <v>131</v>
      </c>
      <c r="BS1297" t="str">
        <f t="shared" si="89"/>
        <v>N/A</v>
      </c>
      <c r="BT1297" t="s">
        <v>135</v>
      </c>
      <c r="BU1297">
        <v>24</v>
      </c>
      <c r="BV1297" t="str">
        <f>"job offered or related position"</f>
        <v>job offered or related position</v>
      </c>
      <c r="BW1297" t="s">
        <v>135</v>
      </c>
      <c r="BX1297" t="str">
        <f>""</f>
        <v/>
      </c>
      <c r="BY1297" t="str">
        <f>""</f>
        <v/>
      </c>
      <c r="BZ1297" t="str">
        <f>""</f>
        <v/>
      </c>
      <c r="CA1297" t="s">
        <v>2486</v>
      </c>
      <c r="CB1297" t="s">
        <v>131</v>
      </c>
      <c r="CF1297" t="s">
        <v>131</v>
      </c>
      <c r="CH1297" t="str">
        <f>""</f>
        <v/>
      </c>
      <c r="CI1297" t="s">
        <v>131</v>
      </c>
      <c r="CK1297" t="s">
        <v>131</v>
      </c>
      <c r="CL1297" t="str">
        <f>""</f>
        <v/>
      </c>
      <c r="CM1297" t="str">
        <f>""</f>
        <v/>
      </c>
      <c r="CN1297" t="str">
        <f>""</f>
        <v/>
      </c>
      <c r="CO1297" t="str">
        <f>""</f>
        <v/>
      </c>
      <c r="CP1297" t="str">
        <f>"15-1199.08"</f>
        <v>15-1199.08</v>
      </c>
      <c r="CQ1297" t="s">
        <v>265</v>
      </c>
      <c r="CR1297" t="s">
        <v>1263</v>
      </c>
      <c r="CS1297" t="s">
        <v>131</v>
      </c>
      <c r="CU1297" t="s">
        <v>2487</v>
      </c>
      <c r="CV1297" t="s">
        <v>1779</v>
      </c>
      <c r="CW1297" t="s">
        <v>1521</v>
      </c>
      <c r="CX1297" t="s">
        <v>195</v>
      </c>
      <c r="CZ1297" s="3" t="str">
        <f>"33122"</f>
        <v>33122</v>
      </c>
      <c r="DA1297" t="s">
        <v>131</v>
      </c>
      <c r="DB1297" t="str">
        <f>""</f>
        <v/>
      </c>
      <c r="DF1297" t="str">
        <f>""</f>
        <v/>
      </c>
    </row>
    <row r="1298" spans="1:110" ht="15" customHeight="1" x14ac:dyDescent="0.35">
      <c r="A1298" t="s">
        <v>7453</v>
      </c>
      <c r="B1298" t="s">
        <v>138</v>
      </c>
      <c r="C1298" s="1">
        <v>44323</v>
      </c>
      <c r="G1298" s="1">
        <v>44335</v>
      </c>
      <c r="H1298" t="s">
        <v>125</v>
      </c>
      <c r="I1298" t="s">
        <v>7454</v>
      </c>
      <c r="J1298" t="s">
        <v>1010</v>
      </c>
      <c r="K1298" t="s">
        <v>7455</v>
      </c>
      <c r="L1298" t="s">
        <v>668</v>
      </c>
      <c r="M1298" t="s">
        <v>7456</v>
      </c>
      <c r="N1298" t="s">
        <v>213</v>
      </c>
      <c r="O1298" t="s">
        <v>7013</v>
      </c>
      <c r="P1298" t="s">
        <v>3898</v>
      </c>
      <c r="Q1298" s="3">
        <v>40202</v>
      </c>
      <c r="R1298" t="s">
        <v>128</v>
      </c>
      <c r="T1298" s="4">
        <v>15025402388</v>
      </c>
      <c r="V1298" t="s">
        <v>7457</v>
      </c>
      <c r="W1298" t="s">
        <v>7458</v>
      </c>
      <c r="Y1298" t="s">
        <v>7459</v>
      </c>
      <c r="AA1298" t="s">
        <v>1319</v>
      </c>
      <c r="AB1298" t="s">
        <v>249</v>
      </c>
      <c r="AC1298" s="3" t="str">
        <f>"56143"</f>
        <v>56143</v>
      </c>
      <c r="AD1298" t="s">
        <v>128</v>
      </c>
      <c r="AF1298" s="4">
        <v>15078474610</v>
      </c>
      <c r="AH1298" t="str">
        <f>"112210"</f>
        <v>112210</v>
      </c>
      <c r="AI1298" t="s">
        <v>130</v>
      </c>
      <c r="AJ1298" t="s">
        <v>7454</v>
      </c>
      <c r="AK1298" t="s">
        <v>1010</v>
      </c>
      <c r="AL1298" t="s">
        <v>7455</v>
      </c>
      <c r="AM1298" t="s">
        <v>7456</v>
      </c>
      <c r="AN1298" t="s">
        <v>213</v>
      </c>
      <c r="AO1298" t="s">
        <v>7013</v>
      </c>
      <c r="AP1298" t="s">
        <v>2436</v>
      </c>
      <c r="AQ1298" s="5">
        <v>40202</v>
      </c>
      <c r="AR1298" t="s">
        <v>128</v>
      </c>
      <c r="AT1298" s="4">
        <v>15025402388</v>
      </c>
      <c r="AV1298" t="s">
        <v>7457</v>
      </c>
      <c r="AW1298" t="s">
        <v>7460</v>
      </c>
      <c r="AX1298" t="s">
        <v>131</v>
      </c>
      <c r="AY1298" t="s">
        <v>131</v>
      </c>
      <c r="AZ1298" t="s">
        <v>131</v>
      </c>
      <c r="BA1298" t="s">
        <v>131</v>
      </c>
      <c r="BB1298" t="s">
        <v>131</v>
      </c>
      <c r="BC1298" t="s">
        <v>131</v>
      </c>
      <c r="BD1298" t="s">
        <v>131</v>
      </c>
      <c r="BE1298" t="s">
        <v>132</v>
      </c>
      <c r="BH1298" t="s">
        <v>7461</v>
      </c>
      <c r="BI1298" t="s">
        <v>135</v>
      </c>
      <c r="BJ1298" t="s">
        <v>6950</v>
      </c>
      <c r="BK1298" t="s">
        <v>5790</v>
      </c>
      <c r="BL1298" t="s">
        <v>167</v>
      </c>
      <c r="BO1298" t="s">
        <v>131</v>
      </c>
      <c r="BP1298" t="s">
        <v>134</v>
      </c>
      <c r="BQ1298" t="s">
        <v>131</v>
      </c>
      <c r="BS1298" t="str">
        <f t="shared" si="89"/>
        <v>N/A</v>
      </c>
      <c r="BT1298" t="s">
        <v>135</v>
      </c>
      <c r="BU1298">
        <v>12</v>
      </c>
      <c r="BV1298" t="str">
        <f>"Any in which relevant experience was gained."</f>
        <v>Any in which relevant experience was gained.</v>
      </c>
      <c r="BW1298" t="s">
        <v>131</v>
      </c>
      <c r="BX1298" t="str">
        <f>""</f>
        <v/>
      </c>
      <c r="BY1298" t="str">
        <f>""</f>
        <v/>
      </c>
      <c r="BZ1298" t="str">
        <f>""</f>
        <v/>
      </c>
      <c r="CA1298" t="str">
        <f>""</f>
        <v/>
      </c>
      <c r="CB1298" t="s">
        <v>131</v>
      </c>
      <c r="CF1298" t="s">
        <v>131</v>
      </c>
      <c r="CH1298" t="str">
        <f>""</f>
        <v/>
      </c>
      <c r="CI1298" t="s">
        <v>131</v>
      </c>
      <c r="CK1298" t="s">
        <v>131</v>
      </c>
      <c r="CL1298" t="str">
        <f>""</f>
        <v/>
      </c>
      <c r="CM1298" t="str">
        <f>""</f>
        <v/>
      </c>
      <c r="CN1298" t="str">
        <f>""</f>
        <v/>
      </c>
      <c r="CO1298" t="str">
        <f>""</f>
        <v/>
      </c>
      <c r="CP1298" t="str">
        <f>"45-1011.08"</f>
        <v>45-1011.08</v>
      </c>
      <c r="CQ1298" t="s">
        <v>7462</v>
      </c>
      <c r="CR1298" t="s">
        <v>7463</v>
      </c>
      <c r="CS1298" t="s">
        <v>131</v>
      </c>
      <c r="CU1298" t="s">
        <v>7464</v>
      </c>
      <c r="CV1298" t="s">
        <v>7465</v>
      </c>
      <c r="CW1298" t="s">
        <v>6432</v>
      </c>
      <c r="CX1298" t="s">
        <v>229</v>
      </c>
      <c r="CZ1298" s="3" t="str">
        <f>"47471"</f>
        <v>47471</v>
      </c>
      <c r="DA1298" t="s">
        <v>131</v>
      </c>
      <c r="DB1298" t="str">
        <f>""</f>
        <v/>
      </c>
      <c r="DF1298" t="str">
        <f>""</f>
        <v/>
      </c>
    </row>
    <row r="1299" spans="1:110" ht="15" customHeight="1" x14ac:dyDescent="0.35">
      <c r="A1299" t="s">
        <v>15164</v>
      </c>
      <c r="B1299" t="s">
        <v>138</v>
      </c>
      <c r="C1299" s="1">
        <v>44323</v>
      </c>
      <c r="G1299" s="1">
        <v>44323</v>
      </c>
      <c r="H1299" t="s">
        <v>125</v>
      </c>
      <c r="I1299" t="s">
        <v>139</v>
      </c>
      <c r="J1299" t="s">
        <v>140</v>
      </c>
      <c r="L1299" t="s">
        <v>3378</v>
      </c>
      <c r="M1299" t="s">
        <v>142</v>
      </c>
      <c r="O1299" t="s">
        <v>143</v>
      </c>
      <c r="P1299" t="s">
        <v>144</v>
      </c>
      <c r="Q1299" s="3">
        <v>98052</v>
      </c>
      <c r="R1299" t="s">
        <v>128</v>
      </c>
      <c r="T1299" s="4">
        <v>14255383872</v>
      </c>
      <c r="V1299" t="s">
        <v>145</v>
      </c>
      <c r="W1299" t="s">
        <v>1411</v>
      </c>
      <c r="Y1299" t="s">
        <v>142</v>
      </c>
      <c r="AA1299" t="s">
        <v>143</v>
      </c>
      <c r="AB1299" t="s">
        <v>149</v>
      </c>
      <c r="AC1299" s="3" t="str">
        <f>"98052"</f>
        <v>98052</v>
      </c>
      <c r="AD1299" t="s">
        <v>128</v>
      </c>
      <c r="AF1299" s="4">
        <v>14255383872</v>
      </c>
      <c r="AH1299" t="str">
        <f>"511210"</f>
        <v>511210</v>
      </c>
      <c r="AI1299" t="s">
        <v>130</v>
      </c>
      <c r="AJ1299" t="s">
        <v>2667</v>
      </c>
      <c r="AK1299" t="s">
        <v>5808</v>
      </c>
      <c r="AM1299" t="s">
        <v>10665</v>
      </c>
      <c r="AN1299" t="s">
        <v>698</v>
      </c>
      <c r="AO1299" t="s">
        <v>1415</v>
      </c>
      <c r="AP1299" t="s">
        <v>149</v>
      </c>
      <c r="AQ1299" s="5">
        <v>21117</v>
      </c>
      <c r="AR1299" t="s">
        <v>128</v>
      </c>
      <c r="AT1299" s="4">
        <v>14103565440</v>
      </c>
      <c r="AV1299" t="s">
        <v>3379</v>
      </c>
      <c r="AW1299" t="s">
        <v>1416</v>
      </c>
      <c r="AX1299" t="s">
        <v>131</v>
      </c>
      <c r="AY1299" t="s">
        <v>131</v>
      </c>
      <c r="AZ1299" t="s">
        <v>131</v>
      </c>
      <c r="BA1299" t="s">
        <v>131</v>
      </c>
      <c r="BB1299" t="s">
        <v>131</v>
      </c>
      <c r="BC1299" t="s">
        <v>131</v>
      </c>
      <c r="BD1299" t="s">
        <v>131</v>
      </c>
      <c r="BE1299" t="s">
        <v>132</v>
      </c>
      <c r="BH1299" t="s">
        <v>2256</v>
      </c>
      <c r="BI1299" t="s">
        <v>131</v>
      </c>
      <c r="BL1299" t="s">
        <v>133</v>
      </c>
      <c r="BN1299" t="s">
        <v>15165</v>
      </c>
      <c r="BO1299" t="s">
        <v>131</v>
      </c>
      <c r="BP1299" t="s">
        <v>134</v>
      </c>
      <c r="BQ1299" t="s">
        <v>131</v>
      </c>
      <c r="BS1299" t="str">
        <f t="shared" si="89"/>
        <v>N/A</v>
      </c>
      <c r="BT1299" t="s">
        <v>135</v>
      </c>
      <c r="BU1299">
        <v>36</v>
      </c>
      <c r="BV1299" t="str">
        <f>"Any computer-related occupation"</f>
        <v>Any computer-related occupation</v>
      </c>
      <c r="BW1299" t="s">
        <v>135</v>
      </c>
      <c r="BX1299" t="str">
        <f>""</f>
        <v/>
      </c>
      <c r="BY1299" t="str">
        <f>""</f>
        <v/>
      </c>
      <c r="BZ1299" t="str">
        <f>""</f>
        <v/>
      </c>
      <c r="CA1299" t="s">
        <v>15166</v>
      </c>
      <c r="CB1299" t="s">
        <v>131</v>
      </c>
      <c r="CF1299" t="s">
        <v>131</v>
      </c>
      <c r="CH1299" t="str">
        <f>""</f>
        <v/>
      </c>
      <c r="CI1299" t="s">
        <v>131</v>
      </c>
      <c r="CK1299" t="s">
        <v>131</v>
      </c>
      <c r="CL1299" t="str">
        <f>""</f>
        <v/>
      </c>
      <c r="CM1299" t="str">
        <f>""</f>
        <v/>
      </c>
      <c r="CN1299" t="str">
        <f>""</f>
        <v/>
      </c>
      <c r="CO1299" t="str">
        <f>""</f>
        <v/>
      </c>
      <c r="CP1299" t="str">
        <f>"15-1132.00"</f>
        <v>15-1132.00</v>
      </c>
      <c r="CQ1299" t="s">
        <v>198</v>
      </c>
      <c r="CR1299" t="s">
        <v>10667</v>
      </c>
      <c r="CS1299" t="s">
        <v>131</v>
      </c>
      <c r="CU1299" t="s">
        <v>142</v>
      </c>
      <c r="CW1299" t="s">
        <v>143</v>
      </c>
      <c r="CX1299" t="s">
        <v>149</v>
      </c>
      <c r="CZ1299" s="3" t="str">
        <f>"98052"</f>
        <v>98052</v>
      </c>
      <c r="DA1299" t="s">
        <v>131</v>
      </c>
      <c r="DB1299" t="str">
        <f>""</f>
        <v/>
      </c>
      <c r="DF1299" t="str">
        <f>""</f>
        <v/>
      </c>
    </row>
    <row r="1300" spans="1:110" ht="15" customHeight="1" x14ac:dyDescent="0.35">
      <c r="A1300" t="s">
        <v>17944</v>
      </c>
      <c r="B1300" t="s">
        <v>138</v>
      </c>
      <c r="C1300" s="1">
        <v>44323</v>
      </c>
      <c r="G1300" s="1">
        <v>44323</v>
      </c>
      <c r="H1300" t="s">
        <v>125</v>
      </c>
      <c r="I1300" t="s">
        <v>13643</v>
      </c>
      <c r="J1300" t="s">
        <v>8204</v>
      </c>
      <c r="L1300" t="s">
        <v>6221</v>
      </c>
      <c r="M1300" t="s">
        <v>1395</v>
      </c>
      <c r="O1300" t="s">
        <v>1396</v>
      </c>
      <c r="P1300" t="s">
        <v>256</v>
      </c>
      <c r="Q1300" s="3">
        <v>64116</v>
      </c>
      <c r="R1300" t="s">
        <v>128</v>
      </c>
      <c r="T1300" s="4">
        <v>18162215444</v>
      </c>
      <c r="V1300" t="s">
        <v>1397</v>
      </c>
      <c r="W1300" t="s">
        <v>7166</v>
      </c>
      <c r="Y1300" t="s">
        <v>7165</v>
      </c>
      <c r="AA1300" t="s">
        <v>1605</v>
      </c>
      <c r="AB1300" t="s">
        <v>149</v>
      </c>
      <c r="AC1300" s="3" t="str">
        <f>"98006"</f>
        <v>98006</v>
      </c>
      <c r="AD1300" t="s">
        <v>128</v>
      </c>
      <c r="AF1300" s="4">
        <v>19133159449</v>
      </c>
      <c r="AH1300" t="str">
        <f>"51731"</f>
        <v>51731</v>
      </c>
      <c r="AI1300" t="s">
        <v>130</v>
      </c>
      <c r="AJ1300" t="s">
        <v>6024</v>
      </c>
      <c r="AK1300" t="s">
        <v>9703</v>
      </c>
      <c r="AM1300" t="s">
        <v>1395</v>
      </c>
      <c r="AO1300" t="s">
        <v>1396</v>
      </c>
      <c r="AP1300" t="s">
        <v>258</v>
      </c>
      <c r="AQ1300" s="5">
        <v>64116</v>
      </c>
      <c r="AR1300" t="s">
        <v>128</v>
      </c>
      <c r="AT1300" s="4">
        <v>18162215444</v>
      </c>
      <c r="AV1300" t="s">
        <v>11202</v>
      </c>
      <c r="AW1300" t="s">
        <v>2345</v>
      </c>
      <c r="AX1300" t="s">
        <v>131</v>
      </c>
      <c r="AY1300" t="s">
        <v>131</v>
      </c>
      <c r="AZ1300" t="s">
        <v>131</v>
      </c>
      <c r="BA1300" t="s">
        <v>131</v>
      </c>
      <c r="BB1300" t="s">
        <v>131</v>
      </c>
      <c r="BC1300" t="s">
        <v>131</v>
      </c>
      <c r="BD1300" t="s">
        <v>131</v>
      </c>
      <c r="BE1300" t="s">
        <v>132</v>
      </c>
      <c r="BH1300" t="s">
        <v>7167</v>
      </c>
      <c r="BI1300" t="s">
        <v>131</v>
      </c>
      <c r="BL1300" t="s">
        <v>188</v>
      </c>
      <c r="BN1300" t="s">
        <v>9903</v>
      </c>
      <c r="BO1300" t="s">
        <v>131</v>
      </c>
      <c r="BP1300" t="s">
        <v>134</v>
      </c>
      <c r="BQ1300" t="s">
        <v>131</v>
      </c>
      <c r="BS1300" t="str">
        <f t="shared" si="89"/>
        <v>N/A</v>
      </c>
      <c r="BT1300" t="s">
        <v>135</v>
      </c>
      <c r="BU1300">
        <v>36</v>
      </c>
      <c r="BV1300" t="str">
        <f>"Relevant work experience"</f>
        <v>Relevant work experience</v>
      </c>
      <c r="BW1300" t="s">
        <v>135</v>
      </c>
      <c r="BX1300" t="str">
        <f>""</f>
        <v/>
      </c>
      <c r="BY1300" t="str">
        <f>""</f>
        <v/>
      </c>
      <c r="BZ1300" t="str">
        <f>""</f>
        <v/>
      </c>
      <c r="CA1300" s="2" t="s">
        <v>11203</v>
      </c>
      <c r="CB1300" t="s">
        <v>135</v>
      </c>
      <c r="CC1300" t="s">
        <v>133</v>
      </c>
      <c r="CE1300" t="s">
        <v>9903</v>
      </c>
      <c r="CF1300" t="s">
        <v>131</v>
      </c>
      <c r="CH1300" t="str">
        <f>"N/A"</f>
        <v>N/A</v>
      </c>
      <c r="CI1300" t="s">
        <v>135</v>
      </c>
      <c r="CJ1300">
        <v>60</v>
      </c>
      <c r="CK1300" t="s">
        <v>135</v>
      </c>
      <c r="CL1300" t="str">
        <f>""</f>
        <v/>
      </c>
      <c r="CM1300" t="str">
        <f>""</f>
        <v/>
      </c>
      <c r="CN1300" t="str">
        <f>""</f>
        <v/>
      </c>
      <c r="CO1300" s="2" t="s">
        <v>11203</v>
      </c>
      <c r="CP1300" t="str">
        <f>"15-1132.00"</f>
        <v>15-1132.00</v>
      </c>
      <c r="CQ1300" t="s">
        <v>198</v>
      </c>
      <c r="CR1300" t="s">
        <v>1400</v>
      </c>
      <c r="CS1300" t="s">
        <v>131</v>
      </c>
      <c r="CU1300" t="s">
        <v>11204</v>
      </c>
      <c r="CW1300" t="s">
        <v>1550</v>
      </c>
      <c r="CX1300" t="s">
        <v>1551</v>
      </c>
      <c r="CZ1300" s="3" t="str">
        <f>"66251"</f>
        <v>66251</v>
      </c>
      <c r="DA1300" t="s">
        <v>131</v>
      </c>
      <c r="DB1300" t="str">
        <f>""</f>
        <v/>
      </c>
      <c r="DF1300" t="str">
        <f>""</f>
        <v/>
      </c>
    </row>
    <row r="1301" spans="1:110" ht="15" customHeight="1" x14ac:dyDescent="0.35">
      <c r="A1301" t="s">
        <v>10827</v>
      </c>
      <c r="B1301" t="s">
        <v>138</v>
      </c>
      <c r="C1301" s="1">
        <v>44323</v>
      </c>
      <c r="G1301" s="1">
        <v>44325</v>
      </c>
      <c r="H1301" t="s">
        <v>125</v>
      </c>
      <c r="I1301" t="s">
        <v>5322</v>
      </c>
      <c r="J1301" t="s">
        <v>1060</v>
      </c>
      <c r="L1301" t="s">
        <v>10828</v>
      </c>
      <c r="M1301" t="s">
        <v>5323</v>
      </c>
      <c r="O1301" t="s">
        <v>1506</v>
      </c>
      <c r="P1301" t="s">
        <v>178</v>
      </c>
      <c r="Q1301" s="3">
        <v>94085</v>
      </c>
      <c r="R1301" t="s">
        <v>128</v>
      </c>
      <c r="T1301" s="4">
        <v>14089916200</v>
      </c>
      <c r="V1301" t="s">
        <v>5324</v>
      </c>
      <c r="W1301" t="s">
        <v>5442</v>
      </c>
      <c r="Y1301" t="s">
        <v>5323</v>
      </c>
      <c r="AA1301" t="s">
        <v>1506</v>
      </c>
      <c r="AB1301" t="s">
        <v>172</v>
      </c>
      <c r="AC1301" s="3" t="str">
        <f>"94085"</f>
        <v>94085</v>
      </c>
      <c r="AD1301" t="s">
        <v>128</v>
      </c>
      <c r="AF1301" s="4">
        <v>14089916200</v>
      </c>
      <c r="AH1301" t="str">
        <f>"54171"</f>
        <v>54171</v>
      </c>
      <c r="AI1301" t="s">
        <v>130</v>
      </c>
      <c r="AJ1301" t="s">
        <v>3795</v>
      </c>
      <c r="AK1301" t="s">
        <v>3796</v>
      </c>
      <c r="AM1301" t="s">
        <v>2000</v>
      </c>
      <c r="AN1301" t="s">
        <v>565</v>
      </c>
      <c r="AO1301" t="s">
        <v>220</v>
      </c>
      <c r="AP1301" t="s">
        <v>172</v>
      </c>
      <c r="AQ1301" s="5">
        <v>94104</v>
      </c>
      <c r="AR1301" t="s">
        <v>128</v>
      </c>
      <c r="AT1301" s="4">
        <v>14157717500</v>
      </c>
      <c r="AV1301" t="s">
        <v>5325</v>
      </c>
      <c r="AW1301" t="s">
        <v>251</v>
      </c>
      <c r="AX1301" t="s">
        <v>131</v>
      </c>
      <c r="AY1301" t="s">
        <v>131</v>
      </c>
      <c r="AZ1301" t="s">
        <v>131</v>
      </c>
      <c r="BA1301" t="s">
        <v>131</v>
      </c>
      <c r="BB1301" t="s">
        <v>131</v>
      </c>
      <c r="BC1301" t="s">
        <v>131</v>
      </c>
      <c r="BD1301" t="s">
        <v>131</v>
      </c>
      <c r="BE1301" t="s">
        <v>132</v>
      </c>
      <c r="BH1301" t="s">
        <v>10829</v>
      </c>
      <c r="BI1301" t="s">
        <v>131</v>
      </c>
      <c r="BL1301" t="s">
        <v>188</v>
      </c>
      <c r="BN1301" t="s">
        <v>10830</v>
      </c>
      <c r="BO1301" t="s">
        <v>131</v>
      </c>
      <c r="BP1301" t="s">
        <v>134</v>
      </c>
      <c r="BQ1301" t="s">
        <v>131</v>
      </c>
      <c r="BS1301" t="str">
        <f t="shared" si="89"/>
        <v>N/A</v>
      </c>
      <c r="BT1301" t="s">
        <v>135</v>
      </c>
      <c r="BU1301">
        <v>12</v>
      </c>
      <c r="BV1301" t="str">
        <f>"In job offered, or in a related occupation. "</f>
        <v xml:space="preserve">In job offered, or in a related occupation. </v>
      </c>
      <c r="BW1301" t="s">
        <v>135</v>
      </c>
      <c r="BX1301" t="str">
        <f>""</f>
        <v/>
      </c>
      <c r="BY1301" t="str">
        <f>""</f>
        <v/>
      </c>
      <c r="BZ1301" t="str">
        <f>""</f>
        <v/>
      </c>
      <c r="CA1301" t="s">
        <v>8765</v>
      </c>
      <c r="CB1301" t="s">
        <v>131</v>
      </c>
      <c r="CF1301" t="s">
        <v>131</v>
      </c>
      <c r="CH1301" t="str">
        <f>""</f>
        <v/>
      </c>
      <c r="CI1301" t="s">
        <v>131</v>
      </c>
      <c r="CK1301" t="s">
        <v>131</v>
      </c>
      <c r="CL1301" t="str">
        <f>""</f>
        <v/>
      </c>
      <c r="CM1301" t="str">
        <f>""</f>
        <v/>
      </c>
      <c r="CN1301" t="str">
        <f>""</f>
        <v/>
      </c>
      <c r="CO1301" t="str">
        <f>""</f>
        <v/>
      </c>
      <c r="CP1301" t="str">
        <f>"17-2141.02"</f>
        <v>17-2141.02</v>
      </c>
      <c r="CQ1301" t="s">
        <v>2705</v>
      </c>
      <c r="CS1301" t="s">
        <v>131</v>
      </c>
      <c r="CU1301" t="s">
        <v>10831</v>
      </c>
      <c r="CW1301" t="s">
        <v>4722</v>
      </c>
      <c r="CX1301" t="s">
        <v>172</v>
      </c>
      <c r="CZ1301" s="3" t="str">
        <f>"90810"</f>
        <v>90810</v>
      </c>
      <c r="DA1301" t="s">
        <v>131</v>
      </c>
      <c r="DB1301" t="str">
        <f>""</f>
        <v/>
      </c>
      <c r="DF1301" t="str">
        <f>""</f>
        <v/>
      </c>
    </row>
    <row r="1302" spans="1:110" ht="15" customHeight="1" x14ac:dyDescent="0.35">
      <c r="A1302" t="s">
        <v>7746</v>
      </c>
      <c r="B1302" t="s">
        <v>138</v>
      </c>
      <c r="C1302" s="1">
        <v>44323</v>
      </c>
      <c r="G1302" s="1">
        <v>44323</v>
      </c>
      <c r="H1302" t="s">
        <v>125</v>
      </c>
      <c r="I1302" t="s">
        <v>237</v>
      </c>
      <c r="J1302" t="s">
        <v>238</v>
      </c>
      <c r="L1302" t="s">
        <v>5716</v>
      </c>
      <c r="M1302" t="s">
        <v>239</v>
      </c>
      <c r="O1302" t="s">
        <v>241</v>
      </c>
      <c r="Q1302" s="3" t="s">
        <v>242</v>
      </c>
      <c r="R1302" t="s">
        <v>156</v>
      </c>
      <c r="S1302" t="s">
        <v>243</v>
      </c>
      <c r="T1302" s="4">
        <v>16048067013</v>
      </c>
      <c r="V1302" t="s">
        <v>234</v>
      </c>
      <c r="W1302" t="s">
        <v>235</v>
      </c>
      <c r="Y1302" t="s">
        <v>236</v>
      </c>
      <c r="AA1302" t="s">
        <v>143</v>
      </c>
      <c r="AB1302" t="s">
        <v>149</v>
      </c>
      <c r="AC1302" s="3" t="str">
        <f>"98052"</f>
        <v>98052</v>
      </c>
      <c r="AD1302" t="s">
        <v>128</v>
      </c>
      <c r="AF1302" s="4">
        <v>14255383872</v>
      </c>
      <c r="AH1302" t="str">
        <f>"51121"</f>
        <v>51121</v>
      </c>
      <c r="AI1302" t="s">
        <v>130</v>
      </c>
      <c r="AJ1302" t="s">
        <v>237</v>
      </c>
      <c r="AK1302" t="s">
        <v>238</v>
      </c>
      <c r="AM1302" t="s">
        <v>239</v>
      </c>
      <c r="AO1302" t="s">
        <v>241</v>
      </c>
      <c r="AQ1302" s="5" t="s">
        <v>242</v>
      </c>
      <c r="AR1302" t="s">
        <v>156</v>
      </c>
      <c r="AS1302" t="s">
        <v>243</v>
      </c>
      <c r="AT1302" s="4">
        <v>16048067013</v>
      </c>
      <c r="AV1302" t="s">
        <v>234</v>
      </c>
      <c r="AW1302" t="s">
        <v>218</v>
      </c>
      <c r="AX1302" t="s">
        <v>131</v>
      </c>
      <c r="AY1302" t="s">
        <v>131</v>
      </c>
      <c r="AZ1302" t="s">
        <v>131</v>
      </c>
      <c r="BA1302" t="s">
        <v>131</v>
      </c>
      <c r="BB1302" t="s">
        <v>131</v>
      </c>
      <c r="BC1302" t="s">
        <v>131</v>
      </c>
      <c r="BD1302" t="s">
        <v>131</v>
      </c>
      <c r="BE1302" t="s">
        <v>160</v>
      </c>
      <c r="BF1302" t="s">
        <v>1612</v>
      </c>
      <c r="BG1302" s="1">
        <v>44270</v>
      </c>
      <c r="BH1302" t="s">
        <v>7747</v>
      </c>
      <c r="BI1302" t="s">
        <v>131</v>
      </c>
      <c r="BL1302" t="s">
        <v>188</v>
      </c>
      <c r="BN1302" t="s">
        <v>5719</v>
      </c>
      <c r="BO1302" t="s">
        <v>131</v>
      </c>
      <c r="BP1302" t="s">
        <v>134</v>
      </c>
      <c r="BQ1302" t="s">
        <v>131</v>
      </c>
      <c r="BS1302" t="str">
        <f t="shared" si="89"/>
        <v>N/A</v>
      </c>
      <c r="BT1302" t="s">
        <v>135</v>
      </c>
      <c r="BU1302">
        <v>24</v>
      </c>
      <c r="BV1302" t="str">
        <f>"All Computer related occupations"</f>
        <v>All Computer related occupations</v>
      </c>
      <c r="BW1302" t="s">
        <v>135</v>
      </c>
      <c r="BX1302" t="str">
        <f>""</f>
        <v/>
      </c>
      <c r="BY1302" t="str">
        <f>""</f>
        <v/>
      </c>
      <c r="BZ1302" t="str">
        <f>""</f>
        <v/>
      </c>
      <c r="CA1302" s="2" t="s">
        <v>5720</v>
      </c>
      <c r="CB1302" t="s">
        <v>131</v>
      </c>
      <c r="CF1302" t="s">
        <v>131</v>
      </c>
      <c r="CH1302" t="str">
        <f>""</f>
        <v/>
      </c>
      <c r="CI1302" t="s">
        <v>131</v>
      </c>
      <c r="CK1302" t="s">
        <v>131</v>
      </c>
      <c r="CL1302" t="str">
        <f>""</f>
        <v/>
      </c>
      <c r="CM1302" t="str">
        <f>""</f>
        <v/>
      </c>
      <c r="CN1302" t="str">
        <f>""</f>
        <v/>
      </c>
      <c r="CO1302" t="str">
        <f>""</f>
        <v/>
      </c>
      <c r="CP1302" t="str">
        <f>"13-1161.00"</f>
        <v>13-1161.00</v>
      </c>
      <c r="CQ1302" t="s">
        <v>252</v>
      </c>
      <c r="CS1302" t="s">
        <v>131</v>
      </c>
      <c r="CU1302" t="s">
        <v>142</v>
      </c>
      <c r="CW1302" t="s">
        <v>143</v>
      </c>
      <c r="CX1302" t="s">
        <v>149</v>
      </c>
      <c r="CZ1302" s="3" t="str">
        <f>"98052"</f>
        <v>98052</v>
      </c>
      <c r="DA1302" t="s">
        <v>131</v>
      </c>
      <c r="DB1302" t="str">
        <f>""</f>
        <v/>
      </c>
      <c r="DF1302" t="str">
        <f>""</f>
        <v/>
      </c>
    </row>
    <row r="1303" spans="1:110" ht="15" customHeight="1" x14ac:dyDescent="0.35">
      <c r="A1303" t="s">
        <v>17315</v>
      </c>
      <c r="B1303" t="s">
        <v>138</v>
      </c>
      <c r="C1303" s="1">
        <v>44323</v>
      </c>
      <c r="G1303" s="1">
        <v>44329</v>
      </c>
      <c r="H1303" t="s">
        <v>125</v>
      </c>
      <c r="I1303" t="s">
        <v>13643</v>
      </c>
      <c r="J1303" t="s">
        <v>8204</v>
      </c>
      <c r="L1303" t="s">
        <v>6221</v>
      </c>
      <c r="M1303" t="s">
        <v>1395</v>
      </c>
      <c r="O1303" t="s">
        <v>1396</v>
      </c>
      <c r="P1303" t="s">
        <v>256</v>
      </c>
      <c r="Q1303" s="3">
        <v>64116</v>
      </c>
      <c r="R1303" t="s">
        <v>128</v>
      </c>
      <c r="T1303" s="4">
        <v>18162215444</v>
      </c>
      <c r="V1303" t="s">
        <v>1397</v>
      </c>
      <c r="W1303" t="s">
        <v>7166</v>
      </c>
      <c r="Y1303" t="s">
        <v>7165</v>
      </c>
      <c r="AA1303" t="s">
        <v>1605</v>
      </c>
      <c r="AB1303" t="s">
        <v>149</v>
      </c>
      <c r="AC1303" s="3" t="str">
        <f>"98006"</f>
        <v>98006</v>
      </c>
      <c r="AD1303" t="s">
        <v>128</v>
      </c>
      <c r="AF1303" s="4">
        <v>19133159449</v>
      </c>
      <c r="AH1303" t="str">
        <f>"51731"</f>
        <v>51731</v>
      </c>
      <c r="AI1303" t="s">
        <v>130</v>
      </c>
      <c r="AJ1303" t="s">
        <v>17316</v>
      </c>
      <c r="AK1303" t="s">
        <v>6024</v>
      </c>
      <c r="AM1303" t="s">
        <v>1395</v>
      </c>
      <c r="AO1303" t="s">
        <v>1396</v>
      </c>
      <c r="AP1303" t="s">
        <v>258</v>
      </c>
      <c r="AQ1303" s="5">
        <v>64116</v>
      </c>
      <c r="AR1303" t="s">
        <v>128</v>
      </c>
      <c r="AT1303" s="4">
        <v>18162215444</v>
      </c>
      <c r="AV1303" t="s">
        <v>11202</v>
      </c>
      <c r="AW1303" t="s">
        <v>2345</v>
      </c>
      <c r="AX1303" t="s">
        <v>131</v>
      </c>
      <c r="AY1303" t="s">
        <v>131</v>
      </c>
      <c r="AZ1303" t="s">
        <v>131</v>
      </c>
      <c r="BA1303" t="s">
        <v>131</v>
      </c>
      <c r="BB1303" t="s">
        <v>131</v>
      </c>
      <c r="BC1303" t="s">
        <v>131</v>
      </c>
      <c r="BD1303" t="s">
        <v>131</v>
      </c>
      <c r="BE1303" t="s">
        <v>132</v>
      </c>
      <c r="BH1303" t="s">
        <v>7167</v>
      </c>
      <c r="BI1303" t="s">
        <v>131</v>
      </c>
      <c r="BL1303" t="s">
        <v>188</v>
      </c>
      <c r="BN1303" t="s">
        <v>9903</v>
      </c>
      <c r="BO1303" t="s">
        <v>131</v>
      </c>
      <c r="BP1303" t="s">
        <v>134</v>
      </c>
      <c r="BQ1303" t="s">
        <v>131</v>
      </c>
      <c r="BS1303" t="str">
        <f t="shared" si="89"/>
        <v>N/A</v>
      </c>
      <c r="BT1303" t="s">
        <v>135</v>
      </c>
      <c r="BU1303">
        <v>36</v>
      </c>
      <c r="BV1303" t="str">
        <f>"Relevant work experience"</f>
        <v>Relevant work experience</v>
      </c>
      <c r="BW1303" t="s">
        <v>135</v>
      </c>
      <c r="BX1303" t="str">
        <f>""</f>
        <v/>
      </c>
      <c r="BY1303" t="str">
        <f>""</f>
        <v/>
      </c>
      <c r="BZ1303" t="str">
        <f>""</f>
        <v/>
      </c>
      <c r="CA1303" s="2" t="s">
        <v>17317</v>
      </c>
      <c r="CB1303" t="s">
        <v>135</v>
      </c>
      <c r="CC1303" t="s">
        <v>133</v>
      </c>
      <c r="CE1303" t="s">
        <v>9903</v>
      </c>
      <c r="CF1303" t="s">
        <v>131</v>
      </c>
      <c r="CH1303" t="str">
        <f>"N/A"</f>
        <v>N/A</v>
      </c>
      <c r="CI1303" t="s">
        <v>135</v>
      </c>
      <c r="CJ1303">
        <v>60</v>
      </c>
      <c r="CK1303" t="s">
        <v>135</v>
      </c>
      <c r="CL1303" t="str">
        <f>""</f>
        <v/>
      </c>
      <c r="CM1303" t="str">
        <f>""</f>
        <v/>
      </c>
      <c r="CN1303" t="str">
        <f>""</f>
        <v/>
      </c>
      <c r="CO1303" s="2" t="s">
        <v>17317</v>
      </c>
      <c r="CP1303" t="str">
        <f>"15-1132.00"</f>
        <v>15-1132.00</v>
      </c>
      <c r="CQ1303" t="s">
        <v>198</v>
      </c>
      <c r="CR1303" t="s">
        <v>460</v>
      </c>
      <c r="CS1303" t="s">
        <v>131</v>
      </c>
      <c r="CU1303" t="s">
        <v>11204</v>
      </c>
      <c r="CW1303" t="s">
        <v>1550</v>
      </c>
      <c r="CX1303" t="s">
        <v>1551</v>
      </c>
      <c r="CZ1303" s="3" t="str">
        <f>"66251"</f>
        <v>66251</v>
      </c>
      <c r="DA1303" t="s">
        <v>131</v>
      </c>
      <c r="DB1303" t="str">
        <f>""</f>
        <v/>
      </c>
      <c r="DF1303" t="str">
        <f>""</f>
        <v/>
      </c>
    </row>
    <row r="1304" spans="1:110" ht="15" customHeight="1" x14ac:dyDescent="0.35">
      <c r="A1304" t="s">
        <v>5715</v>
      </c>
      <c r="B1304" t="s">
        <v>138</v>
      </c>
      <c r="C1304" s="1">
        <v>44323</v>
      </c>
      <c r="G1304" s="1">
        <v>44327</v>
      </c>
      <c r="H1304" t="s">
        <v>125</v>
      </c>
      <c r="I1304" t="s">
        <v>237</v>
      </c>
      <c r="J1304" t="s">
        <v>238</v>
      </c>
      <c r="L1304" t="s">
        <v>5716</v>
      </c>
      <c r="M1304" t="s">
        <v>5717</v>
      </c>
      <c r="O1304" t="s">
        <v>241</v>
      </c>
      <c r="Q1304" s="3" t="s">
        <v>242</v>
      </c>
      <c r="R1304" t="s">
        <v>156</v>
      </c>
      <c r="S1304" t="s">
        <v>243</v>
      </c>
      <c r="T1304" s="4">
        <v>16048067013</v>
      </c>
      <c r="V1304" t="s">
        <v>234</v>
      </c>
      <c r="W1304" t="s">
        <v>235</v>
      </c>
      <c r="Y1304" t="s">
        <v>236</v>
      </c>
      <c r="AA1304" t="s">
        <v>143</v>
      </c>
      <c r="AB1304" t="s">
        <v>149</v>
      </c>
      <c r="AC1304" s="3" t="str">
        <f>"98052"</f>
        <v>98052</v>
      </c>
      <c r="AD1304" t="s">
        <v>128</v>
      </c>
      <c r="AF1304" s="4">
        <v>14255383872</v>
      </c>
      <c r="AH1304" t="str">
        <f>"51121"</f>
        <v>51121</v>
      </c>
      <c r="AI1304" t="s">
        <v>130</v>
      </c>
      <c r="AJ1304" t="s">
        <v>237</v>
      </c>
      <c r="AK1304" t="s">
        <v>238</v>
      </c>
      <c r="AM1304" t="s">
        <v>239</v>
      </c>
      <c r="AO1304" t="s">
        <v>241</v>
      </c>
      <c r="AQ1304" s="5" t="s">
        <v>242</v>
      </c>
      <c r="AR1304" t="s">
        <v>156</v>
      </c>
      <c r="AS1304" t="s">
        <v>243</v>
      </c>
      <c r="AT1304" s="4">
        <v>16048067013</v>
      </c>
      <c r="AV1304" t="s">
        <v>234</v>
      </c>
      <c r="AW1304" t="s">
        <v>218</v>
      </c>
      <c r="AX1304" t="s">
        <v>131</v>
      </c>
      <c r="AY1304" t="s">
        <v>131</v>
      </c>
      <c r="AZ1304" t="s">
        <v>131</v>
      </c>
      <c r="BA1304" t="s">
        <v>131</v>
      </c>
      <c r="BB1304" t="s">
        <v>131</v>
      </c>
      <c r="BC1304" t="s">
        <v>131</v>
      </c>
      <c r="BD1304" t="s">
        <v>131</v>
      </c>
      <c r="BE1304" t="s">
        <v>160</v>
      </c>
      <c r="BF1304" t="s">
        <v>1612</v>
      </c>
      <c r="BG1304" s="1">
        <v>44260</v>
      </c>
      <c r="BH1304" t="s">
        <v>5718</v>
      </c>
      <c r="BI1304" t="s">
        <v>131</v>
      </c>
      <c r="BL1304" t="s">
        <v>188</v>
      </c>
      <c r="BN1304" t="s">
        <v>5719</v>
      </c>
      <c r="BO1304" t="s">
        <v>131</v>
      </c>
      <c r="BP1304" t="s">
        <v>134</v>
      </c>
      <c r="BQ1304" t="s">
        <v>131</v>
      </c>
      <c r="BS1304" t="str">
        <f t="shared" si="89"/>
        <v>N/A</v>
      </c>
      <c r="BT1304" t="s">
        <v>135</v>
      </c>
      <c r="BU1304">
        <v>24</v>
      </c>
      <c r="BV1304" t="str">
        <f>"All Computer related occupations"</f>
        <v>All Computer related occupations</v>
      </c>
      <c r="BW1304" t="s">
        <v>135</v>
      </c>
      <c r="BX1304" t="str">
        <f>""</f>
        <v/>
      </c>
      <c r="BY1304" t="str">
        <f>""</f>
        <v/>
      </c>
      <c r="BZ1304" t="str">
        <f>""</f>
        <v/>
      </c>
      <c r="CA1304" s="2" t="s">
        <v>5720</v>
      </c>
      <c r="CB1304" t="s">
        <v>131</v>
      </c>
      <c r="CF1304" t="s">
        <v>131</v>
      </c>
      <c r="CH1304" t="str">
        <f>""</f>
        <v/>
      </c>
      <c r="CI1304" t="s">
        <v>131</v>
      </c>
      <c r="CK1304" t="s">
        <v>131</v>
      </c>
      <c r="CL1304" t="str">
        <f>""</f>
        <v/>
      </c>
      <c r="CM1304" t="str">
        <f>""</f>
        <v/>
      </c>
      <c r="CN1304" t="str">
        <f>""</f>
        <v/>
      </c>
      <c r="CO1304" t="str">
        <f>""</f>
        <v/>
      </c>
      <c r="CP1304" t="str">
        <f>"13-1161.00"</f>
        <v>13-1161.00</v>
      </c>
      <c r="CQ1304" t="s">
        <v>252</v>
      </c>
      <c r="CS1304" t="s">
        <v>131</v>
      </c>
      <c r="CU1304" t="s">
        <v>142</v>
      </c>
      <c r="CW1304" t="s">
        <v>143</v>
      </c>
      <c r="CX1304" t="s">
        <v>149</v>
      </c>
      <c r="CZ1304" s="3" t="str">
        <f>"98052"</f>
        <v>98052</v>
      </c>
      <c r="DA1304" t="s">
        <v>131</v>
      </c>
      <c r="DB1304" t="str">
        <f>""</f>
        <v/>
      </c>
      <c r="DF1304" t="str">
        <f>""</f>
        <v/>
      </c>
    </row>
    <row r="1305" spans="1:110" ht="15" customHeight="1" x14ac:dyDescent="0.35">
      <c r="A1305" t="s">
        <v>10780</v>
      </c>
      <c r="B1305" t="s">
        <v>138</v>
      </c>
      <c r="C1305" s="1">
        <v>44323</v>
      </c>
      <c r="G1305" s="1">
        <v>44326</v>
      </c>
      <c r="H1305" t="s">
        <v>125</v>
      </c>
      <c r="I1305" t="s">
        <v>10781</v>
      </c>
      <c r="J1305" t="s">
        <v>6910</v>
      </c>
      <c r="K1305" t="s">
        <v>268</v>
      </c>
      <c r="L1305" t="s">
        <v>460</v>
      </c>
      <c r="M1305" t="s">
        <v>1117</v>
      </c>
      <c r="O1305" t="s">
        <v>1118</v>
      </c>
      <c r="P1305" t="s">
        <v>311</v>
      </c>
      <c r="Q1305" s="3">
        <v>15401</v>
      </c>
      <c r="R1305" t="s">
        <v>128</v>
      </c>
      <c r="T1305" s="4">
        <v>17244377300</v>
      </c>
      <c r="V1305" t="s">
        <v>1119</v>
      </c>
      <c r="W1305" t="s">
        <v>1120</v>
      </c>
      <c r="Y1305" t="s">
        <v>1117</v>
      </c>
      <c r="AA1305" t="s">
        <v>1118</v>
      </c>
      <c r="AB1305" t="s">
        <v>312</v>
      </c>
      <c r="AC1305" s="3" t="str">
        <f>"15401"</f>
        <v>15401</v>
      </c>
      <c r="AD1305" t="s">
        <v>128</v>
      </c>
      <c r="AF1305" s="4">
        <v>17244377300</v>
      </c>
      <c r="AH1305" t="str">
        <f>"722511"</f>
        <v>722511</v>
      </c>
      <c r="AI1305" t="s">
        <v>130</v>
      </c>
      <c r="AJ1305" t="s">
        <v>1121</v>
      </c>
      <c r="AK1305" t="s">
        <v>1122</v>
      </c>
      <c r="AL1305" t="s">
        <v>332</v>
      </c>
      <c r="AM1305" t="s">
        <v>1123</v>
      </c>
      <c r="AN1305" t="s">
        <v>1124</v>
      </c>
      <c r="AO1305" t="s">
        <v>1125</v>
      </c>
      <c r="AP1305" t="s">
        <v>276</v>
      </c>
      <c r="AQ1305" s="5">
        <v>8034</v>
      </c>
      <c r="AR1305" t="s">
        <v>128</v>
      </c>
      <c r="AS1305" t="s">
        <v>1126</v>
      </c>
      <c r="AT1305" s="4">
        <v>18562819750</v>
      </c>
      <c r="AV1305" t="s">
        <v>1127</v>
      </c>
      <c r="AW1305" t="s">
        <v>1128</v>
      </c>
      <c r="AX1305" t="s">
        <v>131</v>
      </c>
      <c r="AY1305" t="s">
        <v>131</v>
      </c>
      <c r="AZ1305" t="s">
        <v>131</v>
      </c>
      <c r="BA1305" t="s">
        <v>131</v>
      </c>
      <c r="BB1305" t="s">
        <v>131</v>
      </c>
      <c r="BC1305" t="s">
        <v>131</v>
      </c>
      <c r="BD1305" t="s">
        <v>131</v>
      </c>
      <c r="BE1305" t="s">
        <v>132</v>
      </c>
      <c r="BH1305" t="s">
        <v>1080</v>
      </c>
      <c r="BI1305" t="s">
        <v>131</v>
      </c>
      <c r="BL1305" t="s">
        <v>167</v>
      </c>
      <c r="BO1305" t="s">
        <v>131</v>
      </c>
      <c r="BP1305" t="s">
        <v>134</v>
      </c>
      <c r="BQ1305" t="s">
        <v>131</v>
      </c>
      <c r="BS1305" t="str">
        <f t="shared" si="89"/>
        <v>N/A</v>
      </c>
      <c r="BT1305" t="s">
        <v>131</v>
      </c>
      <c r="BV1305" t="str">
        <f>""</f>
        <v/>
      </c>
      <c r="BW1305" t="s">
        <v>131</v>
      </c>
      <c r="BX1305" t="str">
        <f>""</f>
        <v/>
      </c>
      <c r="BY1305" t="str">
        <f>""</f>
        <v/>
      </c>
      <c r="BZ1305" t="str">
        <f>""</f>
        <v/>
      </c>
      <c r="CA1305" t="str">
        <f>""</f>
        <v/>
      </c>
      <c r="CB1305" t="s">
        <v>131</v>
      </c>
      <c r="CF1305" t="s">
        <v>131</v>
      </c>
      <c r="CH1305" t="str">
        <f>""</f>
        <v/>
      </c>
      <c r="CI1305" t="s">
        <v>131</v>
      </c>
      <c r="CK1305" t="s">
        <v>131</v>
      </c>
      <c r="CL1305" t="str">
        <f>""</f>
        <v/>
      </c>
      <c r="CM1305" t="str">
        <f>""</f>
        <v/>
      </c>
      <c r="CN1305" t="str">
        <f>""</f>
        <v/>
      </c>
      <c r="CO1305" t="str">
        <f>""</f>
        <v/>
      </c>
      <c r="CP1305" t="str">
        <f>"35-2014.00"</f>
        <v>35-2014.00</v>
      </c>
      <c r="CQ1305" t="s">
        <v>581</v>
      </c>
      <c r="CR1305" t="s">
        <v>460</v>
      </c>
      <c r="CS1305" t="s">
        <v>131</v>
      </c>
      <c r="CU1305" t="s">
        <v>1117</v>
      </c>
      <c r="CW1305" t="s">
        <v>1118</v>
      </c>
      <c r="CX1305" t="s">
        <v>312</v>
      </c>
      <c r="CZ1305" s="3" t="str">
        <f>"15401"</f>
        <v>15401</v>
      </c>
      <c r="DA1305" t="s">
        <v>131</v>
      </c>
      <c r="DB1305" t="str">
        <f>""</f>
        <v/>
      </c>
      <c r="DF1305" t="str">
        <f>""</f>
        <v/>
      </c>
    </row>
    <row r="1306" spans="1:110" ht="15" customHeight="1" x14ac:dyDescent="0.35">
      <c r="A1306" t="s">
        <v>13642</v>
      </c>
      <c r="B1306" t="s">
        <v>138</v>
      </c>
      <c r="C1306" s="1">
        <v>44323</v>
      </c>
      <c r="G1306" s="1">
        <v>44329</v>
      </c>
      <c r="H1306" t="s">
        <v>125</v>
      </c>
      <c r="I1306" t="s">
        <v>13643</v>
      </c>
      <c r="J1306" t="s">
        <v>8204</v>
      </c>
      <c r="L1306" t="s">
        <v>6221</v>
      </c>
      <c r="M1306" t="s">
        <v>1395</v>
      </c>
      <c r="O1306" t="s">
        <v>1396</v>
      </c>
      <c r="P1306" t="s">
        <v>256</v>
      </c>
      <c r="Q1306" s="3">
        <v>64116</v>
      </c>
      <c r="R1306" t="s">
        <v>128</v>
      </c>
      <c r="T1306" s="4">
        <v>18162215444</v>
      </c>
      <c r="V1306" t="s">
        <v>1397</v>
      </c>
      <c r="W1306" t="s">
        <v>7166</v>
      </c>
      <c r="Y1306" t="s">
        <v>7165</v>
      </c>
      <c r="AA1306" t="s">
        <v>1605</v>
      </c>
      <c r="AB1306" t="s">
        <v>149</v>
      </c>
      <c r="AC1306" s="3" t="str">
        <f>"98006"</f>
        <v>98006</v>
      </c>
      <c r="AD1306" t="s">
        <v>128</v>
      </c>
      <c r="AF1306" s="4">
        <v>14253834781</v>
      </c>
      <c r="AH1306" t="str">
        <f>"51731"</f>
        <v>51731</v>
      </c>
      <c r="AI1306" t="s">
        <v>130</v>
      </c>
      <c r="AJ1306" t="s">
        <v>9703</v>
      </c>
      <c r="AK1306" t="s">
        <v>6024</v>
      </c>
      <c r="AM1306" t="s">
        <v>1395</v>
      </c>
      <c r="AO1306" t="s">
        <v>1396</v>
      </c>
      <c r="AP1306" t="s">
        <v>258</v>
      </c>
      <c r="AQ1306" s="5">
        <v>64116</v>
      </c>
      <c r="AR1306" t="s">
        <v>128</v>
      </c>
      <c r="AT1306" s="4">
        <v>18162215444</v>
      </c>
      <c r="AV1306" t="s">
        <v>11202</v>
      </c>
      <c r="AW1306" t="s">
        <v>2345</v>
      </c>
      <c r="AX1306" t="s">
        <v>131</v>
      </c>
      <c r="AY1306" t="s">
        <v>131</v>
      </c>
      <c r="AZ1306" t="s">
        <v>131</v>
      </c>
      <c r="BA1306" t="s">
        <v>131</v>
      </c>
      <c r="BB1306" t="s">
        <v>131</v>
      </c>
      <c r="BC1306" t="s">
        <v>131</v>
      </c>
      <c r="BD1306" t="s">
        <v>131</v>
      </c>
      <c r="BE1306" t="s">
        <v>132</v>
      </c>
      <c r="BH1306" t="s">
        <v>7167</v>
      </c>
      <c r="BI1306" t="s">
        <v>131</v>
      </c>
      <c r="BL1306" t="s">
        <v>188</v>
      </c>
      <c r="BN1306" t="s">
        <v>4581</v>
      </c>
      <c r="BO1306" t="s">
        <v>131</v>
      </c>
      <c r="BP1306" t="s">
        <v>134</v>
      </c>
      <c r="BQ1306" t="s">
        <v>131</v>
      </c>
      <c r="BS1306" t="str">
        <f t="shared" si="89"/>
        <v>N/A</v>
      </c>
      <c r="BT1306" t="s">
        <v>135</v>
      </c>
      <c r="BU1306">
        <v>36</v>
      </c>
      <c r="BV1306" t="str">
        <f>"Relevant work experience"</f>
        <v>Relevant work experience</v>
      </c>
      <c r="BW1306" t="s">
        <v>135</v>
      </c>
      <c r="BX1306" t="str">
        <f>""</f>
        <v/>
      </c>
      <c r="BY1306" t="str">
        <f>""</f>
        <v/>
      </c>
      <c r="BZ1306" t="str">
        <f>""</f>
        <v/>
      </c>
      <c r="CA1306" s="2" t="s">
        <v>12592</v>
      </c>
      <c r="CB1306" t="s">
        <v>135</v>
      </c>
      <c r="CC1306" t="s">
        <v>133</v>
      </c>
      <c r="CE1306" t="s">
        <v>5069</v>
      </c>
      <c r="CF1306" t="s">
        <v>131</v>
      </c>
      <c r="CH1306" t="str">
        <f>"N/A"</f>
        <v>N/A</v>
      </c>
      <c r="CI1306" t="s">
        <v>135</v>
      </c>
      <c r="CJ1306">
        <v>60</v>
      </c>
      <c r="CK1306" t="s">
        <v>135</v>
      </c>
      <c r="CL1306" t="str">
        <f>""</f>
        <v/>
      </c>
      <c r="CM1306" t="str">
        <f>""</f>
        <v/>
      </c>
      <c r="CN1306" t="str">
        <f>""</f>
        <v/>
      </c>
      <c r="CO1306" s="2" t="s">
        <v>13644</v>
      </c>
      <c r="CP1306" t="str">
        <f>"15-1132.00"</f>
        <v>15-1132.00</v>
      </c>
      <c r="CQ1306" t="s">
        <v>198</v>
      </c>
      <c r="CR1306" t="s">
        <v>460</v>
      </c>
      <c r="CS1306" t="s">
        <v>131</v>
      </c>
      <c r="CU1306" t="s">
        <v>12593</v>
      </c>
      <c r="CW1306" t="s">
        <v>797</v>
      </c>
      <c r="CX1306" t="s">
        <v>306</v>
      </c>
      <c r="CZ1306" s="3" t="str">
        <f>"20191"</f>
        <v>20191</v>
      </c>
      <c r="DA1306" t="s">
        <v>131</v>
      </c>
      <c r="DB1306" t="str">
        <f>""</f>
        <v/>
      </c>
      <c r="DF1306" t="str">
        <f>""</f>
        <v/>
      </c>
    </row>
    <row r="1307" spans="1:110" ht="15" customHeight="1" x14ac:dyDescent="0.35">
      <c r="A1307" t="s">
        <v>18744</v>
      </c>
      <c r="B1307" t="s">
        <v>138</v>
      </c>
      <c r="C1307" s="1">
        <v>44323</v>
      </c>
      <c r="G1307" s="1">
        <v>44323</v>
      </c>
      <c r="H1307" t="s">
        <v>125</v>
      </c>
      <c r="I1307" t="s">
        <v>18745</v>
      </c>
      <c r="J1307" t="s">
        <v>18746</v>
      </c>
      <c r="L1307" t="s">
        <v>395</v>
      </c>
      <c r="M1307" t="s">
        <v>18747</v>
      </c>
      <c r="N1307" t="s">
        <v>18748</v>
      </c>
      <c r="O1307" t="s">
        <v>5095</v>
      </c>
      <c r="P1307" t="s">
        <v>178</v>
      </c>
      <c r="Q1307" s="3">
        <v>91203</v>
      </c>
      <c r="R1307" t="s">
        <v>128</v>
      </c>
      <c r="T1307" s="4">
        <v>18182447692</v>
      </c>
      <c r="V1307" t="s">
        <v>18749</v>
      </c>
      <c r="W1307" t="s">
        <v>18750</v>
      </c>
      <c r="X1307" t="s">
        <v>1253</v>
      </c>
      <c r="Y1307" t="s">
        <v>18747</v>
      </c>
      <c r="Z1307" t="s">
        <v>18751</v>
      </c>
      <c r="AA1307" t="s">
        <v>5095</v>
      </c>
      <c r="AB1307" t="s">
        <v>172</v>
      </c>
      <c r="AC1307" s="3" t="str">
        <f>"91203"</f>
        <v>91203</v>
      </c>
      <c r="AD1307" t="s">
        <v>128</v>
      </c>
      <c r="AF1307" s="4">
        <v>18182447692</v>
      </c>
      <c r="AH1307" t="str">
        <f>"62111"</f>
        <v>62111</v>
      </c>
      <c r="AI1307" t="s">
        <v>130</v>
      </c>
      <c r="AJ1307" t="s">
        <v>3666</v>
      </c>
      <c r="AK1307" t="s">
        <v>618</v>
      </c>
      <c r="AL1307" t="s">
        <v>192</v>
      </c>
      <c r="AM1307" t="s">
        <v>11582</v>
      </c>
      <c r="AN1307" t="s">
        <v>11583</v>
      </c>
      <c r="AO1307" t="s">
        <v>1257</v>
      </c>
      <c r="AP1307" t="s">
        <v>172</v>
      </c>
      <c r="AQ1307" s="5">
        <v>91436</v>
      </c>
      <c r="AR1307" t="s">
        <v>128</v>
      </c>
      <c r="AT1307" s="4">
        <v>18189070777</v>
      </c>
      <c r="AV1307" t="s">
        <v>11584</v>
      </c>
      <c r="AW1307" t="s">
        <v>11585</v>
      </c>
      <c r="AX1307" t="s">
        <v>131</v>
      </c>
      <c r="AY1307" t="s">
        <v>131</v>
      </c>
      <c r="AZ1307" t="s">
        <v>131</v>
      </c>
      <c r="BA1307" t="s">
        <v>131</v>
      </c>
      <c r="BB1307" t="s">
        <v>131</v>
      </c>
      <c r="BC1307" t="s">
        <v>131</v>
      </c>
      <c r="BD1307" t="s">
        <v>131</v>
      </c>
      <c r="BE1307" t="s">
        <v>132</v>
      </c>
      <c r="BH1307" t="s">
        <v>18752</v>
      </c>
      <c r="BI1307" t="s">
        <v>135</v>
      </c>
      <c r="BJ1307" t="s">
        <v>3382</v>
      </c>
      <c r="BK1307" t="s">
        <v>775</v>
      </c>
      <c r="BL1307" t="s">
        <v>401</v>
      </c>
      <c r="BO1307" t="s">
        <v>131</v>
      </c>
      <c r="BP1307" t="s">
        <v>134</v>
      </c>
      <c r="BQ1307" t="s">
        <v>131</v>
      </c>
      <c r="BS1307" t="str">
        <f t="shared" si="89"/>
        <v>N/A</v>
      </c>
      <c r="BT1307" t="s">
        <v>135</v>
      </c>
      <c r="BU1307">
        <v>24</v>
      </c>
      <c r="BV1307" t="str">
        <f>"Staff Serviced Manager or Office Manager"</f>
        <v>Staff Serviced Manager or Office Manager</v>
      </c>
      <c r="BW1307" t="s">
        <v>131</v>
      </c>
      <c r="BX1307" t="str">
        <f>""</f>
        <v/>
      </c>
      <c r="BY1307" t="str">
        <f>""</f>
        <v/>
      </c>
      <c r="BZ1307" t="str">
        <f>""</f>
        <v/>
      </c>
      <c r="CA1307" t="str">
        <f>""</f>
        <v/>
      </c>
      <c r="CB1307" t="s">
        <v>131</v>
      </c>
      <c r="CF1307" t="s">
        <v>131</v>
      </c>
      <c r="CH1307" t="str">
        <f>""</f>
        <v/>
      </c>
      <c r="CI1307" t="s">
        <v>131</v>
      </c>
      <c r="CK1307" t="s">
        <v>131</v>
      </c>
      <c r="CL1307" t="str">
        <f>""</f>
        <v/>
      </c>
      <c r="CM1307" t="str">
        <f>""</f>
        <v/>
      </c>
      <c r="CN1307" t="str">
        <f>""</f>
        <v/>
      </c>
      <c r="CO1307" t="str">
        <f>""</f>
        <v/>
      </c>
      <c r="CP1307" t="str">
        <f>"43-1011.00"</f>
        <v>43-1011.00</v>
      </c>
      <c r="CQ1307" t="s">
        <v>6806</v>
      </c>
      <c r="CR1307" t="s">
        <v>395</v>
      </c>
      <c r="CS1307" t="s">
        <v>131</v>
      </c>
      <c r="CU1307" t="s">
        <v>18747</v>
      </c>
      <c r="CV1307" t="s">
        <v>18753</v>
      </c>
      <c r="CW1307" t="s">
        <v>5095</v>
      </c>
      <c r="CX1307" t="s">
        <v>172</v>
      </c>
      <c r="CZ1307" s="3" t="str">
        <f>"91203"</f>
        <v>91203</v>
      </c>
      <c r="DA1307" t="s">
        <v>131</v>
      </c>
      <c r="DB1307" t="str">
        <f>""</f>
        <v/>
      </c>
      <c r="DF1307" t="str">
        <f>""</f>
        <v/>
      </c>
    </row>
    <row r="1308" spans="1:110" ht="15" customHeight="1" x14ac:dyDescent="0.35">
      <c r="A1308" t="s">
        <v>19853</v>
      </c>
      <c r="B1308" t="s">
        <v>138</v>
      </c>
      <c r="C1308" s="1">
        <v>44323</v>
      </c>
      <c r="G1308" s="1">
        <v>44326</v>
      </c>
      <c r="H1308" t="s">
        <v>125</v>
      </c>
      <c r="I1308" t="s">
        <v>10781</v>
      </c>
      <c r="J1308" t="s">
        <v>6910</v>
      </c>
      <c r="K1308" t="s">
        <v>268</v>
      </c>
      <c r="L1308" t="s">
        <v>460</v>
      </c>
      <c r="M1308" t="s">
        <v>1117</v>
      </c>
      <c r="O1308" t="s">
        <v>1118</v>
      </c>
      <c r="P1308" t="s">
        <v>311</v>
      </c>
      <c r="Q1308" s="3">
        <v>15401</v>
      </c>
      <c r="R1308" t="s">
        <v>128</v>
      </c>
      <c r="T1308" s="4">
        <v>17244377300</v>
      </c>
      <c r="V1308" t="s">
        <v>1119</v>
      </c>
      <c r="W1308" t="s">
        <v>1120</v>
      </c>
      <c r="Y1308" t="s">
        <v>1117</v>
      </c>
      <c r="AA1308" t="s">
        <v>1118</v>
      </c>
      <c r="AB1308" t="s">
        <v>312</v>
      </c>
      <c r="AC1308" s="3" t="str">
        <f>"15401"</f>
        <v>15401</v>
      </c>
      <c r="AD1308" t="s">
        <v>128</v>
      </c>
      <c r="AF1308" s="4">
        <v>17244377300</v>
      </c>
      <c r="AH1308" t="str">
        <f>"722511"</f>
        <v>722511</v>
      </c>
      <c r="AI1308" t="s">
        <v>130</v>
      </c>
      <c r="AJ1308" t="s">
        <v>1121</v>
      </c>
      <c r="AK1308" t="s">
        <v>1122</v>
      </c>
      <c r="AL1308" t="s">
        <v>332</v>
      </c>
      <c r="AM1308" t="s">
        <v>1123</v>
      </c>
      <c r="AN1308" t="s">
        <v>1124</v>
      </c>
      <c r="AO1308" t="s">
        <v>1125</v>
      </c>
      <c r="AP1308" t="s">
        <v>276</v>
      </c>
      <c r="AQ1308" s="5">
        <v>8034</v>
      </c>
      <c r="AR1308" t="s">
        <v>128</v>
      </c>
      <c r="AS1308" t="s">
        <v>1126</v>
      </c>
      <c r="AT1308" s="4">
        <v>18562819750</v>
      </c>
      <c r="AV1308" t="s">
        <v>1127</v>
      </c>
      <c r="AW1308" t="s">
        <v>1128</v>
      </c>
      <c r="AX1308" t="s">
        <v>131</v>
      </c>
      <c r="AY1308" t="s">
        <v>131</v>
      </c>
      <c r="AZ1308" t="s">
        <v>131</v>
      </c>
      <c r="BA1308" t="s">
        <v>131</v>
      </c>
      <c r="BB1308" t="s">
        <v>131</v>
      </c>
      <c r="BC1308" t="s">
        <v>131</v>
      </c>
      <c r="BD1308" t="s">
        <v>131</v>
      </c>
      <c r="BE1308" t="s">
        <v>132</v>
      </c>
      <c r="BH1308" t="s">
        <v>1129</v>
      </c>
      <c r="BI1308" t="s">
        <v>135</v>
      </c>
      <c r="BJ1308" t="s">
        <v>19854</v>
      </c>
      <c r="BK1308" t="s">
        <v>6636</v>
      </c>
      <c r="BL1308" t="s">
        <v>167</v>
      </c>
      <c r="BO1308" t="s">
        <v>131</v>
      </c>
      <c r="BP1308" t="s">
        <v>134</v>
      </c>
      <c r="BQ1308" t="s">
        <v>131</v>
      </c>
      <c r="BS1308" t="str">
        <f t="shared" si="89"/>
        <v>N/A</v>
      </c>
      <c r="BT1308" t="s">
        <v>131</v>
      </c>
      <c r="BV1308" t="str">
        <f>""</f>
        <v/>
      </c>
      <c r="BW1308" t="s">
        <v>131</v>
      </c>
      <c r="BX1308" t="str">
        <f>""</f>
        <v/>
      </c>
      <c r="BY1308" t="str">
        <f>""</f>
        <v/>
      </c>
      <c r="BZ1308" t="str">
        <f>""</f>
        <v/>
      </c>
      <c r="CA1308" t="str">
        <f>""</f>
        <v/>
      </c>
      <c r="CB1308" t="s">
        <v>131</v>
      </c>
      <c r="CF1308" t="s">
        <v>131</v>
      </c>
      <c r="CH1308" t="str">
        <f>""</f>
        <v/>
      </c>
      <c r="CI1308" t="s">
        <v>131</v>
      </c>
      <c r="CK1308" t="s">
        <v>131</v>
      </c>
      <c r="CL1308" t="str">
        <f>""</f>
        <v/>
      </c>
      <c r="CM1308" t="str">
        <f>""</f>
        <v/>
      </c>
      <c r="CN1308" t="str">
        <f>""</f>
        <v/>
      </c>
      <c r="CO1308" t="str">
        <f>""</f>
        <v/>
      </c>
      <c r="CP1308" t="str">
        <f>"35-1012.00"</f>
        <v>35-1012.00</v>
      </c>
      <c r="CQ1308" t="s">
        <v>1132</v>
      </c>
      <c r="CR1308" t="s">
        <v>460</v>
      </c>
      <c r="CS1308" t="s">
        <v>131</v>
      </c>
      <c r="CU1308" t="s">
        <v>1117</v>
      </c>
      <c r="CW1308" t="s">
        <v>1118</v>
      </c>
      <c r="CX1308" t="s">
        <v>312</v>
      </c>
      <c r="CZ1308" s="3" t="str">
        <f>"15401"</f>
        <v>15401</v>
      </c>
      <c r="DA1308" t="s">
        <v>131</v>
      </c>
      <c r="DB1308" t="str">
        <f>""</f>
        <v/>
      </c>
      <c r="DF1308" t="str">
        <f>""</f>
        <v/>
      </c>
    </row>
    <row r="1309" spans="1:110" ht="15" customHeight="1" x14ac:dyDescent="0.35">
      <c r="A1309" t="s">
        <v>19569</v>
      </c>
      <c r="B1309" t="s">
        <v>138</v>
      </c>
      <c r="C1309" s="1">
        <v>44323</v>
      </c>
      <c r="G1309" s="1">
        <v>44333</v>
      </c>
      <c r="H1309" t="s">
        <v>125</v>
      </c>
      <c r="I1309" t="s">
        <v>838</v>
      </c>
      <c r="J1309" t="s">
        <v>5709</v>
      </c>
      <c r="K1309" t="s">
        <v>840</v>
      </c>
      <c r="L1309" t="s">
        <v>2565</v>
      </c>
      <c r="M1309" t="s">
        <v>841</v>
      </c>
      <c r="N1309" t="s">
        <v>842</v>
      </c>
      <c r="O1309" t="s">
        <v>843</v>
      </c>
      <c r="P1309" t="s">
        <v>273</v>
      </c>
      <c r="Q1309" s="3">
        <v>7080</v>
      </c>
      <c r="R1309" t="s">
        <v>128</v>
      </c>
      <c r="T1309" s="4">
        <v>17328327978</v>
      </c>
      <c r="V1309" t="s">
        <v>844</v>
      </c>
      <c r="W1309" t="s">
        <v>5994</v>
      </c>
      <c r="Y1309" t="s">
        <v>4344</v>
      </c>
      <c r="Z1309" t="s">
        <v>4345</v>
      </c>
      <c r="AA1309" t="s">
        <v>4346</v>
      </c>
      <c r="AB1309" t="s">
        <v>276</v>
      </c>
      <c r="AC1309" s="3" t="str">
        <f>"08512"</f>
        <v>08512</v>
      </c>
      <c r="AD1309" t="s">
        <v>128</v>
      </c>
      <c r="AF1309" s="4">
        <v>17327883910</v>
      </c>
      <c r="AH1309" t="str">
        <f>"541511"</f>
        <v>541511</v>
      </c>
      <c r="AI1309" t="s">
        <v>130</v>
      </c>
      <c r="AJ1309" t="s">
        <v>838</v>
      </c>
      <c r="AK1309" t="s">
        <v>839</v>
      </c>
      <c r="AL1309" t="s">
        <v>840</v>
      </c>
      <c r="AM1309" t="s">
        <v>841</v>
      </c>
      <c r="AN1309" t="s">
        <v>842</v>
      </c>
      <c r="AO1309" t="s">
        <v>843</v>
      </c>
      <c r="AP1309" t="s">
        <v>276</v>
      </c>
      <c r="AQ1309" s="5">
        <v>7080</v>
      </c>
      <c r="AR1309" t="s">
        <v>128</v>
      </c>
      <c r="AT1309" s="4">
        <v>17328327978</v>
      </c>
      <c r="AV1309" t="s">
        <v>844</v>
      </c>
      <c r="AW1309" t="s">
        <v>2779</v>
      </c>
      <c r="AX1309" t="s">
        <v>131</v>
      </c>
      <c r="AY1309" t="s">
        <v>131</v>
      </c>
      <c r="AZ1309" t="s">
        <v>131</v>
      </c>
      <c r="BA1309" t="s">
        <v>131</v>
      </c>
      <c r="BB1309" t="s">
        <v>131</v>
      </c>
      <c r="BC1309" t="s">
        <v>131</v>
      </c>
      <c r="BD1309" t="s">
        <v>131</v>
      </c>
      <c r="BE1309" t="s">
        <v>132</v>
      </c>
      <c r="BH1309" t="s">
        <v>7579</v>
      </c>
      <c r="BI1309" t="s">
        <v>131</v>
      </c>
      <c r="BL1309" t="s">
        <v>188</v>
      </c>
      <c r="BN1309" t="s">
        <v>847</v>
      </c>
      <c r="BO1309" t="s">
        <v>131</v>
      </c>
      <c r="BP1309" t="s">
        <v>134</v>
      </c>
      <c r="BQ1309" t="s">
        <v>131</v>
      </c>
      <c r="BS1309" t="str">
        <f t="shared" si="89"/>
        <v>N/A</v>
      </c>
      <c r="BT1309" t="s">
        <v>135</v>
      </c>
      <c r="BU1309">
        <v>12</v>
      </c>
      <c r="BV1309" t="str">
        <f>"JOB OFFERED OR RELATED OCCUPATION."</f>
        <v>JOB OFFERED OR RELATED OCCUPATION.</v>
      </c>
      <c r="BW1309" t="s">
        <v>135</v>
      </c>
      <c r="BX1309" t="str">
        <f>""</f>
        <v/>
      </c>
      <c r="BY1309" t="str">
        <f>""</f>
        <v/>
      </c>
      <c r="BZ1309" t="str">
        <f>""</f>
        <v/>
      </c>
      <c r="CA1309" t="str">
        <f>"Skills required: Informatica, Python, Hadoop, AWS, Azure, Java, J2EE, DB2, PL/SQL, Unix, Shell Scripting, Oracle, OBIEE, ODI. "</f>
        <v xml:space="preserve">Skills required: Informatica, Python, Hadoop, AWS, Azure, Java, J2EE, DB2, PL/SQL, Unix, Shell Scripting, Oracle, OBIEE, ODI. </v>
      </c>
      <c r="CB1309" t="s">
        <v>135</v>
      </c>
      <c r="CC1309" t="s">
        <v>133</v>
      </c>
      <c r="CE1309" t="s">
        <v>847</v>
      </c>
      <c r="CF1309" t="s">
        <v>131</v>
      </c>
      <c r="CH1309" t="str">
        <f>"N/A"</f>
        <v>N/A</v>
      </c>
      <c r="CI1309" t="s">
        <v>135</v>
      </c>
      <c r="CJ1309">
        <v>60</v>
      </c>
      <c r="CK1309" t="s">
        <v>131</v>
      </c>
      <c r="CL1309" t="str">
        <f>""</f>
        <v/>
      </c>
      <c r="CM1309" t="str">
        <f>""</f>
        <v/>
      </c>
      <c r="CN1309" t="str">
        <f>""</f>
        <v/>
      </c>
      <c r="CO1309" t="str">
        <f>""</f>
        <v/>
      </c>
      <c r="CP1309" t="str">
        <f>"15-1121.00"</f>
        <v>15-1121.00</v>
      </c>
      <c r="CQ1309" t="s">
        <v>283</v>
      </c>
      <c r="CR1309" t="s">
        <v>849</v>
      </c>
      <c r="CS1309" t="s">
        <v>131</v>
      </c>
      <c r="CU1309" t="s">
        <v>4344</v>
      </c>
      <c r="CV1309" t="s">
        <v>4345</v>
      </c>
      <c r="CW1309" t="s">
        <v>4346</v>
      </c>
      <c r="CX1309" t="s">
        <v>276</v>
      </c>
      <c r="CZ1309" s="3" t="str">
        <f>"08512"</f>
        <v>08512</v>
      </c>
      <c r="DA1309" t="s">
        <v>131</v>
      </c>
      <c r="DB1309" t="str">
        <f>""</f>
        <v/>
      </c>
      <c r="DF1309" t="str">
        <f>""</f>
        <v/>
      </c>
    </row>
    <row r="1310" spans="1:110" ht="15" customHeight="1" x14ac:dyDescent="0.35">
      <c r="A1310" t="s">
        <v>15923</v>
      </c>
      <c r="B1310" t="s">
        <v>138</v>
      </c>
      <c r="C1310" s="1">
        <v>44323</v>
      </c>
      <c r="G1310" s="1">
        <v>44333</v>
      </c>
      <c r="H1310" t="s">
        <v>125</v>
      </c>
      <c r="I1310" t="s">
        <v>838</v>
      </c>
      <c r="J1310" t="s">
        <v>839</v>
      </c>
      <c r="K1310" t="s">
        <v>840</v>
      </c>
      <c r="L1310" t="s">
        <v>2565</v>
      </c>
      <c r="M1310" t="s">
        <v>841</v>
      </c>
      <c r="N1310" t="s">
        <v>842</v>
      </c>
      <c r="O1310" t="s">
        <v>843</v>
      </c>
      <c r="P1310" t="s">
        <v>273</v>
      </c>
      <c r="Q1310" s="3">
        <v>7080</v>
      </c>
      <c r="R1310" t="s">
        <v>128</v>
      </c>
      <c r="T1310" s="4">
        <v>17328327978</v>
      </c>
      <c r="V1310" t="s">
        <v>844</v>
      </c>
      <c r="W1310" t="s">
        <v>12567</v>
      </c>
      <c r="Y1310" t="s">
        <v>6907</v>
      </c>
      <c r="AA1310" t="s">
        <v>4862</v>
      </c>
      <c r="AB1310" t="s">
        <v>276</v>
      </c>
      <c r="AC1310" s="3" t="str">
        <f>"08540"</f>
        <v>08540</v>
      </c>
      <c r="AD1310" t="s">
        <v>128</v>
      </c>
      <c r="AF1310" s="4">
        <v>17325120009</v>
      </c>
      <c r="AH1310" t="str">
        <f>"541511"</f>
        <v>541511</v>
      </c>
      <c r="AI1310" t="s">
        <v>130</v>
      </c>
      <c r="AJ1310" t="s">
        <v>838</v>
      </c>
      <c r="AK1310" t="s">
        <v>839</v>
      </c>
      <c r="AL1310" t="s">
        <v>840</v>
      </c>
      <c r="AM1310" t="s">
        <v>841</v>
      </c>
      <c r="AN1310" t="s">
        <v>842</v>
      </c>
      <c r="AO1310" t="s">
        <v>843</v>
      </c>
      <c r="AP1310" t="s">
        <v>276</v>
      </c>
      <c r="AQ1310" s="5">
        <v>7080</v>
      </c>
      <c r="AR1310" t="s">
        <v>128</v>
      </c>
      <c r="AT1310" s="4">
        <v>17328327978</v>
      </c>
      <c r="AV1310" t="s">
        <v>844</v>
      </c>
      <c r="AW1310" t="s">
        <v>2779</v>
      </c>
      <c r="AX1310" t="s">
        <v>131</v>
      </c>
      <c r="AY1310" t="s">
        <v>131</v>
      </c>
      <c r="AZ1310" t="s">
        <v>131</v>
      </c>
      <c r="BA1310" t="s">
        <v>131</v>
      </c>
      <c r="BB1310" t="s">
        <v>131</v>
      </c>
      <c r="BC1310" t="s">
        <v>131</v>
      </c>
      <c r="BD1310" t="s">
        <v>131</v>
      </c>
      <c r="BE1310" t="s">
        <v>132</v>
      </c>
      <c r="BH1310" t="s">
        <v>4831</v>
      </c>
      <c r="BI1310" t="s">
        <v>131</v>
      </c>
      <c r="BL1310" t="s">
        <v>188</v>
      </c>
      <c r="BN1310" t="s">
        <v>847</v>
      </c>
      <c r="BO1310" t="s">
        <v>131</v>
      </c>
      <c r="BP1310" t="s">
        <v>134</v>
      </c>
      <c r="BQ1310" t="s">
        <v>131</v>
      </c>
      <c r="BS1310" t="str">
        <f t="shared" si="89"/>
        <v>N/A</v>
      </c>
      <c r="BT1310" t="s">
        <v>135</v>
      </c>
      <c r="BU1310">
        <v>12</v>
      </c>
      <c r="BV1310" t="str">
        <f>"JOB OFFERED OR RELATED OCCUPATION."</f>
        <v>JOB OFFERED OR RELATED OCCUPATION.</v>
      </c>
      <c r="BW1310" t="s">
        <v>135</v>
      </c>
      <c r="BX1310" t="str">
        <f>""</f>
        <v/>
      </c>
      <c r="BY1310" t="str">
        <f>""</f>
        <v/>
      </c>
      <c r="BZ1310" t="str">
        <f>""</f>
        <v/>
      </c>
      <c r="CA1310" t="str">
        <f>"Skills Required: OSPF, BGP, Palo Alto, Cisco ASA, Spanning Tree and Trunking."</f>
        <v>Skills Required: OSPF, BGP, Palo Alto, Cisco ASA, Spanning Tree and Trunking.</v>
      </c>
      <c r="CB1310" t="s">
        <v>135</v>
      </c>
      <c r="CC1310" t="s">
        <v>133</v>
      </c>
      <c r="CE1310" t="s">
        <v>847</v>
      </c>
      <c r="CF1310" t="s">
        <v>131</v>
      </c>
      <c r="CH1310" t="str">
        <f>"N/A"</f>
        <v>N/A</v>
      </c>
      <c r="CI1310" t="s">
        <v>135</v>
      </c>
      <c r="CJ1310">
        <v>60</v>
      </c>
      <c r="CK1310" t="s">
        <v>131</v>
      </c>
      <c r="CL1310" t="str">
        <f>""</f>
        <v/>
      </c>
      <c r="CM1310" t="str">
        <f>""</f>
        <v/>
      </c>
      <c r="CN1310" t="str">
        <f>""</f>
        <v/>
      </c>
      <c r="CO1310" t="str">
        <f>""</f>
        <v/>
      </c>
      <c r="CP1310" t="str">
        <f>"15-1142.00"</f>
        <v>15-1142.00</v>
      </c>
      <c r="CQ1310" t="s">
        <v>960</v>
      </c>
      <c r="CR1310" t="s">
        <v>849</v>
      </c>
      <c r="CS1310" t="s">
        <v>131</v>
      </c>
      <c r="CU1310" t="s">
        <v>6907</v>
      </c>
      <c r="CW1310" t="s">
        <v>4862</v>
      </c>
      <c r="CX1310" t="s">
        <v>276</v>
      </c>
      <c r="CZ1310" s="3" t="str">
        <f>"08540"</f>
        <v>08540</v>
      </c>
      <c r="DA1310" t="s">
        <v>131</v>
      </c>
      <c r="DB1310" t="str">
        <f>""</f>
        <v/>
      </c>
      <c r="DF1310" t="str">
        <f>""</f>
        <v/>
      </c>
    </row>
    <row r="1311" spans="1:110" ht="15" customHeight="1" x14ac:dyDescent="0.35">
      <c r="A1311" t="s">
        <v>10664</v>
      </c>
      <c r="B1311" t="s">
        <v>138</v>
      </c>
      <c r="C1311" s="1">
        <v>44323</v>
      </c>
      <c r="G1311" s="1">
        <v>44323</v>
      </c>
      <c r="H1311" t="s">
        <v>125</v>
      </c>
      <c r="I1311" t="s">
        <v>139</v>
      </c>
      <c r="J1311" t="s">
        <v>140</v>
      </c>
      <c r="L1311" t="s">
        <v>3378</v>
      </c>
      <c r="M1311" t="s">
        <v>142</v>
      </c>
      <c r="O1311" t="s">
        <v>143</v>
      </c>
      <c r="P1311" t="s">
        <v>144</v>
      </c>
      <c r="Q1311" s="3">
        <v>98052</v>
      </c>
      <c r="R1311" t="s">
        <v>128</v>
      </c>
      <c r="T1311" s="4">
        <v>14255383872</v>
      </c>
      <c r="V1311" t="s">
        <v>145</v>
      </c>
      <c r="W1311" t="s">
        <v>1411</v>
      </c>
      <c r="Y1311" t="s">
        <v>142</v>
      </c>
      <c r="AA1311" t="s">
        <v>143</v>
      </c>
      <c r="AB1311" t="s">
        <v>149</v>
      </c>
      <c r="AC1311" s="3" t="str">
        <f>"98052"</f>
        <v>98052</v>
      </c>
      <c r="AD1311" t="s">
        <v>128</v>
      </c>
      <c r="AF1311" s="4">
        <v>14255383872</v>
      </c>
      <c r="AH1311" t="str">
        <f>"511210"</f>
        <v>511210</v>
      </c>
      <c r="AI1311" t="s">
        <v>130</v>
      </c>
      <c r="AJ1311" t="s">
        <v>2667</v>
      </c>
      <c r="AK1311" t="s">
        <v>3321</v>
      </c>
      <c r="AM1311" t="s">
        <v>10665</v>
      </c>
      <c r="AN1311" t="s">
        <v>698</v>
      </c>
      <c r="AO1311" t="s">
        <v>1415</v>
      </c>
      <c r="AP1311" t="s">
        <v>382</v>
      </c>
      <c r="AQ1311" s="5">
        <v>21117</v>
      </c>
      <c r="AR1311" t="s">
        <v>128</v>
      </c>
      <c r="AT1311" s="4">
        <v>14103565440</v>
      </c>
      <c r="AV1311" t="s">
        <v>3379</v>
      </c>
      <c r="AW1311" t="s">
        <v>1416</v>
      </c>
      <c r="AX1311" t="s">
        <v>131</v>
      </c>
      <c r="AY1311" t="s">
        <v>131</v>
      </c>
      <c r="AZ1311" t="s">
        <v>131</v>
      </c>
      <c r="BA1311" t="s">
        <v>131</v>
      </c>
      <c r="BB1311" t="s">
        <v>131</v>
      </c>
      <c r="BC1311" t="s">
        <v>131</v>
      </c>
      <c r="BD1311" t="s">
        <v>131</v>
      </c>
      <c r="BE1311" t="s">
        <v>132</v>
      </c>
      <c r="BH1311" t="s">
        <v>2256</v>
      </c>
      <c r="BI1311" t="s">
        <v>131</v>
      </c>
      <c r="BL1311" t="s">
        <v>133</v>
      </c>
      <c r="BN1311" t="s">
        <v>10666</v>
      </c>
      <c r="BO1311" t="s">
        <v>131</v>
      </c>
      <c r="BP1311" t="s">
        <v>134</v>
      </c>
      <c r="BQ1311" t="s">
        <v>131</v>
      </c>
      <c r="BS1311" t="str">
        <f t="shared" si="89"/>
        <v>N/A</v>
      </c>
      <c r="BT1311" t="s">
        <v>135</v>
      </c>
      <c r="BU1311">
        <v>36</v>
      </c>
      <c r="BV1311" t="str">
        <f>"Any computer-related occupation"</f>
        <v>Any computer-related occupation</v>
      </c>
      <c r="BW1311" t="s">
        <v>135</v>
      </c>
      <c r="BX1311" t="str">
        <f>""</f>
        <v/>
      </c>
      <c r="BY1311" t="str">
        <f>""</f>
        <v/>
      </c>
      <c r="BZ1311" t="str">
        <f>""</f>
        <v/>
      </c>
      <c r="CA1311" t="str">
        <f>"Education or experience in Distributed Systems; Cloud development; Data Warehousing; Algorithms; Web Services; SQL and/or T-SQL; and Coordinating program development of computer software applications/systems/services from design through product release. "</f>
        <v xml:space="preserve">Education or experience in Distributed Systems; Cloud development; Data Warehousing; Algorithms; Web Services; SQL and/or T-SQL; and Coordinating program development of computer software applications/systems/services from design through product release. </v>
      </c>
      <c r="CB1311" t="s">
        <v>131</v>
      </c>
      <c r="CF1311" t="s">
        <v>131</v>
      </c>
      <c r="CH1311" t="str">
        <f>""</f>
        <v/>
      </c>
      <c r="CI1311" t="s">
        <v>131</v>
      </c>
      <c r="CK1311" t="s">
        <v>131</v>
      </c>
      <c r="CL1311" t="str">
        <f>""</f>
        <v/>
      </c>
      <c r="CM1311" t="str">
        <f>""</f>
        <v/>
      </c>
      <c r="CN1311" t="str">
        <f>""</f>
        <v/>
      </c>
      <c r="CO1311" t="str">
        <f>""</f>
        <v/>
      </c>
      <c r="CP1311" t="str">
        <f>"15-1132.00"</f>
        <v>15-1132.00</v>
      </c>
      <c r="CQ1311" t="s">
        <v>198</v>
      </c>
      <c r="CR1311" t="s">
        <v>10667</v>
      </c>
      <c r="CS1311" t="s">
        <v>131</v>
      </c>
      <c r="CU1311" t="s">
        <v>142</v>
      </c>
      <c r="CW1311" t="s">
        <v>143</v>
      </c>
      <c r="CX1311" t="s">
        <v>149</v>
      </c>
      <c r="CZ1311" s="3" t="str">
        <f>"98052"</f>
        <v>98052</v>
      </c>
      <c r="DA1311" t="s">
        <v>131</v>
      </c>
      <c r="DB1311" t="str">
        <f>""</f>
        <v/>
      </c>
      <c r="DF1311" t="str">
        <f>""</f>
        <v/>
      </c>
    </row>
    <row r="1312" spans="1:110" ht="15" customHeight="1" x14ac:dyDescent="0.35">
      <c r="A1312" t="s">
        <v>20090</v>
      </c>
      <c r="B1312" t="s">
        <v>138</v>
      </c>
      <c r="C1312" s="1">
        <v>44323</v>
      </c>
      <c r="G1312" s="1">
        <v>44334</v>
      </c>
      <c r="H1312" t="s">
        <v>125</v>
      </c>
      <c r="I1312" t="s">
        <v>838</v>
      </c>
      <c r="J1312" t="s">
        <v>839</v>
      </c>
      <c r="K1312" t="s">
        <v>1933</v>
      </c>
      <c r="L1312" t="s">
        <v>2565</v>
      </c>
      <c r="M1312" t="s">
        <v>841</v>
      </c>
      <c r="N1312" t="s">
        <v>842</v>
      </c>
      <c r="O1312" t="s">
        <v>843</v>
      </c>
      <c r="P1312" t="s">
        <v>273</v>
      </c>
      <c r="Q1312" s="3">
        <v>7080</v>
      </c>
      <c r="R1312" t="s">
        <v>128</v>
      </c>
      <c r="T1312" s="4">
        <v>17328327978</v>
      </c>
      <c r="V1312" t="s">
        <v>844</v>
      </c>
      <c r="W1312" t="s">
        <v>8774</v>
      </c>
      <c r="Y1312" t="s">
        <v>8775</v>
      </c>
      <c r="Z1312" t="s">
        <v>515</v>
      </c>
      <c r="AA1312" t="s">
        <v>1479</v>
      </c>
      <c r="AB1312" t="s">
        <v>276</v>
      </c>
      <c r="AC1312" s="3" t="str">
        <f>"08837"</f>
        <v>08837</v>
      </c>
      <c r="AD1312" t="s">
        <v>128</v>
      </c>
      <c r="AF1312" s="4">
        <v>17329936016</v>
      </c>
      <c r="AH1312" t="str">
        <f>"541511"</f>
        <v>541511</v>
      </c>
      <c r="AI1312" t="s">
        <v>130</v>
      </c>
      <c r="AJ1312" t="s">
        <v>838</v>
      </c>
      <c r="AK1312" t="s">
        <v>839</v>
      </c>
      <c r="AL1312" t="s">
        <v>1933</v>
      </c>
      <c r="AM1312" t="s">
        <v>841</v>
      </c>
      <c r="AN1312" t="s">
        <v>842</v>
      </c>
      <c r="AO1312" t="s">
        <v>843</v>
      </c>
      <c r="AP1312" t="s">
        <v>276</v>
      </c>
      <c r="AQ1312" s="5">
        <v>7080</v>
      </c>
      <c r="AR1312" t="s">
        <v>128</v>
      </c>
      <c r="AT1312" s="4">
        <v>17328327978</v>
      </c>
      <c r="AV1312" t="s">
        <v>844</v>
      </c>
      <c r="AW1312" t="s">
        <v>3328</v>
      </c>
      <c r="AX1312" t="s">
        <v>131</v>
      </c>
      <c r="AY1312" t="s">
        <v>131</v>
      </c>
      <c r="AZ1312" t="s">
        <v>131</v>
      </c>
      <c r="BA1312" t="s">
        <v>131</v>
      </c>
      <c r="BB1312" t="s">
        <v>131</v>
      </c>
      <c r="BC1312" t="s">
        <v>131</v>
      </c>
      <c r="BD1312" t="s">
        <v>131</v>
      </c>
      <c r="BE1312" t="s">
        <v>132</v>
      </c>
      <c r="BH1312" t="s">
        <v>500</v>
      </c>
      <c r="BI1312" t="s">
        <v>131</v>
      </c>
      <c r="BL1312" t="s">
        <v>307</v>
      </c>
      <c r="BN1312" t="s">
        <v>20091</v>
      </c>
      <c r="BO1312" t="s">
        <v>131</v>
      </c>
      <c r="BP1312" t="s">
        <v>134</v>
      </c>
      <c r="BQ1312" t="s">
        <v>131</v>
      </c>
      <c r="BS1312" t="str">
        <f t="shared" si="89"/>
        <v>N/A</v>
      </c>
      <c r="BT1312" t="s">
        <v>135</v>
      </c>
      <c r="BU1312">
        <v>24</v>
      </c>
      <c r="BV1312" t="str">
        <f>"job offered or related occupation"</f>
        <v>job offered or related occupation</v>
      </c>
      <c r="BW1312" t="s">
        <v>135</v>
      </c>
      <c r="BX1312" t="str">
        <f>""</f>
        <v/>
      </c>
      <c r="BY1312" t="str">
        <f>""</f>
        <v/>
      </c>
      <c r="BZ1312" t="str">
        <f>""</f>
        <v/>
      </c>
      <c r="CA1312" t="str">
        <f>"Skills Required: ALM, Jira Remedy, Cognos, Midas, Citrix and IQOQ."</f>
        <v>Skills Required: ALM, Jira Remedy, Cognos, Midas, Citrix and IQOQ.</v>
      </c>
      <c r="CB1312" t="s">
        <v>131</v>
      </c>
      <c r="CF1312" t="s">
        <v>131</v>
      </c>
      <c r="CH1312" t="str">
        <f>""</f>
        <v/>
      </c>
      <c r="CI1312" t="s">
        <v>131</v>
      </c>
      <c r="CK1312" t="s">
        <v>131</v>
      </c>
      <c r="CL1312" t="str">
        <f>""</f>
        <v/>
      </c>
      <c r="CM1312" t="str">
        <f>""</f>
        <v/>
      </c>
      <c r="CN1312" t="str">
        <f>""</f>
        <v/>
      </c>
      <c r="CO1312" t="str">
        <f>""</f>
        <v/>
      </c>
      <c r="CP1312" t="str">
        <f>"15-1132.00"</f>
        <v>15-1132.00</v>
      </c>
      <c r="CQ1312" t="s">
        <v>198</v>
      </c>
      <c r="CR1312" t="s">
        <v>849</v>
      </c>
      <c r="CS1312" t="s">
        <v>131</v>
      </c>
      <c r="CU1312" t="s">
        <v>8775</v>
      </c>
      <c r="CV1312" t="s">
        <v>515</v>
      </c>
      <c r="CW1312" t="s">
        <v>1479</v>
      </c>
      <c r="CX1312" t="s">
        <v>276</v>
      </c>
      <c r="CZ1312" s="3" t="str">
        <f>"08837"</f>
        <v>08837</v>
      </c>
      <c r="DA1312" t="s">
        <v>131</v>
      </c>
      <c r="DB1312" t="str">
        <f>""</f>
        <v/>
      </c>
      <c r="DF1312" t="str">
        <f>""</f>
        <v/>
      </c>
    </row>
    <row r="1313" spans="1:110" ht="15" customHeight="1" x14ac:dyDescent="0.35">
      <c r="A1313" t="s">
        <v>9545</v>
      </c>
      <c r="B1313" t="s">
        <v>138</v>
      </c>
      <c r="C1313" s="1">
        <v>44323</v>
      </c>
      <c r="G1313" s="1">
        <v>44323</v>
      </c>
      <c r="H1313" t="s">
        <v>125</v>
      </c>
      <c r="I1313" t="s">
        <v>1187</v>
      </c>
      <c r="J1313" t="s">
        <v>9546</v>
      </c>
      <c r="K1313" t="s">
        <v>134</v>
      </c>
      <c r="L1313" t="s">
        <v>9547</v>
      </c>
      <c r="M1313" t="s">
        <v>9548</v>
      </c>
      <c r="O1313" t="s">
        <v>1189</v>
      </c>
      <c r="P1313" t="s">
        <v>178</v>
      </c>
      <c r="Q1313" s="3">
        <v>95054</v>
      </c>
      <c r="R1313" t="s">
        <v>128</v>
      </c>
      <c r="T1313" s="4">
        <v>14082167010</v>
      </c>
      <c r="V1313" t="s">
        <v>9549</v>
      </c>
      <c r="W1313" t="s">
        <v>9550</v>
      </c>
      <c r="X1313" t="s">
        <v>134</v>
      </c>
      <c r="Y1313" t="s">
        <v>9551</v>
      </c>
      <c r="AA1313" t="s">
        <v>1189</v>
      </c>
      <c r="AB1313" t="s">
        <v>172</v>
      </c>
      <c r="AC1313" s="3" t="str">
        <f>"95054"</f>
        <v>95054</v>
      </c>
      <c r="AD1313" t="s">
        <v>128</v>
      </c>
      <c r="AF1313" s="4">
        <v>14082167010</v>
      </c>
      <c r="AH1313" t="str">
        <f>"54151"</f>
        <v>54151</v>
      </c>
      <c r="AI1313" t="s">
        <v>130</v>
      </c>
      <c r="AJ1313" t="s">
        <v>1185</v>
      </c>
      <c r="AK1313" t="s">
        <v>1186</v>
      </c>
      <c r="AL1313" t="s">
        <v>1187</v>
      </c>
      <c r="AM1313" t="s">
        <v>1188</v>
      </c>
      <c r="AO1313" t="s">
        <v>1189</v>
      </c>
      <c r="AP1313" t="s">
        <v>172</v>
      </c>
      <c r="AQ1313" s="5">
        <v>95054</v>
      </c>
      <c r="AR1313" t="s">
        <v>128</v>
      </c>
      <c r="AT1313" s="4">
        <v>14089700100</v>
      </c>
      <c r="AV1313" t="s">
        <v>6696</v>
      </c>
      <c r="AW1313" t="s">
        <v>1191</v>
      </c>
      <c r="AX1313" t="s">
        <v>131</v>
      </c>
      <c r="AY1313" t="s">
        <v>131</v>
      </c>
      <c r="AZ1313" t="s">
        <v>131</v>
      </c>
      <c r="BA1313" t="s">
        <v>131</v>
      </c>
      <c r="BB1313" t="s">
        <v>131</v>
      </c>
      <c r="BC1313" t="s">
        <v>131</v>
      </c>
      <c r="BD1313" t="s">
        <v>131</v>
      </c>
      <c r="BE1313" t="s">
        <v>132</v>
      </c>
      <c r="BH1313" t="s">
        <v>9552</v>
      </c>
      <c r="BI1313" t="s">
        <v>131</v>
      </c>
      <c r="BL1313" t="s">
        <v>133</v>
      </c>
      <c r="BN1313" t="s">
        <v>9553</v>
      </c>
      <c r="BO1313" t="s">
        <v>131</v>
      </c>
      <c r="BP1313" t="s">
        <v>134</v>
      </c>
      <c r="BQ1313" t="s">
        <v>131</v>
      </c>
      <c r="BS1313" t="str">
        <f t="shared" si="89"/>
        <v>N/A</v>
      </c>
      <c r="BT1313" t="s">
        <v>135</v>
      </c>
      <c r="BU1313">
        <v>60</v>
      </c>
      <c r="BV1313" t="str">
        <f>"Director, Executive Director, Sr. Manager or related Field."</f>
        <v>Director, Executive Director, Sr. Manager or related Field.</v>
      </c>
      <c r="BW1313" t="s">
        <v>131</v>
      </c>
      <c r="BX1313" t="str">
        <f>""</f>
        <v/>
      </c>
      <c r="BY1313" t="str">
        <f>""</f>
        <v/>
      </c>
      <c r="BZ1313" t="str">
        <f>""</f>
        <v/>
      </c>
      <c r="CA1313" t="str">
        <f>""</f>
        <v/>
      </c>
      <c r="CB1313" t="s">
        <v>131</v>
      </c>
      <c r="CF1313" t="s">
        <v>131</v>
      </c>
      <c r="CH1313" t="str">
        <f>""</f>
        <v/>
      </c>
      <c r="CI1313" t="s">
        <v>131</v>
      </c>
      <c r="CK1313" t="s">
        <v>131</v>
      </c>
      <c r="CL1313" t="str">
        <f>""</f>
        <v/>
      </c>
      <c r="CM1313" t="str">
        <f>""</f>
        <v/>
      </c>
      <c r="CN1313" t="str">
        <f>""</f>
        <v/>
      </c>
      <c r="CO1313" t="str">
        <f>""</f>
        <v/>
      </c>
      <c r="CP1313" t="str">
        <f>"15-1199.09"</f>
        <v>15-1199.09</v>
      </c>
      <c r="CQ1313" t="s">
        <v>697</v>
      </c>
      <c r="CR1313" t="s">
        <v>9552</v>
      </c>
      <c r="CS1313" t="s">
        <v>135</v>
      </c>
      <c r="CT1313" t="s">
        <v>9554</v>
      </c>
      <c r="CU1313" t="s">
        <v>9550</v>
      </c>
      <c r="CV1313" t="s">
        <v>9555</v>
      </c>
      <c r="CW1313" t="s">
        <v>650</v>
      </c>
      <c r="CX1313" t="s">
        <v>172</v>
      </c>
      <c r="CZ1313" s="3" t="str">
        <f>"95054"</f>
        <v>95054</v>
      </c>
      <c r="DA1313" t="s">
        <v>131</v>
      </c>
      <c r="DB1313" t="str">
        <f>""</f>
        <v/>
      </c>
      <c r="DF1313" t="str">
        <f>""</f>
        <v/>
      </c>
    </row>
    <row r="1314" spans="1:110" ht="15" customHeight="1" x14ac:dyDescent="0.35">
      <c r="A1314" t="s">
        <v>16897</v>
      </c>
      <c r="B1314" t="s">
        <v>138</v>
      </c>
      <c r="C1314" s="1">
        <v>44323</v>
      </c>
      <c r="G1314" s="1">
        <v>44326</v>
      </c>
      <c r="H1314" t="s">
        <v>125</v>
      </c>
      <c r="I1314" t="s">
        <v>3052</v>
      </c>
      <c r="J1314" t="s">
        <v>3053</v>
      </c>
      <c r="K1314" t="s">
        <v>3054</v>
      </c>
      <c r="L1314" t="s">
        <v>126</v>
      </c>
      <c r="M1314" t="s">
        <v>3055</v>
      </c>
      <c r="O1314" t="s">
        <v>3056</v>
      </c>
      <c r="P1314" t="s">
        <v>629</v>
      </c>
      <c r="Q1314" s="3">
        <v>38802</v>
      </c>
      <c r="R1314" t="s">
        <v>128</v>
      </c>
      <c r="T1314" s="4">
        <v>16628410629</v>
      </c>
      <c r="V1314" t="s">
        <v>3057</v>
      </c>
      <c r="W1314" t="s">
        <v>15652</v>
      </c>
      <c r="Y1314" t="s">
        <v>15653</v>
      </c>
      <c r="AA1314" t="s">
        <v>3049</v>
      </c>
      <c r="AB1314" t="s">
        <v>630</v>
      </c>
      <c r="AC1314" s="3" t="str">
        <f>"39202"</f>
        <v>39202</v>
      </c>
      <c r="AD1314" t="s">
        <v>128</v>
      </c>
      <c r="AF1314" s="4">
        <v>16019684087</v>
      </c>
      <c r="AH1314" t="str">
        <f>"622110"</f>
        <v>622110</v>
      </c>
      <c r="AI1314" t="s">
        <v>130</v>
      </c>
      <c r="AJ1314" t="s">
        <v>3052</v>
      </c>
      <c r="AK1314" t="s">
        <v>3053</v>
      </c>
      <c r="AL1314" t="s">
        <v>3054</v>
      </c>
      <c r="AM1314" t="s">
        <v>3055</v>
      </c>
      <c r="AO1314" t="s">
        <v>3056</v>
      </c>
      <c r="AP1314" t="s">
        <v>630</v>
      </c>
      <c r="AQ1314" s="5">
        <v>38802</v>
      </c>
      <c r="AR1314" t="s">
        <v>128</v>
      </c>
      <c r="AT1314" s="4">
        <v>16628410629</v>
      </c>
      <c r="AV1314" t="s">
        <v>3057</v>
      </c>
      <c r="AW1314" t="s">
        <v>3058</v>
      </c>
      <c r="AX1314" t="s">
        <v>135</v>
      </c>
      <c r="AY1314" t="s">
        <v>131</v>
      </c>
      <c r="AZ1314" t="s">
        <v>135</v>
      </c>
      <c r="BA1314" t="s">
        <v>131</v>
      </c>
      <c r="BB1314" t="s">
        <v>134</v>
      </c>
      <c r="BC1314" t="s">
        <v>131</v>
      </c>
      <c r="BD1314" t="s">
        <v>131</v>
      </c>
      <c r="BE1314" t="s">
        <v>132</v>
      </c>
      <c r="BH1314" t="s">
        <v>15654</v>
      </c>
      <c r="BI1314" t="s">
        <v>131</v>
      </c>
      <c r="BL1314" t="s">
        <v>658</v>
      </c>
      <c r="BM1314" t="s">
        <v>16898</v>
      </c>
      <c r="BN1314" t="s">
        <v>3060</v>
      </c>
      <c r="BO1314" t="s">
        <v>131</v>
      </c>
      <c r="BP1314" t="s">
        <v>134</v>
      </c>
      <c r="BQ1314" t="s">
        <v>131</v>
      </c>
      <c r="BS1314" t="str">
        <f t="shared" si="89"/>
        <v>N/A</v>
      </c>
      <c r="BT1314" t="s">
        <v>131</v>
      </c>
      <c r="BV1314" t="str">
        <f>""</f>
        <v/>
      </c>
      <c r="BW1314" t="s">
        <v>131</v>
      </c>
      <c r="BX1314" t="str">
        <f>""</f>
        <v/>
      </c>
      <c r="BY1314" t="str">
        <f>""</f>
        <v/>
      </c>
      <c r="BZ1314" t="str">
        <f>""</f>
        <v/>
      </c>
      <c r="CA1314" t="str">
        <f>""</f>
        <v/>
      </c>
      <c r="CB1314" t="s">
        <v>131</v>
      </c>
      <c r="CF1314" t="s">
        <v>131</v>
      </c>
      <c r="CH1314" t="str">
        <f>""</f>
        <v/>
      </c>
      <c r="CI1314" t="s">
        <v>131</v>
      </c>
      <c r="CK1314" t="s">
        <v>131</v>
      </c>
      <c r="CL1314" t="str">
        <f>""</f>
        <v/>
      </c>
      <c r="CM1314" t="str">
        <f>""</f>
        <v/>
      </c>
      <c r="CN1314" t="str">
        <f>""</f>
        <v/>
      </c>
      <c r="CO1314" t="str">
        <f>""</f>
        <v/>
      </c>
      <c r="CP1314" t="str">
        <f>"29-1063.00"</f>
        <v>29-1063.00</v>
      </c>
      <c r="CQ1314" t="s">
        <v>5210</v>
      </c>
      <c r="CR1314" t="s">
        <v>16899</v>
      </c>
      <c r="CS1314" t="s">
        <v>131</v>
      </c>
      <c r="CU1314" t="s">
        <v>15653</v>
      </c>
      <c r="CW1314" t="s">
        <v>3049</v>
      </c>
      <c r="CX1314" t="s">
        <v>630</v>
      </c>
      <c r="CZ1314" s="3" t="str">
        <f>"39202"</f>
        <v>39202</v>
      </c>
      <c r="DA1314" t="s">
        <v>131</v>
      </c>
      <c r="DB1314" t="str">
        <f>""</f>
        <v/>
      </c>
      <c r="DF1314" t="str">
        <f>""</f>
        <v/>
      </c>
    </row>
    <row r="1315" spans="1:110" ht="15" customHeight="1" x14ac:dyDescent="0.35">
      <c r="A1315" t="s">
        <v>15969</v>
      </c>
      <c r="B1315" t="s">
        <v>138</v>
      </c>
      <c r="C1315" s="1">
        <v>44323</v>
      </c>
      <c r="G1315" s="1">
        <v>44333</v>
      </c>
      <c r="H1315" t="s">
        <v>125</v>
      </c>
      <c r="I1315" t="s">
        <v>7548</v>
      </c>
      <c r="J1315" t="s">
        <v>5956</v>
      </c>
      <c r="L1315" t="s">
        <v>126</v>
      </c>
      <c r="M1315" t="s">
        <v>7549</v>
      </c>
      <c r="N1315" t="s">
        <v>7550</v>
      </c>
      <c r="O1315" t="s">
        <v>405</v>
      </c>
      <c r="P1315" t="s">
        <v>194</v>
      </c>
      <c r="Q1315" s="3">
        <v>32835</v>
      </c>
      <c r="R1315" t="s">
        <v>128</v>
      </c>
      <c r="S1315" t="s">
        <v>195</v>
      </c>
      <c r="T1315" s="4">
        <v>14074017072</v>
      </c>
      <c r="V1315" t="s">
        <v>7551</v>
      </c>
      <c r="W1315" t="s">
        <v>15970</v>
      </c>
      <c r="Y1315" t="s">
        <v>15971</v>
      </c>
      <c r="Z1315" t="s">
        <v>7889</v>
      </c>
      <c r="AA1315" t="s">
        <v>405</v>
      </c>
      <c r="AB1315" t="s">
        <v>195</v>
      </c>
      <c r="AC1315" s="3" t="str">
        <f>"32811"</f>
        <v>32811</v>
      </c>
      <c r="AD1315" t="s">
        <v>128</v>
      </c>
      <c r="AF1315" s="4">
        <v>17868560610</v>
      </c>
      <c r="AH1315" t="str">
        <f>"561720"</f>
        <v>561720</v>
      </c>
      <c r="AI1315" t="s">
        <v>130</v>
      </c>
      <c r="AJ1315" t="s">
        <v>7548</v>
      </c>
      <c r="AK1315" t="s">
        <v>5956</v>
      </c>
      <c r="AM1315" t="s">
        <v>5869</v>
      </c>
      <c r="AN1315" t="s">
        <v>15972</v>
      </c>
      <c r="AO1315" t="s">
        <v>405</v>
      </c>
      <c r="AP1315" t="s">
        <v>195</v>
      </c>
      <c r="AQ1315" s="5">
        <v>32835</v>
      </c>
      <c r="AR1315" t="s">
        <v>128</v>
      </c>
      <c r="AT1315" s="4">
        <v>14074017072</v>
      </c>
      <c r="AV1315" t="s">
        <v>7551</v>
      </c>
      <c r="AW1315" t="s">
        <v>7552</v>
      </c>
      <c r="AX1315" t="s">
        <v>131</v>
      </c>
      <c r="AY1315" t="s">
        <v>131</v>
      </c>
      <c r="AZ1315" t="s">
        <v>131</v>
      </c>
      <c r="BA1315" t="s">
        <v>131</v>
      </c>
      <c r="BB1315" t="s">
        <v>131</v>
      </c>
      <c r="BC1315" t="s">
        <v>131</v>
      </c>
      <c r="BD1315" t="s">
        <v>131</v>
      </c>
      <c r="BE1315" t="s">
        <v>132</v>
      </c>
      <c r="BH1315" t="s">
        <v>15973</v>
      </c>
      <c r="BI1315" t="s">
        <v>131</v>
      </c>
      <c r="BL1315" t="s">
        <v>167</v>
      </c>
      <c r="BO1315" t="s">
        <v>131</v>
      </c>
      <c r="BP1315" t="s">
        <v>134</v>
      </c>
      <c r="BQ1315" t="s">
        <v>131</v>
      </c>
      <c r="BS1315" t="str">
        <f t="shared" si="89"/>
        <v>N/A</v>
      </c>
      <c r="BT1315" t="s">
        <v>135</v>
      </c>
      <c r="BU1315">
        <v>12</v>
      </c>
      <c r="BV1315" t="str">
        <f>"NONE."</f>
        <v>NONE.</v>
      </c>
      <c r="BW1315" t="s">
        <v>131</v>
      </c>
      <c r="BX1315" t="str">
        <f>""</f>
        <v/>
      </c>
      <c r="BY1315" t="str">
        <f>""</f>
        <v/>
      </c>
      <c r="BZ1315" t="str">
        <f>""</f>
        <v/>
      </c>
      <c r="CA1315" t="str">
        <f>""</f>
        <v/>
      </c>
      <c r="CB1315" t="s">
        <v>131</v>
      </c>
      <c r="CF1315" t="s">
        <v>131</v>
      </c>
      <c r="CH1315" t="str">
        <f>""</f>
        <v/>
      </c>
      <c r="CI1315" t="s">
        <v>131</v>
      </c>
      <c r="CK1315" t="s">
        <v>131</v>
      </c>
      <c r="CL1315" t="str">
        <f>""</f>
        <v/>
      </c>
      <c r="CM1315" t="str">
        <f>""</f>
        <v/>
      </c>
      <c r="CN1315" t="str">
        <f>""</f>
        <v/>
      </c>
      <c r="CO1315" t="str">
        <f>""</f>
        <v/>
      </c>
      <c r="CP1315" t="str">
        <f>"37-2011.00"</f>
        <v>37-2011.00</v>
      </c>
      <c r="CQ1315" t="s">
        <v>794</v>
      </c>
      <c r="CS1315" t="s">
        <v>131</v>
      </c>
      <c r="CU1315" t="s">
        <v>15974</v>
      </c>
      <c r="CV1315" t="s">
        <v>7889</v>
      </c>
      <c r="CW1315" t="s">
        <v>405</v>
      </c>
      <c r="CX1315" t="s">
        <v>195</v>
      </c>
      <c r="CZ1315" s="3" t="str">
        <f>"32811"</f>
        <v>32811</v>
      </c>
      <c r="DA1315" t="s">
        <v>135</v>
      </c>
      <c r="DB1315" t="str">
        <f>""</f>
        <v/>
      </c>
      <c r="DF1315" t="str">
        <f>""</f>
        <v/>
      </c>
    </row>
    <row r="1316" spans="1:110" ht="15" customHeight="1" x14ac:dyDescent="0.35">
      <c r="A1316" t="s">
        <v>11139</v>
      </c>
      <c r="B1316" t="s">
        <v>138</v>
      </c>
      <c r="C1316" s="1">
        <v>44323</v>
      </c>
      <c r="G1316" s="1">
        <v>44323</v>
      </c>
      <c r="H1316" t="s">
        <v>125</v>
      </c>
      <c r="I1316" t="s">
        <v>11140</v>
      </c>
      <c r="J1316" t="s">
        <v>1313</v>
      </c>
      <c r="L1316" t="s">
        <v>1105</v>
      </c>
      <c r="M1316" t="s">
        <v>11141</v>
      </c>
      <c r="O1316" t="s">
        <v>11142</v>
      </c>
      <c r="P1316" t="s">
        <v>826</v>
      </c>
      <c r="Q1316" s="3">
        <v>21014</v>
      </c>
      <c r="R1316" t="s">
        <v>128</v>
      </c>
      <c r="T1316" s="4">
        <v>14106381800</v>
      </c>
      <c r="V1316" t="s">
        <v>11143</v>
      </c>
      <c r="W1316" t="s">
        <v>11144</v>
      </c>
      <c r="Y1316" t="s">
        <v>11141</v>
      </c>
      <c r="AA1316" t="s">
        <v>11142</v>
      </c>
      <c r="AB1316" t="s">
        <v>382</v>
      </c>
      <c r="AC1316" s="3" t="str">
        <f>"21014"</f>
        <v>21014</v>
      </c>
      <c r="AD1316" t="s">
        <v>128</v>
      </c>
      <c r="AF1316" s="4">
        <v>14106381800</v>
      </c>
      <c r="AH1316" t="str">
        <f>"56173"</f>
        <v>56173</v>
      </c>
      <c r="AI1316" t="s">
        <v>287</v>
      </c>
      <c r="AJ1316" t="s">
        <v>7285</v>
      </c>
      <c r="AK1316" t="s">
        <v>5400</v>
      </c>
      <c r="AL1316" t="s">
        <v>1198</v>
      </c>
      <c r="AM1316" t="s">
        <v>11145</v>
      </c>
      <c r="AO1316" t="s">
        <v>6796</v>
      </c>
      <c r="AP1316" t="s">
        <v>400</v>
      </c>
      <c r="AQ1316" s="5">
        <v>75098</v>
      </c>
      <c r="AR1316" t="s">
        <v>128</v>
      </c>
      <c r="AT1316" s="4">
        <v>19724424244</v>
      </c>
      <c r="AV1316" t="s">
        <v>7286</v>
      </c>
      <c r="AW1316" t="s">
        <v>7287</v>
      </c>
      <c r="AX1316" t="s">
        <v>131</v>
      </c>
      <c r="AY1316" t="s">
        <v>131</v>
      </c>
      <c r="AZ1316" t="s">
        <v>131</v>
      </c>
      <c r="BA1316" t="s">
        <v>131</v>
      </c>
      <c r="BB1316" t="s">
        <v>131</v>
      </c>
      <c r="BC1316" t="s">
        <v>131</v>
      </c>
      <c r="BD1316" t="s">
        <v>131</v>
      </c>
      <c r="BE1316" t="s">
        <v>132</v>
      </c>
      <c r="BH1316" t="s">
        <v>920</v>
      </c>
      <c r="BI1316" t="s">
        <v>131</v>
      </c>
      <c r="BL1316" t="s">
        <v>167</v>
      </c>
      <c r="BO1316" t="s">
        <v>131</v>
      </c>
      <c r="BP1316" t="s">
        <v>134</v>
      </c>
      <c r="BQ1316" t="s">
        <v>131</v>
      </c>
      <c r="BS1316" t="str">
        <f t="shared" si="89"/>
        <v>N/A</v>
      </c>
      <c r="BT1316" t="s">
        <v>131</v>
      </c>
      <c r="BV1316" t="str">
        <f>""</f>
        <v/>
      </c>
      <c r="BW1316" t="s">
        <v>135</v>
      </c>
      <c r="BX1316" t="str">
        <f>""</f>
        <v/>
      </c>
      <c r="BY1316" t="str">
        <f>""</f>
        <v/>
      </c>
      <c r="BZ1316" t="str">
        <f>""</f>
        <v/>
      </c>
      <c r="CA1316" t="str">
        <f>"Must be able to perform physical actives such as lift, push, pull and carry objects up to 50lbs. Must be able to work outside in both extreme heat and cold."</f>
        <v>Must be able to perform physical actives such as lift, push, pull and carry objects up to 50lbs. Must be able to work outside in both extreme heat and cold.</v>
      </c>
      <c r="CB1316" t="s">
        <v>131</v>
      </c>
      <c r="CF1316" t="s">
        <v>131</v>
      </c>
      <c r="CH1316" t="str">
        <f>""</f>
        <v/>
      </c>
      <c r="CI1316" t="s">
        <v>131</v>
      </c>
      <c r="CK1316" t="s">
        <v>131</v>
      </c>
      <c r="CL1316" t="str">
        <f>""</f>
        <v/>
      </c>
      <c r="CM1316" t="str">
        <f>""</f>
        <v/>
      </c>
      <c r="CN1316" t="str">
        <f>""</f>
        <v/>
      </c>
      <c r="CO1316" t="str">
        <f>""</f>
        <v/>
      </c>
      <c r="CP1316" t="str">
        <f>"37-3011.00"</f>
        <v>37-3011.00</v>
      </c>
      <c r="CQ1316" t="s">
        <v>920</v>
      </c>
      <c r="CR1316" t="s">
        <v>920</v>
      </c>
      <c r="CS1316" t="s">
        <v>131</v>
      </c>
      <c r="CU1316" t="s">
        <v>11141</v>
      </c>
      <c r="CW1316" t="s">
        <v>11142</v>
      </c>
      <c r="CX1316" t="s">
        <v>382</v>
      </c>
      <c r="CZ1316" s="3" t="str">
        <f>"56176"</f>
        <v>56176</v>
      </c>
      <c r="DA1316" t="s">
        <v>135</v>
      </c>
      <c r="DB1316" t="str">
        <f>""</f>
        <v/>
      </c>
      <c r="DF1316" t="str">
        <f>""</f>
        <v/>
      </c>
    </row>
    <row r="1317" spans="1:110" ht="15" customHeight="1" x14ac:dyDescent="0.35">
      <c r="A1317" t="s">
        <v>18597</v>
      </c>
      <c r="B1317" t="s">
        <v>138</v>
      </c>
      <c r="C1317" s="1">
        <v>44323</v>
      </c>
      <c r="G1317" s="1">
        <v>44323</v>
      </c>
      <c r="H1317" t="s">
        <v>125</v>
      </c>
      <c r="I1317" t="s">
        <v>1197</v>
      </c>
      <c r="J1317" t="s">
        <v>2373</v>
      </c>
      <c r="K1317" t="s">
        <v>2149</v>
      </c>
      <c r="L1317" t="s">
        <v>130</v>
      </c>
      <c r="M1317" t="s">
        <v>2574</v>
      </c>
      <c r="N1317" t="s">
        <v>2575</v>
      </c>
      <c r="O1317" t="s">
        <v>2576</v>
      </c>
      <c r="P1317" t="s">
        <v>273</v>
      </c>
      <c r="Q1317" s="3">
        <v>7632</v>
      </c>
      <c r="R1317" t="s">
        <v>128</v>
      </c>
      <c r="T1317" s="4">
        <v>12016741456</v>
      </c>
      <c r="V1317" t="s">
        <v>2577</v>
      </c>
      <c r="W1317" t="s">
        <v>10307</v>
      </c>
      <c r="X1317" t="s">
        <v>10308</v>
      </c>
      <c r="Y1317" t="s">
        <v>10305</v>
      </c>
      <c r="Z1317" t="s">
        <v>10306</v>
      </c>
      <c r="AA1317" t="s">
        <v>3487</v>
      </c>
      <c r="AB1317" t="s">
        <v>276</v>
      </c>
      <c r="AC1317" s="3" t="str">
        <f>"07650"</f>
        <v>07650</v>
      </c>
      <c r="AD1317" t="s">
        <v>128</v>
      </c>
      <c r="AF1317" s="4">
        <v>12016132113</v>
      </c>
      <c r="AH1317" t="str">
        <f>"62161"</f>
        <v>62161</v>
      </c>
      <c r="AI1317" t="s">
        <v>130</v>
      </c>
      <c r="AJ1317" t="s">
        <v>1197</v>
      </c>
      <c r="AK1317" t="s">
        <v>2373</v>
      </c>
      <c r="AL1317" t="s">
        <v>2149</v>
      </c>
      <c r="AM1317" t="s">
        <v>2574</v>
      </c>
      <c r="AN1317" t="s">
        <v>2575</v>
      </c>
      <c r="AO1317" t="s">
        <v>2576</v>
      </c>
      <c r="AP1317" t="s">
        <v>276</v>
      </c>
      <c r="AQ1317" s="5">
        <v>7632</v>
      </c>
      <c r="AR1317" t="s">
        <v>128</v>
      </c>
      <c r="AT1317" s="4">
        <v>12016741456</v>
      </c>
      <c r="AV1317" t="s">
        <v>2577</v>
      </c>
      <c r="AW1317" t="s">
        <v>2578</v>
      </c>
      <c r="AX1317" t="s">
        <v>131</v>
      </c>
      <c r="AY1317" t="s">
        <v>131</v>
      </c>
      <c r="AZ1317" t="s">
        <v>131</v>
      </c>
      <c r="BA1317" t="s">
        <v>131</v>
      </c>
      <c r="BB1317" t="s">
        <v>131</v>
      </c>
      <c r="BC1317" t="s">
        <v>131</v>
      </c>
      <c r="BD1317" t="s">
        <v>131</v>
      </c>
      <c r="BE1317" t="s">
        <v>132</v>
      </c>
      <c r="BH1317" t="s">
        <v>5244</v>
      </c>
      <c r="BI1317" t="s">
        <v>131</v>
      </c>
      <c r="BL1317" t="s">
        <v>401</v>
      </c>
      <c r="BO1317" t="s">
        <v>131</v>
      </c>
      <c r="BP1317" t="s">
        <v>134</v>
      </c>
      <c r="BQ1317" t="s">
        <v>131</v>
      </c>
      <c r="BS1317" t="str">
        <f t="shared" si="89"/>
        <v>N/A</v>
      </c>
      <c r="BT1317" t="s">
        <v>131</v>
      </c>
      <c r="BV1317" t="str">
        <f>""</f>
        <v/>
      </c>
      <c r="BW1317" t="s">
        <v>131</v>
      </c>
      <c r="BX1317" t="str">
        <f>""</f>
        <v/>
      </c>
      <c r="BY1317" t="str">
        <f>""</f>
        <v/>
      </c>
      <c r="BZ1317" t="str">
        <f>""</f>
        <v/>
      </c>
      <c r="CA1317" t="str">
        <f>""</f>
        <v/>
      </c>
      <c r="CB1317" t="s">
        <v>131</v>
      </c>
      <c r="CF1317" t="s">
        <v>131</v>
      </c>
      <c r="CH1317" t="str">
        <f>""</f>
        <v/>
      </c>
      <c r="CI1317" t="s">
        <v>131</v>
      </c>
      <c r="CK1317" t="s">
        <v>131</v>
      </c>
      <c r="CL1317" t="str">
        <f>""</f>
        <v/>
      </c>
      <c r="CM1317" t="str">
        <f>""</f>
        <v/>
      </c>
      <c r="CN1317" t="str">
        <f>""</f>
        <v/>
      </c>
      <c r="CO1317" t="str">
        <f>""</f>
        <v/>
      </c>
      <c r="CP1317" t="str">
        <f>"31-1011.00"</f>
        <v>31-1011.00</v>
      </c>
      <c r="CQ1317" t="s">
        <v>499</v>
      </c>
      <c r="CR1317" t="s">
        <v>460</v>
      </c>
      <c r="CS1317" t="s">
        <v>135</v>
      </c>
      <c r="CT1317" t="s">
        <v>18598</v>
      </c>
      <c r="CU1317" t="s">
        <v>10305</v>
      </c>
      <c r="CV1317" t="s">
        <v>10306</v>
      </c>
      <c r="CW1317" t="s">
        <v>3487</v>
      </c>
      <c r="CX1317" t="s">
        <v>276</v>
      </c>
      <c r="CZ1317" s="3" t="str">
        <f>"07650"</f>
        <v>07650</v>
      </c>
      <c r="DA1317" t="s">
        <v>131</v>
      </c>
      <c r="DB1317" t="str">
        <f>""</f>
        <v/>
      </c>
      <c r="DF1317" t="str">
        <f>""</f>
        <v/>
      </c>
    </row>
    <row r="1318" spans="1:110" ht="15" customHeight="1" x14ac:dyDescent="0.35">
      <c r="A1318" t="s">
        <v>19841</v>
      </c>
      <c r="B1318" t="s">
        <v>138</v>
      </c>
      <c r="C1318" s="1">
        <v>44323</v>
      </c>
      <c r="G1318" s="1">
        <v>44326</v>
      </c>
      <c r="H1318" t="s">
        <v>125</v>
      </c>
      <c r="I1318" t="s">
        <v>16848</v>
      </c>
      <c r="J1318" t="s">
        <v>4379</v>
      </c>
      <c r="L1318" t="s">
        <v>2292</v>
      </c>
      <c r="M1318" t="s">
        <v>16851</v>
      </c>
      <c r="O1318" t="s">
        <v>2928</v>
      </c>
      <c r="P1318" t="s">
        <v>507</v>
      </c>
      <c r="Q1318" s="3">
        <v>48335</v>
      </c>
      <c r="R1318" t="s">
        <v>128</v>
      </c>
      <c r="T1318" s="4">
        <v>12484777373</v>
      </c>
      <c r="V1318" t="s">
        <v>19842</v>
      </c>
      <c r="W1318" t="s">
        <v>19843</v>
      </c>
      <c r="X1318" t="s">
        <v>16850</v>
      </c>
      <c r="Y1318" t="s">
        <v>16849</v>
      </c>
      <c r="AA1318" t="s">
        <v>2928</v>
      </c>
      <c r="AB1318" t="s">
        <v>511</v>
      </c>
      <c r="AC1318" s="3" t="str">
        <f>"48335"</f>
        <v>48335</v>
      </c>
      <c r="AD1318" t="s">
        <v>128</v>
      </c>
      <c r="AF1318" s="4">
        <v>12484777373</v>
      </c>
      <c r="AH1318" t="str">
        <f>"62311"</f>
        <v>62311</v>
      </c>
      <c r="AI1318" t="s">
        <v>130</v>
      </c>
      <c r="AJ1318" t="s">
        <v>1297</v>
      </c>
      <c r="AK1318" t="s">
        <v>19844</v>
      </c>
      <c r="AM1318" t="s">
        <v>5447</v>
      </c>
      <c r="AN1318" t="s">
        <v>3297</v>
      </c>
      <c r="AO1318" t="s">
        <v>2297</v>
      </c>
      <c r="AP1318" t="s">
        <v>511</v>
      </c>
      <c r="AQ1318" s="5">
        <v>48105</v>
      </c>
      <c r="AR1318" t="s">
        <v>128</v>
      </c>
      <c r="AT1318" s="4">
        <v>17349967777</v>
      </c>
      <c r="AV1318" t="s">
        <v>5449</v>
      </c>
      <c r="AW1318" t="s">
        <v>5450</v>
      </c>
      <c r="AX1318" t="s">
        <v>131</v>
      </c>
      <c r="AY1318" t="s">
        <v>131</v>
      </c>
      <c r="AZ1318" t="s">
        <v>131</v>
      </c>
      <c r="BA1318" t="s">
        <v>131</v>
      </c>
      <c r="BB1318" t="s">
        <v>131</v>
      </c>
      <c r="BC1318" t="s">
        <v>131</v>
      </c>
      <c r="BD1318" t="s">
        <v>131</v>
      </c>
      <c r="BE1318" t="s">
        <v>132</v>
      </c>
      <c r="BH1318" t="s">
        <v>230</v>
      </c>
      <c r="BI1318" t="s">
        <v>131</v>
      </c>
      <c r="BL1318" t="s">
        <v>133</v>
      </c>
      <c r="BN1318" t="s">
        <v>1451</v>
      </c>
      <c r="BO1318" t="s">
        <v>131</v>
      </c>
      <c r="BP1318" t="s">
        <v>134</v>
      </c>
      <c r="BQ1318" t="s">
        <v>131</v>
      </c>
      <c r="BS1318" t="str">
        <f t="shared" si="89"/>
        <v>N/A</v>
      </c>
      <c r="BT1318" t="s">
        <v>131</v>
      </c>
      <c r="BV1318" t="str">
        <f>""</f>
        <v/>
      </c>
      <c r="BW1318" t="s">
        <v>135</v>
      </c>
      <c r="BX1318" t="str">
        <f>"Michigan Registered Nurse "</f>
        <v xml:space="preserve">Michigan Registered Nurse </v>
      </c>
      <c r="BY1318" t="str">
        <f>""</f>
        <v/>
      </c>
      <c r="BZ1318" t="str">
        <f>""</f>
        <v/>
      </c>
      <c r="CA1318" t="str">
        <f>""</f>
        <v/>
      </c>
      <c r="CB1318" t="s">
        <v>131</v>
      </c>
      <c r="CF1318" t="s">
        <v>131</v>
      </c>
      <c r="CH1318" t="str">
        <f>""</f>
        <v/>
      </c>
      <c r="CI1318" t="s">
        <v>131</v>
      </c>
      <c r="CK1318" t="s">
        <v>131</v>
      </c>
      <c r="CL1318" t="str">
        <f>""</f>
        <v/>
      </c>
      <c r="CM1318" t="str">
        <f>""</f>
        <v/>
      </c>
      <c r="CN1318" t="str">
        <f>""</f>
        <v/>
      </c>
      <c r="CO1318" t="str">
        <f>""</f>
        <v/>
      </c>
      <c r="CP1318" t="str">
        <f>"29-1141.00"</f>
        <v>29-1141.00</v>
      </c>
      <c r="CQ1318" t="s">
        <v>232</v>
      </c>
      <c r="CS1318" t="s">
        <v>131</v>
      </c>
      <c r="CU1318" t="s">
        <v>16849</v>
      </c>
      <c r="CW1318" t="s">
        <v>2928</v>
      </c>
      <c r="CX1318" t="s">
        <v>511</v>
      </c>
      <c r="CZ1318" s="3" t="str">
        <f>"48335"</f>
        <v>48335</v>
      </c>
      <c r="DA1318" t="s">
        <v>131</v>
      </c>
      <c r="DB1318" t="str">
        <f>""</f>
        <v/>
      </c>
      <c r="DF1318" t="str">
        <f>""</f>
        <v/>
      </c>
    </row>
    <row r="1319" spans="1:110" ht="15" customHeight="1" x14ac:dyDescent="0.35">
      <c r="A1319" t="s">
        <v>11048</v>
      </c>
      <c r="B1319" t="s">
        <v>138</v>
      </c>
      <c r="C1319" s="1">
        <v>44323</v>
      </c>
      <c r="G1319" s="1">
        <v>44328</v>
      </c>
      <c r="H1319" t="s">
        <v>125</v>
      </c>
      <c r="I1319" t="s">
        <v>838</v>
      </c>
      <c r="J1319" t="s">
        <v>839</v>
      </c>
      <c r="K1319" t="s">
        <v>840</v>
      </c>
      <c r="L1319" t="s">
        <v>11049</v>
      </c>
      <c r="M1319" t="s">
        <v>841</v>
      </c>
      <c r="N1319" t="s">
        <v>842</v>
      </c>
      <c r="O1319" t="s">
        <v>843</v>
      </c>
      <c r="P1319" t="s">
        <v>273</v>
      </c>
      <c r="Q1319" s="3">
        <v>7080</v>
      </c>
      <c r="R1319" t="s">
        <v>128</v>
      </c>
      <c r="T1319" s="4">
        <v>17328327978</v>
      </c>
      <c r="V1319" t="s">
        <v>844</v>
      </c>
      <c r="W1319" t="s">
        <v>7819</v>
      </c>
      <c r="Y1319" t="s">
        <v>7810</v>
      </c>
      <c r="Z1319" t="s">
        <v>7811</v>
      </c>
      <c r="AA1319" t="s">
        <v>6028</v>
      </c>
      <c r="AB1319" t="s">
        <v>276</v>
      </c>
      <c r="AC1319" s="3" t="str">
        <f>"08830"</f>
        <v>08830</v>
      </c>
      <c r="AD1319" t="s">
        <v>128</v>
      </c>
      <c r="AF1319" s="4">
        <v>17325270567</v>
      </c>
      <c r="AH1319" t="str">
        <f>"541519"</f>
        <v>541519</v>
      </c>
      <c r="AI1319" t="s">
        <v>130</v>
      </c>
      <c r="AJ1319" t="s">
        <v>838</v>
      </c>
      <c r="AK1319" t="s">
        <v>839</v>
      </c>
      <c r="AL1319" t="s">
        <v>840</v>
      </c>
      <c r="AM1319" t="s">
        <v>841</v>
      </c>
      <c r="AN1319" t="s">
        <v>842</v>
      </c>
      <c r="AO1319" t="s">
        <v>843</v>
      </c>
      <c r="AP1319" t="s">
        <v>276</v>
      </c>
      <c r="AQ1319" s="5">
        <v>7080</v>
      </c>
      <c r="AR1319" t="s">
        <v>128</v>
      </c>
      <c r="AT1319" s="4">
        <v>17328327978</v>
      </c>
      <c r="AV1319" t="s">
        <v>844</v>
      </c>
      <c r="AW1319" t="s">
        <v>2779</v>
      </c>
      <c r="AX1319" t="s">
        <v>131</v>
      </c>
      <c r="AY1319" t="s">
        <v>131</v>
      </c>
      <c r="AZ1319" t="s">
        <v>131</v>
      </c>
      <c r="BA1319" t="s">
        <v>131</v>
      </c>
      <c r="BB1319" t="s">
        <v>131</v>
      </c>
      <c r="BC1319" t="s">
        <v>131</v>
      </c>
      <c r="BD1319" t="s">
        <v>131</v>
      </c>
      <c r="BE1319" t="s">
        <v>132</v>
      </c>
      <c r="BH1319" t="s">
        <v>846</v>
      </c>
      <c r="BI1319" t="s">
        <v>131</v>
      </c>
      <c r="BL1319" t="s">
        <v>188</v>
      </c>
      <c r="BN1319" t="s">
        <v>847</v>
      </c>
      <c r="BO1319" t="s">
        <v>131</v>
      </c>
      <c r="BP1319" t="s">
        <v>134</v>
      </c>
      <c r="BQ1319" t="s">
        <v>131</v>
      </c>
      <c r="BS1319" t="str">
        <f t="shared" si="89"/>
        <v>N/A</v>
      </c>
      <c r="BT1319" t="s">
        <v>135</v>
      </c>
      <c r="BU1319">
        <v>12</v>
      </c>
      <c r="BV1319" t="str">
        <f>"JOB OFFERED OR RELATED OCCUPATION."</f>
        <v>JOB OFFERED OR RELATED OCCUPATION.</v>
      </c>
      <c r="BW1319" t="s">
        <v>135</v>
      </c>
      <c r="BX1319" t="str">
        <f>""</f>
        <v/>
      </c>
      <c r="BY1319" t="str">
        <f>""</f>
        <v/>
      </c>
      <c r="BZ1319" t="str">
        <f>""</f>
        <v/>
      </c>
      <c r="CA1319" t="str">
        <f>"Skills required: JavaScript, HTML, CSS, React Js, Redux, Angular, Json, Node JS, and Jira."</f>
        <v>Skills required: JavaScript, HTML, CSS, React Js, Redux, Angular, Json, Node JS, and Jira.</v>
      </c>
      <c r="CB1319" t="s">
        <v>135</v>
      </c>
      <c r="CC1319" t="s">
        <v>133</v>
      </c>
      <c r="CE1319" t="s">
        <v>847</v>
      </c>
      <c r="CF1319" t="s">
        <v>131</v>
      </c>
      <c r="CH1319" t="str">
        <f>"N/A"</f>
        <v>N/A</v>
      </c>
      <c r="CI1319" t="s">
        <v>135</v>
      </c>
      <c r="CJ1319">
        <v>60</v>
      </c>
      <c r="CK1319" t="s">
        <v>131</v>
      </c>
      <c r="CL1319" t="str">
        <f>""</f>
        <v/>
      </c>
      <c r="CM1319" t="str">
        <f>""</f>
        <v/>
      </c>
      <c r="CN1319" t="str">
        <f>""</f>
        <v/>
      </c>
      <c r="CO1319" t="str">
        <f>""</f>
        <v/>
      </c>
      <c r="CP1319" t="str">
        <f>"15-1132.00"</f>
        <v>15-1132.00</v>
      </c>
      <c r="CQ1319" t="s">
        <v>198</v>
      </c>
      <c r="CR1319" t="s">
        <v>11050</v>
      </c>
      <c r="CS1319" t="s">
        <v>131</v>
      </c>
      <c r="CU1319" t="s">
        <v>7810</v>
      </c>
      <c r="CV1319" t="s">
        <v>7811</v>
      </c>
      <c r="CW1319" t="s">
        <v>6028</v>
      </c>
      <c r="CX1319" t="s">
        <v>276</v>
      </c>
      <c r="CZ1319" s="3" t="str">
        <f>"08830"</f>
        <v>08830</v>
      </c>
      <c r="DA1319" t="s">
        <v>131</v>
      </c>
      <c r="DB1319" t="str">
        <f>""</f>
        <v/>
      </c>
      <c r="DF1319" t="str">
        <f>""</f>
        <v/>
      </c>
    </row>
    <row r="1320" spans="1:110" ht="15" customHeight="1" x14ac:dyDescent="0.35">
      <c r="A1320" t="s">
        <v>9919</v>
      </c>
      <c r="B1320" t="s">
        <v>138</v>
      </c>
      <c r="C1320" s="1">
        <v>44323</v>
      </c>
      <c r="G1320" s="1">
        <v>44326</v>
      </c>
      <c r="H1320" t="s">
        <v>125</v>
      </c>
      <c r="I1320" t="s">
        <v>2856</v>
      </c>
      <c r="J1320" t="s">
        <v>2857</v>
      </c>
      <c r="L1320" t="s">
        <v>2858</v>
      </c>
      <c r="M1320" t="s">
        <v>2859</v>
      </c>
      <c r="N1320" t="s">
        <v>2860</v>
      </c>
      <c r="O1320" t="s">
        <v>376</v>
      </c>
      <c r="P1320" t="s">
        <v>720</v>
      </c>
      <c r="Q1320" s="3">
        <v>2110</v>
      </c>
      <c r="R1320" t="s">
        <v>128</v>
      </c>
      <c r="T1320" s="4">
        <v>16177601559</v>
      </c>
      <c r="V1320" t="s">
        <v>2861</v>
      </c>
      <c r="W1320" t="s">
        <v>2862</v>
      </c>
      <c r="Y1320" t="s">
        <v>2859</v>
      </c>
      <c r="Z1320" t="s">
        <v>2860</v>
      </c>
      <c r="AA1320" t="s">
        <v>376</v>
      </c>
      <c r="AB1320" t="s">
        <v>377</v>
      </c>
      <c r="AC1320" s="3" t="str">
        <f>"02110"</f>
        <v>02110</v>
      </c>
      <c r="AD1320" t="s">
        <v>128</v>
      </c>
      <c r="AF1320" s="4">
        <v>16177601559</v>
      </c>
      <c r="AH1320" t="str">
        <f>"523920"</f>
        <v>523920</v>
      </c>
      <c r="AI1320" t="s">
        <v>130</v>
      </c>
      <c r="AJ1320" t="s">
        <v>9920</v>
      </c>
      <c r="AK1320" t="s">
        <v>1444</v>
      </c>
      <c r="AL1320" t="s">
        <v>387</v>
      </c>
      <c r="AM1320" t="s">
        <v>374</v>
      </c>
      <c r="AN1320" t="s">
        <v>375</v>
      </c>
      <c r="AO1320" t="s">
        <v>376</v>
      </c>
      <c r="AP1320" t="s">
        <v>377</v>
      </c>
      <c r="AQ1320" s="5">
        <v>2110</v>
      </c>
      <c r="AR1320" t="s">
        <v>128</v>
      </c>
      <c r="AT1320" s="4">
        <v>16175740400</v>
      </c>
      <c r="AV1320" t="s">
        <v>2861</v>
      </c>
      <c r="AW1320" t="s">
        <v>386</v>
      </c>
      <c r="AX1320" t="s">
        <v>131</v>
      </c>
      <c r="AY1320" t="s">
        <v>131</v>
      </c>
      <c r="AZ1320" t="s">
        <v>131</v>
      </c>
      <c r="BA1320" t="s">
        <v>131</v>
      </c>
      <c r="BB1320" t="s">
        <v>131</v>
      </c>
      <c r="BC1320" t="s">
        <v>131</v>
      </c>
      <c r="BD1320" t="s">
        <v>131</v>
      </c>
      <c r="BE1320" t="s">
        <v>132</v>
      </c>
      <c r="BH1320" t="s">
        <v>7401</v>
      </c>
      <c r="BI1320" t="s">
        <v>135</v>
      </c>
      <c r="BJ1320" t="s">
        <v>597</v>
      </c>
      <c r="BK1320" t="s">
        <v>198</v>
      </c>
      <c r="BL1320" t="s">
        <v>133</v>
      </c>
      <c r="BN1320" t="s">
        <v>2865</v>
      </c>
      <c r="BO1320" t="s">
        <v>131</v>
      </c>
      <c r="BP1320" t="s">
        <v>134</v>
      </c>
      <c r="BQ1320" t="s">
        <v>131</v>
      </c>
      <c r="BS1320" t="str">
        <f t="shared" si="89"/>
        <v>N/A</v>
      </c>
      <c r="BT1320" t="s">
        <v>135</v>
      </c>
      <c r="BU1320">
        <v>60</v>
      </c>
      <c r="BV1320" t="str">
        <f>"Experience in SAP (systems, applications, products in data processing)"</f>
        <v>Experience in SAP (systems, applications, products in data processing)</v>
      </c>
      <c r="BW1320" t="s">
        <v>135</v>
      </c>
      <c r="BX1320" t="str">
        <f>""</f>
        <v/>
      </c>
      <c r="BY1320" t="str">
        <f>""</f>
        <v/>
      </c>
      <c r="BZ1320" t="str">
        <f>""</f>
        <v/>
      </c>
      <c r="CA1320" s="2" t="s">
        <v>2866</v>
      </c>
      <c r="CB1320" t="s">
        <v>135</v>
      </c>
      <c r="CC1320" t="s">
        <v>188</v>
      </c>
      <c r="CE1320" t="s">
        <v>9921</v>
      </c>
      <c r="CF1320" t="s">
        <v>131</v>
      </c>
      <c r="CH1320" t="str">
        <f>"N/A"</f>
        <v>N/A</v>
      </c>
      <c r="CI1320" t="s">
        <v>135</v>
      </c>
      <c r="CJ1320">
        <v>36</v>
      </c>
      <c r="CK1320" t="s">
        <v>135</v>
      </c>
      <c r="CL1320" t="str">
        <f>""</f>
        <v/>
      </c>
      <c r="CM1320" t="str">
        <f>""</f>
        <v/>
      </c>
      <c r="CN1320" t="str">
        <f>""</f>
        <v/>
      </c>
      <c r="CO1320" s="2" t="s">
        <v>2866</v>
      </c>
      <c r="CP1320" t="str">
        <f>"11-9041.00"</f>
        <v>11-9041.00</v>
      </c>
      <c r="CQ1320" t="s">
        <v>1498</v>
      </c>
      <c r="CR1320" t="s">
        <v>2867</v>
      </c>
      <c r="CS1320" t="s">
        <v>131</v>
      </c>
      <c r="CU1320" t="s">
        <v>2859</v>
      </c>
      <c r="CV1320" t="s">
        <v>2860</v>
      </c>
      <c r="CW1320" t="s">
        <v>376</v>
      </c>
      <c r="CX1320" t="s">
        <v>377</v>
      </c>
      <c r="CZ1320" s="3" t="str">
        <f>"02110"</f>
        <v>02110</v>
      </c>
      <c r="DA1320" t="s">
        <v>131</v>
      </c>
      <c r="DB1320" t="str">
        <f>""</f>
        <v/>
      </c>
      <c r="DF1320" t="str">
        <f>""</f>
        <v/>
      </c>
    </row>
    <row r="1321" spans="1:110" ht="15" customHeight="1" x14ac:dyDescent="0.35">
      <c r="A1321" t="s">
        <v>19162</v>
      </c>
      <c r="B1321" t="s">
        <v>138</v>
      </c>
      <c r="C1321" s="1">
        <v>44323</v>
      </c>
      <c r="G1321" s="1">
        <v>44323</v>
      </c>
      <c r="H1321" t="s">
        <v>125</v>
      </c>
      <c r="I1321" t="s">
        <v>1775</v>
      </c>
      <c r="J1321" t="s">
        <v>1616</v>
      </c>
      <c r="L1321" t="s">
        <v>8327</v>
      </c>
      <c r="M1321" t="s">
        <v>4176</v>
      </c>
      <c r="N1321" t="s">
        <v>1645</v>
      </c>
      <c r="O1321" t="s">
        <v>494</v>
      </c>
      <c r="P1321" t="s">
        <v>127</v>
      </c>
      <c r="Q1321" s="3">
        <v>10001</v>
      </c>
      <c r="R1321" t="s">
        <v>128</v>
      </c>
      <c r="T1321" s="4">
        <v>16466793441</v>
      </c>
      <c r="V1321" t="s">
        <v>8328</v>
      </c>
      <c r="W1321" t="s">
        <v>14797</v>
      </c>
      <c r="X1321" t="s">
        <v>4177</v>
      </c>
      <c r="Y1321" t="s">
        <v>4176</v>
      </c>
      <c r="Z1321" t="s">
        <v>1645</v>
      </c>
      <c r="AA1321" t="s">
        <v>494</v>
      </c>
      <c r="AB1321" t="s">
        <v>129</v>
      </c>
      <c r="AC1321" s="3" t="str">
        <f>"10001"</f>
        <v>10001</v>
      </c>
      <c r="AD1321" t="s">
        <v>128</v>
      </c>
      <c r="AF1321" s="4">
        <v>12122051200</v>
      </c>
      <c r="AH1321" t="str">
        <f>"5191"</f>
        <v>5191</v>
      </c>
      <c r="AI1321" t="s">
        <v>167</v>
      </c>
      <c r="AX1321" t="s">
        <v>131</v>
      </c>
      <c r="AY1321" t="s">
        <v>131</v>
      </c>
      <c r="AZ1321" t="s">
        <v>131</v>
      </c>
      <c r="BA1321" t="s">
        <v>131</v>
      </c>
      <c r="BB1321" t="s">
        <v>131</v>
      </c>
      <c r="BC1321" t="s">
        <v>131</v>
      </c>
      <c r="BD1321" t="s">
        <v>131</v>
      </c>
      <c r="BE1321" t="s">
        <v>132</v>
      </c>
      <c r="BH1321" t="s">
        <v>14798</v>
      </c>
      <c r="BI1321" t="s">
        <v>131</v>
      </c>
      <c r="BL1321" t="s">
        <v>133</v>
      </c>
      <c r="BN1321" t="s">
        <v>14799</v>
      </c>
      <c r="BO1321" t="s">
        <v>131</v>
      </c>
      <c r="BP1321" t="s">
        <v>134</v>
      </c>
      <c r="BQ1321" t="s">
        <v>131</v>
      </c>
      <c r="BS1321" t="str">
        <f t="shared" si="89"/>
        <v>N/A</v>
      </c>
      <c r="BT1321" t="s">
        <v>135</v>
      </c>
      <c r="BU1321">
        <v>24</v>
      </c>
      <c r="BV1321" t="str">
        <f>"Product Analysis and Design Specialist, Regional Operations/SME Analyst, Quantitative Analyst, Financial Quantitative Analyst or related occupation"</f>
        <v>Product Analysis and Design Specialist, Regional Operations/SME Analyst, Quantitative Analyst, Financial Quantitative Analyst or related occupation</v>
      </c>
      <c r="BW1321" t="s">
        <v>135</v>
      </c>
      <c r="BX1321" t="str">
        <f>""</f>
        <v/>
      </c>
      <c r="BY1321" t="str">
        <f>""</f>
        <v/>
      </c>
      <c r="BZ1321" t="str">
        <f>""</f>
        <v/>
      </c>
      <c r="CA1321" s="2" t="s">
        <v>14800</v>
      </c>
      <c r="CB1321" t="s">
        <v>131</v>
      </c>
      <c r="CF1321" t="s">
        <v>131</v>
      </c>
      <c r="CH1321" t="str">
        <f>""</f>
        <v/>
      </c>
      <c r="CI1321" t="s">
        <v>131</v>
      </c>
      <c r="CK1321" t="s">
        <v>131</v>
      </c>
      <c r="CL1321" t="str">
        <f>""</f>
        <v/>
      </c>
      <c r="CM1321" t="str">
        <f>""</f>
        <v/>
      </c>
      <c r="CN1321" t="str">
        <f>""</f>
        <v/>
      </c>
      <c r="CO1321" t="str">
        <f>""</f>
        <v/>
      </c>
      <c r="CP1321" t="str">
        <f>"13-2099.01"</f>
        <v>13-2099.01</v>
      </c>
      <c r="CQ1321" t="s">
        <v>552</v>
      </c>
      <c r="CR1321" t="s">
        <v>14801</v>
      </c>
      <c r="CS1321" t="s">
        <v>131</v>
      </c>
      <c r="CU1321" t="s">
        <v>4176</v>
      </c>
      <c r="CV1321" t="s">
        <v>1645</v>
      </c>
      <c r="CW1321" t="s">
        <v>494</v>
      </c>
      <c r="CX1321" t="s">
        <v>129</v>
      </c>
      <c r="CZ1321" s="3" t="str">
        <f>"10001"</f>
        <v>10001</v>
      </c>
      <c r="DA1321" t="s">
        <v>131</v>
      </c>
      <c r="DB1321" t="str">
        <f>""</f>
        <v/>
      </c>
      <c r="DF1321" t="str">
        <f>""</f>
        <v/>
      </c>
    </row>
    <row r="1322" spans="1:110" ht="15" customHeight="1" x14ac:dyDescent="0.35">
      <c r="A1322" t="s">
        <v>17436</v>
      </c>
      <c r="B1322" t="s">
        <v>138</v>
      </c>
      <c r="C1322" s="1">
        <v>44323</v>
      </c>
      <c r="G1322" s="1">
        <v>44323</v>
      </c>
      <c r="H1322" t="s">
        <v>125</v>
      </c>
      <c r="I1322" t="s">
        <v>1074</v>
      </c>
      <c r="J1322" t="s">
        <v>3433</v>
      </c>
      <c r="K1322" t="s">
        <v>655</v>
      </c>
      <c r="L1322" t="s">
        <v>3782</v>
      </c>
      <c r="M1322" t="s">
        <v>17437</v>
      </c>
      <c r="N1322" t="s">
        <v>439</v>
      </c>
      <c r="O1322" t="s">
        <v>476</v>
      </c>
      <c r="P1322" t="s">
        <v>178</v>
      </c>
      <c r="Q1322" s="3">
        <v>90010</v>
      </c>
      <c r="R1322" t="s">
        <v>128</v>
      </c>
      <c r="T1322" s="4">
        <v>12133812900</v>
      </c>
      <c r="V1322" t="s">
        <v>3435</v>
      </c>
      <c r="W1322" t="s">
        <v>3432</v>
      </c>
      <c r="Y1322" t="s">
        <v>17438</v>
      </c>
      <c r="AA1322" t="s">
        <v>476</v>
      </c>
      <c r="AB1322" t="s">
        <v>172</v>
      </c>
      <c r="AC1322" s="3" t="str">
        <f>"90007"</f>
        <v>90007</v>
      </c>
      <c r="AD1322" t="s">
        <v>128</v>
      </c>
      <c r="AF1322" s="4">
        <v>12139735611</v>
      </c>
      <c r="AH1322" t="str">
        <f>"4243"</f>
        <v>4243</v>
      </c>
      <c r="AI1322" t="s">
        <v>130</v>
      </c>
      <c r="AJ1322" t="s">
        <v>1074</v>
      </c>
      <c r="AK1322" t="s">
        <v>3433</v>
      </c>
      <c r="AL1322" t="s">
        <v>667</v>
      </c>
      <c r="AM1322" t="s">
        <v>3434</v>
      </c>
      <c r="AN1322" t="s">
        <v>439</v>
      </c>
      <c r="AO1322" t="s">
        <v>476</v>
      </c>
      <c r="AP1322" t="s">
        <v>172</v>
      </c>
      <c r="AQ1322" s="5">
        <v>90010</v>
      </c>
      <c r="AR1322" t="s">
        <v>128</v>
      </c>
      <c r="AT1322" s="4">
        <v>12133812900</v>
      </c>
      <c r="AV1322" t="s">
        <v>3435</v>
      </c>
      <c r="AW1322" t="s">
        <v>3436</v>
      </c>
      <c r="AX1322" t="s">
        <v>131</v>
      </c>
      <c r="AY1322" t="s">
        <v>131</v>
      </c>
      <c r="AZ1322" t="s">
        <v>131</v>
      </c>
      <c r="BA1322" t="s">
        <v>131</v>
      </c>
      <c r="BB1322" t="s">
        <v>131</v>
      </c>
      <c r="BC1322" t="s">
        <v>131</v>
      </c>
      <c r="BD1322" t="s">
        <v>131</v>
      </c>
      <c r="BE1322" t="s">
        <v>132</v>
      </c>
      <c r="BH1322" t="s">
        <v>3437</v>
      </c>
      <c r="BI1322" t="s">
        <v>131</v>
      </c>
      <c r="BL1322" t="s">
        <v>133</v>
      </c>
      <c r="BN1322" t="s">
        <v>17439</v>
      </c>
      <c r="BO1322" t="s">
        <v>131</v>
      </c>
      <c r="BP1322" t="s">
        <v>134</v>
      </c>
      <c r="BQ1322" t="s">
        <v>131</v>
      </c>
      <c r="BS1322" t="str">
        <f t="shared" si="89"/>
        <v>N/A</v>
      </c>
      <c r="BT1322" t="s">
        <v>131</v>
      </c>
      <c r="BV1322" t="str">
        <f>""</f>
        <v/>
      </c>
      <c r="BW1322" t="s">
        <v>131</v>
      </c>
      <c r="BX1322" t="str">
        <f>""</f>
        <v/>
      </c>
      <c r="BY1322" t="str">
        <f>""</f>
        <v/>
      </c>
      <c r="BZ1322" t="str">
        <f>""</f>
        <v/>
      </c>
      <c r="CA1322" t="str">
        <f>""</f>
        <v/>
      </c>
      <c r="CB1322" t="s">
        <v>131</v>
      </c>
      <c r="CF1322" t="s">
        <v>131</v>
      </c>
      <c r="CH1322" t="str">
        <f>""</f>
        <v/>
      </c>
      <c r="CI1322" t="s">
        <v>131</v>
      </c>
      <c r="CK1322" t="s">
        <v>131</v>
      </c>
      <c r="CL1322" t="str">
        <f>""</f>
        <v/>
      </c>
      <c r="CM1322" t="str">
        <f>""</f>
        <v/>
      </c>
      <c r="CN1322" t="str">
        <f>""</f>
        <v/>
      </c>
      <c r="CO1322" t="str">
        <f>""</f>
        <v/>
      </c>
      <c r="CP1322" t="str">
        <f>"27-1024.00"</f>
        <v>27-1024.00</v>
      </c>
      <c r="CQ1322" t="s">
        <v>3208</v>
      </c>
      <c r="CS1322" t="s">
        <v>131</v>
      </c>
      <c r="CU1322" t="s">
        <v>17438</v>
      </c>
      <c r="CW1322" t="s">
        <v>476</v>
      </c>
      <c r="CX1322" t="s">
        <v>172</v>
      </c>
      <c r="CZ1322" s="3" t="str">
        <f>"90007"</f>
        <v>90007</v>
      </c>
      <c r="DA1322" t="s">
        <v>131</v>
      </c>
      <c r="DB1322" t="str">
        <f>""</f>
        <v/>
      </c>
      <c r="DF1322" t="str">
        <f>""</f>
        <v/>
      </c>
    </row>
    <row r="1323" spans="1:110" ht="15" customHeight="1" x14ac:dyDescent="0.35">
      <c r="A1323" t="s">
        <v>9794</v>
      </c>
      <c r="B1323" t="s">
        <v>138</v>
      </c>
      <c r="C1323" s="1">
        <v>44323</v>
      </c>
      <c r="G1323" s="1">
        <v>44369</v>
      </c>
      <c r="H1323" t="s">
        <v>125</v>
      </c>
      <c r="I1323" t="s">
        <v>8331</v>
      </c>
      <c r="J1323" t="s">
        <v>1668</v>
      </c>
      <c r="L1323" t="s">
        <v>9795</v>
      </c>
      <c r="M1323" t="s">
        <v>9796</v>
      </c>
      <c r="O1323" t="s">
        <v>8833</v>
      </c>
      <c r="P1323" t="s">
        <v>676</v>
      </c>
      <c r="Q1323" s="3">
        <v>50309</v>
      </c>
      <c r="R1323" t="s">
        <v>128</v>
      </c>
      <c r="T1323" s="4">
        <v>15152452007</v>
      </c>
      <c r="V1323" t="s">
        <v>9797</v>
      </c>
      <c r="W1323" t="s">
        <v>9798</v>
      </c>
      <c r="Y1323" t="s">
        <v>9796</v>
      </c>
      <c r="AA1323" t="s">
        <v>8833</v>
      </c>
      <c r="AB1323" t="s">
        <v>605</v>
      </c>
      <c r="AC1323" s="3" t="str">
        <f>"50309"</f>
        <v>50309</v>
      </c>
      <c r="AD1323" t="s">
        <v>128</v>
      </c>
      <c r="AF1323" s="4">
        <v>15156952007</v>
      </c>
      <c r="AH1323" t="str">
        <f>"52411"</f>
        <v>52411</v>
      </c>
      <c r="AI1323" t="s">
        <v>130</v>
      </c>
      <c r="AJ1323" t="s">
        <v>6331</v>
      </c>
      <c r="AK1323" t="s">
        <v>5252</v>
      </c>
      <c r="AL1323" t="s">
        <v>610</v>
      </c>
      <c r="AM1323" t="s">
        <v>6332</v>
      </c>
      <c r="AO1323" t="s">
        <v>6333</v>
      </c>
      <c r="AP1323" t="s">
        <v>605</v>
      </c>
      <c r="AQ1323" s="5">
        <v>50309</v>
      </c>
      <c r="AR1323" t="s">
        <v>128</v>
      </c>
      <c r="AT1323" s="4">
        <v>15152882500</v>
      </c>
      <c r="AV1323" t="s">
        <v>6334</v>
      </c>
      <c r="AW1323" t="s">
        <v>6335</v>
      </c>
      <c r="AX1323" t="s">
        <v>131</v>
      </c>
      <c r="AY1323" t="s">
        <v>131</v>
      </c>
      <c r="AZ1323" t="s">
        <v>131</v>
      </c>
      <c r="BA1323" t="s">
        <v>131</v>
      </c>
      <c r="BB1323" t="s">
        <v>131</v>
      </c>
      <c r="BC1323" t="s">
        <v>131</v>
      </c>
      <c r="BD1323" t="s">
        <v>131</v>
      </c>
      <c r="BE1323" t="s">
        <v>132</v>
      </c>
      <c r="BH1323" t="s">
        <v>3033</v>
      </c>
      <c r="BI1323" t="s">
        <v>131</v>
      </c>
      <c r="BL1323" t="s">
        <v>133</v>
      </c>
      <c r="BN1323" t="s">
        <v>9799</v>
      </c>
      <c r="BO1323" t="s">
        <v>131</v>
      </c>
      <c r="BP1323" t="s">
        <v>134</v>
      </c>
      <c r="BQ1323" t="s">
        <v>131</v>
      </c>
      <c r="BS1323" t="str">
        <f t="shared" si="89"/>
        <v>N/A</v>
      </c>
      <c r="BT1323" t="s">
        <v>135</v>
      </c>
      <c r="BU1323">
        <v>60</v>
      </c>
      <c r="BV1323" t="str">
        <f>"Progressive experience as a Sr. Software Engineer, Software Engineer, Programmer Analyst, .NET Developer, or similar duties under a different job title. "</f>
        <v xml:space="preserve">Progressive experience as a Sr. Software Engineer, Software Engineer, Programmer Analyst, .NET Developer, or similar duties under a different job title. </v>
      </c>
      <c r="BW1323" t="s">
        <v>135</v>
      </c>
      <c r="BX1323" t="str">
        <f>""</f>
        <v/>
      </c>
      <c r="BY1323" t="str">
        <f>""</f>
        <v/>
      </c>
      <c r="BZ1323" t="str">
        <f>""</f>
        <v/>
      </c>
      <c r="CA1323" t="s">
        <v>9800</v>
      </c>
      <c r="CB1323" t="s">
        <v>131</v>
      </c>
      <c r="CF1323" t="s">
        <v>131</v>
      </c>
      <c r="CH1323" t="str">
        <f>""</f>
        <v/>
      </c>
      <c r="CI1323" t="s">
        <v>131</v>
      </c>
      <c r="CK1323" t="s">
        <v>131</v>
      </c>
      <c r="CL1323" t="str">
        <f>""</f>
        <v/>
      </c>
      <c r="CM1323" t="str">
        <f>""</f>
        <v/>
      </c>
      <c r="CN1323" t="str">
        <f>""</f>
        <v/>
      </c>
      <c r="CO1323" t="str">
        <f>""</f>
        <v/>
      </c>
      <c r="CP1323" t="str">
        <f>"15-1132.00"</f>
        <v>15-1132.00</v>
      </c>
      <c r="CQ1323" t="s">
        <v>198</v>
      </c>
      <c r="CR1323" t="s">
        <v>460</v>
      </c>
      <c r="CS1323" t="s">
        <v>131</v>
      </c>
      <c r="CU1323" t="s">
        <v>9796</v>
      </c>
      <c r="CW1323" t="s">
        <v>8833</v>
      </c>
      <c r="CX1323" t="s">
        <v>605</v>
      </c>
      <c r="CZ1323" s="3" t="str">
        <f>"50309"</f>
        <v>50309</v>
      </c>
      <c r="DA1323" t="s">
        <v>131</v>
      </c>
      <c r="DB1323" t="str">
        <f>""</f>
        <v/>
      </c>
      <c r="DF1323" t="str">
        <f>""</f>
        <v/>
      </c>
    </row>
    <row r="1324" spans="1:110" ht="15" customHeight="1" x14ac:dyDescent="0.35">
      <c r="A1324" t="s">
        <v>19827</v>
      </c>
      <c r="B1324" t="s">
        <v>138</v>
      </c>
      <c r="C1324" s="1">
        <v>44323</v>
      </c>
      <c r="G1324" s="1">
        <v>44323</v>
      </c>
      <c r="H1324" t="s">
        <v>125</v>
      </c>
      <c r="I1324" t="s">
        <v>1074</v>
      </c>
      <c r="J1324" t="s">
        <v>174</v>
      </c>
      <c r="L1324" t="s">
        <v>3429</v>
      </c>
      <c r="M1324" t="s">
        <v>3430</v>
      </c>
      <c r="O1324" t="s">
        <v>476</v>
      </c>
      <c r="P1324" t="s">
        <v>178</v>
      </c>
      <c r="Q1324" s="3">
        <v>90007</v>
      </c>
      <c r="R1324" t="s">
        <v>128</v>
      </c>
      <c r="T1324" s="4">
        <v>12139735611</v>
      </c>
      <c r="V1324" t="s">
        <v>3431</v>
      </c>
      <c r="W1324" t="s">
        <v>3432</v>
      </c>
      <c r="Y1324" t="s">
        <v>3430</v>
      </c>
      <c r="AA1324" t="s">
        <v>476</v>
      </c>
      <c r="AB1324" t="s">
        <v>172</v>
      </c>
      <c r="AC1324" s="3" t="str">
        <f>"90007"</f>
        <v>90007</v>
      </c>
      <c r="AD1324" t="s">
        <v>128</v>
      </c>
      <c r="AF1324" s="4">
        <v>12139735611</v>
      </c>
      <c r="AH1324" t="str">
        <f>"4243"</f>
        <v>4243</v>
      </c>
      <c r="AI1324" t="s">
        <v>130</v>
      </c>
      <c r="AJ1324" t="s">
        <v>1074</v>
      </c>
      <c r="AK1324" t="s">
        <v>3433</v>
      </c>
      <c r="AL1324" t="s">
        <v>655</v>
      </c>
      <c r="AM1324" t="s">
        <v>3434</v>
      </c>
      <c r="AN1324" t="s">
        <v>439</v>
      </c>
      <c r="AO1324" t="s">
        <v>476</v>
      </c>
      <c r="AP1324" t="s">
        <v>172</v>
      </c>
      <c r="AQ1324" s="5">
        <v>90010</v>
      </c>
      <c r="AR1324" t="s">
        <v>128</v>
      </c>
      <c r="AT1324" s="4">
        <v>12133812900</v>
      </c>
      <c r="AV1324" t="s">
        <v>3435</v>
      </c>
      <c r="AW1324" t="s">
        <v>3436</v>
      </c>
      <c r="AX1324" t="s">
        <v>131</v>
      </c>
      <c r="AY1324" t="s">
        <v>131</v>
      </c>
      <c r="AZ1324" t="s">
        <v>131</v>
      </c>
      <c r="BA1324" t="s">
        <v>131</v>
      </c>
      <c r="BB1324" t="s">
        <v>131</v>
      </c>
      <c r="BC1324" t="s">
        <v>131</v>
      </c>
      <c r="BD1324" t="s">
        <v>131</v>
      </c>
      <c r="BE1324" t="s">
        <v>132</v>
      </c>
      <c r="BH1324" t="s">
        <v>19828</v>
      </c>
      <c r="BI1324" t="s">
        <v>131</v>
      </c>
      <c r="BL1324" t="s">
        <v>133</v>
      </c>
      <c r="BN1324" t="s">
        <v>3438</v>
      </c>
      <c r="BO1324" t="s">
        <v>131</v>
      </c>
      <c r="BP1324" t="s">
        <v>134</v>
      </c>
      <c r="BQ1324" t="s">
        <v>131</v>
      </c>
      <c r="BS1324" t="str">
        <f t="shared" si="89"/>
        <v>N/A</v>
      </c>
      <c r="BT1324" t="s">
        <v>131</v>
      </c>
      <c r="BV1324" t="str">
        <f>""</f>
        <v/>
      </c>
      <c r="BW1324" t="s">
        <v>131</v>
      </c>
      <c r="BX1324" t="str">
        <f>""</f>
        <v/>
      </c>
      <c r="BY1324" t="str">
        <f>""</f>
        <v/>
      </c>
      <c r="BZ1324" t="str">
        <f>""</f>
        <v/>
      </c>
      <c r="CA1324" t="str">
        <f>""</f>
        <v/>
      </c>
      <c r="CB1324" t="s">
        <v>131</v>
      </c>
      <c r="CF1324" t="s">
        <v>131</v>
      </c>
      <c r="CH1324" t="str">
        <f>""</f>
        <v/>
      </c>
      <c r="CI1324" t="s">
        <v>131</v>
      </c>
      <c r="CK1324" t="s">
        <v>131</v>
      </c>
      <c r="CL1324" t="str">
        <f>""</f>
        <v/>
      </c>
      <c r="CM1324" t="str">
        <f>""</f>
        <v/>
      </c>
      <c r="CN1324" t="str">
        <f>""</f>
        <v/>
      </c>
      <c r="CO1324" t="str">
        <f>""</f>
        <v/>
      </c>
      <c r="CP1324" t="str">
        <f>"27-1024.00"</f>
        <v>27-1024.00</v>
      </c>
      <c r="CQ1324" t="s">
        <v>3208</v>
      </c>
      <c r="CS1324" t="s">
        <v>131</v>
      </c>
      <c r="CU1324" t="s">
        <v>3430</v>
      </c>
      <c r="CW1324" t="s">
        <v>476</v>
      </c>
      <c r="CX1324" t="s">
        <v>172</v>
      </c>
      <c r="CZ1324" s="3" t="str">
        <f>"90007"</f>
        <v>90007</v>
      </c>
      <c r="DA1324" t="s">
        <v>131</v>
      </c>
      <c r="DB1324" t="str">
        <f>""</f>
        <v/>
      </c>
      <c r="DF1324" t="str">
        <f>""</f>
        <v/>
      </c>
    </row>
    <row r="1325" spans="1:110" ht="15" customHeight="1" x14ac:dyDescent="0.35">
      <c r="A1325" t="s">
        <v>15211</v>
      </c>
      <c r="B1325" t="s">
        <v>138</v>
      </c>
      <c r="C1325" s="1">
        <v>44324</v>
      </c>
      <c r="G1325" s="1">
        <v>44326</v>
      </c>
      <c r="H1325" t="s">
        <v>125</v>
      </c>
      <c r="I1325" t="s">
        <v>3387</v>
      </c>
      <c r="J1325" t="s">
        <v>15212</v>
      </c>
      <c r="L1325" t="s">
        <v>583</v>
      </c>
      <c r="M1325" t="s">
        <v>15213</v>
      </c>
      <c r="O1325" t="s">
        <v>1663</v>
      </c>
      <c r="P1325" t="s">
        <v>178</v>
      </c>
      <c r="Q1325" s="3">
        <v>90018</v>
      </c>
      <c r="R1325" t="s">
        <v>128</v>
      </c>
      <c r="T1325" s="4">
        <v>13108048409</v>
      </c>
      <c r="V1325" t="s">
        <v>15214</v>
      </c>
      <c r="W1325" t="s">
        <v>15215</v>
      </c>
      <c r="Y1325" t="s">
        <v>15216</v>
      </c>
      <c r="AA1325" t="s">
        <v>1663</v>
      </c>
      <c r="AB1325" t="s">
        <v>172</v>
      </c>
      <c r="AC1325" s="3" t="str">
        <f>"90006"</f>
        <v>90006</v>
      </c>
      <c r="AD1325" t="s">
        <v>128</v>
      </c>
      <c r="AF1325" s="4">
        <v>13108048409</v>
      </c>
      <c r="AH1325" t="str">
        <f>"512110"</f>
        <v>512110</v>
      </c>
      <c r="AI1325" t="s">
        <v>130</v>
      </c>
      <c r="AJ1325" t="s">
        <v>15217</v>
      </c>
      <c r="AK1325" t="s">
        <v>15218</v>
      </c>
      <c r="AL1325" t="s">
        <v>4605</v>
      </c>
      <c r="AM1325" t="s">
        <v>15219</v>
      </c>
      <c r="AN1325" t="s">
        <v>7774</v>
      </c>
      <c r="AO1325" t="s">
        <v>10003</v>
      </c>
      <c r="AP1325" t="s">
        <v>172</v>
      </c>
      <c r="AQ1325" s="5">
        <v>91436</v>
      </c>
      <c r="AR1325" t="s">
        <v>128</v>
      </c>
      <c r="AT1325" s="4">
        <v>18185013641</v>
      </c>
      <c r="AV1325" t="s">
        <v>15220</v>
      </c>
      <c r="AW1325" t="s">
        <v>15221</v>
      </c>
      <c r="AX1325" t="s">
        <v>131</v>
      </c>
      <c r="AY1325" t="s">
        <v>131</v>
      </c>
      <c r="AZ1325" t="s">
        <v>131</v>
      </c>
      <c r="BA1325" t="s">
        <v>131</v>
      </c>
      <c r="BB1325" t="s">
        <v>131</v>
      </c>
      <c r="BC1325" t="s">
        <v>131</v>
      </c>
      <c r="BD1325" t="s">
        <v>131</v>
      </c>
      <c r="BE1325" t="s">
        <v>132</v>
      </c>
      <c r="BH1325" t="s">
        <v>15222</v>
      </c>
      <c r="BI1325" t="s">
        <v>131</v>
      </c>
      <c r="BL1325" t="s">
        <v>133</v>
      </c>
      <c r="BN1325" t="s">
        <v>15223</v>
      </c>
      <c r="BO1325" t="s">
        <v>131</v>
      </c>
      <c r="BP1325" t="s">
        <v>134</v>
      </c>
      <c r="BQ1325" t="s">
        <v>131</v>
      </c>
      <c r="BS1325" t="str">
        <f t="shared" si="89"/>
        <v>N/A</v>
      </c>
      <c r="BT1325" t="s">
        <v>131</v>
      </c>
      <c r="BV1325" t="str">
        <f>""</f>
        <v/>
      </c>
      <c r="BW1325" t="s">
        <v>131</v>
      </c>
      <c r="BX1325" t="str">
        <f>""</f>
        <v/>
      </c>
      <c r="BY1325" t="str">
        <f>""</f>
        <v/>
      </c>
      <c r="BZ1325" t="str">
        <f>""</f>
        <v/>
      </c>
      <c r="CA1325" t="str">
        <f>""</f>
        <v/>
      </c>
      <c r="CB1325" t="s">
        <v>131</v>
      </c>
      <c r="CF1325" t="s">
        <v>131</v>
      </c>
      <c r="CH1325" t="str">
        <f>""</f>
        <v/>
      </c>
      <c r="CI1325" t="s">
        <v>131</v>
      </c>
      <c r="CK1325" t="s">
        <v>131</v>
      </c>
      <c r="CL1325" t="str">
        <f>""</f>
        <v/>
      </c>
      <c r="CM1325" t="str">
        <f>""</f>
        <v/>
      </c>
      <c r="CN1325" t="str">
        <f>""</f>
        <v/>
      </c>
      <c r="CO1325" t="str">
        <f>""</f>
        <v/>
      </c>
      <c r="CP1325" t="str">
        <f>"27-4032.00"</f>
        <v>27-4032.00</v>
      </c>
      <c r="CQ1325" t="s">
        <v>15224</v>
      </c>
      <c r="CR1325" t="s">
        <v>583</v>
      </c>
      <c r="CS1325" t="s">
        <v>131</v>
      </c>
      <c r="CU1325" t="s">
        <v>15216</v>
      </c>
      <c r="CW1325" t="s">
        <v>1663</v>
      </c>
      <c r="CX1325" t="s">
        <v>172</v>
      </c>
      <c r="CZ1325" s="3" t="str">
        <f>"90006"</f>
        <v>90006</v>
      </c>
      <c r="DA1325" t="s">
        <v>131</v>
      </c>
      <c r="DB1325" t="str">
        <f>""</f>
        <v/>
      </c>
      <c r="DF1325" t="str">
        <f>""</f>
        <v/>
      </c>
    </row>
    <row r="1326" spans="1:110" ht="15" customHeight="1" x14ac:dyDescent="0.35">
      <c r="A1326" t="s">
        <v>6706</v>
      </c>
      <c r="B1326" t="s">
        <v>138</v>
      </c>
      <c r="C1326" s="1">
        <v>44324</v>
      </c>
      <c r="G1326" s="1">
        <v>44324</v>
      </c>
      <c r="H1326" t="s">
        <v>125</v>
      </c>
      <c r="I1326" t="s">
        <v>6707</v>
      </c>
      <c r="J1326" t="s">
        <v>6708</v>
      </c>
      <c r="K1326" t="s">
        <v>6709</v>
      </c>
      <c r="L1326" t="s">
        <v>130</v>
      </c>
      <c r="M1326" t="s">
        <v>6710</v>
      </c>
      <c r="N1326" t="s">
        <v>6711</v>
      </c>
      <c r="O1326" t="s">
        <v>1643</v>
      </c>
      <c r="P1326" t="s">
        <v>467</v>
      </c>
      <c r="Q1326" s="3">
        <v>80231</v>
      </c>
      <c r="R1326" t="s">
        <v>128</v>
      </c>
      <c r="T1326" s="4">
        <v>17202322784</v>
      </c>
      <c r="V1326" t="s">
        <v>6712</v>
      </c>
      <c r="W1326" t="s">
        <v>6713</v>
      </c>
      <c r="X1326" t="s">
        <v>6714</v>
      </c>
      <c r="Y1326" t="s">
        <v>6715</v>
      </c>
      <c r="AA1326" t="s">
        <v>6716</v>
      </c>
      <c r="AB1326" t="s">
        <v>471</v>
      </c>
      <c r="AC1326" s="3" t="str">
        <f>"80916-2447"</f>
        <v>80916-2447</v>
      </c>
      <c r="AD1326" t="s">
        <v>128</v>
      </c>
      <c r="AF1326" s="4">
        <v>17195918585</v>
      </c>
      <c r="AH1326" t="str">
        <f>"722511"</f>
        <v>722511</v>
      </c>
      <c r="AI1326" t="s">
        <v>130</v>
      </c>
      <c r="AJ1326" t="s">
        <v>6707</v>
      </c>
      <c r="AK1326" t="s">
        <v>6708</v>
      </c>
      <c r="AL1326" t="s">
        <v>6709</v>
      </c>
      <c r="AM1326" t="s">
        <v>6710</v>
      </c>
      <c r="AN1326" t="s">
        <v>6711</v>
      </c>
      <c r="AO1326" t="s">
        <v>1643</v>
      </c>
      <c r="AP1326" t="s">
        <v>471</v>
      </c>
      <c r="AQ1326" s="5">
        <v>80231</v>
      </c>
      <c r="AR1326" t="s">
        <v>128</v>
      </c>
      <c r="AT1326" s="4">
        <v>17202322784</v>
      </c>
      <c r="AV1326" t="s">
        <v>6712</v>
      </c>
      <c r="AW1326" t="s">
        <v>6717</v>
      </c>
      <c r="AX1326" t="s">
        <v>131</v>
      </c>
      <c r="AY1326" t="s">
        <v>131</v>
      </c>
      <c r="AZ1326" t="s">
        <v>131</v>
      </c>
      <c r="BA1326" t="s">
        <v>131</v>
      </c>
      <c r="BB1326" t="s">
        <v>131</v>
      </c>
      <c r="BC1326" t="s">
        <v>131</v>
      </c>
      <c r="BD1326" t="s">
        <v>131</v>
      </c>
      <c r="BE1326" t="s">
        <v>132</v>
      </c>
      <c r="BH1326" t="s">
        <v>1080</v>
      </c>
      <c r="BI1326" t="s">
        <v>131</v>
      </c>
      <c r="BL1326" t="s">
        <v>167</v>
      </c>
      <c r="BO1326" t="s">
        <v>131</v>
      </c>
      <c r="BP1326" t="s">
        <v>134</v>
      </c>
      <c r="BQ1326" t="s">
        <v>131</v>
      </c>
      <c r="BS1326" t="str">
        <f t="shared" si="89"/>
        <v>N/A</v>
      </c>
      <c r="BT1326" t="s">
        <v>135</v>
      </c>
      <c r="BU1326">
        <v>24</v>
      </c>
      <c r="BV1326" t="str">
        <f>"Cook"</f>
        <v>Cook</v>
      </c>
      <c r="BW1326" t="s">
        <v>135</v>
      </c>
      <c r="BX1326" t="str">
        <f>""</f>
        <v/>
      </c>
      <c r="BY1326" t="str">
        <f>""</f>
        <v/>
      </c>
      <c r="BZ1326" t="str">
        <f>""</f>
        <v/>
      </c>
      <c r="CA1326" t="str">
        <f>"Cook, Korean-Style Foods, according to recipe with minimum 2 years experience in preparing and cooking East Asian Cuisine."</f>
        <v>Cook, Korean-Style Foods, according to recipe with minimum 2 years experience in preparing and cooking East Asian Cuisine.</v>
      </c>
      <c r="CB1326" t="s">
        <v>131</v>
      </c>
      <c r="CF1326" t="s">
        <v>131</v>
      </c>
      <c r="CH1326" t="str">
        <f>""</f>
        <v/>
      </c>
      <c r="CI1326" t="s">
        <v>131</v>
      </c>
      <c r="CK1326" t="s">
        <v>131</v>
      </c>
      <c r="CL1326" t="str">
        <f>""</f>
        <v/>
      </c>
      <c r="CM1326" t="str">
        <f>""</f>
        <v/>
      </c>
      <c r="CN1326" t="str">
        <f>""</f>
        <v/>
      </c>
      <c r="CO1326" t="str">
        <f>""</f>
        <v/>
      </c>
      <c r="CP1326" t="str">
        <f>"35-2014.00"</f>
        <v>35-2014.00</v>
      </c>
      <c r="CQ1326" t="s">
        <v>581</v>
      </c>
      <c r="CR1326" t="s">
        <v>395</v>
      </c>
      <c r="CS1326" t="s">
        <v>131</v>
      </c>
      <c r="CU1326" t="s">
        <v>6714</v>
      </c>
      <c r="CV1326" t="s">
        <v>6715</v>
      </c>
      <c r="CW1326" t="s">
        <v>6716</v>
      </c>
      <c r="CX1326" t="s">
        <v>471</v>
      </c>
      <c r="CZ1326" s="3" t="str">
        <f>"80916-2447"</f>
        <v>80916-2447</v>
      </c>
      <c r="DA1326" t="s">
        <v>131</v>
      </c>
      <c r="DB1326" t="str">
        <f>""</f>
        <v/>
      </c>
      <c r="DF1326" t="str">
        <f>""</f>
        <v/>
      </c>
    </row>
    <row r="1327" spans="1:110" ht="15" customHeight="1" x14ac:dyDescent="0.35">
      <c r="A1327" t="s">
        <v>12386</v>
      </c>
      <c r="B1327" t="s">
        <v>138</v>
      </c>
      <c r="C1327" s="1">
        <v>44324</v>
      </c>
      <c r="G1327" s="1">
        <v>44324</v>
      </c>
      <c r="H1327" t="s">
        <v>125</v>
      </c>
      <c r="I1327" t="s">
        <v>6707</v>
      </c>
      <c r="J1327" t="s">
        <v>6708</v>
      </c>
      <c r="K1327" t="s">
        <v>6709</v>
      </c>
      <c r="L1327" t="s">
        <v>130</v>
      </c>
      <c r="M1327" t="s">
        <v>12387</v>
      </c>
      <c r="O1327" t="s">
        <v>1643</v>
      </c>
      <c r="P1327" t="s">
        <v>467</v>
      </c>
      <c r="Q1327" s="3">
        <v>80231</v>
      </c>
      <c r="R1327" t="s">
        <v>128</v>
      </c>
      <c r="T1327" s="4">
        <v>17202322784</v>
      </c>
      <c r="V1327" t="s">
        <v>6712</v>
      </c>
      <c r="W1327" t="s">
        <v>6713</v>
      </c>
      <c r="X1327" t="s">
        <v>6714</v>
      </c>
      <c r="Y1327" t="s">
        <v>6715</v>
      </c>
      <c r="AA1327" t="s">
        <v>6716</v>
      </c>
      <c r="AB1327" t="s">
        <v>471</v>
      </c>
      <c r="AC1327" s="3" t="str">
        <f>"80916-2447"</f>
        <v>80916-2447</v>
      </c>
      <c r="AD1327" t="s">
        <v>128</v>
      </c>
      <c r="AF1327" s="4">
        <v>17195918585</v>
      </c>
      <c r="AH1327" t="str">
        <f>"722511"</f>
        <v>722511</v>
      </c>
      <c r="AI1327" t="s">
        <v>130</v>
      </c>
      <c r="AJ1327" t="s">
        <v>6707</v>
      </c>
      <c r="AK1327" t="s">
        <v>6708</v>
      </c>
      <c r="AL1327" t="s">
        <v>6709</v>
      </c>
      <c r="AM1327" t="s">
        <v>12387</v>
      </c>
      <c r="AO1327" t="s">
        <v>1643</v>
      </c>
      <c r="AP1327" t="s">
        <v>471</v>
      </c>
      <c r="AQ1327" s="5">
        <v>80231</v>
      </c>
      <c r="AR1327" t="s">
        <v>128</v>
      </c>
      <c r="AT1327" s="4">
        <v>17202322784</v>
      </c>
      <c r="AV1327" t="s">
        <v>6712</v>
      </c>
      <c r="AW1327" t="s">
        <v>6717</v>
      </c>
      <c r="AX1327" t="s">
        <v>131</v>
      </c>
      <c r="AY1327" t="s">
        <v>131</v>
      </c>
      <c r="AZ1327" t="s">
        <v>131</v>
      </c>
      <c r="BA1327" t="s">
        <v>131</v>
      </c>
      <c r="BB1327" t="s">
        <v>131</v>
      </c>
      <c r="BC1327" t="s">
        <v>131</v>
      </c>
      <c r="BD1327" t="s">
        <v>131</v>
      </c>
      <c r="BE1327" t="s">
        <v>132</v>
      </c>
      <c r="BH1327" t="s">
        <v>3930</v>
      </c>
      <c r="BI1327" t="s">
        <v>131</v>
      </c>
      <c r="BL1327" t="s">
        <v>167</v>
      </c>
      <c r="BO1327" t="s">
        <v>131</v>
      </c>
      <c r="BP1327" t="s">
        <v>134</v>
      </c>
      <c r="BQ1327" t="s">
        <v>131</v>
      </c>
      <c r="BS1327" t="str">
        <f t="shared" si="89"/>
        <v>N/A</v>
      </c>
      <c r="BT1327" t="s">
        <v>135</v>
      </c>
      <c r="BU1327">
        <v>24</v>
      </c>
      <c r="BV1327" t="str">
        <f>"Cook
"</f>
        <v xml:space="preserve">Cook
</v>
      </c>
      <c r="BW1327" t="s">
        <v>135</v>
      </c>
      <c r="BX1327" t="str">
        <f>""</f>
        <v/>
      </c>
      <c r="BY1327" t="str">
        <f>""</f>
        <v/>
      </c>
      <c r="BZ1327" t="str">
        <f>""</f>
        <v/>
      </c>
      <c r="CA1327" t="str">
        <f>"Cook, Korean-Style Foods, according to recipe with minimum 2 years experience in preparing and cooking East Asian Cuisine. 
"</f>
        <v xml:space="preserve">Cook, Korean-Style Foods, according to recipe with minimum 2 years experience in preparing and cooking East Asian Cuisine. 
</v>
      </c>
      <c r="CB1327" t="s">
        <v>131</v>
      </c>
      <c r="CF1327" t="s">
        <v>131</v>
      </c>
      <c r="CH1327" t="str">
        <f>""</f>
        <v/>
      </c>
      <c r="CI1327" t="s">
        <v>131</v>
      </c>
      <c r="CK1327" t="s">
        <v>131</v>
      </c>
      <c r="CL1327" t="str">
        <f>""</f>
        <v/>
      </c>
      <c r="CM1327" t="str">
        <f>""</f>
        <v/>
      </c>
      <c r="CN1327" t="str">
        <f>""</f>
        <v/>
      </c>
      <c r="CO1327" t="str">
        <f>""</f>
        <v/>
      </c>
      <c r="CP1327" t="str">
        <f>"35-2014.00"</f>
        <v>35-2014.00</v>
      </c>
      <c r="CQ1327" t="s">
        <v>581</v>
      </c>
      <c r="CR1327" t="s">
        <v>395</v>
      </c>
      <c r="CS1327" t="s">
        <v>131</v>
      </c>
      <c r="CU1327" t="s">
        <v>12388</v>
      </c>
      <c r="CW1327" t="s">
        <v>4030</v>
      </c>
      <c r="CX1327" t="s">
        <v>471</v>
      </c>
      <c r="CZ1327" s="3" t="str">
        <f>"80916"</f>
        <v>80916</v>
      </c>
      <c r="DA1327" t="s">
        <v>131</v>
      </c>
      <c r="DB1327" t="str">
        <f>""</f>
        <v/>
      </c>
      <c r="DF1327" t="str">
        <f>""</f>
        <v/>
      </c>
    </row>
    <row r="1328" spans="1:110" ht="15" customHeight="1" x14ac:dyDescent="0.35">
      <c r="A1328" t="s">
        <v>18040</v>
      </c>
      <c r="B1328" t="s">
        <v>138</v>
      </c>
      <c r="C1328" s="1">
        <v>44325</v>
      </c>
      <c r="G1328" s="1">
        <v>44325</v>
      </c>
      <c r="H1328" t="s">
        <v>125</v>
      </c>
      <c r="I1328" t="s">
        <v>7347</v>
      </c>
      <c r="J1328" t="s">
        <v>931</v>
      </c>
      <c r="L1328" t="s">
        <v>130</v>
      </c>
      <c r="M1328" t="s">
        <v>7348</v>
      </c>
      <c r="N1328" t="s">
        <v>7349</v>
      </c>
      <c r="O1328" t="s">
        <v>494</v>
      </c>
      <c r="P1328" t="s">
        <v>127</v>
      </c>
      <c r="Q1328" s="3">
        <v>10004</v>
      </c>
      <c r="R1328" t="s">
        <v>128</v>
      </c>
      <c r="T1328" s="4">
        <v>12122198869</v>
      </c>
      <c r="V1328" t="s">
        <v>7350</v>
      </c>
      <c r="W1328" t="s">
        <v>13834</v>
      </c>
      <c r="Y1328" t="s">
        <v>13831</v>
      </c>
      <c r="Z1328" t="s">
        <v>13832</v>
      </c>
      <c r="AA1328" t="s">
        <v>494</v>
      </c>
      <c r="AB1328" t="s">
        <v>129</v>
      </c>
      <c r="AC1328" s="3" t="str">
        <f>"10111"</f>
        <v>10111</v>
      </c>
      <c r="AD1328" t="s">
        <v>128</v>
      </c>
      <c r="AF1328" s="4">
        <v>12122652888</v>
      </c>
      <c r="AH1328" t="str">
        <f>"525990"</f>
        <v>525990</v>
      </c>
      <c r="AI1328" t="s">
        <v>130</v>
      </c>
      <c r="AJ1328" t="s">
        <v>7347</v>
      </c>
      <c r="AK1328" t="s">
        <v>931</v>
      </c>
      <c r="AM1328" t="s">
        <v>7348</v>
      </c>
      <c r="AN1328" t="s">
        <v>7349</v>
      </c>
      <c r="AO1328" t="s">
        <v>494</v>
      </c>
      <c r="AP1328" t="s">
        <v>129</v>
      </c>
      <c r="AQ1328" s="5">
        <v>10004</v>
      </c>
      <c r="AR1328" t="s">
        <v>128</v>
      </c>
      <c r="AT1328" s="4">
        <v>12122198869</v>
      </c>
      <c r="AV1328" t="s">
        <v>18041</v>
      </c>
      <c r="AW1328" t="s">
        <v>7351</v>
      </c>
      <c r="AX1328" t="s">
        <v>131</v>
      </c>
      <c r="AY1328" t="s">
        <v>131</v>
      </c>
      <c r="AZ1328" t="s">
        <v>131</v>
      </c>
      <c r="BA1328" t="s">
        <v>131</v>
      </c>
      <c r="BB1328" t="s">
        <v>131</v>
      </c>
      <c r="BC1328" t="s">
        <v>131</v>
      </c>
      <c r="BD1328" t="s">
        <v>131</v>
      </c>
      <c r="BE1328" t="s">
        <v>132</v>
      </c>
      <c r="BH1328" t="s">
        <v>18042</v>
      </c>
      <c r="BI1328" t="s">
        <v>131</v>
      </c>
      <c r="BL1328" t="s">
        <v>188</v>
      </c>
      <c r="BN1328" t="s">
        <v>18043</v>
      </c>
      <c r="BO1328" t="s">
        <v>131</v>
      </c>
      <c r="BP1328" t="s">
        <v>134</v>
      </c>
      <c r="BQ1328" t="s">
        <v>131</v>
      </c>
      <c r="BS1328" t="str">
        <f t="shared" si="89"/>
        <v>N/A</v>
      </c>
      <c r="BT1328" t="s">
        <v>131</v>
      </c>
      <c r="BV1328" t="str">
        <f>""</f>
        <v/>
      </c>
      <c r="BW1328" t="s">
        <v>135</v>
      </c>
      <c r="BX1328" t="str">
        <f>""</f>
        <v/>
      </c>
      <c r="BY1328" t="str">
        <f>""</f>
        <v/>
      </c>
      <c r="BZ1328" t="str">
        <f>""</f>
        <v/>
      </c>
      <c r="CA1328" t="s">
        <v>13837</v>
      </c>
      <c r="CB1328" t="s">
        <v>131</v>
      </c>
      <c r="CF1328" t="s">
        <v>131</v>
      </c>
      <c r="CH1328" t="str">
        <f>""</f>
        <v/>
      </c>
      <c r="CI1328" t="s">
        <v>131</v>
      </c>
      <c r="CK1328" t="s">
        <v>131</v>
      </c>
      <c r="CL1328" t="str">
        <f>""</f>
        <v/>
      </c>
      <c r="CM1328" t="str">
        <f>""</f>
        <v/>
      </c>
      <c r="CN1328" t="str">
        <f>""</f>
        <v/>
      </c>
      <c r="CO1328" t="str">
        <f>""</f>
        <v/>
      </c>
      <c r="CP1328" t="str">
        <f>"13-1111.00"</f>
        <v>13-1111.00</v>
      </c>
      <c r="CQ1328" t="s">
        <v>292</v>
      </c>
      <c r="CR1328" t="s">
        <v>13835</v>
      </c>
      <c r="CS1328" t="s">
        <v>131</v>
      </c>
      <c r="CU1328" t="s">
        <v>13831</v>
      </c>
      <c r="CV1328" t="s">
        <v>13832</v>
      </c>
      <c r="CW1328" t="s">
        <v>494</v>
      </c>
      <c r="CX1328" t="s">
        <v>129</v>
      </c>
      <c r="CZ1328" s="3" t="str">
        <f>"10111"</f>
        <v>10111</v>
      </c>
      <c r="DA1328" t="s">
        <v>131</v>
      </c>
      <c r="DB1328" t="str">
        <f>""</f>
        <v/>
      </c>
      <c r="DF1328" t="str">
        <f>""</f>
        <v/>
      </c>
    </row>
    <row r="1329" spans="1:110" ht="15" customHeight="1" x14ac:dyDescent="0.35">
      <c r="A1329" t="s">
        <v>13829</v>
      </c>
      <c r="B1329" t="s">
        <v>138</v>
      </c>
      <c r="C1329" s="1">
        <v>44325</v>
      </c>
      <c r="G1329" s="1">
        <v>44325</v>
      </c>
      <c r="H1329" t="s">
        <v>125</v>
      </c>
      <c r="I1329" t="s">
        <v>12789</v>
      </c>
      <c r="J1329" t="s">
        <v>13830</v>
      </c>
      <c r="L1329" t="s">
        <v>395</v>
      </c>
      <c r="M1329" t="s">
        <v>13831</v>
      </c>
      <c r="N1329" t="s">
        <v>13832</v>
      </c>
      <c r="O1329" t="s">
        <v>494</v>
      </c>
      <c r="P1329" t="s">
        <v>127</v>
      </c>
      <c r="Q1329" s="3">
        <v>10111</v>
      </c>
      <c r="R1329" t="s">
        <v>128</v>
      </c>
      <c r="T1329" s="4">
        <v>12122652888</v>
      </c>
      <c r="V1329" t="s">
        <v>13833</v>
      </c>
      <c r="W1329" t="s">
        <v>13834</v>
      </c>
      <c r="Y1329" t="s">
        <v>13831</v>
      </c>
      <c r="Z1329" t="s">
        <v>13832</v>
      </c>
      <c r="AA1329" t="s">
        <v>494</v>
      </c>
      <c r="AB1329" t="s">
        <v>129</v>
      </c>
      <c r="AC1329" s="3" t="str">
        <f>"10111"</f>
        <v>10111</v>
      </c>
      <c r="AD1329" t="s">
        <v>128</v>
      </c>
      <c r="AF1329" s="4">
        <v>12122652888</v>
      </c>
      <c r="AH1329" t="str">
        <f>"525990"</f>
        <v>525990</v>
      </c>
      <c r="AI1329" t="s">
        <v>130</v>
      </c>
      <c r="AJ1329" t="s">
        <v>7347</v>
      </c>
      <c r="AK1329" t="s">
        <v>931</v>
      </c>
      <c r="AM1329" t="s">
        <v>7348</v>
      </c>
      <c r="AN1329" t="s">
        <v>7349</v>
      </c>
      <c r="AO1329" t="s">
        <v>494</v>
      </c>
      <c r="AP1329" t="s">
        <v>129</v>
      </c>
      <c r="AQ1329" s="5">
        <v>10004</v>
      </c>
      <c r="AR1329" t="s">
        <v>128</v>
      </c>
      <c r="AT1329" s="4">
        <v>12122198869</v>
      </c>
      <c r="AV1329" t="s">
        <v>7350</v>
      </c>
      <c r="AW1329" t="s">
        <v>7351</v>
      </c>
      <c r="AX1329" t="s">
        <v>131</v>
      </c>
      <c r="AY1329" t="s">
        <v>131</v>
      </c>
      <c r="AZ1329" t="s">
        <v>131</v>
      </c>
      <c r="BA1329" t="s">
        <v>131</v>
      </c>
      <c r="BB1329" t="s">
        <v>131</v>
      </c>
      <c r="BC1329" t="s">
        <v>131</v>
      </c>
      <c r="BD1329" t="s">
        <v>131</v>
      </c>
      <c r="BE1329" t="s">
        <v>132</v>
      </c>
      <c r="BH1329" t="s">
        <v>13835</v>
      </c>
      <c r="BI1329" t="s">
        <v>131</v>
      </c>
      <c r="BL1329" t="s">
        <v>188</v>
      </c>
      <c r="BN1329" t="s">
        <v>13836</v>
      </c>
      <c r="BO1329" t="s">
        <v>131</v>
      </c>
      <c r="BP1329" t="s">
        <v>134</v>
      </c>
      <c r="BQ1329" t="s">
        <v>131</v>
      </c>
      <c r="BS1329" t="str">
        <f t="shared" si="89"/>
        <v>N/A</v>
      </c>
      <c r="BT1329" t="s">
        <v>131</v>
      </c>
      <c r="BV1329" t="str">
        <f>""</f>
        <v/>
      </c>
      <c r="BW1329" t="s">
        <v>135</v>
      </c>
      <c r="BX1329" t="str">
        <f>""</f>
        <v/>
      </c>
      <c r="BY1329" t="str">
        <f>""</f>
        <v/>
      </c>
      <c r="BZ1329" t="str">
        <f>""</f>
        <v/>
      </c>
      <c r="CA1329" t="s">
        <v>13837</v>
      </c>
      <c r="CB1329" t="s">
        <v>131</v>
      </c>
      <c r="CF1329" t="s">
        <v>131</v>
      </c>
      <c r="CH1329" t="str">
        <f>""</f>
        <v/>
      </c>
      <c r="CI1329" t="s">
        <v>131</v>
      </c>
      <c r="CK1329" t="s">
        <v>131</v>
      </c>
      <c r="CL1329" t="str">
        <f>""</f>
        <v/>
      </c>
      <c r="CM1329" t="str">
        <f>""</f>
        <v/>
      </c>
      <c r="CN1329" t="str">
        <f>""</f>
        <v/>
      </c>
      <c r="CO1329" t="str">
        <f>""</f>
        <v/>
      </c>
      <c r="CP1329" t="str">
        <f>"13-1111.00"</f>
        <v>13-1111.00</v>
      </c>
      <c r="CQ1329" t="s">
        <v>292</v>
      </c>
      <c r="CR1329" t="s">
        <v>13835</v>
      </c>
      <c r="CS1329" t="s">
        <v>131</v>
      </c>
      <c r="CU1329" t="s">
        <v>13831</v>
      </c>
      <c r="CV1329" t="s">
        <v>13832</v>
      </c>
      <c r="CW1329" t="s">
        <v>494</v>
      </c>
      <c r="CX1329" t="s">
        <v>129</v>
      </c>
      <c r="CZ1329" s="3" t="str">
        <f>"10111"</f>
        <v>10111</v>
      </c>
      <c r="DA1329" t="s">
        <v>131</v>
      </c>
      <c r="DB1329" t="str">
        <f>""</f>
        <v/>
      </c>
      <c r="DF1329" t="str">
        <f>""</f>
        <v/>
      </c>
    </row>
    <row r="1330" spans="1:110" ht="15" customHeight="1" x14ac:dyDescent="0.35">
      <c r="A1330" t="s">
        <v>13258</v>
      </c>
      <c r="B1330" t="s">
        <v>138</v>
      </c>
      <c r="C1330" s="1">
        <v>44326</v>
      </c>
      <c r="G1330" s="1">
        <v>44329</v>
      </c>
      <c r="H1330" t="s">
        <v>125</v>
      </c>
      <c r="I1330" t="s">
        <v>10878</v>
      </c>
      <c r="J1330" t="s">
        <v>3468</v>
      </c>
      <c r="K1330" t="s">
        <v>1624</v>
      </c>
      <c r="L1330" t="s">
        <v>130</v>
      </c>
      <c r="M1330" t="s">
        <v>1395</v>
      </c>
      <c r="O1330" t="s">
        <v>1396</v>
      </c>
      <c r="P1330" t="s">
        <v>256</v>
      </c>
      <c r="Q1330" s="3">
        <v>64116</v>
      </c>
      <c r="R1330" t="s">
        <v>128</v>
      </c>
      <c r="T1330" s="4">
        <v>18162215444</v>
      </c>
      <c r="V1330" t="s">
        <v>10557</v>
      </c>
      <c r="W1330" t="s">
        <v>9702</v>
      </c>
      <c r="Y1330" t="s">
        <v>1395</v>
      </c>
      <c r="AA1330" t="s">
        <v>13259</v>
      </c>
      <c r="AB1330" t="s">
        <v>258</v>
      </c>
      <c r="AC1330" s="3" t="str">
        <f>"64116"</f>
        <v>64116</v>
      </c>
      <c r="AD1330" t="s">
        <v>128</v>
      </c>
      <c r="AF1330" s="4">
        <v>18162215444</v>
      </c>
      <c r="AH1330" t="str">
        <f>"922130"</f>
        <v>922130</v>
      </c>
      <c r="AI1330" t="s">
        <v>130</v>
      </c>
      <c r="AJ1330" t="s">
        <v>13260</v>
      </c>
      <c r="AK1330" t="s">
        <v>2343</v>
      </c>
      <c r="AL1330" t="s">
        <v>827</v>
      </c>
      <c r="AM1330" t="s">
        <v>1395</v>
      </c>
      <c r="AO1330" t="s">
        <v>1396</v>
      </c>
      <c r="AP1330" t="s">
        <v>258</v>
      </c>
      <c r="AQ1330" s="5">
        <v>64116</v>
      </c>
      <c r="AR1330" t="s">
        <v>128</v>
      </c>
      <c r="AT1330" s="4">
        <v>18162215444</v>
      </c>
      <c r="AV1330" t="s">
        <v>2344</v>
      </c>
      <c r="AW1330" t="s">
        <v>9702</v>
      </c>
      <c r="AX1330" t="s">
        <v>131</v>
      </c>
      <c r="AY1330" t="s">
        <v>131</v>
      </c>
      <c r="AZ1330" t="s">
        <v>131</v>
      </c>
      <c r="BA1330" t="s">
        <v>131</v>
      </c>
      <c r="BB1330" t="s">
        <v>131</v>
      </c>
      <c r="BC1330" t="s">
        <v>131</v>
      </c>
      <c r="BD1330" t="s">
        <v>131</v>
      </c>
      <c r="BE1330" t="s">
        <v>132</v>
      </c>
      <c r="BH1330" t="s">
        <v>9704</v>
      </c>
      <c r="BI1330" t="s">
        <v>131</v>
      </c>
      <c r="BL1330" t="s">
        <v>658</v>
      </c>
      <c r="BM1330" t="s">
        <v>13261</v>
      </c>
      <c r="BN1330" t="s">
        <v>3562</v>
      </c>
      <c r="BO1330" t="s">
        <v>131</v>
      </c>
      <c r="BP1330" t="s">
        <v>134</v>
      </c>
      <c r="BQ1330" t="s">
        <v>131</v>
      </c>
      <c r="BS1330" t="str">
        <f t="shared" si="89"/>
        <v>N/A</v>
      </c>
      <c r="BT1330" t="s">
        <v>135</v>
      </c>
      <c r="BU1330">
        <v>12</v>
      </c>
      <c r="BV1330" t="str">
        <f>"Legal Experience."</f>
        <v>Legal Experience.</v>
      </c>
      <c r="BW1330" t="s">
        <v>135</v>
      </c>
      <c r="BX1330" t="str">
        <f>"Licensed to practice law in any state. "</f>
        <v xml:space="preserve">Licensed to practice law in any state. </v>
      </c>
      <c r="BY1330" t="str">
        <f>""</f>
        <v/>
      </c>
      <c r="BZ1330" t="str">
        <f>""</f>
        <v/>
      </c>
      <c r="CA1330" t="str">
        <f>"Experience in preparing business immigration cases and working with corporate clients.  "</f>
        <v xml:space="preserve">Experience in preparing business immigration cases and working with corporate clients.  </v>
      </c>
      <c r="CB1330" t="s">
        <v>131</v>
      </c>
      <c r="CF1330" t="s">
        <v>131</v>
      </c>
      <c r="CH1330" t="str">
        <f>""</f>
        <v/>
      </c>
      <c r="CI1330" t="s">
        <v>131</v>
      </c>
      <c r="CK1330" t="s">
        <v>131</v>
      </c>
      <c r="CL1330" t="str">
        <f>""</f>
        <v/>
      </c>
      <c r="CM1330" t="str">
        <f>""</f>
        <v/>
      </c>
      <c r="CN1330" t="str">
        <f>""</f>
        <v/>
      </c>
      <c r="CO1330" t="str">
        <f>""</f>
        <v/>
      </c>
      <c r="CP1330" t="str">
        <f>"23-1011.00"</f>
        <v>23-1011.00</v>
      </c>
      <c r="CQ1330" t="s">
        <v>2563</v>
      </c>
      <c r="CS1330" t="s">
        <v>131</v>
      </c>
      <c r="CU1330" t="s">
        <v>1395</v>
      </c>
      <c r="CW1330" t="s">
        <v>1396</v>
      </c>
      <c r="CX1330" t="s">
        <v>258</v>
      </c>
      <c r="CZ1330" s="3" t="str">
        <f>"64116"</f>
        <v>64116</v>
      </c>
      <c r="DA1330" t="s">
        <v>131</v>
      </c>
      <c r="DB1330" t="str">
        <f>""</f>
        <v/>
      </c>
      <c r="DF1330" t="str">
        <f>""</f>
        <v/>
      </c>
    </row>
    <row r="1331" spans="1:110" ht="15" customHeight="1" x14ac:dyDescent="0.35">
      <c r="A1331" t="s">
        <v>11386</v>
      </c>
      <c r="B1331" t="s">
        <v>138</v>
      </c>
      <c r="C1331" s="1">
        <v>44326</v>
      </c>
      <c r="G1331" s="1">
        <v>44328</v>
      </c>
      <c r="H1331" t="s">
        <v>125</v>
      </c>
      <c r="I1331" t="s">
        <v>1455</v>
      </c>
      <c r="J1331" t="s">
        <v>2372</v>
      </c>
      <c r="L1331" t="s">
        <v>2375</v>
      </c>
      <c r="M1331" t="s">
        <v>11387</v>
      </c>
      <c r="O1331" t="s">
        <v>399</v>
      </c>
      <c r="P1331" t="s">
        <v>412</v>
      </c>
      <c r="Q1331" s="3">
        <v>75235</v>
      </c>
      <c r="R1331" t="s">
        <v>128</v>
      </c>
      <c r="T1331" s="4">
        <v>12147924080</v>
      </c>
      <c r="V1331" t="s">
        <v>11388</v>
      </c>
      <c r="W1331" t="s">
        <v>11389</v>
      </c>
      <c r="Y1331" t="s">
        <v>11387</v>
      </c>
      <c r="AA1331" t="s">
        <v>399</v>
      </c>
      <c r="AB1331" t="s">
        <v>400</v>
      </c>
      <c r="AC1331" s="3" t="str">
        <f>"75235"</f>
        <v>75235</v>
      </c>
      <c r="AD1331" t="s">
        <v>128</v>
      </c>
      <c r="AF1331" s="4">
        <v>12147924080</v>
      </c>
      <c r="AH1331" t="str">
        <f>"48111"</f>
        <v>48111</v>
      </c>
      <c r="AI1331" t="s">
        <v>130</v>
      </c>
      <c r="AJ1331" t="s">
        <v>6029</v>
      </c>
      <c r="AK1331" t="s">
        <v>6030</v>
      </c>
      <c r="AM1331" t="s">
        <v>1884</v>
      </c>
      <c r="AN1331" t="s">
        <v>1885</v>
      </c>
      <c r="AO1331" t="s">
        <v>1886</v>
      </c>
      <c r="AP1331" t="s">
        <v>400</v>
      </c>
      <c r="AQ1331" s="5">
        <v>75001</v>
      </c>
      <c r="AR1331" t="s">
        <v>128</v>
      </c>
      <c r="AT1331" s="4">
        <v>19722336646</v>
      </c>
      <c r="AV1331" t="s">
        <v>11390</v>
      </c>
      <c r="AW1331" t="s">
        <v>386</v>
      </c>
      <c r="AX1331" t="s">
        <v>131</v>
      </c>
      <c r="AY1331" t="s">
        <v>131</v>
      </c>
      <c r="AZ1331" t="s">
        <v>131</v>
      </c>
      <c r="BA1331" t="s">
        <v>131</v>
      </c>
      <c r="BB1331" t="s">
        <v>131</v>
      </c>
      <c r="BC1331" t="s">
        <v>131</v>
      </c>
      <c r="BD1331" t="s">
        <v>131</v>
      </c>
      <c r="BE1331" t="s">
        <v>160</v>
      </c>
      <c r="BF1331" t="s">
        <v>11391</v>
      </c>
      <c r="BG1331" s="1">
        <v>44013</v>
      </c>
      <c r="BH1331" t="s">
        <v>5410</v>
      </c>
      <c r="BI1331" t="s">
        <v>131</v>
      </c>
      <c r="BL1331" t="s">
        <v>133</v>
      </c>
      <c r="BN1331" t="s">
        <v>1878</v>
      </c>
      <c r="BO1331" t="s">
        <v>131</v>
      </c>
      <c r="BP1331" t="s">
        <v>134</v>
      </c>
      <c r="BQ1331" t="s">
        <v>131</v>
      </c>
      <c r="BS1331" t="str">
        <f t="shared" si="89"/>
        <v>N/A</v>
      </c>
      <c r="BT1331" t="s">
        <v>135</v>
      </c>
      <c r="BU1331">
        <v>60</v>
      </c>
      <c r="BV1331" t="str">
        <f>"Please see F.a.2."</f>
        <v>Please see F.a.2.</v>
      </c>
      <c r="BW1331" t="s">
        <v>131</v>
      </c>
      <c r="BX1331" t="str">
        <f>""</f>
        <v/>
      </c>
      <c r="BY1331" t="str">
        <f>""</f>
        <v/>
      </c>
      <c r="BZ1331" t="str">
        <f>""</f>
        <v/>
      </c>
      <c r="CA1331" t="str">
        <f>""</f>
        <v/>
      </c>
      <c r="CB1331" t="s">
        <v>135</v>
      </c>
      <c r="CC1331" t="s">
        <v>167</v>
      </c>
      <c r="CF1331" t="s">
        <v>131</v>
      </c>
      <c r="CH1331" t="str">
        <f>"N/A"</f>
        <v>N/A</v>
      </c>
      <c r="CI1331" t="s">
        <v>135</v>
      </c>
      <c r="CJ1331">
        <v>24</v>
      </c>
      <c r="CK1331" t="s">
        <v>131</v>
      </c>
      <c r="CL1331" t="str">
        <f>""</f>
        <v/>
      </c>
      <c r="CM1331" t="str">
        <f>""</f>
        <v/>
      </c>
      <c r="CN1331" t="str">
        <f>""</f>
        <v/>
      </c>
      <c r="CO1331" t="str">
        <f>""</f>
        <v/>
      </c>
      <c r="CP1331" t="str">
        <f>"15-1132.00"</f>
        <v>15-1132.00</v>
      </c>
      <c r="CQ1331" t="s">
        <v>198</v>
      </c>
      <c r="CR1331" t="s">
        <v>460</v>
      </c>
      <c r="CS1331" t="s">
        <v>131</v>
      </c>
      <c r="CU1331" t="s">
        <v>11392</v>
      </c>
      <c r="CW1331" t="s">
        <v>1513</v>
      </c>
      <c r="CX1331" t="s">
        <v>400</v>
      </c>
      <c r="CZ1331" s="3" t="str">
        <f>"75235"</f>
        <v>75235</v>
      </c>
      <c r="DA1331" t="s">
        <v>135</v>
      </c>
      <c r="DB1331" t="str">
        <f>""</f>
        <v/>
      </c>
      <c r="DF1331" t="str">
        <f>""</f>
        <v/>
      </c>
    </row>
    <row r="1332" spans="1:110" ht="15" customHeight="1" x14ac:dyDescent="0.35">
      <c r="A1332" t="s">
        <v>11147</v>
      </c>
      <c r="B1332" t="s">
        <v>138</v>
      </c>
      <c r="C1332" s="1">
        <v>44326</v>
      </c>
      <c r="G1332" s="1">
        <v>44343</v>
      </c>
      <c r="H1332" t="s">
        <v>125</v>
      </c>
      <c r="I1332" t="s">
        <v>11148</v>
      </c>
      <c r="J1332" t="s">
        <v>1949</v>
      </c>
      <c r="L1332" t="s">
        <v>11149</v>
      </c>
      <c r="M1332" t="s">
        <v>11150</v>
      </c>
      <c r="O1332" t="s">
        <v>642</v>
      </c>
      <c r="P1332" t="s">
        <v>818</v>
      </c>
      <c r="Q1332" s="3">
        <v>30305</v>
      </c>
      <c r="R1332" t="s">
        <v>128</v>
      </c>
      <c r="T1332" s="4">
        <v>14048413840</v>
      </c>
      <c r="V1332" t="s">
        <v>11151</v>
      </c>
      <c r="W1332" t="s">
        <v>11152</v>
      </c>
      <c r="Y1332" t="s">
        <v>11150</v>
      </c>
      <c r="AA1332" t="s">
        <v>642</v>
      </c>
      <c r="AB1332" t="s">
        <v>643</v>
      </c>
      <c r="AC1332" s="3" t="str">
        <f>"30305"</f>
        <v>30305</v>
      </c>
      <c r="AD1332" t="s">
        <v>128</v>
      </c>
      <c r="AF1332" s="4">
        <v>14048413840</v>
      </c>
      <c r="AH1332" t="str">
        <f>"61111"</f>
        <v>61111</v>
      </c>
      <c r="AI1332" t="s">
        <v>130</v>
      </c>
      <c r="AJ1332" t="s">
        <v>3180</v>
      </c>
      <c r="AK1332" t="s">
        <v>3181</v>
      </c>
      <c r="AM1332" t="s">
        <v>3182</v>
      </c>
      <c r="AN1332" t="s">
        <v>656</v>
      </c>
      <c r="AO1332" t="s">
        <v>642</v>
      </c>
      <c r="AP1332" t="s">
        <v>643</v>
      </c>
      <c r="AQ1332" s="5">
        <v>30309</v>
      </c>
      <c r="AR1332" t="s">
        <v>128</v>
      </c>
      <c r="AT1332" s="4">
        <v>14048565495</v>
      </c>
      <c r="AV1332" t="s">
        <v>6783</v>
      </c>
      <c r="AW1332" t="s">
        <v>3184</v>
      </c>
      <c r="AX1332" t="s">
        <v>131</v>
      </c>
      <c r="AY1332" t="s">
        <v>131</v>
      </c>
      <c r="AZ1332" t="s">
        <v>131</v>
      </c>
      <c r="BA1332" t="s">
        <v>131</v>
      </c>
      <c r="BB1332" t="s">
        <v>131</v>
      </c>
      <c r="BC1332" t="s">
        <v>131</v>
      </c>
      <c r="BD1332" t="s">
        <v>131</v>
      </c>
      <c r="BE1332" t="s">
        <v>132</v>
      </c>
      <c r="BH1332" t="s">
        <v>11153</v>
      </c>
      <c r="BI1332" t="s">
        <v>135</v>
      </c>
      <c r="BJ1332" t="s">
        <v>11154</v>
      </c>
      <c r="BK1332" t="s">
        <v>11155</v>
      </c>
      <c r="BL1332" t="s">
        <v>133</v>
      </c>
      <c r="BN1332" t="s">
        <v>11156</v>
      </c>
      <c r="BO1332" t="s">
        <v>131</v>
      </c>
      <c r="BP1332" t="s">
        <v>134</v>
      </c>
      <c r="BQ1332" t="s">
        <v>131</v>
      </c>
      <c r="BS1332" t="str">
        <f t="shared" si="89"/>
        <v>N/A</v>
      </c>
      <c r="BT1332" t="s">
        <v>135</v>
      </c>
      <c r="BU1332">
        <v>60</v>
      </c>
      <c r="BV1332" t="str">
        <f>"ANY POSITION WHERE EXP W/ MIN REQS GAINED"</f>
        <v>ANY POSITION WHERE EXP W/ MIN REQS GAINED</v>
      </c>
      <c r="BW1332" t="s">
        <v>135</v>
      </c>
      <c r="BX1332" t="str">
        <f>""</f>
        <v/>
      </c>
      <c r="BY1332" t="str">
        <f>""</f>
        <v/>
      </c>
      <c r="BZ1332" t="str">
        <f>""</f>
        <v/>
      </c>
      <c r="CA1332" t="s">
        <v>11157</v>
      </c>
      <c r="CB1332" t="s">
        <v>131</v>
      </c>
      <c r="CF1332" t="s">
        <v>131</v>
      </c>
      <c r="CH1332" t="str">
        <f>""</f>
        <v/>
      </c>
      <c r="CI1332" t="s">
        <v>131</v>
      </c>
      <c r="CK1332" t="s">
        <v>131</v>
      </c>
      <c r="CL1332" t="str">
        <f>""</f>
        <v/>
      </c>
      <c r="CM1332" t="str">
        <f>""</f>
        <v/>
      </c>
      <c r="CN1332" t="str">
        <f>""</f>
        <v/>
      </c>
      <c r="CO1332" t="str">
        <f>""</f>
        <v/>
      </c>
      <c r="CP1332" t="str">
        <f>"11-9032.00"</f>
        <v>11-9032.00</v>
      </c>
      <c r="CQ1332" t="s">
        <v>11158</v>
      </c>
      <c r="CS1332" t="s">
        <v>131</v>
      </c>
      <c r="CU1332" t="s">
        <v>11150</v>
      </c>
      <c r="CW1332" t="s">
        <v>642</v>
      </c>
      <c r="CX1332" t="s">
        <v>643</v>
      </c>
      <c r="CZ1332" s="3" t="str">
        <f>"30305"</f>
        <v>30305</v>
      </c>
      <c r="DA1332" t="s">
        <v>131</v>
      </c>
      <c r="DB1332" t="str">
        <f>""</f>
        <v/>
      </c>
      <c r="DF1332" t="str">
        <f>""</f>
        <v/>
      </c>
    </row>
    <row r="1333" spans="1:110" ht="15" customHeight="1" x14ac:dyDescent="0.35">
      <c r="A1333" t="s">
        <v>12767</v>
      </c>
      <c r="B1333" t="s">
        <v>138</v>
      </c>
      <c r="C1333" s="1">
        <v>44326</v>
      </c>
      <c r="G1333" s="1">
        <v>44340</v>
      </c>
      <c r="H1333" t="s">
        <v>125</v>
      </c>
      <c r="I1333" t="s">
        <v>4751</v>
      </c>
      <c r="J1333" t="s">
        <v>3391</v>
      </c>
      <c r="K1333" t="s">
        <v>655</v>
      </c>
      <c r="L1333" t="s">
        <v>126</v>
      </c>
      <c r="M1333" t="s">
        <v>4752</v>
      </c>
      <c r="N1333" t="s">
        <v>4753</v>
      </c>
      <c r="O1333" t="s">
        <v>1034</v>
      </c>
      <c r="P1333" t="s">
        <v>593</v>
      </c>
      <c r="Q1333" s="3">
        <v>27615</v>
      </c>
      <c r="R1333" t="s">
        <v>128</v>
      </c>
      <c r="T1333" s="4">
        <v>19196474820</v>
      </c>
      <c r="V1333" t="s">
        <v>4756</v>
      </c>
      <c r="W1333" t="s">
        <v>7890</v>
      </c>
      <c r="Y1333" t="s">
        <v>7891</v>
      </c>
      <c r="AA1333" t="s">
        <v>7892</v>
      </c>
      <c r="AB1333" t="s">
        <v>312</v>
      </c>
      <c r="AC1333" s="3" t="str">
        <f>"16066"</f>
        <v>16066</v>
      </c>
      <c r="AD1333" t="s">
        <v>128</v>
      </c>
      <c r="AF1333" s="4">
        <v>17247205687</v>
      </c>
      <c r="AH1333" t="str">
        <f>"492110"</f>
        <v>492110</v>
      </c>
      <c r="AI1333" t="s">
        <v>130</v>
      </c>
      <c r="AJ1333" t="s">
        <v>4751</v>
      </c>
      <c r="AK1333" t="s">
        <v>3391</v>
      </c>
      <c r="AL1333" t="s">
        <v>655</v>
      </c>
      <c r="AM1333" t="s">
        <v>4752</v>
      </c>
      <c r="AN1333" t="s">
        <v>4753</v>
      </c>
      <c r="AO1333" t="s">
        <v>1034</v>
      </c>
      <c r="AP1333" t="s">
        <v>594</v>
      </c>
      <c r="AQ1333" s="5">
        <v>27615</v>
      </c>
      <c r="AR1333" t="s">
        <v>128</v>
      </c>
      <c r="AT1333" s="4">
        <v>19196474820</v>
      </c>
      <c r="AV1333" t="s">
        <v>4754</v>
      </c>
      <c r="AW1333" t="s">
        <v>12768</v>
      </c>
      <c r="AX1333" t="s">
        <v>131</v>
      </c>
      <c r="AY1333" t="s">
        <v>131</v>
      </c>
      <c r="AZ1333" t="s">
        <v>131</v>
      </c>
      <c r="BA1333" t="s">
        <v>131</v>
      </c>
      <c r="BB1333" t="s">
        <v>131</v>
      </c>
      <c r="BC1333" t="s">
        <v>131</v>
      </c>
      <c r="BD1333" t="s">
        <v>131</v>
      </c>
      <c r="BE1333" t="s">
        <v>132</v>
      </c>
      <c r="BH1333" t="s">
        <v>7893</v>
      </c>
      <c r="BI1333" t="s">
        <v>131</v>
      </c>
      <c r="BL1333" t="s">
        <v>188</v>
      </c>
      <c r="BN1333" t="s">
        <v>7894</v>
      </c>
      <c r="BO1333" t="s">
        <v>131</v>
      </c>
      <c r="BP1333" t="s">
        <v>134</v>
      </c>
      <c r="BQ1333" t="s">
        <v>131</v>
      </c>
      <c r="BS1333" t="str">
        <f t="shared" si="89"/>
        <v>N/A</v>
      </c>
      <c r="BT1333" t="s">
        <v>135</v>
      </c>
      <c r="BU1333">
        <v>24</v>
      </c>
      <c r="BV1333" t="str">
        <f>"IN A RELATED OCCUPATION "</f>
        <v xml:space="preserve">IN A RELATED OCCUPATION </v>
      </c>
      <c r="BW1333" t="s">
        <v>135</v>
      </c>
      <c r="BX1333" t="str">
        <f>""</f>
        <v/>
      </c>
      <c r="BY1333" t="str">
        <f>""</f>
        <v/>
      </c>
      <c r="BZ1333" t="str">
        <f>""</f>
        <v/>
      </c>
      <c r="CA1333" t="s">
        <v>12769</v>
      </c>
      <c r="CB1333" t="s">
        <v>135</v>
      </c>
      <c r="CC1333" t="s">
        <v>133</v>
      </c>
      <c r="CE1333" t="s">
        <v>7894</v>
      </c>
      <c r="CF1333" t="s">
        <v>131</v>
      </c>
      <c r="CH1333" t="str">
        <f>"N/A"</f>
        <v>N/A</v>
      </c>
      <c r="CI1333" t="s">
        <v>135</v>
      </c>
      <c r="CJ1333">
        <v>48</v>
      </c>
      <c r="CK1333" t="s">
        <v>135</v>
      </c>
      <c r="CL1333" t="str">
        <f>""</f>
        <v/>
      </c>
      <c r="CM1333" t="str">
        <f>""</f>
        <v/>
      </c>
      <c r="CN1333" t="str">
        <f>""</f>
        <v/>
      </c>
      <c r="CO1333" t="s">
        <v>12769</v>
      </c>
      <c r="CP1333" t="str">
        <f>"15-1121.00"</f>
        <v>15-1121.00</v>
      </c>
      <c r="CQ1333" t="s">
        <v>283</v>
      </c>
      <c r="CR1333" t="s">
        <v>7895</v>
      </c>
      <c r="CS1333" t="s">
        <v>135</v>
      </c>
      <c r="CT1333" t="s">
        <v>12770</v>
      </c>
      <c r="CU1333" t="s">
        <v>7891</v>
      </c>
      <c r="CW1333" t="s">
        <v>7892</v>
      </c>
      <c r="CX1333" t="s">
        <v>312</v>
      </c>
      <c r="CZ1333" s="3" t="str">
        <f>"16066"</f>
        <v>16066</v>
      </c>
      <c r="DA1333" t="s">
        <v>131</v>
      </c>
      <c r="DB1333" t="str">
        <f>""</f>
        <v/>
      </c>
      <c r="DF1333" t="str">
        <f>""</f>
        <v/>
      </c>
    </row>
    <row r="1334" spans="1:110" ht="15" customHeight="1" x14ac:dyDescent="0.35">
      <c r="A1334" t="s">
        <v>3164</v>
      </c>
      <c r="B1334" t="s">
        <v>138</v>
      </c>
      <c r="C1334" s="1">
        <v>44326</v>
      </c>
      <c r="G1334" s="1">
        <v>44328</v>
      </c>
      <c r="H1334" t="s">
        <v>125</v>
      </c>
      <c r="I1334" t="s">
        <v>3165</v>
      </c>
      <c r="J1334" t="s">
        <v>3166</v>
      </c>
      <c r="L1334" t="s">
        <v>395</v>
      </c>
      <c r="M1334" t="s">
        <v>3167</v>
      </c>
      <c r="O1334" t="s">
        <v>885</v>
      </c>
      <c r="P1334" t="s">
        <v>412</v>
      </c>
      <c r="Q1334" s="3">
        <v>77076</v>
      </c>
      <c r="R1334" t="s">
        <v>128</v>
      </c>
      <c r="T1334" s="4">
        <v>18328048107</v>
      </c>
      <c r="V1334" t="s">
        <v>3168</v>
      </c>
      <c r="W1334" t="s">
        <v>3169</v>
      </c>
      <c r="X1334" t="s">
        <v>3170</v>
      </c>
      <c r="Y1334" t="s">
        <v>3167</v>
      </c>
      <c r="AA1334" t="s">
        <v>885</v>
      </c>
      <c r="AB1334" t="s">
        <v>400</v>
      </c>
      <c r="AC1334" s="3" t="str">
        <f>"77076"</f>
        <v>77076</v>
      </c>
      <c r="AD1334" t="s">
        <v>128</v>
      </c>
      <c r="AF1334" s="4">
        <v>18328049107</v>
      </c>
      <c r="AH1334" t="str">
        <f>"447110"</f>
        <v>447110</v>
      </c>
      <c r="AI1334" t="s">
        <v>130</v>
      </c>
      <c r="AJ1334" t="s">
        <v>2699</v>
      </c>
      <c r="AK1334" t="s">
        <v>2597</v>
      </c>
      <c r="AL1334" t="s">
        <v>3171</v>
      </c>
      <c r="AM1334" t="s">
        <v>3172</v>
      </c>
      <c r="AO1334" t="s">
        <v>1946</v>
      </c>
      <c r="AP1334" t="s">
        <v>400</v>
      </c>
      <c r="AQ1334" s="5" t="s">
        <v>3173</v>
      </c>
      <c r="AR1334" t="s">
        <v>128</v>
      </c>
      <c r="AT1334" s="4">
        <v>17138205504</v>
      </c>
      <c r="AV1334" t="s">
        <v>3174</v>
      </c>
      <c r="AW1334" t="s">
        <v>3175</v>
      </c>
      <c r="AX1334" t="s">
        <v>131</v>
      </c>
      <c r="AY1334" t="s">
        <v>131</v>
      </c>
      <c r="AZ1334" t="s">
        <v>131</v>
      </c>
      <c r="BA1334" t="s">
        <v>131</v>
      </c>
      <c r="BB1334" t="s">
        <v>131</v>
      </c>
      <c r="BC1334" t="s">
        <v>131</v>
      </c>
      <c r="BD1334" t="s">
        <v>131</v>
      </c>
      <c r="BE1334" t="s">
        <v>498</v>
      </c>
      <c r="BH1334" t="s">
        <v>3176</v>
      </c>
      <c r="BI1334" t="s">
        <v>131</v>
      </c>
      <c r="BL1334" t="s">
        <v>167</v>
      </c>
      <c r="BO1334" t="s">
        <v>131</v>
      </c>
      <c r="BP1334" t="s">
        <v>134</v>
      </c>
      <c r="BQ1334" t="s">
        <v>131</v>
      </c>
      <c r="BS1334" t="str">
        <f t="shared" si="89"/>
        <v>N/A</v>
      </c>
      <c r="BT1334" t="s">
        <v>135</v>
      </c>
      <c r="BU1334">
        <v>24</v>
      </c>
      <c r="BV1334" t="str">
        <f>"Store Manager or Related"</f>
        <v>Store Manager or Related</v>
      </c>
      <c r="BW1334" t="s">
        <v>131</v>
      </c>
      <c r="BX1334" t="str">
        <f>""</f>
        <v/>
      </c>
      <c r="BY1334" t="str">
        <f>""</f>
        <v/>
      </c>
      <c r="BZ1334" t="str">
        <f>""</f>
        <v/>
      </c>
      <c r="CA1334" t="str">
        <f>""</f>
        <v/>
      </c>
      <c r="CB1334" t="s">
        <v>131</v>
      </c>
      <c r="CF1334" t="s">
        <v>131</v>
      </c>
      <c r="CH1334" t="str">
        <f>""</f>
        <v/>
      </c>
      <c r="CI1334" t="s">
        <v>131</v>
      </c>
      <c r="CK1334" t="s">
        <v>131</v>
      </c>
      <c r="CL1334" t="str">
        <f>""</f>
        <v/>
      </c>
      <c r="CM1334" t="str">
        <f>""</f>
        <v/>
      </c>
      <c r="CN1334" t="str">
        <f>""</f>
        <v/>
      </c>
      <c r="CO1334" t="str">
        <f>""</f>
        <v/>
      </c>
      <c r="CP1334" t="str">
        <f>"41-1011.00"</f>
        <v>41-1011.00</v>
      </c>
      <c r="CQ1334" t="s">
        <v>3177</v>
      </c>
      <c r="CR1334" t="s">
        <v>395</v>
      </c>
      <c r="CS1334" t="s">
        <v>131</v>
      </c>
      <c r="CU1334" t="s">
        <v>3167</v>
      </c>
      <c r="CW1334" t="s">
        <v>885</v>
      </c>
      <c r="CX1334" t="s">
        <v>400</v>
      </c>
      <c r="CZ1334" s="3" t="str">
        <f>"77076"</f>
        <v>77076</v>
      </c>
      <c r="DA1334" t="s">
        <v>131</v>
      </c>
      <c r="DB1334" t="str">
        <f>""</f>
        <v/>
      </c>
      <c r="DF1334" t="str">
        <f>""</f>
        <v/>
      </c>
    </row>
    <row r="1335" spans="1:110" ht="15" customHeight="1" x14ac:dyDescent="0.35">
      <c r="A1335" t="s">
        <v>13677</v>
      </c>
      <c r="B1335" t="s">
        <v>138</v>
      </c>
      <c r="C1335" s="1">
        <v>44326</v>
      </c>
      <c r="G1335" s="1">
        <v>44334</v>
      </c>
      <c r="H1335" t="s">
        <v>125</v>
      </c>
      <c r="I1335" t="s">
        <v>2520</v>
      </c>
      <c r="J1335" t="s">
        <v>2521</v>
      </c>
      <c r="L1335" t="s">
        <v>2522</v>
      </c>
      <c r="M1335" t="s">
        <v>2523</v>
      </c>
      <c r="N1335" t="s">
        <v>13678</v>
      </c>
      <c r="O1335" t="s">
        <v>1506</v>
      </c>
      <c r="P1335" t="s">
        <v>178</v>
      </c>
      <c r="Q1335" s="3">
        <v>94086</v>
      </c>
      <c r="R1335" t="s">
        <v>128</v>
      </c>
      <c r="T1335" s="4">
        <v>14085237070</v>
      </c>
      <c r="V1335" t="s">
        <v>2524</v>
      </c>
      <c r="W1335" t="s">
        <v>2525</v>
      </c>
      <c r="Y1335" t="s">
        <v>2523</v>
      </c>
      <c r="AA1335" t="s">
        <v>1506</v>
      </c>
      <c r="AB1335" t="s">
        <v>172</v>
      </c>
      <c r="AC1335" s="3" t="str">
        <f>"94086"</f>
        <v>94086</v>
      </c>
      <c r="AD1335" t="s">
        <v>128</v>
      </c>
      <c r="AF1335" s="4">
        <v>14085237070</v>
      </c>
      <c r="AH1335" t="str">
        <f>"33911"</f>
        <v>33911</v>
      </c>
      <c r="AI1335" t="s">
        <v>130</v>
      </c>
      <c r="AJ1335" t="s">
        <v>3804</v>
      </c>
      <c r="AK1335" t="s">
        <v>5133</v>
      </c>
      <c r="AL1335" t="s">
        <v>135</v>
      </c>
      <c r="AM1335" t="s">
        <v>5134</v>
      </c>
      <c r="AO1335" t="s">
        <v>664</v>
      </c>
      <c r="AP1335" t="s">
        <v>172</v>
      </c>
      <c r="AQ1335" s="5">
        <v>95112</v>
      </c>
      <c r="AR1335" t="s">
        <v>128</v>
      </c>
      <c r="AT1335" s="4">
        <v>15128061457</v>
      </c>
      <c r="AV1335" t="s">
        <v>3262</v>
      </c>
      <c r="AW1335" t="s">
        <v>732</v>
      </c>
      <c r="AX1335" t="s">
        <v>131</v>
      </c>
      <c r="AY1335" t="s">
        <v>131</v>
      </c>
      <c r="AZ1335" t="s">
        <v>131</v>
      </c>
      <c r="BA1335" t="s">
        <v>131</v>
      </c>
      <c r="BB1335" t="s">
        <v>131</v>
      </c>
      <c r="BC1335" t="s">
        <v>131</v>
      </c>
      <c r="BD1335" t="s">
        <v>131</v>
      </c>
      <c r="BE1335" t="s">
        <v>132</v>
      </c>
      <c r="BH1335" t="s">
        <v>8557</v>
      </c>
      <c r="BI1335" t="s">
        <v>131</v>
      </c>
      <c r="BL1335" t="s">
        <v>188</v>
      </c>
      <c r="BN1335" t="s">
        <v>13679</v>
      </c>
      <c r="BO1335" t="s">
        <v>131</v>
      </c>
      <c r="BP1335" t="s">
        <v>134</v>
      </c>
      <c r="BQ1335" t="s">
        <v>131</v>
      </c>
      <c r="BS1335" t="str">
        <f t="shared" si="89"/>
        <v>N/A</v>
      </c>
      <c r="BT1335" t="s">
        <v>131</v>
      </c>
      <c r="BV1335" t="str">
        <f>""</f>
        <v/>
      </c>
      <c r="BW1335" t="s">
        <v>135</v>
      </c>
      <c r="BX1335" t="str">
        <f>""</f>
        <v/>
      </c>
      <c r="BY1335" t="str">
        <f>""</f>
        <v/>
      </c>
      <c r="BZ1335" t="str">
        <f>""</f>
        <v/>
      </c>
      <c r="CA1335" t="str">
        <f>"Position requires coursework in the following: Electrical System Design; Computer Architecture; Analog/Digital Circuits; Hardware (FPGA) Programming; and Simulation &amp; Design Tools – Xilinx IDE, Cadence EDA, LTSpice. "</f>
        <v xml:space="preserve">Position requires coursework in the following: Electrical System Design; Computer Architecture; Analog/Digital Circuits; Hardware (FPGA) Programming; and Simulation &amp; Design Tools – Xilinx IDE, Cadence EDA, LTSpice. </v>
      </c>
      <c r="CB1335" t="s">
        <v>131</v>
      </c>
      <c r="CF1335" t="s">
        <v>131</v>
      </c>
      <c r="CH1335" t="str">
        <f>""</f>
        <v/>
      </c>
      <c r="CI1335" t="s">
        <v>131</v>
      </c>
      <c r="CK1335" t="s">
        <v>131</v>
      </c>
      <c r="CL1335" t="str">
        <f>""</f>
        <v/>
      </c>
      <c r="CM1335" t="str">
        <f>""</f>
        <v/>
      </c>
      <c r="CN1335" t="str">
        <f>""</f>
        <v/>
      </c>
      <c r="CO1335" t="str">
        <f>""</f>
        <v/>
      </c>
      <c r="CP1335" t="str">
        <f>"17-2199.04"</f>
        <v>17-2199.04</v>
      </c>
      <c r="CQ1335" t="s">
        <v>2500</v>
      </c>
      <c r="CR1335" t="s">
        <v>2528</v>
      </c>
      <c r="CS1335" t="s">
        <v>131</v>
      </c>
      <c r="CU1335" t="s">
        <v>2523</v>
      </c>
      <c r="CW1335" t="s">
        <v>1506</v>
      </c>
      <c r="CX1335" t="s">
        <v>172</v>
      </c>
      <c r="CZ1335" s="3" t="str">
        <f>"94086"</f>
        <v>94086</v>
      </c>
      <c r="DA1335" t="s">
        <v>131</v>
      </c>
      <c r="DB1335" t="str">
        <f>""</f>
        <v/>
      </c>
      <c r="DF1335" t="str">
        <f>""</f>
        <v/>
      </c>
    </row>
    <row r="1336" spans="1:110" ht="15" customHeight="1" x14ac:dyDescent="0.35">
      <c r="A1336" t="s">
        <v>20144</v>
      </c>
      <c r="B1336" t="s">
        <v>138</v>
      </c>
      <c r="C1336" s="1">
        <v>44326</v>
      </c>
      <c r="G1336" s="1">
        <v>44326</v>
      </c>
      <c r="H1336" t="s">
        <v>125</v>
      </c>
      <c r="I1336" t="s">
        <v>20145</v>
      </c>
      <c r="J1336" t="s">
        <v>1623</v>
      </c>
      <c r="K1336" t="s">
        <v>134</v>
      </c>
      <c r="L1336" t="s">
        <v>16217</v>
      </c>
      <c r="M1336" t="s">
        <v>20146</v>
      </c>
      <c r="O1336" t="s">
        <v>16217</v>
      </c>
      <c r="P1336" t="s">
        <v>178</v>
      </c>
      <c r="Q1336" s="3">
        <v>94133</v>
      </c>
      <c r="R1336" t="s">
        <v>128</v>
      </c>
      <c r="T1336" s="4">
        <v>14159864559</v>
      </c>
      <c r="V1336" t="s">
        <v>20147</v>
      </c>
      <c r="W1336" t="s">
        <v>6992</v>
      </c>
      <c r="Y1336" t="s">
        <v>2725</v>
      </c>
      <c r="Z1336" t="s">
        <v>788</v>
      </c>
      <c r="AA1336" t="s">
        <v>220</v>
      </c>
      <c r="AB1336" t="s">
        <v>172</v>
      </c>
      <c r="AC1336" s="3" t="str">
        <f>"94133"</f>
        <v>94133</v>
      </c>
      <c r="AD1336" t="s">
        <v>128</v>
      </c>
      <c r="AF1336" s="4">
        <v>14199864559</v>
      </c>
      <c r="AH1336" t="str">
        <f>"511210"</f>
        <v>511210</v>
      </c>
      <c r="AI1336" t="s">
        <v>130</v>
      </c>
      <c r="AJ1336" t="s">
        <v>9669</v>
      </c>
      <c r="AK1336" t="s">
        <v>1623</v>
      </c>
      <c r="AM1336" t="s">
        <v>2725</v>
      </c>
      <c r="AN1336" t="s">
        <v>788</v>
      </c>
      <c r="AO1336" t="s">
        <v>220</v>
      </c>
      <c r="AP1336" t="s">
        <v>172</v>
      </c>
      <c r="AQ1336" s="5">
        <v>94133</v>
      </c>
      <c r="AR1336" t="s">
        <v>128</v>
      </c>
      <c r="AT1336" s="4">
        <v>14159864559</v>
      </c>
      <c r="AV1336" t="s">
        <v>6146</v>
      </c>
      <c r="AW1336" t="s">
        <v>2727</v>
      </c>
      <c r="AX1336" t="s">
        <v>131</v>
      </c>
      <c r="AY1336" t="s">
        <v>131</v>
      </c>
      <c r="AZ1336" t="s">
        <v>131</v>
      </c>
      <c r="BA1336" t="s">
        <v>131</v>
      </c>
      <c r="BB1336" t="s">
        <v>131</v>
      </c>
      <c r="BC1336" t="s">
        <v>131</v>
      </c>
      <c r="BD1336" t="s">
        <v>131</v>
      </c>
      <c r="BE1336" t="s">
        <v>132</v>
      </c>
      <c r="BH1336" t="s">
        <v>16217</v>
      </c>
      <c r="BI1336" t="s">
        <v>131</v>
      </c>
      <c r="BL1336" t="s">
        <v>133</v>
      </c>
      <c r="BN1336" t="s">
        <v>16217</v>
      </c>
      <c r="BO1336" t="s">
        <v>131</v>
      </c>
      <c r="BP1336" t="s">
        <v>134</v>
      </c>
      <c r="BQ1336" t="s">
        <v>131</v>
      </c>
      <c r="BS1336" t="str">
        <f t="shared" si="89"/>
        <v>N/A</v>
      </c>
      <c r="BT1336" t="s">
        <v>131</v>
      </c>
      <c r="BV1336" t="str">
        <f>""</f>
        <v/>
      </c>
      <c r="BW1336" t="s">
        <v>131</v>
      </c>
      <c r="BX1336" t="str">
        <f>""</f>
        <v/>
      </c>
      <c r="BY1336" t="str">
        <f>""</f>
        <v/>
      </c>
      <c r="BZ1336" t="str">
        <f>""</f>
        <v/>
      </c>
      <c r="CA1336" t="str">
        <f>""</f>
        <v/>
      </c>
      <c r="CB1336" t="s">
        <v>131</v>
      </c>
      <c r="CF1336" t="s">
        <v>131</v>
      </c>
      <c r="CH1336" t="str">
        <f>""</f>
        <v/>
      </c>
      <c r="CI1336" t="s">
        <v>131</v>
      </c>
      <c r="CK1336" t="s">
        <v>131</v>
      </c>
      <c r="CL1336" t="str">
        <f>""</f>
        <v/>
      </c>
      <c r="CM1336" t="str">
        <f>""</f>
        <v/>
      </c>
      <c r="CN1336" t="str">
        <f>""</f>
        <v/>
      </c>
      <c r="CO1336" t="str">
        <f>""</f>
        <v/>
      </c>
      <c r="CP1336" t="str">
        <f>"15-1132.00"</f>
        <v>15-1132.00</v>
      </c>
      <c r="CQ1336" t="s">
        <v>198</v>
      </c>
      <c r="CR1336" t="s">
        <v>16217</v>
      </c>
      <c r="CS1336" t="s">
        <v>131</v>
      </c>
      <c r="CU1336" t="s">
        <v>20146</v>
      </c>
      <c r="CW1336" t="s">
        <v>220</v>
      </c>
      <c r="CX1336" t="s">
        <v>172</v>
      </c>
      <c r="CZ1336" s="3" t="str">
        <f>"94133"</f>
        <v>94133</v>
      </c>
      <c r="DA1336" t="s">
        <v>131</v>
      </c>
      <c r="DB1336" t="str">
        <f>""</f>
        <v/>
      </c>
      <c r="DF1336" t="str">
        <f>""</f>
        <v/>
      </c>
    </row>
    <row r="1337" spans="1:110" ht="15" customHeight="1" x14ac:dyDescent="0.35">
      <c r="A1337" t="s">
        <v>19633</v>
      </c>
      <c r="B1337" t="s">
        <v>138</v>
      </c>
      <c r="C1337" s="1">
        <v>44326</v>
      </c>
      <c r="G1337" s="1">
        <v>44328</v>
      </c>
      <c r="H1337" t="s">
        <v>125</v>
      </c>
      <c r="I1337" t="s">
        <v>9324</v>
      </c>
      <c r="J1337" t="s">
        <v>5214</v>
      </c>
      <c r="K1337" t="s">
        <v>8444</v>
      </c>
      <c r="L1337" t="s">
        <v>9325</v>
      </c>
      <c r="M1337" t="s">
        <v>9326</v>
      </c>
      <c r="N1337" t="s">
        <v>9327</v>
      </c>
      <c r="O1337" t="s">
        <v>9328</v>
      </c>
      <c r="P1337" t="s">
        <v>467</v>
      </c>
      <c r="Q1337" s="3">
        <v>80309</v>
      </c>
      <c r="R1337" t="s">
        <v>128</v>
      </c>
      <c r="T1337" s="4">
        <v>17204356974</v>
      </c>
      <c r="V1337" t="s">
        <v>9329</v>
      </c>
      <c r="W1337" t="s">
        <v>9330</v>
      </c>
      <c r="X1337" t="s">
        <v>9331</v>
      </c>
      <c r="Y1337" t="s">
        <v>9332</v>
      </c>
      <c r="Z1337" t="s">
        <v>9333</v>
      </c>
      <c r="AA1337" t="s">
        <v>5464</v>
      </c>
      <c r="AB1337" t="s">
        <v>471</v>
      </c>
      <c r="AC1337" s="3" t="str">
        <f>"80309"</f>
        <v>80309</v>
      </c>
      <c r="AD1337" t="s">
        <v>128</v>
      </c>
      <c r="AF1337" s="4">
        <v>13034928057</v>
      </c>
      <c r="AH1337" t="str">
        <f>"61131"</f>
        <v>61131</v>
      </c>
      <c r="AI1337" t="s">
        <v>167</v>
      </c>
      <c r="AX1337" t="s">
        <v>135</v>
      </c>
      <c r="AY1337" t="s">
        <v>135</v>
      </c>
      <c r="AZ1337" t="s">
        <v>131</v>
      </c>
      <c r="BA1337" t="s">
        <v>131</v>
      </c>
      <c r="BB1337" t="s">
        <v>134</v>
      </c>
      <c r="BC1337" t="s">
        <v>131</v>
      </c>
      <c r="BD1337" t="s">
        <v>131</v>
      </c>
      <c r="BE1337" t="s">
        <v>132</v>
      </c>
      <c r="BH1337" t="s">
        <v>9334</v>
      </c>
      <c r="BI1337" t="s">
        <v>131</v>
      </c>
      <c r="BL1337" t="s">
        <v>447</v>
      </c>
      <c r="BN1337" t="s">
        <v>2691</v>
      </c>
      <c r="BO1337" t="s">
        <v>131</v>
      </c>
      <c r="BP1337" t="s">
        <v>134</v>
      </c>
      <c r="BQ1337" t="s">
        <v>131</v>
      </c>
      <c r="BS1337" t="str">
        <f t="shared" si="89"/>
        <v>N/A</v>
      </c>
      <c r="BT1337" t="s">
        <v>131</v>
      </c>
      <c r="BV1337" t="str">
        <f>""</f>
        <v/>
      </c>
      <c r="BW1337" t="s">
        <v>131</v>
      </c>
      <c r="BX1337" t="str">
        <f>""</f>
        <v/>
      </c>
      <c r="BY1337" t="str">
        <f>""</f>
        <v/>
      </c>
      <c r="BZ1337" t="str">
        <f>""</f>
        <v/>
      </c>
      <c r="CA1337" t="str">
        <f>""</f>
        <v/>
      </c>
      <c r="CB1337" t="s">
        <v>131</v>
      </c>
      <c r="CF1337" t="s">
        <v>131</v>
      </c>
      <c r="CH1337" t="str">
        <f>""</f>
        <v/>
      </c>
      <c r="CI1337" t="s">
        <v>131</v>
      </c>
      <c r="CK1337" t="s">
        <v>131</v>
      </c>
      <c r="CL1337" t="str">
        <f>""</f>
        <v/>
      </c>
      <c r="CM1337" t="str">
        <f>""</f>
        <v/>
      </c>
      <c r="CN1337" t="str">
        <f>""</f>
        <v/>
      </c>
      <c r="CO1337" t="str">
        <f>""</f>
        <v/>
      </c>
      <c r="CP1337" t="str">
        <f>"25-1021.00"</f>
        <v>25-1021.00</v>
      </c>
      <c r="CQ1337" t="s">
        <v>3205</v>
      </c>
      <c r="CR1337" t="s">
        <v>19634</v>
      </c>
      <c r="CS1337" t="s">
        <v>131</v>
      </c>
      <c r="CU1337" t="s">
        <v>19635</v>
      </c>
      <c r="CV1337" t="s">
        <v>15499</v>
      </c>
      <c r="CW1337" t="s">
        <v>5464</v>
      </c>
      <c r="CX1337" t="s">
        <v>471</v>
      </c>
      <c r="CZ1337" s="3" t="str">
        <f>"80309"</f>
        <v>80309</v>
      </c>
      <c r="DA1337" t="s">
        <v>131</v>
      </c>
      <c r="DB1337" t="str">
        <f>""</f>
        <v/>
      </c>
      <c r="DF1337" t="str">
        <f>""</f>
        <v/>
      </c>
    </row>
    <row r="1338" spans="1:110" ht="15" customHeight="1" x14ac:dyDescent="0.35">
      <c r="A1338" t="s">
        <v>16358</v>
      </c>
      <c r="B1338" t="s">
        <v>138</v>
      </c>
      <c r="C1338" s="1">
        <v>44326</v>
      </c>
      <c r="G1338" s="1">
        <v>44327</v>
      </c>
      <c r="H1338" t="s">
        <v>125</v>
      </c>
      <c r="I1338" t="s">
        <v>16359</v>
      </c>
      <c r="J1338" t="s">
        <v>16360</v>
      </c>
      <c r="L1338" t="s">
        <v>395</v>
      </c>
      <c r="M1338" t="s">
        <v>16361</v>
      </c>
      <c r="O1338" t="s">
        <v>1101</v>
      </c>
      <c r="P1338" t="s">
        <v>194</v>
      </c>
      <c r="Q1338" s="3">
        <v>32218</v>
      </c>
      <c r="R1338" t="s">
        <v>128</v>
      </c>
      <c r="T1338" s="4">
        <v>13052986525</v>
      </c>
      <c r="V1338" t="s">
        <v>16362</v>
      </c>
      <c r="W1338" t="s">
        <v>16363</v>
      </c>
      <c r="Y1338" t="s">
        <v>16361</v>
      </c>
      <c r="AA1338" t="s">
        <v>1101</v>
      </c>
      <c r="AB1338" t="s">
        <v>195</v>
      </c>
      <c r="AC1338" s="3" t="str">
        <f>"32218"</f>
        <v>32218</v>
      </c>
      <c r="AD1338" t="s">
        <v>128</v>
      </c>
      <c r="AF1338" s="4">
        <v>13052986525</v>
      </c>
      <c r="AH1338" t="str">
        <f>"484121"</f>
        <v>484121</v>
      </c>
      <c r="AI1338" t="s">
        <v>130</v>
      </c>
      <c r="AJ1338" t="s">
        <v>12461</v>
      </c>
      <c r="AK1338" t="s">
        <v>12462</v>
      </c>
      <c r="AM1338" t="s">
        <v>12230</v>
      </c>
      <c r="AN1338">
        <v>300</v>
      </c>
      <c r="AO1338" t="s">
        <v>2826</v>
      </c>
      <c r="AP1338" t="s">
        <v>263</v>
      </c>
      <c r="AQ1338" s="5">
        <v>60625</v>
      </c>
      <c r="AR1338" t="s">
        <v>128</v>
      </c>
      <c r="AT1338" s="4">
        <v>18472589954</v>
      </c>
      <c r="AV1338" t="s">
        <v>12231</v>
      </c>
      <c r="AW1338" t="s">
        <v>12463</v>
      </c>
      <c r="AX1338" t="s">
        <v>131</v>
      </c>
      <c r="AY1338" t="s">
        <v>131</v>
      </c>
      <c r="AZ1338" t="s">
        <v>131</v>
      </c>
      <c r="BA1338" t="s">
        <v>131</v>
      </c>
      <c r="BB1338" t="s">
        <v>131</v>
      </c>
      <c r="BC1338" t="s">
        <v>131</v>
      </c>
      <c r="BD1338" t="s">
        <v>131</v>
      </c>
      <c r="BE1338" t="s">
        <v>132</v>
      </c>
      <c r="BH1338" t="s">
        <v>1714</v>
      </c>
      <c r="BI1338" t="s">
        <v>131</v>
      </c>
      <c r="BL1338" t="s">
        <v>401</v>
      </c>
      <c r="BO1338" t="s">
        <v>131</v>
      </c>
      <c r="BP1338" t="s">
        <v>134</v>
      </c>
      <c r="BQ1338" t="s">
        <v>131</v>
      </c>
      <c r="BS1338" t="str">
        <f t="shared" si="89"/>
        <v>N/A</v>
      </c>
      <c r="BT1338" t="s">
        <v>135</v>
      </c>
      <c r="BU1338">
        <v>6</v>
      </c>
      <c r="BV1338" t="str">
        <f>"Job offered or closely related"</f>
        <v>Job offered or closely related</v>
      </c>
      <c r="BW1338" t="s">
        <v>135</v>
      </c>
      <c r="BX1338" t="str">
        <f>"Must obtain a commercial driving license (CDL) within 60 days of employment."</f>
        <v>Must obtain a commercial driving license (CDL) within 60 days of employment.</v>
      </c>
      <c r="BY1338" t="str">
        <f>""</f>
        <v/>
      </c>
      <c r="BZ1338" t="str">
        <f>""</f>
        <v/>
      </c>
      <c r="CA1338" t="str">
        <f>""</f>
        <v/>
      </c>
      <c r="CB1338" t="s">
        <v>131</v>
      </c>
      <c r="CF1338" t="s">
        <v>131</v>
      </c>
      <c r="CH1338" t="str">
        <f>""</f>
        <v/>
      </c>
      <c r="CI1338" t="s">
        <v>131</v>
      </c>
      <c r="CK1338" t="s">
        <v>131</v>
      </c>
      <c r="CL1338" t="str">
        <f>""</f>
        <v/>
      </c>
      <c r="CM1338" t="str">
        <f>""</f>
        <v/>
      </c>
      <c r="CN1338" t="str">
        <f>""</f>
        <v/>
      </c>
      <c r="CO1338" t="str">
        <f>""</f>
        <v/>
      </c>
      <c r="CP1338" t="str">
        <f>"53-3032.00"</f>
        <v>53-3032.00</v>
      </c>
      <c r="CQ1338" t="s">
        <v>1238</v>
      </c>
      <c r="CR1338" t="s">
        <v>395</v>
      </c>
      <c r="CS1338" t="s">
        <v>135</v>
      </c>
      <c r="CT1338" t="s">
        <v>16364</v>
      </c>
      <c r="CU1338" t="s">
        <v>16361</v>
      </c>
      <c r="CW1338" t="s">
        <v>1101</v>
      </c>
      <c r="CX1338" t="s">
        <v>195</v>
      </c>
      <c r="CZ1338" s="3" t="str">
        <f>"32218"</f>
        <v>32218</v>
      </c>
      <c r="DA1338" t="s">
        <v>135</v>
      </c>
      <c r="DB1338" t="str">
        <f>""</f>
        <v/>
      </c>
      <c r="DF1338" t="str">
        <f>""</f>
        <v/>
      </c>
    </row>
    <row r="1339" spans="1:110" ht="15" customHeight="1" x14ac:dyDescent="0.35">
      <c r="A1339" t="s">
        <v>18650</v>
      </c>
      <c r="B1339" t="s">
        <v>138</v>
      </c>
      <c r="C1339" s="1">
        <v>44326</v>
      </c>
      <c r="G1339" s="1">
        <v>44328</v>
      </c>
      <c r="H1339" t="s">
        <v>125</v>
      </c>
      <c r="I1339" t="s">
        <v>901</v>
      </c>
      <c r="J1339" t="s">
        <v>7017</v>
      </c>
      <c r="L1339" t="s">
        <v>4673</v>
      </c>
      <c r="M1339" t="s">
        <v>18651</v>
      </c>
      <c r="O1339" t="s">
        <v>6097</v>
      </c>
      <c r="P1339" t="s">
        <v>178</v>
      </c>
      <c r="Q1339" s="3">
        <v>91505</v>
      </c>
      <c r="R1339" t="s">
        <v>128</v>
      </c>
      <c r="T1339" s="4">
        <v>18188408131</v>
      </c>
      <c r="V1339" t="s">
        <v>7727</v>
      </c>
      <c r="W1339" t="s">
        <v>7728</v>
      </c>
      <c r="Y1339" t="s">
        <v>18651</v>
      </c>
      <c r="AA1339" t="s">
        <v>6097</v>
      </c>
      <c r="AB1339" t="s">
        <v>172</v>
      </c>
      <c r="AC1339" s="3" t="str">
        <f>"91505"</f>
        <v>91505</v>
      </c>
      <c r="AD1339" t="s">
        <v>128</v>
      </c>
      <c r="AF1339" s="4">
        <v>18188408131</v>
      </c>
      <c r="AH1339" t="str">
        <f>"238210"</f>
        <v>238210</v>
      </c>
      <c r="AI1339" t="s">
        <v>130</v>
      </c>
      <c r="AJ1339" t="s">
        <v>7729</v>
      </c>
      <c r="AK1339" t="s">
        <v>2787</v>
      </c>
      <c r="AM1339" t="s">
        <v>7730</v>
      </c>
      <c r="AO1339" t="s">
        <v>476</v>
      </c>
      <c r="AP1339" t="s">
        <v>172</v>
      </c>
      <c r="AQ1339" s="5">
        <v>90010</v>
      </c>
      <c r="AR1339" t="s">
        <v>128</v>
      </c>
      <c r="AT1339" s="4">
        <v>12133812900</v>
      </c>
      <c r="AV1339" t="s">
        <v>18652</v>
      </c>
      <c r="AW1339" t="s">
        <v>7160</v>
      </c>
      <c r="AX1339" t="s">
        <v>131</v>
      </c>
      <c r="AY1339" t="s">
        <v>131</v>
      </c>
      <c r="AZ1339" t="s">
        <v>131</v>
      </c>
      <c r="BA1339" t="s">
        <v>131</v>
      </c>
      <c r="BB1339" t="s">
        <v>131</v>
      </c>
      <c r="BC1339" t="s">
        <v>131</v>
      </c>
      <c r="BD1339" t="s">
        <v>131</v>
      </c>
      <c r="BE1339" t="s">
        <v>132</v>
      </c>
      <c r="BH1339" t="s">
        <v>7732</v>
      </c>
      <c r="BI1339" t="s">
        <v>131</v>
      </c>
      <c r="BL1339" t="s">
        <v>133</v>
      </c>
      <c r="BN1339" t="s">
        <v>18653</v>
      </c>
      <c r="BO1339" t="s">
        <v>131</v>
      </c>
      <c r="BP1339" t="s">
        <v>134</v>
      </c>
      <c r="BQ1339" t="s">
        <v>131</v>
      </c>
      <c r="BS1339" t="str">
        <f t="shared" si="89"/>
        <v>N/A</v>
      </c>
      <c r="BT1339" t="s">
        <v>131</v>
      </c>
      <c r="BV1339" t="str">
        <f>""</f>
        <v/>
      </c>
      <c r="BW1339" t="s">
        <v>131</v>
      </c>
      <c r="BX1339" t="str">
        <f>""</f>
        <v/>
      </c>
      <c r="BY1339" t="str">
        <f>""</f>
        <v/>
      </c>
      <c r="BZ1339" t="str">
        <f>""</f>
        <v/>
      </c>
      <c r="CA1339" t="str">
        <f>""</f>
        <v/>
      </c>
      <c r="CB1339" t="s">
        <v>131</v>
      </c>
      <c r="CF1339" t="s">
        <v>131</v>
      </c>
      <c r="CH1339" t="str">
        <f>""</f>
        <v/>
      </c>
      <c r="CI1339" t="s">
        <v>131</v>
      </c>
      <c r="CK1339" t="s">
        <v>131</v>
      </c>
      <c r="CL1339" t="str">
        <f>""</f>
        <v/>
      </c>
      <c r="CM1339" t="str">
        <f>""</f>
        <v/>
      </c>
      <c r="CN1339" t="str">
        <f>""</f>
        <v/>
      </c>
      <c r="CO1339" t="str">
        <f>""</f>
        <v/>
      </c>
      <c r="CP1339" t="str">
        <f>"41-9031.00"</f>
        <v>41-9031.00</v>
      </c>
      <c r="CQ1339" t="s">
        <v>1818</v>
      </c>
      <c r="CR1339" t="s">
        <v>583</v>
      </c>
      <c r="CS1339" t="s">
        <v>135</v>
      </c>
      <c r="CT1339" t="s">
        <v>18654</v>
      </c>
      <c r="CU1339" t="s">
        <v>18651</v>
      </c>
      <c r="CW1339" t="s">
        <v>6097</v>
      </c>
      <c r="CX1339" t="s">
        <v>172</v>
      </c>
      <c r="CZ1339" s="3" t="str">
        <f>"91505"</f>
        <v>91505</v>
      </c>
      <c r="DA1339" t="s">
        <v>131</v>
      </c>
      <c r="DB1339" t="str">
        <f>""</f>
        <v/>
      </c>
      <c r="DF1339" t="str">
        <f>""</f>
        <v/>
      </c>
    </row>
    <row r="1340" spans="1:110" ht="15" customHeight="1" x14ac:dyDescent="0.35">
      <c r="A1340" t="s">
        <v>17981</v>
      </c>
      <c r="B1340" t="s">
        <v>138</v>
      </c>
      <c r="C1340" s="1">
        <v>44326</v>
      </c>
      <c r="G1340" s="1">
        <v>44342</v>
      </c>
      <c r="H1340" t="s">
        <v>125</v>
      </c>
      <c r="I1340" t="s">
        <v>7998</v>
      </c>
      <c r="J1340" t="s">
        <v>7999</v>
      </c>
      <c r="L1340" t="s">
        <v>392</v>
      </c>
      <c r="M1340" t="s">
        <v>8000</v>
      </c>
      <c r="O1340" t="s">
        <v>8001</v>
      </c>
      <c r="P1340" t="s">
        <v>127</v>
      </c>
      <c r="Q1340" s="3">
        <v>11435</v>
      </c>
      <c r="R1340" t="s">
        <v>128</v>
      </c>
      <c r="T1340" s="4">
        <v>19177554950</v>
      </c>
      <c r="V1340" t="s">
        <v>8002</v>
      </c>
      <c r="W1340" t="s">
        <v>8003</v>
      </c>
      <c r="Y1340" t="s">
        <v>8004</v>
      </c>
      <c r="AA1340" t="s">
        <v>8001</v>
      </c>
      <c r="AB1340" t="s">
        <v>129</v>
      </c>
      <c r="AC1340" s="3" t="str">
        <f>"11423"</f>
        <v>11423</v>
      </c>
      <c r="AD1340" t="s">
        <v>128</v>
      </c>
      <c r="AF1340" s="4">
        <v>17189612000</v>
      </c>
      <c r="AH1340" t="str">
        <f>"238140"</f>
        <v>238140</v>
      </c>
      <c r="AI1340" t="s">
        <v>130</v>
      </c>
      <c r="AJ1340" t="s">
        <v>4349</v>
      </c>
      <c r="AK1340" t="s">
        <v>4350</v>
      </c>
      <c r="AL1340" t="s">
        <v>1624</v>
      </c>
      <c r="AM1340" t="s">
        <v>4351</v>
      </c>
      <c r="AO1340" t="s">
        <v>4352</v>
      </c>
      <c r="AP1340" t="s">
        <v>129</v>
      </c>
      <c r="AQ1340" s="5">
        <v>11738</v>
      </c>
      <c r="AR1340" t="s">
        <v>128</v>
      </c>
      <c r="AT1340" s="4">
        <v>16317323516</v>
      </c>
      <c r="AV1340" t="s">
        <v>4353</v>
      </c>
      <c r="AW1340" t="s">
        <v>13734</v>
      </c>
      <c r="AX1340" t="s">
        <v>131</v>
      </c>
      <c r="AY1340" t="s">
        <v>131</v>
      </c>
      <c r="AZ1340" t="s">
        <v>131</v>
      </c>
      <c r="BA1340" t="s">
        <v>131</v>
      </c>
      <c r="BB1340" t="s">
        <v>131</v>
      </c>
      <c r="BC1340" t="s">
        <v>131</v>
      </c>
      <c r="BD1340" t="s">
        <v>131</v>
      </c>
      <c r="BE1340" t="s">
        <v>132</v>
      </c>
      <c r="BH1340" t="s">
        <v>5056</v>
      </c>
      <c r="BI1340" t="s">
        <v>131</v>
      </c>
      <c r="BL1340" t="s">
        <v>167</v>
      </c>
      <c r="BO1340" t="s">
        <v>131</v>
      </c>
      <c r="BP1340" t="s">
        <v>134</v>
      </c>
      <c r="BQ1340" t="s">
        <v>131</v>
      </c>
      <c r="BS1340" t="str">
        <f t="shared" si="89"/>
        <v>N/A</v>
      </c>
      <c r="BT1340" t="s">
        <v>135</v>
      </c>
      <c r="BU1340">
        <v>24</v>
      </c>
      <c r="BV1340" t="str">
        <f>"MASON"</f>
        <v>MASON</v>
      </c>
      <c r="BW1340" t="s">
        <v>131</v>
      </c>
      <c r="BX1340" t="str">
        <f>""</f>
        <v/>
      </c>
      <c r="BY1340" t="str">
        <f>""</f>
        <v/>
      </c>
      <c r="BZ1340" t="str">
        <f>""</f>
        <v/>
      </c>
      <c r="CA1340" t="str">
        <f>""</f>
        <v/>
      </c>
      <c r="CB1340" t="s">
        <v>131</v>
      </c>
      <c r="CF1340" t="s">
        <v>131</v>
      </c>
      <c r="CH1340" t="str">
        <f>""</f>
        <v/>
      </c>
      <c r="CI1340" t="s">
        <v>131</v>
      </c>
      <c r="CK1340" t="s">
        <v>131</v>
      </c>
      <c r="CL1340" t="str">
        <f>""</f>
        <v/>
      </c>
      <c r="CM1340" t="str">
        <f>""</f>
        <v/>
      </c>
      <c r="CN1340" t="str">
        <f>""</f>
        <v/>
      </c>
      <c r="CO1340" t="str">
        <f>""</f>
        <v/>
      </c>
      <c r="CP1340" t="str">
        <f>"47-2022.00"</f>
        <v>47-2022.00</v>
      </c>
      <c r="CQ1340" t="s">
        <v>5319</v>
      </c>
      <c r="CR1340" t="s">
        <v>1031</v>
      </c>
      <c r="CS1340" t="s">
        <v>135</v>
      </c>
      <c r="CT1340" t="s">
        <v>17982</v>
      </c>
      <c r="CU1340" t="s">
        <v>8004</v>
      </c>
      <c r="CW1340" t="s">
        <v>8001</v>
      </c>
      <c r="CX1340" t="s">
        <v>129</v>
      </c>
      <c r="CZ1340" s="3" t="str">
        <f>"11435"</f>
        <v>11435</v>
      </c>
      <c r="DA1340" t="s">
        <v>135</v>
      </c>
      <c r="DB1340" t="str">
        <f>""</f>
        <v/>
      </c>
      <c r="DF1340" t="str">
        <f>""</f>
        <v/>
      </c>
    </row>
    <row r="1341" spans="1:110" ht="15" customHeight="1" x14ac:dyDescent="0.35">
      <c r="A1341" t="s">
        <v>7920</v>
      </c>
      <c r="B1341" t="s">
        <v>138</v>
      </c>
      <c r="C1341" s="1">
        <v>44326</v>
      </c>
      <c r="G1341" s="1">
        <v>44328</v>
      </c>
      <c r="H1341" t="s">
        <v>125</v>
      </c>
      <c r="I1341" t="s">
        <v>5097</v>
      </c>
      <c r="J1341" t="s">
        <v>718</v>
      </c>
      <c r="L1341" t="s">
        <v>5098</v>
      </c>
      <c r="M1341" t="s">
        <v>5099</v>
      </c>
      <c r="O1341" t="s">
        <v>4122</v>
      </c>
      <c r="P1341" t="s">
        <v>311</v>
      </c>
      <c r="Q1341" s="3">
        <v>18104</v>
      </c>
      <c r="R1341" t="s">
        <v>128</v>
      </c>
      <c r="T1341" s="4">
        <v>16105305000</v>
      </c>
      <c r="V1341" t="s">
        <v>5100</v>
      </c>
      <c r="W1341" t="s">
        <v>5101</v>
      </c>
      <c r="Y1341" t="s">
        <v>5102</v>
      </c>
      <c r="Z1341">
        <v>300</v>
      </c>
      <c r="AA1341" t="s">
        <v>4122</v>
      </c>
      <c r="AB1341" t="s">
        <v>312</v>
      </c>
      <c r="AC1341" s="3" t="str">
        <f>"18104"</f>
        <v>18104</v>
      </c>
      <c r="AD1341" t="s">
        <v>128</v>
      </c>
      <c r="AF1341" s="4">
        <v>17176513188</v>
      </c>
      <c r="AH1341" t="str">
        <f>"54151"</f>
        <v>54151</v>
      </c>
      <c r="AI1341" t="s">
        <v>130</v>
      </c>
      <c r="AJ1341" t="s">
        <v>3300</v>
      </c>
      <c r="AK1341" t="s">
        <v>852</v>
      </c>
      <c r="AL1341" t="s">
        <v>5103</v>
      </c>
      <c r="AM1341" t="s">
        <v>1608</v>
      </c>
      <c r="AN1341" t="s">
        <v>1609</v>
      </c>
      <c r="AO1341" t="s">
        <v>766</v>
      </c>
      <c r="AP1341" t="s">
        <v>263</v>
      </c>
      <c r="AQ1341" s="5">
        <v>60690</v>
      </c>
      <c r="AR1341" t="s">
        <v>128</v>
      </c>
      <c r="AT1341" s="4">
        <v>13126516100</v>
      </c>
      <c r="AV1341" t="s">
        <v>1610</v>
      </c>
      <c r="AW1341" t="s">
        <v>1611</v>
      </c>
      <c r="AX1341" t="s">
        <v>131</v>
      </c>
      <c r="AY1341" t="s">
        <v>131</v>
      </c>
      <c r="AZ1341" t="s">
        <v>131</v>
      </c>
      <c r="BA1341" t="s">
        <v>131</v>
      </c>
      <c r="BB1341" t="s">
        <v>131</v>
      </c>
      <c r="BC1341" t="s">
        <v>131</v>
      </c>
      <c r="BD1341" t="s">
        <v>131</v>
      </c>
      <c r="BE1341" t="s">
        <v>132</v>
      </c>
      <c r="BH1341" t="s">
        <v>7921</v>
      </c>
      <c r="BI1341" t="s">
        <v>131</v>
      </c>
      <c r="BL1341" t="s">
        <v>133</v>
      </c>
      <c r="BN1341" t="s">
        <v>7922</v>
      </c>
      <c r="BO1341" t="s">
        <v>131</v>
      </c>
      <c r="BP1341" t="s">
        <v>134</v>
      </c>
      <c r="BQ1341" t="s">
        <v>131</v>
      </c>
      <c r="BS1341" t="str">
        <f t="shared" si="89"/>
        <v>N/A</v>
      </c>
      <c r="BT1341" t="s">
        <v>135</v>
      </c>
      <c r="BU1341">
        <v>60</v>
      </c>
      <c r="BV1341" t="str">
        <f>"Related occupation"</f>
        <v>Related occupation</v>
      </c>
      <c r="BW1341" t="s">
        <v>135</v>
      </c>
      <c r="BX1341" t="str">
        <f>""</f>
        <v/>
      </c>
      <c r="BY1341" t="str">
        <f>""</f>
        <v/>
      </c>
      <c r="BZ1341" t="str">
        <f>""</f>
        <v/>
      </c>
      <c r="CA1341" t="s">
        <v>7923</v>
      </c>
      <c r="CB1341" t="s">
        <v>131</v>
      </c>
      <c r="CF1341" t="s">
        <v>131</v>
      </c>
      <c r="CH1341" t="str">
        <f>""</f>
        <v/>
      </c>
      <c r="CI1341" t="s">
        <v>131</v>
      </c>
      <c r="CK1341" t="s">
        <v>131</v>
      </c>
      <c r="CL1341" t="str">
        <f>""</f>
        <v/>
      </c>
      <c r="CM1341" t="str">
        <f>""</f>
        <v/>
      </c>
      <c r="CN1341" t="str">
        <f>""</f>
        <v/>
      </c>
      <c r="CO1341" t="str">
        <f>""</f>
        <v/>
      </c>
      <c r="CP1341" t="str">
        <f>"15-1132.00"</f>
        <v>15-1132.00</v>
      </c>
      <c r="CQ1341" t="s">
        <v>198</v>
      </c>
      <c r="CR1341" t="s">
        <v>7924</v>
      </c>
      <c r="CS1341" t="s">
        <v>135</v>
      </c>
      <c r="CT1341" t="s">
        <v>7925</v>
      </c>
      <c r="CU1341" t="s">
        <v>5099</v>
      </c>
      <c r="CW1341" t="s">
        <v>4122</v>
      </c>
      <c r="CX1341" t="s">
        <v>312</v>
      </c>
      <c r="CZ1341" s="3" t="str">
        <f>"18104"</f>
        <v>18104</v>
      </c>
      <c r="DA1341" t="s">
        <v>131</v>
      </c>
      <c r="DB1341" t="str">
        <f>""</f>
        <v/>
      </c>
      <c r="DF1341" t="str">
        <f>""</f>
        <v/>
      </c>
    </row>
    <row r="1342" spans="1:110" ht="15" customHeight="1" x14ac:dyDescent="0.35">
      <c r="A1342" t="s">
        <v>11870</v>
      </c>
      <c r="B1342" t="s">
        <v>138</v>
      </c>
      <c r="C1342" s="1">
        <v>44326</v>
      </c>
      <c r="G1342" s="1">
        <v>44334</v>
      </c>
      <c r="H1342" t="s">
        <v>125</v>
      </c>
      <c r="I1342" t="s">
        <v>838</v>
      </c>
      <c r="J1342" t="s">
        <v>839</v>
      </c>
      <c r="K1342" t="s">
        <v>1933</v>
      </c>
      <c r="L1342" t="s">
        <v>2565</v>
      </c>
      <c r="M1342" t="s">
        <v>841</v>
      </c>
      <c r="N1342" t="s">
        <v>842</v>
      </c>
      <c r="O1342" t="s">
        <v>11871</v>
      </c>
      <c r="P1342" t="s">
        <v>273</v>
      </c>
      <c r="Q1342" s="3">
        <v>7080</v>
      </c>
      <c r="R1342" t="s">
        <v>128</v>
      </c>
      <c r="T1342" s="4">
        <v>17328327978</v>
      </c>
      <c r="V1342" t="s">
        <v>844</v>
      </c>
      <c r="W1342" t="s">
        <v>7790</v>
      </c>
      <c r="Y1342" t="s">
        <v>7791</v>
      </c>
      <c r="Z1342" t="s">
        <v>3384</v>
      </c>
      <c r="AA1342" t="s">
        <v>1154</v>
      </c>
      <c r="AB1342" t="s">
        <v>276</v>
      </c>
      <c r="AC1342" s="3" t="str">
        <f>"08873"</f>
        <v>08873</v>
      </c>
      <c r="AD1342" t="s">
        <v>128</v>
      </c>
      <c r="AF1342" s="4">
        <v>17329067806</v>
      </c>
      <c r="AH1342" t="str">
        <f>"541511"</f>
        <v>541511</v>
      </c>
      <c r="AI1342" t="s">
        <v>130</v>
      </c>
      <c r="AJ1342" t="s">
        <v>838</v>
      </c>
      <c r="AK1342" t="s">
        <v>839</v>
      </c>
      <c r="AL1342" t="s">
        <v>1933</v>
      </c>
      <c r="AM1342" t="s">
        <v>841</v>
      </c>
      <c r="AN1342" t="s">
        <v>842</v>
      </c>
      <c r="AO1342" t="s">
        <v>11871</v>
      </c>
      <c r="AP1342" t="s">
        <v>276</v>
      </c>
      <c r="AQ1342" s="5">
        <v>7080</v>
      </c>
      <c r="AR1342" t="s">
        <v>128</v>
      </c>
      <c r="AT1342" s="4">
        <v>17328327978</v>
      </c>
      <c r="AV1342" t="s">
        <v>844</v>
      </c>
      <c r="AW1342" t="s">
        <v>3328</v>
      </c>
      <c r="AX1342" t="s">
        <v>131</v>
      </c>
      <c r="AY1342" t="s">
        <v>131</v>
      </c>
      <c r="AZ1342" t="s">
        <v>131</v>
      </c>
      <c r="BA1342" t="s">
        <v>131</v>
      </c>
      <c r="BB1342" t="s">
        <v>131</v>
      </c>
      <c r="BC1342" t="s">
        <v>131</v>
      </c>
      <c r="BD1342" t="s">
        <v>131</v>
      </c>
      <c r="BE1342" t="s">
        <v>132</v>
      </c>
      <c r="BH1342" t="s">
        <v>846</v>
      </c>
      <c r="BI1342" t="s">
        <v>131</v>
      </c>
      <c r="BL1342" t="s">
        <v>133</v>
      </c>
      <c r="BN1342" t="s">
        <v>11872</v>
      </c>
      <c r="BO1342" t="s">
        <v>131</v>
      </c>
      <c r="BP1342" t="s">
        <v>134</v>
      </c>
      <c r="BQ1342" t="s">
        <v>131</v>
      </c>
      <c r="BS1342" t="str">
        <f t="shared" si="89"/>
        <v>N/A</v>
      </c>
      <c r="BT1342" t="s">
        <v>135</v>
      </c>
      <c r="BU1342">
        <v>12</v>
      </c>
      <c r="BV1342" t="str">
        <f>"job offered or related occupation"</f>
        <v>job offered or related occupation</v>
      </c>
      <c r="BW1342" t="s">
        <v>135</v>
      </c>
      <c r="BX1342" t="str">
        <f>""</f>
        <v/>
      </c>
      <c r="BY1342" t="str">
        <f>""</f>
        <v/>
      </c>
      <c r="BZ1342" t="str">
        <f>""</f>
        <v/>
      </c>
      <c r="CA1342" t="str">
        <f>"Skills Required: Java, JavaScript, Angular/react framework, CSS, HTML, Bootstrap, JSON, Ajax, jQuery, MYSQL, and Mongo DB."</f>
        <v>Skills Required: Java, JavaScript, Angular/react framework, CSS, HTML, Bootstrap, JSON, Ajax, jQuery, MYSQL, and Mongo DB.</v>
      </c>
      <c r="CB1342" t="s">
        <v>131</v>
      </c>
      <c r="CF1342" t="s">
        <v>131</v>
      </c>
      <c r="CH1342" t="str">
        <f>""</f>
        <v/>
      </c>
      <c r="CI1342" t="s">
        <v>131</v>
      </c>
      <c r="CK1342" t="s">
        <v>131</v>
      </c>
      <c r="CL1342" t="str">
        <f>""</f>
        <v/>
      </c>
      <c r="CM1342" t="str">
        <f>""</f>
        <v/>
      </c>
      <c r="CN1342" t="str">
        <f>""</f>
        <v/>
      </c>
      <c r="CO1342" t="str">
        <f>""</f>
        <v/>
      </c>
      <c r="CP1342" t="str">
        <f>"15-1132.00"</f>
        <v>15-1132.00</v>
      </c>
      <c r="CQ1342" t="s">
        <v>198</v>
      </c>
      <c r="CR1342" t="s">
        <v>849</v>
      </c>
      <c r="CS1342" t="s">
        <v>131</v>
      </c>
      <c r="CU1342" t="s">
        <v>7791</v>
      </c>
      <c r="CV1342" t="s">
        <v>3384</v>
      </c>
      <c r="CW1342" t="s">
        <v>1154</v>
      </c>
      <c r="CX1342" t="s">
        <v>276</v>
      </c>
      <c r="CZ1342" s="3" t="str">
        <f>"08873"</f>
        <v>08873</v>
      </c>
      <c r="DA1342" t="s">
        <v>131</v>
      </c>
      <c r="DB1342" t="str">
        <f>""</f>
        <v/>
      </c>
      <c r="DF1342" t="str">
        <f>""</f>
        <v/>
      </c>
    </row>
    <row r="1343" spans="1:110" ht="15" customHeight="1" x14ac:dyDescent="0.35">
      <c r="A1343" t="s">
        <v>18778</v>
      </c>
      <c r="B1343" t="s">
        <v>138</v>
      </c>
      <c r="C1343" s="1">
        <v>44326</v>
      </c>
      <c r="G1343" s="1">
        <v>44327</v>
      </c>
      <c r="H1343" t="s">
        <v>125</v>
      </c>
      <c r="I1343" t="s">
        <v>1427</v>
      </c>
      <c r="J1343" t="s">
        <v>1428</v>
      </c>
      <c r="L1343" t="s">
        <v>1429</v>
      </c>
      <c r="M1343" t="s">
        <v>1301</v>
      </c>
      <c r="O1343" t="s">
        <v>664</v>
      </c>
      <c r="P1343" t="s">
        <v>178</v>
      </c>
      <c r="Q1343" s="3">
        <v>95134</v>
      </c>
      <c r="R1343" t="s">
        <v>128</v>
      </c>
      <c r="T1343" s="4">
        <v>14085264000</v>
      </c>
      <c r="V1343" t="s">
        <v>1302</v>
      </c>
      <c r="W1343" t="s">
        <v>1303</v>
      </c>
      <c r="Y1343" t="s">
        <v>1301</v>
      </c>
      <c r="AA1343" t="s">
        <v>664</v>
      </c>
      <c r="AB1343" t="s">
        <v>172</v>
      </c>
      <c r="AC1343" s="3" t="str">
        <f>"95134"</f>
        <v>95134</v>
      </c>
      <c r="AD1343" t="s">
        <v>128</v>
      </c>
      <c r="AF1343" s="4">
        <v>14085264000</v>
      </c>
      <c r="AG1343">
        <v>0</v>
      </c>
      <c r="AH1343" t="str">
        <f>"334111"</f>
        <v>334111</v>
      </c>
      <c r="AI1343" t="s">
        <v>130</v>
      </c>
      <c r="AJ1343" t="s">
        <v>1784</v>
      </c>
      <c r="AK1343" t="s">
        <v>1304</v>
      </c>
      <c r="AL1343" t="s">
        <v>813</v>
      </c>
      <c r="AM1343" t="s">
        <v>1547</v>
      </c>
      <c r="AN1343" t="s">
        <v>18779</v>
      </c>
      <c r="AO1343" t="s">
        <v>2358</v>
      </c>
      <c r="AP1343" t="s">
        <v>172</v>
      </c>
      <c r="AQ1343" s="5">
        <v>95054</v>
      </c>
      <c r="AR1343" t="s">
        <v>128</v>
      </c>
      <c r="AT1343" s="4">
        <v>14089190600</v>
      </c>
      <c r="AU1343">
        <v>0</v>
      </c>
      <c r="AV1343" t="s">
        <v>12499</v>
      </c>
      <c r="AW1343" t="s">
        <v>386</v>
      </c>
      <c r="AX1343" t="s">
        <v>131</v>
      </c>
      <c r="AY1343" t="s">
        <v>131</v>
      </c>
      <c r="AZ1343" t="s">
        <v>131</v>
      </c>
      <c r="BA1343" t="s">
        <v>131</v>
      </c>
      <c r="BB1343" t="s">
        <v>131</v>
      </c>
      <c r="BC1343" t="s">
        <v>131</v>
      </c>
      <c r="BD1343" t="s">
        <v>131</v>
      </c>
      <c r="BE1343" t="s">
        <v>132</v>
      </c>
      <c r="BH1343" t="s">
        <v>4477</v>
      </c>
      <c r="BI1343" t="s">
        <v>131</v>
      </c>
      <c r="BL1343" t="s">
        <v>188</v>
      </c>
      <c r="BN1343" t="s">
        <v>1306</v>
      </c>
      <c r="BO1343" t="s">
        <v>131</v>
      </c>
      <c r="BP1343" t="s">
        <v>134</v>
      </c>
      <c r="BQ1343" t="s">
        <v>131</v>
      </c>
      <c r="BS1343" t="str">
        <f t="shared" si="89"/>
        <v>N/A</v>
      </c>
      <c r="BT1343" t="s">
        <v>135</v>
      </c>
      <c r="BU1343">
        <v>24</v>
      </c>
      <c r="BV1343" t="str">
        <f>"Two (2) years of experience in job offered or related occupation."</f>
        <v>Two (2) years of experience in job offered or related occupation.</v>
      </c>
      <c r="BW1343" t="s">
        <v>135</v>
      </c>
      <c r="BX1343" t="str">
        <f>""</f>
        <v/>
      </c>
      <c r="BY1343" t="str">
        <f>""</f>
        <v/>
      </c>
      <c r="BZ1343" t="str">
        <f>""</f>
        <v/>
      </c>
      <c r="CA1343" t="str">
        <f>"Switching &amp; Routing Protocols and Techniques;  Python;  TCL;  UNIX;  Testing Methodologies ; Virtualization and Cloud Technologies
"</f>
        <v xml:space="preserve">Switching &amp; Routing Protocols and Techniques;  Python;  TCL;  UNIX;  Testing Methodologies ; Virtualization and Cloud Technologies
</v>
      </c>
      <c r="CB1343" t="s">
        <v>131</v>
      </c>
      <c r="CF1343" t="s">
        <v>131</v>
      </c>
      <c r="CH1343" t="str">
        <f>""</f>
        <v/>
      </c>
      <c r="CI1343" t="s">
        <v>131</v>
      </c>
      <c r="CK1343" t="s">
        <v>131</v>
      </c>
      <c r="CL1343" t="str">
        <f>""</f>
        <v/>
      </c>
      <c r="CM1343" t="str">
        <f>""</f>
        <v/>
      </c>
      <c r="CN1343" t="str">
        <f>""</f>
        <v/>
      </c>
      <c r="CO1343" t="str">
        <f>""</f>
        <v/>
      </c>
      <c r="CP1343" t="str">
        <f>"15-1199.01"</f>
        <v>15-1199.01</v>
      </c>
      <c r="CQ1343" t="s">
        <v>308</v>
      </c>
      <c r="CR1343" t="s">
        <v>18119</v>
      </c>
      <c r="CS1343" t="s">
        <v>131</v>
      </c>
      <c r="CU1343" t="s">
        <v>1786</v>
      </c>
      <c r="CW1343" t="s">
        <v>1308</v>
      </c>
      <c r="CX1343" t="s">
        <v>172</v>
      </c>
      <c r="CZ1343" s="3" t="str">
        <f>"95134"</f>
        <v>95134</v>
      </c>
      <c r="DA1343" t="s">
        <v>131</v>
      </c>
      <c r="DB1343" t="str">
        <f>""</f>
        <v/>
      </c>
      <c r="DF1343" t="str">
        <f>""</f>
        <v/>
      </c>
    </row>
    <row r="1344" spans="1:110" ht="15" customHeight="1" x14ac:dyDescent="0.35">
      <c r="A1344" t="s">
        <v>19643</v>
      </c>
      <c r="B1344" t="s">
        <v>138</v>
      </c>
      <c r="C1344" s="1">
        <v>44326</v>
      </c>
      <c r="G1344" s="1">
        <v>44342</v>
      </c>
      <c r="H1344" t="s">
        <v>125</v>
      </c>
      <c r="I1344" t="s">
        <v>3783</v>
      </c>
      <c r="J1344" t="s">
        <v>3784</v>
      </c>
      <c r="K1344" t="s">
        <v>655</v>
      </c>
      <c r="L1344" t="s">
        <v>2612</v>
      </c>
      <c r="M1344" t="s">
        <v>3785</v>
      </c>
      <c r="N1344" t="s">
        <v>3786</v>
      </c>
      <c r="O1344" t="s">
        <v>5104</v>
      </c>
      <c r="P1344" t="s">
        <v>178</v>
      </c>
      <c r="Q1344" s="3">
        <v>93438</v>
      </c>
      <c r="R1344" t="s">
        <v>128</v>
      </c>
      <c r="T1344" s="4">
        <v>15107911111</v>
      </c>
      <c r="V1344" t="s">
        <v>3787</v>
      </c>
      <c r="W1344" t="s">
        <v>15732</v>
      </c>
      <c r="Y1344" t="s">
        <v>15731</v>
      </c>
      <c r="Z1344" t="s">
        <v>2750</v>
      </c>
      <c r="AA1344" t="s">
        <v>664</v>
      </c>
      <c r="AB1344" t="s">
        <v>172</v>
      </c>
      <c r="AC1344" s="3" t="str">
        <f>"95110"</f>
        <v>95110</v>
      </c>
      <c r="AD1344" t="s">
        <v>128</v>
      </c>
      <c r="AF1344" s="4">
        <v>18772133558</v>
      </c>
      <c r="AH1344" t="str">
        <f>"541511"</f>
        <v>541511</v>
      </c>
      <c r="AI1344" t="s">
        <v>130</v>
      </c>
      <c r="AJ1344" t="s">
        <v>3783</v>
      </c>
      <c r="AK1344" t="s">
        <v>3784</v>
      </c>
      <c r="AL1344" t="s">
        <v>655</v>
      </c>
      <c r="AM1344" t="s">
        <v>3785</v>
      </c>
      <c r="AN1344" t="s">
        <v>3786</v>
      </c>
      <c r="AO1344" t="s">
        <v>647</v>
      </c>
      <c r="AP1344" t="s">
        <v>172</v>
      </c>
      <c r="AQ1344" s="5">
        <v>93438</v>
      </c>
      <c r="AR1344" t="s">
        <v>128</v>
      </c>
      <c r="AT1344" s="4">
        <v>15107911111</v>
      </c>
      <c r="AV1344" t="s">
        <v>3787</v>
      </c>
      <c r="AW1344" t="s">
        <v>3788</v>
      </c>
      <c r="AX1344" t="s">
        <v>131</v>
      </c>
      <c r="AY1344" t="s">
        <v>131</v>
      </c>
      <c r="AZ1344" t="s">
        <v>131</v>
      </c>
      <c r="BA1344" t="s">
        <v>131</v>
      </c>
      <c r="BB1344" t="s">
        <v>131</v>
      </c>
      <c r="BC1344" t="s">
        <v>131</v>
      </c>
      <c r="BD1344" t="s">
        <v>131</v>
      </c>
      <c r="BE1344" t="s">
        <v>132</v>
      </c>
      <c r="BH1344" t="s">
        <v>15733</v>
      </c>
      <c r="BI1344" t="s">
        <v>131</v>
      </c>
      <c r="BL1344" t="s">
        <v>133</v>
      </c>
      <c r="BN1344" t="s">
        <v>19644</v>
      </c>
      <c r="BO1344" t="s">
        <v>131</v>
      </c>
      <c r="BP1344" t="s">
        <v>134</v>
      </c>
      <c r="BQ1344" t="s">
        <v>131</v>
      </c>
      <c r="BS1344" t="str">
        <f t="shared" si="89"/>
        <v>N/A</v>
      </c>
      <c r="BT1344" t="s">
        <v>135</v>
      </c>
      <c r="BU1344">
        <v>60</v>
      </c>
      <c r="BV1344" t="str">
        <f>"Technical Consultant and Senior Technical Consultant or related."</f>
        <v>Technical Consultant and Senior Technical Consultant or related.</v>
      </c>
      <c r="BW1344" t="s">
        <v>135</v>
      </c>
      <c r="BX1344" t="str">
        <f>""</f>
        <v/>
      </c>
      <c r="BY1344" t="str">
        <f>""</f>
        <v/>
      </c>
      <c r="BZ1344" t="str">
        <f>""</f>
        <v/>
      </c>
      <c r="CA1344" t="str">
        <f>"Position also requires experience in Java, Python, SAP, Tomcat, Jetty, JBoss, IHS, IIS, Bash scripting, Docker, Kubernetes (EKS, GCP), VMWare ESXi, AWS. "</f>
        <v xml:space="preserve">Position also requires experience in Java, Python, SAP, Tomcat, Jetty, JBoss, IHS, IIS, Bash scripting, Docker, Kubernetes (EKS, GCP), VMWare ESXi, AWS. </v>
      </c>
      <c r="CB1344" t="s">
        <v>131</v>
      </c>
      <c r="CF1344" t="s">
        <v>131</v>
      </c>
      <c r="CH1344" t="str">
        <f>""</f>
        <v/>
      </c>
      <c r="CI1344" t="s">
        <v>131</v>
      </c>
      <c r="CK1344" t="s">
        <v>131</v>
      </c>
      <c r="CL1344" t="str">
        <f>""</f>
        <v/>
      </c>
      <c r="CM1344" t="str">
        <f>""</f>
        <v/>
      </c>
      <c r="CN1344" t="str">
        <f>""</f>
        <v/>
      </c>
      <c r="CO1344" t="str">
        <f>""</f>
        <v/>
      </c>
      <c r="CP1344" t="str">
        <f>"15-1199.02"</f>
        <v>15-1199.02</v>
      </c>
      <c r="CQ1344" t="s">
        <v>2269</v>
      </c>
      <c r="CR1344" t="s">
        <v>1400</v>
      </c>
      <c r="CS1344" t="s">
        <v>135</v>
      </c>
      <c r="CT1344" s="2" t="s">
        <v>19645</v>
      </c>
      <c r="CU1344" t="s">
        <v>15734</v>
      </c>
      <c r="CV1344" t="s">
        <v>15735</v>
      </c>
      <c r="CW1344" t="s">
        <v>664</v>
      </c>
      <c r="CX1344" t="s">
        <v>172</v>
      </c>
      <c r="CZ1344" s="3" t="str">
        <f>"95110"</f>
        <v>95110</v>
      </c>
      <c r="DA1344" t="s">
        <v>131</v>
      </c>
      <c r="DB1344" t="str">
        <f>""</f>
        <v/>
      </c>
      <c r="DF1344" t="str">
        <f>""</f>
        <v/>
      </c>
    </row>
    <row r="1345" spans="1:110" ht="15" customHeight="1" x14ac:dyDescent="0.35">
      <c r="A1345" t="s">
        <v>11286</v>
      </c>
      <c r="B1345" t="s">
        <v>138</v>
      </c>
      <c r="C1345" s="1">
        <v>44326</v>
      </c>
      <c r="G1345" s="1">
        <v>44342</v>
      </c>
      <c r="H1345" t="s">
        <v>125</v>
      </c>
      <c r="I1345" t="s">
        <v>2282</v>
      </c>
      <c r="J1345" t="s">
        <v>11287</v>
      </c>
      <c r="L1345" t="s">
        <v>583</v>
      </c>
      <c r="M1345" t="s">
        <v>11288</v>
      </c>
      <c r="O1345" t="s">
        <v>584</v>
      </c>
      <c r="P1345" t="s">
        <v>194</v>
      </c>
      <c r="Q1345" s="3">
        <v>33122</v>
      </c>
      <c r="R1345" t="s">
        <v>128</v>
      </c>
      <c r="T1345" s="4">
        <v>13055936774</v>
      </c>
      <c r="V1345" t="s">
        <v>11289</v>
      </c>
      <c r="W1345" t="s">
        <v>11290</v>
      </c>
      <c r="Y1345" t="s">
        <v>11288</v>
      </c>
      <c r="AA1345" t="s">
        <v>584</v>
      </c>
      <c r="AB1345" t="s">
        <v>195</v>
      </c>
      <c r="AC1345" s="3" t="str">
        <f>"33122"</f>
        <v>33122</v>
      </c>
      <c r="AD1345" t="s">
        <v>128</v>
      </c>
      <c r="AF1345" s="4">
        <v>13055936774</v>
      </c>
      <c r="AH1345" t="str">
        <f>"481212"</f>
        <v>481212</v>
      </c>
      <c r="AI1345" t="s">
        <v>167</v>
      </c>
      <c r="AX1345" t="s">
        <v>131</v>
      </c>
      <c r="AY1345" t="s">
        <v>131</v>
      </c>
      <c r="AZ1345" t="s">
        <v>131</v>
      </c>
      <c r="BA1345" t="s">
        <v>131</v>
      </c>
      <c r="BB1345" t="s">
        <v>131</v>
      </c>
      <c r="BC1345" t="s">
        <v>131</v>
      </c>
      <c r="BD1345" t="s">
        <v>131</v>
      </c>
      <c r="BE1345" t="s">
        <v>1948</v>
      </c>
      <c r="BH1345" t="s">
        <v>4500</v>
      </c>
      <c r="BI1345" t="s">
        <v>131</v>
      </c>
      <c r="BL1345" t="s">
        <v>401</v>
      </c>
      <c r="BO1345" t="s">
        <v>131</v>
      </c>
      <c r="BP1345" t="s">
        <v>134</v>
      </c>
      <c r="BQ1345" t="s">
        <v>131</v>
      </c>
      <c r="BS1345" t="str">
        <f t="shared" si="89"/>
        <v>N/A</v>
      </c>
      <c r="BT1345" t="s">
        <v>131</v>
      </c>
      <c r="BV1345" t="str">
        <f>""</f>
        <v/>
      </c>
      <c r="BW1345" t="s">
        <v>131</v>
      </c>
      <c r="BX1345" t="str">
        <f>""</f>
        <v/>
      </c>
      <c r="BY1345" t="str">
        <f>""</f>
        <v/>
      </c>
      <c r="BZ1345" t="str">
        <f>""</f>
        <v/>
      </c>
      <c r="CA1345" t="str">
        <f>""</f>
        <v/>
      </c>
      <c r="CB1345" t="s">
        <v>131</v>
      </c>
      <c r="CF1345" t="s">
        <v>131</v>
      </c>
      <c r="CH1345" t="str">
        <f>""</f>
        <v/>
      </c>
      <c r="CI1345" t="s">
        <v>131</v>
      </c>
      <c r="CK1345" t="s">
        <v>131</v>
      </c>
      <c r="CL1345" t="str">
        <f>""</f>
        <v/>
      </c>
      <c r="CM1345" t="str">
        <f>""</f>
        <v/>
      </c>
      <c r="CN1345" t="str">
        <f>""</f>
        <v/>
      </c>
      <c r="CO1345" t="str">
        <f>""</f>
        <v/>
      </c>
      <c r="CP1345" t="str">
        <f>"43-9061.00"</f>
        <v>43-9061.00</v>
      </c>
      <c r="CQ1345" t="s">
        <v>4501</v>
      </c>
      <c r="CS1345" t="s">
        <v>131</v>
      </c>
      <c r="CU1345" t="s">
        <v>11288</v>
      </c>
      <c r="CW1345" t="s">
        <v>584</v>
      </c>
      <c r="CX1345" t="s">
        <v>195</v>
      </c>
      <c r="CZ1345" s="3" t="str">
        <f>"33122"</f>
        <v>33122</v>
      </c>
      <c r="DA1345" t="s">
        <v>131</v>
      </c>
      <c r="DB1345" t="str">
        <f>""</f>
        <v/>
      </c>
      <c r="DF1345" t="str">
        <f>""</f>
        <v/>
      </c>
    </row>
    <row r="1346" spans="1:110" ht="15" customHeight="1" x14ac:dyDescent="0.35">
      <c r="A1346" t="s">
        <v>18330</v>
      </c>
      <c r="B1346" t="s">
        <v>138</v>
      </c>
      <c r="C1346" s="1">
        <v>44326</v>
      </c>
      <c r="G1346" s="1">
        <v>44326</v>
      </c>
      <c r="H1346" t="s">
        <v>125</v>
      </c>
      <c r="I1346" t="s">
        <v>6951</v>
      </c>
      <c r="J1346" t="s">
        <v>18331</v>
      </c>
      <c r="L1346" t="s">
        <v>2754</v>
      </c>
      <c r="M1346" t="s">
        <v>3232</v>
      </c>
      <c r="N1346" t="s">
        <v>646</v>
      </c>
      <c r="O1346" t="s">
        <v>642</v>
      </c>
      <c r="P1346" t="s">
        <v>818</v>
      </c>
      <c r="Q1346" s="3">
        <v>30345</v>
      </c>
      <c r="R1346" t="s">
        <v>128</v>
      </c>
      <c r="T1346" s="4">
        <v>14045492054</v>
      </c>
      <c r="V1346" t="s">
        <v>18332</v>
      </c>
      <c r="W1346" t="s">
        <v>3233</v>
      </c>
      <c r="X1346" t="s">
        <v>3234</v>
      </c>
      <c r="Y1346" t="s">
        <v>18333</v>
      </c>
      <c r="Z1346" t="s">
        <v>646</v>
      </c>
      <c r="AA1346" t="s">
        <v>642</v>
      </c>
      <c r="AB1346" t="s">
        <v>643</v>
      </c>
      <c r="AC1346" s="3" t="str">
        <f>"30345"</f>
        <v>30345</v>
      </c>
      <c r="AD1346" t="s">
        <v>128</v>
      </c>
      <c r="AF1346" s="4">
        <v>14045492054</v>
      </c>
      <c r="AH1346" t="str">
        <f>"722514"</f>
        <v>722514</v>
      </c>
      <c r="AI1346" t="s">
        <v>130</v>
      </c>
      <c r="AJ1346" t="s">
        <v>1074</v>
      </c>
      <c r="AK1346" t="s">
        <v>3235</v>
      </c>
      <c r="AM1346" t="s">
        <v>9954</v>
      </c>
      <c r="AN1346" t="s">
        <v>3236</v>
      </c>
      <c r="AO1346" t="s">
        <v>3237</v>
      </c>
      <c r="AP1346" t="s">
        <v>643</v>
      </c>
      <c r="AQ1346" s="5">
        <v>30096</v>
      </c>
      <c r="AR1346" t="s">
        <v>128</v>
      </c>
      <c r="AT1346" s="4">
        <v>17704760499</v>
      </c>
      <c r="AV1346" t="s">
        <v>18334</v>
      </c>
      <c r="AW1346" t="s">
        <v>10844</v>
      </c>
      <c r="AX1346" t="s">
        <v>131</v>
      </c>
      <c r="AY1346" t="s">
        <v>131</v>
      </c>
      <c r="AZ1346" t="s">
        <v>131</v>
      </c>
      <c r="BA1346" t="s">
        <v>131</v>
      </c>
      <c r="BB1346" t="s">
        <v>131</v>
      </c>
      <c r="BC1346" t="s">
        <v>131</v>
      </c>
      <c r="BD1346" t="s">
        <v>131</v>
      </c>
      <c r="BE1346" t="s">
        <v>132</v>
      </c>
      <c r="BH1346" t="s">
        <v>3239</v>
      </c>
      <c r="BI1346" t="s">
        <v>131</v>
      </c>
      <c r="BL1346" t="s">
        <v>307</v>
      </c>
      <c r="BN1346" t="s">
        <v>18335</v>
      </c>
      <c r="BO1346" t="s">
        <v>131</v>
      </c>
      <c r="BP1346" t="s">
        <v>134</v>
      </c>
      <c r="BQ1346" t="s">
        <v>131</v>
      </c>
      <c r="BS1346" t="str">
        <f t="shared" si="89"/>
        <v>N/A</v>
      </c>
      <c r="BT1346" t="s">
        <v>131</v>
      </c>
      <c r="BV1346" t="str">
        <f>""</f>
        <v/>
      </c>
      <c r="BW1346" t="s">
        <v>131</v>
      </c>
      <c r="BX1346" t="str">
        <f>""</f>
        <v/>
      </c>
      <c r="BY1346" t="str">
        <f>""</f>
        <v/>
      </c>
      <c r="BZ1346" t="str">
        <f>""</f>
        <v/>
      </c>
      <c r="CA1346" t="str">
        <f>""</f>
        <v/>
      </c>
      <c r="CB1346" t="s">
        <v>131</v>
      </c>
      <c r="CF1346" t="s">
        <v>131</v>
      </c>
      <c r="CH1346" t="str">
        <f>""</f>
        <v/>
      </c>
      <c r="CI1346" t="s">
        <v>131</v>
      </c>
      <c r="CK1346" t="s">
        <v>131</v>
      </c>
      <c r="CL1346" t="str">
        <f>""</f>
        <v/>
      </c>
      <c r="CM1346" t="str">
        <f>""</f>
        <v/>
      </c>
      <c r="CN1346" t="str">
        <f>""</f>
        <v/>
      </c>
      <c r="CO1346" t="str">
        <f>""</f>
        <v/>
      </c>
      <c r="CP1346" t="str">
        <f>"43-3031.00"</f>
        <v>43-3031.00</v>
      </c>
      <c r="CQ1346" t="s">
        <v>1783</v>
      </c>
      <c r="CR1346" t="s">
        <v>2754</v>
      </c>
      <c r="CS1346" t="s">
        <v>131</v>
      </c>
      <c r="CU1346" t="s">
        <v>3232</v>
      </c>
      <c r="CV1346" t="s">
        <v>646</v>
      </c>
      <c r="CW1346" t="s">
        <v>642</v>
      </c>
      <c r="CX1346" t="s">
        <v>643</v>
      </c>
      <c r="CZ1346" s="3" t="str">
        <f>"30345"</f>
        <v>30345</v>
      </c>
      <c r="DA1346" t="s">
        <v>131</v>
      </c>
      <c r="DB1346" t="str">
        <f>""</f>
        <v/>
      </c>
      <c r="DF1346" t="str">
        <f>""</f>
        <v/>
      </c>
    </row>
    <row r="1347" spans="1:110" ht="15" customHeight="1" x14ac:dyDescent="0.35">
      <c r="A1347" t="s">
        <v>2855</v>
      </c>
      <c r="B1347" t="s">
        <v>138</v>
      </c>
      <c r="C1347" s="1">
        <v>44326</v>
      </c>
      <c r="G1347" s="1">
        <v>44375</v>
      </c>
      <c r="H1347" t="s">
        <v>125</v>
      </c>
      <c r="I1347" t="s">
        <v>2856</v>
      </c>
      <c r="J1347" t="s">
        <v>2857</v>
      </c>
      <c r="L1347" t="s">
        <v>2858</v>
      </c>
      <c r="M1347" t="s">
        <v>2859</v>
      </c>
      <c r="N1347" t="s">
        <v>2860</v>
      </c>
      <c r="O1347" t="s">
        <v>376</v>
      </c>
      <c r="P1347" t="s">
        <v>720</v>
      </c>
      <c r="Q1347" s="3">
        <v>2110</v>
      </c>
      <c r="R1347" t="s">
        <v>128</v>
      </c>
      <c r="T1347" s="4">
        <v>16177601559</v>
      </c>
      <c r="V1347" t="s">
        <v>2861</v>
      </c>
      <c r="W1347" t="s">
        <v>2862</v>
      </c>
      <c r="Y1347" t="s">
        <v>2859</v>
      </c>
      <c r="Z1347" t="s">
        <v>2860</v>
      </c>
      <c r="AA1347" t="s">
        <v>376</v>
      </c>
      <c r="AB1347" t="s">
        <v>377</v>
      </c>
      <c r="AC1347" s="3" t="str">
        <f>"02110"</f>
        <v>02110</v>
      </c>
      <c r="AD1347" t="s">
        <v>128</v>
      </c>
      <c r="AF1347" s="4">
        <v>16177601559</v>
      </c>
      <c r="AH1347" t="str">
        <f>"523920"</f>
        <v>523920</v>
      </c>
      <c r="AI1347" t="s">
        <v>130</v>
      </c>
      <c r="AJ1347" t="s">
        <v>2863</v>
      </c>
      <c r="AK1347" t="s">
        <v>1444</v>
      </c>
      <c r="AL1347" t="s">
        <v>2864</v>
      </c>
      <c r="AM1347" t="s">
        <v>374</v>
      </c>
      <c r="AN1347" t="s">
        <v>375</v>
      </c>
      <c r="AO1347" t="s">
        <v>376</v>
      </c>
      <c r="AP1347" t="s">
        <v>377</v>
      </c>
      <c r="AQ1347" s="5">
        <v>2110</v>
      </c>
      <c r="AR1347" t="s">
        <v>128</v>
      </c>
      <c r="AT1347" s="4">
        <v>16175740400</v>
      </c>
      <c r="AV1347" t="s">
        <v>2861</v>
      </c>
      <c r="AW1347" t="s">
        <v>386</v>
      </c>
      <c r="AX1347" t="s">
        <v>131</v>
      </c>
      <c r="AY1347" t="s">
        <v>131</v>
      </c>
      <c r="AZ1347" t="s">
        <v>131</v>
      </c>
      <c r="BA1347" t="s">
        <v>131</v>
      </c>
      <c r="BB1347" t="s">
        <v>131</v>
      </c>
      <c r="BC1347" t="s">
        <v>131</v>
      </c>
      <c r="BD1347" t="s">
        <v>131</v>
      </c>
      <c r="BE1347" t="s">
        <v>132</v>
      </c>
      <c r="BH1347" t="s">
        <v>2853</v>
      </c>
      <c r="BI1347" t="s">
        <v>131</v>
      </c>
      <c r="BL1347" t="s">
        <v>133</v>
      </c>
      <c r="BN1347" t="s">
        <v>2865</v>
      </c>
      <c r="BO1347" t="s">
        <v>131</v>
      </c>
      <c r="BP1347" t="s">
        <v>134</v>
      </c>
      <c r="BQ1347" t="s">
        <v>131</v>
      </c>
      <c r="BS1347" t="str">
        <f t="shared" si="89"/>
        <v>N/A</v>
      </c>
      <c r="BT1347" t="s">
        <v>135</v>
      </c>
      <c r="BU1347">
        <v>60</v>
      </c>
      <c r="BV1347" t="str">
        <f>"Experience in SAP (systems, applications, products in data processing)"</f>
        <v>Experience in SAP (systems, applications, products in data processing)</v>
      </c>
      <c r="BW1347" t="s">
        <v>135</v>
      </c>
      <c r="BX1347" t="str">
        <f>""</f>
        <v/>
      </c>
      <c r="BY1347" t="str">
        <f>""</f>
        <v/>
      </c>
      <c r="BZ1347" t="str">
        <f>""</f>
        <v/>
      </c>
      <c r="CA1347" s="2" t="s">
        <v>2866</v>
      </c>
      <c r="CB1347" t="s">
        <v>135</v>
      </c>
      <c r="CC1347" t="s">
        <v>188</v>
      </c>
      <c r="CE1347" t="s">
        <v>2865</v>
      </c>
      <c r="CF1347" t="s">
        <v>131</v>
      </c>
      <c r="CH1347" t="str">
        <f>"N/A"</f>
        <v>N/A</v>
      </c>
      <c r="CI1347" t="s">
        <v>135</v>
      </c>
      <c r="CJ1347">
        <v>36</v>
      </c>
      <c r="CK1347" t="s">
        <v>135</v>
      </c>
      <c r="CL1347" t="str">
        <f>""</f>
        <v/>
      </c>
      <c r="CM1347" t="str">
        <f>""</f>
        <v/>
      </c>
      <c r="CN1347" t="str">
        <f>""</f>
        <v/>
      </c>
      <c r="CO1347" s="2" t="s">
        <v>2866</v>
      </c>
      <c r="CP1347" t="str">
        <f>"11-3021.00"</f>
        <v>11-3021.00</v>
      </c>
      <c r="CQ1347" t="s">
        <v>598</v>
      </c>
      <c r="CR1347" t="s">
        <v>2867</v>
      </c>
      <c r="CS1347" t="s">
        <v>131</v>
      </c>
      <c r="CU1347" t="s">
        <v>2859</v>
      </c>
      <c r="CV1347" t="s">
        <v>2860</v>
      </c>
      <c r="CW1347" t="s">
        <v>376</v>
      </c>
      <c r="CX1347" t="s">
        <v>377</v>
      </c>
      <c r="CZ1347" s="3" t="str">
        <f>"02110"</f>
        <v>02110</v>
      </c>
      <c r="DA1347" t="s">
        <v>131</v>
      </c>
      <c r="DB1347" t="str">
        <f>""</f>
        <v/>
      </c>
      <c r="DF1347" t="str">
        <f>""</f>
        <v/>
      </c>
    </row>
    <row r="1348" spans="1:110" ht="15" customHeight="1" x14ac:dyDescent="0.35">
      <c r="A1348" t="s">
        <v>17784</v>
      </c>
      <c r="B1348" t="s">
        <v>138</v>
      </c>
      <c r="C1348" s="1">
        <v>44326</v>
      </c>
      <c r="G1348" s="1">
        <v>44326</v>
      </c>
      <c r="H1348" t="s">
        <v>125</v>
      </c>
      <c r="I1348" t="s">
        <v>13439</v>
      </c>
      <c r="J1348" t="s">
        <v>1493</v>
      </c>
      <c r="L1348" t="s">
        <v>13440</v>
      </c>
      <c r="M1348" t="s">
        <v>17785</v>
      </c>
      <c r="O1348" t="s">
        <v>709</v>
      </c>
      <c r="P1348" t="s">
        <v>178</v>
      </c>
      <c r="Q1348" s="3">
        <v>94041</v>
      </c>
      <c r="R1348" t="s">
        <v>128</v>
      </c>
      <c r="T1348" s="4">
        <v>18012013555</v>
      </c>
      <c r="V1348" t="s">
        <v>6997</v>
      </c>
      <c r="W1348" t="s">
        <v>13442</v>
      </c>
      <c r="Y1348" t="s">
        <v>13441</v>
      </c>
      <c r="AA1348" t="s">
        <v>709</v>
      </c>
      <c r="AB1348" t="s">
        <v>172</v>
      </c>
      <c r="AC1348" s="3" t="str">
        <f>"94041"</f>
        <v>94041</v>
      </c>
      <c r="AD1348" t="s">
        <v>128</v>
      </c>
      <c r="AF1348" s="4">
        <v>18012013555</v>
      </c>
      <c r="AH1348" t="str">
        <f>"511210"</f>
        <v>511210</v>
      </c>
      <c r="AI1348" t="s">
        <v>130</v>
      </c>
      <c r="AJ1348" t="s">
        <v>6623</v>
      </c>
      <c r="AK1348" t="s">
        <v>2104</v>
      </c>
      <c r="AL1348" t="s">
        <v>1254</v>
      </c>
      <c r="AM1348" t="s">
        <v>3616</v>
      </c>
      <c r="AN1348" t="s">
        <v>6996</v>
      </c>
      <c r="AO1348" t="s">
        <v>709</v>
      </c>
      <c r="AP1348" t="s">
        <v>172</v>
      </c>
      <c r="AQ1348" s="5">
        <v>94104</v>
      </c>
      <c r="AR1348" t="s">
        <v>128</v>
      </c>
      <c r="AT1348" s="4">
        <v>14154341161</v>
      </c>
      <c r="AU1348">
        <v>16</v>
      </c>
      <c r="AV1348" t="s">
        <v>6997</v>
      </c>
      <c r="AW1348" t="s">
        <v>13412</v>
      </c>
      <c r="AX1348" t="s">
        <v>131</v>
      </c>
      <c r="AY1348" t="s">
        <v>131</v>
      </c>
      <c r="AZ1348" t="s">
        <v>131</v>
      </c>
      <c r="BA1348" t="s">
        <v>131</v>
      </c>
      <c r="BB1348" t="s">
        <v>131</v>
      </c>
      <c r="BC1348" t="s">
        <v>131</v>
      </c>
      <c r="BD1348" t="s">
        <v>131</v>
      </c>
      <c r="BE1348" t="s">
        <v>160</v>
      </c>
      <c r="BF1348" t="s">
        <v>13443</v>
      </c>
      <c r="BG1348" s="1">
        <v>44270</v>
      </c>
      <c r="BH1348" t="s">
        <v>4791</v>
      </c>
      <c r="BI1348" t="s">
        <v>131</v>
      </c>
      <c r="BL1348" t="s">
        <v>188</v>
      </c>
      <c r="BN1348" t="s">
        <v>17786</v>
      </c>
      <c r="BO1348" t="s">
        <v>131</v>
      </c>
      <c r="BP1348" t="s">
        <v>134</v>
      </c>
      <c r="BQ1348" t="s">
        <v>131</v>
      </c>
      <c r="BS1348" t="str">
        <f t="shared" si="89"/>
        <v>N/A</v>
      </c>
      <c r="BT1348" t="s">
        <v>135</v>
      </c>
      <c r="BU1348">
        <v>60</v>
      </c>
      <c r="BV1348" t="str">
        <f>"Marketing"</f>
        <v>Marketing</v>
      </c>
      <c r="BW1348" t="s">
        <v>135</v>
      </c>
      <c r="BX1348" t="str">
        <f>""</f>
        <v/>
      </c>
      <c r="BY1348" t="str">
        <f>""</f>
        <v/>
      </c>
      <c r="BZ1348" t="str">
        <f>""</f>
        <v/>
      </c>
      <c r="CA1348" t="s">
        <v>13444</v>
      </c>
      <c r="CB1348" t="s">
        <v>131</v>
      </c>
      <c r="CF1348" t="s">
        <v>131</v>
      </c>
      <c r="CH1348" t="str">
        <f>""</f>
        <v/>
      </c>
      <c r="CI1348" t="s">
        <v>131</v>
      </c>
      <c r="CK1348" t="s">
        <v>131</v>
      </c>
      <c r="CL1348" t="str">
        <f>""</f>
        <v/>
      </c>
      <c r="CM1348" t="str">
        <f>""</f>
        <v/>
      </c>
      <c r="CN1348" t="str">
        <f>""</f>
        <v/>
      </c>
      <c r="CO1348" t="str">
        <f>""</f>
        <v/>
      </c>
      <c r="CP1348" t="str">
        <f>"13-1161.00"</f>
        <v>13-1161.00</v>
      </c>
      <c r="CQ1348" t="s">
        <v>252</v>
      </c>
      <c r="CR1348" t="s">
        <v>13445</v>
      </c>
      <c r="CS1348" t="s">
        <v>131</v>
      </c>
      <c r="CU1348" t="s">
        <v>13441</v>
      </c>
      <c r="CW1348" t="s">
        <v>709</v>
      </c>
      <c r="CX1348" t="s">
        <v>172</v>
      </c>
      <c r="CZ1348" s="3" t="str">
        <f>"94041"</f>
        <v>94041</v>
      </c>
      <c r="DA1348" t="s">
        <v>131</v>
      </c>
      <c r="DB1348" t="str">
        <f>""</f>
        <v/>
      </c>
      <c r="DF1348" t="str">
        <f>""</f>
        <v/>
      </c>
    </row>
    <row r="1349" spans="1:110" ht="15" customHeight="1" x14ac:dyDescent="0.35">
      <c r="A1349" t="s">
        <v>14716</v>
      </c>
      <c r="B1349" t="s">
        <v>138</v>
      </c>
      <c r="C1349" s="1">
        <v>44326</v>
      </c>
      <c r="G1349" s="1">
        <v>44377</v>
      </c>
      <c r="H1349" t="s">
        <v>125</v>
      </c>
      <c r="I1349" t="s">
        <v>139</v>
      </c>
      <c r="J1349" t="s">
        <v>140</v>
      </c>
      <c r="L1349" t="s">
        <v>130</v>
      </c>
      <c r="M1349" t="s">
        <v>142</v>
      </c>
      <c r="O1349" t="s">
        <v>143</v>
      </c>
      <c r="P1349" t="s">
        <v>144</v>
      </c>
      <c r="Q1349" s="3">
        <v>98052</v>
      </c>
      <c r="R1349" t="s">
        <v>128</v>
      </c>
      <c r="T1349" s="4">
        <v>14255383872</v>
      </c>
      <c r="V1349" t="s">
        <v>145</v>
      </c>
      <c r="W1349" t="s">
        <v>146</v>
      </c>
      <c r="Y1349" t="s">
        <v>147</v>
      </c>
      <c r="AA1349" t="s">
        <v>143</v>
      </c>
      <c r="AB1349" t="s">
        <v>149</v>
      </c>
      <c r="AC1349" s="3" t="str">
        <f>"98052"</f>
        <v>98052</v>
      </c>
      <c r="AD1349" t="s">
        <v>128</v>
      </c>
      <c r="AF1349" s="4">
        <v>14257067916</v>
      </c>
      <c r="AH1349" t="str">
        <f>"51121"</f>
        <v>51121</v>
      </c>
      <c r="AI1349" t="s">
        <v>130</v>
      </c>
      <c r="AJ1349" t="s">
        <v>901</v>
      </c>
      <c r="AK1349" t="s">
        <v>2124</v>
      </c>
      <c r="AL1349" t="s">
        <v>3130</v>
      </c>
      <c r="AM1349" t="s">
        <v>2789</v>
      </c>
      <c r="AN1349" t="s">
        <v>2790</v>
      </c>
      <c r="AO1349" t="s">
        <v>476</v>
      </c>
      <c r="AP1349" t="s">
        <v>172</v>
      </c>
      <c r="AQ1349" s="5">
        <v>90013</v>
      </c>
      <c r="AR1349" t="s">
        <v>128</v>
      </c>
      <c r="AT1349" s="4">
        <v>12136247500</v>
      </c>
      <c r="AV1349" t="s">
        <v>2791</v>
      </c>
      <c r="AW1349" t="s">
        <v>2774</v>
      </c>
      <c r="AX1349" t="s">
        <v>131</v>
      </c>
      <c r="AY1349" t="s">
        <v>131</v>
      </c>
      <c r="AZ1349" t="s">
        <v>131</v>
      </c>
      <c r="BA1349" t="s">
        <v>131</v>
      </c>
      <c r="BB1349" t="s">
        <v>131</v>
      </c>
      <c r="BC1349" t="s">
        <v>131</v>
      </c>
      <c r="BD1349" t="s">
        <v>131</v>
      </c>
      <c r="BE1349" t="s">
        <v>132</v>
      </c>
      <c r="BH1349" t="s">
        <v>3178</v>
      </c>
      <c r="BI1349" t="s">
        <v>131</v>
      </c>
      <c r="BL1349" t="s">
        <v>188</v>
      </c>
      <c r="BN1349" t="s">
        <v>3132</v>
      </c>
      <c r="BO1349" t="s">
        <v>131</v>
      </c>
      <c r="BP1349" t="s">
        <v>134</v>
      </c>
      <c r="BQ1349" t="s">
        <v>131</v>
      </c>
      <c r="BS1349" t="str">
        <f t="shared" si="89"/>
        <v>N/A</v>
      </c>
      <c r="BT1349" t="s">
        <v>135</v>
      </c>
      <c r="BU1349">
        <v>12</v>
      </c>
      <c r="BV1349" t="str">
        <f>"See E.A.5."</f>
        <v>See E.A.5.</v>
      </c>
      <c r="BW1349" t="s">
        <v>135</v>
      </c>
      <c r="BX1349" t="str">
        <f>""</f>
        <v/>
      </c>
      <c r="BY1349" t="str">
        <f>""</f>
        <v/>
      </c>
      <c r="BZ1349" t="str">
        <f>""</f>
        <v/>
      </c>
      <c r="CA1349" t="str">
        <f>"This position also requires education or experience in: Data Structures and Algorithms; C; R; Scripting; Time Series Analysis; Casual Inference; and Machine Learning."</f>
        <v>This position also requires education or experience in: Data Structures and Algorithms; C; R; Scripting; Time Series Analysis; Casual Inference; and Machine Learning.</v>
      </c>
      <c r="CB1349" t="s">
        <v>131</v>
      </c>
      <c r="CF1349" t="s">
        <v>131</v>
      </c>
      <c r="CH1349" t="str">
        <f>""</f>
        <v/>
      </c>
      <c r="CI1349" t="s">
        <v>131</v>
      </c>
      <c r="CK1349" t="s">
        <v>131</v>
      </c>
      <c r="CL1349" t="str">
        <f>""</f>
        <v/>
      </c>
      <c r="CM1349" t="str">
        <f>""</f>
        <v/>
      </c>
      <c r="CN1349" t="str">
        <f>""</f>
        <v/>
      </c>
      <c r="CO1349" t="str">
        <f>""</f>
        <v/>
      </c>
      <c r="CP1349" t="str">
        <f>"15-2041.00"</f>
        <v>15-2041.00</v>
      </c>
      <c r="CQ1349" t="s">
        <v>379</v>
      </c>
      <c r="CR1349" t="s">
        <v>14717</v>
      </c>
      <c r="CS1349" t="s">
        <v>131</v>
      </c>
      <c r="CU1349" t="s">
        <v>142</v>
      </c>
      <c r="CW1349" t="s">
        <v>143</v>
      </c>
      <c r="CX1349" t="s">
        <v>149</v>
      </c>
      <c r="CZ1349" s="3" t="str">
        <f>"98052"</f>
        <v>98052</v>
      </c>
      <c r="DA1349" t="s">
        <v>131</v>
      </c>
      <c r="DB1349" t="str">
        <f>""</f>
        <v/>
      </c>
      <c r="DF1349" t="str">
        <f>""</f>
        <v/>
      </c>
    </row>
    <row r="1350" spans="1:110" ht="15" customHeight="1" x14ac:dyDescent="0.35">
      <c r="A1350" t="s">
        <v>17169</v>
      </c>
      <c r="B1350" t="s">
        <v>138</v>
      </c>
      <c r="C1350" s="1">
        <v>44326</v>
      </c>
      <c r="G1350" s="1">
        <v>44327</v>
      </c>
      <c r="H1350" t="s">
        <v>125</v>
      </c>
      <c r="I1350" t="s">
        <v>1309</v>
      </c>
      <c r="J1350" t="s">
        <v>1947</v>
      </c>
      <c r="L1350" t="s">
        <v>2375</v>
      </c>
      <c r="M1350" t="s">
        <v>6397</v>
      </c>
      <c r="O1350" t="s">
        <v>799</v>
      </c>
      <c r="P1350" t="s">
        <v>3393</v>
      </c>
      <c r="Q1350" s="3">
        <v>20004</v>
      </c>
      <c r="R1350" t="s">
        <v>128</v>
      </c>
      <c r="T1350" s="4">
        <v>12027393000</v>
      </c>
      <c r="U1350">
        <v>5116</v>
      </c>
      <c r="V1350" t="s">
        <v>5147</v>
      </c>
      <c r="W1350" t="s">
        <v>8301</v>
      </c>
      <c r="Y1350" t="s">
        <v>8302</v>
      </c>
      <c r="AA1350" t="s">
        <v>5181</v>
      </c>
      <c r="AB1350" t="s">
        <v>312</v>
      </c>
      <c r="AC1350" s="3" t="str">
        <f>"18018"</f>
        <v>18018</v>
      </c>
      <c r="AD1350" t="s">
        <v>128</v>
      </c>
      <c r="AF1350" s="4">
        <v>16109975400</v>
      </c>
      <c r="AH1350" t="str">
        <f>"339112"</f>
        <v>339112</v>
      </c>
      <c r="AI1350" t="s">
        <v>130</v>
      </c>
      <c r="AJ1350" t="s">
        <v>5148</v>
      </c>
      <c r="AK1350" t="s">
        <v>1059</v>
      </c>
      <c r="AM1350" t="s">
        <v>5149</v>
      </c>
      <c r="AO1350" t="s">
        <v>799</v>
      </c>
      <c r="AP1350" t="s">
        <v>595</v>
      </c>
      <c r="AQ1350" s="5">
        <v>20004</v>
      </c>
      <c r="AR1350" t="s">
        <v>128</v>
      </c>
      <c r="AT1350" s="4">
        <v>12027396040</v>
      </c>
      <c r="AV1350" t="s">
        <v>5150</v>
      </c>
      <c r="AW1350" t="s">
        <v>17170</v>
      </c>
      <c r="AX1350" t="s">
        <v>131</v>
      </c>
      <c r="AY1350" t="s">
        <v>131</v>
      </c>
      <c r="AZ1350" t="s">
        <v>131</v>
      </c>
      <c r="BA1350" t="s">
        <v>131</v>
      </c>
      <c r="BB1350" t="s">
        <v>131</v>
      </c>
      <c r="BC1350" t="s">
        <v>131</v>
      </c>
      <c r="BD1350" t="s">
        <v>131</v>
      </c>
      <c r="BE1350" t="s">
        <v>132</v>
      </c>
      <c r="BH1350" t="s">
        <v>2822</v>
      </c>
      <c r="BI1350" t="s">
        <v>135</v>
      </c>
      <c r="BJ1350" t="s">
        <v>6586</v>
      </c>
      <c r="BK1350" t="s">
        <v>2269</v>
      </c>
      <c r="BL1350" t="s">
        <v>133</v>
      </c>
      <c r="BN1350" t="s">
        <v>7570</v>
      </c>
      <c r="BO1350" t="s">
        <v>131</v>
      </c>
      <c r="BP1350" t="s">
        <v>134</v>
      </c>
      <c r="BQ1350" t="s">
        <v>131</v>
      </c>
      <c r="BS1350" t="str">
        <f t="shared" si="89"/>
        <v>N/A</v>
      </c>
      <c r="BT1350" t="s">
        <v>135</v>
      </c>
      <c r="BU1350">
        <v>60</v>
      </c>
      <c r="BV1350" t="str">
        <f>"Program Manager, Business System Analyst, Programmer Analyst or related  "</f>
        <v xml:space="preserve">Program Manager, Business System Analyst, Programmer Analyst or related  </v>
      </c>
      <c r="BW1350" t="s">
        <v>131</v>
      </c>
      <c r="BX1350" t="str">
        <f>""</f>
        <v/>
      </c>
      <c r="BY1350" t="str">
        <f>""</f>
        <v/>
      </c>
      <c r="BZ1350" t="str">
        <f>""</f>
        <v/>
      </c>
      <c r="CA1350" t="str">
        <f>""</f>
        <v/>
      </c>
      <c r="CB1350" t="s">
        <v>131</v>
      </c>
      <c r="CF1350" t="s">
        <v>131</v>
      </c>
      <c r="CH1350" t="str">
        <f>""</f>
        <v/>
      </c>
      <c r="CI1350" t="s">
        <v>131</v>
      </c>
      <c r="CK1350" t="s">
        <v>131</v>
      </c>
      <c r="CL1350" t="str">
        <f>""</f>
        <v/>
      </c>
      <c r="CM1350" t="str">
        <f>""</f>
        <v/>
      </c>
      <c r="CN1350" t="str">
        <f>""</f>
        <v/>
      </c>
      <c r="CO1350" t="str">
        <f>""</f>
        <v/>
      </c>
      <c r="CP1350" t="str">
        <f>"15-1199.02"</f>
        <v>15-1199.02</v>
      </c>
      <c r="CQ1350" t="s">
        <v>2269</v>
      </c>
      <c r="CR1350" t="s">
        <v>12496</v>
      </c>
      <c r="CS1350" t="s">
        <v>135</v>
      </c>
      <c r="CT1350" t="s">
        <v>12497</v>
      </c>
      <c r="CU1350" t="s">
        <v>12498</v>
      </c>
      <c r="CW1350" t="s">
        <v>4122</v>
      </c>
      <c r="CX1350" t="s">
        <v>312</v>
      </c>
      <c r="CZ1350" s="3" t="str">
        <f>"18109"</f>
        <v>18109</v>
      </c>
      <c r="DA1350" t="s">
        <v>131</v>
      </c>
      <c r="DB1350" t="str">
        <f>""</f>
        <v/>
      </c>
      <c r="DF1350" t="str">
        <f>""</f>
        <v/>
      </c>
    </row>
    <row r="1351" spans="1:110" ht="15" customHeight="1" x14ac:dyDescent="0.35">
      <c r="A1351" t="s">
        <v>10558</v>
      </c>
      <c r="B1351" t="s">
        <v>138</v>
      </c>
      <c r="C1351" s="1">
        <v>44326</v>
      </c>
      <c r="G1351" s="1">
        <v>44343</v>
      </c>
      <c r="H1351" t="s">
        <v>125</v>
      </c>
      <c r="I1351" t="s">
        <v>1622</v>
      </c>
      <c r="J1351" t="s">
        <v>1623</v>
      </c>
      <c r="K1351" t="s">
        <v>1624</v>
      </c>
      <c r="L1351" t="s">
        <v>130</v>
      </c>
      <c r="M1351" t="s">
        <v>4386</v>
      </c>
      <c r="N1351" t="s">
        <v>4387</v>
      </c>
      <c r="O1351" t="s">
        <v>719</v>
      </c>
      <c r="P1351" t="s">
        <v>720</v>
      </c>
      <c r="Q1351" s="3">
        <v>1701</v>
      </c>
      <c r="R1351" t="s">
        <v>128</v>
      </c>
      <c r="T1351" s="4">
        <v>15085323527</v>
      </c>
      <c r="V1351" t="s">
        <v>4388</v>
      </c>
      <c r="W1351" t="s">
        <v>10559</v>
      </c>
      <c r="Y1351" t="s">
        <v>10560</v>
      </c>
      <c r="Z1351" t="s">
        <v>4618</v>
      </c>
      <c r="AA1351" t="s">
        <v>664</v>
      </c>
      <c r="AB1351" t="s">
        <v>172</v>
      </c>
      <c r="AC1351" s="3" t="str">
        <f>"95124"</f>
        <v>95124</v>
      </c>
      <c r="AD1351" t="s">
        <v>128</v>
      </c>
      <c r="AF1351" s="4">
        <v>14088192336</v>
      </c>
      <c r="AH1351" t="str">
        <f>"541511"</f>
        <v>541511</v>
      </c>
      <c r="AI1351" t="s">
        <v>130</v>
      </c>
      <c r="AJ1351" t="s">
        <v>1622</v>
      </c>
      <c r="AK1351" t="s">
        <v>1623</v>
      </c>
      <c r="AL1351" t="s">
        <v>1624</v>
      </c>
      <c r="AM1351" t="s">
        <v>4386</v>
      </c>
      <c r="AN1351" t="s">
        <v>4387</v>
      </c>
      <c r="AO1351" t="s">
        <v>719</v>
      </c>
      <c r="AP1351" t="s">
        <v>377</v>
      </c>
      <c r="AQ1351" s="5">
        <v>1701</v>
      </c>
      <c r="AR1351" t="s">
        <v>128</v>
      </c>
      <c r="AT1351" s="4">
        <v>15085323527</v>
      </c>
      <c r="AV1351" t="s">
        <v>10561</v>
      </c>
      <c r="AW1351" t="s">
        <v>9596</v>
      </c>
      <c r="AX1351" t="s">
        <v>131</v>
      </c>
      <c r="AY1351" t="s">
        <v>131</v>
      </c>
      <c r="AZ1351" t="s">
        <v>131</v>
      </c>
      <c r="BA1351" t="s">
        <v>131</v>
      </c>
      <c r="BB1351" t="s">
        <v>131</v>
      </c>
      <c r="BC1351" t="s">
        <v>131</v>
      </c>
      <c r="BD1351" t="s">
        <v>131</v>
      </c>
      <c r="BE1351" t="s">
        <v>132</v>
      </c>
      <c r="BH1351" t="s">
        <v>2512</v>
      </c>
      <c r="BI1351" t="s">
        <v>131</v>
      </c>
      <c r="BL1351" t="s">
        <v>188</v>
      </c>
      <c r="BN1351" t="s">
        <v>10562</v>
      </c>
      <c r="BO1351" t="s">
        <v>131</v>
      </c>
      <c r="BP1351" t="s">
        <v>134</v>
      </c>
      <c r="BQ1351" t="s">
        <v>131</v>
      </c>
      <c r="BS1351" t="str">
        <f t="shared" si="89"/>
        <v>N/A</v>
      </c>
      <c r="BT1351" t="s">
        <v>135</v>
      </c>
      <c r="BU1351">
        <v>12</v>
      </c>
      <c r="BV1351" t="str">
        <f>"Experience must include demonstrable knowledge of: SQL; PL/SQL; Unix Bash Scripting; Sybase; Oracle; ETL; Data Warehousing; Jira; Jenkins; Ansible; GitHub; DevOps, and; Agile"</f>
        <v>Experience must include demonstrable knowledge of: SQL; PL/SQL; Unix Bash Scripting; Sybase; Oracle; ETL; Data Warehousing; Jira; Jenkins; Ansible; GitHub; DevOps, and; Agile</v>
      </c>
      <c r="BW1351" t="s">
        <v>131</v>
      </c>
      <c r="BX1351" t="str">
        <f>""</f>
        <v/>
      </c>
      <c r="BY1351" t="str">
        <f>""</f>
        <v/>
      </c>
      <c r="BZ1351" t="str">
        <f>""</f>
        <v/>
      </c>
      <c r="CA1351" t="str">
        <f>""</f>
        <v/>
      </c>
      <c r="CB1351" t="s">
        <v>131</v>
      </c>
      <c r="CF1351" t="s">
        <v>131</v>
      </c>
      <c r="CH1351" t="str">
        <f>""</f>
        <v/>
      </c>
      <c r="CI1351" t="s">
        <v>131</v>
      </c>
      <c r="CK1351" t="s">
        <v>131</v>
      </c>
      <c r="CL1351" t="str">
        <f>""</f>
        <v/>
      </c>
      <c r="CM1351" t="str">
        <f>""</f>
        <v/>
      </c>
      <c r="CN1351" t="str">
        <f>""</f>
        <v/>
      </c>
      <c r="CO1351" t="str">
        <f>""</f>
        <v/>
      </c>
      <c r="CP1351" t="str">
        <f>"15-1199.08"</f>
        <v>15-1199.08</v>
      </c>
      <c r="CQ1351" t="s">
        <v>265</v>
      </c>
      <c r="CR1351" t="s">
        <v>10563</v>
      </c>
      <c r="CS1351" t="s">
        <v>135</v>
      </c>
      <c r="CT1351" t="s">
        <v>8415</v>
      </c>
      <c r="CU1351" t="s">
        <v>10560</v>
      </c>
      <c r="CV1351" t="s">
        <v>4618</v>
      </c>
      <c r="CW1351" t="s">
        <v>664</v>
      </c>
      <c r="CX1351" t="s">
        <v>172</v>
      </c>
      <c r="CZ1351" s="3" t="str">
        <f>"95124"</f>
        <v>95124</v>
      </c>
      <c r="DA1351" t="s">
        <v>131</v>
      </c>
      <c r="DB1351" t="str">
        <f>""</f>
        <v/>
      </c>
      <c r="DF1351" t="str">
        <f>""</f>
        <v/>
      </c>
    </row>
    <row r="1352" spans="1:110" ht="15" customHeight="1" x14ac:dyDescent="0.35">
      <c r="A1352" t="s">
        <v>17484</v>
      </c>
      <c r="B1352" t="s">
        <v>138</v>
      </c>
      <c r="C1352" s="1">
        <v>44326</v>
      </c>
      <c r="G1352" s="1">
        <v>44327</v>
      </c>
      <c r="H1352" t="s">
        <v>125</v>
      </c>
      <c r="I1352" t="s">
        <v>17485</v>
      </c>
      <c r="J1352" t="s">
        <v>11448</v>
      </c>
      <c r="L1352" t="s">
        <v>395</v>
      </c>
      <c r="M1352" t="s">
        <v>17486</v>
      </c>
      <c r="N1352" t="s">
        <v>1681</v>
      </c>
      <c r="O1352" t="s">
        <v>2212</v>
      </c>
      <c r="P1352" t="s">
        <v>412</v>
      </c>
      <c r="Q1352" s="3">
        <v>75035</v>
      </c>
      <c r="R1352" t="s">
        <v>128</v>
      </c>
      <c r="T1352" s="4">
        <v>12145970570</v>
      </c>
      <c r="V1352" t="s">
        <v>17487</v>
      </c>
      <c r="W1352" t="s">
        <v>17488</v>
      </c>
      <c r="Y1352" t="s">
        <v>17486</v>
      </c>
      <c r="Z1352" t="s">
        <v>1681</v>
      </c>
      <c r="AA1352" t="s">
        <v>2212</v>
      </c>
      <c r="AB1352" t="s">
        <v>400</v>
      </c>
      <c r="AC1352" s="3" t="str">
        <f>"75035"</f>
        <v>75035</v>
      </c>
      <c r="AD1352" t="s">
        <v>128</v>
      </c>
      <c r="AF1352" s="4">
        <v>12145970570</v>
      </c>
      <c r="AH1352" t="str">
        <f>"54199"</f>
        <v>54199</v>
      </c>
      <c r="AI1352" t="s">
        <v>130</v>
      </c>
      <c r="AJ1352" t="s">
        <v>5253</v>
      </c>
      <c r="AK1352" t="s">
        <v>5254</v>
      </c>
      <c r="AM1352" t="s">
        <v>5255</v>
      </c>
      <c r="AN1352" t="s">
        <v>2290</v>
      </c>
      <c r="AO1352" t="s">
        <v>171</v>
      </c>
      <c r="AP1352" t="s">
        <v>172</v>
      </c>
      <c r="AQ1352" s="5">
        <v>92612</v>
      </c>
      <c r="AR1352" t="s">
        <v>128</v>
      </c>
      <c r="AS1352" t="s">
        <v>178</v>
      </c>
      <c r="AT1352" s="4">
        <v>19495020873</v>
      </c>
      <c r="AV1352" t="s">
        <v>5256</v>
      </c>
      <c r="AW1352" t="s">
        <v>5221</v>
      </c>
      <c r="AX1352" t="s">
        <v>131</v>
      </c>
      <c r="AY1352" t="s">
        <v>131</v>
      </c>
      <c r="AZ1352" t="s">
        <v>131</v>
      </c>
      <c r="BA1352" t="s">
        <v>131</v>
      </c>
      <c r="BB1352" t="s">
        <v>131</v>
      </c>
      <c r="BC1352" t="s">
        <v>131</v>
      </c>
      <c r="BD1352" t="s">
        <v>131</v>
      </c>
      <c r="BE1352" t="s">
        <v>132</v>
      </c>
      <c r="BH1352" t="s">
        <v>671</v>
      </c>
      <c r="BI1352" t="s">
        <v>131</v>
      </c>
      <c r="BL1352" t="s">
        <v>133</v>
      </c>
      <c r="BN1352" t="s">
        <v>17489</v>
      </c>
      <c r="BO1352" t="s">
        <v>131</v>
      </c>
      <c r="BP1352" t="s">
        <v>134</v>
      </c>
      <c r="BQ1352" t="s">
        <v>131</v>
      </c>
      <c r="BS1352" t="str">
        <f t="shared" si="89"/>
        <v>N/A</v>
      </c>
      <c r="BT1352" t="s">
        <v>135</v>
      </c>
      <c r="BU1352">
        <v>12</v>
      </c>
      <c r="BV1352" t="str">
        <f>"Accountant experience in Real Estate industry"</f>
        <v>Accountant experience in Real Estate industry</v>
      </c>
      <c r="BW1352" t="s">
        <v>135</v>
      </c>
      <c r="BX1352" t="str">
        <f>""</f>
        <v/>
      </c>
      <c r="BY1352" t="str">
        <f>""</f>
        <v/>
      </c>
      <c r="BZ1352" t="str">
        <f>""</f>
        <v/>
      </c>
      <c r="CA1352" t="str">
        <f>"•	High proficiency in QuickBooks, Excel, and Word;
•	Highly detail oriented and organized in work;
•	Excellent communication, interpersonal and analytical skills;
•	Highly motivated team player with the ability to handle multi tasks within deadlines.
"</f>
        <v xml:space="preserve">•	High proficiency in QuickBooks, Excel, and Word;
•	Highly detail oriented and organized in work;
•	Excellent communication, interpersonal and analytical skills;
•	Highly motivated team player with the ability to handle multi tasks within deadlines.
</v>
      </c>
      <c r="CB1352" t="s">
        <v>131</v>
      </c>
      <c r="CF1352" t="s">
        <v>131</v>
      </c>
      <c r="CH1352" t="str">
        <f>""</f>
        <v/>
      </c>
      <c r="CI1352" t="s">
        <v>131</v>
      </c>
      <c r="CK1352" t="s">
        <v>131</v>
      </c>
      <c r="CL1352" t="str">
        <f>""</f>
        <v/>
      </c>
      <c r="CM1352" t="str">
        <f>""</f>
        <v/>
      </c>
      <c r="CN1352" t="str">
        <f>""</f>
        <v/>
      </c>
      <c r="CO1352" t="str">
        <f>""</f>
        <v/>
      </c>
      <c r="CP1352" t="str">
        <f>"13-2011.00"</f>
        <v>13-2011.00</v>
      </c>
      <c r="CQ1352" t="s">
        <v>672</v>
      </c>
      <c r="CR1352" t="s">
        <v>671</v>
      </c>
      <c r="CS1352" t="s">
        <v>131</v>
      </c>
      <c r="CU1352" t="s">
        <v>17486</v>
      </c>
      <c r="CV1352" t="s">
        <v>1681</v>
      </c>
      <c r="CW1352" t="s">
        <v>2212</v>
      </c>
      <c r="CX1352" t="s">
        <v>400</v>
      </c>
      <c r="CZ1352" s="3" t="str">
        <f>"75035"</f>
        <v>75035</v>
      </c>
      <c r="DA1352" t="s">
        <v>131</v>
      </c>
      <c r="DB1352" t="str">
        <f>""</f>
        <v/>
      </c>
      <c r="DF1352" t="str">
        <f>""</f>
        <v/>
      </c>
    </row>
    <row r="1353" spans="1:110" ht="15" customHeight="1" x14ac:dyDescent="0.35">
      <c r="A1353" t="s">
        <v>8877</v>
      </c>
      <c r="B1353" t="s">
        <v>138</v>
      </c>
      <c r="C1353" s="1">
        <v>44327</v>
      </c>
      <c r="G1353" s="1">
        <v>44333</v>
      </c>
      <c r="H1353" t="s">
        <v>125</v>
      </c>
      <c r="I1353" t="s">
        <v>8878</v>
      </c>
      <c r="J1353" t="s">
        <v>8879</v>
      </c>
      <c r="L1353" t="s">
        <v>8880</v>
      </c>
      <c r="M1353" t="s">
        <v>8881</v>
      </c>
      <c r="O1353" t="s">
        <v>8882</v>
      </c>
      <c r="P1353" t="s">
        <v>507</v>
      </c>
      <c r="Q1353" s="3">
        <v>49519</v>
      </c>
      <c r="R1353" t="s">
        <v>128</v>
      </c>
      <c r="T1353" s="4">
        <v>15616531246</v>
      </c>
      <c r="V1353" t="s">
        <v>8883</v>
      </c>
      <c r="W1353" t="s">
        <v>8884</v>
      </c>
      <c r="Y1353" t="s">
        <v>8885</v>
      </c>
      <c r="AA1353" t="s">
        <v>8882</v>
      </c>
      <c r="AB1353" t="s">
        <v>511</v>
      </c>
      <c r="AC1353" s="3" t="str">
        <f>"49519"</f>
        <v>49519</v>
      </c>
      <c r="AD1353" t="s">
        <v>128</v>
      </c>
      <c r="AF1353" s="4">
        <v>16165312464</v>
      </c>
      <c r="AH1353" t="str">
        <f>"333993"</f>
        <v>333993</v>
      </c>
      <c r="AI1353" t="s">
        <v>130</v>
      </c>
      <c r="AJ1353" t="s">
        <v>8886</v>
      </c>
      <c r="AK1353" t="s">
        <v>1623</v>
      </c>
      <c r="AL1353" t="s">
        <v>1198</v>
      </c>
      <c r="AM1353" t="s">
        <v>8887</v>
      </c>
      <c r="AO1353" t="s">
        <v>4423</v>
      </c>
      <c r="AP1353" t="s">
        <v>511</v>
      </c>
      <c r="AQ1353" s="5">
        <v>49546</v>
      </c>
      <c r="AR1353" t="s">
        <v>128</v>
      </c>
      <c r="AT1353" s="4">
        <v>16166065297</v>
      </c>
      <c r="AV1353" t="s">
        <v>8888</v>
      </c>
      <c r="AW1353" t="s">
        <v>8889</v>
      </c>
      <c r="AX1353" t="s">
        <v>131</v>
      </c>
      <c r="AY1353" t="s">
        <v>131</v>
      </c>
      <c r="AZ1353" t="s">
        <v>131</v>
      </c>
      <c r="BA1353" t="s">
        <v>131</v>
      </c>
      <c r="BB1353" t="s">
        <v>131</v>
      </c>
      <c r="BC1353" t="s">
        <v>131</v>
      </c>
      <c r="BD1353" t="s">
        <v>131</v>
      </c>
      <c r="BE1353" t="s">
        <v>132</v>
      </c>
      <c r="BH1353" t="s">
        <v>8890</v>
      </c>
      <c r="BI1353" t="s">
        <v>131</v>
      </c>
      <c r="BL1353" t="s">
        <v>188</v>
      </c>
      <c r="BN1353" t="s">
        <v>8891</v>
      </c>
      <c r="BO1353" t="s">
        <v>131</v>
      </c>
      <c r="BP1353" t="s">
        <v>134</v>
      </c>
      <c r="BQ1353" t="s">
        <v>131</v>
      </c>
      <c r="BS1353" t="str">
        <f t="shared" ref="BS1353:BS1416" si="90">"N/A"</f>
        <v>N/A</v>
      </c>
      <c r="BT1353" t="s">
        <v>135</v>
      </c>
      <c r="BU1353">
        <v>12</v>
      </c>
      <c r="BV1353" t="str">
        <f>"Industrial Engineer, Manufacturing Engineer, Mechanical Engineer, Supply Chain Engineer or closely related occupation."</f>
        <v>Industrial Engineer, Manufacturing Engineer, Mechanical Engineer, Supply Chain Engineer or closely related occupation.</v>
      </c>
      <c r="BW1353" t="s">
        <v>135</v>
      </c>
      <c r="BX1353" t="str">
        <f>"Six sigma certification (Green Belt or above)"</f>
        <v>Six sigma certification (Green Belt or above)</v>
      </c>
      <c r="BY1353" t="str">
        <f>""</f>
        <v/>
      </c>
      <c r="BZ1353" t="str">
        <f>""</f>
        <v/>
      </c>
      <c r="CA1353" t="s">
        <v>8892</v>
      </c>
      <c r="CB1353" t="s">
        <v>131</v>
      </c>
      <c r="CF1353" t="s">
        <v>131</v>
      </c>
      <c r="CH1353" t="str">
        <f>""</f>
        <v/>
      </c>
      <c r="CI1353" t="s">
        <v>131</v>
      </c>
      <c r="CK1353" t="s">
        <v>131</v>
      </c>
      <c r="CL1353" t="str">
        <f>""</f>
        <v/>
      </c>
      <c r="CM1353" t="str">
        <f>""</f>
        <v/>
      </c>
      <c r="CN1353" t="str">
        <f>""</f>
        <v/>
      </c>
      <c r="CO1353" t="str">
        <f>""</f>
        <v/>
      </c>
      <c r="CP1353" t="str">
        <f>"17-2112.00"</f>
        <v>17-2112.00</v>
      </c>
      <c r="CQ1353" t="s">
        <v>360</v>
      </c>
      <c r="CR1353" t="s">
        <v>7736</v>
      </c>
      <c r="CS1353" t="s">
        <v>131</v>
      </c>
      <c r="CU1353" t="s">
        <v>8881</v>
      </c>
      <c r="CW1353" t="s">
        <v>8882</v>
      </c>
      <c r="CX1353" t="s">
        <v>511</v>
      </c>
      <c r="CZ1353" s="3" t="str">
        <f>"49519"</f>
        <v>49519</v>
      </c>
      <c r="DA1353" t="s">
        <v>131</v>
      </c>
      <c r="DB1353" t="str">
        <f>""</f>
        <v/>
      </c>
      <c r="DF1353" t="str">
        <f>""</f>
        <v/>
      </c>
    </row>
    <row r="1354" spans="1:110" ht="15" customHeight="1" x14ac:dyDescent="0.35">
      <c r="A1354" t="s">
        <v>10048</v>
      </c>
      <c r="B1354" t="s">
        <v>138</v>
      </c>
      <c r="C1354" s="1">
        <v>44327</v>
      </c>
      <c r="G1354" s="1">
        <v>44339</v>
      </c>
      <c r="H1354" t="s">
        <v>125</v>
      </c>
      <c r="I1354" t="s">
        <v>8144</v>
      </c>
      <c r="J1354" t="s">
        <v>8145</v>
      </c>
      <c r="L1354" t="s">
        <v>8146</v>
      </c>
      <c r="M1354" t="s">
        <v>8147</v>
      </c>
      <c r="O1354" t="s">
        <v>8150</v>
      </c>
      <c r="P1354" t="s">
        <v>178</v>
      </c>
      <c r="Q1354" s="3">
        <v>93117</v>
      </c>
      <c r="R1354" t="s">
        <v>128</v>
      </c>
      <c r="T1354" s="4">
        <v>18056952018</v>
      </c>
      <c r="V1354" t="s">
        <v>8148</v>
      </c>
      <c r="W1354" t="s">
        <v>8149</v>
      </c>
      <c r="Y1354" t="s">
        <v>8147</v>
      </c>
      <c r="AA1354" t="s">
        <v>8150</v>
      </c>
      <c r="AB1354" t="s">
        <v>172</v>
      </c>
      <c r="AC1354" s="3" t="str">
        <f>"93117"</f>
        <v>93117</v>
      </c>
      <c r="AD1354" t="s">
        <v>128</v>
      </c>
      <c r="AF1354" s="4">
        <v>18056952018</v>
      </c>
      <c r="AH1354" t="str">
        <f>"541511"</f>
        <v>541511</v>
      </c>
      <c r="AI1354" t="s">
        <v>130</v>
      </c>
      <c r="AJ1354" t="s">
        <v>6187</v>
      </c>
      <c r="AK1354" t="s">
        <v>1444</v>
      </c>
      <c r="AM1354" t="s">
        <v>680</v>
      </c>
      <c r="AN1354" t="s">
        <v>526</v>
      </c>
      <c r="AO1354" t="s">
        <v>262</v>
      </c>
      <c r="AP1354" t="s">
        <v>263</v>
      </c>
      <c r="AQ1354" s="5">
        <v>60606</v>
      </c>
      <c r="AR1354" t="s">
        <v>128</v>
      </c>
      <c r="AT1354" s="4">
        <v>13127226300</v>
      </c>
      <c r="AV1354" t="s">
        <v>527</v>
      </c>
      <c r="AW1354" t="s">
        <v>10049</v>
      </c>
      <c r="AX1354" t="s">
        <v>131</v>
      </c>
      <c r="AY1354" t="s">
        <v>131</v>
      </c>
      <c r="AZ1354" t="s">
        <v>131</v>
      </c>
      <c r="BA1354" t="s">
        <v>131</v>
      </c>
      <c r="BB1354" t="s">
        <v>131</v>
      </c>
      <c r="BC1354" t="s">
        <v>131</v>
      </c>
      <c r="BD1354" t="s">
        <v>131</v>
      </c>
      <c r="BE1354" t="s">
        <v>132</v>
      </c>
      <c r="BH1354" t="s">
        <v>8151</v>
      </c>
      <c r="BI1354" t="s">
        <v>131</v>
      </c>
      <c r="BL1354" t="s">
        <v>133</v>
      </c>
      <c r="BN1354" t="s">
        <v>8152</v>
      </c>
      <c r="BO1354" t="s">
        <v>131</v>
      </c>
      <c r="BP1354" t="s">
        <v>134</v>
      </c>
      <c r="BQ1354" t="s">
        <v>131</v>
      </c>
      <c r="BS1354" t="str">
        <f t="shared" si="90"/>
        <v>N/A</v>
      </c>
      <c r="BT1354" t="s">
        <v>135</v>
      </c>
      <c r="BU1354">
        <v>120</v>
      </c>
      <c r="BV1354" t="str">
        <f>"Related Occupations"</f>
        <v>Related Occupations</v>
      </c>
      <c r="BW1354" t="s">
        <v>135</v>
      </c>
      <c r="BX1354" t="str">
        <f>""</f>
        <v/>
      </c>
      <c r="BY1354" t="str">
        <f>""</f>
        <v/>
      </c>
      <c r="BZ1354" t="str">
        <f>""</f>
        <v/>
      </c>
      <c r="CA1354" t="s">
        <v>10050</v>
      </c>
      <c r="CB1354" t="s">
        <v>135</v>
      </c>
      <c r="CC1354" t="s">
        <v>188</v>
      </c>
      <c r="CE1354" t="s">
        <v>8152</v>
      </c>
      <c r="CF1354" t="s">
        <v>131</v>
      </c>
      <c r="CH1354" t="str">
        <f>"N/A"</f>
        <v>N/A</v>
      </c>
      <c r="CI1354" t="s">
        <v>135</v>
      </c>
      <c r="CJ1354">
        <v>72</v>
      </c>
      <c r="CK1354" t="s">
        <v>135</v>
      </c>
      <c r="CL1354" t="str">
        <f>""</f>
        <v/>
      </c>
      <c r="CM1354" t="str">
        <f>""</f>
        <v/>
      </c>
      <c r="CN1354" t="str">
        <f>""</f>
        <v/>
      </c>
      <c r="CO1354" t="s">
        <v>10050</v>
      </c>
      <c r="CP1354" t="str">
        <f>"11-2021.00"</f>
        <v>11-2021.00</v>
      </c>
      <c r="CQ1354" t="s">
        <v>621</v>
      </c>
      <c r="CR1354" t="s">
        <v>8153</v>
      </c>
      <c r="CS1354" t="s">
        <v>131</v>
      </c>
      <c r="CU1354" t="s">
        <v>8147</v>
      </c>
      <c r="CW1354" t="s">
        <v>8150</v>
      </c>
      <c r="CX1354" t="s">
        <v>172</v>
      </c>
      <c r="CZ1354" s="3" t="str">
        <f>"93117"</f>
        <v>93117</v>
      </c>
      <c r="DA1354" t="s">
        <v>131</v>
      </c>
      <c r="DB1354" t="str">
        <f>""</f>
        <v/>
      </c>
      <c r="DF1354" t="str">
        <f>""</f>
        <v/>
      </c>
    </row>
    <row r="1355" spans="1:110" ht="15" customHeight="1" x14ac:dyDescent="0.35">
      <c r="A1355" t="s">
        <v>18384</v>
      </c>
      <c r="B1355" t="s">
        <v>138</v>
      </c>
      <c r="C1355" s="1">
        <v>44327</v>
      </c>
      <c r="G1355" s="1">
        <v>44328</v>
      </c>
      <c r="H1355" t="s">
        <v>125</v>
      </c>
      <c r="I1355" t="s">
        <v>992</v>
      </c>
      <c r="J1355" t="s">
        <v>11980</v>
      </c>
      <c r="L1355" t="s">
        <v>3200</v>
      </c>
      <c r="M1355" t="s">
        <v>14458</v>
      </c>
      <c r="O1355" t="s">
        <v>791</v>
      </c>
      <c r="P1355" t="s">
        <v>178</v>
      </c>
      <c r="Q1355" s="3">
        <v>92130</v>
      </c>
      <c r="R1355" t="s">
        <v>128</v>
      </c>
      <c r="T1355" s="4">
        <v>18586174035</v>
      </c>
      <c r="V1355" t="s">
        <v>6323</v>
      </c>
      <c r="W1355" t="s">
        <v>14459</v>
      </c>
      <c r="Y1355" t="s">
        <v>7365</v>
      </c>
      <c r="AA1355" t="s">
        <v>7366</v>
      </c>
      <c r="AB1355" t="s">
        <v>276</v>
      </c>
      <c r="AC1355" s="3" t="str">
        <f>"07417"</f>
        <v>07417</v>
      </c>
      <c r="AD1355" t="s">
        <v>128</v>
      </c>
      <c r="AF1355" s="4">
        <v>18586174035</v>
      </c>
      <c r="AH1355" t="str">
        <f>"33911"</f>
        <v>33911</v>
      </c>
      <c r="AI1355" t="s">
        <v>130</v>
      </c>
      <c r="AJ1355" t="s">
        <v>1541</v>
      </c>
      <c r="AK1355" t="s">
        <v>1542</v>
      </c>
      <c r="AL1355" t="s">
        <v>840</v>
      </c>
      <c r="AM1355" t="s">
        <v>973</v>
      </c>
      <c r="AN1355" t="s">
        <v>974</v>
      </c>
      <c r="AO1355" t="s">
        <v>975</v>
      </c>
      <c r="AP1355" t="s">
        <v>594</v>
      </c>
      <c r="AQ1355" s="5">
        <v>27615</v>
      </c>
      <c r="AR1355" t="s">
        <v>128</v>
      </c>
      <c r="AT1355" s="4">
        <v>19197879700</v>
      </c>
      <c r="AV1355" t="s">
        <v>6326</v>
      </c>
      <c r="AW1355" t="s">
        <v>18385</v>
      </c>
      <c r="AX1355" t="s">
        <v>131</v>
      </c>
      <c r="AY1355" t="s">
        <v>131</v>
      </c>
      <c r="AZ1355" t="s">
        <v>131</v>
      </c>
      <c r="BA1355" t="s">
        <v>131</v>
      </c>
      <c r="BB1355" t="s">
        <v>131</v>
      </c>
      <c r="BC1355" t="s">
        <v>131</v>
      </c>
      <c r="BD1355" t="s">
        <v>131</v>
      </c>
      <c r="BE1355" t="s">
        <v>132</v>
      </c>
      <c r="BH1355" t="s">
        <v>18386</v>
      </c>
      <c r="BI1355" t="s">
        <v>131</v>
      </c>
      <c r="BL1355" t="s">
        <v>133</v>
      </c>
      <c r="BN1355" t="s">
        <v>18387</v>
      </c>
      <c r="BO1355" t="s">
        <v>131</v>
      </c>
      <c r="BP1355" t="s">
        <v>134</v>
      </c>
      <c r="BQ1355" t="s">
        <v>131</v>
      </c>
      <c r="BS1355" t="str">
        <f t="shared" si="90"/>
        <v>N/A</v>
      </c>
      <c r="BT1355" t="s">
        <v>135</v>
      </c>
      <c r="BU1355">
        <v>36</v>
      </c>
      <c r="BV1355" t="str">
        <f>"In the Job offered or related occupation 
"</f>
        <v xml:space="preserve">In the Job offered or related occupation 
</v>
      </c>
      <c r="BW1355" t="s">
        <v>135</v>
      </c>
      <c r="BX1355" t="str">
        <f>""</f>
        <v/>
      </c>
      <c r="BY1355" t="str">
        <f>""</f>
        <v/>
      </c>
      <c r="BZ1355" t="str">
        <f>""</f>
        <v/>
      </c>
      <c r="CA1355" s="2" t="s">
        <v>18388</v>
      </c>
      <c r="CB1355" t="s">
        <v>131</v>
      </c>
      <c r="CF1355" t="s">
        <v>131</v>
      </c>
      <c r="CH1355" t="str">
        <f>""</f>
        <v/>
      </c>
      <c r="CI1355" t="s">
        <v>131</v>
      </c>
      <c r="CK1355" t="s">
        <v>131</v>
      </c>
      <c r="CL1355" t="str">
        <f>""</f>
        <v/>
      </c>
      <c r="CM1355" t="str">
        <f>""</f>
        <v/>
      </c>
      <c r="CN1355" t="str">
        <f>""</f>
        <v/>
      </c>
      <c r="CO1355" t="str">
        <f>""</f>
        <v/>
      </c>
      <c r="CP1355" t="str">
        <f>"13-2011.01"</f>
        <v>13-2011.01</v>
      </c>
      <c r="CQ1355" t="s">
        <v>1796</v>
      </c>
      <c r="CR1355" t="s">
        <v>18389</v>
      </c>
      <c r="CS1355" t="s">
        <v>131</v>
      </c>
      <c r="CU1355" t="s">
        <v>14458</v>
      </c>
      <c r="CW1355" t="s">
        <v>791</v>
      </c>
      <c r="CX1355" t="s">
        <v>172</v>
      </c>
      <c r="CZ1355" s="3" t="str">
        <f>"92130"</f>
        <v>92130</v>
      </c>
      <c r="DA1355" t="s">
        <v>131</v>
      </c>
      <c r="DB1355" t="str">
        <f>""</f>
        <v/>
      </c>
      <c r="DF1355" t="str">
        <f>""</f>
        <v/>
      </c>
    </row>
    <row r="1356" spans="1:110" ht="15" customHeight="1" x14ac:dyDescent="0.35">
      <c r="A1356" t="s">
        <v>17159</v>
      </c>
      <c r="B1356" t="s">
        <v>138</v>
      </c>
      <c r="C1356" s="1">
        <v>44327</v>
      </c>
      <c r="G1356" s="1">
        <v>44327</v>
      </c>
      <c r="H1356" t="s">
        <v>125</v>
      </c>
      <c r="I1356" t="s">
        <v>1427</v>
      </c>
      <c r="J1356" t="s">
        <v>1428</v>
      </c>
      <c r="L1356" t="s">
        <v>1429</v>
      </c>
      <c r="M1356" t="s">
        <v>1301</v>
      </c>
      <c r="O1356" t="s">
        <v>664</v>
      </c>
      <c r="P1356" t="s">
        <v>178</v>
      </c>
      <c r="Q1356" s="3">
        <v>95134</v>
      </c>
      <c r="R1356" t="s">
        <v>128</v>
      </c>
      <c r="T1356" s="4">
        <v>14085264000</v>
      </c>
      <c r="V1356" t="s">
        <v>1302</v>
      </c>
      <c r="W1356" t="s">
        <v>1303</v>
      </c>
      <c r="Y1356" t="s">
        <v>1301</v>
      </c>
      <c r="AA1356" t="s">
        <v>664</v>
      </c>
      <c r="AB1356" t="s">
        <v>172</v>
      </c>
      <c r="AC1356" s="3" t="str">
        <f>"95134"</f>
        <v>95134</v>
      </c>
      <c r="AD1356" t="s">
        <v>128</v>
      </c>
      <c r="AF1356" s="4">
        <v>14085264000</v>
      </c>
      <c r="AG1356">
        <v>0</v>
      </c>
      <c r="AH1356" t="str">
        <f>"334111"</f>
        <v>334111</v>
      </c>
      <c r="AI1356" t="s">
        <v>130</v>
      </c>
      <c r="AJ1356" t="s">
        <v>1784</v>
      </c>
      <c r="AK1356" t="s">
        <v>1304</v>
      </c>
      <c r="AL1356" t="s">
        <v>813</v>
      </c>
      <c r="AM1356" t="s">
        <v>1547</v>
      </c>
      <c r="AN1356" t="s">
        <v>17160</v>
      </c>
      <c r="AO1356" t="s">
        <v>650</v>
      </c>
      <c r="AP1356" t="s">
        <v>172</v>
      </c>
      <c r="AQ1356" s="5">
        <v>95054</v>
      </c>
      <c r="AR1356" t="s">
        <v>128</v>
      </c>
      <c r="AT1356" s="4">
        <v>14089190600</v>
      </c>
      <c r="AU1356">
        <v>0</v>
      </c>
      <c r="AV1356" t="s">
        <v>12499</v>
      </c>
      <c r="AW1356" t="s">
        <v>386</v>
      </c>
      <c r="AX1356" t="s">
        <v>131</v>
      </c>
      <c r="AY1356" t="s">
        <v>131</v>
      </c>
      <c r="AZ1356" t="s">
        <v>131</v>
      </c>
      <c r="BA1356" t="s">
        <v>131</v>
      </c>
      <c r="BB1356" t="s">
        <v>131</v>
      </c>
      <c r="BC1356" t="s">
        <v>131</v>
      </c>
      <c r="BD1356" t="s">
        <v>131</v>
      </c>
      <c r="BE1356" t="s">
        <v>132</v>
      </c>
      <c r="BH1356" t="s">
        <v>15676</v>
      </c>
      <c r="BI1356" t="s">
        <v>131</v>
      </c>
      <c r="BL1356" t="s">
        <v>188</v>
      </c>
      <c r="BN1356" t="s">
        <v>17161</v>
      </c>
      <c r="BO1356" t="s">
        <v>131</v>
      </c>
      <c r="BP1356" t="s">
        <v>134</v>
      </c>
      <c r="BQ1356" t="s">
        <v>131</v>
      </c>
      <c r="BS1356" t="str">
        <f t="shared" si="90"/>
        <v>N/A</v>
      </c>
      <c r="BT1356" t="s">
        <v>135</v>
      </c>
      <c r="BU1356">
        <v>24</v>
      </c>
      <c r="BV1356" t="str">
        <f>"Job offered or related occupation.  "</f>
        <v xml:space="preserve">Job offered or related occupation.  </v>
      </c>
      <c r="BW1356" t="s">
        <v>135</v>
      </c>
      <c r="BX1356" t="str">
        <f>""</f>
        <v/>
      </c>
      <c r="BY1356" t="str">
        <f>""</f>
        <v/>
      </c>
      <c r="BZ1356" t="str">
        <f>""</f>
        <v/>
      </c>
      <c r="CA1356" t="str">
        <f>"Configuration management;  Deployment and orchestration tools;  Load balancers; On-premises and cloud deployments;  Modularity;  Agile processes;  Product management
"</f>
        <v xml:space="preserve">Configuration management;  Deployment and orchestration tools;  Load balancers; On-premises and cloud deployments;  Modularity;  Agile processes;  Product management
</v>
      </c>
      <c r="CB1356" t="s">
        <v>131</v>
      </c>
      <c r="CF1356" t="s">
        <v>131</v>
      </c>
      <c r="CH1356" t="str">
        <f>""</f>
        <v/>
      </c>
      <c r="CI1356" t="s">
        <v>131</v>
      </c>
      <c r="CK1356" t="s">
        <v>131</v>
      </c>
      <c r="CL1356" t="str">
        <f>""</f>
        <v/>
      </c>
      <c r="CM1356" t="str">
        <f>""</f>
        <v/>
      </c>
      <c r="CN1356" t="str">
        <f>""</f>
        <v/>
      </c>
      <c r="CO1356" t="str">
        <f>""</f>
        <v/>
      </c>
      <c r="CP1356" t="str">
        <f>"15-1199.09"</f>
        <v>15-1199.09</v>
      </c>
      <c r="CQ1356" t="s">
        <v>697</v>
      </c>
      <c r="CR1356" t="s">
        <v>13244</v>
      </c>
      <c r="CS1356" t="s">
        <v>131</v>
      </c>
      <c r="CU1356" t="s">
        <v>13868</v>
      </c>
      <c r="CW1356" t="s">
        <v>220</v>
      </c>
      <c r="CX1356" t="s">
        <v>172</v>
      </c>
      <c r="CZ1356" s="3" t="str">
        <f>"94107"</f>
        <v>94107</v>
      </c>
      <c r="DA1356" t="s">
        <v>131</v>
      </c>
      <c r="DB1356" t="str">
        <f>""</f>
        <v/>
      </c>
      <c r="DF1356" t="str">
        <f>""</f>
        <v/>
      </c>
    </row>
    <row r="1357" spans="1:110" ht="15" customHeight="1" x14ac:dyDescent="0.35">
      <c r="A1357" t="s">
        <v>17285</v>
      </c>
      <c r="B1357" t="s">
        <v>138</v>
      </c>
      <c r="C1357" s="1">
        <v>44327</v>
      </c>
      <c r="G1357" s="1">
        <v>44343</v>
      </c>
      <c r="H1357" t="s">
        <v>125</v>
      </c>
      <c r="I1357" t="s">
        <v>7590</v>
      </c>
      <c r="J1357" t="s">
        <v>524</v>
      </c>
      <c r="L1357" t="s">
        <v>6995</v>
      </c>
      <c r="M1357" t="s">
        <v>7591</v>
      </c>
      <c r="N1357" t="s">
        <v>7592</v>
      </c>
      <c r="O1357" t="s">
        <v>2599</v>
      </c>
      <c r="P1357" t="s">
        <v>826</v>
      </c>
      <c r="Q1357" s="3">
        <v>20814</v>
      </c>
      <c r="R1357" t="s">
        <v>128</v>
      </c>
      <c r="T1357" s="4">
        <v>12402003720</v>
      </c>
      <c r="V1357" t="s">
        <v>7593</v>
      </c>
      <c r="W1357" t="s">
        <v>7594</v>
      </c>
      <c r="Y1357" t="s">
        <v>7591</v>
      </c>
      <c r="Z1357" t="s">
        <v>7592</v>
      </c>
      <c r="AA1357" t="s">
        <v>2599</v>
      </c>
      <c r="AB1357" t="s">
        <v>382</v>
      </c>
      <c r="AC1357" s="3" t="str">
        <f>"20814"</f>
        <v>20814</v>
      </c>
      <c r="AD1357" t="s">
        <v>128</v>
      </c>
      <c r="AF1357" s="4">
        <v>13019514422</v>
      </c>
      <c r="AH1357" t="str">
        <f>"813212"</f>
        <v>813212</v>
      </c>
      <c r="AI1357" t="s">
        <v>130</v>
      </c>
      <c r="AJ1357" t="s">
        <v>5897</v>
      </c>
      <c r="AK1357" t="s">
        <v>246</v>
      </c>
      <c r="AL1357" t="s">
        <v>589</v>
      </c>
      <c r="AM1357" t="s">
        <v>7595</v>
      </c>
      <c r="AN1357" t="s">
        <v>1072</v>
      </c>
      <c r="AO1357" t="s">
        <v>742</v>
      </c>
      <c r="AP1357" t="s">
        <v>306</v>
      </c>
      <c r="AQ1357" s="5">
        <v>23230</v>
      </c>
      <c r="AR1357" t="s">
        <v>128</v>
      </c>
      <c r="AT1357" s="4">
        <v>18044418604</v>
      </c>
      <c r="AV1357" t="s">
        <v>7596</v>
      </c>
      <c r="AW1357" t="s">
        <v>7597</v>
      </c>
      <c r="AX1357" t="s">
        <v>135</v>
      </c>
      <c r="AY1357" t="s">
        <v>131</v>
      </c>
      <c r="AZ1357" t="s">
        <v>131</v>
      </c>
      <c r="BA1357" t="s">
        <v>135</v>
      </c>
      <c r="BB1357" t="s">
        <v>134</v>
      </c>
      <c r="BC1357" t="s">
        <v>131</v>
      </c>
      <c r="BD1357" t="s">
        <v>131</v>
      </c>
      <c r="BE1357" t="s">
        <v>132</v>
      </c>
      <c r="BH1357" t="s">
        <v>1277</v>
      </c>
      <c r="BI1357" t="s">
        <v>131</v>
      </c>
      <c r="BL1357" t="s">
        <v>188</v>
      </c>
      <c r="BN1357" t="s">
        <v>7598</v>
      </c>
      <c r="BO1357" t="s">
        <v>131</v>
      </c>
      <c r="BP1357" t="s">
        <v>134</v>
      </c>
      <c r="BQ1357" t="s">
        <v>131</v>
      </c>
      <c r="BS1357" t="str">
        <f t="shared" si="90"/>
        <v>N/A</v>
      </c>
      <c r="BT1357" t="s">
        <v>135</v>
      </c>
      <c r="BU1357">
        <v>72</v>
      </c>
      <c r="BV1357" t="str">
        <f>"research associate or related laboratory position"</f>
        <v>research associate or related laboratory position</v>
      </c>
      <c r="BW1357" t="s">
        <v>131</v>
      </c>
      <c r="BX1357" t="str">
        <f>""</f>
        <v/>
      </c>
      <c r="BY1357" t="str">
        <f>""</f>
        <v/>
      </c>
      <c r="BZ1357" t="str">
        <f>""</f>
        <v/>
      </c>
      <c r="CA1357" t="str">
        <f>""</f>
        <v/>
      </c>
      <c r="CB1357" t="s">
        <v>135</v>
      </c>
      <c r="CC1357" t="s">
        <v>133</v>
      </c>
      <c r="CE1357" t="s">
        <v>7598</v>
      </c>
      <c r="CF1357" t="s">
        <v>131</v>
      </c>
      <c r="CH1357" t="str">
        <f>"N/A"</f>
        <v>N/A</v>
      </c>
      <c r="CI1357" t="s">
        <v>135</v>
      </c>
      <c r="CJ1357">
        <v>96</v>
      </c>
      <c r="CK1357" t="s">
        <v>131</v>
      </c>
      <c r="CL1357" t="str">
        <f>""</f>
        <v/>
      </c>
      <c r="CM1357" t="str">
        <f>""</f>
        <v/>
      </c>
      <c r="CN1357" t="str">
        <f>""</f>
        <v/>
      </c>
      <c r="CO1357" t="str">
        <f>""</f>
        <v/>
      </c>
      <c r="CP1357" t="str">
        <f>"19-1029.00"</f>
        <v>19-1029.00</v>
      </c>
      <c r="CQ1357" t="s">
        <v>7108</v>
      </c>
      <c r="CR1357" t="s">
        <v>2604</v>
      </c>
      <c r="CS1357" t="s">
        <v>131</v>
      </c>
      <c r="CU1357" t="s">
        <v>7599</v>
      </c>
      <c r="CW1357" t="s">
        <v>712</v>
      </c>
      <c r="CX1357" t="s">
        <v>377</v>
      </c>
      <c r="CZ1357" s="3" t="str">
        <f>"02421"</f>
        <v>02421</v>
      </c>
      <c r="DA1357" t="s">
        <v>131</v>
      </c>
      <c r="DB1357" t="str">
        <f>""</f>
        <v/>
      </c>
      <c r="DF1357" t="str">
        <f>""</f>
        <v/>
      </c>
    </row>
    <row r="1358" spans="1:110" ht="15" customHeight="1" x14ac:dyDescent="0.35">
      <c r="A1358" t="s">
        <v>19194</v>
      </c>
      <c r="B1358" t="s">
        <v>138</v>
      </c>
      <c r="C1358" s="1">
        <v>44327</v>
      </c>
      <c r="G1358" s="1">
        <v>44330</v>
      </c>
      <c r="H1358" t="s">
        <v>125</v>
      </c>
      <c r="I1358" t="s">
        <v>967</v>
      </c>
      <c r="J1358" t="s">
        <v>3498</v>
      </c>
      <c r="K1358" t="s">
        <v>3498</v>
      </c>
      <c r="L1358" t="s">
        <v>130</v>
      </c>
      <c r="M1358" t="s">
        <v>3499</v>
      </c>
      <c r="N1358" t="s">
        <v>261</v>
      </c>
      <c r="O1358" t="s">
        <v>494</v>
      </c>
      <c r="P1358" t="s">
        <v>127</v>
      </c>
      <c r="Q1358" s="3">
        <v>10016</v>
      </c>
      <c r="R1358" t="s">
        <v>128</v>
      </c>
      <c r="T1358" s="4">
        <v>12123555240</v>
      </c>
      <c r="V1358" t="s">
        <v>3500</v>
      </c>
      <c r="W1358" t="s">
        <v>8496</v>
      </c>
      <c r="X1358" t="s">
        <v>8497</v>
      </c>
      <c r="Y1358" t="s">
        <v>8494</v>
      </c>
      <c r="Z1358" t="s">
        <v>8495</v>
      </c>
      <c r="AA1358" t="s">
        <v>1872</v>
      </c>
      <c r="AB1358" t="s">
        <v>276</v>
      </c>
      <c r="AC1358" s="3" t="str">
        <f>"07302"</f>
        <v>07302</v>
      </c>
      <c r="AD1358" t="s">
        <v>128</v>
      </c>
      <c r="AF1358" s="4">
        <v>12012045300</v>
      </c>
      <c r="AH1358" t="str">
        <f>"541"</f>
        <v>541</v>
      </c>
      <c r="AI1358" t="s">
        <v>130</v>
      </c>
      <c r="AJ1358" t="s">
        <v>967</v>
      </c>
      <c r="AK1358" t="s">
        <v>3498</v>
      </c>
      <c r="AM1358" t="s">
        <v>3499</v>
      </c>
      <c r="AN1358" t="s">
        <v>261</v>
      </c>
      <c r="AO1358" t="s">
        <v>494</v>
      </c>
      <c r="AP1358" t="s">
        <v>129</v>
      </c>
      <c r="AQ1358" s="5">
        <v>10016</v>
      </c>
      <c r="AR1358" t="s">
        <v>128</v>
      </c>
      <c r="AT1358" s="4">
        <v>12123555240</v>
      </c>
      <c r="AV1358" t="s">
        <v>3500</v>
      </c>
      <c r="AW1358" t="s">
        <v>3501</v>
      </c>
      <c r="AX1358" t="s">
        <v>131</v>
      </c>
      <c r="AY1358" t="s">
        <v>131</v>
      </c>
      <c r="AZ1358" t="s">
        <v>131</v>
      </c>
      <c r="BA1358" t="s">
        <v>131</v>
      </c>
      <c r="BB1358" t="s">
        <v>131</v>
      </c>
      <c r="BC1358" t="s">
        <v>131</v>
      </c>
      <c r="BD1358" t="s">
        <v>131</v>
      </c>
      <c r="BE1358" t="s">
        <v>132</v>
      </c>
      <c r="BH1358" t="s">
        <v>1133</v>
      </c>
      <c r="BI1358" t="s">
        <v>131</v>
      </c>
      <c r="BL1358" t="s">
        <v>188</v>
      </c>
      <c r="BN1358" t="s">
        <v>1984</v>
      </c>
      <c r="BO1358" t="s">
        <v>131</v>
      </c>
      <c r="BP1358" t="s">
        <v>134</v>
      </c>
      <c r="BQ1358" t="s">
        <v>131</v>
      </c>
      <c r="BS1358" t="str">
        <f t="shared" si="90"/>
        <v>N/A</v>
      </c>
      <c r="BT1358" t="s">
        <v>135</v>
      </c>
      <c r="BU1358">
        <v>6</v>
      </c>
      <c r="BV1358" t="str">
        <f>"Solutions Architect or IT Consultant"</f>
        <v>Solutions Architect or IT Consultant</v>
      </c>
      <c r="BW1358" t="s">
        <v>131</v>
      </c>
      <c r="BX1358" t="str">
        <f>""</f>
        <v/>
      </c>
      <c r="BY1358" t="str">
        <f>""</f>
        <v/>
      </c>
      <c r="BZ1358" t="str">
        <f>""</f>
        <v/>
      </c>
      <c r="CA1358" t="str">
        <f>""</f>
        <v/>
      </c>
      <c r="CB1358" t="s">
        <v>131</v>
      </c>
      <c r="CF1358" t="s">
        <v>131</v>
      </c>
      <c r="CH1358" t="str">
        <f>""</f>
        <v/>
      </c>
      <c r="CI1358" t="s">
        <v>131</v>
      </c>
      <c r="CK1358" t="s">
        <v>131</v>
      </c>
      <c r="CL1358" t="str">
        <f>""</f>
        <v/>
      </c>
      <c r="CM1358" t="str">
        <f>""</f>
        <v/>
      </c>
      <c r="CN1358" t="str">
        <f>""</f>
        <v/>
      </c>
      <c r="CO1358" t="str">
        <f>""</f>
        <v/>
      </c>
      <c r="CP1358" t="str">
        <f>"15-1132.00"</f>
        <v>15-1132.00</v>
      </c>
      <c r="CQ1358" t="s">
        <v>198</v>
      </c>
      <c r="CR1358" t="s">
        <v>198</v>
      </c>
      <c r="CS1358" t="s">
        <v>131</v>
      </c>
      <c r="CU1358" t="s">
        <v>8494</v>
      </c>
      <c r="CV1358" t="s">
        <v>8495</v>
      </c>
      <c r="CW1358" t="s">
        <v>1872</v>
      </c>
      <c r="CX1358" t="s">
        <v>276</v>
      </c>
      <c r="CZ1358" s="3" t="str">
        <f>"07302"</f>
        <v>07302</v>
      </c>
      <c r="DA1358" t="s">
        <v>131</v>
      </c>
      <c r="DB1358" t="str">
        <f>""</f>
        <v/>
      </c>
      <c r="DF1358" t="str">
        <f>""</f>
        <v/>
      </c>
    </row>
    <row r="1359" spans="1:110" ht="15" customHeight="1" x14ac:dyDescent="0.35">
      <c r="A1359" t="s">
        <v>17449</v>
      </c>
      <c r="B1359" t="s">
        <v>138</v>
      </c>
      <c r="C1359" s="1">
        <v>44327</v>
      </c>
      <c r="G1359" s="1">
        <v>44327</v>
      </c>
      <c r="H1359" t="s">
        <v>125</v>
      </c>
      <c r="I1359" t="s">
        <v>2264</v>
      </c>
      <c r="J1359" t="s">
        <v>202</v>
      </c>
      <c r="L1359" t="s">
        <v>203</v>
      </c>
      <c r="M1359" t="s">
        <v>204</v>
      </c>
      <c r="O1359" t="s">
        <v>205</v>
      </c>
      <c r="P1359" t="s">
        <v>194</v>
      </c>
      <c r="Q1359" s="3">
        <v>33607</v>
      </c>
      <c r="R1359" t="s">
        <v>128</v>
      </c>
      <c r="T1359" s="4">
        <v>1813348700</v>
      </c>
      <c r="V1359" t="s">
        <v>206</v>
      </c>
      <c r="W1359" t="s">
        <v>2265</v>
      </c>
      <c r="Y1359" t="s">
        <v>208</v>
      </c>
      <c r="AA1359" t="s">
        <v>205</v>
      </c>
      <c r="AB1359" t="s">
        <v>195</v>
      </c>
      <c r="AC1359" s="3" t="str">
        <f>"33607"</f>
        <v>33607</v>
      </c>
      <c r="AD1359" t="s">
        <v>128</v>
      </c>
      <c r="AF1359" s="4">
        <v>18133487000</v>
      </c>
      <c r="AH1359" t="str">
        <f>"541611"</f>
        <v>541611</v>
      </c>
      <c r="AI1359" t="s">
        <v>130</v>
      </c>
      <c r="AJ1359" t="s">
        <v>3390</v>
      </c>
      <c r="AK1359" t="s">
        <v>3391</v>
      </c>
      <c r="AL1359" t="s">
        <v>667</v>
      </c>
      <c r="AM1359" t="s">
        <v>1988</v>
      </c>
      <c r="AN1359" t="s">
        <v>1989</v>
      </c>
      <c r="AO1359" t="s">
        <v>1990</v>
      </c>
      <c r="AQ1359" s="5" t="s">
        <v>215</v>
      </c>
      <c r="AR1359" t="s">
        <v>156</v>
      </c>
      <c r="AS1359" t="s">
        <v>1991</v>
      </c>
      <c r="AT1359" s="4">
        <v>14169418383</v>
      </c>
      <c r="AV1359" t="s">
        <v>217</v>
      </c>
      <c r="AW1359" t="s">
        <v>218</v>
      </c>
      <c r="AX1359" t="s">
        <v>131</v>
      </c>
      <c r="AY1359" t="s">
        <v>131</v>
      </c>
      <c r="AZ1359" t="s">
        <v>131</v>
      </c>
      <c r="BA1359" t="s">
        <v>131</v>
      </c>
      <c r="BB1359" t="s">
        <v>131</v>
      </c>
      <c r="BC1359" t="s">
        <v>131</v>
      </c>
      <c r="BD1359" t="s">
        <v>131</v>
      </c>
      <c r="BE1359" t="s">
        <v>132</v>
      </c>
      <c r="BH1359" t="s">
        <v>17450</v>
      </c>
      <c r="BI1359" t="s">
        <v>135</v>
      </c>
      <c r="BJ1359" t="s">
        <v>597</v>
      </c>
      <c r="BK1359" t="s">
        <v>198</v>
      </c>
      <c r="BL1359" t="s">
        <v>133</v>
      </c>
      <c r="BN1359" t="s">
        <v>17451</v>
      </c>
      <c r="BO1359" t="s">
        <v>131</v>
      </c>
      <c r="BP1359" t="s">
        <v>134</v>
      </c>
      <c r="BQ1359" t="s">
        <v>131</v>
      </c>
      <c r="BS1359" t="str">
        <f t="shared" si="90"/>
        <v>N/A</v>
      </c>
      <c r="BT1359" t="s">
        <v>135</v>
      </c>
      <c r="BU1359">
        <v>36</v>
      </c>
      <c r="BV1359" t="str">
        <f>"Senior Associate, Software Developer or related"</f>
        <v>Senior Associate, Software Developer or related</v>
      </c>
      <c r="BW1359" t="s">
        <v>131</v>
      </c>
      <c r="BX1359" t="str">
        <f>""</f>
        <v/>
      </c>
      <c r="BY1359" t="str">
        <f>""</f>
        <v/>
      </c>
      <c r="BZ1359" t="str">
        <f>""</f>
        <v/>
      </c>
      <c r="CA1359" t="str">
        <f>""</f>
        <v/>
      </c>
      <c r="CB1359" t="s">
        <v>135</v>
      </c>
      <c r="CC1359" t="s">
        <v>188</v>
      </c>
      <c r="CE1359" t="s">
        <v>17452</v>
      </c>
      <c r="CF1359" t="s">
        <v>131</v>
      </c>
      <c r="CH1359" t="str">
        <f>"N/A"</f>
        <v>N/A</v>
      </c>
      <c r="CI1359" t="s">
        <v>135</v>
      </c>
      <c r="CJ1359">
        <v>12</v>
      </c>
      <c r="CK1359" t="s">
        <v>131</v>
      </c>
      <c r="CL1359" t="str">
        <f>""</f>
        <v/>
      </c>
      <c r="CM1359" t="str">
        <f>""</f>
        <v/>
      </c>
      <c r="CN1359" t="str">
        <f>""</f>
        <v/>
      </c>
      <c r="CO1359" t="str">
        <f>""</f>
        <v/>
      </c>
      <c r="CP1359" t="str">
        <f>"15-1132.00"</f>
        <v>15-1132.00</v>
      </c>
      <c r="CQ1359" t="s">
        <v>198</v>
      </c>
      <c r="CR1359" t="s">
        <v>17450</v>
      </c>
      <c r="CS1359" t="s">
        <v>135</v>
      </c>
      <c r="CT1359" t="s">
        <v>5195</v>
      </c>
      <c r="CU1359" t="s">
        <v>4066</v>
      </c>
      <c r="CW1359" t="s">
        <v>642</v>
      </c>
      <c r="CX1359" t="s">
        <v>643</v>
      </c>
      <c r="CZ1359" s="3" t="str">
        <f>"30309"</f>
        <v>30309</v>
      </c>
      <c r="DA1359" t="s">
        <v>131</v>
      </c>
      <c r="DB1359" t="str">
        <f>""</f>
        <v/>
      </c>
      <c r="DF1359" t="str">
        <f>""</f>
        <v/>
      </c>
    </row>
    <row r="1360" spans="1:110" ht="15" customHeight="1" x14ac:dyDescent="0.35">
      <c r="A1360" t="s">
        <v>20154</v>
      </c>
      <c r="B1360" t="s">
        <v>138</v>
      </c>
      <c r="C1360" s="1">
        <v>44327</v>
      </c>
      <c r="G1360" s="1">
        <v>44351</v>
      </c>
      <c r="H1360" t="s">
        <v>125</v>
      </c>
      <c r="I1360" t="s">
        <v>6564</v>
      </c>
      <c r="J1360" t="s">
        <v>6565</v>
      </c>
      <c r="K1360" t="s">
        <v>332</v>
      </c>
      <c r="L1360" t="s">
        <v>14908</v>
      </c>
      <c r="M1360" t="s">
        <v>2818</v>
      </c>
      <c r="O1360" t="s">
        <v>1156</v>
      </c>
      <c r="P1360" t="s">
        <v>178</v>
      </c>
      <c r="Q1360" s="3">
        <v>94560</v>
      </c>
      <c r="R1360" t="s">
        <v>128</v>
      </c>
      <c r="T1360" s="4">
        <v>16508028181</v>
      </c>
      <c r="V1360" t="s">
        <v>9161</v>
      </c>
      <c r="W1360" t="s">
        <v>14909</v>
      </c>
      <c r="Y1360" t="s">
        <v>2818</v>
      </c>
      <c r="AA1360" t="s">
        <v>1156</v>
      </c>
      <c r="AB1360" t="s">
        <v>172</v>
      </c>
      <c r="AC1360" s="3" t="str">
        <f>"94560"</f>
        <v>94560</v>
      </c>
      <c r="AD1360" t="s">
        <v>128</v>
      </c>
      <c r="AF1360" s="4">
        <v>16508028181</v>
      </c>
      <c r="AH1360" t="str">
        <f>"3361"</f>
        <v>3361</v>
      </c>
      <c r="AI1360" t="s">
        <v>130</v>
      </c>
      <c r="AJ1360" t="s">
        <v>3990</v>
      </c>
      <c r="AK1360" t="s">
        <v>704</v>
      </c>
      <c r="AM1360" t="s">
        <v>2114</v>
      </c>
      <c r="AN1360" t="s">
        <v>1478</v>
      </c>
      <c r="AO1360" t="s">
        <v>220</v>
      </c>
      <c r="AP1360" t="s">
        <v>172</v>
      </c>
      <c r="AQ1360" s="5">
        <v>94105</v>
      </c>
      <c r="AR1360" t="s">
        <v>128</v>
      </c>
      <c r="AT1360" s="4">
        <v>14159759800</v>
      </c>
      <c r="AV1360" t="s">
        <v>2813</v>
      </c>
      <c r="AW1360" t="s">
        <v>2774</v>
      </c>
      <c r="AX1360" t="s">
        <v>131</v>
      </c>
      <c r="AY1360" t="s">
        <v>131</v>
      </c>
      <c r="AZ1360" t="s">
        <v>131</v>
      </c>
      <c r="BA1360" t="s">
        <v>131</v>
      </c>
      <c r="BB1360" t="s">
        <v>131</v>
      </c>
      <c r="BC1360" t="s">
        <v>131</v>
      </c>
      <c r="BD1360" t="s">
        <v>131</v>
      </c>
      <c r="BE1360" t="s">
        <v>1948</v>
      </c>
      <c r="BH1360" t="s">
        <v>20155</v>
      </c>
      <c r="BI1360" t="s">
        <v>131</v>
      </c>
      <c r="BL1360" t="s">
        <v>188</v>
      </c>
      <c r="BN1360" t="s">
        <v>2814</v>
      </c>
      <c r="BO1360" t="s">
        <v>131</v>
      </c>
      <c r="BP1360" t="s">
        <v>134</v>
      </c>
      <c r="BQ1360" t="s">
        <v>131</v>
      </c>
      <c r="BS1360" t="str">
        <f t="shared" si="90"/>
        <v>N/A</v>
      </c>
      <c r="BT1360" t="s">
        <v>135</v>
      </c>
      <c r="BU1360">
        <v>36</v>
      </c>
      <c r="BV1360" t="str">
        <f>"3 years in Android development experience."</f>
        <v>3 years in Android development experience.</v>
      </c>
      <c r="BW1360" t="s">
        <v>135</v>
      </c>
      <c r="BX1360" t="str">
        <f>""</f>
        <v/>
      </c>
      <c r="BY1360" t="str">
        <f>""</f>
        <v/>
      </c>
      <c r="BZ1360" t="str">
        <f>""</f>
        <v/>
      </c>
      <c r="CA1360" t="str">
        <f>"This position also requires education or experience in Android SDK, Java, IDE, Source Code Management, Unit Testing, Code Review, and Graphics Performance Analysis Tools.
Any suitable combination of education, training, or experience is acceptable.
"</f>
        <v xml:space="preserve">This position also requires education or experience in Android SDK, Java, IDE, Source Code Management, Unit Testing, Code Review, and Graphics Performance Analysis Tools.
Any suitable combination of education, training, or experience is acceptable.
</v>
      </c>
      <c r="CB1360" t="s">
        <v>135</v>
      </c>
      <c r="CC1360" t="s">
        <v>133</v>
      </c>
      <c r="CE1360" t="s">
        <v>2814</v>
      </c>
      <c r="CF1360" t="s">
        <v>131</v>
      </c>
      <c r="CH1360" t="str">
        <f>"N/A"</f>
        <v>N/A</v>
      </c>
      <c r="CI1360" t="s">
        <v>135</v>
      </c>
      <c r="CJ1360">
        <v>60</v>
      </c>
      <c r="CK1360" t="s">
        <v>135</v>
      </c>
      <c r="CL1360" t="str">
        <f>""</f>
        <v/>
      </c>
      <c r="CM1360" t="str">
        <f>""</f>
        <v/>
      </c>
      <c r="CN1360" t="str">
        <f>""</f>
        <v/>
      </c>
      <c r="CO1360" t="str">
        <f>"5 years of progressive, post-baccalaureate Android development experience."</f>
        <v>5 years of progressive, post-baccalaureate Android development experience.</v>
      </c>
      <c r="CP1360" t="str">
        <f>"15-1132.00"</f>
        <v>15-1132.00</v>
      </c>
      <c r="CQ1360" t="s">
        <v>198</v>
      </c>
      <c r="CR1360" t="s">
        <v>392</v>
      </c>
      <c r="CS1360" t="s">
        <v>131</v>
      </c>
      <c r="CU1360" t="s">
        <v>2820</v>
      </c>
      <c r="CW1360" t="s">
        <v>1156</v>
      </c>
      <c r="CX1360" t="s">
        <v>172</v>
      </c>
      <c r="CZ1360" s="3" t="str">
        <f>"94560"</f>
        <v>94560</v>
      </c>
      <c r="DA1360" t="s">
        <v>131</v>
      </c>
      <c r="DB1360" t="str">
        <f>""</f>
        <v/>
      </c>
      <c r="DF1360" t="str">
        <f>""</f>
        <v/>
      </c>
    </row>
    <row r="1361" spans="1:110" ht="15" customHeight="1" x14ac:dyDescent="0.35">
      <c r="A1361" t="s">
        <v>16629</v>
      </c>
      <c r="B1361" t="s">
        <v>138</v>
      </c>
      <c r="C1361" s="1">
        <v>44327</v>
      </c>
      <c r="G1361" s="1">
        <v>44342</v>
      </c>
      <c r="H1361" t="s">
        <v>125</v>
      </c>
      <c r="I1361" t="s">
        <v>11738</v>
      </c>
      <c r="J1361" t="s">
        <v>562</v>
      </c>
      <c r="L1361" t="s">
        <v>628</v>
      </c>
      <c r="M1361" t="s">
        <v>11739</v>
      </c>
      <c r="O1361" t="s">
        <v>11740</v>
      </c>
      <c r="P1361" t="s">
        <v>507</v>
      </c>
      <c r="Q1361" s="3">
        <v>48359</v>
      </c>
      <c r="R1361" t="s">
        <v>128</v>
      </c>
      <c r="T1361" s="4">
        <v>12484626364</v>
      </c>
      <c r="V1361" t="s">
        <v>11741</v>
      </c>
      <c r="W1361" t="s">
        <v>11742</v>
      </c>
      <c r="Y1361" t="s">
        <v>11739</v>
      </c>
      <c r="AA1361" t="s">
        <v>11740</v>
      </c>
      <c r="AB1361" t="s">
        <v>511</v>
      </c>
      <c r="AC1361" s="3" t="str">
        <f>"48359"</f>
        <v>48359</v>
      </c>
      <c r="AD1361" t="s">
        <v>128</v>
      </c>
      <c r="AF1361" s="4">
        <v>12484626364</v>
      </c>
      <c r="AH1361" t="str">
        <f>"3359"</f>
        <v>3359</v>
      </c>
      <c r="AI1361" t="s">
        <v>130</v>
      </c>
      <c r="AJ1361" t="s">
        <v>8532</v>
      </c>
      <c r="AK1361" t="s">
        <v>631</v>
      </c>
      <c r="AL1361" t="s">
        <v>739</v>
      </c>
      <c r="AM1361" t="s">
        <v>8533</v>
      </c>
      <c r="AO1361" t="s">
        <v>2297</v>
      </c>
      <c r="AP1361" t="s">
        <v>511</v>
      </c>
      <c r="AQ1361" s="5">
        <v>48104</v>
      </c>
      <c r="AR1361" t="s">
        <v>128</v>
      </c>
      <c r="AT1361" s="4">
        <v>17346231694</v>
      </c>
      <c r="AV1361" t="s">
        <v>8534</v>
      </c>
      <c r="AW1361" t="s">
        <v>8535</v>
      </c>
      <c r="AX1361" t="s">
        <v>131</v>
      </c>
      <c r="AY1361" t="s">
        <v>131</v>
      </c>
      <c r="AZ1361" t="s">
        <v>131</v>
      </c>
      <c r="BA1361" t="s">
        <v>131</v>
      </c>
      <c r="BB1361" t="s">
        <v>131</v>
      </c>
      <c r="BC1361" t="s">
        <v>131</v>
      </c>
      <c r="BD1361" t="s">
        <v>131</v>
      </c>
      <c r="BE1361" t="s">
        <v>132</v>
      </c>
      <c r="BH1361" t="s">
        <v>16630</v>
      </c>
      <c r="BI1361" t="s">
        <v>131</v>
      </c>
      <c r="BL1361" t="s">
        <v>133</v>
      </c>
      <c r="BN1361" t="s">
        <v>16631</v>
      </c>
      <c r="BO1361" t="s">
        <v>131</v>
      </c>
      <c r="BP1361" t="s">
        <v>134</v>
      </c>
      <c r="BQ1361" t="s">
        <v>131</v>
      </c>
      <c r="BS1361" t="str">
        <f t="shared" si="90"/>
        <v>N/A</v>
      </c>
      <c r="BT1361" t="s">
        <v>135</v>
      </c>
      <c r="BU1361">
        <v>5</v>
      </c>
      <c r="BV1361" t="str">
        <f>"In the position above, as an Account Manager, or in a related lithium ion battery sales engineering role in an automotive environment"</f>
        <v>In the position above, as an Account Manager, or in a related lithium ion battery sales engineering role in an automotive environment</v>
      </c>
      <c r="BW1361" t="s">
        <v>135</v>
      </c>
      <c r="BX1361" t="str">
        <f>""</f>
        <v/>
      </c>
      <c r="BY1361" t="str">
        <f>""</f>
        <v/>
      </c>
      <c r="BZ1361" t="str">
        <f>""</f>
        <v/>
      </c>
      <c r="CA1361" s="2" t="s">
        <v>16632</v>
      </c>
      <c r="CB1361" t="s">
        <v>131</v>
      </c>
      <c r="CF1361" t="s">
        <v>131</v>
      </c>
      <c r="CH1361" t="str">
        <f>""</f>
        <v/>
      </c>
      <c r="CI1361" t="s">
        <v>131</v>
      </c>
      <c r="CK1361" t="s">
        <v>131</v>
      </c>
      <c r="CL1361" t="str">
        <f>""</f>
        <v/>
      </c>
      <c r="CM1361" t="str">
        <f>""</f>
        <v/>
      </c>
      <c r="CN1361" t="str">
        <f>""</f>
        <v/>
      </c>
      <c r="CO1361" t="str">
        <f>""</f>
        <v/>
      </c>
      <c r="CP1361" t="str">
        <f>"41-9031.00"</f>
        <v>41-9031.00</v>
      </c>
      <c r="CQ1361" t="s">
        <v>1818</v>
      </c>
      <c r="CR1361" t="s">
        <v>16633</v>
      </c>
      <c r="CS1361" t="s">
        <v>131</v>
      </c>
      <c r="CU1361" t="s">
        <v>11739</v>
      </c>
      <c r="CW1361" t="s">
        <v>11740</v>
      </c>
      <c r="CX1361" t="s">
        <v>511</v>
      </c>
      <c r="CZ1361" s="3" t="str">
        <f>"48359"</f>
        <v>48359</v>
      </c>
      <c r="DA1361" t="s">
        <v>131</v>
      </c>
      <c r="DB1361" t="str">
        <f>""</f>
        <v/>
      </c>
      <c r="DF1361" t="str">
        <f>""</f>
        <v/>
      </c>
    </row>
    <row r="1362" spans="1:110" ht="15" customHeight="1" x14ac:dyDescent="0.35">
      <c r="A1362" t="s">
        <v>14640</v>
      </c>
      <c r="B1362" t="s">
        <v>138</v>
      </c>
      <c r="C1362" s="1">
        <v>44327</v>
      </c>
      <c r="G1362" s="1">
        <v>44340</v>
      </c>
      <c r="H1362" t="s">
        <v>125</v>
      </c>
      <c r="I1362" t="s">
        <v>4952</v>
      </c>
      <c r="J1362" t="s">
        <v>8498</v>
      </c>
      <c r="L1362" t="s">
        <v>14641</v>
      </c>
      <c r="M1362" t="s">
        <v>14642</v>
      </c>
      <c r="N1362" t="s">
        <v>14643</v>
      </c>
      <c r="O1362" t="s">
        <v>9557</v>
      </c>
      <c r="P1362" t="s">
        <v>1217</v>
      </c>
      <c r="Q1362" s="3">
        <v>36513</v>
      </c>
      <c r="R1362" t="s">
        <v>128</v>
      </c>
      <c r="T1362" s="4">
        <v>12518293595</v>
      </c>
      <c r="V1362" t="s">
        <v>14644</v>
      </c>
      <c r="W1362" t="s">
        <v>14645</v>
      </c>
      <c r="Y1362" t="s">
        <v>14642</v>
      </c>
      <c r="Z1362" t="s">
        <v>14643</v>
      </c>
      <c r="AA1362" t="s">
        <v>9557</v>
      </c>
      <c r="AB1362" t="s">
        <v>1218</v>
      </c>
      <c r="AC1362" s="3" t="str">
        <f>"36513"</f>
        <v>36513</v>
      </c>
      <c r="AD1362" t="s">
        <v>128</v>
      </c>
      <c r="AF1362" s="4">
        <v>12518293595</v>
      </c>
      <c r="AH1362" t="str">
        <f>"33111"</f>
        <v>33111</v>
      </c>
      <c r="AI1362" t="s">
        <v>130</v>
      </c>
      <c r="AJ1362" t="s">
        <v>3109</v>
      </c>
      <c r="AK1362" t="s">
        <v>3110</v>
      </c>
      <c r="AL1362" t="s">
        <v>730</v>
      </c>
      <c r="AM1362" t="s">
        <v>4073</v>
      </c>
      <c r="AN1362" t="s">
        <v>611</v>
      </c>
      <c r="AO1362" t="s">
        <v>3113</v>
      </c>
      <c r="AP1362" t="s">
        <v>594</v>
      </c>
      <c r="AQ1362" s="5">
        <v>27101</v>
      </c>
      <c r="AR1362" t="s">
        <v>128</v>
      </c>
      <c r="AT1362" s="4">
        <v>13367216842</v>
      </c>
      <c r="AV1362" t="s">
        <v>3114</v>
      </c>
      <c r="AW1362" t="s">
        <v>4074</v>
      </c>
      <c r="AX1362" t="s">
        <v>131</v>
      </c>
      <c r="AY1362" t="s">
        <v>131</v>
      </c>
      <c r="AZ1362" t="s">
        <v>131</v>
      </c>
      <c r="BA1362" t="s">
        <v>131</v>
      </c>
      <c r="BB1362" t="s">
        <v>131</v>
      </c>
      <c r="BC1362" t="s">
        <v>131</v>
      </c>
      <c r="BD1362" t="s">
        <v>131</v>
      </c>
      <c r="BE1362" t="s">
        <v>132</v>
      </c>
      <c r="BH1362" t="s">
        <v>14646</v>
      </c>
      <c r="BI1362" t="s">
        <v>131</v>
      </c>
      <c r="BL1362" t="s">
        <v>133</v>
      </c>
      <c r="BN1362" t="s">
        <v>14647</v>
      </c>
      <c r="BO1362" t="s">
        <v>131</v>
      </c>
      <c r="BP1362" t="s">
        <v>134</v>
      </c>
      <c r="BQ1362" t="s">
        <v>131</v>
      </c>
      <c r="BS1362" t="str">
        <f t="shared" si="90"/>
        <v>N/A</v>
      </c>
      <c r="BT1362" t="s">
        <v>135</v>
      </c>
      <c r="BU1362">
        <v>60</v>
      </c>
      <c r="BV1362" t="str">
        <f>"related experience as an Automotive Business Area Manager, VP Sales Automotive, Business Development Manager or related occupation."</f>
        <v>related experience as an Automotive Business Area Manager, VP Sales Automotive, Business Development Manager or related occupation.</v>
      </c>
      <c r="BW1362" t="s">
        <v>135</v>
      </c>
      <c r="BX1362" t="str">
        <f>""</f>
        <v/>
      </c>
      <c r="BY1362" t="str">
        <f>""</f>
        <v/>
      </c>
      <c r="BZ1362" t="str">
        <f>""</f>
        <v/>
      </c>
      <c r="CA1362" t="s">
        <v>14648</v>
      </c>
      <c r="CB1362" t="s">
        <v>131</v>
      </c>
      <c r="CF1362" t="s">
        <v>131</v>
      </c>
      <c r="CH1362" t="str">
        <f>""</f>
        <v/>
      </c>
      <c r="CI1362" t="s">
        <v>131</v>
      </c>
      <c r="CK1362" t="s">
        <v>131</v>
      </c>
      <c r="CL1362" t="str">
        <f>""</f>
        <v/>
      </c>
      <c r="CM1362" t="str">
        <f>""</f>
        <v/>
      </c>
      <c r="CN1362" t="str">
        <f>""</f>
        <v/>
      </c>
      <c r="CO1362" t="str">
        <f>""</f>
        <v/>
      </c>
      <c r="CP1362" t="str">
        <f>"11-2022.00"</f>
        <v>11-2022.00</v>
      </c>
      <c r="CQ1362" t="s">
        <v>164</v>
      </c>
      <c r="CR1362" t="s">
        <v>14649</v>
      </c>
      <c r="CS1362" t="s">
        <v>135</v>
      </c>
      <c r="CT1362" t="s">
        <v>14650</v>
      </c>
      <c r="CU1362" t="s">
        <v>14642</v>
      </c>
      <c r="CV1362" t="s">
        <v>14643</v>
      </c>
      <c r="CW1362" t="s">
        <v>9557</v>
      </c>
      <c r="CX1362" t="s">
        <v>1218</v>
      </c>
      <c r="CZ1362" s="3" t="str">
        <f>"36513"</f>
        <v>36513</v>
      </c>
      <c r="DA1362" t="s">
        <v>131</v>
      </c>
      <c r="DB1362" t="str">
        <f>""</f>
        <v/>
      </c>
      <c r="DF1362" t="str">
        <f>""</f>
        <v/>
      </c>
    </row>
    <row r="1363" spans="1:110" ht="15" customHeight="1" x14ac:dyDescent="0.35">
      <c r="A1363" t="s">
        <v>13797</v>
      </c>
      <c r="B1363" t="s">
        <v>138</v>
      </c>
      <c r="C1363" s="1">
        <v>44327</v>
      </c>
      <c r="G1363" s="1">
        <v>44327</v>
      </c>
      <c r="H1363" t="s">
        <v>125</v>
      </c>
      <c r="I1363" t="s">
        <v>12185</v>
      </c>
      <c r="J1363" t="s">
        <v>140</v>
      </c>
      <c r="L1363" t="s">
        <v>141</v>
      </c>
      <c r="M1363" t="s">
        <v>142</v>
      </c>
      <c r="O1363" t="s">
        <v>143</v>
      </c>
      <c r="P1363" t="s">
        <v>144</v>
      </c>
      <c r="Q1363" s="3">
        <v>98052</v>
      </c>
      <c r="R1363" t="s">
        <v>128</v>
      </c>
      <c r="T1363" s="4">
        <v>14255383872</v>
      </c>
      <c r="V1363" t="s">
        <v>145</v>
      </c>
      <c r="W1363" t="s">
        <v>1411</v>
      </c>
      <c r="Y1363" t="s">
        <v>142</v>
      </c>
      <c r="AA1363" t="s">
        <v>143</v>
      </c>
      <c r="AB1363" t="s">
        <v>149</v>
      </c>
      <c r="AC1363" s="3" t="str">
        <f>"98052"</f>
        <v>98052</v>
      </c>
      <c r="AD1363" t="s">
        <v>128</v>
      </c>
      <c r="AF1363" s="4">
        <v>14257067916</v>
      </c>
      <c r="AH1363" t="str">
        <f>"511210"</f>
        <v>511210</v>
      </c>
      <c r="AI1363" t="s">
        <v>130</v>
      </c>
      <c r="AJ1363" t="s">
        <v>2260</v>
      </c>
      <c r="AK1363" t="s">
        <v>2261</v>
      </c>
      <c r="AL1363" t="s">
        <v>2262</v>
      </c>
      <c r="AM1363" t="s">
        <v>1414</v>
      </c>
      <c r="AN1363" t="s">
        <v>698</v>
      </c>
      <c r="AO1363" t="s">
        <v>1415</v>
      </c>
      <c r="AP1363" t="s">
        <v>382</v>
      </c>
      <c r="AQ1363" s="5">
        <v>21117</v>
      </c>
      <c r="AR1363" t="s">
        <v>128</v>
      </c>
      <c r="AT1363" s="4">
        <v>14103565440</v>
      </c>
      <c r="AU1363">
        <v>265</v>
      </c>
      <c r="AV1363" t="s">
        <v>2263</v>
      </c>
      <c r="AW1363" t="s">
        <v>1416</v>
      </c>
      <c r="AX1363" t="s">
        <v>131</v>
      </c>
      <c r="AY1363" t="s">
        <v>131</v>
      </c>
      <c r="AZ1363" t="s">
        <v>131</v>
      </c>
      <c r="BA1363" t="s">
        <v>131</v>
      </c>
      <c r="BB1363" t="s">
        <v>131</v>
      </c>
      <c r="BC1363" t="s">
        <v>131</v>
      </c>
      <c r="BD1363" t="s">
        <v>131</v>
      </c>
      <c r="BE1363" t="s">
        <v>132</v>
      </c>
      <c r="BH1363" t="s">
        <v>8474</v>
      </c>
      <c r="BI1363" t="s">
        <v>131</v>
      </c>
      <c r="BL1363" t="s">
        <v>188</v>
      </c>
      <c r="BN1363" t="s">
        <v>12129</v>
      </c>
      <c r="BO1363" t="s">
        <v>131</v>
      </c>
      <c r="BP1363" t="s">
        <v>134</v>
      </c>
      <c r="BQ1363" t="s">
        <v>131</v>
      </c>
      <c r="BS1363" t="str">
        <f t="shared" si="90"/>
        <v>N/A</v>
      </c>
      <c r="BT1363" t="s">
        <v>135</v>
      </c>
      <c r="BU1363">
        <v>12</v>
      </c>
      <c r="BV1363" t="str">
        <f>"experience in sourcing/procurement"</f>
        <v>experience in sourcing/procurement</v>
      </c>
      <c r="BW1363" t="s">
        <v>135</v>
      </c>
      <c r="BX1363" t="str">
        <f>""</f>
        <v/>
      </c>
      <c r="BY1363" t="str">
        <f>""</f>
        <v/>
      </c>
      <c r="BZ1363" t="str">
        <f>""</f>
        <v/>
      </c>
      <c r="CA1363" t="str">
        <f>"Education or experience in Supply Chain; Management; Procurement; Contract Management; Vendor/Supplier Management; 
 Construction Project Management; Schedule Management and Negotiations is required.
"</f>
        <v xml:space="preserve">Education or experience in Supply Chain; Management; Procurement; Contract Management; Vendor/Supplier Management; 
 Construction Project Management; Schedule Management and Negotiations is required.
</v>
      </c>
      <c r="CB1363" t="s">
        <v>131</v>
      </c>
      <c r="CF1363" t="s">
        <v>131</v>
      </c>
      <c r="CH1363" t="str">
        <f>""</f>
        <v/>
      </c>
      <c r="CI1363" t="s">
        <v>131</v>
      </c>
      <c r="CK1363" t="s">
        <v>131</v>
      </c>
      <c r="CL1363" t="str">
        <f>""</f>
        <v/>
      </c>
      <c r="CM1363" t="str">
        <f>""</f>
        <v/>
      </c>
      <c r="CN1363" t="str">
        <f>""</f>
        <v/>
      </c>
      <c r="CO1363" t="str">
        <f>""</f>
        <v/>
      </c>
      <c r="CP1363" t="str">
        <f>"11-3061.00"</f>
        <v>11-3061.00</v>
      </c>
      <c r="CQ1363" t="s">
        <v>4971</v>
      </c>
      <c r="CR1363" t="s">
        <v>12130</v>
      </c>
      <c r="CS1363" t="s">
        <v>135</v>
      </c>
      <c r="CT1363" t="s">
        <v>12131</v>
      </c>
      <c r="CU1363" t="s">
        <v>142</v>
      </c>
      <c r="CW1363" t="s">
        <v>143</v>
      </c>
      <c r="CX1363" t="s">
        <v>149</v>
      </c>
      <c r="CZ1363" s="3" t="str">
        <f>"98052"</f>
        <v>98052</v>
      </c>
      <c r="DA1363" t="s">
        <v>131</v>
      </c>
      <c r="DB1363" t="str">
        <f>""</f>
        <v/>
      </c>
      <c r="DF1363" t="str">
        <f>""</f>
        <v/>
      </c>
    </row>
    <row r="1364" spans="1:110" ht="15" customHeight="1" x14ac:dyDescent="0.35">
      <c r="A1364" t="s">
        <v>9757</v>
      </c>
      <c r="B1364" t="s">
        <v>138</v>
      </c>
      <c r="C1364" s="1">
        <v>44327</v>
      </c>
      <c r="G1364" s="1">
        <v>44337</v>
      </c>
      <c r="H1364" t="s">
        <v>125</v>
      </c>
      <c r="I1364" t="s">
        <v>7338</v>
      </c>
      <c r="J1364" t="s">
        <v>7339</v>
      </c>
      <c r="L1364" t="s">
        <v>303</v>
      </c>
      <c r="M1364" t="s">
        <v>3729</v>
      </c>
      <c r="O1364" t="s">
        <v>735</v>
      </c>
      <c r="P1364" t="s">
        <v>818</v>
      </c>
      <c r="Q1364" s="3">
        <v>30009</v>
      </c>
      <c r="R1364" t="s">
        <v>128</v>
      </c>
      <c r="T1364" s="4">
        <v>16785800004</v>
      </c>
      <c r="V1364" t="s">
        <v>3727</v>
      </c>
      <c r="W1364" t="s">
        <v>3728</v>
      </c>
      <c r="Y1364" t="s">
        <v>3729</v>
      </c>
      <c r="AA1364" t="s">
        <v>735</v>
      </c>
      <c r="AB1364" t="s">
        <v>643</v>
      </c>
      <c r="AC1364" s="3" t="str">
        <f>"30009"</f>
        <v>30009</v>
      </c>
      <c r="AD1364" t="s">
        <v>128</v>
      </c>
      <c r="AF1364" s="4">
        <v>16785800004</v>
      </c>
      <c r="AH1364" t="str">
        <f>"541511"</f>
        <v>541511</v>
      </c>
      <c r="AI1364" t="s">
        <v>130</v>
      </c>
      <c r="AJ1364" t="s">
        <v>3037</v>
      </c>
      <c r="AK1364" t="s">
        <v>3038</v>
      </c>
      <c r="AM1364" t="s">
        <v>3039</v>
      </c>
      <c r="AN1364" t="s">
        <v>3040</v>
      </c>
      <c r="AO1364" t="s">
        <v>735</v>
      </c>
      <c r="AP1364" t="s">
        <v>643</v>
      </c>
      <c r="AQ1364" s="5">
        <v>30022</v>
      </c>
      <c r="AR1364" t="s">
        <v>128</v>
      </c>
      <c r="AT1364" s="4">
        <v>17706192884</v>
      </c>
      <c r="AV1364" t="s">
        <v>3041</v>
      </c>
      <c r="AW1364" t="s">
        <v>3042</v>
      </c>
      <c r="AX1364" t="s">
        <v>131</v>
      </c>
      <c r="AY1364" t="s">
        <v>131</v>
      </c>
      <c r="AZ1364" t="s">
        <v>131</v>
      </c>
      <c r="BA1364" t="s">
        <v>131</v>
      </c>
      <c r="BB1364" t="s">
        <v>131</v>
      </c>
      <c r="BC1364" t="s">
        <v>131</v>
      </c>
      <c r="BD1364" t="s">
        <v>131</v>
      </c>
      <c r="BE1364" t="s">
        <v>132</v>
      </c>
      <c r="BH1364" t="s">
        <v>3730</v>
      </c>
      <c r="BI1364" t="s">
        <v>131</v>
      </c>
      <c r="BL1364" t="s">
        <v>188</v>
      </c>
      <c r="BN1364" t="s">
        <v>3731</v>
      </c>
      <c r="BO1364" t="s">
        <v>131</v>
      </c>
      <c r="BP1364" t="s">
        <v>134</v>
      </c>
      <c r="BQ1364" t="s">
        <v>131</v>
      </c>
      <c r="BS1364" t="str">
        <f t="shared" si="90"/>
        <v>N/A</v>
      </c>
      <c r="BT1364" t="s">
        <v>135</v>
      </c>
      <c r="BU1364">
        <v>6</v>
      </c>
      <c r="BV1364" t="str">
        <f>"Developer/Administrator/similar. 6 months of experience in network security. Will accept course work or certification in network security in lieu of experience"</f>
        <v>Developer/Administrator/similar. 6 months of experience in network security. Will accept course work or certification in network security in lieu of experience</v>
      </c>
      <c r="BW1364" t="s">
        <v>131</v>
      </c>
      <c r="BX1364" t="str">
        <f>""</f>
        <v/>
      </c>
      <c r="BY1364" t="str">
        <f>""</f>
        <v/>
      </c>
      <c r="BZ1364" t="str">
        <f>""</f>
        <v/>
      </c>
      <c r="CA1364" t="str">
        <f>""</f>
        <v/>
      </c>
      <c r="CB1364" t="s">
        <v>131</v>
      </c>
      <c r="CF1364" t="s">
        <v>131</v>
      </c>
      <c r="CH1364" t="str">
        <f>""</f>
        <v/>
      </c>
      <c r="CI1364" t="s">
        <v>131</v>
      </c>
      <c r="CK1364" t="s">
        <v>131</v>
      </c>
      <c r="CL1364" t="str">
        <f>""</f>
        <v/>
      </c>
      <c r="CM1364" t="str">
        <f>""</f>
        <v/>
      </c>
      <c r="CN1364" t="str">
        <f>""</f>
        <v/>
      </c>
      <c r="CO1364" t="str">
        <f>""</f>
        <v/>
      </c>
      <c r="CP1364" t="str">
        <f>"15-1122.00"</f>
        <v>15-1122.00</v>
      </c>
      <c r="CQ1364" t="s">
        <v>711</v>
      </c>
      <c r="CR1364" t="s">
        <v>9165</v>
      </c>
      <c r="CS1364" t="s">
        <v>135</v>
      </c>
      <c r="CT1364" t="s">
        <v>9166</v>
      </c>
      <c r="CU1364" t="s">
        <v>3726</v>
      </c>
      <c r="CW1364" t="s">
        <v>735</v>
      </c>
      <c r="CX1364" t="s">
        <v>643</v>
      </c>
      <c r="CZ1364" s="3" t="str">
        <f>"30009"</f>
        <v>30009</v>
      </c>
      <c r="DA1364" t="s">
        <v>131</v>
      </c>
      <c r="DB1364" t="str">
        <f>""</f>
        <v/>
      </c>
      <c r="DF1364" t="str">
        <f>""</f>
        <v/>
      </c>
    </row>
    <row r="1365" spans="1:110" ht="15" customHeight="1" x14ac:dyDescent="0.35">
      <c r="A1365" t="s">
        <v>10394</v>
      </c>
      <c r="B1365" t="s">
        <v>138</v>
      </c>
      <c r="C1365" s="1">
        <v>44327</v>
      </c>
      <c r="G1365" s="1">
        <v>44341</v>
      </c>
      <c r="H1365" t="s">
        <v>125</v>
      </c>
      <c r="I1365" t="s">
        <v>1615</v>
      </c>
      <c r="J1365" t="s">
        <v>1616</v>
      </c>
      <c r="L1365" t="s">
        <v>3792</v>
      </c>
      <c r="M1365" t="s">
        <v>8551</v>
      </c>
      <c r="N1365" t="s">
        <v>143</v>
      </c>
      <c r="O1365" t="s">
        <v>259</v>
      </c>
      <c r="P1365" t="s">
        <v>273</v>
      </c>
      <c r="Q1365" s="3">
        <v>98052</v>
      </c>
      <c r="R1365" t="s">
        <v>128</v>
      </c>
      <c r="T1365" s="4">
        <v>14254959011</v>
      </c>
      <c r="V1365" t="s">
        <v>8552</v>
      </c>
      <c r="W1365" t="s">
        <v>8553</v>
      </c>
      <c r="X1365" t="s">
        <v>4190</v>
      </c>
      <c r="Y1365" t="s">
        <v>8554</v>
      </c>
      <c r="Z1365" t="s">
        <v>796</v>
      </c>
      <c r="AA1365" t="s">
        <v>259</v>
      </c>
      <c r="AB1365" t="s">
        <v>276</v>
      </c>
      <c r="AC1365" s="3" t="str">
        <f>"07059"</f>
        <v>07059</v>
      </c>
      <c r="AD1365" t="s">
        <v>128</v>
      </c>
      <c r="AF1365" s="4">
        <v>19086048080</v>
      </c>
      <c r="AH1365" t="str">
        <f>"541511"</f>
        <v>541511</v>
      </c>
      <c r="AI1365" t="s">
        <v>130</v>
      </c>
      <c r="AJ1365" t="s">
        <v>6179</v>
      </c>
      <c r="AK1365" t="s">
        <v>5411</v>
      </c>
      <c r="AM1365" t="s">
        <v>7649</v>
      </c>
      <c r="AN1365" t="s">
        <v>3267</v>
      </c>
      <c r="AO1365" t="s">
        <v>376</v>
      </c>
      <c r="AP1365" t="s">
        <v>377</v>
      </c>
      <c r="AQ1365" s="5">
        <v>2110</v>
      </c>
      <c r="AR1365" t="s">
        <v>128</v>
      </c>
      <c r="AT1365" s="4">
        <v>16175740400</v>
      </c>
      <c r="AV1365" t="s">
        <v>8556</v>
      </c>
      <c r="AW1365" t="s">
        <v>517</v>
      </c>
      <c r="AX1365" t="s">
        <v>131</v>
      </c>
      <c r="AY1365" t="s">
        <v>131</v>
      </c>
      <c r="AZ1365" t="s">
        <v>131</v>
      </c>
      <c r="BA1365" t="s">
        <v>131</v>
      </c>
      <c r="BB1365" t="s">
        <v>131</v>
      </c>
      <c r="BC1365" t="s">
        <v>131</v>
      </c>
      <c r="BD1365" t="s">
        <v>131</v>
      </c>
      <c r="BE1365" t="s">
        <v>132</v>
      </c>
      <c r="BH1365" t="s">
        <v>10395</v>
      </c>
      <c r="BI1365" t="s">
        <v>131</v>
      </c>
      <c r="BL1365" t="s">
        <v>133</v>
      </c>
      <c r="BN1365" t="s">
        <v>6336</v>
      </c>
      <c r="BO1365" t="s">
        <v>131</v>
      </c>
      <c r="BP1365" t="s">
        <v>134</v>
      </c>
      <c r="BQ1365" t="s">
        <v>131</v>
      </c>
      <c r="BS1365" t="str">
        <f t="shared" si="90"/>
        <v>N/A</v>
      </c>
      <c r="BT1365" t="s">
        <v>135</v>
      </c>
      <c r="BU1365">
        <v>24</v>
      </c>
      <c r="BV1365" t="str">
        <f>"Related IT Experience"</f>
        <v>Related IT Experience</v>
      </c>
      <c r="BW1365" t="s">
        <v>135</v>
      </c>
      <c r="BX1365" t="str">
        <f>""</f>
        <v/>
      </c>
      <c r="BY1365" t="str">
        <f>""</f>
        <v/>
      </c>
      <c r="BZ1365" t="str">
        <f>""</f>
        <v/>
      </c>
      <c r="CA1365" t="str">
        <f>"Requires one (1) year of experience in the following: .NET Framework; C#; MVC; Azure; and JavaScript"</f>
        <v>Requires one (1) year of experience in the following: .NET Framework; C#; MVC; Azure; and JavaScript</v>
      </c>
      <c r="CB1365" t="s">
        <v>131</v>
      </c>
      <c r="CF1365" t="s">
        <v>131</v>
      </c>
      <c r="CH1365" t="str">
        <f>""</f>
        <v/>
      </c>
      <c r="CI1365" t="s">
        <v>131</v>
      </c>
      <c r="CK1365" t="s">
        <v>131</v>
      </c>
      <c r="CL1365" t="str">
        <f>""</f>
        <v/>
      </c>
      <c r="CM1365" t="str">
        <f>""</f>
        <v/>
      </c>
      <c r="CN1365" t="str">
        <f>""</f>
        <v/>
      </c>
      <c r="CO1365" t="str">
        <f>""</f>
        <v/>
      </c>
      <c r="CP1365" t="str">
        <f>"15-1121.00"</f>
        <v>15-1121.00</v>
      </c>
      <c r="CQ1365" t="s">
        <v>283</v>
      </c>
      <c r="CS1365" t="s">
        <v>135</v>
      </c>
      <c r="CT1365" t="s">
        <v>5412</v>
      </c>
      <c r="CU1365" t="s">
        <v>8554</v>
      </c>
      <c r="CV1365" t="s">
        <v>796</v>
      </c>
      <c r="CW1365" t="s">
        <v>259</v>
      </c>
      <c r="CX1365" t="s">
        <v>276</v>
      </c>
      <c r="CZ1365" s="3" t="str">
        <f>"07059"</f>
        <v>07059</v>
      </c>
      <c r="DA1365" t="s">
        <v>135</v>
      </c>
      <c r="DB1365" t="str">
        <f>""</f>
        <v/>
      </c>
      <c r="DF1365" t="str">
        <f>""</f>
        <v/>
      </c>
    </row>
    <row r="1366" spans="1:110" ht="15" customHeight="1" x14ac:dyDescent="0.35">
      <c r="A1366" t="s">
        <v>9164</v>
      </c>
      <c r="B1366" t="s">
        <v>138</v>
      </c>
      <c r="C1366" s="1">
        <v>44327</v>
      </c>
      <c r="G1366" s="1">
        <v>44337</v>
      </c>
      <c r="H1366" t="s">
        <v>125</v>
      </c>
      <c r="I1366" t="s">
        <v>1688</v>
      </c>
      <c r="J1366" t="s">
        <v>3725</v>
      </c>
      <c r="L1366" t="s">
        <v>303</v>
      </c>
      <c r="M1366" t="s">
        <v>3729</v>
      </c>
      <c r="O1366" t="s">
        <v>735</v>
      </c>
      <c r="P1366" t="s">
        <v>818</v>
      </c>
      <c r="Q1366" s="3">
        <v>30009</v>
      </c>
      <c r="R1366" t="s">
        <v>128</v>
      </c>
      <c r="T1366" s="4">
        <v>16785800004</v>
      </c>
      <c r="V1366" t="s">
        <v>3727</v>
      </c>
      <c r="W1366" t="s">
        <v>3728</v>
      </c>
      <c r="Y1366" t="s">
        <v>3729</v>
      </c>
      <c r="AA1366" t="s">
        <v>735</v>
      </c>
      <c r="AB1366" t="s">
        <v>643</v>
      </c>
      <c r="AC1366" s="3" t="str">
        <f>"30009"</f>
        <v>30009</v>
      </c>
      <c r="AD1366" t="s">
        <v>128</v>
      </c>
      <c r="AF1366" s="4">
        <v>16785800004</v>
      </c>
      <c r="AH1366" t="str">
        <f>"541511"</f>
        <v>541511</v>
      </c>
      <c r="AI1366" t="s">
        <v>130</v>
      </c>
      <c r="AJ1366" t="s">
        <v>3037</v>
      </c>
      <c r="AK1366" t="s">
        <v>3038</v>
      </c>
      <c r="AM1366" t="s">
        <v>3039</v>
      </c>
      <c r="AN1366" t="s">
        <v>3040</v>
      </c>
      <c r="AO1366" t="s">
        <v>735</v>
      </c>
      <c r="AP1366" t="s">
        <v>643</v>
      </c>
      <c r="AQ1366" s="5">
        <v>30022</v>
      </c>
      <c r="AR1366" t="s">
        <v>128</v>
      </c>
      <c r="AT1366" s="4">
        <v>17706192884</v>
      </c>
      <c r="AV1366" t="s">
        <v>3041</v>
      </c>
      <c r="AW1366" t="s">
        <v>3042</v>
      </c>
      <c r="AX1366" t="s">
        <v>131</v>
      </c>
      <c r="AY1366" t="s">
        <v>131</v>
      </c>
      <c r="AZ1366" t="s">
        <v>131</v>
      </c>
      <c r="BA1366" t="s">
        <v>131</v>
      </c>
      <c r="BB1366" t="s">
        <v>131</v>
      </c>
      <c r="BC1366" t="s">
        <v>131</v>
      </c>
      <c r="BD1366" t="s">
        <v>131</v>
      </c>
      <c r="BE1366" t="s">
        <v>132</v>
      </c>
      <c r="BH1366" t="s">
        <v>3730</v>
      </c>
      <c r="BI1366" t="s">
        <v>131</v>
      </c>
      <c r="BL1366" t="s">
        <v>188</v>
      </c>
      <c r="BN1366" t="s">
        <v>3731</v>
      </c>
      <c r="BO1366" t="s">
        <v>131</v>
      </c>
      <c r="BP1366" t="s">
        <v>134</v>
      </c>
      <c r="BQ1366" t="s">
        <v>131</v>
      </c>
      <c r="BS1366" t="str">
        <f t="shared" si="90"/>
        <v>N/A</v>
      </c>
      <c r="BT1366" t="s">
        <v>135</v>
      </c>
      <c r="BU1366">
        <v>6</v>
      </c>
      <c r="BV1366" t="str">
        <f>"Developer/Administrator/Similar. 6 months of experience in network security."</f>
        <v>Developer/Administrator/Similar. 6 months of experience in network security.</v>
      </c>
      <c r="BW1366" t="s">
        <v>135</v>
      </c>
      <c r="BX1366" t="str">
        <f>""</f>
        <v/>
      </c>
      <c r="BY1366" t="str">
        <f>""</f>
        <v/>
      </c>
      <c r="BZ1366" t="str">
        <f>""</f>
        <v/>
      </c>
      <c r="CA1366" t="str">
        <f>"Will accept course work or certification in network security in lieu of experience. "</f>
        <v xml:space="preserve">Will accept course work or certification in network security in lieu of experience. </v>
      </c>
      <c r="CB1366" t="s">
        <v>131</v>
      </c>
      <c r="CF1366" t="s">
        <v>131</v>
      </c>
      <c r="CH1366" t="str">
        <f>""</f>
        <v/>
      </c>
      <c r="CI1366" t="s">
        <v>131</v>
      </c>
      <c r="CK1366" t="s">
        <v>131</v>
      </c>
      <c r="CL1366" t="str">
        <f>""</f>
        <v/>
      </c>
      <c r="CM1366" t="str">
        <f>""</f>
        <v/>
      </c>
      <c r="CN1366" t="str">
        <f>""</f>
        <v/>
      </c>
      <c r="CO1366" t="str">
        <f>""</f>
        <v/>
      </c>
      <c r="CP1366" t="str">
        <f>"15-1122.00"</f>
        <v>15-1122.00</v>
      </c>
      <c r="CQ1366" t="s">
        <v>711</v>
      </c>
      <c r="CR1366" t="s">
        <v>9165</v>
      </c>
      <c r="CS1366" t="s">
        <v>135</v>
      </c>
      <c r="CT1366" t="s">
        <v>9166</v>
      </c>
      <c r="CU1366" t="s">
        <v>3729</v>
      </c>
      <c r="CW1366" t="s">
        <v>735</v>
      </c>
      <c r="CX1366" t="s">
        <v>643</v>
      </c>
      <c r="CZ1366" s="3" t="str">
        <f>"30009"</f>
        <v>30009</v>
      </c>
      <c r="DA1366" t="s">
        <v>131</v>
      </c>
      <c r="DB1366" t="str">
        <f>""</f>
        <v/>
      </c>
      <c r="DF1366" t="str">
        <f>""</f>
        <v/>
      </c>
    </row>
    <row r="1367" spans="1:110" ht="15" customHeight="1" x14ac:dyDescent="0.35">
      <c r="A1367" t="s">
        <v>13039</v>
      </c>
      <c r="B1367" t="s">
        <v>138</v>
      </c>
      <c r="C1367" s="1">
        <v>44327</v>
      </c>
      <c r="G1367" s="1">
        <v>44375</v>
      </c>
      <c r="H1367" t="s">
        <v>125</v>
      </c>
      <c r="I1367" t="s">
        <v>13040</v>
      </c>
      <c r="J1367" t="s">
        <v>2857</v>
      </c>
      <c r="L1367" t="s">
        <v>2858</v>
      </c>
      <c r="M1367" t="s">
        <v>13041</v>
      </c>
      <c r="N1367" t="s">
        <v>2860</v>
      </c>
      <c r="O1367" t="s">
        <v>376</v>
      </c>
      <c r="P1367" t="s">
        <v>720</v>
      </c>
      <c r="Q1367" s="3">
        <v>2110</v>
      </c>
      <c r="R1367" t="s">
        <v>128</v>
      </c>
      <c r="T1367" s="4">
        <v>16177601559</v>
      </c>
      <c r="V1367" t="s">
        <v>2861</v>
      </c>
      <c r="W1367" t="s">
        <v>2862</v>
      </c>
      <c r="Y1367" t="s">
        <v>2859</v>
      </c>
      <c r="Z1367" t="s">
        <v>2860</v>
      </c>
      <c r="AA1367" t="s">
        <v>376</v>
      </c>
      <c r="AB1367" t="s">
        <v>377</v>
      </c>
      <c r="AC1367" s="3" t="str">
        <f>"02110"</f>
        <v>02110</v>
      </c>
      <c r="AD1367" t="s">
        <v>128</v>
      </c>
      <c r="AF1367" s="4">
        <v>16177601559</v>
      </c>
      <c r="AH1367" t="str">
        <f>"523920"</f>
        <v>523920</v>
      </c>
      <c r="AI1367" t="s">
        <v>130</v>
      </c>
      <c r="AJ1367" t="s">
        <v>9920</v>
      </c>
      <c r="AK1367" t="s">
        <v>1444</v>
      </c>
      <c r="AL1367" t="s">
        <v>387</v>
      </c>
      <c r="AM1367" t="s">
        <v>374</v>
      </c>
      <c r="AN1367" t="s">
        <v>375</v>
      </c>
      <c r="AO1367" t="s">
        <v>376</v>
      </c>
      <c r="AP1367" t="s">
        <v>377</v>
      </c>
      <c r="AQ1367" s="5">
        <v>2110</v>
      </c>
      <c r="AR1367" t="s">
        <v>128</v>
      </c>
      <c r="AT1367" s="4">
        <v>16175740400</v>
      </c>
      <c r="AV1367" t="s">
        <v>2861</v>
      </c>
      <c r="AW1367" t="s">
        <v>386</v>
      </c>
      <c r="AX1367" t="s">
        <v>131</v>
      </c>
      <c r="AY1367" t="s">
        <v>131</v>
      </c>
      <c r="AZ1367" t="s">
        <v>131</v>
      </c>
      <c r="BA1367" t="s">
        <v>131</v>
      </c>
      <c r="BB1367" t="s">
        <v>131</v>
      </c>
      <c r="BC1367" t="s">
        <v>131</v>
      </c>
      <c r="BD1367" t="s">
        <v>131</v>
      </c>
      <c r="BE1367" t="s">
        <v>132</v>
      </c>
      <c r="BH1367" t="s">
        <v>7401</v>
      </c>
      <c r="BI1367" t="s">
        <v>135</v>
      </c>
      <c r="BJ1367" t="s">
        <v>13042</v>
      </c>
      <c r="BK1367" t="s">
        <v>13043</v>
      </c>
      <c r="BL1367" t="s">
        <v>133</v>
      </c>
      <c r="BN1367" t="s">
        <v>2865</v>
      </c>
      <c r="BO1367" t="s">
        <v>131</v>
      </c>
      <c r="BP1367" t="s">
        <v>134</v>
      </c>
      <c r="BQ1367" t="s">
        <v>131</v>
      </c>
      <c r="BS1367" t="str">
        <f t="shared" si="90"/>
        <v>N/A</v>
      </c>
      <c r="BT1367" t="s">
        <v>135</v>
      </c>
      <c r="BU1367">
        <v>60</v>
      </c>
      <c r="BV1367" t="str">
        <f>"Experience in SAP (systems, applications, products in data processing)"</f>
        <v>Experience in SAP (systems, applications, products in data processing)</v>
      </c>
      <c r="BW1367" t="s">
        <v>135</v>
      </c>
      <c r="BX1367" t="str">
        <f>""</f>
        <v/>
      </c>
      <c r="BY1367" t="str">
        <f>""</f>
        <v/>
      </c>
      <c r="BZ1367" t="str">
        <f>""</f>
        <v/>
      </c>
      <c r="CA1367" s="2" t="s">
        <v>2866</v>
      </c>
      <c r="CB1367" t="s">
        <v>135</v>
      </c>
      <c r="CC1367" t="s">
        <v>188</v>
      </c>
      <c r="CE1367" t="s">
        <v>2865</v>
      </c>
      <c r="CF1367" t="s">
        <v>131</v>
      </c>
      <c r="CH1367" t="str">
        <f>"N/A"</f>
        <v>N/A</v>
      </c>
      <c r="CI1367" t="s">
        <v>135</v>
      </c>
      <c r="CJ1367">
        <v>36</v>
      </c>
      <c r="CK1367" t="s">
        <v>135</v>
      </c>
      <c r="CL1367" t="str">
        <f>""</f>
        <v/>
      </c>
      <c r="CM1367" t="str">
        <f>""</f>
        <v/>
      </c>
      <c r="CN1367" t="str">
        <f>""</f>
        <v/>
      </c>
      <c r="CO1367" s="2" t="s">
        <v>2866</v>
      </c>
      <c r="CP1367" t="str">
        <f>"11-3021.00"</f>
        <v>11-3021.00</v>
      </c>
      <c r="CQ1367" t="s">
        <v>598</v>
      </c>
      <c r="CR1367" t="s">
        <v>2867</v>
      </c>
      <c r="CS1367" t="s">
        <v>131</v>
      </c>
      <c r="CU1367" t="s">
        <v>2859</v>
      </c>
      <c r="CV1367" t="s">
        <v>2860</v>
      </c>
      <c r="CW1367" t="s">
        <v>376</v>
      </c>
      <c r="CX1367" t="s">
        <v>377</v>
      </c>
      <c r="CZ1367" s="3" t="str">
        <f>"02110"</f>
        <v>02110</v>
      </c>
      <c r="DA1367" t="s">
        <v>131</v>
      </c>
      <c r="DB1367" t="str">
        <f>""</f>
        <v/>
      </c>
      <c r="DF1367" t="str">
        <f>""</f>
        <v/>
      </c>
    </row>
    <row r="1368" spans="1:110" ht="15" customHeight="1" x14ac:dyDescent="0.35">
      <c r="A1368" t="s">
        <v>7659</v>
      </c>
      <c r="B1368" t="s">
        <v>138</v>
      </c>
      <c r="C1368" s="1">
        <v>44327</v>
      </c>
      <c r="G1368" s="1">
        <v>44327</v>
      </c>
      <c r="H1368" t="s">
        <v>125</v>
      </c>
      <c r="I1368" t="s">
        <v>3682</v>
      </c>
      <c r="J1368" t="s">
        <v>7660</v>
      </c>
      <c r="L1368" t="s">
        <v>4746</v>
      </c>
      <c r="M1368" t="s">
        <v>7661</v>
      </c>
      <c r="N1368" t="s">
        <v>959</v>
      </c>
      <c r="O1368" t="s">
        <v>476</v>
      </c>
      <c r="P1368" t="s">
        <v>178</v>
      </c>
      <c r="Q1368" s="3">
        <v>90010</v>
      </c>
      <c r="R1368" t="s">
        <v>128</v>
      </c>
      <c r="T1368" s="4">
        <v>12136258886</v>
      </c>
      <c r="V1368" t="s">
        <v>7662</v>
      </c>
      <c r="W1368" t="s">
        <v>7663</v>
      </c>
      <c r="Y1368" t="s">
        <v>7661</v>
      </c>
      <c r="Z1368" t="s">
        <v>959</v>
      </c>
      <c r="AA1368" t="s">
        <v>476</v>
      </c>
      <c r="AB1368" t="s">
        <v>172</v>
      </c>
      <c r="AC1368" s="3" t="str">
        <f>"90010"</f>
        <v>90010</v>
      </c>
      <c r="AD1368" t="s">
        <v>128</v>
      </c>
      <c r="AF1368" s="4">
        <v>12136258886</v>
      </c>
      <c r="AH1368" t="str">
        <f>"5239"</f>
        <v>5239</v>
      </c>
      <c r="AI1368" t="s">
        <v>130</v>
      </c>
      <c r="AJ1368" t="s">
        <v>1775</v>
      </c>
      <c r="AK1368" t="s">
        <v>394</v>
      </c>
      <c r="AL1368" t="s">
        <v>2673</v>
      </c>
      <c r="AM1368" t="s">
        <v>7664</v>
      </c>
      <c r="AN1368" t="s">
        <v>7665</v>
      </c>
      <c r="AO1368" t="s">
        <v>4426</v>
      </c>
      <c r="AP1368" t="s">
        <v>172</v>
      </c>
      <c r="AQ1368" s="5">
        <v>94080</v>
      </c>
      <c r="AR1368" t="s">
        <v>128</v>
      </c>
      <c r="AT1368" s="4">
        <v>16505887100</v>
      </c>
      <c r="AV1368" t="s">
        <v>7666</v>
      </c>
      <c r="AW1368" t="s">
        <v>7667</v>
      </c>
      <c r="AX1368" t="s">
        <v>131</v>
      </c>
      <c r="AY1368" t="s">
        <v>131</v>
      </c>
      <c r="AZ1368" t="s">
        <v>131</v>
      </c>
      <c r="BA1368" t="s">
        <v>131</v>
      </c>
      <c r="BB1368" t="s">
        <v>131</v>
      </c>
      <c r="BC1368" t="s">
        <v>131</v>
      </c>
      <c r="BD1368" t="s">
        <v>131</v>
      </c>
      <c r="BE1368" t="s">
        <v>132</v>
      </c>
      <c r="BH1368" t="s">
        <v>361</v>
      </c>
      <c r="BI1368" t="s">
        <v>131</v>
      </c>
      <c r="BL1368" t="s">
        <v>188</v>
      </c>
      <c r="BN1368" t="s">
        <v>7668</v>
      </c>
      <c r="BO1368" t="s">
        <v>131</v>
      </c>
      <c r="BP1368" t="s">
        <v>134</v>
      </c>
      <c r="BQ1368" t="s">
        <v>131</v>
      </c>
      <c r="BS1368" t="str">
        <f t="shared" si="90"/>
        <v>N/A</v>
      </c>
      <c r="BT1368" t="s">
        <v>135</v>
      </c>
      <c r="BU1368">
        <v>24</v>
      </c>
      <c r="BV1368" t="str">
        <f>"Director, or related occupation."</f>
        <v>Director, or related occupation.</v>
      </c>
      <c r="BW1368" t="s">
        <v>135</v>
      </c>
      <c r="BX1368" t="str">
        <f>""</f>
        <v/>
      </c>
      <c r="BY1368" t="str">
        <f>""</f>
        <v/>
      </c>
      <c r="BZ1368" t="str">
        <f>""</f>
        <v/>
      </c>
      <c r="CA1368" t="s">
        <v>7669</v>
      </c>
      <c r="CB1368" t="s">
        <v>131</v>
      </c>
      <c r="CF1368" t="s">
        <v>131</v>
      </c>
      <c r="CH1368" t="str">
        <f>""</f>
        <v/>
      </c>
      <c r="CI1368" t="s">
        <v>131</v>
      </c>
      <c r="CK1368" t="s">
        <v>131</v>
      </c>
      <c r="CL1368" t="str">
        <f>""</f>
        <v/>
      </c>
      <c r="CM1368" t="str">
        <f>""</f>
        <v/>
      </c>
      <c r="CN1368" t="str">
        <f>""</f>
        <v/>
      </c>
      <c r="CO1368" t="str">
        <f>""</f>
        <v/>
      </c>
      <c r="CP1368" t="str">
        <f>"13-2051.00"</f>
        <v>13-2051.00</v>
      </c>
      <c r="CQ1368" t="s">
        <v>245</v>
      </c>
      <c r="CR1368" t="s">
        <v>4746</v>
      </c>
      <c r="CS1368" t="s">
        <v>135</v>
      </c>
      <c r="CT1368" t="s">
        <v>7670</v>
      </c>
      <c r="CU1368" t="s">
        <v>7661</v>
      </c>
      <c r="CV1368" t="s">
        <v>959</v>
      </c>
      <c r="CW1368" t="s">
        <v>476</v>
      </c>
      <c r="CX1368" t="s">
        <v>172</v>
      </c>
      <c r="CZ1368" s="3" t="str">
        <f>"90010"</f>
        <v>90010</v>
      </c>
      <c r="DA1368" t="s">
        <v>131</v>
      </c>
      <c r="DB1368" t="str">
        <f>""</f>
        <v/>
      </c>
      <c r="DF1368" t="str">
        <f>""</f>
        <v/>
      </c>
    </row>
    <row r="1369" spans="1:110" ht="15" customHeight="1" x14ac:dyDescent="0.35">
      <c r="A1369" t="s">
        <v>10737</v>
      </c>
      <c r="B1369" t="s">
        <v>138</v>
      </c>
      <c r="C1369" s="1">
        <v>44327</v>
      </c>
      <c r="G1369" s="1">
        <v>44327</v>
      </c>
      <c r="H1369" t="s">
        <v>125</v>
      </c>
      <c r="I1369" t="s">
        <v>714</v>
      </c>
      <c r="J1369" t="s">
        <v>1313</v>
      </c>
      <c r="L1369" t="s">
        <v>530</v>
      </c>
      <c r="M1369" t="s">
        <v>10738</v>
      </c>
      <c r="N1369" t="s">
        <v>10739</v>
      </c>
      <c r="O1369" t="s">
        <v>9187</v>
      </c>
      <c r="P1369" t="s">
        <v>720</v>
      </c>
      <c r="Q1369" s="3">
        <v>2466</v>
      </c>
      <c r="R1369" t="s">
        <v>128</v>
      </c>
      <c r="T1369" s="4">
        <v>19784958070</v>
      </c>
      <c r="V1369" t="s">
        <v>10740</v>
      </c>
      <c r="W1369" t="s">
        <v>10741</v>
      </c>
      <c r="X1369" t="s">
        <v>10741</v>
      </c>
      <c r="Y1369" t="s">
        <v>10738</v>
      </c>
      <c r="Z1369" t="s">
        <v>10739</v>
      </c>
      <c r="AA1369" t="s">
        <v>9187</v>
      </c>
      <c r="AB1369" t="s">
        <v>377</v>
      </c>
      <c r="AC1369" s="3" t="str">
        <f>"02466"</f>
        <v>02466</v>
      </c>
      <c r="AD1369" t="s">
        <v>128</v>
      </c>
      <c r="AF1369" s="4">
        <v>19783131531</v>
      </c>
      <c r="AH1369" t="str">
        <f>"54171"</f>
        <v>54171</v>
      </c>
      <c r="AI1369" t="s">
        <v>130</v>
      </c>
      <c r="AJ1369" t="s">
        <v>10742</v>
      </c>
      <c r="AK1369" t="s">
        <v>1059</v>
      </c>
      <c r="AL1369" t="s">
        <v>3629</v>
      </c>
      <c r="AM1369" t="s">
        <v>6981</v>
      </c>
      <c r="AN1369" t="s">
        <v>1169</v>
      </c>
      <c r="AO1369" t="s">
        <v>262</v>
      </c>
      <c r="AP1369" t="s">
        <v>263</v>
      </c>
      <c r="AQ1369" s="5">
        <v>60654</v>
      </c>
      <c r="AR1369" t="s">
        <v>128</v>
      </c>
      <c r="AT1369" s="4">
        <v>13127155018</v>
      </c>
      <c r="AV1369" t="s">
        <v>10743</v>
      </c>
      <c r="AW1369" t="s">
        <v>1171</v>
      </c>
      <c r="AX1369" t="s">
        <v>131</v>
      </c>
      <c r="AY1369" t="s">
        <v>131</v>
      </c>
      <c r="AZ1369" t="s">
        <v>131</v>
      </c>
      <c r="BA1369" t="s">
        <v>131</v>
      </c>
      <c r="BB1369" t="s">
        <v>131</v>
      </c>
      <c r="BC1369" t="s">
        <v>131</v>
      </c>
      <c r="BD1369" t="s">
        <v>131</v>
      </c>
      <c r="BE1369" t="s">
        <v>132</v>
      </c>
      <c r="BH1369" t="s">
        <v>10744</v>
      </c>
      <c r="BI1369" t="s">
        <v>131</v>
      </c>
      <c r="BL1369" t="s">
        <v>188</v>
      </c>
      <c r="BN1369" t="s">
        <v>8047</v>
      </c>
      <c r="BO1369" t="s">
        <v>131</v>
      </c>
      <c r="BP1369" t="s">
        <v>134</v>
      </c>
      <c r="BQ1369" t="s">
        <v>131</v>
      </c>
      <c r="BS1369" t="str">
        <f t="shared" si="90"/>
        <v>N/A</v>
      </c>
      <c r="BT1369" t="s">
        <v>135</v>
      </c>
      <c r="BU1369">
        <v>24</v>
      </c>
      <c r="BV1369" t="str">
        <f>"IT systems project management experience."</f>
        <v>IT systems project management experience.</v>
      </c>
      <c r="BW1369" t="s">
        <v>135</v>
      </c>
      <c r="BX1369" t="str">
        <f>""</f>
        <v/>
      </c>
      <c r="BY1369" t="str">
        <f>""</f>
        <v/>
      </c>
      <c r="BZ1369" t="str">
        <f>""</f>
        <v/>
      </c>
      <c r="CA1369" t="s">
        <v>10745</v>
      </c>
      <c r="CB1369" t="s">
        <v>135</v>
      </c>
      <c r="CC1369" t="s">
        <v>133</v>
      </c>
      <c r="CE1369" t="s">
        <v>8047</v>
      </c>
      <c r="CF1369" t="s">
        <v>131</v>
      </c>
      <c r="CH1369" t="str">
        <f>"N/A"</f>
        <v>N/A</v>
      </c>
      <c r="CI1369" t="s">
        <v>135</v>
      </c>
      <c r="CJ1369">
        <v>60</v>
      </c>
      <c r="CK1369" t="s">
        <v>135</v>
      </c>
      <c r="CL1369" t="str">
        <f>""</f>
        <v/>
      </c>
      <c r="CM1369" t="str">
        <f>""</f>
        <v/>
      </c>
      <c r="CN1369" t="str">
        <f>""</f>
        <v/>
      </c>
      <c r="CO1369" t="s">
        <v>10745</v>
      </c>
      <c r="CP1369" t="str">
        <f>"15-1133.00"</f>
        <v>15-1133.00</v>
      </c>
      <c r="CQ1369" t="s">
        <v>648</v>
      </c>
      <c r="CR1369" t="s">
        <v>10746</v>
      </c>
      <c r="CS1369" t="s">
        <v>131</v>
      </c>
      <c r="CU1369" t="s">
        <v>10747</v>
      </c>
      <c r="CV1369" t="s">
        <v>788</v>
      </c>
      <c r="CW1369" t="s">
        <v>2323</v>
      </c>
      <c r="CX1369" t="s">
        <v>594</v>
      </c>
      <c r="CZ1369" s="3" t="str">
        <f>"27713"</f>
        <v>27713</v>
      </c>
      <c r="DA1369" t="s">
        <v>131</v>
      </c>
      <c r="DB1369" t="str">
        <f>""</f>
        <v/>
      </c>
      <c r="DF1369" t="str">
        <f>""</f>
        <v/>
      </c>
    </row>
    <row r="1370" spans="1:110" ht="15" customHeight="1" x14ac:dyDescent="0.35">
      <c r="A1370" t="s">
        <v>18399</v>
      </c>
      <c r="B1370" t="s">
        <v>138</v>
      </c>
      <c r="C1370" s="1">
        <v>44327</v>
      </c>
      <c r="G1370" s="1">
        <v>44329</v>
      </c>
      <c r="H1370" t="s">
        <v>125</v>
      </c>
      <c r="I1370" t="s">
        <v>534</v>
      </c>
      <c r="J1370" t="s">
        <v>562</v>
      </c>
      <c r="L1370" t="s">
        <v>10596</v>
      </c>
      <c r="M1370" t="s">
        <v>10597</v>
      </c>
      <c r="O1370" t="s">
        <v>807</v>
      </c>
      <c r="P1370" t="s">
        <v>857</v>
      </c>
      <c r="Q1370" s="3">
        <v>85040</v>
      </c>
      <c r="R1370" t="s">
        <v>128</v>
      </c>
      <c r="T1370" s="4">
        <v>16025571932</v>
      </c>
      <c r="V1370" t="s">
        <v>10598</v>
      </c>
      <c r="W1370" t="s">
        <v>10599</v>
      </c>
      <c r="Y1370" t="s">
        <v>10600</v>
      </c>
      <c r="AA1370" t="s">
        <v>807</v>
      </c>
      <c r="AB1370" t="s">
        <v>808</v>
      </c>
      <c r="AC1370" s="3" t="str">
        <f>"85040"</f>
        <v>85040</v>
      </c>
      <c r="AD1370" t="s">
        <v>128</v>
      </c>
      <c r="AF1370" s="4">
        <v>16025571932</v>
      </c>
      <c r="AH1370" t="str">
        <f>"611310"</f>
        <v>611310</v>
      </c>
      <c r="AI1370" t="s">
        <v>130</v>
      </c>
      <c r="AJ1370" t="s">
        <v>2277</v>
      </c>
      <c r="AK1370" t="s">
        <v>313</v>
      </c>
      <c r="AL1370" t="s">
        <v>1493</v>
      </c>
      <c r="AM1370" t="s">
        <v>2278</v>
      </c>
      <c r="AN1370" t="s">
        <v>1169</v>
      </c>
      <c r="AO1370" t="s">
        <v>262</v>
      </c>
      <c r="AP1370" t="s">
        <v>263</v>
      </c>
      <c r="AQ1370" s="5">
        <v>60654</v>
      </c>
      <c r="AR1370" t="s">
        <v>128</v>
      </c>
      <c r="AT1370" s="4">
        <v>13127155252</v>
      </c>
      <c r="AV1370" t="s">
        <v>2279</v>
      </c>
      <c r="AW1370" t="s">
        <v>1171</v>
      </c>
      <c r="AX1370" t="s">
        <v>131</v>
      </c>
      <c r="AY1370" t="s">
        <v>131</v>
      </c>
      <c r="AZ1370" t="s">
        <v>131</v>
      </c>
      <c r="BA1370" t="s">
        <v>131</v>
      </c>
      <c r="BB1370" t="s">
        <v>131</v>
      </c>
      <c r="BC1370" t="s">
        <v>131</v>
      </c>
      <c r="BD1370" t="s">
        <v>131</v>
      </c>
      <c r="BE1370" t="s">
        <v>132</v>
      </c>
      <c r="BH1370" t="s">
        <v>18400</v>
      </c>
      <c r="BI1370" t="s">
        <v>131</v>
      </c>
      <c r="BL1370" t="s">
        <v>188</v>
      </c>
      <c r="BN1370" t="s">
        <v>17537</v>
      </c>
      <c r="BO1370" t="s">
        <v>131</v>
      </c>
      <c r="BP1370" t="s">
        <v>134</v>
      </c>
      <c r="BQ1370" t="s">
        <v>131</v>
      </c>
      <c r="BS1370" t="str">
        <f t="shared" si="90"/>
        <v>N/A</v>
      </c>
      <c r="BT1370" t="s">
        <v>135</v>
      </c>
      <c r="BU1370">
        <v>12</v>
      </c>
      <c r="BV1370" t="str">
        <f>"performing information security investigations"</f>
        <v>performing information security investigations</v>
      </c>
      <c r="BW1370" t="s">
        <v>135</v>
      </c>
      <c r="BX1370" t="str">
        <f>""</f>
        <v/>
      </c>
      <c r="BY1370" t="str">
        <f>""</f>
        <v/>
      </c>
      <c r="BZ1370" t="str">
        <f>""</f>
        <v/>
      </c>
      <c r="CA1370" t="str">
        <f>"Please see Section F.a.2"</f>
        <v>Please see Section F.a.2</v>
      </c>
      <c r="CB1370" t="s">
        <v>135</v>
      </c>
      <c r="CC1370" t="s">
        <v>133</v>
      </c>
      <c r="CE1370" t="s">
        <v>17537</v>
      </c>
      <c r="CF1370" t="s">
        <v>131</v>
      </c>
      <c r="CH1370" t="str">
        <f>"N/A"</f>
        <v>N/A</v>
      </c>
      <c r="CI1370" t="s">
        <v>135</v>
      </c>
      <c r="CJ1370">
        <v>60</v>
      </c>
      <c r="CK1370" t="s">
        <v>135</v>
      </c>
      <c r="CL1370" t="str">
        <f>""</f>
        <v/>
      </c>
      <c r="CM1370" t="str">
        <f>""</f>
        <v/>
      </c>
      <c r="CN1370" t="str">
        <f>""</f>
        <v/>
      </c>
      <c r="CO1370" t="str">
        <f>"Please see Section F.a.2"</f>
        <v>Please see Section F.a.2</v>
      </c>
      <c r="CP1370" t="str">
        <f>"15-1122.00"</f>
        <v>15-1122.00</v>
      </c>
      <c r="CQ1370" t="s">
        <v>711</v>
      </c>
      <c r="CR1370" t="s">
        <v>14462</v>
      </c>
      <c r="CS1370" t="s">
        <v>131</v>
      </c>
      <c r="CU1370" t="s">
        <v>14463</v>
      </c>
      <c r="CW1370" t="s">
        <v>807</v>
      </c>
      <c r="CX1370" t="s">
        <v>808</v>
      </c>
      <c r="CZ1370" s="3" t="str">
        <f>"85040"</f>
        <v>85040</v>
      </c>
      <c r="DA1370" t="s">
        <v>131</v>
      </c>
      <c r="DB1370" t="str">
        <f>""</f>
        <v/>
      </c>
      <c r="DF1370" t="str">
        <f>""</f>
        <v/>
      </c>
    </row>
    <row r="1371" spans="1:110" ht="15" customHeight="1" x14ac:dyDescent="0.35">
      <c r="A1371" t="s">
        <v>2169</v>
      </c>
      <c r="B1371" t="s">
        <v>138</v>
      </c>
      <c r="C1371" s="1">
        <v>44327</v>
      </c>
      <c r="G1371" s="1">
        <v>44328</v>
      </c>
      <c r="H1371" t="s">
        <v>125</v>
      </c>
      <c r="I1371" t="s">
        <v>2170</v>
      </c>
      <c r="J1371" t="s">
        <v>2171</v>
      </c>
      <c r="L1371" t="s">
        <v>2172</v>
      </c>
      <c r="M1371" t="s">
        <v>2173</v>
      </c>
      <c r="O1371" t="s">
        <v>944</v>
      </c>
      <c r="P1371" t="s">
        <v>178</v>
      </c>
      <c r="Q1371" s="3">
        <v>94158</v>
      </c>
      <c r="R1371" t="s">
        <v>128</v>
      </c>
      <c r="T1371" s="4">
        <v>14152312438</v>
      </c>
      <c r="V1371" t="s">
        <v>2174</v>
      </c>
      <c r="W1371" t="s">
        <v>2175</v>
      </c>
      <c r="Y1371" t="s">
        <v>2173</v>
      </c>
      <c r="AA1371" t="s">
        <v>944</v>
      </c>
      <c r="AB1371" t="s">
        <v>172</v>
      </c>
      <c r="AC1371" s="3" t="str">
        <f>"94158"</f>
        <v>94158</v>
      </c>
      <c r="AD1371" t="s">
        <v>128</v>
      </c>
      <c r="AF1371" s="4">
        <v>14152312438</v>
      </c>
      <c r="AH1371" t="str">
        <f>"541511"</f>
        <v>541511</v>
      </c>
      <c r="AI1371" t="s">
        <v>130</v>
      </c>
      <c r="AJ1371" t="s">
        <v>2176</v>
      </c>
      <c r="AK1371" t="s">
        <v>645</v>
      </c>
      <c r="AL1371" t="s">
        <v>2177</v>
      </c>
      <c r="AM1371" t="s">
        <v>1563</v>
      </c>
      <c r="AN1371" t="s">
        <v>997</v>
      </c>
      <c r="AO1371" t="s">
        <v>220</v>
      </c>
      <c r="AP1371" t="s">
        <v>172</v>
      </c>
      <c r="AQ1371" s="5">
        <v>94111</v>
      </c>
      <c r="AR1371" t="s">
        <v>128</v>
      </c>
      <c r="AT1371" s="4">
        <v>14159861446</v>
      </c>
      <c r="AV1371" t="s">
        <v>2178</v>
      </c>
      <c r="AW1371" t="s">
        <v>517</v>
      </c>
      <c r="AX1371" t="s">
        <v>131</v>
      </c>
      <c r="AY1371" t="s">
        <v>131</v>
      </c>
      <c r="AZ1371" t="s">
        <v>131</v>
      </c>
      <c r="BA1371" t="s">
        <v>131</v>
      </c>
      <c r="BB1371" t="s">
        <v>131</v>
      </c>
      <c r="BC1371" t="s">
        <v>131</v>
      </c>
      <c r="BD1371" t="s">
        <v>131</v>
      </c>
      <c r="BE1371" t="s">
        <v>132</v>
      </c>
      <c r="BH1371" t="s">
        <v>2179</v>
      </c>
      <c r="BI1371" t="s">
        <v>131</v>
      </c>
      <c r="BL1371" t="s">
        <v>133</v>
      </c>
      <c r="BN1371" t="s">
        <v>2180</v>
      </c>
      <c r="BO1371" t="s">
        <v>131</v>
      </c>
      <c r="BP1371" t="s">
        <v>134</v>
      </c>
      <c r="BQ1371" t="s">
        <v>131</v>
      </c>
      <c r="BS1371" t="str">
        <f t="shared" si="90"/>
        <v>N/A</v>
      </c>
      <c r="BT1371" t="s">
        <v>135</v>
      </c>
      <c r="BU1371">
        <v>24</v>
      </c>
      <c r="BV1371" t="str">
        <f>"See job duties (sect. F.a.2.)"</f>
        <v>See job duties (sect. F.a.2.)</v>
      </c>
      <c r="BW1371" t="s">
        <v>135</v>
      </c>
      <c r="BX1371" t="str">
        <f>""</f>
        <v/>
      </c>
      <c r="BY1371" t="str">
        <f>""</f>
        <v/>
      </c>
      <c r="BZ1371" t="str">
        <f>""</f>
        <v/>
      </c>
      <c r="CA1371" t="str">
        <f>"See job duties (sect. F.a.2.)"</f>
        <v>See job duties (sect. F.a.2.)</v>
      </c>
      <c r="CB1371" t="s">
        <v>131</v>
      </c>
      <c r="CF1371" t="s">
        <v>131</v>
      </c>
      <c r="CH1371" t="str">
        <f>""</f>
        <v/>
      </c>
      <c r="CI1371" t="s">
        <v>131</v>
      </c>
      <c r="CK1371" t="s">
        <v>131</v>
      </c>
      <c r="CL1371" t="str">
        <f>""</f>
        <v/>
      </c>
      <c r="CM1371" t="str">
        <f>""</f>
        <v/>
      </c>
      <c r="CN1371" t="str">
        <f>""</f>
        <v/>
      </c>
      <c r="CO1371" t="str">
        <f>""</f>
        <v/>
      </c>
      <c r="CP1371" t="str">
        <f>"15-2041.00"</f>
        <v>15-2041.00</v>
      </c>
      <c r="CQ1371" t="s">
        <v>379</v>
      </c>
      <c r="CR1371" t="s">
        <v>460</v>
      </c>
      <c r="CS1371" t="s">
        <v>131</v>
      </c>
      <c r="CU1371" t="s">
        <v>2181</v>
      </c>
      <c r="CW1371" t="s">
        <v>262</v>
      </c>
      <c r="CX1371" t="s">
        <v>263</v>
      </c>
      <c r="CZ1371" s="3" t="str">
        <f>"60606"</f>
        <v>60606</v>
      </c>
      <c r="DA1371" t="s">
        <v>131</v>
      </c>
      <c r="DB1371" t="str">
        <f>""</f>
        <v/>
      </c>
      <c r="DF1371" t="str">
        <f>""</f>
        <v/>
      </c>
    </row>
    <row r="1372" spans="1:110" ht="15" customHeight="1" x14ac:dyDescent="0.35">
      <c r="A1372" t="s">
        <v>16712</v>
      </c>
      <c r="B1372" t="s">
        <v>138</v>
      </c>
      <c r="C1372" s="1">
        <v>44327</v>
      </c>
      <c r="G1372" s="1">
        <v>44352</v>
      </c>
      <c r="H1372" t="s">
        <v>125</v>
      </c>
      <c r="I1372" t="s">
        <v>16713</v>
      </c>
      <c r="J1372" t="s">
        <v>16714</v>
      </c>
      <c r="K1372" t="s">
        <v>16715</v>
      </c>
      <c r="L1372" t="s">
        <v>3228</v>
      </c>
      <c r="M1372" t="s">
        <v>16716</v>
      </c>
      <c r="N1372" t="s">
        <v>16717</v>
      </c>
      <c r="O1372" t="s">
        <v>3925</v>
      </c>
      <c r="P1372" t="s">
        <v>2878</v>
      </c>
      <c r="Q1372" s="3">
        <v>96817</v>
      </c>
      <c r="R1372" t="s">
        <v>128</v>
      </c>
      <c r="T1372" s="4">
        <v>18085994999</v>
      </c>
      <c r="V1372" t="s">
        <v>16718</v>
      </c>
      <c r="W1372" t="s">
        <v>16719</v>
      </c>
      <c r="X1372" t="s">
        <v>16720</v>
      </c>
      <c r="Y1372" t="s">
        <v>16716</v>
      </c>
      <c r="Z1372" t="s">
        <v>16721</v>
      </c>
      <c r="AA1372" t="s">
        <v>3925</v>
      </c>
      <c r="AB1372" t="s">
        <v>2879</v>
      </c>
      <c r="AC1372" s="3" t="str">
        <f>"96817"</f>
        <v>96817</v>
      </c>
      <c r="AD1372" t="s">
        <v>128</v>
      </c>
      <c r="AF1372" s="4">
        <v>18085994999</v>
      </c>
      <c r="AH1372" t="str">
        <f>"621610"</f>
        <v>621610</v>
      </c>
      <c r="AI1372" t="s">
        <v>287</v>
      </c>
      <c r="AJ1372" t="s">
        <v>16722</v>
      </c>
      <c r="AK1372" t="s">
        <v>12833</v>
      </c>
      <c r="AL1372" t="s">
        <v>16723</v>
      </c>
      <c r="AM1372" t="s">
        <v>16724</v>
      </c>
      <c r="AN1372" t="s">
        <v>16725</v>
      </c>
      <c r="AO1372" t="s">
        <v>3925</v>
      </c>
      <c r="AP1372" t="s">
        <v>2879</v>
      </c>
      <c r="AQ1372" s="5">
        <v>96825</v>
      </c>
      <c r="AR1372" t="s">
        <v>128</v>
      </c>
      <c r="AT1372" s="4">
        <v>18087793001</v>
      </c>
      <c r="AV1372" t="s">
        <v>16726</v>
      </c>
      <c r="AW1372" t="s">
        <v>16727</v>
      </c>
      <c r="AX1372" t="s">
        <v>131</v>
      </c>
      <c r="AY1372" t="s">
        <v>131</v>
      </c>
      <c r="AZ1372" t="s">
        <v>131</v>
      </c>
      <c r="BA1372" t="s">
        <v>131</v>
      </c>
      <c r="BB1372" t="s">
        <v>131</v>
      </c>
      <c r="BC1372" t="s">
        <v>131</v>
      </c>
      <c r="BD1372" t="s">
        <v>131</v>
      </c>
      <c r="BE1372" t="s">
        <v>132</v>
      </c>
      <c r="BH1372" t="s">
        <v>961</v>
      </c>
      <c r="BI1372" t="s">
        <v>135</v>
      </c>
      <c r="BJ1372" t="s">
        <v>2695</v>
      </c>
      <c r="BK1372" t="s">
        <v>2696</v>
      </c>
      <c r="BL1372" t="s">
        <v>188</v>
      </c>
      <c r="BN1372" t="s">
        <v>1453</v>
      </c>
      <c r="BO1372" t="s">
        <v>131</v>
      </c>
      <c r="BP1372" t="s">
        <v>134</v>
      </c>
      <c r="BQ1372" t="s">
        <v>131</v>
      </c>
      <c r="BS1372" t="str">
        <f t="shared" si="90"/>
        <v>N/A</v>
      </c>
      <c r="BT1372" t="s">
        <v>131</v>
      </c>
      <c r="BV1372" t="str">
        <f>""</f>
        <v/>
      </c>
      <c r="BW1372" t="s">
        <v>135</v>
      </c>
      <c r="BX1372" t="str">
        <f>"Current State of Hawaii Physical Therapist License. "</f>
        <v xml:space="preserve">Current State of Hawaii Physical Therapist License. </v>
      </c>
      <c r="BY1372" t="str">
        <f>""</f>
        <v/>
      </c>
      <c r="BZ1372" t="str">
        <f>""</f>
        <v/>
      </c>
      <c r="CA1372" t="str">
        <f>"Current Healthcare Provider CPR Certification. 
Current TB Clearance. 
U.S. Driver's License."</f>
        <v>Current Healthcare Provider CPR Certification. 
Current TB Clearance. 
U.S. Driver's License.</v>
      </c>
      <c r="CB1372" t="s">
        <v>131</v>
      </c>
      <c r="CF1372" t="s">
        <v>131</v>
      </c>
      <c r="CH1372" t="str">
        <f>""</f>
        <v/>
      </c>
      <c r="CI1372" t="s">
        <v>131</v>
      </c>
      <c r="CK1372" t="s">
        <v>131</v>
      </c>
      <c r="CL1372" t="str">
        <f>""</f>
        <v/>
      </c>
      <c r="CM1372" t="str">
        <f>""</f>
        <v/>
      </c>
      <c r="CN1372" t="str">
        <f>""</f>
        <v/>
      </c>
      <c r="CO1372" t="str">
        <f>""</f>
        <v/>
      </c>
      <c r="CP1372" t="str">
        <f>"29-1123.00"</f>
        <v>29-1123.00</v>
      </c>
      <c r="CQ1372" t="s">
        <v>962</v>
      </c>
      <c r="CR1372" t="s">
        <v>16728</v>
      </c>
      <c r="CS1372" t="s">
        <v>135</v>
      </c>
      <c r="CT1372" t="s">
        <v>16729</v>
      </c>
      <c r="CU1372" t="s">
        <v>16716</v>
      </c>
      <c r="CV1372" t="s">
        <v>16717</v>
      </c>
      <c r="CW1372" t="s">
        <v>3925</v>
      </c>
      <c r="CX1372" t="s">
        <v>2879</v>
      </c>
      <c r="CZ1372" s="3" t="str">
        <f>"96817"</f>
        <v>96817</v>
      </c>
      <c r="DA1372" t="s">
        <v>131</v>
      </c>
      <c r="DB1372" t="str">
        <f>""</f>
        <v/>
      </c>
      <c r="DF1372" t="str">
        <f>""</f>
        <v/>
      </c>
    </row>
    <row r="1373" spans="1:110" ht="15" customHeight="1" x14ac:dyDescent="0.35">
      <c r="A1373" t="s">
        <v>14472</v>
      </c>
      <c r="B1373" t="s">
        <v>138</v>
      </c>
      <c r="C1373" s="1">
        <v>44327</v>
      </c>
      <c r="G1373" s="1">
        <v>44337</v>
      </c>
      <c r="H1373" t="s">
        <v>125</v>
      </c>
      <c r="I1373" t="s">
        <v>14473</v>
      </c>
      <c r="J1373" t="s">
        <v>14474</v>
      </c>
      <c r="L1373" t="s">
        <v>14475</v>
      </c>
      <c r="M1373" t="s">
        <v>14476</v>
      </c>
      <c r="N1373" t="s">
        <v>14477</v>
      </c>
      <c r="O1373" t="s">
        <v>220</v>
      </c>
      <c r="P1373" t="s">
        <v>178</v>
      </c>
      <c r="Q1373" s="3">
        <v>94107</v>
      </c>
      <c r="R1373" t="s">
        <v>128</v>
      </c>
      <c r="T1373" s="4">
        <v>14085927642</v>
      </c>
      <c r="V1373" t="s">
        <v>14478</v>
      </c>
      <c r="W1373" t="s">
        <v>14479</v>
      </c>
      <c r="Y1373" t="s">
        <v>14480</v>
      </c>
      <c r="Z1373" t="s">
        <v>14477</v>
      </c>
      <c r="AA1373" t="s">
        <v>220</v>
      </c>
      <c r="AB1373" t="s">
        <v>172</v>
      </c>
      <c r="AC1373" s="3" t="str">
        <f>"94107"</f>
        <v>94107</v>
      </c>
      <c r="AD1373" t="s">
        <v>128</v>
      </c>
      <c r="AF1373" s="4">
        <v>15109652625</v>
      </c>
      <c r="AH1373" t="str">
        <f>"511210"</f>
        <v>511210</v>
      </c>
      <c r="AI1373" t="s">
        <v>130</v>
      </c>
      <c r="AJ1373" t="s">
        <v>6187</v>
      </c>
      <c r="AK1373" t="s">
        <v>2034</v>
      </c>
      <c r="AL1373" t="s">
        <v>813</v>
      </c>
      <c r="AM1373" t="s">
        <v>7076</v>
      </c>
      <c r="AN1373" t="s">
        <v>698</v>
      </c>
      <c r="AO1373" t="s">
        <v>376</v>
      </c>
      <c r="AP1373" t="s">
        <v>377</v>
      </c>
      <c r="AQ1373" s="5">
        <v>2129</v>
      </c>
      <c r="AR1373" t="s">
        <v>128</v>
      </c>
      <c r="AT1373" s="4">
        <v>16174821010</v>
      </c>
      <c r="AV1373" t="s">
        <v>14481</v>
      </c>
      <c r="AW1373" t="s">
        <v>7227</v>
      </c>
      <c r="AX1373" t="s">
        <v>131</v>
      </c>
      <c r="AY1373" t="s">
        <v>131</v>
      </c>
      <c r="AZ1373" t="s">
        <v>131</v>
      </c>
      <c r="BA1373" t="s">
        <v>131</v>
      </c>
      <c r="BB1373" t="s">
        <v>131</v>
      </c>
      <c r="BC1373" t="s">
        <v>131</v>
      </c>
      <c r="BD1373" t="s">
        <v>131</v>
      </c>
      <c r="BE1373" t="s">
        <v>132</v>
      </c>
      <c r="BH1373" t="s">
        <v>542</v>
      </c>
      <c r="BI1373" t="s">
        <v>131</v>
      </c>
      <c r="BL1373" t="s">
        <v>133</v>
      </c>
      <c r="BN1373" t="s">
        <v>14482</v>
      </c>
      <c r="BO1373" t="s">
        <v>131</v>
      </c>
      <c r="BP1373" t="s">
        <v>134</v>
      </c>
      <c r="BQ1373" t="s">
        <v>131</v>
      </c>
      <c r="BS1373" t="str">
        <f t="shared" si="90"/>
        <v>N/A</v>
      </c>
      <c r="BT1373" t="s">
        <v>135</v>
      </c>
      <c r="BU1373">
        <v>12</v>
      </c>
      <c r="BV1373" t="str">
        <f>"Occupations satisfying F.b.5"</f>
        <v>Occupations satisfying F.b.5</v>
      </c>
      <c r="BW1373" t="s">
        <v>135</v>
      </c>
      <c r="BX1373" t="str">
        <f>""</f>
        <v/>
      </c>
      <c r="BY1373" t="str">
        <f>""</f>
        <v/>
      </c>
      <c r="BZ1373" t="str">
        <f>""</f>
        <v/>
      </c>
      <c r="CA1373" s="2" t="s">
        <v>14483</v>
      </c>
      <c r="CB1373" t="s">
        <v>131</v>
      </c>
      <c r="CF1373" t="s">
        <v>131</v>
      </c>
      <c r="CH1373" t="str">
        <f>""</f>
        <v/>
      </c>
      <c r="CI1373" t="s">
        <v>131</v>
      </c>
      <c r="CK1373" t="s">
        <v>131</v>
      </c>
      <c r="CL1373" t="str">
        <f>""</f>
        <v/>
      </c>
      <c r="CM1373" t="str">
        <f>""</f>
        <v/>
      </c>
      <c r="CN1373" t="str">
        <f>""</f>
        <v/>
      </c>
      <c r="CO1373" t="str">
        <f>""</f>
        <v/>
      </c>
      <c r="CP1373" t="str">
        <f>"15-1132.00"</f>
        <v>15-1132.00</v>
      </c>
      <c r="CQ1373" t="s">
        <v>198</v>
      </c>
      <c r="CR1373" t="s">
        <v>583</v>
      </c>
      <c r="CS1373" t="s">
        <v>131</v>
      </c>
      <c r="CU1373" t="s">
        <v>14476</v>
      </c>
      <c r="CV1373" t="s">
        <v>14477</v>
      </c>
      <c r="CW1373" t="s">
        <v>220</v>
      </c>
      <c r="CX1373" t="s">
        <v>172</v>
      </c>
      <c r="CZ1373" s="3" t="str">
        <f>"94107"</f>
        <v>94107</v>
      </c>
      <c r="DA1373" t="s">
        <v>131</v>
      </c>
      <c r="DB1373" t="str">
        <f>""</f>
        <v/>
      </c>
      <c r="DF1373" t="str">
        <f>""</f>
        <v/>
      </c>
    </row>
    <row r="1374" spans="1:110" ht="15" customHeight="1" x14ac:dyDescent="0.35">
      <c r="A1374" t="s">
        <v>18907</v>
      </c>
      <c r="B1374" t="s">
        <v>138</v>
      </c>
      <c r="C1374" s="1">
        <v>44327</v>
      </c>
      <c r="G1374" s="1">
        <v>44334</v>
      </c>
      <c r="H1374" t="s">
        <v>125</v>
      </c>
      <c r="I1374" t="s">
        <v>838</v>
      </c>
      <c r="J1374" t="s">
        <v>839</v>
      </c>
      <c r="K1374" t="s">
        <v>1933</v>
      </c>
      <c r="L1374" t="s">
        <v>2565</v>
      </c>
      <c r="M1374" t="s">
        <v>841</v>
      </c>
      <c r="N1374" t="s">
        <v>842</v>
      </c>
      <c r="O1374" t="s">
        <v>843</v>
      </c>
      <c r="P1374" t="s">
        <v>273</v>
      </c>
      <c r="Q1374" s="3">
        <v>7080</v>
      </c>
      <c r="R1374" t="s">
        <v>128</v>
      </c>
      <c r="T1374" s="4">
        <v>17328327978</v>
      </c>
      <c r="V1374" t="s">
        <v>844</v>
      </c>
      <c r="W1374" t="s">
        <v>14943</v>
      </c>
      <c r="Y1374" t="s">
        <v>7085</v>
      </c>
      <c r="Z1374" t="s">
        <v>14944</v>
      </c>
      <c r="AA1374" t="s">
        <v>2596</v>
      </c>
      <c r="AB1374" t="s">
        <v>276</v>
      </c>
      <c r="AC1374" s="3" t="str">
        <f>"08854"</f>
        <v>08854</v>
      </c>
      <c r="AD1374" t="s">
        <v>128</v>
      </c>
      <c r="AF1374" s="4">
        <v>17328027070</v>
      </c>
      <c r="AH1374" t="str">
        <f>"541519"</f>
        <v>541519</v>
      </c>
      <c r="AI1374" t="s">
        <v>130</v>
      </c>
      <c r="AJ1374" t="s">
        <v>838</v>
      </c>
      <c r="AK1374" t="s">
        <v>839</v>
      </c>
      <c r="AL1374" t="s">
        <v>1933</v>
      </c>
      <c r="AM1374" t="s">
        <v>841</v>
      </c>
      <c r="AN1374" t="s">
        <v>842</v>
      </c>
      <c r="AO1374" t="s">
        <v>843</v>
      </c>
      <c r="AP1374" t="s">
        <v>276</v>
      </c>
      <c r="AQ1374" s="5">
        <v>7080</v>
      </c>
      <c r="AR1374" t="s">
        <v>128</v>
      </c>
      <c r="AT1374" s="4">
        <v>17328327978</v>
      </c>
      <c r="AV1374" t="s">
        <v>844</v>
      </c>
      <c r="AW1374" t="s">
        <v>3328</v>
      </c>
      <c r="AX1374" t="s">
        <v>131</v>
      </c>
      <c r="AY1374" t="s">
        <v>131</v>
      </c>
      <c r="AZ1374" t="s">
        <v>131</v>
      </c>
      <c r="BA1374" t="s">
        <v>131</v>
      </c>
      <c r="BB1374" t="s">
        <v>131</v>
      </c>
      <c r="BC1374" t="s">
        <v>131</v>
      </c>
      <c r="BD1374" t="s">
        <v>131</v>
      </c>
      <c r="BE1374" t="s">
        <v>132</v>
      </c>
      <c r="BH1374" t="s">
        <v>846</v>
      </c>
      <c r="BI1374" t="s">
        <v>131</v>
      </c>
      <c r="BL1374" t="s">
        <v>188</v>
      </c>
      <c r="BN1374" t="s">
        <v>18908</v>
      </c>
      <c r="BO1374" t="s">
        <v>131</v>
      </c>
      <c r="BP1374" t="s">
        <v>134</v>
      </c>
      <c r="BQ1374" t="s">
        <v>131</v>
      </c>
      <c r="BS1374" t="str">
        <f t="shared" si="90"/>
        <v>N/A</v>
      </c>
      <c r="BT1374" t="s">
        <v>131</v>
      </c>
      <c r="BV1374" t="str">
        <f>""</f>
        <v/>
      </c>
      <c r="BW1374" t="s">
        <v>135</v>
      </c>
      <c r="BX1374" t="str">
        <f>""</f>
        <v/>
      </c>
      <c r="BY1374" t="str">
        <f>""</f>
        <v/>
      </c>
      <c r="BZ1374" t="str">
        <f>""</f>
        <v/>
      </c>
      <c r="CA1374" t="str">
        <f>"Skills Required: UiPath Studio, Orchestrator, .Net, Regular Expressions, Kibana, Soap REST API."</f>
        <v>Skills Required: UiPath Studio, Orchestrator, .Net, Regular Expressions, Kibana, Soap REST API.</v>
      </c>
      <c r="CB1374" t="s">
        <v>135</v>
      </c>
      <c r="CC1374" t="s">
        <v>133</v>
      </c>
      <c r="CE1374" t="s">
        <v>847</v>
      </c>
      <c r="CF1374" t="s">
        <v>131</v>
      </c>
      <c r="CH1374" t="str">
        <f>"N/A"</f>
        <v>N/A</v>
      </c>
      <c r="CI1374" t="s">
        <v>135</v>
      </c>
      <c r="CJ1374">
        <v>60</v>
      </c>
      <c r="CK1374" t="s">
        <v>131</v>
      </c>
      <c r="CL1374" t="str">
        <f>""</f>
        <v/>
      </c>
      <c r="CM1374" t="str">
        <f>""</f>
        <v/>
      </c>
      <c r="CN1374" t="str">
        <f>""</f>
        <v/>
      </c>
      <c r="CO1374" t="str">
        <f>""</f>
        <v/>
      </c>
      <c r="CP1374" t="str">
        <f>"15-1132.00"</f>
        <v>15-1132.00</v>
      </c>
      <c r="CQ1374" t="s">
        <v>198</v>
      </c>
      <c r="CR1374" t="s">
        <v>849</v>
      </c>
      <c r="CS1374" t="s">
        <v>131</v>
      </c>
      <c r="CU1374" t="s">
        <v>7085</v>
      </c>
      <c r="CV1374" t="s">
        <v>14944</v>
      </c>
      <c r="CW1374" t="s">
        <v>2596</v>
      </c>
      <c r="CX1374" t="s">
        <v>276</v>
      </c>
      <c r="CZ1374" s="3" t="str">
        <f>"08854"</f>
        <v>08854</v>
      </c>
      <c r="DA1374" t="s">
        <v>131</v>
      </c>
      <c r="DB1374" t="str">
        <f>""</f>
        <v/>
      </c>
      <c r="DF1374" t="str">
        <f>""</f>
        <v/>
      </c>
    </row>
    <row r="1375" spans="1:110" ht="15" customHeight="1" x14ac:dyDescent="0.35">
      <c r="A1375" t="s">
        <v>5481</v>
      </c>
      <c r="B1375" t="s">
        <v>138</v>
      </c>
      <c r="C1375" s="1">
        <v>44327</v>
      </c>
      <c r="G1375" s="1">
        <v>44327</v>
      </c>
      <c r="H1375" t="s">
        <v>125</v>
      </c>
      <c r="I1375" t="s">
        <v>139</v>
      </c>
      <c r="J1375" t="s">
        <v>140</v>
      </c>
      <c r="L1375" t="s">
        <v>141</v>
      </c>
      <c r="M1375" t="s">
        <v>142</v>
      </c>
      <c r="O1375" t="s">
        <v>143</v>
      </c>
      <c r="P1375" t="s">
        <v>144</v>
      </c>
      <c r="Q1375" s="3">
        <v>98052</v>
      </c>
      <c r="R1375" t="s">
        <v>128</v>
      </c>
      <c r="T1375" s="4">
        <v>14255383872</v>
      </c>
      <c r="V1375" t="s">
        <v>234</v>
      </c>
      <c r="W1375" t="s">
        <v>235</v>
      </c>
      <c r="Y1375" t="s">
        <v>236</v>
      </c>
      <c r="AA1375" t="s">
        <v>143</v>
      </c>
      <c r="AB1375" t="s">
        <v>149</v>
      </c>
      <c r="AC1375" s="3" t="str">
        <f>"98052"</f>
        <v>98052</v>
      </c>
      <c r="AD1375" t="s">
        <v>128</v>
      </c>
      <c r="AF1375" s="4">
        <v>14255383872</v>
      </c>
      <c r="AH1375" t="str">
        <f>"5112"</f>
        <v>5112</v>
      </c>
      <c r="AI1375" t="s">
        <v>130</v>
      </c>
      <c r="AJ1375" t="s">
        <v>237</v>
      </c>
      <c r="AK1375" t="s">
        <v>238</v>
      </c>
      <c r="AM1375" t="s">
        <v>239</v>
      </c>
      <c r="AN1375" t="s">
        <v>240</v>
      </c>
      <c r="AO1375" t="s">
        <v>241</v>
      </c>
      <c r="AQ1375" s="5" t="s">
        <v>242</v>
      </c>
      <c r="AR1375" t="s">
        <v>156</v>
      </c>
      <c r="AS1375" t="s">
        <v>243</v>
      </c>
      <c r="AT1375" s="4">
        <v>16048067013</v>
      </c>
      <c r="AV1375" t="s">
        <v>234</v>
      </c>
      <c r="AW1375" t="s">
        <v>244</v>
      </c>
      <c r="AX1375" t="s">
        <v>131</v>
      </c>
      <c r="AY1375" t="s">
        <v>131</v>
      </c>
      <c r="AZ1375" t="s">
        <v>131</v>
      </c>
      <c r="BA1375" t="s">
        <v>131</v>
      </c>
      <c r="BB1375" t="s">
        <v>131</v>
      </c>
      <c r="BC1375" t="s">
        <v>131</v>
      </c>
      <c r="BD1375" t="s">
        <v>131</v>
      </c>
      <c r="BE1375" t="s">
        <v>132</v>
      </c>
      <c r="BH1375" t="s">
        <v>2256</v>
      </c>
      <c r="BI1375" t="s">
        <v>131</v>
      </c>
      <c r="BL1375" t="s">
        <v>133</v>
      </c>
      <c r="BN1375" t="s">
        <v>543</v>
      </c>
      <c r="BO1375" t="s">
        <v>131</v>
      </c>
      <c r="BP1375" t="s">
        <v>134</v>
      </c>
      <c r="BQ1375" t="s">
        <v>131</v>
      </c>
      <c r="BS1375" t="str">
        <f t="shared" si="90"/>
        <v>N/A</v>
      </c>
      <c r="BT1375" t="s">
        <v>135</v>
      </c>
      <c r="BU1375">
        <v>36</v>
      </c>
      <c r="BV1375" t="str">
        <f>"All computer related occupations"</f>
        <v>All computer related occupations</v>
      </c>
      <c r="BW1375" t="s">
        <v>135</v>
      </c>
      <c r="BX1375" t="str">
        <f>""</f>
        <v/>
      </c>
      <c r="BY1375" t="str">
        <f>""</f>
        <v/>
      </c>
      <c r="BZ1375" t="str">
        <f>""</f>
        <v/>
      </c>
      <c r="CA1375" s="2" t="s">
        <v>5482</v>
      </c>
      <c r="CB1375" t="s">
        <v>131</v>
      </c>
      <c r="CF1375" t="s">
        <v>131</v>
      </c>
      <c r="CH1375" t="str">
        <f>""</f>
        <v/>
      </c>
      <c r="CI1375" t="s">
        <v>131</v>
      </c>
      <c r="CK1375" t="s">
        <v>131</v>
      </c>
      <c r="CL1375" t="str">
        <f>""</f>
        <v/>
      </c>
      <c r="CM1375" t="str">
        <f>""</f>
        <v/>
      </c>
      <c r="CN1375" t="str">
        <f>""</f>
        <v/>
      </c>
      <c r="CO1375" t="str">
        <f>""</f>
        <v/>
      </c>
      <c r="CP1375" t="str">
        <f>"15-1132.00"</f>
        <v>15-1132.00</v>
      </c>
      <c r="CQ1375" t="s">
        <v>198</v>
      </c>
      <c r="CS1375" t="s">
        <v>131</v>
      </c>
      <c r="CU1375" t="s">
        <v>142</v>
      </c>
      <c r="CW1375" t="s">
        <v>143</v>
      </c>
      <c r="CX1375" t="s">
        <v>149</v>
      </c>
      <c r="CZ1375" s="3" t="str">
        <f>"98052"</f>
        <v>98052</v>
      </c>
      <c r="DA1375" t="s">
        <v>131</v>
      </c>
      <c r="DB1375" t="str">
        <f>""</f>
        <v/>
      </c>
      <c r="DF1375" t="str">
        <f>""</f>
        <v/>
      </c>
    </row>
    <row r="1376" spans="1:110" ht="15" customHeight="1" x14ac:dyDescent="0.35">
      <c r="A1376" t="s">
        <v>12679</v>
      </c>
      <c r="B1376" t="s">
        <v>138</v>
      </c>
      <c r="C1376" s="1">
        <v>44327</v>
      </c>
      <c r="G1376" s="1">
        <v>44341</v>
      </c>
      <c r="H1376" t="s">
        <v>125</v>
      </c>
      <c r="I1376" t="s">
        <v>8413</v>
      </c>
      <c r="J1376" t="s">
        <v>1058</v>
      </c>
      <c r="L1376" t="s">
        <v>10782</v>
      </c>
      <c r="M1376" t="s">
        <v>10783</v>
      </c>
      <c r="O1376" t="s">
        <v>10703</v>
      </c>
      <c r="P1376" t="s">
        <v>857</v>
      </c>
      <c r="Q1376" s="3">
        <v>86305</v>
      </c>
      <c r="R1376" t="s">
        <v>128</v>
      </c>
      <c r="T1376" s="4">
        <v>19287713183</v>
      </c>
      <c r="V1376" t="s">
        <v>10784</v>
      </c>
      <c r="W1376" t="s">
        <v>10785</v>
      </c>
      <c r="X1376" t="s">
        <v>10786</v>
      </c>
      <c r="Y1376" t="s">
        <v>10787</v>
      </c>
      <c r="AA1376" t="s">
        <v>10703</v>
      </c>
      <c r="AB1376" t="s">
        <v>808</v>
      </c>
      <c r="AC1376" s="3" t="str">
        <f>"86305"</f>
        <v>86305</v>
      </c>
      <c r="AD1376" t="s">
        <v>128</v>
      </c>
      <c r="AF1376" s="4">
        <v>19287713183</v>
      </c>
      <c r="AH1376" t="str">
        <f>"92512"</f>
        <v>92512</v>
      </c>
      <c r="AI1376" t="s">
        <v>130</v>
      </c>
      <c r="AJ1376" t="s">
        <v>802</v>
      </c>
      <c r="AK1376" t="s">
        <v>803</v>
      </c>
      <c r="AL1376" t="s">
        <v>655</v>
      </c>
      <c r="AM1376" t="s">
        <v>805</v>
      </c>
      <c r="AN1376" t="s">
        <v>806</v>
      </c>
      <c r="AO1376" t="s">
        <v>807</v>
      </c>
      <c r="AP1376" t="s">
        <v>808</v>
      </c>
      <c r="AQ1376" s="5">
        <v>85020</v>
      </c>
      <c r="AR1376" t="s">
        <v>128</v>
      </c>
      <c r="AT1376" s="4">
        <v>16022661825</v>
      </c>
      <c r="AV1376" t="s">
        <v>3660</v>
      </c>
      <c r="AW1376" t="s">
        <v>548</v>
      </c>
      <c r="AX1376" t="s">
        <v>131</v>
      </c>
      <c r="AY1376" t="s">
        <v>131</v>
      </c>
      <c r="AZ1376" t="s">
        <v>131</v>
      </c>
      <c r="BA1376" t="s">
        <v>131</v>
      </c>
      <c r="BB1376" t="s">
        <v>131</v>
      </c>
      <c r="BC1376" t="s">
        <v>131</v>
      </c>
      <c r="BD1376" t="s">
        <v>131</v>
      </c>
      <c r="BE1376" t="s">
        <v>132</v>
      </c>
      <c r="BH1376" t="s">
        <v>10788</v>
      </c>
      <c r="BI1376" t="s">
        <v>135</v>
      </c>
      <c r="BJ1376" t="s">
        <v>10789</v>
      </c>
      <c r="BK1376" t="s">
        <v>10790</v>
      </c>
      <c r="BL1376" t="s">
        <v>133</v>
      </c>
      <c r="BN1376" t="s">
        <v>10791</v>
      </c>
      <c r="BO1376" t="s">
        <v>131</v>
      </c>
      <c r="BP1376" t="s">
        <v>134</v>
      </c>
      <c r="BQ1376" t="s">
        <v>131</v>
      </c>
      <c r="BS1376" t="str">
        <f t="shared" si="90"/>
        <v>N/A</v>
      </c>
      <c r="BT1376" t="s">
        <v>135</v>
      </c>
      <c r="BU1376">
        <v>36</v>
      </c>
      <c r="BV1376" t="str">
        <f>"job offered or related"</f>
        <v>job offered or related</v>
      </c>
      <c r="BW1376" t="s">
        <v>135</v>
      </c>
      <c r="BX1376" t="str">
        <f>""</f>
        <v/>
      </c>
      <c r="BY1376" t="str">
        <f>""</f>
        <v/>
      </c>
      <c r="BZ1376" t="str">
        <f>""</f>
        <v/>
      </c>
      <c r="CA1376" s="2" t="s">
        <v>10792</v>
      </c>
      <c r="CB1376" t="s">
        <v>131</v>
      </c>
      <c r="CF1376" t="s">
        <v>131</v>
      </c>
      <c r="CH1376" t="str">
        <f>""</f>
        <v/>
      </c>
      <c r="CI1376" t="s">
        <v>131</v>
      </c>
      <c r="CK1376" t="s">
        <v>131</v>
      </c>
      <c r="CL1376" t="str">
        <f>""</f>
        <v/>
      </c>
      <c r="CM1376" t="str">
        <f>""</f>
        <v/>
      </c>
      <c r="CN1376" t="str">
        <f>""</f>
        <v/>
      </c>
      <c r="CO1376" t="str">
        <f>""</f>
        <v/>
      </c>
      <c r="CP1376" t="str">
        <f>"17-2051.00"</f>
        <v>17-2051.00</v>
      </c>
      <c r="CQ1376" t="s">
        <v>787</v>
      </c>
      <c r="CR1376" t="s">
        <v>10793</v>
      </c>
      <c r="CS1376" t="s">
        <v>131</v>
      </c>
      <c r="CU1376" t="s">
        <v>10794</v>
      </c>
      <c r="CW1376" t="s">
        <v>10703</v>
      </c>
      <c r="CX1376" t="s">
        <v>808</v>
      </c>
      <c r="CZ1376" s="3" t="str">
        <f>"86305"</f>
        <v>86305</v>
      </c>
      <c r="DA1376" t="s">
        <v>131</v>
      </c>
      <c r="DB1376" t="str">
        <f>""</f>
        <v/>
      </c>
      <c r="DF1376" t="str">
        <f>""</f>
        <v/>
      </c>
    </row>
    <row r="1377" spans="1:110" ht="15" customHeight="1" x14ac:dyDescent="0.35">
      <c r="A1377" t="s">
        <v>7789</v>
      </c>
      <c r="B1377" t="s">
        <v>138</v>
      </c>
      <c r="C1377" s="1">
        <v>44327</v>
      </c>
      <c r="G1377" s="1">
        <v>44334</v>
      </c>
      <c r="H1377" t="s">
        <v>125</v>
      </c>
      <c r="I1377" t="s">
        <v>838</v>
      </c>
      <c r="J1377" t="s">
        <v>839</v>
      </c>
      <c r="K1377" t="s">
        <v>1933</v>
      </c>
      <c r="L1377" t="s">
        <v>2565</v>
      </c>
      <c r="M1377" t="s">
        <v>841</v>
      </c>
      <c r="N1377" t="s">
        <v>842</v>
      </c>
      <c r="O1377" t="s">
        <v>843</v>
      </c>
      <c r="P1377" t="s">
        <v>273</v>
      </c>
      <c r="Q1377" s="3">
        <v>7080</v>
      </c>
      <c r="R1377" t="s">
        <v>128</v>
      </c>
      <c r="T1377" s="4">
        <v>17328327978</v>
      </c>
      <c r="V1377" t="s">
        <v>844</v>
      </c>
      <c r="W1377" t="s">
        <v>7790</v>
      </c>
      <c r="Y1377" t="s">
        <v>7791</v>
      </c>
      <c r="Z1377" t="s">
        <v>3384</v>
      </c>
      <c r="AA1377" t="s">
        <v>1154</v>
      </c>
      <c r="AB1377" t="s">
        <v>276</v>
      </c>
      <c r="AC1377" s="3" t="str">
        <f>"08873"</f>
        <v>08873</v>
      </c>
      <c r="AD1377" t="s">
        <v>128</v>
      </c>
      <c r="AF1377" s="4">
        <v>17329067806</v>
      </c>
      <c r="AH1377" t="str">
        <f>"541511"</f>
        <v>541511</v>
      </c>
      <c r="AI1377" t="s">
        <v>130</v>
      </c>
      <c r="AJ1377" t="s">
        <v>838</v>
      </c>
      <c r="AK1377" t="s">
        <v>839</v>
      </c>
      <c r="AL1377" t="s">
        <v>1933</v>
      </c>
      <c r="AM1377" t="s">
        <v>841</v>
      </c>
      <c r="AN1377" t="s">
        <v>842</v>
      </c>
      <c r="AO1377" t="s">
        <v>843</v>
      </c>
      <c r="AP1377" t="s">
        <v>276</v>
      </c>
      <c r="AQ1377" s="5">
        <v>7080</v>
      </c>
      <c r="AR1377" t="s">
        <v>128</v>
      </c>
      <c r="AT1377" s="4">
        <v>17328327978</v>
      </c>
      <c r="AV1377" t="s">
        <v>844</v>
      </c>
      <c r="AW1377" t="s">
        <v>3328</v>
      </c>
      <c r="AX1377" t="s">
        <v>131</v>
      </c>
      <c r="AY1377" t="s">
        <v>131</v>
      </c>
      <c r="AZ1377" t="s">
        <v>131</v>
      </c>
      <c r="BA1377" t="s">
        <v>131</v>
      </c>
      <c r="BB1377" t="s">
        <v>131</v>
      </c>
      <c r="BC1377" t="s">
        <v>131</v>
      </c>
      <c r="BD1377" t="s">
        <v>131</v>
      </c>
      <c r="BE1377" t="s">
        <v>132</v>
      </c>
      <c r="BH1377" t="s">
        <v>846</v>
      </c>
      <c r="BI1377" t="s">
        <v>131</v>
      </c>
      <c r="BL1377" t="s">
        <v>133</v>
      </c>
      <c r="BN1377" t="s">
        <v>6112</v>
      </c>
      <c r="BO1377" t="s">
        <v>131</v>
      </c>
      <c r="BP1377" t="s">
        <v>134</v>
      </c>
      <c r="BQ1377" t="s">
        <v>131</v>
      </c>
      <c r="BS1377" t="str">
        <f t="shared" si="90"/>
        <v>N/A</v>
      </c>
      <c r="BT1377" t="s">
        <v>135</v>
      </c>
      <c r="BU1377">
        <v>12</v>
      </c>
      <c r="BV1377" t="str">
        <f>"job offered or related occupation"</f>
        <v>job offered or related occupation</v>
      </c>
      <c r="BW1377" t="s">
        <v>135</v>
      </c>
      <c r="BX1377" t="str">
        <f>""</f>
        <v/>
      </c>
      <c r="BY1377" t="str">
        <f>""</f>
        <v/>
      </c>
      <c r="BZ1377" t="str">
        <f>""</f>
        <v/>
      </c>
      <c r="CA1377" t="str">
        <f>"SKILLS REQUIRED: JAVA, JAVASCRIPT, ANGULAR/REACT FRAMEWORK, CSS, HTML, BOOTSTRAP, JSON, AJAX, JQUERY, MYSQL, AND MONGO DB."</f>
        <v>SKILLS REQUIRED: JAVA, JAVASCRIPT, ANGULAR/REACT FRAMEWORK, CSS, HTML, BOOTSTRAP, JSON, AJAX, JQUERY, MYSQL, AND MONGO DB.</v>
      </c>
      <c r="CB1377" t="s">
        <v>131</v>
      </c>
      <c r="CF1377" t="s">
        <v>131</v>
      </c>
      <c r="CH1377" t="str">
        <f>""</f>
        <v/>
      </c>
      <c r="CI1377" t="s">
        <v>131</v>
      </c>
      <c r="CK1377" t="s">
        <v>131</v>
      </c>
      <c r="CL1377" t="str">
        <f>""</f>
        <v/>
      </c>
      <c r="CM1377" t="str">
        <f>""</f>
        <v/>
      </c>
      <c r="CN1377" t="str">
        <f>""</f>
        <v/>
      </c>
      <c r="CO1377" t="str">
        <f>""</f>
        <v/>
      </c>
      <c r="CP1377" t="str">
        <f>"15-1132.00"</f>
        <v>15-1132.00</v>
      </c>
      <c r="CQ1377" t="s">
        <v>198</v>
      </c>
      <c r="CR1377" t="s">
        <v>849</v>
      </c>
      <c r="CS1377" t="s">
        <v>131</v>
      </c>
      <c r="CU1377" t="s">
        <v>7791</v>
      </c>
      <c r="CV1377" t="s">
        <v>3384</v>
      </c>
      <c r="CW1377" t="s">
        <v>1154</v>
      </c>
      <c r="CX1377" t="s">
        <v>276</v>
      </c>
      <c r="CZ1377" s="3" t="str">
        <f>"08873"</f>
        <v>08873</v>
      </c>
      <c r="DA1377" t="s">
        <v>131</v>
      </c>
      <c r="DB1377" t="str">
        <f>""</f>
        <v/>
      </c>
      <c r="DF1377" t="str">
        <f>""</f>
        <v/>
      </c>
    </row>
    <row r="1378" spans="1:110" ht="15" customHeight="1" x14ac:dyDescent="0.35">
      <c r="A1378" t="s">
        <v>14025</v>
      </c>
      <c r="B1378" t="s">
        <v>138</v>
      </c>
      <c r="C1378" s="1">
        <v>44327</v>
      </c>
      <c r="G1378" s="1">
        <v>44333</v>
      </c>
      <c r="H1378" t="s">
        <v>125</v>
      </c>
      <c r="I1378" t="s">
        <v>838</v>
      </c>
      <c r="J1378" t="s">
        <v>839</v>
      </c>
      <c r="K1378" t="s">
        <v>840</v>
      </c>
      <c r="L1378" t="s">
        <v>2565</v>
      </c>
      <c r="M1378" t="s">
        <v>841</v>
      </c>
      <c r="N1378" t="s">
        <v>842</v>
      </c>
      <c r="O1378" t="s">
        <v>843</v>
      </c>
      <c r="P1378" t="s">
        <v>273</v>
      </c>
      <c r="Q1378" s="3">
        <v>7080</v>
      </c>
      <c r="R1378" t="s">
        <v>128</v>
      </c>
      <c r="T1378" s="4">
        <v>17328327978</v>
      </c>
      <c r="V1378" t="s">
        <v>844</v>
      </c>
      <c r="W1378" t="s">
        <v>9786</v>
      </c>
      <c r="Y1378" t="s">
        <v>841</v>
      </c>
      <c r="Z1378" t="s">
        <v>9787</v>
      </c>
      <c r="AA1378" t="s">
        <v>843</v>
      </c>
      <c r="AB1378" t="s">
        <v>276</v>
      </c>
      <c r="AC1378" s="3" t="str">
        <f>"07080"</f>
        <v>07080</v>
      </c>
      <c r="AD1378" t="s">
        <v>128</v>
      </c>
      <c r="AF1378" s="4">
        <v>19084584056</v>
      </c>
      <c r="AH1378" t="str">
        <f>"541511"</f>
        <v>541511</v>
      </c>
      <c r="AI1378" t="s">
        <v>130</v>
      </c>
      <c r="AJ1378" t="s">
        <v>838</v>
      </c>
      <c r="AK1378" t="s">
        <v>839</v>
      </c>
      <c r="AL1378" t="s">
        <v>840</v>
      </c>
      <c r="AM1378" t="s">
        <v>841</v>
      </c>
      <c r="AN1378" t="s">
        <v>842</v>
      </c>
      <c r="AO1378" t="s">
        <v>14026</v>
      </c>
      <c r="AP1378" t="s">
        <v>276</v>
      </c>
      <c r="AQ1378" s="5">
        <v>7080</v>
      </c>
      <c r="AR1378" t="s">
        <v>128</v>
      </c>
      <c r="AT1378" s="4">
        <v>17328327978</v>
      </c>
      <c r="AV1378" t="s">
        <v>844</v>
      </c>
      <c r="AW1378" t="s">
        <v>845</v>
      </c>
      <c r="AX1378" t="s">
        <v>131</v>
      </c>
      <c r="AY1378" t="s">
        <v>131</v>
      </c>
      <c r="AZ1378" t="s">
        <v>131</v>
      </c>
      <c r="BA1378" t="s">
        <v>131</v>
      </c>
      <c r="BB1378" t="s">
        <v>131</v>
      </c>
      <c r="BC1378" t="s">
        <v>131</v>
      </c>
      <c r="BD1378" t="s">
        <v>131</v>
      </c>
      <c r="BE1378" t="s">
        <v>132</v>
      </c>
      <c r="BH1378" t="s">
        <v>3291</v>
      </c>
      <c r="BI1378" t="s">
        <v>131</v>
      </c>
      <c r="BL1378" t="s">
        <v>188</v>
      </c>
      <c r="BN1378" t="s">
        <v>847</v>
      </c>
      <c r="BO1378" t="s">
        <v>131</v>
      </c>
      <c r="BP1378" t="s">
        <v>134</v>
      </c>
      <c r="BQ1378" t="s">
        <v>131</v>
      </c>
      <c r="BS1378" t="str">
        <f t="shared" si="90"/>
        <v>N/A</v>
      </c>
      <c r="BT1378" t="s">
        <v>135</v>
      </c>
      <c r="BU1378">
        <v>12</v>
      </c>
      <c r="BV1378" t="str">
        <f>"JOB OFFERED OR RELATED OCCUPATION."</f>
        <v>JOB OFFERED OR RELATED OCCUPATION.</v>
      </c>
      <c r="BW1378" t="s">
        <v>135</v>
      </c>
      <c r="BX1378" t="str">
        <f>""</f>
        <v/>
      </c>
      <c r="BY1378" t="str">
        <f>""</f>
        <v/>
      </c>
      <c r="BZ1378" t="str">
        <f>""</f>
        <v/>
      </c>
      <c r="CA1378" t="str">
        <f>"Skills required: Eclipse, MS Visio, Axure, IBM Jazz, Kafka, XML, Json and Birt."</f>
        <v>Skills required: Eclipse, MS Visio, Axure, IBM Jazz, Kafka, XML, Json and Birt.</v>
      </c>
      <c r="CB1378" t="s">
        <v>135</v>
      </c>
      <c r="CC1378" t="s">
        <v>133</v>
      </c>
      <c r="CE1378" t="s">
        <v>11780</v>
      </c>
      <c r="CF1378" t="s">
        <v>131</v>
      </c>
      <c r="CH1378" t="str">
        <f>"N/A"</f>
        <v>N/A</v>
      </c>
      <c r="CI1378" t="s">
        <v>135</v>
      </c>
      <c r="CJ1378">
        <v>60</v>
      </c>
      <c r="CK1378" t="s">
        <v>135</v>
      </c>
      <c r="CL1378" t="str">
        <f>""</f>
        <v/>
      </c>
      <c r="CM1378" t="str">
        <f>""</f>
        <v/>
      </c>
      <c r="CN1378" t="str">
        <f>""</f>
        <v/>
      </c>
      <c r="CO1378" t="str">
        <f>"SAME AS F.b.5.a"</f>
        <v>SAME AS F.b.5.a</v>
      </c>
      <c r="CP1378" t="str">
        <f>"15-1121.00"</f>
        <v>15-1121.00</v>
      </c>
      <c r="CQ1378" t="s">
        <v>283</v>
      </c>
      <c r="CR1378" t="s">
        <v>849</v>
      </c>
      <c r="CS1378" t="s">
        <v>131</v>
      </c>
      <c r="CU1378" t="s">
        <v>841</v>
      </c>
      <c r="CV1378" t="s">
        <v>9787</v>
      </c>
      <c r="CW1378" t="s">
        <v>843</v>
      </c>
      <c r="CX1378" t="s">
        <v>276</v>
      </c>
      <c r="CZ1378" s="3" t="str">
        <f>"07080"</f>
        <v>07080</v>
      </c>
      <c r="DA1378" t="s">
        <v>131</v>
      </c>
      <c r="DB1378" t="str">
        <f>""</f>
        <v/>
      </c>
      <c r="DF1378" t="str">
        <f>""</f>
        <v/>
      </c>
    </row>
    <row r="1379" spans="1:110" ht="15" customHeight="1" x14ac:dyDescent="0.35">
      <c r="A1379" t="s">
        <v>14718</v>
      </c>
      <c r="B1379" t="s">
        <v>138</v>
      </c>
      <c r="C1379" s="1">
        <v>44327</v>
      </c>
      <c r="G1379" s="1">
        <v>44330</v>
      </c>
      <c r="H1379" t="s">
        <v>125</v>
      </c>
      <c r="I1379" t="s">
        <v>1819</v>
      </c>
      <c r="J1379" t="s">
        <v>14719</v>
      </c>
      <c r="L1379" t="s">
        <v>5258</v>
      </c>
      <c r="M1379" t="s">
        <v>14720</v>
      </c>
      <c r="O1379" t="s">
        <v>14721</v>
      </c>
      <c r="P1379" t="s">
        <v>1004</v>
      </c>
      <c r="Q1379" s="3">
        <v>84047</v>
      </c>
      <c r="R1379" t="s">
        <v>128</v>
      </c>
      <c r="T1379" s="4">
        <v>18015633337</v>
      </c>
      <c r="V1379" t="s">
        <v>14722</v>
      </c>
      <c r="W1379" t="s">
        <v>14723</v>
      </c>
      <c r="X1379" t="s">
        <v>14724</v>
      </c>
      <c r="Y1379" t="s">
        <v>14720</v>
      </c>
      <c r="AA1379" t="s">
        <v>14721</v>
      </c>
      <c r="AB1379" t="s">
        <v>1008</v>
      </c>
      <c r="AC1379" s="3" t="str">
        <f>"84047"</f>
        <v>84047</v>
      </c>
      <c r="AD1379" t="s">
        <v>128</v>
      </c>
      <c r="AF1379" s="4">
        <v>18015633337</v>
      </c>
      <c r="AH1379" t="str">
        <f>"722511"</f>
        <v>722511</v>
      </c>
      <c r="AI1379" t="s">
        <v>130</v>
      </c>
      <c r="AJ1379" t="s">
        <v>3211</v>
      </c>
      <c r="AK1379" t="s">
        <v>3212</v>
      </c>
      <c r="AL1379" t="s">
        <v>131</v>
      </c>
      <c r="AM1379" t="s">
        <v>3213</v>
      </c>
      <c r="AN1379" t="s">
        <v>3214</v>
      </c>
      <c r="AO1379" t="s">
        <v>1663</v>
      </c>
      <c r="AP1379" t="s">
        <v>172</v>
      </c>
      <c r="AQ1379" s="5">
        <v>90017</v>
      </c>
      <c r="AR1379" t="s">
        <v>128</v>
      </c>
      <c r="AT1379" s="4">
        <v>12132501340</v>
      </c>
      <c r="AV1379" t="s">
        <v>3215</v>
      </c>
      <c r="AW1379" t="s">
        <v>3216</v>
      </c>
      <c r="AX1379" t="s">
        <v>131</v>
      </c>
      <c r="AY1379" t="s">
        <v>131</v>
      </c>
      <c r="AZ1379" t="s">
        <v>131</v>
      </c>
      <c r="BA1379" t="s">
        <v>131</v>
      </c>
      <c r="BB1379" t="s">
        <v>131</v>
      </c>
      <c r="BC1379" t="s">
        <v>131</v>
      </c>
      <c r="BD1379" t="s">
        <v>131</v>
      </c>
      <c r="BE1379" t="s">
        <v>132</v>
      </c>
      <c r="BH1379" t="s">
        <v>3930</v>
      </c>
      <c r="BI1379" t="s">
        <v>131</v>
      </c>
      <c r="BL1379" t="s">
        <v>167</v>
      </c>
      <c r="BO1379" t="s">
        <v>131</v>
      </c>
      <c r="BP1379" t="s">
        <v>134</v>
      </c>
      <c r="BQ1379" t="s">
        <v>131</v>
      </c>
      <c r="BS1379" t="str">
        <f t="shared" si="90"/>
        <v>N/A</v>
      </c>
      <c r="BT1379" t="s">
        <v>131</v>
      </c>
      <c r="BV1379" t="str">
        <f>""</f>
        <v/>
      </c>
      <c r="BW1379" t="s">
        <v>131</v>
      </c>
      <c r="BX1379" t="str">
        <f>""</f>
        <v/>
      </c>
      <c r="BY1379" t="str">
        <f>""</f>
        <v/>
      </c>
      <c r="BZ1379" t="str">
        <f>""</f>
        <v/>
      </c>
      <c r="CA1379" t="str">
        <f>""</f>
        <v/>
      </c>
      <c r="CB1379" t="s">
        <v>131</v>
      </c>
      <c r="CF1379" t="s">
        <v>131</v>
      </c>
      <c r="CH1379" t="str">
        <f>""</f>
        <v/>
      </c>
      <c r="CI1379" t="s">
        <v>131</v>
      </c>
      <c r="CK1379" t="s">
        <v>131</v>
      </c>
      <c r="CL1379" t="str">
        <f>""</f>
        <v/>
      </c>
      <c r="CM1379" t="str">
        <f>""</f>
        <v/>
      </c>
      <c r="CN1379" t="str">
        <f>""</f>
        <v/>
      </c>
      <c r="CO1379" t="str">
        <f>""</f>
        <v/>
      </c>
      <c r="CP1379" t="str">
        <f>"35-2014.00"</f>
        <v>35-2014.00</v>
      </c>
      <c r="CQ1379" t="s">
        <v>581</v>
      </c>
      <c r="CR1379" t="s">
        <v>3217</v>
      </c>
      <c r="CS1379" t="s">
        <v>131</v>
      </c>
      <c r="CU1379" t="s">
        <v>14720</v>
      </c>
      <c r="CW1379" t="s">
        <v>14721</v>
      </c>
      <c r="CX1379" t="s">
        <v>1008</v>
      </c>
      <c r="CZ1379" s="3" t="str">
        <f>"84047"</f>
        <v>84047</v>
      </c>
      <c r="DA1379" t="s">
        <v>131</v>
      </c>
      <c r="DB1379" t="str">
        <f>""</f>
        <v/>
      </c>
      <c r="DF1379" t="str">
        <f>""</f>
        <v/>
      </c>
    </row>
    <row r="1380" spans="1:110" ht="15" customHeight="1" x14ac:dyDescent="0.35">
      <c r="A1380" t="s">
        <v>19155</v>
      </c>
      <c r="B1380" t="s">
        <v>138</v>
      </c>
      <c r="C1380" s="1">
        <v>44327</v>
      </c>
      <c r="G1380" s="1">
        <v>44333</v>
      </c>
      <c r="H1380" t="s">
        <v>125</v>
      </c>
      <c r="I1380" t="s">
        <v>838</v>
      </c>
      <c r="J1380" t="s">
        <v>839</v>
      </c>
      <c r="K1380" t="s">
        <v>840</v>
      </c>
      <c r="L1380" t="s">
        <v>2565</v>
      </c>
      <c r="M1380" t="s">
        <v>841</v>
      </c>
      <c r="N1380" t="s">
        <v>842</v>
      </c>
      <c r="O1380" t="s">
        <v>843</v>
      </c>
      <c r="P1380" t="s">
        <v>273</v>
      </c>
      <c r="Q1380" s="3">
        <v>7080</v>
      </c>
      <c r="R1380" t="s">
        <v>128</v>
      </c>
      <c r="T1380" s="4">
        <v>17328327978</v>
      </c>
      <c r="V1380" t="s">
        <v>844</v>
      </c>
      <c r="W1380" t="s">
        <v>6547</v>
      </c>
      <c r="Y1380" t="s">
        <v>6548</v>
      </c>
      <c r="Z1380" t="s">
        <v>3810</v>
      </c>
      <c r="AA1380" t="s">
        <v>2596</v>
      </c>
      <c r="AB1380" t="s">
        <v>276</v>
      </c>
      <c r="AC1380" s="3" t="str">
        <f>"08854"</f>
        <v>08854</v>
      </c>
      <c r="AD1380" t="s">
        <v>128</v>
      </c>
      <c r="AF1380" s="4">
        <v>12019051126</v>
      </c>
      <c r="AH1380" t="str">
        <f>"5415"</f>
        <v>5415</v>
      </c>
      <c r="AI1380" t="s">
        <v>130</v>
      </c>
      <c r="AJ1380" t="s">
        <v>838</v>
      </c>
      <c r="AK1380" t="s">
        <v>839</v>
      </c>
      <c r="AL1380" t="s">
        <v>840</v>
      </c>
      <c r="AM1380" t="s">
        <v>841</v>
      </c>
      <c r="AN1380" t="s">
        <v>842</v>
      </c>
      <c r="AO1380" t="s">
        <v>843</v>
      </c>
      <c r="AP1380" t="s">
        <v>276</v>
      </c>
      <c r="AQ1380" s="5">
        <v>7080</v>
      </c>
      <c r="AR1380" t="s">
        <v>128</v>
      </c>
      <c r="AT1380" s="4">
        <v>17328327978</v>
      </c>
      <c r="AV1380" t="s">
        <v>844</v>
      </c>
      <c r="AW1380" t="s">
        <v>2779</v>
      </c>
      <c r="AX1380" t="s">
        <v>131</v>
      </c>
      <c r="AY1380" t="s">
        <v>131</v>
      </c>
      <c r="AZ1380" t="s">
        <v>131</v>
      </c>
      <c r="BA1380" t="s">
        <v>131</v>
      </c>
      <c r="BB1380" t="s">
        <v>131</v>
      </c>
      <c r="BC1380" t="s">
        <v>131</v>
      </c>
      <c r="BD1380" t="s">
        <v>131</v>
      </c>
      <c r="BE1380" t="s">
        <v>132</v>
      </c>
      <c r="BH1380" t="s">
        <v>500</v>
      </c>
      <c r="BI1380" t="s">
        <v>131</v>
      </c>
      <c r="BL1380" t="s">
        <v>188</v>
      </c>
      <c r="BN1380" t="s">
        <v>847</v>
      </c>
      <c r="BO1380" t="s">
        <v>131</v>
      </c>
      <c r="BP1380" t="s">
        <v>134</v>
      </c>
      <c r="BQ1380" t="s">
        <v>131</v>
      </c>
      <c r="BS1380" t="str">
        <f t="shared" si="90"/>
        <v>N/A</v>
      </c>
      <c r="BT1380" t="s">
        <v>131</v>
      </c>
      <c r="BV1380" t="str">
        <f>""</f>
        <v/>
      </c>
      <c r="BW1380" t="s">
        <v>131</v>
      </c>
      <c r="BX1380" t="str">
        <f>""</f>
        <v/>
      </c>
      <c r="BY1380" t="str">
        <f>""</f>
        <v/>
      </c>
      <c r="BZ1380" t="str">
        <f>""</f>
        <v/>
      </c>
      <c r="CA1380" t="str">
        <f>""</f>
        <v/>
      </c>
      <c r="CB1380" t="s">
        <v>135</v>
      </c>
      <c r="CC1380" t="s">
        <v>133</v>
      </c>
      <c r="CE1380" t="s">
        <v>847</v>
      </c>
      <c r="CF1380" t="s">
        <v>131</v>
      </c>
      <c r="CH1380" t="str">
        <f>"N/A"</f>
        <v>N/A</v>
      </c>
      <c r="CI1380" t="s">
        <v>135</v>
      </c>
      <c r="CJ1380">
        <v>60</v>
      </c>
      <c r="CK1380" t="s">
        <v>131</v>
      </c>
      <c r="CL1380" t="str">
        <f>""</f>
        <v/>
      </c>
      <c r="CM1380" t="str">
        <f>""</f>
        <v/>
      </c>
      <c r="CN1380" t="str">
        <f>""</f>
        <v/>
      </c>
      <c r="CO1380" t="str">
        <f>""</f>
        <v/>
      </c>
      <c r="CP1380" t="str">
        <f>"15-1132.00"</f>
        <v>15-1132.00</v>
      </c>
      <c r="CQ1380" t="s">
        <v>198</v>
      </c>
      <c r="CR1380" t="s">
        <v>849</v>
      </c>
      <c r="CS1380" t="s">
        <v>131</v>
      </c>
      <c r="CU1380" t="s">
        <v>6548</v>
      </c>
      <c r="CV1380" t="s">
        <v>3810</v>
      </c>
      <c r="CW1380" t="s">
        <v>2596</v>
      </c>
      <c r="CX1380" t="s">
        <v>276</v>
      </c>
      <c r="CZ1380" s="3" t="str">
        <f>"08854"</f>
        <v>08854</v>
      </c>
      <c r="DA1380" t="s">
        <v>131</v>
      </c>
      <c r="DB1380" t="str">
        <f>""</f>
        <v/>
      </c>
      <c r="DF1380" t="str">
        <f>""</f>
        <v/>
      </c>
    </row>
    <row r="1381" spans="1:110" ht="15" customHeight="1" x14ac:dyDescent="0.35">
      <c r="A1381" t="s">
        <v>15965</v>
      </c>
      <c r="B1381" t="s">
        <v>138</v>
      </c>
      <c r="C1381" s="1">
        <v>44327</v>
      </c>
      <c r="G1381" s="1">
        <v>44334</v>
      </c>
      <c r="H1381" t="s">
        <v>125</v>
      </c>
      <c r="I1381" t="s">
        <v>1159</v>
      </c>
      <c r="J1381" t="s">
        <v>1540</v>
      </c>
      <c r="L1381" t="s">
        <v>5515</v>
      </c>
      <c r="M1381" t="s">
        <v>10816</v>
      </c>
      <c r="N1381" t="s">
        <v>1072</v>
      </c>
      <c r="O1381" t="s">
        <v>262</v>
      </c>
      <c r="P1381" t="s">
        <v>539</v>
      </c>
      <c r="Q1381" s="3">
        <v>60661</v>
      </c>
      <c r="R1381" t="s">
        <v>128</v>
      </c>
      <c r="T1381" s="4">
        <v>17733912440</v>
      </c>
      <c r="V1381" t="s">
        <v>10817</v>
      </c>
      <c r="W1381" t="s">
        <v>10818</v>
      </c>
      <c r="Y1381" t="s">
        <v>10819</v>
      </c>
      <c r="Z1381" t="s">
        <v>834</v>
      </c>
      <c r="AA1381" t="s">
        <v>262</v>
      </c>
      <c r="AB1381" t="s">
        <v>263</v>
      </c>
      <c r="AC1381" s="3" t="str">
        <f>"60661"</f>
        <v>60661</v>
      </c>
      <c r="AD1381" t="s">
        <v>128</v>
      </c>
      <c r="AF1381" s="4">
        <v>18553557625</v>
      </c>
      <c r="AG1381">
        <v>0</v>
      </c>
      <c r="AH1381" t="str">
        <f>"56159"</f>
        <v>56159</v>
      </c>
      <c r="AI1381" t="s">
        <v>130</v>
      </c>
      <c r="AJ1381" t="s">
        <v>1824</v>
      </c>
      <c r="AK1381" t="s">
        <v>1811</v>
      </c>
      <c r="AM1381" t="s">
        <v>493</v>
      </c>
      <c r="AO1381" t="s">
        <v>494</v>
      </c>
      <c r="AP1381" t="s">
        <v>129</v>
      </c>
      <c r="AQ1381" s="5">
        <v>10018</v>
      </c>
      <c r="AR1381" t="s">
        <v>128</v>
      </c>
      <c r="AT1381" s="4">
        <v>12128917526</v>
      </c>
      <c r="AV1381" t="s">
        <v>1825</v>
      </c>
      <c r="AW1381" t="s">
        <v>386</v>
      </c>
      <c r="AX1381" t="s">
        <v>131</v>
      </c>
      <c r="AY1381" t="s">
        <v>131</v>
      </c>
      <c r="AZ1381" t="s">
        <v>131</v>
      </c>
      <c r="BA1381" t="s">
        <v>131</v>
      </c>
      <c r="BB1381" t="s">
        <v>131</v>
      </c>
      <c r="BC1381" t="s">
        <v>131</v>
      </c>
      <c r="BD1381" t="s">
        <v>131</v>
      </c>
      <c r="BE1381" t="s">
        <v>160</v>
      </c>
      <c r="BF1381" t="s">
        <v>5557</v>
      </c>
      <c r="BG1381" s="1">
        <v>43891</v>
      </c>
      <c r="BH1381" t="s">
        <v>290</v>
      </c>
      <c r="BI1381" t="s">
        <v>131</v>
      </c>
      <c r="BL1381" t="s">
        <v>133</v>
      </c>
      <c r="BN1381" t="s">
        <v>15966</v>
      </c>
      <c r="BO1381" t="s">
        <v>131</v>
      </c>
      <c r="BP1381" t="s">
        <v>134</v>
      </c>
      <c r="BQ1381" t="s">
        <v>131</v>
      </c>
      <c r="BS1381" t="str">
        <f t="shared" si="90"/>
        <v>N/A</v>
      </c>
      <c r="BT1381" t="s">
        <v>135</v>
      </c>
      <c r="BU1381">
        <v>60</v>
      </c>
      <c r="BV1381" t="str">
        <f>"Experience working as Software Engineer or in a related occupation."</f>
        <v>Experience working as Software Engineer or in a related occupation.</v>
      </c>
      <c r="BW1381" t="s">
        <v>135</v>
      </c>
      <c r="BX1381" t="str">
        <f>""</f>
        <v/>
      </c>
      <c r="BY1381" t="str">
        <f>""</f>
        <v/>
      </c>
      <c r="BZ1381" t="str">
        <f>""</f>
        <v/>
      </c>
      <c r="CA1381" t="s">
        <v>10820</v>
      </c>
      <c r="CB1381" t="s">
        <v>131</v>
      </c>
      <c r="CF1381" t="s">
        <v>131</v>
      </c>
      <c r="CH1381" t="str">
        <f>""</f>
        <v/>
      </c>
      <c r="CI1381" t="s">
        <v>131</v>
      </c>
      <c r="CK1381" t="s">
        <v>131</v>
      </c>
      <c r="CL1381" t="str">
        <f>""</f>
        <v/>
      </c>
      <c r="CM1381" t="str">
        <f>""</f>
        <v/>
      </c>
      <c r="CN1381" t="str">
        <f>""</f>
        <v/>
      </c>
      <c r="CO1381" t="str">
        <f>""</f>
        <v/>
      </c>
      <c r="CP1381" t="str">
        <f>"11-3021.00"</f>
        <v>11-3021.00</v>
      </c>
      <c r="CQ1381" t="s">
        <v>598</v>
      </c>
      <c r="CR1381" t="s">
        <v>3598</v>
      </c>
      <c r="CS1381" t="s">
        <v>131</v>
      </c>
      <c r="CU1381" t="s">
        <v>10821</v>
      </c>
      <c r="CV1381" t="s">
        <v>1072</v>
      </c>
      <c r="CW1381" t="s">
        <v>262</v>
      </c>
      <c r="CX1381" t="s">
        <v>263</v>
      </c>
      <c r="CZ1381" s="3" t="str">
        <f>"60661"</f>
        <v>60661</v>
      </c>
      <c r="DA1381" t="s">
        <v>131</v>
      </c>
      <c r="DB1381" t="str">
        <f>""</f>
        <v/>
      </c>
      <c r="DF1381" t="str">
        <f>""</f>
        <v/>
      </c>
    </row>
    <row r="1382" spans="1:110" ht="15" customHeight="1" x14ac:dyDescent="0.35">
      <c r="A1382" t="s">
        <v>17131</v>
      </c>
      <c r="B1382" t="s">
        <v>138</v>
      </c>
      <c r="C1382" s="1">
        <v>44327</v>
      </c>
      <c r="G1382" s="1">
        <v>44343</v>
      </c>
      <c r="H1382" t="s">
        <v>125</v>
      </c>
      <c r="I1382" t="s">
        <v>714</v>
      </c>
      <c r="J1382" t="s">
        <v>1313</v>
      </c>
      <c r="L1382" t="s">
        <v>530</v>
      </c>
      <c r="M1382" t="s">
        <v>15209</v>
      </c>
      <c r="O1382" t="s">
        <v>13809</v>
      </c>
      <c r="P1382" t="s">
        <v>720</v>
      </c>
      <c r="Q1382" s="3">
        <v>1821</v>
      </c>
      <c r="R1382" t="s">
        <v>128</v>
      </c>
      <c r="T1382" s="4">
        <v>19784958070</v>
      </c>
      <c r="V1382" t="s">
        <v>17132</v>
      </c>
      <c r="W1382" t="s">
        <v>15210</v>
      </c>
      <c r="Y1382" t="s">
        <v>10738</v>
      </c>
      <c r="Z1382" t="s">
        <v>10739</v>
      </c>
      <c r="AA1382" t="s">
        <v>9187</v>
      </c>
      <c r="AB1382" t="s">
        <v>377</v>
      </c>
      <c r="AC1382" s="3" t="str">
        <f>"02466"</f>
        <v>02466</v>
      </c>
      <c r="AD1382" t="s">
        <v>128</v>
      </c>
      <c r="AF1382" s="4">
        <v>19783131531</v>
      </c>
      <c r="AH1382" t="str">
        <f>"54171"</f>
        <v>54171</v>
      </c>
      <c r="AI1382" t="s">
        <v>130</v>
      </c>
      <c r="AJ1382" t="s">
        <v>10742</v>
      </c>
      <c r="AK1382" t="s">
        <v>1059</v>
      </c>
      <c r="AL1382" t="s">
        <v>3629</v>
      </c>
      <c r="AM1382" t="s">
        <v>6981</v>
      </c>
      <c r="AN1382" t="s">
        <v>1169</v>
      </c>
      <c r="AO1382" t="s">
        <v>262</v>
      </c>
      <c r="AP1382" t="s">
        <v>263</v>
      </c>
      <c r="AQ1382" s="5">
        <v>60654</v>
      </c>
      <c r="AR1382" t="s">
        <v>128</v>
      </c>
      <c r="AT1382" s="4">
        <v>13127155018</v>
      </c>
      <c r="AV1382" t="s">
        <v>10743</v>
      </c>
      <c r="AW1382" t="s">
        <v>1171</v>
      </c>
      <c r="AX1382" t="s">
        <v>131</v>
      </c>
      <c r="AY1382" t="s">
        <v>131</v>
      </c>
      <c r="AZ1382" t="s">
        <v>131</v>
      </c>
      <c r="BA1382" t="s">
        <v>131</v>
      </c>
      <c r="BB1382" t="s">
        <v>131</v>
      </c>
      <c r="BC1382" t="s">
        <v>131</v>
      </c>
      <c r="BD1382" t="s">
        <v>131</v>
      </c>
      <c r="BE1382" t="s">
        <v>132</v>
      </c>
      <c r="BH1382" t="s">
        <v>10744</v>
      </c>
      <c r="BI1382" t="s">
        <v>131</v>
      </c>
      <c r="BL1382" t="s">
        <v>188</v>
      </c>
      <c r="BN1382" t="s">
        <v>8047</v>
      </c>
      <c r="BO1382" t="s">
        <v>131</v>
      </c>
      <c r="BP1382" t="s">
        <v>134</v>
      </c>
      <c r="BQ1382" t="s">
        <v>131</v>
      </c>
      <c r="BS1382" t="str">
        <f t="shared" si="90"/>
        <v>N/A</v>
      </c>
      <c r="BT1382" t="s">
        <v>135</v>
      </c>
      <c r="BU1382">
        <v>24</v>
      </c>
      <c r="BV1382" t="str">
        <f>"IT systems project management experience."</f>
        <v>IT systems project management experience.</v>
      </c>
      <c r="BW1382" t="s">
        <v>135</v>
      </c>
      <c r="BX1382" t="str">
        <f>""</f>
        <v/>
      </c>
      <c r="BY1382" t="str">
        <f>""</f>
        <v/>
      </c>
      <c r="BZ1382" t="str">
        <f>""</f>
        <v/>
      </c>
      <c r="CA1382" t="s">
        <v>17133</v>
      </c>
      <c r="CB1382" t="s">
        <v>135</v>
      </c>
      <c r="CC1382" t="s">
        <v>133</v>
      </c>
      <c r="CE1382" t="s">
        <v>8047</v>
      </c>
      <c r="CF1382" t="s">
        <v>131</v>
      </c>
      <c r="CH1382" t="str">
        <f>"N/A"</f>
        <v>N/A</v>
      </c>
      <c r="CI1382" t="s">
        <v>135</v>
      </c>
      <c r="CJ1382">
        <v>60</v>
      </c>
      <c r="CK1382" t="s">
        <v>135</v>
      </c>
      <c r="CL1382" t="str">
        <f>""</f>
        <v/>
      </c>
      <c r="CM1382" t="str">
        <f>""</f>
        <v/>
      </c>
      <c r="CN1382" t="str">
        <f>""</f>
        <v/>
      </c>
      <c r="CO1382" t="s">
        <v>17133</v>
      </c>
      <c r="CP1382" t="str">
        <f>"15-1133.00"</f>
        <v>15-1133.00</v>
      </c>
      <c r="CQ1382" t="s">
        <v>648</v>
      </c>
      <c r="CR1382" t="s">
        <v>15503</v>
      </c>
      <c r="CS1382" t="s">
        <v>131</v>
      </c>
      <c r="CU1382" t="s">
        <v>10747</v>
      </c>
      <c r="CV1382" t="s">
        <v>788</v>
      </c>
      <c r="CW1382" t="s">
        <v>2323</v>
      </c>
      <c r="CX1382" t="s">
        <v>594</v>
      </c>
      <c r="CZ1382" s="3" t="str">
        <f>"27713"</f>
        <v>27713</v>
      </c>
      <c r="DA1382" t="s">
        <v>131</v>
      </c>
      <c r="DB1382" t="str">
        <f>""</f>
        <v/>
      </c>
      <c r="DF1382" t="str">
        <f>""</f>
        <v/>
      </c>
    </row>
    <row r="1383" spans="1:110" ht="15" customHeight="1" x14ac:dyDescent="0.35">
      <c r="A1383" t="s">
        <v>5629</v>
      </c>
      <c r="B1383" t="s">
        <v>138</v>
      </c>
      <c r="C1383" s="1">
        <v>44327</v>
      </c>
      <c r="G1383" s="1">
        <v>44327</v>
      </c>
      <c r="H1383" t="s">
        <v>125</v>
      </c>
      <c r="I1383" t="s">
        <v>5215</v>
      </c>
      <c r="J1383" t="s">
        <v>5630</v>
      </c>
      <c r="L1383" t="s">
        <v>3782</v>
      </c>
      <c r="M1383" t="s">
        <v>5631</v>
      </c>
      <c r="N1383" t="s">
        <v>788</v>
      </c>
      <c r="O1383" t="s">
        <v>729</v>
      </c>
      <c r="P1383" t="s">
        <v>178</v>
      </c>
      <c r="Q1383" s="3">
        <v>91107</v>
      </c>
      <c r="R1383" t="s">
        <v>128</v>
      </c>
      <c r="T1383" s="4">
        <v>16263087860</v>
      </c>
      <c r="V1383" t="s">
        <v>5632</v>
      </c>
      <c r="W1383" t="s">
        <v>5633</v>
      </c>
      <c r="X1383" t="s">
        <v>134</v>
      </c>
      <c r="Y1383" t="s">
        <v>5634</v>
      </c>
      <c r="Z1383" t="s">
        <v>5635</v>
      </c>
      <c r="AA1383" t="s">
        <v>4834</v>
      </c>
      <c r="AB1383" t="s">
        <v>172</v>
      </c>
      <c r="AC1383" s="3" t="str">
        <f>"91710"</f>
        <v>91710</v>
      </c>
      <c r="AD1383" t="s">
        <v>128</v>
      </c>
      <c r="AF1383" s="4">
        <v>19092178788</v>
      </c>
      <c r="AH1383" t="str">
        <f>"54199"</f>
        <v>54199</v>
      </c>
      <c r="AI1383" t="s">
        <v>130</v>
      </c>
      <c r="AJ1383" t="s">
        <v>5215</v>
      </c>
      <c r="AK1383" t="s">
        <v>5630</v>
      </c>
      <c r="AM1383" t="s">
        <v>5631</v>
      </c>
      <c r="AN1383" t="s">
        <v>788</v>
      </c>
      <c r="AO1383" t="s">
        <v>729</v>
      </c>
      <c r="AP1383" t="s">
        <v>172</v>
      </c>
      <c r="AQ1383" s="5">
        <v>91107</v>
      </c>
      <c r="AR1383" t="s">
        <v>128</v>
      </c>
      <c r="AT1383" s="4">
        <v>16263087860</v>
      </c>
      <c r="AV1383" t="s">
        <v>5632</v>
      </c>
      <c r="AW1383" t="s">
        <v>5636</v>
      </c>
      <c r="AX1383" t="s">
        <v>131</v>
      </c>
      <c r="AY1383" t="s">
        <v>131</v>
      </c>
      <c r="AZ1383" t="s">
        <v>131</v>
      </c>
      <c r="BA1383" t="s">
        <v>131</v>
      </c>
      <c r="BB1383" t="s">
        <v>131</v>
      </c>
      <c r="BC1383" t="s">
        <v>131</v>
      </c>
      <c r="BD1383" t="s">
        <v>131</v>
      </c>
      <c r="BE1383" t="s">
        <v>132</v>
      </c>
      <c r="BH1383" t="s">
        <v>5637</v>
      </c>
      <c r="BI1383" t="s">
        <v>131</v>
      </c>
      <c r="BL1383" t="s">
        <v>188</v>
      </c>
      <c r="BN1383" t="s">
        <v>5638</v>
      </c>
      <c r="BO1383" t="s">
        <v>131</v>
      </c>
      <c r="BP1383" t="s">
        <v>134</v>
      </c>
      <c r="BQ1383" t="s">
        <v>131</v>
      </c>
      <c r="BS1383" t="str">
        <f t="shared" si="90"/>
        <v>N/A</v>
      </c>
      <c r="BT1383" t="s">
        <v>135</v>
      </c>
      <c r="BU1383">
        <v>36</v>
      </c>
      <c r="BV1383" t="str">
        <f>"Instructional Coordinator involving afore-mentioned duties"</f>
        <v>Instructional Coordinator involving afore-mentioned duties</v>
      </c>
      <c r="BW1383" t="s">
        <v>135</v>
      </c>
      <c r="BX1383" t="str">
        <f>""</f>
        <v/>
      </c>
      <c r="BY1383" t="str">
        <f>""</f>
        <v/>
      </c>
      <c r="BZ1383" t="str">
        <f>""</f>
        <v/>
      </c>
      <c r="CA1383" t="str">
        <f>"Have experience in providing service to international students in areas of college admission, selection of education programs and classes, consultation of pursuing general education in an English-speaking environment."</f>
        <v>Have experience in providing service to international students in areas of college admission, selection of education programs and classes, consultation of pursuing general education in an English-speaking environment.</v>
      </c>
      <c r="CB1383" t="s">
        <v>131</v>
      </c>
      <c r="CF1383" t="s">
        <v>131</v>
      </c>
      <c r="CH1383" t="str">
        <f>""</f>
        <v/>
      </c>
      <c r="CI1383" t="s">
        <v>131</v>
      </c>
      <c r="CK1383" t="s">
        <v>131</v>
      </c>
      <c r="CL1383" t="str">
        <f>""</f>
        <v/>
      </c>
      <c r="CM1383" t="str">
        <f>""</f>
        <v/>
      </c>
      <c r="CN1383" t="str">
        <f>""</f>
        <v/>
      </c>
      <c r="CO1383" t="str">
        <f>""</f>
        <v/>
      </c>
      <c r="CP1383" t="str">
        <f>"25-9031.00"</f>
        <v>25-9031.00</v>
      </c>
      <c r="CQ1383" t="s">
        <v>5639</v>
      </c>
      <c r="CR1383" t="s">
        <v>583</v>
      </c>
      <c r="CS1383" t="s">
        <v>131</v>
      </c>
      <c r="CU1383" t="s">
        <v>5634</v>
      </c>
      <c r="CV1383" t="s">
        <v>5635</v>
      </c>
      <c r="CW1383" t="s">
        <v>4834</v>
      </c>
      <c r="CX1383" t="s">
        <v>172</v>
      </c>
      <c r="CZ1383" s="3" t="str">
        <f>"91710"</f>
        <v>91710</v>
      </c>
      <c r="DA1383" t="s">
        <v>131</v>
      </c>
      <c r="DB1383" t="str">
        <f>""</f>
        <v/>
      </c>
      <c r="DF1383" t="str">
        <f>""</f>
        <v/>
      </c>
    </row>
    <row r="1384" spans="1:110" ht="15" customHeight="1" x14ac:dyDescent="0.35">
      <c r="A1384" t="s">
        <v>3938</v>
      </c>
      <c r="B1384" t="s">
        <v>138</v>
      </c>
      <c r="C1384" s="1">
        <v>44327</v>
      </c>
      <c r="G1384" s="1">
        <v>44327</v>
      </c>
      <c r="H1384" t="s">
        <v>125</v>
      </c>
      <c r="I1384" t="s">
        <v>3939</v>
      </c>
      <c r="J1384" t="s">
        <v>3940</v>
      </c>
      <c r="L1384" t="s">
        <v>3941</v>
      </c>
      <c r="M1384" t="s">
        <v>3942</v>
      </c>
      <c r="O1384" t="s">
        <v>2832</v>
      </c>
      <c r="P1384" t="s">
        <v>412</v>
      </c>
      <c r="Q1384" s="3">
        <v>77067</v>
      </c>
      <c r="R1384" t="s">
        <v>128</v>
      </c>
      <c r="T1384" s="4">
        <v>12817752473</v>
      </c>
      <c r="V1384" t="s">
        <v>3943</v>
      </c>
      <c r="W1384" t="s">
        <v>3944</v>
      </c>
      <c r="X1384" t="s">
        <v>134</v>
      </c>
      <c r="Y1384" t="s">
        <v>3942</v>
      </c>
      <c r="AA1384" t="s">
        <v>2832</v>
      </c>
      <c r="AB1384" t="s">
        <v>400</v>
      </c>
      <c r="AC1384" s="3" t="str">
        <f>"77067"</f>
        <v>77067</v>
      </c>
      <c r="AD1384" t="s">
        <v>128</v>
      </c>
      <c r="AF1384" s="4">
        <v>12817752473</v>
      </c>
      <c r="AH1384" t="str">
        <f>"21311"</f>
        <v>21311</v>
      </c>
      <c r="AI1384" t="s">
        <v>130</v>
      </c>
      <c r="AJ1384" t="s">
        <v>3945</v>
      </c>
      <c r="AK1384" t="s">
        <v>3229</v>
      </c>
      <c r="AL1384" t="s">
        <v>3946</v>
      </c>
      <c r="AM1384" t="s">
        <v>3947</v>
      </c>
      <c r="AO1384" t="s">
        <v>885</v>
      </c>
      <c r="AP1384" t="s">
        <v>400</v>
      </c>
      <c r="AQ1384" s="5">
        <v>77043</v>
      </c>
      <c r="AR1384" t="s">
        <v>128</v>
      </c>
      <c r="AT1384" s="4">
        <v>14692909369</v>
      </c>
      <c r="AV1384" t="s">
        <v>3948</v>
      </c>
      <c r="AW1384" t="s">
        <v>367</v>
      </c>
      <c r="AX1384" t="s">
        <v>131</v>
      </c>
      <c r="AY1384" t="s">
        <v>131</v>
      </c>
      <c r="AZ1384" t="s">
        <v>131</v>
      </c>
      <c r="BA1384" t="s">
        <v>131</v>
      </c>
      <c r="BB1384" t="s">
        <v>131</v>
      </c>
      <c r="BC1384" t="s">
        <v>131</v>
      </c>
      <c r="BD1384" t="s">
        <v>131</v>
      </c>
      <c r="BE1384" t="s">
        <v>132</v>
      </c>
      <c r="BH1384" t="s">
        <v>3949</v>
      </c>
      <c r="BI1384" t="s">
        <v>131</v>
      </c>
      <c r="BL1384" t="s">
        <v>133</v>
      </c>
      <c r="BN1384" t="s">
        <v>3950</v>
      </c>
      <c r="BO1384" t="s">
        <v>131</v>
      </c>
      <c r="BP1384" t="s">
        <v>134</v>
      </c>
      <c r="BQ1384" t="s">
        <v>131</v>
      </c>
      <c r="BS1384" t="str">
        <f t="shared" si="90"/>
        <v>N/A</v>
      </c>
      <c r="BT1384" t="s">
        <v>135</v>
      </c>
      <c r="BU1384">
        <v>12</v>
      </c>
      <c r="BV1384" t="str">
        <f>"**Please see F.A.2**"</f>
        <v>**Please see F.A.2**</v>
      </c>
      <c r="BW1384" t="s">
        <v>131</v>
      </c>
      <c r="BX1384" t="str">
        <f>""</f>
        <v/>
      </c>
      <c r="BY1384" t="str">
        <f>""</f>
        <v/>
      </c>
      <c r="BZ1384" t="str">
        <f>""</f>
        <v/>
      </c>
      <c r="CA1384" t="str">
        <f>""</f>
        <v/>
      </c>
      <c r="CB1384" t="s">
        <v>131</v>
      </c>
      <c r="CF1384" t="s">
        <v>131</v>
      </c>
      <c r="CH1384" t="str">
        <f>""</f>
        <v/>
      </c>
      <c r="CI1384" t="s">
        <v>131</v>
      </c>
      <c r="CK1384" t="s">
        <v>131</v>
      </c>
      <c r="CL1384" t="str">
        <f>""</f>
        <v/>
      </c>
      <c r="CM1384" t="str">
        <f>""</f>
        <v/>
      </c>
      <c r="CN1384" t="str">
        <f>""</f>
        <v/>
      </c>
      <c r="CO1384" t="str">
        <f>""</f>
        <v/>
      </c>
      <c r="CP1384" t="str">
        <f>"17-2171.00"</f>
        <v>17-2171.00</v>
      </c>
      <c r="CQ1384" t="s">
        <v>3261</v>
      </c>
      <c r="CR1384" t="s">
        <v>3951</v>
      </c>
      <c r="CS1384" t="s">
        <v>135</v>
      </c>
      <c r="CT1384" t="s">
        <v>3952</v>
      </c>
      <c r="CU1384" t="s">
        <v>3953</v>
      </c>
      <c r="CW1384" t="s">
        <v>885</v>
      </c>
      <c r="CX1384" t="s">
        <v>400</v>
      </c>
      <c r="CZ1384" s="3" t="str">
        <f>"77067"</f>
        <v>77067</v>
      </c>
      <c r="DA1384" t="s">
        <v>131</v>
      </c>
      <c r="DB1384" t="str">
        <f>""</f>
        <v/>
      </c>
      <c r="DF1384" t="str">
        <f>""</f>
        <v/>
      </c>
    </row>
    <row r="1385" spans="1:110" ht="15" customHeight="1" x14ac:dyDescent="0.35">
      <c r="A1385" t="s">
        <v>15380</v>
      </c>
      <c r="B1385" t="s">
        <v>138</v>
      </c>
      <c r="C1385" s="1">
        <v>44327</v>
      </c>
      <c r="G1385" s="1">
        <v>44350</v>
      </c>
      <c r="H1385" t="s">
        <v>125</v>
      </c>
      <c r="I1385" t="s">
        <v>2807</v>
      </c>
      <c r="J1385" t="s">
        <v>2808</v>
      </c>
      <c r="L1385" t="s">
        <v>2771</v>
      </c>
      <c r="M1385" t="s">
        <v>2809</v>
      </c>
      <c r="N1385" t="s">
        <v>2810</v>
      </c>
      <c r="O1385" t="s">
        <v>1189</v>
      </c>
      <c r="P1385" t="s">
        <v>178</v>
      </c>
      <c r="Q1385" s="3">
        <v>95054</v>
      </c>
      <c r="R1385" t="s">
        <v>128</v>
      </c>
      <c r="T1385" s="4">
        <v>14082183109</v>
      </c>
      <c r="V1385" t="s">
        <v>2773</v>
      </c>
      <c r="W1385" t="s">
        <v>2811</v>
      </c>
      <c r="Y1385" t="s">
        <v>2772</v>
      </c>
      <c r="Z1385" t="s">
        <v>2556</v>
      </c>
      <c r="AA1385" t="s">
        <v>650</v>
      </c>
      <c r="AB1385" t="s">
        <v>172</v>
      </c>
      <c r="AC1385" s="3" t="str">
        <f>"95054"</f>
        <v>95054</v>
      </c>
      <c r="AD1385" t="s">
        <v>128</v>
      </c>
      <c r="AF1385" s="4">
        <v>14087485113</v>
      </c>
      <c r="AH1385" t="str">
        <f>"3344"</f>
        <v>3344</v>
      </c>
      <c r="AI1385" t="s">
        <v>130</v>
      </c>
      <c r="AJ1385" t="s">
        <v>8511</v>
      </c>
      <c r="AK1385" t="s">
        <v>15381</v>
      </c>
      <c r="AM1385" t="s">
        <v>2114</v>
      </c>
      <c r="AN1385" t="s">
        <v>1478</v>
      </c>
      <c r="AO1385" t="s">
        <v>220</v>
      </c>
      <c r="AP1385" t="s">
        <v>172</v>
      </c>
      <c r="AQ1385" s="5">
        <v>94105</v>
      </c>
      <c r="AR1385" t="s">
        <v>128</v>
      </c>
      <c r="AT1385" s="4">
        <v>14159759800</v>
      </c>
      <c r="AV1385" t="s">
        <v>2813</v>
      </c>
      <c r="AW1385" t="s">
        <v>2774</v>
      </c>
      <c r="AX1385" t="s">
        <v>131</v>
      </c>
      <c r="AY1385" t="s">
        <v>131</v>
      </c>
      <c r="AZ1385" t="s">
        <v>131</v>
      </c>
      <c r="BA1385" t="s">
        <v>131</v>
      </c>
      <c r="BB1385" t="s">
        <v>131</v>
      </c>
      <c r="BC1385" t="s">
        <v>131</v>
      </c>
      <c r="BD1385" t="s">
        <v>131</v>
      </c>
      <c r="BE1385" t="s">
        <v>132</v>
      </c>
      <c r="BH1385" t="s">
        <v>7075</v>
      </c>
      <c r="BI1385" t="s">
        <v>131</v>
      </c>
      <c r="BL1385" t="s">
        <v>133</v>
      </c>
      <c r="BN1385" t="s">
        <v>15382</v>
      </c>
      <c r="BO1385" t="s">
        <v>131</v>
      </c>
      <c r="BP1385" t="s">
        <v>134</v>
      </c>
      <c r="BQ1385" t="s">
        <v>131</v>
      </c>
      <c r="BS1385" t="str">
        <f t="shared" si="90"/>
        <v>N/A</v>
      </c>
      <c r="BT1385" t="s">
        <v>135</v>
      </c>
      <c r="BU1385">
        <v>48</v>
      </c>
      <c r="BV1385" t="str">
        <f>"Position offered or research experience in chemical field."</f>
        <v>Position offered or research experience in chemical field.</v>
      </c>
      <c r="BW1385" t="s">
        <v>135</v>
      </c>
      <c r="BX1385" t="str">
        <f>""</f>
        <v/>
      </c>
      <c r="BY1385" t="str">
        <f>""</f>
        <v/>
      </c>
      <c r="BZ1385" t="str">
        <f>""</f>
        <v/>
      </c>
      <c r="CA1385" s="2" t="s">
        <v>15383</v>
      </c>
      <c r="CB1385" t="s">
        <v>131</v>
      </c>
      <c r="CF1385" t="s">
        <v>131</v>
      </c>
      <c r="CH1385" t="str">
        <f>""</f>
        <v/>
      </c>
      <c r="CI1385" t="s">
        <v>131</v>
      </c>
      <c r="CK1385" t="s">
        <v>131</v>
      </c>
      <c r="CL1385" t="str">
        <f>""</f>
        <v/>
      </c>
      <c r="CM1385" t="str">
        <f>""</f>
        <v/>
      </c>
      <c r="CN1385" t="str">
        <f>""</f>
        <v/>
      </c>
      <c r="CO1385" t="str">
        <f>""</f>
        <v/>
      </c>
      <c r="CP1385" t="str">
        <f>"19-2031.00"</f>
        <v>19-2031.00</v>
      </c>
      <c r="CQ1385" t="s">
        <v>3516</v>
      </c>
      <c r="CR1385" t="s">
        <v>460</v>
      </c>
      <c r="CS1385" t="s">
        <v>131</v>
      </c>
      <c r="CU1385" t="s">
        <v>12451</v>
      </c>
      <c r="CW1385" t="s">
        <v>1506</v>
      </c>
      <c r="CX1385" t="s">
        <v>172</v>
      </c>
      <c r="CZ1385" s="3" t="str">
        <f>"94086"</f>
        <v>94086</v>
      </c>
      <c r="DA1385" t="s">
        <v>131</v>
      </c>
      <c r="DB1385" t="str">
        <f>""</f>
        <v/>
      </c>
      <c r="DF1385" t="str">
        <f>""</f>
        <v/>
      </c>
    </row>
    <row r="1386" spans="1:110" ht="15" customHeight="1" x14ac:dyDescent="0.35">
      <c r="A1386" t="s">
        <v>7692</v>
      </c>
      <c r="B1386" t="s">
        <v>138</v>
      </c>
      <c r="C1386" s="1">
        <v>44327</v>
      </c>
      <c r="G1386" s="1">
        <v>44328</v>
      </c>
      <c r="H1386" t="s">
        <v>125</v>
      </c>
      <c r="I1386" t="s">
        <v>2717</v>
      </c>
      <c r="J1386" t="s">
        <v>1487</v>
      </c>
      <c r="L1386" t="s">
        <v>2718</v>
      </c>
      <c r="M1386" t="s">
        <v>2719</v>
      </c>
      <c r="O1386" t="s">
        <v>664</v>
      </c>
      <c r="P1386" t="s">
        <v>178</v>
      </c>
      <c r="Q1386" s="3">
        <v>95110</v>
      </c>
      <c r="R1386" t="s">
        <v>128</v>
      </c>
      <c r="T1386" s="4">
        <v>14089150980</v>
      </c>
      <c r="V1386" t="s">
        <v>2720</v>
      </c>
      <c r="W1386" t="s">
        <v>2721</v>
      </c>
      <c r="Y1386" t="s">
        <v>2722</v>
      </c>
      <c r="AA1386" t="s">
        <v>664</v>
      </c>
      <c r="AB1386" t="s">
        <v>172</v>
      </c>
      <c r="AC1386" s="3" t="str">
        <f>"95110"</f>
        <v>95110</v>
      </c>
      <c r="AD1386" t="s">
        <v>128</v>
      </c>
      <c r="AF1386" s="4">
        <v>14085569040</v>
      </c>
      <c r="AH1386" t="str">
        <f>"51821"</f>
        <v>51821</v>
      </c>
      <c r="AI1386" t="s">
        <v>130</v>
      </c>
      <c r="AJ1386" t="s">
        <v>7693</v>
      </c>
      <c r="AK1386" t="s">
        <v>2723</v>
      </c>
      <c r="AL1386" t="s">
        <v>2724</v>
      </c>
      <c r="AM1386" t="s">
        <v>2725</v>
      </c>
      <c r="AN1386" t="s">
        <v>788</v>
      </c>
      <c r="AO1386" t="s">
        <v>220</v>
      </c>
      <c r="AP1386" t="s">
        <v>172</v>
      </c>
      <c r="AQ1386" s="5">
        <v>94133</v>
      </c>
      <c r="AR1386" t="s">
        <v>128</v>
      </c>
      <c r="AT1386" s="4">
        <v>14159864559</v>
      </c>
      <c r="AV1386" t="s">
        <v>2726</v>
      </c>
      <c r="AW1386" t="s">
        <v>2727</v>
      </c>
      <c r="AX1386" t="s">
        <v>131</v>
      </c>
      <c r="AY1386" t="s">
        <v>131</v>
      </c>
      <c r="AZ1386" t="s">
        <v>131</v>
      </c>
      <c r="BA1386" t="s">
        <v>131</v>
      </c>
      <c r="BB1386" t="s">
        <v>131</v>
      </c>
      <c r="BC1386" t="s">
        <v>131</v>
      </c>
      <c r="BD1386" t="s">
        <v>131</v>
      </c>
      <c r="BE1386" t="s">
        <v>132</v>
      </c>
      <c r="BH1386" t="s">
        <v>5168</v>
      </c>
      <c r="BI1386" t="s">
        <v>131</v>
      </c>
      <c r="BL1386" t="s">
        <v>188</v>
      </c>
      <c r="BN1386" t="s">
        <v>5169</v>
      </c>
      <c r="BO1386" t="s">
        <v>131</v>
      </c>
      <c r="BP1386" t="s">
        <v>134</v>
      </c>
      <c r="BQ1386" t="s">
        <v>131</v>
      </c>
      <c r="BS1386" t="str">
        <f t="shared" si="90"/>
        <v>N/A</v>
      </c>
      <c r="BT1386" t="s">
        <v>131</v>
      </c>
      <c r="BV1386" t="str">
        <f>""</f>
        <v/>
      </c>
      <c r="BW1386" t="s">
        <v>135</v>
      </c>
      <c r="BX1386" t="str">
        <f>""</f>
        <v/>
      </c>
      <c r="BY1386" t="str">
        <f>""</f>
        <v/>
      </c>
      <c r="BZ1386" t="str">
        <f>""</f>
        <v/>
      </c>
      <c r="CA1386" t="s">
        <v>5170</v>
      </c>
      <c r="CB1386" t="s">
        <v>135</v>
      </c>
      <c r="CC1386" t="s">
        <v>133</v>
      </c>
      <c r="CE1386" t="s">
        <v>7694</v>
      </c>
      <c r="CF1386" t="s">
        <v>131</v>
      </c>
      <c r="CH1386" t="str">
        <f>"N/A"</f>
        <v>N/A</v>
      </c>
      <c r="CI1386" t="s">
        <v>135</v>
      </c>
      <c r="CJ1386">
        <v>12</v>
      </c>
      <c r="CK1386" t="s">
        <v>131</v>
      </c>
      <c r="CL1386" t="str">
        <f>""</f>
        <v/>
      </c>
      <c r="CM1386" t="str">
        <f>""</f>
        <v/>
      </c>
      <c r="CN1386" t="str">
        <f>""</f>
        <v/>
      </c>
      <c r="CO1386" t="str">
        <f>""</f>
        <v/>
      </c>
      <c r="CP1386" t="str">
        <f>"15-2031.00"</f>
        <v>15-2031.00</v>
      </c>
      <c r="CQ1386" t="s">
        <v>887</v>
      </c>
      <c r="CS1386" t="s">
        <v>131</v>
      </c>
      <c r="CU1386" t="s">
        <v>5172</v>
      </c>
      <c r="CV1386" t="s">
        <v>2489</v>
      </c>
      <c r="CW1386" t="s">
        <v>494</v>
      </c>
      <c r="CX1386" t="s">
        <v>129</v>
      </c>
      <c r="CZ1386" s="3" t="str">
        <f>"10036"</f>
        <v>10036</v>
      </c>
      <c r="DA1386" t="s">
        <v>131</v>
      </c>
      <c r="DB1386" t="str">
        <f>""</f>
        <v/>
      </c>
      <c r="DF1386" t="str">
        <f>""</f>
        <v/>
      </c>
    </row>
    <row r="1387" spans="1:110" ht="15" customHeight="1" x14ac:dyDescent="0.35">
      <c r="A1387" t="s">
        <v>3747</v>
      </c>
      <c r="B1387" t="s">
        <v>138</v>
      </c>
      <c r="C1387" s="1">
        <v>44327</v>
      </c>
      <c r="G1387" s="1">
        <v>44360</v>
      </c>
      <c r="H1387" t="s">
        <v>125</v>
      </c>
      <c r="I1387" t="s">
        <v>3748</v>
      </c>
      <c r="J1387" t="s">
        <v>3749</v>
      </c>
      <c r="L1387" t="s">
        <v>3750</v>
      </c>
      <c r="M1387" t="s">
        <v>3751</v>
      </c>
      <c r="O1387" t="s">
        <v>3752</v>
      </c>
      <c r="P1387" t="s">
        <v>178</v>
      </c>
      <c r="Q1387" s="3">
        <v>90621</v>
      </c>
      <c r="R1387" t="s">
        <v>128</v>
      </c>
      <c r="T1387" s="4">
        <v>17149943377</v>
      </c>
      <c r="V1387" t="s">
        <v>3753</v>
      </c>
      <c r="W1387" t="s">
        <v>3754</v>
      </c>
      <c r="Y1387" t="s">
        <v>3751</v>
      </c>
      <c r="AA1387" t="s">
        <v>3752</v>
      </c>
      <c r="AB1387" t="s">
        <v>172</v>
      </c>
      <c r="AC1387" s="3" t="str">
        <f>"90621"</f>
        <v>90621</v>
      </c>
      <c r="AD1387" t="s">
        <v>128</v>
      </c>
      <c r="AF1387" s="4">
        <v>17149943388</v>
      </c>
      <c r="AH1387" t="str">
        <f>"531210"</f>
        <v>531210</v>
      </c>
      <c r="AI1387" t="s">
        <v>130</v>
      </c>
      <c r="AJ1387" t="s">
        <v>2821</v>
      </c>
      <c r="AK1387" t="s">
        <v>3755</v>
      </c>
      <c r="AM1387" t="s">
        <v>3756</v>
      </c>
      <c r="AN1387">
        <v>308</v>
      </c>
      <c r="AO1387" t="s">
        <v>3757</v>
      </c>
      <c r="AP1387" t="s">
        <v>172</v>
      </c>
      <c r="AQ1387" s="5">
        <v>90010</v>
      </c>
      <c r="AR1387" t="s">
        <v>128</v>
      </c>
      <c r="AT1387" s="4">
        <v>12139059191</v>
      </c>
      <c r="AV1387" t="s">
        <v>3758</v>
      </c>
      <c r="AW1387" t="s">
        <v>3759</v>
      </c>
      <c r="AX1387" t="s">
        <v>131</v>
      </c>
      <c r="AY1387" t="s">
        <v>131</v>
      </c>
      <c r="AZ1387" t="s">
        <v>131</v>
      </c>
      <c r="BA1387" t="s">
        <v>131</v>
      </c>
      <c r="BB1387" t="s">
        <v>131</v>
      </c>
      <c r="BC1387" t="s">
        <v>131</v>
      </c>
      <c r="BD1387" t="s">
        <v>131</v>
      </c>
      <c r="BE1387" t="s">
        <v>132</v>
      </c>
      <c r="BH1387" t="s">
        <v>3760</v>
      </c>
      <c r="BI1387" t="s">
        <v>135</v>
      </c>
      <c r="BJ1387" t="s">
        <v>3761</v>
      </c>
      <c r="BK1387" t="s">
        <v>1783</v>
      </c>
      <c r="BL1387" t="s">
        <v>133</v>
      </c>
      <c r="BN1387" t="s">
        <v>3762</v>
      </c>
      <c r="BO1387" t="s">
        <v>131</v>
      </c>
      <c r="BP1387" t="s">
        <v>134</v>
      </c>
      <c r="BQ1387" t="s">
        <v>131</v>
      </c>
      <c r="BS1387" t="str">
        <f t="shared" si="90"/>
        <v>N/A</v>
      </c>
      <c r="BT1387" t="s">
        <v>131</v>
      </c>
      <c r="BV1387" t="str">
        <f>""</f>
        <v/>
      </c>
      <c r="BW1387" t="s">
        <v>131</v>
      </c>
      <c r="BX1387" t="str">
        <f>""</f>
        <v/>
      </c>
      <c r="BY1387" t="str">
        <f>""</f>
        <v/>
      </c>
      <c r="BZ1387" t="str">
        <f>""</f>
        <v/>
      </c>
      <c r="CA1387" t="str">
        <f>""</f>
        <v/>
      </c>
      <c r="CB1387" t="s">
        <v>131</v>
      </c>
      <c r="CF1387" t="s">
        <v>131</v>
      </c>
      <c r="CH1387" t="str">
        <f>""</f>
        <v/>
      </c>
      <c r="CI1387" t="s">
        <v>131</v>
      </c>
      <c r="CK1387" t="s">
        <v>131</v>
      </c>
      <c r="CL1387" t="str">
        <f>""</f>
        <v/>
      </c>
      <c r="CM1387" t="str">
        <f>""</f>
        <v/>
      </c>
      <c r="CN1387" t="str">
        <f>""</f>
        <v/>
      </c>
      <c r="CO1387" t="str">
        <f>""</f>
        <v/>
      </c>
      <c r="CP1387" t="str">
        <f>"13-2011.01"</f>
        <v>13-2011.01</v>
      </c>
      <c r="CQ1387" t="s">
        <v>1796</v>
      </c>
      <c r="CR1387" t="s">
        <v>3278</v>
      </c>
      <c r="CS1387" t="s">
        <v>131</v>
      </c>
      <c r="CU1387" t="s">
        <v>3763</v>
      </c>
      <c r="CV1387" t="s">
        <v>2293</v>
      </c>
      <c r="CW1387" t="s">
        <v>1663</v>
      </c>
      <c r="CX1387" t="s">
        <v>172</v>
      </c>
      <c r="CZ1387" s="3" t="str">
        <f>"90005"</f>
        <v>90005</v>
      </c>
      <c r="DA1387" t="s">
        <v>131</v>
      </c>
      <c r="DB1387" t="str">
        <f>""</f>
        <v/>
      </c>
      <c r="DF1387" t="str">
        <f>""</f>
        <v/>
      </c>
    </row>
    <row r="1388" spans="1:110" ht="15" customHeight="1" x14ac:dyDescent="0.35">
      <c r="A1388" t="s">
        <v>16458</v>
      </c>
      <c r="B1388" t="s">
        <v>138</v>
      </c>
      <c r="C1388" s="1">
        <v>44328</v>
      </c>
      <c r="G1388" s="1">
        <v>44334</v>
      </c>
      <c r="H1388" t="s">
        <v>125</v>
      </c>
      <c r="I1388" t="s">
        <v>3311</v>
      </c>
      <c r="J1388" t="s">
        <v>3312</v>
      </c>
      <c r="L1388" t="s">
        <v>3313</v>
      </c>
      <c r="M1388" t="s">
        <v>3314</v>
      </c>
      <c r="O1388" t="s">
        <v>3315</v>
      </c>
      <c r="P1388" t="s">
        <v>178</v>
      </c>
      <c r="Q1388" s="3">
        <v>94066</v>
      </c>
      <c r="R1388" t="s">
        <v>128</v>
      </c>
      <c r="T1388" s="4">
        <v>16508375000</v>
      </c>
      <c r="V1388" t="s">
        <v>3316</v>
      </c>
      <c r="W1388" t="s">
        <v>1832</v>
      </c>
      <c r="Y1388" t="s">
        <v>1833</v>
      </c>
      <c r="Z1388" t="s">
        <v>1834</v>
      </c>
      <c r="AA1388" t="s">
        <v>1835</v>
      </c>
      <c r="AB1388" t="s">
        <v>397</v>
      </c>
      <c r="AC1388" s="3" t="str">
        <f>"72716"</f>
        <v>72716</v>
      </c>
      <c r="AD1388" t="s">
        <v>128</v>
      </c>
      <c r="AF1388" s="4">
        <v>14792731993</v>
      </c>
      <c r="AH1388" t="str">
        <f>"452210"</f>
        <v>452210</v>
      </c>
      <c r="AI1388" t="s">
        <v>130</v>
      </c>
      <c r="AJ1388" t="s">
        <v>3478</v>
      </c>
      <c r="AK1388" t="s">
        <v>789</v>
      </c>
      <c r="AM1388" t="s">
        <v>1838</v>
      </c>
      <c r="AN1388" t="s">
        <v>517</v>
      </c>
      <c r="AO1388" t="s">
        <v>129</v>
      </c>
      <c r="AP1388" t="s">
        <v>129</v>
      </c>
      <c r="AQ1388" s="5">
        <v>10018</v>
      </c>
      <c r="AR1388" t="s">
        <v>128</v>
      </c>
      <c r="AT1388" s="4">
        <v>12126888555</v>
      </c>
      <c r="AV1388" t="s">
        <v>3479</v>
      </c>
      <c r="AW1388" t="s">
        <v>1840</v>
      </c>
      <c r="AX1388" t="s">
        <v>131</v>
      </c>
      <c r="AY1388" t="s">
        <v>131</v>
      </c>
      <c r="AZ1388" t="s">
        <v>131</v>
      </c>
      <c r="BA1388" t="s">
        <v>131</v>
      </c>
      <c r="BB1388" t="s">
        <v>131</v>
      </c>
      <c r="BC1388" t="s">
        <v>131</v>
      </c>
      <c r="BD1388" t="s">
        <v>131</v>
      </c>
      <c r="BE1388" t="s">
        <v>132</v>
      </c>
      <c r="BH1388" t="s">
        <v>1501</v>
      </c>
      <c r="BI1388" t="s">
        <v>131</v>
      </c>
      <c r="BL1388" t="s">
        <v>133</v>
      </c>
      <c r="BN1388" t="s">
        <v>16459</v>
      </c>
      <c r="BO1388" t="s">
        <v>131</v>
      </c>
      <c r="BP1388" t="s">
        <v>134</v>
      </c>
      <c r="BQ1388" t="s">
        <v>131</v>
      </c>
      <c r="BS1388" t="str">
        <f t="shared" si="90"/>
        <v>N/A</v>
      </c>
      <c r="BT1388" t="s">
        <v>135</v>
      </c>
      <c r="BU1388">
        <v>60</v>
      </c>
      <c r="BV1388" t="str">
        <f>"Experience in large scale enterprise software development environment"</f>
        <v>Experience in large scale enterprise software development environment</v>
      </c>
      <c r="BW1388" t="s">
        <v>135</v>
      </c>
      <c r="BX1388" t="str">
        <f>""</f>
        <v/>
      </c>
      <c r="BY1388" t="str">
        <f>""</f>
        <v/>
      </c>
      <c r="BZ1388" t="str">
        <f>""</f>
        <v/>
      </c>
      <c r="CA1388" t="s">
        <v>16460</v>
      </c>
      <c r="CB1388" t="s">
        <v>135</v>
      </c>
      <c r="CC1388" t="s">
        <v>188</v>
      </c>
      <c r="CE1388" t="s">
        <v>16461</v>
      </c>
      <c r="CF1388" t="s">
        <v>131</v>
      </c>
      <c r="CH1388" t="str">
        <f>"N/A"</f>
        <v>N/A</v>
      </c>
      <c r="CI1388" t="s">
        <v>135</v>
      </c>
      <c r="CJ1388">
        <v>24</v>
      </c>
      <c r="CK1388" t="s">
        <v>135</v>
      </c>
      <c r="CL1388" t="str">
        <f>""</f>
        <v/>
      </c>
      <c r="CM1388" t="str">
        <f>""</f>
        <v/>
      </c>
      <c r="CN1388" t="str">
        <f>""</f>
        <v/>
      </c>
      <c r="CO1388" t="s">
        <v>16460</v>
      </c>
      <c r="CP1388" t="str">
        <f>"15-1132.00"</f>
        <v>15-1132.00</v>
      </c>
      <c r="CQ1388" t="s">
        <v>198</v>
      </c>
      <c r="CR1388" t="s">
        <v>4416</v>
      </c>
      <c r="CS1388" t="s">
        <v>131</v>
      </c>
      <c r="CU1388" t="s">
        <v>7111</v>
      </c>
      <c r="CW1388" t="s">
        <v>1506</v>
      </c>
      <c r="CX1388" t="s">
        <v>172</v>
      </c>
      <c r="CZ1388" s="3" t="str">
        <f>"94086"</f>
        <v>94086</v>
      </c>
      <c r="DA1388" t="s">
        <v>131</v>
      </c>
      <c r="DB1388" t="str">
        <f>""</f>
        <v/>
      </c>
      <c r="DF1388" t="str">
        <f>""</f>
        <v/>
      </c>
    </row>
    <row r="1389" spans="1:110" ht="15" customHeight="1" x14ac:dyDescent="0.35">
      <c r="A1389" t="s">
        <v>14181</v>
      </c>
      <c r="B1389" t="s">
        <v>138</v>
      </c>
      <c r="C1389" s="1">
        <v>44328</v>
      </c>
      <c r="G1389" s="1">
        <v>44375</v>
      </c>
      <c r="H1389" t="s">
        <v>125</v>
      </c>
      <c r="I1389" t="s">
        <v>5640</v>
      </c>
      <c r="J1389" t="s">
        <v>5641</v>
      </c>
      <c r="L1389" t="s">
        <v>5642</v>
      </c>
      <c r="M1389" t="s">
        <v>5643</v>
      </c>
      <c r="N1389" t="s">
        <v>4943</v>
      </c>
      <c r="O1389" t="s">
        <v>149</v>
      </c>
      <c r="P1389" t="s">
        <v>3393</v>
      </c>
      <c r="Q1389" s="3">
        <v>20007</v>
      </c>
      <c r="R1389" t="s">
        <v>128</v>
      </c>
      <c r="T1389" s="4">
        <v>12024697710</v>
      </c>
      <c r="V1389" t="s">
        <v>5644</v>
      </c>
      <c r="W1389" t="s">
        <v>5645</v>
      </c>
      <c r="Y1389" t="s">
        <v>5643</v>
      </c>
      <c r="Z1389" t="s">
        <v>4943</v>
      </c>
      <c r="AA1389" t="s">
        <v>149</v>
      </c>
      <c r="AB1389" t="s">
        <v>595</v>
      </c>
      <c r="AC1389" s="3" t="str">
        <f>"20007"</f>
        <v>20007</v>
      </c>
      <c r="AD1389" t="s">
        <v>128</v>
      </c>
      <c r="AF1389" s="4">
        <v>12024697710</v>
      </c>
      <c r="AH1389" t="str">
        <f>"62199"</f>
        <v>62199</v>
      </c>
      <c r="AI1389" t="s">
        <v>130</v>
      </c>
      <c r="AJ1389" t="s">
        <v>1572</v>
      </c>
      <c r="AK1389" t="s">
        <v>1573</v>
      </c>
      <c r="AL1389" t="s">
        <v>14182</v>
      </c>
      <c r="AM1389" t="s">
        <v>1574</v>
      </c>
      <c r="AN1389" t="s">
        <v>1575</v>
      </c>
      <c r="AO1389" t="s">
        <v>944</v>
      </c>
      <c r="AP1389" t="s">
        <v>172</v>
      </c>
      <c r="AQ1389" s="5">
        <v>94111</v>
      </c>
      <c r="AR1389" t="s">
        <v>128</v>
      </c>
      <c r="AT1389" s="4">
        <v>14159861446</v>
      </c>
      <c r="AV1389" t="s">
        <v>2151</v>
      </c>
      <c r="AW1389" t="s">
        <v>517</v>
      </c>
      <c r="AX1389" t="s">
        <v>131</v>
      </c>
      <c r="AY1389" t="s">
        <v>131</v>
      </c>
      <c r="AZ1389" t="s">
        <v>131</v>
      </c>
      <c r="BA1389" t="s">
        <v>131</v>
      </c>
      <c r="BB1389" t="s">
        <v>131</v>
      </c>
      <c r="BC1389" t="s">
        <v>131</v>
      </c>
      <c r="BD1389" t="s">
        <v>131</v>
      </c>
      <c r="BE1389" t="s">
        <v>132</v>
      </c>
      <c r="BH1389" t="s">
        <v>1501</v>
      </c>
      <c r="BI1389" t="s">
        <v>131</v>
      </c>
      <c r="BL1389" t="s">
        <v>133</v>
      </c>
      <c r="BN1389" t="s">
        <v>1878</v>
      </c>
      <c r="BO1389" t="s">
        <v>131</v>
      </c>
      <c r="BP1389" t="s">
        <v>134</v>
      </c>
      <c r="BQ1389" t="s">
        <v>131</v>
      </c>
      <c r="BS1389" t="str">
        <f t="shared" si="90"/>
        <v>N/A</v>
      </c>
      <c r="BT1389" t="s">
        <v>135</v>
      </c>
      <c r="BU1389">
        <v>48</v>
      </c>
      <c r="BV1389" t="str">
        <f>"Please see F.a.2."</f>
        <v>Please see F.a.2.</v>
      </c>
      <c r="BW1389" t="s">
        <v>135</v>
      </c>
      <c r="BX1389" t="str">
        <f>""</f>
        <v/>
      </c>
      <c r="BY1389" t="str">
        <f>""</f>
        <v/>
      </c>
      <c r="BZ1389" t="str">
        <f>""</f>
        <v/>
      </c>
      <c r="CA1389" t="str">
        <f>"Please see F.a.2."</f>
        <v>Please see F.a.2.</v>
      </c>
      <c r="CB1389" t="s">
        <v>131</v>
      </c>
      <c r="CF1389" t="s">
        <v>131</v>
      </c>
      <c r="CH1389" t="str">
        <f>""</f>
        <v/>
      </c>
      <c r="CI1389" t="s">
        <v>131</v>
      </c>
      <c r="CK1389" t="s">
        <v>131</v>
      </c>
      <c r="CL1389" t="str">
        <f>""</f>
        <v/>
      </c>
      <c r="CM1389" t="str">
        <f>""</f>
        <v/>
      </c>
      <c r="CN1389" t="str">
        <f>""</f>
        <v/>
      </c>
      <c r="CO1389" t="str">
        <f>""</f>
        <v/>
      </c>
      <c r="CP1389" t="str">
        <f>"15-1133.00"</f>
        <v>15-1133.00</v>
      </c>
      <c r="CQ1389" t="s">
        <v>648</v>
      </c>
      <c r="CR1389" t="s">
        <v>136</v>
      </c>
      <c r="CS1389" t="s">
        <v>131</v>
      </c>
      <c r="CU1389" t="s">
        <v>5646</v>
      </c>
      <c r="CV1389" t="s">
        <v>2744</v>
      </c>
      <c r="CW1389" t="s">
        <v>220</v>
      </c>
      <c r="CX1389" t="s">
        <v>172</v>
      </c>
      <c r="CZ1389" s="3" t="str">
        <f>"94105"</f>
        <v>94105</v>
      </c>
      <c r="DA1389" t="s">
        <v>131</v>
      </c>
      <c r="DB1389" t="str">
        <f>""</f>
        <v/>
      </c>
      <c r="DF1389" t="str">
        <f>""</f>
        <v/>
      </c>
    </row>
    <row r="1390" spans="1:110" ht="15" customHeight="1" x14ac:dyDescent="0.35">
      <c r="A1390" t="s">
        <v>7029</v>
      </c>
      <c r="B1390" t="s">
        <v>138</v>
      </c>
      <c r="C1390" s="1">
        <v>44328</v>
      </c>
      <c r="G1390" s="1">
        <v>44329</v>
      </c>
      <c r="H1390" t="s">
        <v>125</v>
      </c>
      <c r="I1390" t="s">
        <v>7030</v>
      </c>
      <c r="J1390" t="s">
        <v>7031</v>
      </c>
      <c r="K1390" t="s">
        <v>655</v>
      </c>
      <c r="L1390" t="s">
        <v>4433</v>
      </c>
      <c r="M1390" t="s">
        <v>3697</v>
      </c>
      <c r="O1390" t="s">
        <v>1069</v>
      </c>
      <c r="P1390" t="s">
        <v>412</v>
      </c>
      <c r="Q1390" s="3">
        <v>75038</v>
      </c>
      <c r="R1390" t="s">
        <v>128</v>
      </c>
      <c r="T1390" s="4">
        <v>19724576174</v>
      </c>
      <c r="V1390" t="s">
        <v>7032</v>
      </c>
      <c r="W1390" t="s">
        <v>3698</v>
      </c>
      <c r="Y1390" t="s">
        <v>3700</v>
      </c>
      <c r="AA1390" t="s">
        <v>129</v>
      </c>
      <c r="AB1390" t="s">
        <v>129</v>
      </c>
      <c r="AC1390" s="3" t="str">
        <f>"10036"</f>
        <v>10036</v>
      </c>
      <c r="AD1390" t="s">
        <v>128</v>
      </c>
      <c r="AF1390" s="4">
        <v>19724577132</v>
      </c>
      <c r="AH1390" t="str">
        <f>"51791"</f>
        <v>51791</v>
      </c>
      <c r="AI1390" t="s">
        <v>130</v>
      </c>
      <c r="AJ1390" t="s">
        <v>3229</v>
      </c>
      <c r="AK1390" t="s">
        <v>5912</v>
      </c>
      <c r="AL1390" t="s">
        <v>795</v>
      </c>
      <c r="AM1390" t="s">
        <v>2020</v>
      </c>
      <c r="AN1390" t="s">
        <v>3701</v>
      </c>
      <c r="AO1390" t="s">
        <v>2022</v>
      </c>
      <c r="AP1390" t="s">
        <v>400</v>
      </c>
      <c r="AQ1390" s="5">
        <v>75001</v>
      </c>
      <c r="AR1390" t="s">
        <v>128</v>
      </c>
      <c r="AT1390" s="4">
        <v>14697910370</v>
      </c>
      <c r="AV1390" t="s">
        <v>5913</v>
      </c>
      <c r="AW1390" t="s">
        <v>386</v>
      </c>
      <c r="AX1390" t="s">
        <v>131</v>
      </c>
      <c r="AY1390" t="s">
        <v>131</v>
      </c>
      <c r="AZ1390" t="s">
        <v>131</v>
      </c>
      <c r="BA1390" t="s">
        <v>131</v>
      </c>
      <c r="BB1390" t="s">
        <v>131</v>
      </c>
      <c r="BC1390" t="s">
        <v>131</v>
      </c>
      <c r="BD1390" t="s">
        <v>131</v>
      </c>
      <c r="BE1390" t="s">
        <v>498</v>
      </c>
      <c r="BH1390" t="s">
        <v>7033</v>
      </c>
      <c r="BI1390" t="s">
        <v>131</v>
      </c>
      <c r="BL1390" t="s">
        <v>133</v>
      </c>
      <c r="BN1390" t="s">
        <v>1878</v>
      </c>
      <c r="BO1390" t="s">
        <v>131</v>
      </c>
      <c r="BP1390" t="s">
        <v>134</v>
      </c>
      <c r="BQ1390" t="s">
        <v>131</v>
      </c>
      <c r="BS1390" t="str">
        <f t="shared" si="90"/>
        <v>N/A</v>
      </c>
      <c r="BT1390" t="s">
        <v>135</v>
      </c>
      <c r="BU1390">
        <v>60</v>
      </c>
      <c r="BV1390" t="str">
        <f>"Please see F.a.2."</f>
        <v>Please see F.a.2.</v>
      </c>
      <c r="BW1390" t="s">
        <v>131</v>
      </c>
      <c r="BX1390" t="str">
        <f>""</f>
        <v/>
      </c>
      <c r="BY1390" t="str">
        <f>""</f>
        <v/>
      </c>
      <c r="BZ1390" t="str">
        <f>""</f>
        <v/>
      </c>
      <c r="CA1390" t="str">
        <f>""</f>
        <v/>
      </c>
      <c r="CB1390" t="s">
        <v>131</v>
      </c>
      <c r="CF1390" t="s">
        <v>131</v>
      </c>
      <c r="CH1390" t="str">
        <f>""</f>
        <v/>
      </c>
      <c r="CI1390" t="s">
        <v>131</v>
      </c>
      <c r="CK1390" t="s">
        <v>131</v>
      </c>
      <c r="CL1390" t="str">
        <f>""</f>
        <v/>
      </c>
      <c r="CM1390" t="str">
        <f>""</f>
        <v/>
      </c>
      <c r="CN1390" t="str">
        <f>""</f>
        <v/>
      </c>
      <c r="CO1390" t="str">
        <f>""</f>
        <v/>
      </c>
      <c r="CP1390" t="str">
        <f>"15-1121.00"</f>
        <v>15-1121.00</v>
      </c>
      <c r="CQ1390" t="s">
        <v>283</v>
      </c>
      <c r="CR1390" t="s">
        <v>460</v>
      </c>
      <c r="CS1390" t="s">
        <v>131</v>
      </c>
      <c r="CU1390" t="s">
        <v>7034</v>
      </c>
      <c r="CW1390" t="s">
        <v>7035</v>
      </c>
      <c r="CX1390" t="s">
        <v>276</v>
      </c>
      <c r="CZ1390" s="3" t="str">
        <f>"07920"</f>
        <v>07920</v>
      </c>
      <c r="DA1390" t="s">
        <v>135</v>
      </c>
      <c r="DB1390" t="str">
        <f>""</f>
        <v/>
      </c>
      <c r="DF1390" t="str">
        <f>""</f>
        <v/>
      </c>
    </row>
    <row r="1391" spans="1:110" ht="15" customHeight="1" x14ac:dyDescent="0.35">
      <c r="A1391" t="s">
        <v>15898</v>
      </c>
      <c r="B1391" t="s">
        <v>138</v>
      </c>
      <c r="C1391" s="1">
        <v>44328</v>
      </c>
      <c r="G1391" s="1">
        <v>44333</v>
      </c>
      <c r="H1391" t="s">
        <v>125</v>
      </c>
      <c r="I1391" t="s">
        <v>6319</v>
      </c>
      <c r="J1391" t="s">
        <v>6320</v>
      </c>
      <c r="L1391" t="s">
        <v>11534</v>
      </c>
      <c r="M1391" t="s">
        <v>6321</v>
      </c>
      <c r="N1391" t="s">
        <v>6322</v>
      </c>
      <c r="O1391" t="s">
        <v>376</v>
      </c>
      <c r="P1391" t="s">
        <v>720</v>
      </c>
      <c r="Q1391" s="3">
        <v>2109</v>
      </c>
      <c r="R1391" t="s">
        <v>128</v>
      </c>
      <c r="T1391" s="4">
        <v>16505676934</v>
      </c>
      <c r="V1391" t="s">
        <v>6323</v>
      </c>
      <c r="W1391" t="s">
        <v>6324</v>
      </c>
      <c r="Y1391" t="s">
        <v>6321</v>
      </c>
      <c r="Z1391" t="s">
        <v>376</v>
      </c>
      <c r="AA1391" t="s">
        <v>376</v>
      </c>
      <c r="AB1391" t="s">
        <v>377</v>
      </c>
      <c r="AC1391" s="3" t="str">
        <f>"02109"</f>
        <v>02109</v>
      </c>
      <c r="AD1391" t="s">
        <v>128</v>
      </c>
      <c r="AF1391" s="4">
        <v>16505676934</v>
      </c>
      <c r="AH1391" t="str">
        <f>"325412"</f>
        <v>325412</v>
      </c>
      <c r="AI1391" t="s">
        <v>130</v>
      </c>
      <c r="AJ1391" t="s">
        <v>1541</v>
      </c>
      <c r="AK1391" t="s">
        <v>1542</v>
      </c>
      <c r="AL1391" t="s">
        <v>840</v>
      </c>
      <c r="AM1391" t="s">
        <v>973</v>
      </c>
      <c r="AN1391" t="s">
        <v>974</v>
      </c>
      <c r="AO1391" t="s">
        <v>975</v>
      </c>
      <c r="AP1391" t="s">
        <v>594</v>
      </c>
      <c r="AQ1391" s="5">
        <v>27615</v>
      </c>
      <c r="AR1391" t="s">
        <v>128</v>
      </c>
      <c r="AT1391" s="4">
        <v>19197879700</v>
      </c>
      <c r="AV1391" t="s">
        <v>6326</v>
      </c>
      <c r="AW1391" t="s">
        <v>976</v>
      </c>
      <c r="AX1391" t="s">
        <v>131</v>
      </c>
      <c r="AY1391" t="s">
        <v>131</v>
      </c>
      <c r="AZ1391" t="s">
        <v>131</v>
      </c>
      <c r="BA1391" t="s">
        <v>131</v>
      </c>
      <c r="BB1391" t="s">
        <v>131</v>
      </c>
      <c r="BC1391" t="s">
        <v>131</v>
      </c>
      <c r="BD1391" t="s">
        <v>131</v>
      </c>
      <c r="BE1391" t="s">
        <v>132</v>
      </c>
      <c r="BH1391" t="s">
        <v>6327</v>
      </c>
      <c r="BI1391" t="s">
        <v>131</v>
      </c>
      <c r="BL1391" t="s">
        <v>133</v>
      </c>
      <c r="BN1391" t="s">
        <v>6328</v>
      </c>
      <c r="BO1391" t="s">
        <v>131</v>
      </c>
      <c r="BP1391" t="s">
        <v>134</v>
      </c>
      <c r="BQ1391" t="s">
        <v>131</v>
      </c>
      <c r="BS1391" t="str">
        <f t="shared" si="90"/>
        <v>N/A</v>
      </c>
      <c r="BT1391" t="s">
        <v>135</v>
      </c>
      <c r="BU1391">
        <v>60</v>
      </c>
      <c r="BV1391" t="str">
        <f>"In the job offered or related occupation"</f>
        <v>In the job offered or related occupation</v>
      </c>
      <c r="BW1391" t="s">
        <v>135</v>
      </c>
      <c r="BX1391" t="str">
        <f>""</f>
        <v/>
      </c>
      <c r="BY1391" t="str">
        <f>""</f>
        <v/>
      </c>
      <c r="BZ1391" t="str">
        <f>""</f>
        <v/>
      </c>
      <c r="CA1391" t="s">
        <v>15899</v>
      </c>
      <c r="CB1391" t="s">
        <v>131</v>
      </c>
      <c r="CF1391" t="s">
        <v>131</v>
      </c>
      <c r="CH1391" t="str">
        <f>""</f>
        <v/>
      </c>
      <c r="CI1391" t="s">
        <v>131</v>
      </c>
      <c r="CK1391" t="s">
        <v>131</v>
      </c>
      <c r="CL1391" t="str">
        <f>""</f>
        <v/>
      </c>
      <c r="CM1391" t="str">
        <f>""</f>
        <v/>
      </c>
      <c r="CN1391" t="str">
        <f>""</f>
        <v/>
      </c>
      <c r="CO1391" t="str">
        <f>""</f>
        <v/>
      </c>
      <c r="CP1391" t="str">
        <f>"15-1199.09"</f>
        <v>15-1199.09</v>
      </c>
      <c r="CQ1391" t="s">
        <v>697</v>
      </c>
      <c r="CR1391" t="s">
        <v>6329</v>
      </c>
      <c r="CS1391" t="s">
        <v>131</v>
      </c>
      <c r="CU1391" t="s">
        <v>7061</v>
      </c>
      <c r="CW1391" t="s">
        <v>220</v>
      </c>
      <c r="CX1391" t="s">
        <v>172</v>
      </c>
      <c r="CZ1391" s="3" t="str">
        <f>"94105"</f>
        <v>94105</v>
      </c>
      <c r="DA1391" t="s">
        <v>131</v>
      </c>
      <c r="DB1391" t="str">
        <f>""</f>
        <v/>
      </c>
      <c r="DF1391" t="str">
        <f>""</f>
        <v/>
      </c>
    </row>
    <row r="1392" spans="1:110" ht="15" customHeight="1" x14ac:dyDescent="0.35">
      <c r="A1392" t="s">
        <v>15419</v>
      </c>
      <c r="B1392" t="s">
        <v>138</v>
      </c>
      <c r="C1392" s="1">
        <v>44328</v>
      </c>
      <c r="G1392" s="1">
        <v>44333</v>
      </c>
      <c r="H1392" t="s">
        <v>125</v>
      </c>
      <c r="I1392" t="s">
        <v>11227</v>
      </c>
      <c r="J1392" t="s">
        <v>6320</v>
      </c>
      <c r="L1392" t="s">
        <v>1810</v>
      </c>
      <c r="M1392" t="s">
        <v>6321</v>
      </c>
      <c r="N1392" t="s">
        <v>6322</v>
      </c>
      <c r="O1392" t="s">
        <v>376</v>
      </c>
      <c r="P1392" t="s">
        <v>720</v>
      </c>
      <c r="Q1392" s="3">
        <v>2109</v>
      </c>
      <c r="R1392" t="s">
        <v>128</v>
      </c>
      <c r="T1392" s="4">
        <v>16505676934</v>
      </c>
      <c r="V1392" t="s">
        <v>6323</v>
      </c>
      <c r="W1392" t="s">
        <v>6324</v>
      </c>
      <c r="Y1392" t="s">
        <v>6325</v>
      </c>
      <c r="AA1392" t="s">
        <v>376</v>
      </c>
      <c r="AB1392" t="s">
        <v>377</v>
      </c>
      <c r="AC1392" s="3" t="str">
        <f>"02109"</f>
        <v>02109</v>
      </c>
      <c r="AD1392" t="s">
        <v>128</v>
      </c>
      <c r="AF1392" s="4">
        <v>16505676934</v>
      </c>
      <c r="AH1392" t="str">
        <f>"325412"</f>
        <v>325412</v>
      </c>
      <c r="AI1392" t="s">
        <v>130</v>
      </c>
      <c r="AJ1392" t="s">
        <v>1541</v>
      </c>
      <c r="AK1392" t="s">
        <v>1542</v>
      </c>
      <c r="AL1392" t="s">
        <v>840</v>
      </c>
      <c r="AM1392" t="s">
        <v>973</v>
      </c>
      <c r="AN1392" t="s">
        <v>974</v>
      </c>
      <c r="AO1392" t="s">
        <v>975</v>
      </c>
      <c r="AP1392" t="s">
        <v>594</v>
      </c>
      <c r="AQ1392" s="5">
        <v>27615</v>
      </c>
      <c r="AR1392" t="s">
        <v>128</v>
      </c>
      <c r="AT1392" s="4">
        <v>19197879700</v>
      </c>
      <c r="AV1392" t="s">
        <v>6326</v>
      </c>
      <c r="AW1392" t="s">
        <v>6495</v>
      </c>
      <c r="AX1392" t="s">
        <v>131</v>
      </c>
      <c r="AY1392" t="s">
        <v>131</v>
      </c>
      <c r="AZ1392" t="s">
        <v>131</v>
      </c>
      <c r="BA1392" t="s">
        <v>131</v>
      </c>
      <c r="BB1392" t="s">
        <v>131</v>
      </c>
      <c r="BC1392" t="s">
        <v>131</v>
      </c>
      <c r="BD1392" t="s">
        <v>131</v>
      </c>
      <c r="BE1392" t="s">
        <v>132</v>
      </c>
      <c r="BH1392" t="s">
        <v>6327</v>
      </c>
      <c r="BI1392" t="s">
        <v>131</v>
      </c>
      <c r="BL1392" t="s">
        <v>188</v>
      </c>
      <c r="BN1392" t="s">
        <v>15420</v>
      </c>
      <c r="BO1392" t="s">
        <v>131</v>
      </c>
      <c r="BP1392" t="s">
        <v>134</v>
      </c>
      <c r="BQ1392" t="s">
        <v>131</v>
      </c>
      <c r="BS1392" t="str">
        <f t="shared" si="90"/>
        <v>N/A</v>
      </c>
      <c r="BT1392" t="s">
        <v>135</v>
      </c>
      <c r="BU1392">
        <v>24</v>
      </c>
      <c r="BV1392" t="str">
        <f>"In the job offered or related occupation"</f>
        <v>In the job offered or related occupation</v>
      </c>
      <c r="BW1392" t="s">
        <v>135</v>
      </c>
      <c r="BX1392" t="str">
        <f>""</f>
        <v/>
      </c>
      <c r="BY1392" t="str">
        <f>""</f>
        <v/>
      </c>
      <c r="BZ1392" t="str">
        <f>""</f>
        <v/>
      </c>
      <c r="CA1392" t="s">
        <v>15421</v>
      </c>
      <c r="CB1392" t="s">
        <v>131</v>
      </c>
      <c r="CF1392" t="s">
        <v>131</v>
      </c>
      <c r="CH1392" t="str">
        <f>""</f>
        <v/>
      </c>
      <c r="CI1392" t="s">
        <v>131</v>
      </c>
      <c r="CK1392" t="s">
        <v>131</v>
      </c>
      <c r="CL1392" t="str">
        <f>""</f>
        <v/>
      </c>
      <c r="CM1392" t="str">
        <f>""</f>
        <v/>
      </c>
      <c r="CN1392" t="str">
        <f>""</f>
        <v/>
      </c>
      <c r="CO1392" t="str">
        <f>""</f>
        <v/>
      </c>
      <c r="CP1392" t="str">
        <f>"15-1199.09"</f>
        <v>15-1199.09</v>
      </c>
      <c r="CQ1392" t="s">
        <v>697</v>
      </c>
      <c r="CR1392" t="s">
        <v>6329</v>
      </c>
      <c r="CS1392" t="s">
        <v>131</v>
      </c>
      <c r="CU1392" t="s">
        <v>7061</v>
      </c>
      <c r="CW1392" t="s">
        <v>523</v>
      </c>
      <c r="CX1392" t="s">
        <v>172</v>
      </c>
      <c r="CZ1392" s="3" t="str">
        <f>"94105"</f>
        <v>94105</v>
      </c>
      <c r="DA1392" t="s">
        <v>131</v>
      </c>
      <c r="DB1392" t="str">
        <f>""</f>
        <v/>
      </c>
      <c r="DF1392" t="str">
        <f>""</f>
        <v/>
      </c>
    </row>
    <row r="1393" spans="1:110" ht="15" customHeight="1" x14ac:dyDescent="0.35">
      <c r="A1393" t="s">
        <v>18810</v>
      </c>
      <c r="B1393" t="s">
        <v>138</v>
      </c>
      <c r="C1393" s="1">
        <v>44328</v>
      </c>
      <c r="G1393" s="1">
        <v>44333</v>
      </c>
      <c r="H1393" t="s">
        <v>125</v>
      </c>
      <c r="I1393" t="s">
        <v>838</v>
      </c>
      <c r="J1393" t="s">
        <v>839</v>
      </c>
      <c r="K1393" t="s">
        <v>840</v>
      </c>
      <c r="L1393" t="s">
        <v>2565</v>
      </c>
      <c r="M1393" t="s">
        <v>841</v>
      </c>
      <c r="N1393" t="s">
        <v>842</v>
      </c>
      <c r="O1393" t="s">
        <v>843</v>
      </c>
      <c r="P1393" t="s">
        <v>273</v>
      </c>
      <c r="Q1393" s="3">
        <v>7080</v>
      </c>
      <c r="R1393" t="s">
        <v>128</v>
      </c>
      <c r="T1393" s="4">
        <v>17328327978</v>
      </c>
      <c r="V1393" t="s">
        <v>844</v>
      </c>
      <c r="W1393" t="s">
        <v>2776</v>
      </c>
      <c r="Y1393" t="s">
        <v>2777</v>
      </c>
      <c r="Z1393" t="s">
        <v>2778</v>
      </c>
      <c r="AA1393" t="s">
        <v>843</v>
      </c>
      <c r="AB1393" t="s">
        <v>276</v>
      </c>
      <c r="AC1393" s="3" t="str">
        <f>"07080"</f>
        <v>07080</v>
      </c>
      <c r="AD1393" t="s">
        <v>128</v>
      </c>
      <c r="AF1393" s="4">
        <v>19087524669</v>
      </c>
      <c r="AH1393" t="str">
        <f>"541519"</f>
        <v>541519</v>
      </c>
      <c r="AI1393" t="s">
        <v>130</v>
      </c>
      <c r="AJ1393" t="s">
        <v>838</v>
      </c>
      <c r="AK1393" t="s">
        <v>839</v>
      </c>
      <c r="AL1393" t="s">
        <v>840</v>
      </c>
      <c r="AM1393" t="s">
        <v>841</v>
      </c>
      <c r="AN1393" t="s">
        <v>842</v>
      </c>
      <c r="AO1393" t="s">
        <v>843</v>
      </c>
      <c r="AP1393" t="s">
        <v>276</v>
      </c>
      <c r="AQ1393" s="5">
        <v>7080</v>
      </c>
      <c r="AR1393" t="s">
        <v>128</v>
      </c>
      <c r="AT1393" s="4">
        <v>17328327978</v>
      </c>
      <c r="AV1393" t="s">
        <v>844</v>
      </c>
      <c r="AW1393" t="s">
        <v>2779</v>
      </c>
      <c r="AX1393" t="s">
        <v>131</v>
      </c>
      <c r="AY1393" t="s">
        <v>131</v>
      </c>
      <c r="AZ1393" t="s">
        <v>131</v>
      </c>
      <c r="BA1393" t="s">
        <v>131</v>
      </c>
      <c r="BB1393" t="s">
        <v>131</v>
      </c>
      <c r="BC1393" t="s">
        <v>131</v>
      </c>
      <c r="BD1393" t="s">
        <v>131</v>
      </c>
      <c r="BE1393" t="s">
        <v>132</v>
      </c>
      <c r="BH1393" t="s">
        <v>1634</v>
      </c>
      <c r="BI1393" t="s">
        <v>131</v>
      </c>
      <c r="BL1393" t="s">
        <v>188</v>
      </c>
      <c r="BN1393" t="s">
        <v>847</v>
      </c>
      <c r="BO1393" t="s">
        <v>131</v>
      </c>
      <c r="BP1393" t="s">
        <v>134</v>
      </c>
      <c r="BQ1393" t="s">
        <v>131</v>
      </c>
      <c r="BS1393" t="str">
        <f t="shared" si="90"/>
        <v>N/A</v>
      </c>
      <c r="BT1393" t="s">
        <v>135</v>
      </c>
      <c r="BU1393">
        <v>6</v>
      </c>
      <c r="BV1393" t="str">
        <f>"JOB OFFERED OR RELATED OCCUPATION."</f>
        <v>JOB OFFERED OR RELATED OCCUPATION.</v>
      </c>
      <c r="BW1393" t="s">
        <v>135</v>
      </c>
      <c r="BX1393" t="str">
        <f>""</f>
        <v/>
      </c>
      <c r="BY1393" t="str">
        <f>""</f>
        <v/>
      </c>
      <c r="BZ1393" t="str">
        <f>""</f>
        <v/>
      </c>
      <c r="CA1393" t="str">
        <f>"Skills required: SOQL, Apex, REST, Web Services, Eclipse IDE, Lightning, Controllers,Salesforce.com and Visualforce."</f>
        <v>Skills required: SOQL, Apex, REST, Web Services, Eclipse IDE, Lightning, Controllers,Salesforce.com and Visualforce.</v>
      </c>
      <c r="CB1393" t="s">
        <v>135</v>
      </c>
      <c r="CC1393" t="s">
        <v>133</v>
      </c>
      <c r="CE1393" t="s">
        <v>847</v>
      </c>
      <c r="CF1393" t="s">
        <v>131</v>
      </c>
      <c r="CH1393" t="str">
        <f>"N/A"</f>
        <v>N/A</v>
      </c>
      <c r="CI1393" t="s">
        <v>135</v>
      </c>
      <c r="CJ1393">
        <v>60</v>
      </c>
      <c r="CK1393" t="s">
        <v>135</v>
      </c>
      <c r="CL1393" t="str">
        <f>""</f>
        <v/>
      </c>
      <c r="CM1393" t="str">
        <f>""</f>
        <v/>
      </c>
      <c r="CN1393" t="str">
        <f>""</f>
        <v/>
      </c>
      <c r="CO1393" t="str">
        <f>"Same as F.b.5.a"</f>
        <v>Same as F.b.5.a</v>
      </c>
      <c r="CP1393" t="str">
        <f>"15-1131.00"</f>
        <v>15-1131.00</v>
      </c>
      <c r="CQ1393" t="s">
        <v>2782</v>
      </c>
      <c r="CR1393" t="s">
        <v>849</v>
      </c>
      <c r="CS1393" t="s">
        <v>131</v>
      </c>
      <c r="CU1393" t="s">
        <v>2777</v>
      </c>
      <c r="CV1393" t="s">
        <v>2778</v>
      </c>
      <c r="CW1393" t="s">
        <v>843</v>
      </c>
      <c r="CX1393" t="s">
        <v>276</v>
      </c>
      <c r="CZ1393" s="3" t="str">
        <f>"07080"</f>
        <v>07080</v>
      </c>
      <c r="DA1393" t="s">
        <v>131</v>
      </c>
      <c r="DB1393" t="str">
        <f>""</f>
        <v/>
      </c>
      <c r="DF1393" t="str">
        <f>""</f>
        <v/>
      </c>
    </row>
    <row r="1394" spans="1:110" ht="15" customHeight="1" x14ac:dyDescent="0.35">
      <c r="A1394" t="s">
        <v>15123</v>
      </c>
      <c r="B1394" t="s">
        <v>138</v>
      </c>
      <c r="C1394" s="1">
        <v>44328</v>
      </c>
      <c r="G1394" s="1">
        <v>44328</v>
      </c>
      <c r="H1394" t="s">
        <v>125</v>
      </c>
      <c r="I1394" t="s">
        <v>814</v>
      </c>
      <c r="J1394" t="s">
        <v>560</v>
      </c>
      <c r="L1394" t="s">
        <v>815</v>
      </c>
      <c r="M1394" t="s">
        <v>816</v>
      </c>
      <c r="O1394" t="s">
        <v>6226</v>
      </c>
      <c r="P1394" t="s">
        <v>818</v>
      </c>
      <c r="Q1394" s="3">
        <v>30093</v>
      </c>
      <c r="R1394" t="s">
        <v>128</v>
      </c>
      <c r="T1394" s="4">
        <v>16785336300</v>
      </c>
      <c r="V1394" t="s">
        <v>819</v>
      </c>
      <c r="W1394" t="s">
        <v>11205</v>
      </c>
      <c r="X1394" t="s">
        <v>11206</v>
      </c>
      <c r="Y1394" t="s">
        <v>11207</v>
      </c>
      <c r="AA1394" t="s">
        <v>2590</v>
      </c>
      <c r="AB1394" t="s">
        <v>643</v>
      </c>
      <c r="AC1394" s="3" t="str">
        <f>"31601"</f>
        <v>31601</v>
      </c>
      <c r="AD1394" t="s">
        <v>128</v>
      </c>
      <c r="AF1394" s="4">
        <v>12292447368</v>
      </c>
      <c r="AH1394" t="str">
        <f>"623110"</f>
        <v>623110</v>
      </c>
      <c r="AI1394" t="s">
        <v>130</v>
      </c>
      <c r="AJ1394" t="s">
        <v>820</v>
      </c>
      <c r="AK1394" t="s">
        <v>821</v>
      </c>
      <c r="AL1394" t="s">
        <v>822</v>
      </c>
      <c r="AM1394" t="s">
        <v>685</v>
      </c>
      <c r="AN1394" t="s">
        <v>686</v>
      </c>
      <c r="AO1394" t="s">
        <v>687</v>
      </c>
      <c r="AP1394" t="s">
        <v>444</v>
      </c>
      <c r="AQ1394" s="5">
        <v>45202</v>
      </c>
      <c r="AR1394" t="s">
        <v>128</v>
      </c>
      <c r="AT1394" s="4">
        <v>15132878010</v>
      </c>
      <c r="AV1394" t="s">
        <v>823</v>
      </c>
      <c r="AW1394" t="s">
        <v>824</v>
      </c>
      <c r="AX1394" t="s">
        <v>131</v>
      </c>
      <c r="AY1394" t="s">
        <v>131</v>
      </c>
      <c r="AZ1394" t="s">
        <v>131</v>
      </c>
      <c r="BA1394" t="s">
        <v>131</v>
      </c>
      <c r="BB1394" t="s">
        <v>131</v>
      </c>
      <c r="BC1394" t="s">
        <v>131</v>
      </c>
      <c r="BD1394" t="s">
        <v>131</v>
      </c>
      <c r="BE1394" t="s">
        <v>132</v>
      </c>
      <c r="BH1394" t="s">
        <v>230</v>
      </c>
      <c r="BI1394" t="s">
        <v>131</v>
      </c>
      <c r="BL1394" t="s">
        <v>307</v>
      </c>
      <c r="BN1394" t="s">
        <v>604</v>
      </c>
      <c r="BO1394" t="s">
        <v>131</v>
      </c>
      <c r="BP1394" t="s">
        <v>134</v>
      </c>
      <c r="BQ1394" t="s">
        <v>131</v>
      </c>
      <c r="BS1394" t="str">
        <f t="shared" si="90"/>
        <v>N/A</v>
      </c>
      <c r="BT1394" t="s">
        <v>131</v>
      </c>
      <c r="BV1394" t="str">
        <f>""</f>
        <v/>
      </c>
      <c r="BW1394" t="s">
        <v>135</v>
      </c>
      <c r="BX1394" t="str">
        <f>"Requires a two-year diploma or degree in nursing or equivalent, U.S. state nursing license, or eligible for licensure"</f>
        <v>Requires a two-year diploma or degree in nursing or equivalent, U.S. state nursing license, or eligible for licensure</v>
      </c>
      <c r="BY1394" t="str">
        <f>""</f>
        <v/>
      </c>
      <c r="BZ1394" t="str">
        <f>""</f>
        <v/>
      </c>
      <c r="CA1394" t="str">
        <f>""</f>
        <v/>
      </c>
      <c r="CB1394" t="s">
        <v>131</v>
      </c>
      <c r="CF1394" t="s">
        <v>131</v>
      </c>
      <c r="CH1394" t="str">
        <f>""</f>
        <v/>
      </c>
      <c r="CI1394" t="s">
        <v>131</v>
      </c>
      <c r="CK1394" t="s">
        <v>131</v>
      </c>
      <c r="CL1394" t="str">
        <f>""</f>
        <v/>
      </c>
      <c r="CM1394" t="str">
        <f>""</f>
        <v/>
      </c>
      <c r="CN1394" t="str">
        <f>""</f>
        <v/>
      </c>
      <c r="CO1394" t="str">
        <f>""</f>
        <v/>
      </c>
      <c r="CP1394" t="str">
        <f>"29-1141.00"</f>
        <v>29-1141.00</v>
      </c>
      <c r="CQ1394" t="s">
        <v>232</v>
      </c>
      <c r="CS1394" t="s">
        <v>131</v>
      </c>
      <c r="CU1394" t="s">
        <v>11207</v>
      </c>
      <c r="CW1394" t="s">
        <v>2590</v>
      </c>
      <c r="CX1394" t="s">
        <v>643</v>
      </c>
      <c r="CZ1394" s="3" t="str">
        <f>"31601"</f>
        <v>31601</v>
      </c>
      <c r="DA1394" t="s">
        <v>131</v>
      </c>
      <c r="DB1394" t="str">
        <f>""</f>
        <v/>
      </c>
      <c r="DF1394" t="str">
        <f>""</f>
        <v/>
      </c>
    </row>
    <row r="1395" spans="1:110" ht="15" customHeight="1" x14ac:dyDescent="0.35">
      <c r="A1395" t="s">
        <v>19798</v>
      </c>
      <c r="B1395" t="s">
        <v>138</v>
      </c>
      <c r="C1395" s="1">
        <v>44328</v>
      </c>
      <c r="G1395" s="1">
        <v>44329</v>
      </c>
      <c r="H1395" t="s">
        <v>125</v>
      </c>
      <c r="I1395" t="s">
        <v>618</v>
      </c>
      <c r="J1395" t="s">
        <v>13007</v>
      </c>
      <c r="L1395" t="s">
        <v>4636</v>
      </c>
      <c r="M1395" t="s">
        <v>19799</v>
      </c>
      <c r="O1395" t="s">
        <v>2651</v>
      </c>
      <c r="P1395" t="s">
        <v>1334</v>
      </c>
      <c r="Q1395" s="3">
        <v>74104</v>
      </c>
      <c r="R1395" t="s">
        <v>128</v>
      </c>
      <c r="T1395" s="4">
        <v>19185995252</v>
      </c>
      <c r="V1395" t="s">
        <v>18977</v>
      </c>
      <c r="W1395" t="s">
        <v>18978</v>
      </c>
      <c r="Y1395" t="s">
        <v>19799</v>
      </c>
      <c r="AA1395" t="s">
        <v>2651</v>
      </c>
      <c r="AB1395" t="s">
        <v>1336</v>
      </c>
      <c r="AC1395" s="3" t="str">
        <f>"74104"</f>
        <v>74104</v>
      </c>
      <c r="AD1395" t="s">
        <v>128</v>
      </c>
      <c r="AF1395" s="4">
        <v>19185995252</v>
      </c>
      <c r="AH1395" t="str">
        <f>"622110"</f>
        <v>622110</v>
      </c>
      <c r="AI1395" t="s">
        <v>130</v>
      </c>
      <c r="AJ1395" t="s">
        <v>7991</v>
      </c>
      <c r="AK1395" t="s">
        <v>684</v>
      </c>
      <c r="AL1395" t="s">
        <v>3629</v>
      </c>
      <c r="AM1395" t="s">
        <v>7992</v>
      </c>
      <c r="AN1395" t="s">
        <v>3673</v>
      </c>
      <c r="AO1395" t="s">
        <v>6274</v>
      </c>
      <c r="AP1395" t="s">
        <v>1336</v>
      </c>
      <c r="AQ1395" s="5">
        <v>73116</v>
      </c>
      <c r="AR1395" t="s">
        <v>128</v>
      </c>
      <c r="AT1395" s="4">
        <v>14058790800</v>
      </c>
      <c r="AV1395" t="s">
        <v>7993</v>
      </c>
      <c r="AW1395" t="s">
        <v>7994</v>
      </c>
      <c r="AX1395" t="s">
        <v>131</v>
      </c>
      <c r="AY1395" t="s">
        <v>131</v>
      </c>
      <c r="AZ1395" t="s">
        <v>131</v>
      </c>
      <c r="BA1395" t="s">
        <v>131</v>
      </c>
      <c r="BB1395" t="s">
        <v>131</v>
      </c>
      <c r="BC1395" t="s">
        <v>131</v>
      </c>
      <c r="BD1395" t="s">
        <v>131</v>
      </c>
      <c r="BE1395" t="s">
        <v>132</v>
      </c>
      <c r="BH1395" t="s">
        <v>230</v>
      </c>
      <c r="BI1395" t="s">
        <v>131</v>
      </c>
      <c r="BL1395" t="s">
        <v>307</v>
      </c>
      <c r="BN1395" t="s">
        <v>604</v>
      </c>
      <c r="BO1395" t="s">
        <v>131</v>
      </c>
      <c r="BP1395" t="s">
        <v>134</v>
      </c>
      <c r="BQ1395" t="s">
        <v>131</v>
      </c>
      <c r="BS1395" t="str">
        <f t="shared" si="90"/>
        <v>N/A</v>
      </c>
      <c r="BT1395" t="s">
        <v>131</v>
      </c>
      <c r="BV1395" t="str">
        <f>""</f>
        <v/>
      </c>
      <c r="BW1395" t="s">
        <v>135</v>
      </c>
      <c r="BX1395" t="s">
        <v>8262</v>
      </c>
      <c r="BY1395" t="str">
        <f>""</f>
        <v/>
      </c>
      <c r="BZ1395" t="str">
        <f>""</f>
        <v/>
      </c>
      <c r="CA1395" t="s">
        <v>8262</v>
      </c>
      <c r="CB1395" t="s">
        <v>131</v>
      </c>
      <c r="CF1395" t="s">
        <v>131</v>
      </c>
      <c r="CH1395" t="str">
        <f>""</f>
        <v/>
      </c>
      <c r="CI1395" t="s">
        <v>131</v>
      </c>
      <c r="CK1395" t="s">
        <v>131</v>
      </c>
      <c r="CL1395" t="str">
        <f>""</f>
        <v/>
      </c>
      <c r="CM1395" t="str">
        <f>""</f>
        <v/>
      </c>
      <c r="CN1395" t="str">
        <f>""</f>
        <v/>
      </c>
      <c r="CO1395" t="str">
        <f>""</f>
        <v/>
      </c>
      <c r="CP1395" t="str">
        <f>"29-1141.00"</f>
        <v>29-1141.00</v>
      </c>
      <c r="CQ1395" t="s">
        <v>232</v>
      </c>
      <c r="CR1395" t="s">
        <v>1452</v>
      </c>
      <c r="CS1395" t="s">
        <v>131</v>
      </c>
      <c r="CU1395" t="s">
        <v>18976</v>
      </c>
      <c r="CW1395" t="s">
        <v>2651</v>
      </c>
      <c r="CX1395" t="s">
        <v>1336</v>
      </c>
      <c r="CZ1395" s="3" t="str">
        <f>"74104"</f>
        <v>74104</v>
      </c>
      <c r="DA1395" t="s">
        <v>131</v>
      </c>
      <c r="DB1395" t="str">
        <f>""</f>
        <v/>
      </c>
      <c r="DF1395" t="str">
        <f>""</f>
        <v/>
      </c>
    </row>
    <row r="1396" spans="1:110" ht="15" customHeight="1" x14ac:dyDescent="0.35">
      <c r="A1396" t="s">
        <v>10360</v>
      </c>
      <c r="B1396" t="s">
        <v>138</v>
      </c>
      <c r="C1396" s="1">
        <v>44328</v>
      </c>
      <c r="G1396" s="1">
        <v>44333</v>
      </c>
      <c r="H1396" t="s">
        <v>125</v>
      </c>
      <c r="I1396" t="s">
        <v>838</v>
      </c>
      <c r="J1396" t="s">
        <v>839</v>
      </c>
      <c r="K1396" t="s">
        <v>840</v>
      </c>
      <c r="L1396" t="s">
        <v>2565</v>
      </c>
      <c r="M1396" t="s">
        <v>841</v>
      </c>
      <c r="N1396" t="s">
        <v>842</v>
      </c>
      <c r="O1396" t="s">
        <v>843</v>
      </c>
      <c r="P1396" t="s">
        <v>273</v>
      </c>
      <c r="Q1396" s="3">
        <v>7080</v>
      </c>
      <c r="R1396" t="s">
        <v>128</v>
      </c>
      <c r="T1396" s="4">
        <v>17328327978</v>
      </c>
      <c r="V1396" t="s">
        <v>844</v>
      </c>
      <c r="W1396" t="s">
        <v>7819</v>
      </c>
      <c r="Y1396" t="s">
        <v>7810</v>
      </c>
      <c r="Z1396" t="s">
        <v>7811</v>
      </c>
      <c r="AA1396" t="s">
        <v>843</v>
      </c>
      <c r="AB1396" t="s">
        <v>276</v>
      </c>
      <c r="AC1396" s="3" t="str">
        <f>"08830"</f>
        <v>08830</v>
      </c>
      <c r="AD1396" t="s">
        <v>128</v>
      </c>
      <c r="AF1396" s="4">
        <v>17325270567</v>
      </c>
      <c r="AH1396" t="str">
        <f>"541519"</f>
        <v>541519</v>
      </c>
      <c r="AI1396" t="s">
        <v>130</v>
      </c>
      <c r="AJ1396" t="s">
        <v>838</v>
      </c>
      <c r="AK1396" t="s">
        <v>839</v>
      </c>
      <c r="AL1396" t="s">
        <v>840</v>
      </c>
      <c r="AM1396" t="s">
        <v>841</v>
      </c>
      <c r="AN1396" t="s">
        <v>842</v>
      </c>
      <c r="AO1396" t="s">
        <v>843</v>
      </c>
      <c r="AP1396" t="s">
        <v>276</v>
      </c>
      <c r="AQ1396" s="5">
        <v>7080</v>
      </c>
      <c r="AR1396" t="s">
        <v>128</v>
      </c>
      <c r="AT1396" s="4">
        <v>17328327978</v>
      </c>
      <c r="AV1396" t="s">
        <v>844</v>
      </c>
      <c r="AW1396" t="s">
        <v>845</v>
      </c>
      <c r="AX1396" t="s">
        <v>131</v>
      </c>
      <c r="AY1396" t="s">
        <v>131</v>
      </c>
      <c r="AZ1396" t="s">
        <v>131</v>
      </c>
      <c r="BA1396" t="s">
        <v>131</v>
      </c>
      <c r="BB1396" t="s">
        <v>131</v>
      </c>
      <c r="BC1396" t="s">
        <v>131</v>
      </c>
      <c r="BD1396" t="s">
        <v>131</v>
      </c>
      <c r="BE1396" t="s">
        <v>132</v>
      </c>
      <c r="BH1396" t="s">
        <v>846</v>
      </c>
      <c r="BI1396" t="s">
        <v>131</v>
      </c>
      <c r="BL1396" t="s">
        <v>188</v>
      </c>
      <c r="BN1396" t="s">
        <v>847</v>
      </c>
      <c r="BO1396" t="s">
        <v>131</v>
      </c>
      <c r="BP1396" t="s">
        <v>134</v>
      </c>
      <c r="BQ1396" t="s">
        <v>131</v>
      </c>
      <c r="BS1396" t="str">
        <f t="shared" si="90"/>
        <v>N/A</v>
      </c>
      <c r="BT1396" t="s">
        <v>135</v>
      </c>
      <c r="BU1396">
        <v>6</v>
      </c>
      <c r="BV1396" t="str">
        <f>"JOB OFFERED OR RELATED OCCUPATION."</f>
        <v>JOB OFFERED OR RELATED OCCUPATION.</v>
      </c>
      <c r="BW1396" t="s">
        <v>135</v>
      </c>
      <c r="BX1396" t="str">
        <f>""</f>
        <v/>
      </c>
      <c r="BY1396" t="str">
        <f>""</f>
        <v/>
      </c>
      <c r="BZ1396" t="str">
        <f>""</f>
        <v/>
      </c>
      <c r="CA1396" t="str">
        <f>"Skills required: JavaScript, HTML, CSS, React Js, Redux, Angular, Json, Node JS, and Jira."</f>
        <v>Skills required: JavaScript, HTML, CSS, React Js, Redux, Angular, Json, Node JS, and Jira.</v>
      </c>
      <c r="CB1396" t="s">
        <v>135</v>
      </c>
      <c r="CC1396" t="s">
        <v>133</v>
      </c>
      <c r="CE1396" t="s">
        <v>10361</v>
      </c>
      <c r="CF1396" t="s">
        <v>131</v>
      </c>
      <c r="CH1396" t="str">
        <f>"N/A"</f>
        <v>N/A</v>
      </c>
      <c r="CI1396" t="s">
        <v>135</v>
      </c>
      <c r="CJ1396">
        <v>60</v>
      </c>
      <c r="CK1396" t="s">
        <v>135</v>
      </c>
      <c r="CL1396" t="str">
        <f>""</f>
        <v/>
      </c>
      <c r="CM1396" t="str">
        <f>""</f>
        <v/>
      </c>
      <c r="CN1396" t="str">
        <f>""</f>
        <v/>
      </c>
      <c r="CO1396" t="str">
        <f>"SAME AS F.b.5.a"</f>
        <v>SAME AS F.b.5.a</v>
      </c>
      <c r="CP1396" t="str">
        <f>"15-1132.00"</f>
        <v>15-1132.00</v>
      </c>
      <c r="CQ1396" t="s">
        <v>198</v>
      </c>
      <c r="CR1396" t="s">
        <v>849</v>
      </c>
      <c r="CS1396" t="s">
        <v>131</v>
      </c>
      <c r="CU1396" t="s">
        <v>7810</v>
      </c>
      <c r="CV1396" t="s">
        <v>7811</v>
      </c>
      <c r="CW1396" t="s">
        <v>6028</v>
      </c>
      <c r="CX1396" t="s">
        <v>276</v>
      </c>
      <c r="CZ1396" s="3" t="str">
        <f>"08830"</f>
        <v>08830</v>
      </c>
      <c r="DA1396" t="s">
        <v>131</v>
      </c>
      <c r="DB1396" t="str">
        <f>""</f>
        <v/>
      </c>
      <c r="DF1396" t="str">
        <f>""</f>
        <v/>
      </c>
    </row>
    <row r="1397" spans="1:110" ht="15" customHeight="1" x14ac:dyDescent="0.35">
      <c r="A1397" t="s">
        <v>9851</v>
      </c>
      <c r="B1397" t="s">
        <v>138</v>
      </c>
      <c r="C1397" s="1">
        <v>44328</v>
      </c>
      <c r="G1397" s="1">
        <v>44349</v>
      </c>
      <c r="H1397" t="s">
        <v>125</v>
      </c>
      <c r="I1397" t="s">
        <v>9852</v>
      </c>
      <c r="J1397" t="s">
        <v>1060</v>
      </c>
      <c r="L1397" t="s">
        <v>868</v>
      </c>
      <c r="M1397" t="s">
        <v>9853</v>
      </c>
      <c r="O1397" t="s">
        <v>494</v>
      </c>
      <c r="P1397" t="s">
        <v>127</v>
      </c>
      <c r="Q1397" s="3">
        <v>10006</v>
      </c>
      <c r="R1397" t="s">
        <v>128</v>
      </c>
      <c r="T1397" s="4">
        <v>12019886881</v>
      </c>
      <c r="V1397" t="s">
        <v>9854</v>
      </c>
      <c r="W1397" t="s">
        <v>9855</v>
      </c>
      <c r="Y1397" t="s">
        <v>9853</v>
      </c>
      <c r="AA1397" t="s">
        <v>494</v>
      </c>
      <c r="AB1397" t="s">
        <v>129</v>
      </c>
      <c r="AC1397" s="3" t="str">
        <f>"10006"</f>
        <v>10006</v>
      </c>
      <c r="AD1397" t="s">
        <v>128</v>
      </c>
      <c r="AF1397" s="4">
        <v>12019886881</v>
      </c>
      <c r="AH1397" t="str">
        <f>"45439"</f>
        <v>45439</v>
      </c>
      <c r="AI1397" t="s">
        <v>130</v>
      </c>
      <c r="AJ1397" t="s">
        <v>1292</v>
      </c>
      <c r="AK1397" t="s">
        <v>645</v>
      </c>
      <c r="AL1397" t="s">
        <v>827</v>
      </c>
      <c r="AM1397" t="s">
        <v>374</v>
      </c>
      <c r="AN1397" t="s">
        <v>375</v>
      </c>
      <c r="AO1397" t="s">
        <v>376</v>
      </c>
      <c r="AP1397" t="s">
        <v>377</v>
      </c>
      <c r="AQ1397" s="5">
        <v>2110</v>
      </c>
      <c r="AR1397" t="s">
        <v>128</v>
      </c>
      <c r="AT1397" s="4">
        <v>16175740400</v>
      </c>
      <c r="AV1397" t="s">
        <v>9856</v>
      </c>
      <c r="AW1397" t="s">
        <v>386</v>
      </c>
      <c r="AX1397" t="s">
        <v>131</v>
      </c>
      <c r="AY1397" t="s">
        <v>131</v>
      </c>
      <c r="AZ1397" t="s">
        <v>131</v>
      </c>
      <c r="BA1397" t="s">
        <v>131</v>
      </c>
      <c r="BB1397" t="s">
        <v>131</v>
      </c>
      <c r="BC1397" t="s">
        <v>131</v>
      </c>
      <c r="BD1397" t="s">
        <v>131</v>
      </c>
      <c r="BE1397" t="s">
        <v>132</v>
      </c>
      <c r="BH1397" t="s">
        <v>9009</v>
      </c>
      <c r="BI1397" t="s">
        <v>131</v>
      </c>
      <c r="BL1397" t="s">
        <v>133</v>
      </c>
      <c r="BN1397" t="s">
        <v>9857</v>
      </c>
      <c r="BO1397" t="s">
        <v>131</v>
      </c>
      <c r="BP1397" t="s">
        <v>134</v>
      </c>
      <c r="BQ1397" t="s">
        <v>131</v>
      </c>
      <c r="BS1397" t="str">
        <f t="shared" si="90"/>
        <v>N/A</v>
      </c>
      <c r="BT1397" t="s">
        <v>135</v>
      </c>
      <c r="BU1397">
        <v>96</v>
      </c>
      <c r="BV1397" t="str">
        <f>"architecting large-scale Ecommerce"</f>
        <v>architecting large-scale Ecommerce</v>
      </c>
      <c r="BW1397" t="s">
        <v>135</v>
      </c>
      <c r="BX1397" t="str">
        <f>""</f>
        <v/>
      </c>
      <c r="BY1397" t="str">
        <f>""</f>
        <v/>
      </c>
      <c r="BZ1397" t="str">
        <f>""</f>
        <v/>
      </c>
      <c r="CA1397" s="2" t="s">
        <v>9858</v>
      </c>
      <c r="CB1397" t="s">
        <v>131</v>
      </c>
      <c r="CF1397" t="s">
        <v>131</v>
      </c>
      <c r="CH1397" t="str">
        <f>""</f>
        <v/>
      </c>
      <c r="CI1397" t="s">
        <v>131</v>
      </c>
      <c r="CK1397" t="s">
        <v>131</v>
      </c>
      <c r="CL1397" t="str">
        <f>""</f>
        <v/>
      </c>
      <c r="CM1397" t="str">
        <f>""</f>
        <v/>
      </c>
      <c r="CN1397" t="str">
        <f>""</f>
        <v/>
      </c>
      <c r="CO1397" t="str">
        <f>""</f>
        <v/>
      </c>
      <c r="CP1397" t="str">
        <f>"15-1199.02"</f>
        <v>15-1199.02</v>
      </c>
      <c r="CQ1397" t="s">
        <v>2269</v>
      </c>
      <c r="CR1397" t="s">
        <v>9859</v>
      </c>
      <c r="CS1397" t="s">
        <v>131</v>
      </c>
      <c r="CU1397" t="s">
        <v>9853</v>
      </c>
      <c r="CW1397" t="s">
        <v>494</v>
      </c>
      <c r="CX1397" t="s">
        <v>129</v>
      </c>
      <c r="CZ1397" s="3" t="str">
        <f>"10006"</f>
        <v>10006</v>
      </c>
      <c r="DA1397" t="s">
        <v>131</v>
      </c>
      <c r="DB1397" t="str">
        <f>""</f>
        <v/>
      </c>
      <c r="DF1397" t="str">
        <f>""</f>
        <v/>
      </c>
    </row>
    <row r="1398" spans="1:110" ht="15" customHeight="1" x14ac:dyDescent="0.35">
      <c r="A1398" t="s">
        <v>18490</v>
      </c>
      <c r="B1398" t="s">
        <v>138</v>
      </c>
      <c r="C1398" s="1">
        <v>44328</v>
      </c>
      <c r="G1398" s="1">
        <v>44333</v>
      </c>
      <c r="H1398" t="s">
        <v>125</v>
      </c>
      <c r="I1398" t="s">
        <v>838</v>
      </c>
      <c r="J1398" t="s">
        <v>839</v>
      </c>
      <c r="K1398" t="s">
        <v>840</v>
      </c>
      <c r="L1398" t="s">
        <v>2565</v>
      </c>
      <c r="M1398" t="s">
        <v>18491</v>
      </c>
      <c r="N1398" t="s">
        <v>842</v>
      </c>
      <c r="O1398" t="s">
        <v>843</v>
      </c>
      <c r="P1398" t="s">
        <v>273</v>
      </c>
      <c r="Q1398" s="3">
        <v>7080</v>
      </c>
      <c r="R1398" t="s">
        <v>128</v>
      </c>
      <c r="T1398" s="4">
        <v>17328327978</v>
      </c>
      <c r="V1398" t="s">
        <v>844</v>
      </c>
      <c r="W1398" t="s">
        <v>7819</v>
      </c>
      <c r="Y1398" t="s">
        <v>7810</v>
      </c>
      <c r="Z1398" t="s">
        <v>7811</v>
      </c>
      <c r="AA1398" t="s">
        <v>6028</v>
      </c>
      <c r="AB1398" t="s">
        <v>276</v>
      </c>
      <c r="AC1398" s="3" t="str">
        <f>"08830"</f>
        <v>08830</v>
      </c>
      <c r="AD1398" t="s">
        <v>128</v>
      </c>
      <c r="AF1398" s="4">
        <v>17325270567</v>
      </c>
      <c r="AH1398" t="str">
        <f>"541519"</f>
        <v>541519</v>
      </c>
      <c r="AI1398" t="s">
        <v>130</v>
      </c>
      <c r="AJ1398" t="s">
        <v>838</v>
      </c>
      <c r="AK1398" t="s">
        <v>839</v>
      </c>
      <c r="AL1398" t="s">
        <v>840</v>
      </c>
      <c r="AM1398" t="s">
        <v>841</v>
      </c>
      <c r="AN1398" t="s">
        <v>842</v>
      </c>
      <c r="AO1398" t="s">
        <v>843</v>
      </c>
      <c r="AP1398" t="s">
        <v>276</v>
      </c>
      <c r="AQ1398" s="5">
        <v>7080</v>
      </c>
      <c r="AR1398" t="s">
        <v>128</v>
      </c>
      <c r="AT1398" s="4">
        <v>17328327978</v>
      </c>
      <c r="AV1398" t="s">
        <v>844</v>
      </c>
      <c r="AW1398" t="s">
        <v>3328</v>
      </c>
      <c r="AX1398" t="s">
        <v>131</v>
      </c>
      <c r="AY1398" t="s">
        <v>131</v>
      </c>
      <c r="AZ1398" t="s">
        <v>131</v>
      </c>
      <c r="BA1398" t="s">
        <v>131</v>
      </c>
      <c r="BB1398" t="s">
        <v>131</v>
      </c>
      <c r="BC1398" t="s">
        <v>131</v>
      </c>
      <c r="BD1398" t="s">
        <v>131</v>
      </c>
      <c r="BE1398" t="s">
        <v>132</v>
      </c>
      <c r="BH1398" t="s">
        <v>7812</v>
      </c>
      <c r="BI1398" t="s">
        <v>131</v>
      </c>
      <c r="BL1398" t="s">
        <v>188</v>
      </c>
      <c r="BN1398" t="s">
        <v>847</v>
      </c>
      <c r="BO1398" t="s">
        <v>131</v>
      </c>
      <c r="BP1398" t="s">
        <v>134</v>
      </c>
      <c r="BQ1398" t="s">
        <v>131</v>
      </c>
      <c r="BS1398" t="str">
        <f t="shared" si="90"/>
        <v>N/A</v>
      </c>
      <c r="BT1398" t="s">
        <v>135</v>
      </c>
      <c r="BU1398">
        <v>12</v>
      </c>
      <c r="BV1398" t="str">
        <f>"JOB OFFERED OR RELATED OCCUPATION."</f>
        <v>JOB OFFERED OR RELATED OCCUPATION.</v>
      </c>
      <c r="BW1398" t="s">
        <v>135</v>
      </c>
      <c r="BX1398" t="str">
        <f>""</f>
        <v/>
      </c>
      <c r="BY1398" t="str">
        <f>""</f>
        <v/>
      </c>
      <c r="BZ1398" t="str">
        <f>""</f>
        <v/>
      </c>
      <c r="CA1398" t="str">
        <f>"Skills required: Java, JavaScript, HTML, CSS, Spring, Nmap, Asp .NET, MYSQL, Burp suite, and Jenkins."</f>
        <v>Skills required: Java, JavaScript, HTML, CSS, Spring, Nmap, Asp .NET, MYSQL, Burp suite, and Jenkins.</v>
      </c>
      <c r="CB1398" t="s">
        <v>135</v>
      </c>
      <c r="CC1398" t="s">
        <v>133</v>
      </c>
      <c r="CE1398" t="s">
        <v>847</v>
      </c>
      <c r="CF1398" t="s">
        <v>131</v>
      </c>
      <c r="CH1398" t="str">
        <f>"N/A"</f>
        <v>N/A</v>
      </c>
      <c r="CI1398" t="s">
        <v>135</v>
      </c>
      <c r="CJ1398">
        <v>60</v>
      </c>
      <c r="CK1398" t="s">
        <v>135</v>
      </c>
      <c r="CL1398" t="str">
        <f>""</f>
        <v/>
      </c>
      <c r="CM1398" t="str">
        <f>""</f>
        <v/>
      </c>
      <c r="CN1398" t="str">
        <f>""</f>
        <v/>
      </c>
      <c r="CO1398" t="str">
        <f>"SAME AS F.b.5.a"</f>
        <v>SAME AS F.b.5.a</v>
      </c>
      <c r="CP1398" t="str">
        <f>"15-1122.00"</f>
        <v>15-1122.00</v>
      </c>
      <c r="CQ1398" t="s">
        <v>711</v>
      </c>
      <c r="CR1398" t="s">
        <v>849</v>
      </c>
      <c r="CS1398" t="s">
        <v>131</v>
      </c>
      <c r="CU1398" t="s">
        <v>7810</v>
      </c>
      <c r="CV1398" t="s">
        <v>7811</v>
      </c>
      <c r="CW1398" t="s">
        <v>6028</v>
      </c>
      <c r="CX1398" t="s">
        <v>276</v>
      </c>
      <c r="CZ1398" s="3" t="str">
        <f>"08830"</f>
        <v>08830</v>
      </c>
      <c r="DA1398" t="s">
        <v>131</v>
      </c>
      <c r="DB1398" t="str">
        <f>""</f>
        <v/>
      </c>
      <c r="DF1398" t="str">
        <f>""</f>
        <v/>
      </c>
    </row>
    <row r="1399" spans="1:110" ht="15" customHeight="1" x14ac:dyDescent="0.35">
      <c r="A1399" t="s">
        <v>7818</v>
      </c>
      <c r="B1399" t="s">
        <v>138</v>
      </c>
      <c r="C1399" s="1">
        <v>44328</v>
      </c>
      <c r="G1399" s="1">
        <v>44333</v>
      </c>
      <c r="H1399" t="s">
        <v>125</v>
      </c>
      <c r="I1399" t="s">
        <v>838</v>
      </c>
      <c r="J1399" t="s">
        <v>5709</v>
      </c>
      <c r="K1399" t="s">
        <v>840</v>
      </c>
      <c r="L1399" t="s">
        <v>2565</v>
      </c>
      <c r="M1399" t="s">
        <v>841</v>
      </c>
      <c r="N1399" t="s">
        <v>842</v>
      </c>
      <c r="O1399" t="s">
        <v>843</v>
      </c>
      <c r="P1399" t="s">
        <v>273</v>
      </c>
      <c r="Q1399" s="3">
        <v>7080</v>
      </c>
      <c r="R1399" t="s">
        <v>128</v>
      </c>
      <c r="T1399" s="4">
        <v>17328327978</v>
      </c>
      <c r="V1399" t="s">
        <v>844</v>
      </c>
      <c r="W1399" t="s">
        <v>7819</v>
      </c>
      <c r="Y1399" t="s">
        <v>7810</v>
      </c>
      <c r="Z1399" t="s">
        <v>7811</v>
      </c>
      <c r="AA1399" t="s">
        <v>6028</v>
      </c>
      <c r="AB1399" t="s">
        <v>276</v>
      </c>
      <c r="AC1399" s="3" t="str">
        <f>"08830"</f>
        <v>08830</v>
      </c>
      <c r="AD1399" t="s">
        <v>128</v>
      </c>
      <c r="AF1399" s="4">
        <v>17325270567</v>
      </c>
      <c r="AH1399" t="str">
        <f>"541519"</f>
        <v>541519</v>
      </c>
      <c r="AI1399" t="s">
        <v>130</v>
      </c>
      <c r="AJ1399" t="s">
        <v>838</v>
      </c>
      <c r="AK1399" t="s">
        <v>839</v>
      </c>
      <c r="AL1399" t="s">
        <v>840</v>
      </c>
      <c r="AM1399" t="s">
        <v>841</v>
      </c>
      <c r="AN1399" t="s">
        <v>842</v>
      </c>
      <c r="AO1399" t="s">
        <v>843</v>
      </c>
      <c r="AP1399" t="s">
        <v>276</v>
      </c>
      <c r="AQ1399" s="5">
        <v>7080</v>
      </c>
      <c r="AR1399" t="s">
        <v>128</v>
      </c>
      <c r="AT1399" s="4">
        <v>17328327978</v>
      </c>
      <c r="AV1399" t="s">
        <v>844</v>
      </c>
      <c r="AW1399" t="s">
        <v>3328</v>
      </c>
      <c r="AX1399" t="s">
        <v>131</v>
      </c>
      <c r="AY1399" t="s">
        <v>131</v>
      </c>
      <c r="AZ1399" t="s">
        <v>131</v>
      </c>
      <c r="BA1399" t="s">
        <v>131</v>
      </c>
      <c r="BB1399" t="s">
        <v>131</v>
      </c>
      <c r="BC1399" t="s">
        <v>131</v>
      </c>
      <c r="BD1399" t="s">
        <v>131</v>
      </c>
      <c r="BE1399" t="s">
        <v>132</v>
      </c>
      <c r="BH1399" t="s">
        <v>846</v>
      </c>
      <c r="BI1399" t="s">
        <v>131</v>
      </c>
      <c r="BL1399" t="s">
        <v>188</v>
      </c>
      <c r="BN1399" t="s">
        <v>2786</v>
      </c>
      <c r="BO1399" t="s">
        <v>131</v>
      </c>
      <c r="BP1399" t="s">
        <v>134</v>
      </c>
      <c r="BQ1399" t="s">
        <v>131</v>
      </c>
      <c r="BS1399" t="str">
        <f t="shared" si="90"/>
        <v>N/A</v>
      </c>
      <c r="BT1399" t="s">
        <v>135</v>
      </c>
      <c r="BU1399">
        <v>12</v>
      </c>
      <c r="BV1399" t="str">
        <f>"JOB OFFERED OR RELATED OCCUPATION"</f>
        <v>JOB OFFERED OR RELATED OCCUPATION</v>
      </c>
      <c r="BW1399" t="s">
        <v>135</v>
      </c>
      <c r="BX1399" t="str">
        <f>""</f>
        <v/>
      </c>
      <c r="BY1399" t="str">
        <f>""</f>
        <v/>
      </c>
      <c r="BZ1399" t="str">
        <f>""</f>
        <v/>
      </c>
      <c r="CA1399" t="str">
        <f>"Skills required: JavaScript, HTML, CSS, React Js, Redux, Angular, Json, Node JS, and Jira"</f>
        <v>Skills required: JavaScript, HTML, CSS, React Js, Redux, Angular, Json, Node JS, and Jira</v>
      </c>
      <c r="CB1399" t="s">
        <v>135</v>
      </c>
      <c r="CC1399" t="s">
        <v>133</v>
      </c>
      <c r="CE1399" t="s">
        <v>2786</v>
      </c>
      <c r="CF1399" t="s">
        <v>131</v>
      </c>
      <c r="CH1399" t="str">
        <f>"N/A"</f>
        <v>N/A</v>
      </c>
      <c r="CI1399" t="s">
        <v>135</v>
      </c>
      <c r="CJ1399">
        <v>60</v>
      </c>
      <c r="CK1399" t="s">
        <v>135</v>
      </c>
      <c r="CL1399" t="str">
        <f>""</f>
        <v/>
      </c>
      <c r="CM1399" t="str">
        <f>""</f>
        <v/>
      </c>
      <c r="CN1399" t="str">
        <f>""</f>
        <v/>
      </c>
      <c r="CO1399" t="str">
        <f>"SAME AS F.b.5.a"</f>
        <v>SAME AS F.b.5.a</v>
      </c>
      <c r="CP1399" t="str">
        <f>"15-1132.00"</f>
        <v>15-1132.00</v>
      </c>
      <c r="CQ1399" t="s">
        <v>198</v>
      </c>
      <c r="CR1399" t="s">
        <v>849</v>
      </c>
      <c r="CS1399" t="s">
        <v>131</v>
      </c>
      <c r="CU1399" t="s">
        <v>7810</v>
      </c>
      <c r="CV1399" t="s">
        <v>7811</v>
      </c>
      <c r="CW1399" t="s">
        <v>6028</v>
      </c>
      <c r="CX1399" t="s">
        <v>276</v>
      </c>
      <c r="CZ1399" s="3" t="str">
        <f>"08830"</f>
        <v>08830</v>
      </c>
      <c r="DA1399" t="s">
        <v>131</v>
      </c>
      <c r="DB1399" t="str">
        <f>""</f>
        <v/>
      </c>
      <c r="DF1399" t="str">
        <f>""</f>
        <v/>
      </c>
    </row>
    <row r="1400" spans="1:110" ht="15" customHeight="1" x14ac:dyDescent="0.35">
      <c r="A1400" t="s">
        <v>9460</v>
      </c>
      <c r="B1400" t="s">
        <v>138</v>
      </c>
      <c r="C1400" s="1">
        <v>44328</v>
      </c>
      <c r="G1400" s="1">
        <v>44337</v>
      </c>
      <c r="H1400" t="s">
        <v>125</v>
      </c>
      <c r="I1400" t="s">
        <v>9461</v>
      </c>
      <c r="J1400" t="s">
        <v>8475</v>
      </c>
      <c r="K1400" t="s">
        <v>134</v>
      </c>
      <c r="L1400" t="s">
        <v>3750</v>
      </c>
      <c r="M1400" t="s">
        <v>9462</v>
      </c>
      <c r="N1400" t="s">
        <v>153</v>
      </c>
      <c r="O1400" t="s">
        <v>9463</v>
      </c>
      <c r="Q1400" s="3" t="s">
        <v>155</v>
      </c>
      <c r="R1400" t="s">
        <v>156</v>
      </c>
      <c r="S1400" t="s">
        <v>157</v>
      </c>
      <c r="T1400" s="4">
        <v>16048918371</v>
      </c>
      <c r="V1400" t="s">
        <v>158</v>
      </c>
      <c r="W1400" t="s">
        <v>5484</v>
      </c>
      <c r="X1400" t="s">
        <v>134</v>
      </c>
      <c r="Y1400" t="s">
        <v>5485</v>
      </c>
      <c r="Z1400" t="s">
        <v>134</v>
      </c>
      <c r="AA1400" t="s">
        <v>5486</v>
      </c>
      <c r="AB1400" t="s">
        <v>149</v>
      </c>
      <c r="AC1400" s="3" t="str">
        <f>"98052"</f>
        <v>98052</v>
      </c>
      <c r="AD1400" t="s">
        <v>128</v>
      </c>
      <c r="AE1400" t="s">
        <v>134</v>
      </c>
      <c r="AF1400" s="4">
        <v>14258828080</v>
      </c>
      <c r="AH1400" t="str">
        <f>"5112"</f>
        <v>5112</v>
      </c>
      <c r="AI1400" t="s">
        <v>130</v>
      </c>
      <c r="AJ1400" t="s">
        <v>9461</v>
      </c>
      <c r="AK1400" t="s">
        <v>8475</v>
      </c>
      <c r="AL1400" t="s">
        <v>134</v>
      </c>
      <c r="AM1400" t="s">
        <v>152</v>
      </c>
      <c r="AN1400" t="s">
        <v>5488</v>
      </c>
      <c r="AO1400" t="s">
        <v>154</v>
      </c>
      <c r="AQ1400" s="5" t="s">
        <v>155</v>
      </c>
      <c r="AR1400" t="s">
        <v>156</v>
      </c>
      <c r="AS1400" t="s">
        <v>157</v>
      </c>
      <c r="AT1400" s="4">
        <v>16048918371</v>
      </c>
      <c r="AV1400" t="s">
        <v>5489</v>
      </c>
      <c r="AW1400" t="s">
        <v>5490</v>
      </c>
      <c r="AX1400" t="s">
        <v>131</v>
      </c>
      <c r="AY1400" t="s">
        <v>131</v>
      </c>
      <c r="AZ1400" t="s">
        <v>131</v>
      </c>
      <c r="BA1400" t="s">
        <v>131</v>
      </c>
      <c r="BB1400" t="s">
        <v>131</v>
      </c>
      <c r="BC1400" t="s">
        <v>131</v>
      </c>
      <c r="BD1400" t="s">
        <v>131</v>
      </c>
      <c r="BE1400" t="s">
        <v>160</v>
      </c>
      <c r="BF1400" t="s">
        <v>1612</v>
      </c>
      <c r="BG1400" s="1">
        <v>44270</v>
      </c>
      <c r="BH1400" t="s">
        <v>8461</v>
      </c>
      <c r="BI1400" t="s">
        <v>131</v>
      </c>
      <c r="BL1400" t="s">
        <v>133</v>
      </c>
      <c r="BN1400" t="s">
        <v>3273</v>
      </c>
      <c r="BO1400" t="s">
        <v>131</v>
      </c>
      <c r="BP1400" t="s">
        <v>134</v>
      </c>
      <c r="BQ1400" t="s">
        <v>131</v>
      </c>
      <c r="BS1400" t="str">
        <f t="shared" si="90"/>
        <v>N/A</v>
      </c>
      <c r="BT1400" t="s">
        <v>135</v>
      </c>
      <c r="BU1400">
        <v>60</v>
      </c>
      <c r="BV1400" t="str">
        <f>"ANY COMPUTER RELATED OCCUPATION"</f>
        <v>ANY COMPUTER RELATED OCCUPATION</v>
      </c>
      <c r="BW1400" t="s">
        <v>135</v>
      </c>
      <c r="BX1400" t="str">
        <f>""</f>
        <v/>
      </c>
      <c r="BY1400" t="str">
        <f>""</f>
        <v/>
      </c>
      <c r="BZ1400" t="str">
        <f>""</f>
        <v/>
      </c>
      <c r="CA1400" s="2" t="s">
        <v>9464</v>
      </c>
      <c r="CB1400" t="s">
        <v>131</v>
      </c>
      <c r="CF1400" t="s">
        <v>131</v>
      </c>
      <c r="CH1400" t="str">
        <f>""</f>
        <v/>
      </c>
      <c r="CI1400" t="s">
        <v>131</v>
      </c>
      <c r="CK1400" t="s">
        <v>131</v>
      </c>
      <c r="CL1400" t="str">
        <f>""</f>
        <v/>
      </c>
      <c r="CM1400" t="str">
        <f>""</f>
        <v/>
      </c>
      <c r="CN1400" t="str">
        <f>""</f>
        <v/>
      </c>
      <c r="CO1400" t="str">
        <f>""</f>
        <v/>
      </c>
      <c r="CP1400" t="str">
        <f>"15-1133.00"</f>
        <v>15-1133.00</v>
      </c>
      <c r="CQ1400" t="s">
        <v>648</v>
      </c>
      <c r="CR1400" t="s">
        <v>5493</v>
      </c>
      <c r="CS1400" t="s">
        <v>131</v>
      </c>
      <c r="CU1400" t="s">
        <v>147</v>
      </c>
      <c r="CV1400" t="s">
        <v>134</v>
      </c>
      <c r="CW1400" t="s">
        <v>148</v>
      </c>
      <c r="CX1400" t="s">
        <v>149</v>
      </c>
      <c r="CZ1400" s="3" t="str">
        <f>"98052"</f>
        <v>98052</v>
      </c>
      <c r="DA1400" t="s">
        <v>131</v>
      </c>
      <c r="DB1400" t="str">
        <f>""</f>
        <v/>
      </c>
      <c r="DF1400" t="str">
        <f>""</f>
        <v/>
      </c>
    </row>
    <row r="1401" spans="1:110" ht="15" customHeight="1" x14ac:dyDescent="0.35">
      <c r="A1401" t="s">
        <v>19817</v>
      </c>
      <c r="B1401" t="s">
        <v>138</v>
      </c>
      <c r="C1401" s="1">
        <v>44328</v>
      </c>
      <c r="G1401" s="1">
        <v>44328</v>
      </c>
      <c r="H1401" t="s">
        <v>125</v>
      </c>
      <c r="I1401" t="s">
        <v>3736</v>
      </c>
      <c r="J1401" t="s">
        <v>8201</v>
      </c>
      <c r="L1401" t="s">
        <v>2375</v>
      </c>
      <c r="M1401" t="s">
        <v>2830</v>
      </c>
      <c r="O1401" t="s">
        <v>220</v>
      </c>
      <c r="P1401" t="s">
        <v>178</v>
      </c>
      <c r="Q1401" s="3">
        <v>94119</v>
      </c>
      <c r="R1401" t="s">
        <v>128</v>
      </c>
      <c r="T1401" s="4">
        <v>14157655111</v>
      </c>
      <c r="V1401" t="s">
        <v>8202</v>
      </c>
      <c r="W1401" t="s">
        <v>11825</v>
      </c>
      <c r="X1401" t="s">
        <v>19818</v>
      </c>
      <c r="Y1401" t="s">
        <v>3859</v>
      </c>
      <c r="AA1401" t="s">
        <v>3860</v>
      </c>
      <c r="AB1401" t="s">
        <v>172</v>
      </c>
      <c r="AC1401" s="3" t="str">
        <f>"95747"</f>
        <v>95747</v>
      </c>
      <c r="AD1401" t="s">
        <v>128</v>
      </c>
      <c r="AF1401" s="4">
        <v>19162978314</v>
      </c>
      <c r="AH1401" t="str">
        <f>"622110"</f>
        <v>622110</v>
      </c>
      <c r="AI1401" t="s">
        <v>130</v>
      </c>
      <c r="AJ1401" t="s">
        <v>2828</v>
      </c>
      <c r="AK1401" t="s">
        <v>2829</v>
      </c>
      <c r="AL1401" t="s">
        <v>314</v>
      </c>
      <c r="AM1401" t="s">
        <v>2830</v>
      </c>
      <c r="AO1401" t="s">
        <v>220</v>
      </c>
      <c r="AP1401" t="s">
        <v>172</v>
      </c>
      <c r="AQ1401" s="5">
        <v>94119</v>
      </c>
      <c r="AR1401" t="s">
        <v>128</v>
      </c>
      <c r="AT1401" s="4">
        <v>14157655111</v>
      </c>
      <c r="AV1401" t="s">
        <v>8203</v>
      </c>
      <c r="AW1401" t="s">
        <v>2831</v>
      </c>
      <c r="AX1401" t="s">
        <v>131</v>
      </c>
      <c r="AY1401" t="s">
        <v>131</v>
      </c>
      <c r="AZ1401" t="s">
        <v>131</v>
      </c>
      <c r="BA1401" t="s">
        <v>131</v>
      </c>
      <c r="BB1401" t="s">
        <v>131</v>
      </c>
      <c r="BC1401" t="s">
        <v>131</v>
      </c>
      <c r="BD1401" t="s">
        <v>131</v>
      </c>
      <c r="BE1401" t="s">
        <v>132</v>
      </c>
      <c r="BH1401" t="s">
        <v>11826</v>
      </c>
      <c r="BI1401" t="s">
        <v>131</v>
      </c>
      <c r="BL1401" t="s">
        <v>133</v>
      </c>
      <c r="BN1401" s="2" t="s">
        <v>19819</v>
      </c>
      <c r="BO1401" t="s">
        <v>131</v>
      </c>
      <c r="BP1401" t="s">
        <v>134</v>
      </c>
      <c r="BQ1401" t="s">
        <v>131</v>
      </c>
      <c r="BS1401" t="str">
        <f t="shared" si="90"/>
        <v>N/A</v>
      </c>
      <c r="BT1401" t="s">
        <v>135</v>
      </c>
      <c r="BU1401">
        <v>60</v>
      </c>
      <c r="BV1401" t="str">
        <f>"See F.a.2."</f>
        <v>See F.a.2.</v>
      </c>
      <c r="BW1401" t="s">
        <v>131</v>
      </c>
      <c r="BX1401" t="str">
        <f>""</f>
        <v/>
      </c>
      <c r="BY1401" t="str">
        <f>""</f>
        <v/>
      </c>
      <c r="BZ1401" t="str">
        <f>""</f>
        <v/>
      </c>
      <c r="CA1401" t="str">
        <f>""</f>
        <v/>
      </c>
      <c r="CB1401" t="s">
        <v>131</v>
      </c>
      <c r="CF1401" t="s">
        <v>131</v>
      </c>
      <c r="CH1401" t="str">
        <f>""</f>
        <v/>
      </c>
      <c r="CI1401" t="s">
        <v>131</v>
      </c>
      <c r="CK1401" t="s">
        <v>131</v>
      </c>
      <c r="CL1401" t="str">
        <f>""</f>
        <v/>
      </c>
      <c r="CM1401" t="str">
        <f>""</f>
        <v/>
      </c>
      <c r="CN1401" t="str">
        <f>""</f>
        <v/>
      </c>
      <c r="CO1401" t="str">
        <f>""</f>
        <v/>
      </c>
      <c r="CP1401" t="str">
        <f>"15-1121.00"</f>
        <v>15-1121.00</v>
      </c>
      <c r="CQ1401" t="s">
        <v>283</v>
      </c>
      <c r="CS1401" t="s">
        <v>131</v>
      </c>
      <c r="CU1401" t="s">
        <v>19820</v>
      </c>
      <c r="CW1401" t="s">
        <v>19821</v>
      </c>
      <c r="CX1401" t="s">
        <v>172</v>
      </c>
      <c r="CZ1401" s="3" t="str">
        <f>"95655"</f>
        <v>95655</v>
      </c>
      <c r="DA1401" t="s">
        <v>131</v>
      </c>
      <c r="DB1401" t="str">
        <f>""</f>
        <v/>
      </c>
      <c r="DF1401" t="str">
        <f>""</f>
        <v/>
      </c>
    </row>
    <row r="1402" spans="1:110" ht="15" customHeight="1" x14ac:dyDescent="0.35">
      <c r="A1402" t="s">
        <v>20036</v>
      </c>
      <c r="B1402" t="s">
        <v>138</v>
      </c>
      <c r="C1402" s="1">
        <v>44328</v>
      </c>
      <c r="G1402" s="1">
        <v>44328</v>
      </c>
      <c r="H1402" t="s">
        <v>125</v>
      </c>
      <c r="I1402" t="s">
        <v>2717</v>
      </c>
      <c r="J1402" t="s">
        <v>1487</v>
      </c>
      <c r="L1402" t="s">
        <v>2718</v>
      </c>
      <c r="M1402" t="s">
        <v>2719</v>
      </c>
      <c r="O1402" t="s">
        <v>9715</v>
      </c>
      <c r="P1402" t="s">
        <v>178</v>
      </c>
      <c r="Q1402" s="3">
        <v>95110</v>
      </c>
      <c r="R1402" t="s">
        <v>128</v>
      </c>
      <c r="T1402" s="4">
        <v>14089150980</v>
      </c>
      <c r="V1402" t="s">
        <v>2720</v>
      </c>
      <c r="W1402" t="s">
        <v>2721</v>
      </c>
      <c r="Y1402" t="s">
        <v>2722</v>
      </c>
      <c r="AA1402" t="s">
        <v>664</v>
      </c>
      <c r="AB1402" t="s">
        <v>172</v>
      </c>
      <c r="AC1402" s="3" t="str">
        <f>"95110"</f>
        <v>95110</v>
      </c>
      <c r="AD1402" t="s">
        <v>128</v>
      </c>
      <c r="AF1402" s="4">
        <v>14085569040</v>
      </c>
      <c r="AH1402" t="str">
        <f>"51821"</f>
        <v>51821</v>
      </c>
      <c r="AI1402" t="s">
        <v>130</v>
      </c>
      <c r="AJ1402" t="s">
        <v>5166</v>
      </c>
      <c r="AK1402" t="s">
        <v>5167</v>
      </c>
      <c r="AM1402" t="s">
        <v>2725</v>
      </c>
      <c r="AN1402" t="s">
        <v>788</v>
      </c>
      <c r="AO1402" t="s">
        <v>6990</v>
      </c>
      <c r="AP1402" t="s">
        <v>172</v>
      </c>
      <c r="AQ1402" s="5">
        <v>94133</v>
      </c>
      <c r="AR1402" t="s">
        <v>128</v>
      </c>
      <c r="AT1402" s="4">
        <v>14159864559</v>
      </c>
      <c r="AV1402" t="s">
        <v>2726</v>
      </c>
      <c r="AW1402" t="s">
        <v>2727</v>
      </c>
      <c r="AX1402" t="s">
        <v>131</v>
      </c>
      <c r="AY1402" t="s">
        <v>131</v>
      </c>
      <c r="AZ1402" t="s">
        <v>131</v>
      </c>
      <c r="BA1402" t="s">
        <v>131</v>
      </c>
      <c r="BB1402" t="s">
        <v>131</v>
      </c>
      <c r="BC1402" t="s">
        <v>131</v>
      </c>
      <c r="BD1402" t="s">
        <v>131</v>
      </c>
      <c r="BE1402" t="s">
        <v>132</v>
      </c>
      <c r="BH1402" t="s">
        <v>5168</v>
      </c>
      <c r="BI1402" t="s">
        <v>131</v>
      </c>
      <c r="BL1402" t="s">
        <v>188</v>
      </c>
      <c r="BN1402" t="s">
        <v>5169</v>
      </c>
      <c r="BO1402" t="s">
        <v>131</v>
      </c>
      <c r="BP1402" t="s">
        <v>134</v>
      </c>
      <c r="BQ1402" t="s">
        <v>131</v>
      </c>
      <c r="BS1402" t="str">
        <f t="shared" si="90"/>
        <v>N/A</v>
      </c>
      <c r="BT1402" t="s">
        <v>131</v>
      </c>
      <c r="BV1402" t="str">
        <f>""</f>
        <v/>
      </c>
      <c r="BW1402" t="s">
        <v>135</v>
      </c>
      <c r="BX1402" t="str">
        <f>""</f>
        <v/>
      </c>
      <c r="BY1402" t="str">
        <f>""</f>
        <v/>
      </c>
      <c r="BZ1402" t="str">
        <f>""</f>
        <v/>
      </c>
      <c r="CA1402" t="s">
        <v>5170</v>
      </c>
      <c r="CB1402" t="s">
        <v>135</v>
      </c>
      <c r="CC1402" t="s">
        <v>133</v>
      </c>
      <c r="CE1402" t="s">
        <v>20037</v>
      </c>
      <c r="CF1402" t="s">
        <v>131</v>
      </c>
      <c r="CH1402" t="str">
        <f>"N/A"</f>
        <v>N/A</v>
      </c>
      <c r="CI1402" t="s">
        <v>135</v>
      </c>
      <c r="CJ1402">
        <v>1</v>
      </c>
      <c r="CK1402" t="s">
        <v>135</v>
      </c>
      <c r="CL1402" t="str">
        <f>""</f>
        <v/>
      </c>
      <c r="CM1402" t="str">
        <f>""</f>
        <v/>
      </c>
      <c r="CN1402" t="str">
        <f>""</f>
        <v/>
      </c>
      <c r="CO1402" t="s">
        <v>5170</v>
      </c>
      <c r="CP1402" t="str">
        <f>"15-2031.00"</f>
        <v>15-2031.00</v>
      </c>
      <c r="CQ1402" t="s">
        <v>887</v>
      </c>
      <c r="CS1402" t="s">
        <v>131</v>
      </c>
      <c r="CU1402" t="s">
        <v>5172</v>
      </c>
      <c r="CV1402" t="s">
        <v>2489</v>
      </c>
      <c r="CW1402" t="s">
        <v>494</v>
      </c>
      <c r="CX1402" t="s">
        <v>129</v>
      </c>
      <c r="CZ1402" s="3" t="str">
        <f>"10036"</f>
        <v>10036</v>
      </c>
      <c r="DA1402" t="s">
        <v>131</v>
      </c>
      <c r="DB1402" t="str">
        <f>""</f>
        <v/>
      </c>
      <c r="DF1402" t="str">
        <f>""</f>
        <v/>
      </c>
    </row>
    <row r="1403" spans="1:110" ht="15" customHeight="1" x14ac:dyDescent="0.35">
      <c r="A1403" t="s">
        <v>15930</v>
      </c>
      <c r="B1403" t="s">
        <v>138</v>
      </c>
      <c r="C1403" s="1">
        <v>44328</v>
      </c>
      <c r="G1403" s="1">
        <v>44328</v>
      </c>
      <c r="H1403" t="s">
        <v>125</v>
      </c>
      <c r="I1403" t="s">
        <v>2717</v>
      </c>
      <c r="J1403" t="s">
        <v>1487</v>
      </c>
      <c r="L1403" t="s">
        <v>2718</v>
      </c>
      <c r="M1403" t="s">
        <v>2719</v>
      </c>
      <c r="O1403" t="s">
        <v>664</v>
      </c>
      <c r="P1403" t="s">
        <v>178</v>
      </c>
      <c r="Q1403" s="3">
        <v>95110</v>
      </c>
      <c r="R1403" t="s">
        <v>128</v>
      </c>
      <c r="T1403" s="4">
        <v>14089150980</v>
      </c>
      <c r="V1403" t="s">
        <v>2720</v>
      </c>
      <c r="W1403" t="s">
        <v>2721</v>
      </c>
      <c r="Y1403" t="s">
        <v>2722</v>
      </c>
      <c r="AA1403" t="s">
        <v>664</v>
      </c>
      <c r="AB1403" t="s">
        <v>172</v>
      </c>
      <c r="AC1403" s="3" t="str">
        <f>"95110"</f>
        <v>95110</v>
      </c>
      <c r="AD1403" t="s">
        <v>128</v>
      </c>
      <c r="AF1403" s="4">
        <v>14085569040</v>
      </c>
      <c r="AH1403" t="str">
        <f>"51821"</f>
        <v>51821</v>
      </c>
      <c r="AI1403" t="s">
        <v>130</v>
      </c>
      <c r="AJ1403" t="s">
        <v>5166</v>
      </c>
      <c r="AK1403" t="s">
        <v>5167</v>
      </c>
      <c r="AM1403" t="s">
        <v>2725</v>
      </c>
      <c r="AN1403" t="s">
        <v>788</v>
      </c>
      <c r="AO1403" t="s">
        <v>220</v>
      </c>
      <c r="AP1403" t="s">
        <v>172</v>
      </c>
      <c r="AQ1403" s="5">
        <v>94133</v>
      </c>
      <c r="AR1403" t="s">
        <v>128</v>
      </c>
      <c r="AT1403" s="4">
        <v>14159864559</v>
      </c>
      <c r="AV1403" t="s">
        <v>2726</v>
      </c>
      <c r="AW1403" t="s">
        <v>2727</v>
      </c>
      <c r="AX1403" t="s">
        <v>131</v>
      </c>
      <c r="AY1403" t="s">
        <v>131</v>
      </c>
      <c r="AZ1403" t="s">
        <v>131</v>
      </c>
      <c r="BA1403" t="s">
        <v>131</v>
      </c>
      <c r="BB1403" t="s">
        <v>131</v>
      </c>
      <c r="BC1403" t="s">
        <v>131</v>
      </c>
      <c r="BD1403" t="s">
        <v>131</v>
      </c>
      <c r="BE1403" t="s">
        <v>132</v>
      </c>
      <c r="BH1403" t="s">
        <v>5168</v>
      </c>
      <c r="BI1403" t="s">
        <v>131</v>
      </c>
      <c r="BL1403" t="s">
        <v>188</v>
      </c>
      <c r="BN1403" t="s">
        <v>5169</v>
      </c>
      <c r="BO1403" t="s">
        <v>131</v>
      </c>
      <c r="BP1403" t="s">
        <v>134</v>
      </c>
      <c r="BQ1403" t="s">
        <v>131</v>
      </c>
      <c r="BS1403" t="str">
        <f t="shared" si="90"/>
        <v>N/A</v>
      </c>
      <c r="BT1403" t="s">
        <v>131</v>
      </c>
      <c r="BV1403" t="str">
        <f>""</f>
        <v/>
      </c>
      <c r="BW1403" t="s">
        <v>135</v>
      </c>
      <c r="BX1403" t="str">
        <f>""</f>
        <v/>
      </c>
      <c r="BY1403" t="str">
        <f>""</f>
        <v/>
      </c>
      <c r="BZ1403" t="str">
        <f>""</f>
        <v/>
      </c>
      <c r="CA1403" t="s">
        <v>5170</v>
      </c>
      <c r="CB1403" t="s">
        <v>135</v>
      </c>
      <c r="CC1403" t="s">
        <v>133</v>
      </c>
      <c r="CE1403" t="s">
        <v>5171</v>
      </c>
      <c r="CF1403" t="s">
        <v>131</v>
      </c>
      <c r="CH1403" t="str">
        <f>"N/A"</f>
        <v>N/A</v>
      </c>
      <c r="CI1403" t="s">
        <v>135</v>
      </c>
      <c r="CJ1403">
        <v>1</v>
      </c>
      <c r="CK1403" t="s">
        <v>135</v>
      </c>
      <c r="CL1403" t="str">
        <f>""</f>
        <v/>
      </c>
      <c r="CM1403" t="str">
        <f>""</f>
        <v/>
      </c>
      <c r="CN1403" t="str">
        <f>""</f>
        <v/>
      </c>
      <c r="CO1403" t="s">
        <v>5170</v>
      </c>
      <c r="CP1403" t="str">
        <f>"15-2031.00"</f>
        <v>15-2031.00</v>
      </c>
      <c r="CQ1403" t="s">
        <v>887</v>
      </c>
      <c r="CR1403" t="s">
        <v>13446</v>
      </c>
      <c r="CS1403" t="s">
        <v>131</v>
      </c>
      <c r="CU1403" t="s">
        <v>5172</v>
      </c>
      <c r="CV1403" t="s">
        <v>2489</v>
      </c>
      <c r="CW1403" t="s">
        <v>494</v>
      </c>
      <c r="CX1403" t="s">
        <v>129</v>
      </c>
      <c r="CZ1403" s="3" t="str">
        <f>"10036"</f>
        <v>10036</v>
      </c>
      <c r="DA1403" t="s">
        <v>131</v>
      </c>
      <c r="DB1403" t="str">
        <f>""</f>
        <v/>
      </c>
      <c r="DF1403" t="str">
        <f>""</f>
        <v/>
      </c>
    </row>
    <row r="1404" spans="1:110" ht="15" customHeight="1" x14ac:dyDescent="0.35">
      <c r="A1404" t="s">
        <v>7436</v>
      </c>
      <c r="B1404" t="s">
        <v>138</v>
      </c>
      <c r="C1404" s="1">
        <v>44328</v>
      </c>
      <c r="G1404" s="1">
        <v>44342</v>
      </c>
      <c r="H1404" t="s">
        <v>125</v>
      </c>
      <c r="I1404" t="s">
        <v>1552</v>
      </c>
      <c r="J1404" t="s">
        <v>1553</v>
      </c>
      <c r="L1404" t="s">
        <v>1554</v>
      </c>
      <c r="M1404" t="s">
        <v>1555</v>
      </c>
      <c r="O1404" t="s">
        <v>1556</v>
      </c>
      <c r="P1404" t="s">
        <v>178</v>
      </c>
      <c r="Q1404" s="3">
        <v>95014</v>
      </c>
      <c r="R1404" t="s">
        <v>128</v>
      </c>
      <c r="T1404" s="4">
        <v>14089742562</v>
      </c>
      <c r="V1404" t="s">
        <v>1564</v>
      </c>
      <c r="W1404" t="s">
        <v>1558</v>
      </c>
      <c r="Y1404" t="s">
        <v>1559</v>
      </c>
      <c r="AA1404" t="s">
        <v>1560</v>
      </c>
      <c r="AB1404" t="s">
        <v>172</v>
      </c>
      <c r="AC1404" s="3" t="str">
        <f>"95014"</f>
        <v>95014</v>
      </c>
      <c r="AD1404" t="s">
        <v>128</v>
      </c>
      <c r="AF1404" s="4">
        <v>14089742562</v>
      </c>
      <c r="AH1404" t="str">
        <f>"33411"</f>
        <v>33411</v>
      </c>
      <c r="AI1404" t="s">
        <v>130</v>
      </c>
      <c r="AJ1404" t="s">
        <v>3476</v>
      </c>
      <c r="AK1404" t="s">
        <v>781</v>
      </c>
      <c r="AL1404" t="s">
        <v>7437</v>
      </c>
      <c r="AM1404" t="s">
        <v>1563</v>
      </c>
      <c r="AN1404" t="s">
        <v>997</v>
      </c>
      <c r="AO1404" t="s">
        <v>220</v>
      </c>
      <c r="AP1404" t="s">
        <v>172</v>
      </c>
      <c r="AQ1404" s="5">
        <v>94111</v>
      </c>
      <c r="AR1404" t="s">
        <v>128</v>
      </c>
      <c r="AT1404" s="4">
        <v>14159861446</v>
      </c>
      <c r="AV1404" t="s">
        <v>1564</v>
      </c>
      <c r="AW1404" t="s">
        <v>386</v>
      </c>
      <c r="AX1404" t="s">
        <v>131</v>
      </c>
      <c r="AY1404" t="s">
        <v>131</v>
      </c>
      <c r="AZ1404" t="s">
        <v>131</v>
      </c>
      <c r="BA1404" t="s">
        <v>131</v>
      </c>
      <c r="BB1404" t="s">
        <v>131</v>
      </c>
      <c r="BC1404" t="s">
        <v>131</v>
      </c>
      <c r="BD1404" t="s">
        <v>131</v>
      </c>
      <c r="BE1404" t="s">
        <v>160</v>
      </c>
      <c r="BF1404" t="s">
        <v>2499</v>
      </c>
      <c r="BG1404" s="1">
        <v>44270</v>
      </c>
      <c r="BH1404" t="s">
        <v>1316</v>
      </c>
      <c r="BI1404" t="s">
        <v>131</v>
      </c>
      <c r="BL1404" t="s">
        <v>133</v>
      </c>
      <c r="BN1404" t="s">
        <v>1566</v>
      </c>
      <c r="BO1404" t="s">
        <v>131</v>
      </c>
      <c r="BP1404" t="s">
        <v>134</v>
      </c>
      <c r="BQ1404" t="s">
        <v>131</v>
      </c>
      <c r="BS1404" t="str">
        <f t="shared" si="90"/>
        <v>N/A</v>
      </c>
      <c r="BT1404" t="s">
        <v>135</v>
      </c>
      <c r="BU1404">
        <v>12</v>
      </c>
      <c r="BV1404" t="str">
        <f>"Please See Section F.a.2."</f>
        <v>Please See Section F.a.2.</v>
      </c>
      <c r="BW1404" t="s">
        <v>135</v>
      </c>
      <c r="BX1404" t="str">
        <f>""</f>
        <v/>
      </c>
      <c r="BY1404" t="str">
        <f>""</f>
        <v/>
      </c>
      <c r="BZ1404" t="str">
        <f>""</f>
        <v/>
      </c>
      <c r="CA1404" t="str">
        <f>"Please See Section F.a.2."</f>
        <v>Please See Section F.a.2.</v>
      </c>
      <c r="CB1404" t="s">
        <v>131</v>
      </c>
      <c r="CF1404" t="s">
        <v>131</v>
      </c>
      <c r="CH1404" t="str">
        <f>""</f>
        <v/>
      </c>
      <c r="CI1404" t="s">
        <v>131</v>
      </c>
      <c r="CK1404" t="s">
        <v>131</v>
      </c>
      <c r="CL1404" t="str">
        <f>""</f>
        <v/>
      </c>
      <c r="CM1404" t="str">
        <f>""</f>
        <v/>
      </c>
      <c r="CN1404" t="str">
        <f>""</f>
        <v/>
      </c>
      <c r="CO1404" t="str">
        <f>""</f>
        <v/>
      </c>
      <c r="CP1404" t="str">
        <f>"15-1133.00"</f>
        <v>15-1133.00</v>
      </c>
      <c r="CQ1404" t="s">
        <v>648</v>
      </c>
      <c r="CR1404" t="s">
        <v>392</v>
      </c>
      <c r="CS1404" t="s">
        <v>131</v>
      </c>
      <c r="CU1404" t="s">
        <v>7438</v>
      </c>
      <c r="CW1404" t="s">
        <v>3909</v>
      </c>
      <c r="CX1404" t="s">
        <v>172</v>
      </c>
      <c r="CZ1404" s="3" t="str">
        <f>"95014"</f>
        <v>95014</v>
      </c>
      <c r="DA1404" t="s">
        <v>131</v>
      </c>
      <c r="DB1404" t="str">
        <f>""</f>
        <v/>
      </c>
      <c r="DF1404" t="str">
        <f>""</f>
        <v/>
      </c>
    </row>
    <row r="1405" spans="1:110" ht="15" customHeight="1" x14ac:dyDescent="0.35">
      <c r="A1405" t="s">
        <v>6610</v>
      </c>
      <c r="B1405" t="s">
        <v>138</v>
      </c>
      <c r="C1405" s="1">
        <v>44328</v>
      </c>
      <c r="G1405" s="1">
        <v>44328</v>
      </c>
      <c r="H1405" t="s">
        <v>125</v>
      </c>
      <c r="I1405" t="s">
        <v>364</v>
      </c>
      <c r="J1405" t="s">
        <v>6611</v>
      </c>
      <c r="L1405" t="s">
        <v>223</v>
      </c>
      <c r="M1405" t="s">
        <v>6612</v>
      </c>
      <c r="O1405" t="s">
        <v>2832</v>
      </c>
      <c r="P1405" t="s">
        <v>412</v>
      </c>
      <c r="Q1405" s="3">
        <v>77075</v>
      </c>
      <c r="R1405" t="s">
        <v>128</v>
      </c>
      <c r="T1405" s="4">
        <v>17139913740</v>
      </c>
      <c r="V1405" t="s">
        <v>6613</v>
      </c>
      <c r="W1405" t="s">
        <v>6614</v>
      </c>
      <c r="Y1405" t="s">
        <v>6612</v>
      </c>
      <c r="AA1405" t="s">
        <v>2832</v>
      </c>
      <c r="AB1405" t="s">
        <v>400</v>
      </c>
      <c r="AC1405" s="3" t="str">
        <f>"77075"</f>
        <v>77075</v>
      </c>
      <c r="AD1405" t="s">
        <v>128</v>
      </c>
      <c r="AF1405" s="4">
        <v>17139913740</v>
      </c>
      <c r="AH1405" t="str">
        <f>"44512"</f>
        <v>44512</v>
      </c>
      <c r="AI1405" t="s">
        <v>130</v>
      </c>
      <c r="AJ1405" t="s">
        <v>6615</v>
      </c>
      <c r="AK1405" t="s">
        <v>6616</v>
      </c>
      <c r="AM1405" t="s">
        <v>6617</v>
      </c>
      <c r="AN1405" t="s">
        <v>439</v>
      </c>
      <c r="AO1405" t="s">
        <v>885</v>
      </c>
      <c r="AP1405" t="s">
        <v>400</v>
      </c>
      <c r="AQ1405" s="5">
        <v>77079</v>
      </c>
      <c r="AR1405" t="s">
        <v>128</v>
      </c>
      <c r="AT1405" s="4">
        <v>12818701300</v>
      </c>
      <c r="AV1405" t="s">
        <v>6618</v>
      </c>
      <c r="AW1405" t="s">
        <v>6619</v>
      </c>
      <c r="AX1405" t="s">
        <v>131</v>
      </c>
      <c r="AY1405" t="s">
        <v>131</v>
      </c>
      <c r="AZ1405" t="s">
        <v>131</v>
      </c>
      <c r="BA1405" t="s">
        <v>131</v>
      </c>
      <c r="BB1405" t="s">
        <v>131</v>
      </c>
      <c r="BC1405" t="s">
        <v>131</v>
      </c>
      <c r="BD1405" t="s">
        <v>131</v>
      </c>
      <c r="BE1405" t="s">
        <v>132</v>
      </c>
      <c r="BH1405" t="s">
        <v>6620</v>
      </c>
      <c r="BI1405" t="s">
        <v>131</v>
      </c>
      <c r="BL1405" t="s">
        <v>167</v>
      </c>
      <c r="BO1405" t="s">
        <v>131</v>
      </c>
      <c r="BP1405" t="s">
        <v>134</v>
      </c>
      <c r="BQ1405" t="s">
        <v>131</v>
      </c>
      <c r="BS1405" t="str">
        <f t="shared" si="90"/>
        <v>N/A</v>
      </c>
      <c r="BT1405" t="s">
        <v>135</v>
      </c>
      <c r="BU1405">
        <v>10</v>
      </c>
      <c r="BV1405" t="str">
        <f>"RETAIL SALES CONSULTANT"</f>
        <v>RETAIL SALES CONSULTANT</v>
      </c>
      <c r="BW1405" t="s">
        <v>135</v>
      </c>
      <c r="BX1405" t="str">
        <f>""</f>
        <v/>
      </c>
      <c r="BY1405" t="str">
        <f>""</f>
        <v/>
      </c>
      <c r="BZ1405" t="str">
        <f>""</f>
        <v/>
      </c>
      <c r="CA1405" t="str">
        <f>"10 months of experience in sales and customer service."</f>
        <v>10 months of experience in sales and customer service.</v>
      </c>
      <c r="CB1405" t="s">
        <v>131</v>
      </c>
      <c r="CF1405" t="s">
        <v>131</v>
      </c>
      <c r="CH1405" t="str">
        <f>""</f>
        <v/>
      </c>
      <c r="CI1405" t="s">
        <v>131</v>
      </c>
      <c r="CK1405" t="s">
        <v>131</v>
      </c>
      <c r="CL1405" t="str">
        <f>""</f>
        <v/>
      </c>
      <c r="CM1405" t="str">
        <f>""</f>
        <v/>
      </c>
      <c r="CN1405" t="str">
        <f>""</f>
        <v/>
      </c>
      <c r="CO1405" t="str">
        <f>""</f>
        <v/>
      </c>
      <c r="CP1405" t="str">
        <f>"41-2031.00"</f>
        <v>41-2031.00</v>
      </c>
      <c r="CQ1405" t="s">
        <v>3704</v>
      </c>
      <c r="CR1405" t="s">
        <v>223</v>
      </c>
      <c r="CS1405" t="s">
        <v>131</v>
      </c>
      <c r="CU1405" t="s">
        <v>6612</v>
      </c>
      <c r="CW1405" t="s">
        <v>2832</v>
      </c>
      <c r="CX1405" t="s">
        <v>400</v>
      </c>
      <c r="CZ1405" s="3" t="str">
        <f>"77075"</f>
        <v>77075</v>
      </c>
      <c r="DA1405" t="s">
        <v>131</v>
      </c>
      <c r="DB1405" t="str">
        <f>""</f>
        <v/>
      </c>
      <c r="DF1405" t="str">
        <f>""</f>
        <v/>
      </c>
    </row>
    <row r="1406" spans="1:110" ht="15" customHeight="1" x14ac:dyDescent="0.35">
      <c r="A1406" t="s">
        <v>12091</v>
      </c>
      <c r="B1406" t="s">
        <v>138</v>
      </c>
      <c r="C1406" s="1">
        <v>44328</v>
      </c>
      <c r="G1406" s="1">
        <v>44329</v>
      </c>
      <c r="H1406" t="s">
        <v>125</v>
      </c>
      <c r="I1406" t="s">
        <v>2038</v>
      </c>
      <c r="J1406" t="s">
        <v>348</v>
      </c>
      <c r="L1406" t="s">
        <v>587</v>
      </c>
      <c r="M1406" t="s">
        <v>12092</v>
      </c>
      <c r="O1406" t="s">
        <v>5944</v>
      </c>
      <c r="P1406" t="s">
        <v>467</v>
      </c>
      <c r="Q1406" s="3">
        <v>80011</v>
      </c>
      <c r="R1406" t="s">
        <v>128</v>
      </c>
      <c r="T1406" s="4">
        <v>17209752212</v>
      </c>
      <c r="V1406" t="s">
        <v>12093</v>
      </c>
      <c r="W1406" t="s">
        <v>12094</v>
      </c>
      <c r="Y1406" t="s">
        <v>12092</v>
      </c>
      <c r="AA1406" t="s">
        <v>5944</v>
      </c>
      <c r="AB1406" t="s">
        <v>471</v>
      </c>
      <c r="AC1406" s="3" t="str">
        <f>"80011"</f>
        <v>80011</v>
      </c>
      <c r="AD1406" t="s">
        <v>128</v>
      </c>
      <c r="AF1406" s="4">
        <v>17209752212</v>
      </c>
      <c r="AH1406" t="str">
        <f>"561730"</f>
        <v>561730</v>
      </c>
      <c r="AI1406" t="s">
        <v>287</v>
      </c>
      <c r="AJ1406" t="s">
        <v>7285</v>
      </c>
      <c r="AK1406" t="s">
        <v>5400</v>
      </c>
      <c r="AL1406" t="s">
        <v>1198</v>
      </c>
      <c r="AM1406" t="s">
        <v>6795</v>
      </c>
      <c r="AO1406" t="s">
        <v>6796</v>
      </c>
      <c r="AP1406" t="s">
        <v>400</v>
      </c>
      <c r="AQ1406" s="5">
        <v>75098</v>
      </c>
      <c r="AR1406" t="s">
        <v>128</v>
      </c>
      <c r="AT1406" s="4">
        <v>19724424244</v>
      </c>
      <c r="AV1406" t="s">
        <v>7286</v>
      </c>
      <c r="AW1406" t="s">
        <v>7287</v>
      </c>
      <c r="AX1406" t="s">
        <v>131</v>
      </c>
      <c r="AY1406" t="s">
        <v>131</v>
      </c>
      <c r="AZ1406" t="s">
        <v>131</v>
      </c>
      <c r="BA1406" t="s">
        <v>131</v>
      </c>
      <c r="BB1406" t="s">
        <v>131</v>
      </c>
      <c r="BC1406" t="s">
        <v>131</v>
      </c>
      <c r="BD1406" t="s">
        <v>131</v>
      </c>
      <c r="BE1406" t="s">
        <v>132</v>
      </c>
      <c r="BH1406" t="s">
        <v>5480</v>
      </c>
      <c r="BI1406" t="s">
        <v>135</v>
      </c>
      <c r="BJ1406" t="s">
        <v>919</v>
      </c>
      <c r="BK1406" t="s">
        <v>920</v>
      </c>
      <c r="BL1406" t="s">
        <v>167</v>
      </c>
      <c r="BO1406" t="s">
        <v>131</v>
      </c>
      <c r="BP1406" t="s">
        <v>134</v>
      </c>
      <c r="BQ1406" t="s">
        <v>131</v>
      </c>
      <c r="BS1406" t="str">
        <f t="shared" si="90"/>
        <v>N/A</v>
      </c>
      <c r="BT1406" t="s">
        <v>135</v>
      </c>
      <c r="BU1406">
        <v>12</v>
      </c>
      <c r="BV1406" t="str">
        <f>"Landscape Crew Leader /   12 Months experience as Landscape Crew  leader or 24 months recent experience working as landscape laborer. Any suitable combination of education training and/or experience i"</f>
        <v>Landscape Crew Leader /   12 Months experience as Landscape Crew  leader or 24 months recent experience working as landscape laborer. Any suitable combination of education training and/or experience i</v>
      </c>
      <c r="BW1406" t="s">
        <v>135</v>
      </c>
      <c r="BX1406" t="str">
        <f>""</f>
        <v/>
      </c>
      <c r="BY1406" t="str">
        <f>""</f>
        <v/>
      </c>
      <c r="BZ1406" t="str">
        <f>""</f>
        <v/>
      </c>
      <c r="CA1406" t="str">
        <f>"Must be able to stand for long hours and work in both hot and cold temperatures and able to lift up to 60 lbs. "</f>
        <v xml:space="preserve">Must be able to stand for long hours and work in both hot and cold temperatures and able to lift up to 60 lbs. </v>
      </c>
      <c r="CB1406" t="s">
        <v>135</v>
      </c>
      <c r="CC1406" t="s">
        <v>167</v>
      </c>
      <c r="CF1406" t="s">
        <v>131</v>
      </c>
      <c r="CH1406" t="str">
        <f>"N/A"</f>
        <v>N/A</v>
      </c>
      <c r="CI1406" t="s">
        <v>135</v>
      </c>
      <c r="CJ1406">
        <v>24</v>
      </c>
      <c r="CK1406" t="s">
        <v>135</v>
      </c>
      <c r="CL1406" t="str">
        <f>""</f>
        <v/>
      </c>
      <c r="CM1406" t="str">
        <f>""</f>
        <v/>
      </c>
      <c r="CN1406" t="str">
        <f>""</f>
        <v/>
      </c>
      <c r="CO1406" t="s">
        <v>12095</v>
      </c>
      <c r="CP1406" t="str">
        <f>"37-1012.00"</f>
        <v>37-1012.00</v>
      </c>
      <c r="CQ1406" t="s">
        <v>921</v>
      </c>
      <c r="CR1406" t="s">
        <v>11224</v>
      </c>
      <c r="CS1406" t="s">
        <v>131</v>
      </c>
      <c r="CU1406" t="s">
        <v>12096</v>
      </c>
      <c r="CW1406" t="s">
        <v>11640</v>
      </c>
      <c r="CX1406" t="s">
        <v>471</v>
      </c>
      <c r="CZ1406" s="3" t="str">
        <f>"80538"</f>
        <v>80538</v>
      </c>
      <c r="DA1406" t="s">
        <v>135</v>
      </c>
      <c r="DB1406" t="str">
        <f>""</f>
        <v/>
      </c>
      <c r="DF1406" t="str">
        <f>""</f>
        <v/>
      </c>
    </row>
    <row r="1407" spans="1:110" ht="15" customHeight="1" x14ac:dyDescent="0.35">
      <c r="A1407" t="s">
        <v>17176</v>
      </c>
      <c r="B1407" t="s">
        <v>138</v>
      </c>
      <c r="C1407" s="1">
        <v>44328</v>
      </c>
      <c r="G1407" s="1">
        <v>44355</v>
      </c>
      <c r="H1407" t="s">
        <v>125</v>
      </c>
      <c r="I1407" t="s">
        <v>8700</v>
      </c>
      <c r="J1407" t="s">
        <v>645</v>
      </c>
      <c r="L1407" t="s">
        <v>1285</v>
      </c>
      <c r="M1407" t="s">
        <v>8701</v>
      </c>
      <c r="O1407" t="s">
        <v>2323</v>
      </c>
      <c r="P1407" t="s">
        <v>593</v>
      </c>
      <c r="Q1407" s="3">
        <v>27703</v>
      </c>
      <c r="R1407" t="s">
        <v>128</v>
      </c>
      <c r="T1407" s="4">
        <v>19198303448</v>
      </c>
      <c r="V1407" t="s">
        <v>8702</v>
      </c>
      <c r="W1407" t="s">
        <v>8703</v>
      </c>
      <c r="Y1407" t="s">
        <v>8701</v>
      </c>
      <c r="AA1407" t="s">
        <v>2323</v>
      </c>
      <c r="AB1407" t="s">
        <v>594</v>
      </c>
      <c r="AC1407" s="3" t="str">
        <f>"27703"</f>
        <v>27703</v>
      </c>
      <c r="AD1407" t="s">
        <v>128</v>
      </c>
      <c r="AF1407" s="4">
        <v>18887309374</v>
      </c>
      <c r="AH1407" t="str">
        <f>"541511"</f>
        <v>541511</v>
      </c>
      <c r="AI1407" t="s">
        <v>130</v>
      </c>
      <c r="AJ1407" t="s">
        <v>4910</v>
      </c>
      <c r="AK1407" t="s">
        <v>4911</v>
      </c>
      <c r="AM1407" t="s">
        <v>4912</v>
      </c>
      <c r="AO1407" t="s">
        <v>1034</v>
      </c>
      <c r="AP1407" t="s">
        <v>594</v>
      </c>
      <c r="AQ1407" s="5">
        <v>27602</v>
      </c>
      <c r="AR1407" t="s">
        <v>128</v>
      </c>
      <c r="AT1407" s="4">
        <v>19198330840</v>
      </c>
      <c r="AU1407">
        <v>28</v>
      </c>
      <c r="AV1407" t="s">
        <v>4913</v>
      </c>
      <c r="AW1407" t="s">
        <v>4914</v>
      </c>
      <c r="AX1407" t="s">
        <v>131</v>
      </c>
      <c r="AY1407" t="s">
        <v>131</v>
      </c>
      <c r="AZ1407" t="s">
        <v>131</v>
      </c>
      <c r="BA1407" t="s">
        <v>131</v>
      </c>
      <c r="BB1407" t="s">
        <v>131</v>
      </c>
      <c r="BC1407" t="s">
        <v>131</v>
      </c>
      <c r="BD1407" t="s">
        <v>131</v>
      </c>
      <c r="BE1407" t="s">
        <v>132</v>
      </c>
      <c r="BH1407" t="s">
        <v>2512</v>
      </c>
      <c r="BI1407" t="s">
        <v>131</v>
      </c>
      <c r="BL1407" t="s">
        <v>188</v>
      </c>
      <c r="BN1407" t="s">
        <v>17177</v>
      </c>
      <c r="BO1407" t="s">
        <v>131</v>
      </c>
      <c r="BP1407" t="s">
        <v>134</v>
      </c>
      <c r="BQ1407" t="s">
        <v>131</v>
      </c>
      <c r="BS1407" t="str">
        <f t="shared" si="90"/>
        <v>N/A</v>
      </c>
      <c r="BT1407" t="s">
        <v>135</v>
      </c>
      <c r="BU1407">
        <v>24</v>
      </c>
      <c r="BV1407" t="str">
        <f>"In the job offered or similar engineering positions"</f>
        <v>In the job offered or similar engineering positions</v>
      </c>
      <c r="BW1407" t="s">
        <v>135</v>
      </c>
      <c r="BX1407" t="str">
        <f>""</f>
        <v/>
      </c>
      <c r="BY1407" t="str">
        <f>""</f>
        <v/>
      </c>
      <c r="BZ1407" t="str">
        <f>""</f>
        <v/>
      </c>
      <c r="CA1407" t="str">
        <f>"Must have two (2) years of experience with data models, data mining, segmentation techniques using Hadoop or Python, SQL, NoSQL database design, Cloud Framework and AWS."</f>
        <v>Must have two (2) years of experience with data models, data mining, segmentation techniques using Hadoop or Python, SQL, NoSQL database design, Cloud Framework and AWS.</v>
      </c>
      <c r="CB1407" t="s">
        <v>135</v>
      </c>
      <c r="CC1407" t="s">
        <v>133</v>
      </c>
      <c r="CE1407" t="s">
        <v>17177</v>
      </c>
      <c r="CF1407" t="s">
        <v>131</v>
      </c>
      <c r="CH1407" t="str">
        <f>"N/A"</f>
        <v>N/A</v>
      </c>
      <c r="CI1407" t="s">
        <v>135</v>
      </c>
      <c r="CJ1407">
        <v>60</v>
      </c>
      <c r="CK1407" t="s">
        <v>135</v>
      </c>
      <c r="CL1407" t="str">
        <f>""</f>
        <v/>
      </c>
      <c r="CM1407" t="str">
        <f>""</f>
        <v/>
      </c>
      <c r="CN1407" t="str">
        <f>""</f>
        <v/>
      </c>
      <c r="CO1407" t="str">
        <f>"Must have two (2) years of experience with data models, data mining, segmentation techniques using Hadoop or Python, SQL, NoSQL database design, Cloud Framework and AWS."</f>
        <v>Must have two (2) years of experience with data models, data mining, segmentation techniques using Hadoop or Python, SQL, NoSQL database design, Cloud Framework and AWS.</v>
      </c>
      <c r="CP1407" t="str">
        <f>"15-1132.00"</f>
        <v>15-1132.00</v>
      </c>
      <c r="CQ1407" t="s">
        <v>198</v>
      </c>
      <c r="CS1407" t="s">
        <v>131</v>
      </c>
      <c r="CU1407" t="s">
        <v>8701</v>
      </c>
      <c r="CW1407" t="s">
        <v>2323</v>
      </c>
      <c r="CX1407" t="s">
        <v>594</v>
      </c>
      <c r="CZ1407" s="3" t="str">
        <f>"27703"</f>
        <v>27703</v>
      </c>
      <c r="DA1407" t="s">
        <v>131</v>
      </c>
      <c r="DB1407" t="str">
        <f>""</f>
        <v/>
      </c>
      <c r="DF1407" t="str">
        <f>""</f>
        <v/>
      </c>
    </row>
    <row r="1408" spans="1:110" ht="15" customHeight="1" x14ac:dyDescent="0.35">
      <c r="A1408" t="s">
        <v>18395</v>
      </c>
      <c r="B1408" t="s">
        <v>138</v>
      </c>
      <c r="C1408" s="1">
        <v>44328</v>
      </c>
      <c r="G1408" s="1">
        <v>44328</v>
      </c>
      <c r="H1408" t="s">
        <v>125</v>
      </c>
      <c r="I1408" t="s">
        <v>838</v>
      </c>
      <c r="J1408" t="s">
        <v>839</v>
      </c>
      <c r="K1408" t="s">
        <v>840</v>
      </c>
      <c r="L1408" t="s">
        <v>844</v>
      </c>
      <c r="M1408" t="s">
        <v>2505</v>
      </c>
      <c r="N1408" t="s">
        <v>842</v>
      </c>
      <c r="O1408" t="s">
        <v>843</v>
      </c>
      <c r="P1408" t="s">
        <v>273</v>
      </c>
      <c r="Q1408" s="3">
        <v>7080</v>
      </c>
      <c r="R1408" t="s">
        <v>128</v>
      </c>
      <c r="T1408" s="4">
        <v>17328327978</v>
      </c>
      <c r="V1408" t="s">
        <v>844</v>
      </c>
      <c r="W1408" t="s">
        <v>15550</v>
      </c>
      <c r="Y1408" t="s">
        <v>4861</v>
      </c>
      <c r="Z1408" t="s">
        <v>2502</v>
      </c>
      <c r="AA1408" t="s">
        <v>4862</v>
      </c>
      <c r="AB1408" t="s">
        <v>276</v>
      </c>
      <c r="AC1408" s="3" t="str">
        <f>"08540"</f>
        <v>08540</v>
      </c>
      <c r="AD1408" t="s">
        <v>128</v>
      </c>
      <c r="AF1408" s="4">
        <v>19727527312</v>
      </c>
      <c r="AH1408" t="str">
        <f>"5416"</f>
        <v>5416</v>
      </c>
      <c r="AI1408" t="s">
        <v>130</v>
      </c>
      <c r="AJ1408" t="s">
        <v>838</v>
      </c>
      <c r="AK1408" t="s">
        <v>839</v>
      </c>
      <c r="AL1408" t="s">
        <v>840</v>
      </c>
      <c r="AM1408" t="s">
        <v>841</v>
      </c>
      <c r="AN1408" t="s">
        <v>842</v>
      </c>
      <c r="AO1408" t="s">
        <v>843</v>
      </c>
      <c r="AP1408" t="s">
        <v>276</v>
      </c>
      <c r="AQ1408" s="5">
        <v>7080</v>
      </c>
      <c r="AR1408" t="s">
        <v>128</v>
      </c>
      <c r="AT1408" s="4">
        <v>17328327978</v>
      </c>
      <c r="AV1408" t="s">
        <v>844</v>
      </c>
      <c r="AW1408" t="s">
        <v>18396</v>
      </c>
      <c r="AX1408" t="s">
        <v>131</v>
      </c>
      <c r="AY1408" t="s">
        <v>131</v>
      </c>
      <c r="AZ1408" t="s">
        <v>131</v>
      </c>
      <c r="BA1408" t="s">
        <v>131</v>
      </c>
      <c r="BB1408" t="s">
        <v>131</v>
      </c>
      <c r="BC1408" t="s">
        <v>131</v>
      </c>
      <c r="BD1408" t="s">
        <v>131</v>
      </c>
      <c r="BE1408" t="s">
        <v>132</v>
      </c>
      <c r="BH1408" t="s">
        <v>18397</v>
      </c>
      <c r="BI1408" t="s">
        <v>131</v>
      </c>
      <c r="BL1408" t="s">
        <v>188</v>
      </c>
      <c r="BN1408" t="s">
        <v>18398</v>
      </c>
      <c r="BO1408" t="s">
        <v>131</v>
      </c>
      <c r="BP1408" t="s">
        <v>134</v>
      </c>
      <c r="BQ1408" t="s">
        <v>131</v>
      </c>
      <c r="BS1408" t="str">
        <f t="shared" si="90"/>
        <v>N/A</v>
      </c>
      <c r="BT1408" t="s">
        <v>135</v>
      </c>
      <c r="BU1408">
        <v>12</v>
      </c>
      <c r="BV1408" t="str">
        <f>"JOB OFFERED OR RELATED OCCUPATION"</f>
        <v>JOB OFFERED OR RELATED OCCUPATION</v>
      </c>
      <c r="BW1408" t="s">
        <v>131</v>
      </c>
      <c r="BX1408" t="str">
        <f>""</f>
        <v/>
      </c>
      <c r="BY1408" t="str">
        <f>""</f>
        <v/>
      </c>
      <c r="BZ1408" t="str">
        <f>""</f>
        <v/>
      </c>
      <c r="CA1408" t="str">
        <f>""</f>
        <v/>
      </c>
      <c r="CB1408" t="s">
        <v>135</v>
      </c>
      <c r="CC1408" t="s">
        <v>133</v>
      </c>
      <c r="CE1408" t="s">
        <v>14729</v>
      </c>
      <c r="CF1408" t="s">
        <v>131</v>
      </c>
      <c r="CH1408" t="str">
        <f>"N/A"</f>
        <v>N/A</v>
      </c>
      <c r="CI1408" t="s">
        <v>135</v>
      </c>
      <c r="CJ1408">
        <v>60</v>
      </c>
      <c r="CK1408" t="s">
        <v>131</v>
      </c>
      <c r="CL1408" t="str">
        <f>""</f>
        <v/>
      </c>
      <c r="CM1408" t="str">
        <f>""</f>
        <v/>
      </c>
      <c r="CN1408" t="str">
        <f>""</f>
        <v/>
      </c>
      <c r="CO1408" t="str">
        <f>""</f>
        <v/>
      </c>
      <c r="CP1408" t="str">
        <f>"15-1121.00"</f>
        <v>15-1121.00</v>
      </c>
      <c r="CQ1408" t="s">
        <v>283</v>
      </c>
      <c r="CR1408" t="s">
        <v>849</v>
      </c>
      <c r="CS1408" t="s">
        <v>131</v>
      </c>
      <c r="CU1408" t="s">
        <v>2501</v>
      </c>
      <c r="CV1408" t="s">
        <v>2502</v>
      </c>
      <c r="CW1408" t="s">
        <v>4862</v>
      </c>
      <c r="CX1408" t="s">
        <v>276</v>
      </c>
      <c r="CZ1408" s="3" t="str">
        <f>"08540"</f>
        <v>08540</v>
      </c>
      <c r="DA1408" t="s">
        <v>131</v>
      </c>
      <c r="DB1408" t="str">
        <f>""</f>
        <v/>
      </c>
      <c r="DF1408" t="str">
        <f>""</f>
        <v/>
      </c>
    </row>
    <row r="1409" spans="1:110" ht="15" customHeight="1" x14ac:dyDescent="0.35">
      <c r="A1409" t="s">
        <v>16001</v>
      </c>
      <c r="B1409" t="s">
        <v>138</v>
      </c>
      <c r="C1409" s="1">
        <v>44328</v>
      </c>
      <c r="G1409" s="1">
        <v>44350</v>
      </c>
      <c r="H1409" t="s">
        <v>125</v>
      </c>
      <c r="I1409" t="s">
        <v>838</v>
      </c>
      <c r="J1409" t="s">
        <v>839</v>
      </c>
      <c r="K1409" t="s">
        <v>840</v>
      </c>
      <c r="L1409" t="s">
        <v>2565</v>
      </c>
      <c r="M1409" t="s">
        <v>841</v>
      </c>
      <c r="N1409" t="s">
        <v>842</v>
      </c>
      <c r="O1409" t="s">
        <v>843</v>
      </c>
      <c r="P1409" t="s">
        <v>273</v>
      </c>
      <c r="Q1409" s="3">
        <v>7080</v>
      </c>
      <c r="R1409" t="s">
        <v>128</v>
      </c>
      <c r="T1409" s="4">
        <v>17328327978</v>
      </c>
      <c r="V1409" t="s">
        <v>844</v>
      </c>
      <c r="W1409" t="s">
        <v>10035</v>
      </c>
      <c r="Y1409" t="s">
        <v>10036</v>
      </c>
      <c r="Z1409" t="s">
        <v>10037</v>
      </c>
      <c r="AA1409" t="s">
        <v>2596</v>
      </c>
      <c r="AB1409" t="s">
        <v>276</v>
      </c>
      <c r="AC1409" s="3" t="str">
        <f>"08854"</f>
        <v>08854</v>
      </c>
      <c r="AD1409" t="s">
        <v>128</v>
      </c>
      <c r="AF1409" s="4">
        <v>17326405254</v>
      </c>
      <c r="AH1409" t="str">
        <f>"541511"</f>
        <v>541511</v>
      </c>
      <c r="AI1409" t="s">
        <v>130</v>
      </c>
      <c r="AJ1409" t="s">
        <v>838</v>
      </c>
      <c r="AK1409" t="s">
        <v>839</v>
      </c>
      <c r="AL1409" t="s">
        <v>840</v>
      </c>
      <c r="AM1409" t="s">
        <v>841</v>
      </c>
      <c r="AN1409" t="s">
        <v>842</v>
      </c>
      <c r="AO1409" t="s">
        <v>843</v>
      </c>
      <c r="AP1409" t="s">
        <v>276</v>
      </c>
      <c r="AQ1409" s="5">
        <v>7080</v>
      </c>
      <c r="AR1409" t="s">
        <v>128</v>
      </c>
      <c r="AT1409" s="4">
        <v>17328327978</v>
      </c>
      <c r="AV1409" t="s">
        <v>844</v>
      </c>
      <c r="AW1409" t="s">
        <v>16002</v>
      </c>
      <c r="AX1409" t="s">
        <v>131</v>
      </c>
      <c r="AY1409" t="s">
        <v>131</v>
      </c>
      <c r="AZ1409" t="s">
        <v>131</v>
      </c>
      <c r="BA1409" t="s">
        <v>131</v>
      </c>
      <c r="BB1409" t="s">
        <v>131</v>
      </c>
      <c r="BC1409" t="s">
        <v>131</v>
      </c>
      <c r="BD1409" t="s">
        <v>131</v>
      </c>
      <c r="BE1409" t="s">
        <v>132</v>
      </c>
      <c r="BH1409" t="s">
        <v>846</v>
      </c>
      <c r="BI1409" t="s">
        <v>131</v>
      </c>
      <c r="BL1409" t="s">
        <v>188</v>
      </c>
      <c r="BN1409" t="s">
        <v>5390</v>
      </c>
      <c r="BO1409" t="s">
        <v>131</v>
      </c>
      <c r="BP1409" t="s">
        <v>134</v>
      </c>
      <c r="BQ1409" t="s">
        <v>131</v>
      </c>
      <c r="BS1409" t="str">
        <f t="shared" si="90"/>
        <v>N/A</v>
      </c>
      <c r="BT1409" t="s">
        <v>131</v>
      </c>
      <c r="BV1409" t="str">
        <f>""</f>
        <v/>
      </c>
      <c r="BW1409" t="s">
        <v>131</v>
      </c>
      <c r="BX1409" t="str">
        <f>""</f>
        <v/>
      </c>
      <c r="BY1409" t="str">
        <f>""</f>
        <v/>
      </c>
      <c r="BZ1409" t="str">
        <f>""</f>
        <v/>
      </c>
      <c r="CA1409" t="str">
        <f>""</f>
        <v/>
      </c>
      <c r="CB1409" t="s">
        <v>135</v>
      </c>
      <c r="CC1409" t="s">
        <v>133</v>
      </c>
      <c r="CE1409" t="s">
        <v>5390</v>
      </c>
      <c r="CF1409" t="s">
        <v>131</v>
      </c>
      <c r="CH1409" t="str">
        <f>"N/A"</f>
        <v>N/A</v>
      </c>
      <c r="CI1409" t="s">
        <v>135</v>
      </c>
      <c r="CJ1409">
        <v>60</v>
      </c>
      <c r="CK1409" t="s">
        <v>135</v>
      </c>
      <c r="CL1409" t="str">
        <f>""</f>
        <v/>
      </c>
      <c r="CM1409" t="str">
        <f>""</f>
        <v/>
      </c>
      <c r="CN1409" t="str">
        <f>""</f>
        <v/>
      </c>
      <c r="CO1409" t="s">
        <v>16003</v>
      </c>
      <c r="CP1409" t="str">
        <f>"15-1132.00"</f>
        <v>15-1132.00</v>
      </c>
      <c r="CQ1409" t="s">
        <v>198</v>
      </c>
      <c r="CR1409" t="s">
        <v>849</v>
      </c>
      <c r="CS1409" t="s">
        <v>131</v>
      </c>
      <c r="CU1409" t="s">
        <v>16004</v>
      </c>
      <c r="CV1409" t="s">
        <v>16005</v>
      </c>
      <c r="CW1409" t="s">
        <v>2596</v>
      </c>
      <c r="CX1409" t="s">
        <v>276</v>
      </c>
      <c r="CZ1409" s="3" t="str">
        <f>"08854"</f>
        <v>08854</v>
      </c>
      <c r="DA1409" t="s">
        <v>131</v>
      </c>
      <c r="DB1409" t="str">
        <f>""</f>
        <v/>
      </c>
      <c r="DF1409" t="str">
        <f>""</f>
        <v/>
      </c>
    </row>
    <row r="1410" spans="1:110" ht="15" customHeight="1" x14ac:dyDescent="0.35">
      <c r="A1410" t="s">
        <v>19207</v>
      </c>
      <c r="B1410" t="s">
        <v>138</v>
      </c>
      <c r="C1410" s="1">
        <v>44328</v>
      </c>
      <c r="G1410" s="1">
        <v>44357</v>
      </c>
      <c r="H1410" t="s">
        <v>125</v>
      </c>
      <c r="I1410" t="s">
        <v>6530</v>
      </c>
      <c r="J1410" t="s">
        <v>6531</v>
      </c>
      <c r="L1410" t="s">
        <v>6532</v>
      </c>
      <c r="M1410" t="s">
        <v>13671</v>
      </c>
      <c r="N1410" t="s">
        <v>1798</v>
      </c>
      <c r="O1410" t="s">
        <v>1677</v>
      </c>
      <c r="P1410" t="s">
        <v>857</v>
      </c>
      <c r="Q1410" s="3">
        <v>85260</v>
      </c>
      <c r="R1410" t="s">
        <v>128</v>
      </c>
      <c r="T1410" s="4">
        <v>17732430330</v>
      </c>
      <c r="V1410" t="s">
        <v>6533</v>
      </c>
      <c r="W1410" t="s">
        <v>6534</v>
      </c>
      <c r="Y1410" t="s">
        <v>6535</v>
      </c>
      <c r="AA1410" t="s">
        <v>1677</v>
      </c>
      <c r="AB1410" t="s">
        <v>808</v>
      </c>
      <c r="AC1410" s="3" t="str">
        <f>"85260"</f>
        <v>85260</v>
      </c>
      <c r="AD1410" t="s">
        <v>128</v>
      </c>
      <c r="AF1410" s="4">
        <v>17732430330</v>
      </c>
      <c r="AH1410" t="str">
        <f>"518210"</f>
        <v>518210</v>
      </c>
      <c r="AI1410" t="s">
        <v>130</v>
      </c>
      <c r="AJ1410" t="s">
        <v>3804</v>
      </c>
      <c r="AK1410" t="s">
        <v>5133</v>
      </c>
      <c r="AL1410" t="s">
        <v>135</v>
      </c>
      <c r="AM1410" t="s">
        <v>5134</v>
      </c>
      <c r="AO1410" t="s">
        <v>664</v>
      </c>
      <c r="AP1410" t="s">
        <v>172</v>
      </c>
      <c r="AQ1410" s="5">
        <v>95112</v>
      </c>
      <c r="AR1410" t="s">
        <v>128</v>
      </c>
      <c r="AT1410" s="4">
        <v>15128061457</v>
      </c>
      <c r="AV1410" t="s">
        <v>3262</v>
      </c>
      <c r="AW1410" t="s">
        <v>732</v>
      </c>
      <c r="AX1410" t="s">
        <v>131</v>
      </c>
      <c r="AY1410" t="s">
        <v>131</v>
      </c>
      <c r="AZ1410" t="s">
        <v>131</v>
      </c>
      <c r="BA1410" t="s">
        <v>131</v>
      </c>
      <c r="BB1410" t="s">
        <v>131</v>
      </c>
      <c r="BC1410" t="s">
        <v>131</v>
      </c>
      <c r="BD1410" t="s">
        <v>131</v>
      </c>
      <c r="BE1410" t="s">
        <v>132</v>
      </c>
      <c r="BH1410" t="s">
        <v>5498</v>
      </c>
      <c r="BI1410" t="s">
        <v>131</v>
      </c>
      <c r="BL1410" t="s">
        <v>188</v>
      </c>
      <c r="BN1410" t="s">
        <v>19208</v>
      </c>
      <c r="BO1410" t="s">
        <v>131</v>
      </c>
      <c r="BP1410" t="s">
        <v>134</v>
      </c>
      <c r="BQ1410" t="s">
        <v>131</v>
      </c>
      <c r="BS1410" t="str">
        <f t="shared" si="90"/>
        <v>N/A</v>
      </c>
      <c r="BT1410" t="s">
        <v>131</v>
      </c>
      <c r="BV1410" t="str">
        <f>""</f>
        <v/>
      </c>
      <c r="BW1410" t="s">
        <v>135</v>
      </c>
      <c r="BX1410" t="str">
        <f>""</f>
        <v/>
      </c>
      <c r="BY1410" t="str">
        <f>""</f>
        <v/>
      </c>
      <c r="BZ1410" t="str">
        <f>""</f>
        <v/>
      </c>
      <c r="CA1410" t="s">
        <v>19209</v>
      </c>
      <c r="CB1410" t="s">
        <v>131</v>
      </c>
      <c r="CF1410" t="s">
        <v>131</v>
      </c>
      <c r="CH1410" t="str">
        <f>""</f>
        <v/>
      </c>
      <c r="CI1410" t="s">
        <v>131</v>
      </c>
      <c r="CK1410" t="s">
        <v>131</v>
      </c>
      <c r="CL1410" t="str">
        <f>""</f>
        <v/>
      </c>
      <c r="CM1410" t="str">
        <f>""</f>
        <v/>
      </c>
      <c r="CN1410" t="str">
        <f>""</f>
        <v/>
      </c>
      <c r="CO1410" t="str">
        <f>""</f>
        <v/>
      </c>
      <c r="CP1410" t="str">
        <f>"15-2041.00"</f>
        <v>15-2041.00</v>
      </c>
      <c r="CQ1410" t="s">
        <v>379</v>
      </c>
      <c r="CR1410" t="s">
        <v>19210</v>
      </c>
      <c r="CS1410" t="s">
        <v>135</v>
      </c>
      <c r="CT1410" t="s">
        <v>13670</v>
      </c>
      <c r="CU1410" t="s">
        <v>6536</v>
      </c>
      <c r="CV1410" t="s">
        <v>1798</v>
      </c>
      <c r="CW1410" t="s">
        <v>1677</v>
      </c>
      <c r="CX1410" t="s">
        <v>808</v>
      </c>
      <c r="CZ1410" s="3" t="str">
        <f>"85260"</f>
        <v>85260</v>
      </c>
      <c r="DA1410" t="s">
        <v>135</v>
      </c>
      <c r="DB1410" t="str">
        <f>""</f>
        <v/>
      </c>
      <c r="DF1410" t="str">
        <f>""</f>
        <v/>
      </c>
    </row>
    <row r="1411" spans="1:110" ht="15" customHeight="1" x14ac:dyDescent="0.35">
      <c r="A1411" t="s">
        <v>15500</v>
      </c>
      <c r="B1411" t="s">
        <v>138</v>
      </c>
      <c r="C1411" s="1">
        <v>44328</v>
      </c>
      <c r="G1411" s="1">
        <v>44342</v>
      </c>
      <c r="H1411" t="s">
        <v>125</v>
      </c>
      <c r="I1411" t="s">
        <v>3783</v>
      </c>
      <c r="J1411" t="s">
        <v>3784</v>
      </c>
      <c r="K1411" t="s">
        <v>655</v>
      </c>
      <c r="L1411" t="s">
        <v>2612</v>
      </c>
      <c r="M1411" t="s">
        <v>3785</v>
      </c>
      <c r="N1411" t="s">
        <v>3786</v>
      </c>
      <c r="O1411" t="s">
        <v>647</v>
      </c>
      <c r="P1411" t="s">
        <v>178</v>
      </c>
      <c r="Q1411" s="3">
        <v>93438</v>
      </c>
      <c r="R1411" t="s">
        <v>128</v>
      </c>
      <c r="T1411" s="4">
        <v>15107911111</v>
      </c>
      <c r="V1411" t="s">
        <v>3787</v>
      </c>
      <c r="W1411" t="s">
        <v>15288</v>
      </c>
      <c r="Y1411" t="s">
        <v>3785</v>
      </c>
      <c r="Z1411" t="s">
        <v>8039</v>
      </c>
      <c r="AA1411" t="s">
        <v>647</v>
      </c>
      <c r="AB1411" t="s">
        <v>172</v>
      </c>
      <c r="AC1411" s="3" t="str">
        <f>"94538"</f>
        <v>94538</v>
      </c>
      <c r="AD1411" t="s">
        <v>128</v>
      </c>
      <c r="AF1411" s="4">
        <v>15107977006</v>
      </c>
      <c r="AH1411" t="str">
        <f>"541519"</f>
        <v>541519</v>
      </c>
      <c r="AI1411" t="s">
        <v>130</v>
      </c>
      <c r="AJ1411" t="s">
        <v>3783</v>
      </c>
      <c r="AK1411" t="s">
        <v>3784</v>
      </c>
      <c r="AL1411" t="s">
        <v>655</v>
      </c>
      <c r="AM1411" t="s">
        <v>3785</v>
      </c>
      <c r="AN1411" t="s">
        <v>3786</v>
      </c>
      <c r="AO1411" t="s">
        <v>647</v>
      </c>
      <c r="AP1411" t="s">
        <v>172</v>
      </c>
      <c r="AQ1411" s="5">
        <v>93438</v>
      </c>
      <c r="AR1411" t="s">
        <v>128</v>
      </c>
      <c r="AT1411" s="4">
        <v>15107911111</v>
      </c>
      <c r="AV1411" t="s">
        <v>3787</v>
      </c>
      <c r="AW1411" t="s">
        <v>3788</v>
      </c>
      <c r="AX1411" t="s">
        <v>131</v>
      </c>
      <c r="AY1411" t="s">
        <v>131</v>
      </c>
      <c r="AZ1411" t="s">
        <v>131</v>
      </c>
      <c r="BA1411" t="s">
        <v>131</v>
      </c>
      <c r="BB1411" t="s">
        <v>131</v>
      </c>
      <c r="BC1411" t="s">
        <v>131</v>
      </c>
      <c r="BD1411" t="s">
        <v>131</v>
      </c>
      <c r="BE1411" t="s">
        <v>132</v>
      </c>
      <c r="BH1411" t="s">
        <v>15501</v>
      </c>
      <c r="BI1411" t="s">
        <v>131</v>
      </c>
      <c r="BL1411" t="s">
        <v>133</v>
      </c>
      <c r="BN1411" t="s">
        <v>15502</v>
      </c>
      <c r="BO1411" t="s">
        <v>131</v>
      </c>
      <c r="BP1411" t="s">
        <v>134</v>
      </c>
      <c r="BQ1411" t="s">
        <v>131</v>
      </c>
      <c r="BS1411" t="str">
        <f t="shared" si="90"/>
        <v>N/A</v>
      </c>
      <c r="BT1411" t="s">
        <v>135</v>
      </c>
      <c r="BU1411">
        <v>60</v>
      </c>
      <c r="BV1411" t="str">
        <f>"System Engineer, Application Designer or related occupation"</f>
        <v>System Engineer, Application Designer or related occupation</v>
      </c>
      <c r="BW1411" t="s">
        <v>135</v>
      </c>
      <c r="BX1411" t="str">
        <f>""</f>
        <v/>
      </c>
      <c r="BY1411" t="str">
        <f>""</f>
        <v/>
      </c>
      <c r="BZ1411" t="str">
        <f>""</f>
        <v/>
      </c>
      <c r="CA1411" t="str">
        <f>"Position also requires experience in IBM WebSphere Application Server, IBM Message Queue, Java, Jenkins, Jira, Bitbucket, Unix shell scripting and Perl.   "</f>
        <v xml:space="preserve">Position also requires experience in IBM WebSphere Application Server, IBM Message Queue, Java, Jenkins, Jira, Bitbucket, Unix shell scripting and Perl.   </v>
      </c>
      <c r="CB1411" t="s">
        <v>131</v>
      </c>
      <c r="CF1411" t="s">
        <v>131</v>
      </c>
      <c r="CH1411" t="str">
        <f>""</f>
        <v/>
      </c>
      <c r="CI1411" t="s">
        <v>131</v>
      </c>
      <c r="CK1411" t="s">
        <v>131</v>
      </c>
      <c r="CL1411" t="str">
        <f>""</f>
        <v/>
      </c>
      <c r="CM1411" t="str">
        <f>""</f>
        <v/>
      </c>
      <c r="CN1411" t="str">
        <f>""</f>
        <v/>
      </c>
      <c r="CO1411" t="str">
        <f>""</f>
        <v/>
      </c>
      <c r="CP1411" t="str">
        <f>"15-1199.02"</f>
        <v>15-1199.02</v>
      </c>
      <c r="CQ1411" t="s">
        <v>2269</v>
      </c>
      <c r="CR1411" t="s">
        <v>1400</v>
      </c>
      <c r="CS1411" t="s">
        <v>135</v>
      </c>
      <c r="CT1411" t="s">
        <v>15289</v>
      </c>
      <c r="CU1411" t="s">
        <v>15288</v>
      </c>
      <c r="CV1411" t="s">
        <v>15290</v>
      </c>
      <c r="CW1411" t="s">
        <v>647</v>
      </c>
      <c r="CX1411" t="s">
        <v>172</v>
      </c>
      <c r="CZ1411" s="3" t="str">
        <f>"94538"</f>
        <v>94538</v>
      </c>
      <c r="DA1411" t="s">
        <v>131</v>
      </c>
      <c r="DB1411" t="str">
        <f>""</f>
        <v/>
      </c>
      <c r="DF1411" t="str">
        <f>""</f>
        <v/>
      </c>
    </row>
    <row r="1412" spans="1:110" ht="15" customHeight="1" x14ac:dyDescent="0.35">
      <c r="A1412" t="s">
        <v>14236</v>
      </c>
      <c r="B1412" t="s">
        <v>138</v>
      </c>
      <c r="C1412" s="1">
        <v>44328</v>
      </c>
      <c r="G1412" s="1">
        <v>44328</v>
      </c>
      <c r="H1412" t="s">
        <v>125</v>
      </c>
      <c r="I1412" t="s">
        <v>5275</v>
      </c>
      <c r="J1412" t="s">
        <v>196</v>
      </c>
      <c r="L1412" t="s">
        <v>3296</v>
      </c>
      <c r="M1412" t="s">
        <v>5278</v>
      </c>
      <c r="N1412" t="s">
        <v>12018</v>
      </c>
      <c r="O1412" t="s">
        <v>729</v>
      </c>
      <c r="P1412" t="s">
        <v>178</v>
      </c>
      <c r="Q1412" s="3">
        <v>91107</v>
      </c>
      <c r="R1412" t="s">
        <v>128</v>
      </c>
      <c r="T1412" s="4">
        <v>13234079439</v>
      </c>
      <c r="V1412" t="s">
        <v>5276</v>
      </c>
      <c r="W1412" t="s">
        <v>5277</v>
      </c>
      <c r="Y1412" t="s">
        <v>5278</v>
      </c>
      <c r="Z1412" t="s">
        <v>12018</v>
      </c>
      <c r="AA1412" t="s">
        <v>729</v>
      </c>
      <c r="AB1412" t="s">
        <v>172</v>
      </c>
      <c r="AC1412" s="3" t="str">
        <f>"91107"</f>
        <v>91107</v>
      </c>
      <c r="AD1412" t="s">
        <v>128</v>
      </c>
      <c r="AF1412" s="4">
        <v>13234079439</v>
      </c>
      <c r="AH1412" t="str">
        <f>"541519"</f>
        <v>541519</v>
      </c>
      <c r="AI1412" t="s">
        <v>130</v>
      </c>
      <c r="AJ1412" t="s">
        <v>3300</v>
      </c>
      <c r="AK1412" t="s">
        <v>5279</v>
      </c>
      <c r="AL1412" t="s">
        <v>667</v>
      </c>
      <c r="AM1412" t="s">
        <v>8115</v>
      </c>
      <c r="AN1412" t="s">
        <v>638</v>
      </c>
      <c r="AO1412" t="s">
        <v>476</v>
      </c>
      <c r="AP1412" t="s">
        <v>172</v>
      </c>
      <c r="AQ1412" s="5">
        <v>90025</v>
      </c>
      <c r="AR1412" t="s">
        <v>128</v>
      </c>
      <c r="AT1412" s="4">
        <v>13104791383</v>
      </c>
      <c r="AV1412" t="s">
        <v>8116</v>
      </c>
      <c r="AW1412" t="s">
        <v>5280</v>
      </c>
      <c r="AX1412" t="s">
        <v>131</v>
      </c>
      <c r="AY1412" t="s">
        <v>131</v>
      </c>
      <c r="AZ1412" t="s">
        <v>131</v>
      </c>
      <c r="BA1412" t="s">
        <v>131</v>
      </c>
      <c r="BB1412" t="s">
        <v>131</v>
      </c>
      <c r="BC1412" t="s">
        <v>131</v>
      </c>
      <c r="BD1412" t="s">
        <v>131</v>
      </c>
      <c r="BE1412" t="s">
        <v>132</v>
      </c>
      <c r="BH1412" t="s">
        <v>1133</v>
      </c>
      <c r="BI1412" t="s">
        <v>131</v>
      </c>
      <c r="BL1412" t="s">
        <v>188</v>
      </c>
      <c r="BN1412" t="s">
        <v>6283</v>
      </c>
      <c r="BO1412" t="s">
        <v>131</v>
      </c>
      <c r="BP1412" t="s">
        <v>134</v>
      </c>
      <c r="BQ1412" t="s">
        <v>131</v>
      </c>
      <c r="BS1412" t="str">
        <f t="shared" si="90"/>
        <v>N/A</v>
      </c>
      <c r="BT1412" t="s">
        <v>135</v>
      </c>
      <c r="BU1412">
        <v>24</v>
      </c>
      <c r="BV1412" t="str">
        <f>"Software Developer or related position."</f>
        <v>Software Developer or related position.</v>
      </c>
      <c r="BW1412" t="s">
        <v>135</v>
      </c>
      <c r="BX1412" t="str">
        <f>""</f>
        <v/>
      </c>
      <c r="BY1412" t="str">
        <f>""</f>
        <v/>
      </c>
      <c r="BZ1412" t="str">
        <f>""</f>
        <v/>
      </c>
      <c r="CA1412" t="s">
        <v>13709</v>
      </c>
      <c r="CB1412" t="s">
        <v>131</v>
      </c>
      <c r="CF1412" t="s">
        <v>131</v>
      </c>
      <c r="CH1412" t="str">
        <f>""</f>
        <v/>
      </c>
      <c r="CI1412" t="s">
        <v>131</v>
      </c>
      <c r="CK1412" t="s">
        <v>131</v>
      </c>
      <c r="CL1412" t="str">
        <f>""</f>
        <v/>
      </c>
      <c r="CM1412" t="str">
        <f>""</f>
        <v/>
      </c>
      <c r="CN1412" t="str">
        <f>""</f>
        <v/>
      </c>
      <c r="CO1412" t="str">
        <f>""</f>
        <v/>
      </c>
      <c r="CP1412" t="str">
        <f>"15-1132.00"</f>
        <v>15-1132.00</v>
      </c>
      <c r="CQ1412" t="s">
        <v>198</v>
      </c>
      <c r="CR1412" t="s">
        <v>3296</v>
      </c>
      <c r="CS1412" t="s">
        <v>131</v>
      </c>
      <c r="CU1412" t="s">
        <v>5278</v>
      </c>
      <c r="CV1412" t="s">
        <v>12018</v>
      </c>
      <c r="CW1412" t="s">
        <v>729</v>
      </c>
      <c r="CX1412" t="s">
        <v>172</v>
      </c>
      <c r="CZ1412" s="3" t="str">
        <f>"91107"</f>
        <v>91107</v>
      </c>
      <c r="DA1412" t="s">
        <v>131</v>
      </c>
      <c r="DB1412" t="str">
        <f>""</f>
        <v/>
      </c>
      <c r="DF1412" t="str">
        <f>""</f>
        <v/>
      </c>
    </row>
    <row r="1413" spans="1:110" ht="15" customHeight="1" x14ac:dyDescent="0.35">
      <c r="A1413" t="s">
        <v>8682</v>
      </c>
      <c r="B1413" t="s">
        <v>138</v>
      </c>
      <c r="C1413" s="1">
        <v>44328</v>
      </c>
      <c r="G1413" s="1">
        <v>44330</v>
      </c>
      <c r="H1413" t="s">
        <v>125</v>
      </c>
      <c r="I1413" t="s">
        <v>8683</v>
      </c>
      <c r="J1413" t="s">
        <v>1865</v>
      </c>
      <c r="L1413" t="s">
        <v>8684</v>
      </c>
      <c r="M1413" t="s">
        <v>2908</v>
      </c>
      <c r="O1413" t="s">
        <v>1866</v>
      </c>
      <c r="P1413" t="s">
        <v>178</v>
      </c>
      <c r="Q1413" s="3">
        <v>95134</v>
      </c>
      <c r="R1413" t="s">
        <v>128</v>
      </c>
      <c r="T1413" s="4">
        <v>14089190600</v>
      </c>
      <c r="V1413" t="s">
        <v>8685</v>
      </c>
      <c r="W1413" t="s">
        <v>8686</v>
      </c>
      <c r="Y1413" t="s">
        <v>8687</v>
      </c>
      <c r="AA1413" t="s">
        <v>1866</v>
      </c>
      <c r="AB1413" t="s">
        <v>172</v>
      </c>
      <c r="AC1413" s="3" t="str">
        <f>"95134"</f>
        <v>95134</v>
      </c>
      <c r="AD1413" t="s">
        <v>128</v>
      </c>
      <c r="AF1413" s="4">
        <v>14085761500</v>
      </c>
      <c r="AH1413" t="str">
        <f>"33599"</f>
        <v>33599</v>
      </c>
      <c r="AI1413" t="s">
        <v>130</v>
      </c>
      <c r="AJ1413" t="s">
        <v>1074</v>
      </c>
      <c r="AK1413" t="s">
        <v>8688</v>
      </c>
      <c r="AL1413" t="s">
        <v>134</v>
      </c>
      <c r="AM1413" t="s">
        <v>2908</v>
      </c>
      <c r="AN1413" t="s">
        <v>134</v>
      </c>
      <c r="AO1413" t="s">
        <v>1866</v>
      </c>
      <c r="AP1413" t="s">
        <v>172</v>
      </c>
      <c r="AQ1413" s="5">
        <v>95134</v>
      </c>
      <c r="AR1413" t="s">
        <v>128</v>
      </c>
      <c r="AS1413" t="s">
        <v>134</v>
      </c>
      <c r="AT1413" s="4">
        <v>14089190600</v>
      </c>
      <c r="AV1413" t="s">
        <v>8685</v>
      </c>
      <c r="AW1413" t="s">
        <v>386</v>
      </c>
      <c r="AX1413" t="s">
        <v>131</v>
      </c>
      <c r="AY1413" t="s">
        <v>131</v>
      </c>
      <c r="AZ1413" t="s">
        <v>131</v>
      </c>
      <c r="BA1413" t="s">
        <v>131</v>
      </c>
      <c r="BB1413" t="s">
        <v>131</v>
      </c>
      <c r="BC1413" t="s">
        <v>131</v>
      </c>
      <c r="BD1413" t="s">
        <v>131</v>
      </c>
      <c r="BE1413" t="s">
        <v>132</v>
      </c>
      <c r="BH1413" t="s">
        <v>8689</v>
      </c>
      <c r="BI1413" t="s">
        <v>131</v>
      </c>
      <c r="BL1413" t="s">
        <v>188</v>
      </c>
      <c r="BN1413" t="s">
        <v>8690</v>
      </c>
      <c r="BO1413" t="s">
        <v>131</v>
      </c>
      <c r="BP1413" t="s">
        <v>134</v>
      </c>
      <c r="BQ1413" t="s">
        <v>131</v>
      </c>
      <c r="BS1413" t="str">
        <f t="shared" si="90"/>
        <v>N/A</v>
      </c>
      <c r="BT1413" t="s">
        <v>135</v>
      </c>
      <c r="BU1413">
        <v>24</v>
      </c>
      <c r="BV1413" t="str">
        <f>"job offered, Verification Engineer, or related occupation"</f>
        <v>job offered, Verification Engineer, or related occupation</v>
      </c>
      <c r="BW1413" t="s">
        <v>131</v>
      </c>
      <c r="BX1413" t="str">
        <f>""</f>
        <v/>
      </c>
      <c r="BY1413" t="str">
        <f>""</f>
        <v/>
      </c>
      <c r="BZ1413" t="str">
        <f>""</f>
        <v/>
      </c>
      <c r="CA1413" t="str">
        <f>""</f>
        <v/>
      </c>
      <c r="CB1413" t="s">
        <v>131</v>
      </c>
      <c r="CF1413" t="s">
        <v>131</v>
      </c>
      <c r="CH1413" t="str">
        <f>""</f>
        <v/>
      </c>
      <c r="CI1413" t="s">
        <v>131</v>
      </c>
      <c r="CK1413" t="s">
        <v>131</v>
      </c>
      <c r="CL1413" t="str">
        <f>""</f>
        <v/>
      </c>
      <c r="CM1413" t="str">
        <f>""</f>
        <v/>
      </c>
      <c r="CN1413" t="str">
        <f>""</f>
        <v/>
      </c>
      <c r="CO1413" t="str">
        <f>""</f>
        <v/>
      </c>
      <c r="CP1413" t="str">
        <f>"17-2072.00"</f>
        <v>17-2072.00</v>
      </c>
      <c r="CQ1413" t="s">
        <v>865</v>
      </c>
      <c r="CR1413" t="s">
        <v>460</v>
      </c>
      <c r="CS1413" t="s">
        <v>131</v>
      </c>
      <c r="CU1413" t="s">
        <v>8691</v>
      </c>
      <c r="CV1413" t="s">
        <v>8692</v>
      </c>
      <c r="CW1413" t="s">
        <v>1040</v>
      </c>
      <c r="CX1413" t="s">
        <v>400</v>
      </c>
      <c r="CZ1413" s="3" t="str">
        <f>"78735"</f>
        <v>78735</v>
      </c>
      <c r="DA1413" t="s">
        <v>131</v>
      </c>
      <c r="DB1413" t="str">
        <f>""</f>
        <v/>
      </c>
      <c r="DF1413" t="str">
        <f>""</f>
        <v/>
      </c>
    </row>
    <row r="1414" spans="1:110" ht="15" customHeight="1" x14ac:dyDescent="0.35">
      <c r="A1414" t="s">
        <v>20118</v>
      </c>
      <c r="B1414" t="s">
        <v>138</v>
      </c>
      <c r="C1414" s="1">
        <v>44328</v>
      </c>
      <c r="G1414" s="1">
        <v>44330</v>
      </c>
      <c r="H1414" t="s">
        <v>125</v>
      </c>
      <c r="I1414" t="s">
        <v>10840</v>
      </c>
      <c r="J1414" t="s">
        <v>1865</v>
      </c>
      <c r="L1414" t="s">
        <v>8684</v>
      </c>
      <c r="M1414" t="s">
        <v>2908</v>
      </c>
      <c r="O1414" t="s">
        <v>1866</v>
      </c>
      <c r="P1414" t="s">
        <v>178</v>
      </c>
      <c r="Q1414" s="3">
        <v>95134</v>
      </c>
      <c r="R1414" t="s">
        <v>128</v>
      </c>
      <c r="T1414" s="4">
        <v>14089190600</v>
      </c>
      <c r="V1414" t="s">
        <v>8685</v>
      </c>
      <c r="W1414" t="s">
        <v>8686</v>
      </c>
      <c r="Y1414" t="s">
        <v>8687</v>
      </c>
      <c r="AA1414" t="s">
        <v>1866</v>
      </c>
      <c r="AB1414" t="s">
        <v>172</v>
      </c>
      <c r="AC1414" s="3" t="str">
        <f>"95134"</f>
        <v>95134</v>
      </c>
      <c r="AD1414" t="s">
        <v>128</v>
      </c>
      <c r="AF1414" s="4">
        <v>14085761500</v>
      </c>
      <c r="AH1414" t="str">
        <f>"33599"</f>
        <v>33599</v>
      </c>
      <c r="AI1414" t="s">
        <v>130</v>
      </c>
      <c r="AJ1414" t="s">
        <v>1074</v>
      </c>
      <c r="AK1414" t="s">
        <v>8688</v>
      </c>
      <c r="AL1414" t="s">
        <v>134</v>
      </c>
      <c r="AM1414" t="s">
        <v>2908</v>
      </c>
      <c r="AN1414" t="s">
        <v>134</v>
      </c>
      <c r="AO1414" t="s">
        <v>1866</v>
      </c>
      <c r="AP1414" t="s">
        <v>172</v>
      </c>
      <c r="AQ1414" s="5">
        <v>95134</v>
      </c>
      <c r="AR1414" t="s">
        <v>128</v>
      </c>
      <c r="AS1414" t="s">
        <v>134</v>
      </c>
      <c r="AT1414" s="4">
        <v>14089190600</v>
      </c>
      <c r="AV1414" t="s">
        <v>8685</v>
      </c>
      <c r="AW1414" t="s">
        <v>386</v>
      </c>
      <c r="AX1414" t="s">
        <v>131</v>
      </c>
      <c r="AY1414" t="s">
        <v>131</v>
      </c>
      <c r="AZ1414" t="s">
        <v>131</v>
      </c>
      <c r="BA1414" t="s">
        <v>131</v>
      </c>
      <c r="BB1414" t="s">
        <v>131</v>
      </c>
      <c r="BC1414" t="s">
        <v>131</v>
      </c>
      <c r="BD1414" t="s">
        <v>131</v>
      </c>
      <c r="BE1414" t="s">
        <v>132</v>
      </c>
      <c r="BH1414" t="s">
        <v>10842</v>
      </c>
      <c r="BI1414" t="s">
        <v>131</v>
      </c>
      <c r="BL1414" t="s">
        <v>188</v>
      </c>
      <c r="BN1414" t="s">
        <v>9597</v>
      </c>
      <c r="BO1414" t="s">
        <v>131</v>
      </c>
      <c r="BP1414" t="s">
        <v>134</v>
      </c>
      <c r="BQ1414" t="s">
        <v>131</v>
      </c>
      <c r="BS1414" t="str">
        <f t="shared" si="90"/>
        <v>N/A</v>
      </c>
      <c r="BT1414" t="s">
        <v>131</v>
      </c>
      <c r="BV1414" t="str">
        <f>""</f>
        <v/>
      </c>
      <c r="BW1414" t="s">
        <v>135</v>
      </c>
      <c r="BX1414" t="str">
        <f>""</f>
        <v/>
      </c>
      <c r="BY1414" t="str">
        <f>""</f>
        <v/>
      </c>
      <c r="BZ1414" t="str">
        <f>""</f>
        <v/>
      </c>
      <c r="CA1414" s="2" t="s">
        <v>18170</v>
      </c>
      <c r="CB1414" t="s">
        <v>131</v>
      </c>
      <c r="CF1414" t="s">
        <v>131</v>
      </c>
      <c r="CH1414" t="str">
        <f>""</f>
        <v/>
      </c>
      <c r="CI1414" t="s">
        <v>131</v>
      </c>
      <c r="CK1414" t="s">
        <v>131</v>
      </c>
      <c r="CL1414" t="str">
        <f>""</f>
        <v/>
      </c>
      <c r="CM1414" t="str">
        <f>""</f>
        <v/>
      </c>
      <c r="CN1414" t="str">
        <f>""</f>
        <v/>
      </c>
      <c r="CO1414" t="str">
        <f>""</f>
        <v/>
      </c>
      <c r="CP1414" t="str">
        <f>"17-2072.00"</f>
        <v>17-2072.00</v>
      </c>
      <c r="CQ1414" t="s">
        <v>865</v>
      </c>
      <c r="CR1414" t="s">
        <v>460</v>
      </c>
      <c r="CS1414" t="s">
        <v>131</v>
      </c>
      <c r="CU1414" t="s">
        <v>9598</v>
      </c>
      <c r="CV1414" t="s">
        <v>439</v>
      </c>
      <c r="CW1414" t="s">
        <v>856</v>
      </c>
      <c r="CX1414" t="s">
        <v>808</v>
      </c>
      <c r="CZ1414" s="3" t="str">
        <f>"85226"</f>
        <v>85226</v>
      </c>
      <c r="DA1414" t="s">
        <v>131</v>
      </c>
      <c r="DB1414" t="str">
        <f>""</f>
        <v/>
      </c>
      <c r="DF1414" t="str">
        <f>""</f>
        <v/>
      </c>
    </row>
    <row r="1415" spans="1:110" ht="15" customHeight="1" x14ac:dyDescent="0.35">
      <c r="A1415" t="s">
        <v>10200</v>
      </c>
      <c r="B1415" t="s">
        <v>138</v>
      </c>
      <c r="C1415" s="1">
        <v>44329</v>
      </c>
      <c r="G1415" s="1">
        <v>44358</v>
      </c>
      <c r="H1415" t="s">
        <v>125</v>
      </c>
      <c r="I1415" t="s">
        <v>2416</v>
      </c>
      <c r="J1415" t="s">
        <v>2417</v>
      </c>
      <c r="L1415" t="s">
        <v>1847</v>
      </c>
      <c r="M1415" t="s">
        <v>2418</v>
      </c>
      <c r="O1415" t="s">
        <v>2419</v>
      </c>
      <c r="P1415" t="s">
        <v>311</v>
      </c>
      <c r="Q1415" s="3">
        <v>19103</v>
      </c>
      <c r="R1415" t="s">
        <v>128</v>
      </c>
      <c r="T1415" s="4">
        <v>16179608170</v>
      </c>
      <c r="V1415" t="s">
        <v>2420</v>
      </c>
      <c r="W1415" t="s">
        <v>2421</v>
      </c>
      <c r="Y1415" t="s">
        <v>2418</v>
      </c>
      <c r="AA1415" t="s">
        <v>2419</v>
      </c>
      <c r="AB1415" t="s">
        <v>312</v>
      </c>
      <c r="AC1415" s="3" t="str">
        <f>"19103"</f>
        <v>19103</v>
      </c>
      <c r="AD1415" t="s">
        <v>128</v>
      </c>
      <c r="AF1415" s="4">
        <v>16179608170</v>
      </c>
      <c r="AH1415" t="str">
        <f>"54161"</f>
        <v>54161</v>
      </c>
      <c r="AI1415" t="s">
        <v>130</v>
      </c>
      <c r="AJ1415" t="s">
        <v>7996</v>
      </c>
      <c r="AK1415" t="s">
        <v>10201</v>
      </c>
      <c r="AM1415" t="s">
        <v>2422</v>
      </c>
      <c r="AN1415" t="s">
        <v>2423</v>
      </c>
      <c r="AO1415" t="s">
        <v>2424</v>
      </c>
      <c r="AP1415" t="s">
        <v>377</v>
      </c>
      <c r="AQ1415" s="5">
        <v>2110</v>
      </c>
      <c r="AR1415" t="s">
        <v>128</v>
      </c>
      <c r="AT1415" s="4">
        <v>18573095100</v>
      </c>
      <c r="AV1415" t="s">
        <v>2425</v>
      </c>
      <c r="AW1415" t="s">
        <v>366</v>
      </c>
      <c r="AX1415" t="s">
        <v>131</v>
      </c>
      <c r="AY1415" t="s">
        <v>131</v>
      </c>
      <c r="AZ1415" t="s">
        <v>131</v>
      </c>
      <c r="BA1415" t="s">
        <v>131</v>
      </c>
      <c r="BB1415" t="s">
        <v>131</v>
      </c>
      <c r="BC1415" t="s">
        <v>131</v>
      </c>
      <c r="BD1415" t="s">
        <v>131</v>
      </c>
      <c r="BE1415" t="s">
        <v>132</v>
      </c>
      <c r="BH1415" t="s">
        <v>10202</v>
      </c>
      <c r="BI1415" t="s">
        <v>131</v>
      </c>
      <c r="BL1415" t="s">
        <v>133</v>
      </c>
      <c r="BN1415" t="s">
        <v>3778</v>
      </c>
      <c r="BO1415" t="s">
        <v>131</v>
      </c>
      <c r="BP1415" t="s">
        <v>134</v>
      </c>
      <c r="BQ1415" t="s">
        <v>131</v>
      </c>
      <c r="BS1415" t="str">
        <f t="shared" si="90"/>
        <v>N/A</v>
      </c>
      <c r="BT1415" t="s">
        <v>135</v>
      </c>
      <c r="BU1415">
        <v>12</v>
      </c>
      <c r="BV1415" t="str">
        <f>"See F.B.5."</f>
        <v>See F.B.5.</v>
      </c>
      <c r="BW1415" t="s">
        <v>135</v>
      </c>
      <c r="BX1415" t="str">
        <f>""</f>
        <v/>
      </c>
      <c r="BY1415" t="str">
        <f>""</f>
        <v/>
      </c>
      <c r="BZ1415" t="str">
        <f>""</f>
        <v/>
      </c>
      <c r="CA1415" s="2" t="s">
        <v>10203</v>
      </c>
      <c r="CB1415" t="s">
        <v>131</v>
      </c>
      <c r="CF1415" t="s">
        <v>131</v>
      </c>
      <c r="CH1415" t="str">
        <f>""</f>
        <v/>
      </c>
      <c r="CI1415" t="s">
        <v>131</v>
      </c>
      <c r="CK1415" t="s">
        <v>131</v>
      </c>
      <c r="CL1415" t="str">
        <f>""</f>
        <v/>
      </c>
      <c r="CM1415" t="str">
        <f>""</f>
        <v/>
      </c>
      <c r="CN1415" t="str">
        <f>""</f>
        <v/>
      </c>
      <c r="CO1415" t="str">
        <f>""</f>
        <v/>
      </c>
      <c r="CP1415" t="str">
        <f>"15-1132.00"</f>
        <v>15-1132.00</v>
      </c>
      <c r="CQ1415" t="s">
        <v>198</v>
      </c>
      <c r="CS1415" t="s">
        <v>135</v>
      </c>
      <c r="CT1415" t="s">
        <v>10204</v>
      </c>
      <c r="CU1415" t="s">
        <v>6902</v>
      </c>
      <c r="CW1415" t="s">
        <v>494</v>
      </c>
      <c r="CX1415" t="s">
        <v>129</v>
      </c>
      <c r="CZ1415" s="3" t="str">
        <f>"10112"</f>
        <v>10112</v>
      </c>
      <c r="DA1415" t="s">
        <v>135</v>
      </c>
      <c r="DB1415" t="str">
        <f>""</f>
        <v/>
      </c>
      <c r="DF1415" t="str">
        <f>""</f>
        <v/>
      </c>
    </row>
    <row r="1416" spans="1:110" ht="15" customHeight="1" x14ac:dyDescent="0.35">
      <c r="A1416" t="s">
        <v>16748</v>
      </c>
      <c r="B1416" t="s">
        <v>138</v>
      </c>
      <c r="C1416" s="1">
        <v>44329</v>
      </c>
      <c r="G1416" s="1">
        <v>44369</v>
      </c>
      <c r="H1416" t="s">
        <v>125</v>
      </c>
      <c r="I1416" t="s">
        <v>9211</v>
      </c>
      <c r="J1416" t="s">
        <v>9212</v>
      </c>
      <c r="L1416" t="s">
        <v>7964</v>
      </c>
      <c r="M1416" t="s">
        <v>9374</v>
      </c>
      <c r="O1416" t="s">
        <v>4833</v>
      </c>
      <c r="P1416" t="s">
        <v>311</v>
      </c>
      <c r="Q1416" s="3">
        <v>19087</v>
      </c>
      <c r="R1416" t="s">
        <v>128</v>
      </c>
      <c r="T1416" s="4">
        <v>14845833795</v>
      </c>
      <c r="V1416" t="s">
        <v>9375</v>
      </c>
      <c r="W1416" t="s">
        <v>16749</v>
      </c>
      <c r="X1416" t="s">
        <v>16750</v>
      </c>
      <c r="Y1416" t="s">
        <v>16751</v>
      </c>
      <c r="AA1416" t="s">
        <v>4833</v>
      </c>
      <c r="AB1416" t="s">
        <v>312</v>
      </c>
      <c r="AC1416" s="3" t="str">
        <f>"19087"</f>
        <v>19087</v>
      </c>
      <c r="AD1416" t="s">
        <v>128</v>
      </c>
      <c r="AF1416" s="4">
        <v>14845831473</v>
      </c>
      <c r="AH1416" t="str">
        <f>"523930"</f>
        <v>523930</v>
      </c>
      <c r="AI1416" t="s">
        <v>130</v>
      </c>
      <c r="AJ1416" t="s">
        <v>5281</v>
      </c>
      <c r="AK1416" t="s">
        <v>3604</v>
      </c>
      <c r="AL1416" t="s">
        <v>1198</v>
      </c>
      <c r="AM1416" t="s">
        <v>315</v>
      </c>
      <c r="AN1416" t="s">
        <v>5495</v>
      </c>
      <c r="AO1416" t="s">
        <v>310</v>
      </c>
      <c r="AP1416" t="s">
        <v>312</v>
      </c>
      <c r="AQ1416" s="5">
        <v>19103</v>
      </c>
      <c r="AR1416" t="s">
        <v>128</v>
      </c>
      <c r="AT1416" s="4">
        <v>12158258600</v>
      </c>
      <c r="AV1416" t="s">
        <v>9376</v>
      </c>
      <c r="AW1416" t="s">
        <v>316</v>
      </c>
      <c r="AX1416" t="s">
        <v>131</v>
      </c>
      <c r="AY1416" t="s">
        <v>131</v>
      </c>
      <c r="AZ1416" t="s">
        <v>131</v>
      </c>
      <c r="BA1416" t="s">
        <v>131</v>
      </c>
      <c r="BB1416" t="s">
        <v>131</v>
      </c>
      <c r="BC1416" t="s">
        <v>131</v>
      </c>
      <c r="BD1416" t="s">
        <v>131</v>
      </c>
      <c r="BE1416" t="s">
        <v>132</v>
      </c>
      <c r="BH1416" t="s">
        <v>16752</v>
      </c>
      <c r="BI1416" t="s">
        <v>131</v>
      </c>
      <c r="BL1416" t="s">
        <v>133</v>
      </c>
      <c r="BN1416" t="s">
        <v>16753</v>
      </c>
      <c r="BO1416" t="s">
        <v>131</v>
      </c>
      <c r="BP1416" t="s">
        <v>134</v>
      </c>
      <c r="BQ1416" t="s">
        <v>131</v>
      </c>
      <c r="BS1416" t="str">
        <f t="shared" si="90"/>
        <v>N/A</v>
      </c>
      <c r="BT1416" t="s">
        <v>135</v>
      </c>
      <c r="BU1416">
        <v>24</v>
      </c>
      <c r="BV1416" t="str">
        <f>"Any that provide required experience"</f>
        <v>Any that provide required experience</v>
      </c>
      <c r="BW1416" t="s">
        <v>135</v>
      </c>
      <c r="BX1416" t="str">
        <f>""</f>
        <v/>
      </c>
      <c r="BY1416" t="str">
        <f>""</f>
        <v/>
      </c>
      <c r="BZ1416" t="str">
        <f>""</f>
        <v/>
      </c>
      <c r="CA1416" t="s">
        <v>16754</v>
      </c>
      <c r="CB1416" t="s">
        <v>131</v>
      </c>
      <c r="CF1416" t="s">
        <v>131</v>
      </c>
      <c r="CH1416" t="str">
        <f>""</f>
        <v/>
      </c>
      <c r="CI1416" t="s">
        <v>131</v>
      </c>
      <c r="CK1416" t="s">
        <v>131</v>
      </c>
      <c r="CL1416" t="str">
        <f>""</f>
        <v/>
      </c>
      <c r="CM1416" t="str">
        <f>""</f>
        <v/>
      </c>
      <c r="CN1416" t="str">
        <f>""</f>
        <v/>
      </c>
      <c r="CO1416" t="str">
        <f>""</f>
        <v/>
      </c>
      <c r="CP1416" t="str">
        <f>"15-1199.06"</f>
        <v>15-1199.06</v>
      </c>
      <c r="CQ1416" t="s">
        <v>988</v>
      </c>
      <c r="CR1416" t="s">
        <v>16755</v>
      </c>
      <c r="CS1416" t="s">
        <v>131</v>
      </c>
      <c r="CU1416" t="s">
        <v>9374</v>
      </c>
      <c r="CW1416" t="s">
        <v>16756</v>
      </c>
      <c r="CX1416" t="s">
        <v>312</v>
      </c>
      <c r="CZ1416" s="3" t="str">
        <f>"19087"</f>
        <v>19087</v>
      </c>
      <c r="DA1416" t="s">
        <v>131</v>
      </c>
      <c r="DB1416" t="str">
        <f>""</f>
        <v/>
      </c>
      <c r="DF1416" t="str">
        <f>""</f>
        <v/>
      </c>
    </row>
    <row r="1417" spans="1:110" ht="15" customHeight="1" x14ac:dyDescent="0.35">
      <c r="A1417" t="s">
        <v>11419</v>
      </c>
      <c r="B1417" t="s">
        <v>138</v>
      </c>
      <c r="C1417" s="1">
        <v>44329</v>
      </c>
      <c r="G1417" s="1">
        <v>44364</v>
      </c>
      <c r="H1417" t="s">
        <v>125</v>
      </c>
      <c r="I1417" t="s">
        <v>3853</v>
      </c>
      <c r="J1417" t="s">
        <v>11420</v>
      </c>
      <c r="L1417" t="s">
        <v>11421</v>
      </c>
      <c r="M1417" t="s">
        <v>11422</v>
      </c>
      <c r="O1417" t="s">
        <v>8326</v>
      </c>
      <c r="P1417" t="s">
        <v>507</v>
      </c>
      <c r="Q1417" s="3">
        <v>48167</v>
      </c>
      <c r="R1417" t="s">
        <v>128</v>
      </c>
      <c r="T1417" s="4">
        <v>12485676779</v>
      </c>
      <c r="V1417" t="s">
        <v>11423</v>
      </c>
      <c r="W1417" t="s">
        <v>11424</v>
      </c>
      <c r="Y1417" t="s">
        <v>11422</v>
      </c>
      <c r="AA1417" t="s">
        <v>8326</v>
      </c>
      <c r="AB1417" t="s">
        <v>511</v>
      </c>
      <c r="AC1417" s="3" t="str">
        <f>"48167"</f>
        <v>48167</v>
      </c>
      <c r="AD1417" t="s">
        <v>128</v>
      </c>
      <c r="AF1417" s="4">
        <v>12485040500</v>
      </c>
      <c r="AH1417" t="str">
        <f>"33632"</f>
        <v>33632</v>
      </c>
      <c r="AI1417" t="s">
        <v>130</v>
      </c>
      <c r="AJ1417" t="s">
        <v>4418</v>
      </c>
      <c r="AK1417" t="s">
        <v>492</v>
      </c>
      <c r="AL1417" t="s">
        <v>332</v>
      </c>
      <c r="AM1417" t="s">
        <v>4419</v>
      </c>
      <c r="AN1417" t="s">
        <v>4420</v>
      </c>
      <c r="AO1417" t="s">
        <v>262</v>
      </c>
      <c r="AP1417" t="s">
        <v>263</v>
      </c>
      <c r="AQ1417" s="5">
        <v>60606</v>
      </c>
      <c r="AR1417" t="s">
        <v>128</v>
      </c>
      <c r="AT1417" s="4">
        <v>13127019375</v>
      </c>
      <c r="AV1417" t="s">
        <v>4421</v>
      </c>
      <c r="AW1417" t="s">
        <v>4094</v>
      </c>
      <c r="AX1417" t="s">
        <v>131</v>
      </c>
      <c r="AY1417" t="s">
        <v>131</v>
      </c>
      <c r="AZ1417" t="s">
        <v>131</v>
      </c>
      <c r="BA1417" t="s">
        <v>131</v>
      </c>
      <c r="BB1417" t="s">
        <v>131</v>
      </c>
      <c r="BC1417" t="s">
        <v>131</v>
      </c>
      <c r="BD1417" t="s">
        <v>131</v>
      </c>
      <c r="BE1417" t="s">
        <v>132</v>
      </c>
      <c r="BH1417" t="s">
        <v>11425</v>
      </c>
      <c r="BI1417" t="s">
        <v>131</v>
      </c>
      <c r="BL1417" t="s">
        <v>188</v>
      </c>
      <c r="BN1417" t="s">
        <v>11426</v>
      </c>
      <c r="BO1417" t="s">
        <v>131</v>
      </c>
      <c r="BP1417" t="s">
        <v>134</v>
      </c>
      <c r="BQ1417" t="s">
        <v>131</v>
      </c>
      <c r="BS1417" t="str">
        <f t="shared" ref="BS1417:BS1480" si="91">"N/A"</f>
        <v>N/A</v>
      </c>
      <c r="BT1417" t="s">
        <v>135</v>
      </c>
      <c r="BU1417">
        <v>36</v>
      </c>
      <c r="BV1417" t="str">
        <f>"Experience defined in F.b.5."</f>
        <v>Experience defined in F.b.5.</v>
      </c>
      <c r="BW1417" t="s">
        <v>135</v>
      </c>
      <c r="BX1417" t="str">
        <f>""</f>
        <v/>
      </c>
      <c r="BY1417" t="str">
        <f>""</f>
        <v/>
      </c>
      <c r="BZ1417" t="str">
        <f>""</f>
        <v/>
      </c>
      <c r="CA1417" t="s">
        <v>11427</v>
      </c>
      <c r="CB1417" t="s">
        <v>135</v>
      </c>
      <c r="CC1417" t="s">
        <v>133</v>
      </c>
      <c r="CE1417" t="s">
        <v>11426</v>
      </c>
      <c r="CF1417" t="s">
        <v>131</v>
      </c>
      <c r="CH1417" t="str">
        <f>"N/A"</f>
        <v>N/A</v>
      </c>
      <c r="CI1417" t="s">
        <v>135</v>
      </c>
      <c r="CJ1417">
        <v>60</v>
      </c>
      <c r="CK1417" t="s">
        <v>135</v>
      </c>
      <c r="CL1417" t="str">
        <f>""</f>
        <v/>
      </c>
      <c r="CM1417" t="str">
        <f>""</f>
        <v/>
      </c>
      <c r="CN1417" t="str">
        <f>""</f>
        <v/>
      </c>
      <c r="CO1417" t="s">
        <v>11427</v>
      </c>
      <c r="CP1417" t="str">
        <f>"15-1133.00"</f>
        <v>15-1133.00</v>
      </c>
      <c r="CQ1417" t="s">
        <v>648</v>
      </c>
      <c r="CR1417" t="s">
        <v>11428</v>
      </c>
      <c r="CS1417" t="s">
        <v>131</v>
      </c>
      <c r="CU1417" t="s">
        <v>11422</v>
      </c>
      <c r="CW1417" t="s">
        <v>8326</v>
      </c>
      <c r="CX1417" t="s">
        <v>511</v>
      </c>
      <c r="CZ1417" s="3" t="str">
        <f>"48167"</f>
        <v>48167</v>
      </c>
      <c r="DA1417" t="s">
        <v>131</v>
      </c>
      <c r="DB1417" t="str">
        <f>""</f>
        <v/>
      </c>
      <c r="DF1417" t="str">
        <f>""</f>
        <v/>
      </c>
    </row>
    <row r="1418" spans="1:110" ht="15" customHeight="1" x14ac:dyDescent="0.35">
      <c r="A1418" t="s">
        <v>7244</v>
      </c>
      <c r="B1418" t="s">
        <v>138</v>
      </c>
      <c r="C1418" s="1">
        <v>44329</v>
      </c>
      <c r="G1418" s="1">
        <v>44329</v>
      </c>
      <c r="H1418" t="s">
        <v>125</v>
      </c>
      <c r="I1418" t="s">
        <v>2821</v>
      </c>
      <c r="J1418" t="s">
        <v>7245</v>
      </c>
      <c r="L1418" t="s">
        <v>223</v>
      </c>
      <c r="M1418" t="s">
        <v>7246</v>
      </c>
      <c r="N1418" t="s">
        <v>2415</v>
      </c>
      <c r="O1418" t="s">
        <v>129</v>
      </c>
      <c r="P1418" t="s">
        <v>127</v>
      </c>
      <c r="Q1418" s="3">
        <v>10022</v>
      </c>
      <c r="R1418" t="s">
        <v>128</v>
      </c>
      <c r="T1418" s="4">
        <v>12124218804</v>
      </c>
      <c r="V1418" t="s">
        <v>134</v>
      </c>
      <c r="W1418" t="s">
        <v>7247</v>
      </c>
      <c r="X1418" t="s">
        <v>7248</v>
      </c>
      <c r="Y1418" t="s">
        <v>7246</v>
      </c>
      <c r="Z1418" t="s">
        <v>7249</v>
      </c>
      <c r="AA1418" t="s">
        <v>129</v>
      </c>
      <c r="AB1418" t="s">
        <v>129</v>
      </c>
      <c r="AC1418" s="3" t="str">
        <f>"10022"</f>
        <v>10022</v>
      </c>
      <c r="AD1418" t="s">
        <v>128</v>
      </c>
      <c r="AF1418" s="4">
        <v>12124218804</v>
      </c>
      <c r="AH1418" t="str">
        <f>"531210"</f>
        <v>531210</v>
      </c>
      <c r="AI1418" t="s">
        <v>130</v>
      </c>
      <c r="AJ1418" t="s">
        <v>7250</v>
      </c>
      <c r="AK1418" t="s">
        <v>7251</v>
      </c>
      <c r="AM1418" t="s">
        <v>7252</v>
      </c>
      <c r="AN1418" t="s">
        <v>7253</v>
      </c>
      <c r="AO1418" t="s">
        <v>5306</v>
      </c>
      <c r="AP1418" t="s">
        <v>276</v>
      </c>
      <c r="AQ1418" s="5">
        <v>7024</v>
      </c>
      <c r="AR1418" t="s">
        <v>128</v>
      </c>
      <c r="AT1418" s="4">
        <v>12014015005</v>
      </c>
      <c r="AV1418" t="s">
        <v>7254</v>
      </c>
      <c r="AW1418" t="s">
        <v>7255</v>
      </c>
      <c r="AX1418" t="s">
        <v>131</v>
      </c>
      <c r="AY1418" t="s">
        <v>131</v>
      </c>
      <c r="AZ1418" t="s">
        <v>131</v>
      </c>
      <c r="BA1418" t="s">
        <v>131</v>
      </c>
      <c r="BB1418" t="s">
        <v>131</v>
      </c>
      <c r="BC1418" t="s">
        <v>131</v>
      </c>
      <c r="BD1418" t="s">
        <v>131</v>
      </c>
      <c r="BE1418" t="s">
        <v>132</v>
      </c>
      <c r="BH1418" t="s">
        <v>7256</v>
      </c>
      <c r="BI1418" t="s">
        <v>131</v>
      </c>
      <c r="BL1418" t="s">
        <v>133</v>
      </c>
      <c r="BN1418" t="s">
        <v>7257</v>
      </c>
      <c r="BO1418" t="s">
        <v>131</v>
      </c>
      <c r="BP1418" t="s">
        <v>134</v>
      </c>
      <c r="BQ1418" t="s">
        <v>131</v>
      </c>
      <c r="BS1418" t="str">
        <f t="shared" si="91"/>
        <v>N/A</v>
      </c>
      <c r="BT1418" t="s">
        <v>131</v>
      </c>
      <c r="BV1418" t="str">
        <f>""</f>
        <v/>
      </c>
      <c r="BW1418" t="s">
        <v>135</v>
      </c>
      <c r="BX1418" t="str">
        <f>""</f>
        <v/>
      </c>
      <c r="BY1418" t="str">
        <f>""</f>
        <v/>
      </c>
      <c r="BZ1418" t="str">
        <f>""</f>
        <v/>
      </c>
      <c r="CA1418" t="str">
        <f>"PROFICIENCY IN MICROSOFT WORD, POWERPOINT, AND EXCEL"</f>
        <v>PROFICIENCY IN MICROSOFT WORD, POWERPOINT, AND EXCEL</v>
      </c>
      <c r="CB1418" t="s">
        <v>131</v>
      </c>
      <c r="CF1418" t="s">
        <v>131</v>
      </c>
      <c r="CH1418" t="str">
        <f>""</f>
        <v/>
      </c>
      <c r="CI1418" t="s">
        <v>131</v>
      </c>
      <c r="CK1418" t="s">
        <v>131</v>
      </c>
      <c r="CL1418" t="str">
        <f>""</f>
        <v/>
      </c>
      <c r="CM1418" t="str">
        <f>""</f>
        <v/>
      </c>
      <c r="CN1418" t="str">
        <f>""</f>
        <v/>
      </c>
      <c r="CO1418" t="str">
        <f>""</f>
        <v/>
      </c>
      <c r="CP1418" t="str">
        <f>"13-1161.00"</f>
        <v>13-1161.00</v>
      </c>
      <c r="CQ1418" t="s">
        <v>252</v>
      </c>
      <c r="CR1418" t="s">
        <v>223</v>
      </c>
      <c r="CS1418" t="s">
        <v>131</v>
      </c>
      <c r="CU1418" t="s">
        <v>7258</v>
      </c>
      <c r="CV1418" t="s">
        <v>7249</v>
      </c>
      <c r="CW1418" t="s">
        <v>129</v>
      </c>
      <c r="CX1418" t="s">
        <v>129</v>
      </c>
      <c r="CZ1418" s="3" t="str">
        <f>"10022"</f>
        <v>10022</v>
      </c>
      <c r="DA1418" t="s">
        <v>131</v>
      </c>
      <c r="DB1418" t="str">
        <f>""</f>
        <v/>
      </c>
      <c r="DF1418" t="str">
        <f>""</f>
        <v/>
      </c>
    </row>
    <row r="1419" spans="1:110" ht="15" customHeight="1" x14ac:dyDescent="0.35">
      <c r="A1419" t="s">
        <v>7605</v>
      </c>
      <c r="B1419" t="s">
        <v>138</v>
      </c>
      <c r="C1419" s="1">
        <v>44329</v>
      </c>
      <c r="G1419" s="1">
        <v>44336</v>
      </c>
      <c r="H1419" t="s">
        <v>125</v>
      </c>
      <c r="I1419" t="s">
        <v>5791</v>
      </c>
      <c r="J1419" t="s">
        <v>7606</v>
      </c>
      <c r="L1419" t="s">
        <v>587</v>
      </c>
      <c r="M1419" t="s">
        <v>7607</v>
      </c>
      <c r="N1419" t="s">
        <v>2293</v>
      </c>
      <c r="O1419" t="s">
        <v>1040</v>
      </c>
      <c r="P1419" t="s">
        <v>412</v>
      </c>
      <c r="Q1419" s="3">
        <v>78759</v>
      </c>
      <c r="R1419" t="s">
        <v>128</v>
      </c>
      <c r="T1419" s="4">
        <v>16502411221</v>
      </c>
      <c r="V1419" t="s">
        <v>7608</v>
      </c>
      <c r="W1419" t="s">
        <v>7609</v>
      </c>
      <c r="Y1419" t="s">
        <v>7610</v>
      </c>
      <c r="Z1419" t="s">
        <v>2293</v>
      </c>
      <c r="AA1419" t="s">
        <v>608</v>
      </c>
      <c r="AB1419" t="s">
        <v>400</v>
      </c>
      <c r="AC1419" s="3" t="str">
        <f>"78759"</f>
        <v>78759</v>
      </c>
      <c r="AD1419" t="s">
        <v>128</v>
      </c>
      <c r="AF1419" s="4">
        <v>16502411221</v>
      </c>
      <c r="AH1419" t="str">
        <f>"33911"</f>
        <v>33911</v>
      </c>
      <c r="AI1419" t="s">
        <v>130</v>
      </c>
      <c r="AJ1419" t="s">
        <v>802</v>
      </c>
      <c r="AK1419" t="s">
        <v>803</v>
      </c>
      <c r="AL1419" t="s">
        <v>655</v>
      </c>
      <c r="AM1419" t="s">
        <v>805</v>
      </c>
      <c r="AN1419" t="s">
        <v>806</v>
      </c>
      <c r="AO1419" t="s">
        <v>807</v>
      </c>
      <c r="AP1419" t="s">
        <v>808</v>
      </c>
      <c r="AQ1419" s="5">
        <v>85020</v>
      </c>
      <c r="AR1419" t="s">
        <v>128</v>
      </c>
      <c r="AT1419" s="4">
        <v>16022661825</v>
      </c>
      <c r="AV1419" t="s">
        <v>3660</v>
      </c>
      <c r="AW1419" t="s">
        <v>548</v>
      </c>
      <c r="AX1419" t="s">
        <v>131</v>
      </c>
      <c r="AY1419" t="s">
        <v>131</v>
      </c>
      <c r="AZ1419" t="s">
        <v>131</v>
      </c>
      <c r="BA1419" t="s">
        <v>131</v>
      </c>
      <c r="BB1419" t="s">
        <v>131</v>
      </c>
      <c r="BC1419" t="s">
        <v>131</v>
      </c>
      <c r="BD1419" t="s">
        <v>131</v>
      </c>
      <c r="BE1419" t="s">
        <v>132</v>
      </c>
      <c r="BH1419" t="s">
        <v>7611</v>
      </c>
      <c r="BI1419" t="s">
        <v>131</v>
      </c>
      <c r="BL1419" t="s">
        <v>133</v>
      </c>
      <c r="BN1419" t="s">
        <v>7612</v>
      </c>
      <c r="BO1419" t="s">
        <v>131</v>
      </c>
      <c r="BP1419" t="s">
        <v>134</v>
      </c>
      <c r="BQ1419" t="s">
        <v>131</v>
      </c>
      <c r="BS1419" t="str">
        <f t="shared" si="91"/>
        <v>N/A</v>
      </c>
      <c r="BT1419" t="s">
        <v>131</v>
      </c>
      <c r="BV1419" t="str">
        <f>""</f>
        <v/>
      </c>
      <c r="BW1419" t="s">
        <v>135</v>
      </c>
      <c r="BX1419" t="str">
        <f>""</f>
        <v/>
      </c>
      <c r="BY1419" t="str">
        <f>""</f>
        <v/>
      </c>
      <c r="BZ1419" t="str">
        <f>""</f>
        <v/>
      </c>
      <c r="CA1419" s="2" t="s">
        <v>7613</v>
      </c>
      <c r="CB1419" t="s">
        <v>131</v>
      </c>
      <c r="CF1419" t="s">
        <v>131</v>
      </c>
      <c r="CH1419" t="str">
        <f>""</f>
        <v/>
      </c>
      <c r="CI1419" t="s">
        <v>131</v>
      </c>
      <c r="CK1419" t="s">
        <v>131</v>
      </c>
      <c r="CL1419" t="str">
        <f>""</f>
        <v/>
      </c>
      <c r="CM1419" t="str">
        <f>""</f>
        <v/>
      </c>
      <c r="CN1419" t="str">
        <f>""</f>
        <v/>
      </c>
      <c r="CO1419" t="str">
        <f>""</f>
        <v/>
      </c>
      <c r="CP1419" t="str">
        <f>"15-1199.01"</f>
        <v>15-1199.01</v>
      </c>
      <c r="CQ1419" t="s">
        <v>308</v>
      </c>
      <c r="CR1419" t="s">
        <v>7614</v>
      </c>
      <c r="CS1419" t="s">
        <v>131</v>
      </c>
      <c r="CU1419" t="s">
        <v>7615</v>
      </c>
      <c r="CV1419" t="s">
        <v>2658</v>
      </c>
      <c r="CW1419" t="s">
        <v>1322</v>
      </c>
      <c r="CX1419" t="s">
        <v>172</v>
      </c>
      <c r="CZ1419" s="3" t="str">
        <f>"94063"</f>
        <v>94063</v>
      </c>
      <c r="DA1419" t="s">
        <v>131</v>
      </c>
      <c r="DB1419" t="str">
        <f>""</f>
        <v/>
      </c>
      <c r="DF1419" t="str">
        <f>""</f>
        <v/>
      </c>
    </row>
    <row r="1420" spans="1:110" ht="15" customHeight="1" x14ac:dyDescent="0.35">
      <c r="A1420" t="s">
        <v>19363</v>
      </c>
      <c r="B1420" t="s">
        <v>138</v>
      </c>
      <c r="C1420" s="1">
        <v>44329</v>
      </c>
      <c r="G1420" s="1">
        <v>44333</v>
      </c>
      <c r="H1420" t="s">
        <v>125</v>
      </c>
      <c r="I1420" t="s">
        <v>18069</v>
      </c>
      <c r="J1420" t="s">
        <v>3350</v>
      </c>
      <c r="L1420" t="s">
        <v>1248</v>
      </c>
      <c r="M1420" t="s">
        <v>2833</v>
      </c>
      <c r="N1420" t="s">
        <v>380</v>
      </c>
      <c r="O1420" t="s">
        <v>885</v>
      </c>
      <c r="P1420" t="s">
        <v>412</v>
      </c>
      <c r="Q1420" s="3">
        <v>77043</v>
      </c>
      <c r="R1420" t="s">
        <v>128</v>
      </c>
      <c r="T1420" s="4">
        <v>14695052764</v>
      </c>
      <c r="V1420" t="s">
        <v>3351</v>
      </c>
      <c r="W1420" t="s">
        <v>3352</v>
      </c>
      <c r="Y1420" t="s">
        <v>3353</v>
      </c>
      <c r="AA1420" t="s">
        <v>661</v>
      </c>
      <c r="AB1420" t="s">
        <v>172</v>
      </c>
      <c r="AC1420" s="3" t="str">
        <f>"94404"</f>
        <v>94404</v>
      </c>
      <c r="AD1420" t="s">
        <v>128</v>
      </c>
      <c r="AE1420" t="s">
        <v>172</v>
      </c>
      <c r="AF1420" s="4">
        <v>16504328837</v>
      </c>
      <c r="AH1420" t="str">
        <f>"52232"</f>
        <v>52232</v>
      </c>
      <c r="AI1420" t="s">
        <v>130</v>
      </c>
      <c r="AJ1420" t="s">
        <v>3354</v>
      </c>
      <c r="AK1420" t="s">
        <v>3350</v>
      </c>
      <c r="AM1420" t="s">
        <v>2833</v>
      </c>
      <c r="AN1420" t="s">
        <v>380</v>
      </c>
      <c r="AO1420" t="s">
        <v>885</v>
      </c>
      <c r="AP1420" t="s">
        <v>400</v>
      </c>
      <c r="AQ1420" s="5">
        <v>77043</v>
      </c>
      <c r="AR1420" t="s">
        <v>128</v>
      </c>
      <c r="AT1420" s="4">
        <v>14695052764</v>
      </c>
      <c r="AV1420" t="s">
        <v>3351</v>
      </c>
      <c r="AW1420" t="s">
        <v>367</v>
      </c>
      <c r="AX1420" t="s">
        <v>131</v>
      </c>
      <c r="AY1420" t="s">
        <v>131</v>
      </c>
      <c r="AZ1420" t="s">
        <v>131</v>
      </c>
      <c r="BA1420" t="s">
        <v>131</v>
      </c>
      <c r="BB1420" t="s">
        <v>131</v>
      </c>
      <c r="BC1420" t="s">
        <v>131</v>
      </c>
      <c r="BD1420" t="s">
        <v>131</v>
      </c>
      <c r="BE1420" t="s">
        <v>132</v>
      </c>
      <c r="BH1420" t="s">
        <v>17862</v>
      </c>
      <c r="BI1420" t="s">
        <v>131</v>
      </c>
      <c r="BL1420" t="s">
        <v>133</v>
      </c>
      <c r="BN1420" t="s">
        <v>2513</v>
      </c>
      <c r="BO1420" t="s">
        <v>131</v>
      </c>
      <c r="BP1420" t="s">
        <v>134</v>
      </c>
      <c r="BQ1420" t="s">
        <v>131</v>
      </c>
      <c r="BS1420" t="str">
        <f t="shared" si="91"/>
        <v>N/A</v>
      </c>
      <c r="BT1420" t="s">
        <v>135</v>
      </c>
      <c r="BU1420">
        <v>60</v>
      </c>
      <c r="BV1420" t="str">
        <f>"See F.a.2."</f>
        <v>See F.a.2.</v>
      </c>
      <c r="BW1420" t="s">
        <v>131</v>
      </c>
      <c r="BX1420" t="str">
        <f>""</f>
        <v/>
      </c>
      <c r="BY1420" t="str">
        <f>""</f>
        <v/>
      </c>
      <c r="BZ1420" t="str">
        <f>""</f>
        <v/>
      </c>
      <c r="CA1420" t="str">
        <f>""</f>
        <v/>
      </c>
      <c r="CB1420" t="s">
        <v>131</v>
      </c>
      <c r="CF1420" t="s">
        <v>131</v>
      </c>
      <c r="CH1420" t="str">
        <f>""</f>
        <v/>
      </c>
      <c r="CI1420" t="s">
        <v>131</v>
      </c>
      <c r="CK1420" t="s">
        <v>131</v>
      </c>
      <c r="CL1420" t="str">
        <f>""</f>
        <v/>
      </c>
      <c r="CM1420" t="str">
        <f>""</f>
        <v/>
      </c>
      <c r="CN1420" t="str">
        <f>""</f>
        <v/>
      </c>
      <c r="CO1420" t="str">
        <f>""</f>
        <v/>
      </c>
      <c r="CP1420" t="str">
        <f>"15-1199.08"</f>
        <v>15-1199.08</v>
      </c>
      <c r="CQ1420" t="s">
        <v>265</v>
      </c>
      <c r="CS1420" t="s">
        <v>131</v>
      </c>
      <c r="CU1420" t="s">
        <v>3353</v>
      </c>
      <c r="CW1420" t="s">
        <v>661</v>
      </c>
      <c r="CX1420" t="s">
        <v>172</v>
      </c>
      <c r="CZ1420" s="3" t="str">
        <f>"94404"</f>
        <v>94404</v>
      </c>
      <c r="DA1420" t="s">
        <v>131</v>
      </c>
      <c r="DB1420" t="str">
        <f>""</f>
        <v/>
      </c>
      <c r="DF1420" t="str">
        <f>""</f>
        <v/>
      </c>
    </row>
    <row r="1421" spans="1:110" ht="15" customHeight="1" x14ac:dyDescent="0.35">
      <c r="A1421" t="s">
        <v>18662</v>
      </c>
      <c r="B1421" t="s">
        <v>138</v>
      </c>
      <c r="C1421" s="1">
        <v>44329</v>
      </c>
      <c r="G1421" s="1">
        <v>44330</v>
      </c>
      <c r="H1421" t="s">
        <v>125</v>
      </c>
      <c r="I1421" t="s">
        <v>266</v>
      </c>
      <c r="J1421" t="s">
        <v>267</v>
      </c>
      <c r="K1421" t="s">
        <v>268</v>
      </c>
      <c r="L1421" t="s">
        <v>269</v>
      </c>
      <c r="M1421" t="s">
        <v>270</v>
      </c>
      <c r="N1421" t="s">
        <v>271</v>
      </c>
      <c r="O1421" t="s">
        <v>272</v>
      </c>
      <c r="P1421" t="s">
        <v>273</v>
      </c>
      <c r="Q1421" s="3">
        <v>7094</v>
      </c>
      <c r="R1421" t="s">
        <v>128</v>
      </c>
      <c r="T1421" s="4">
        <v>12018723003</v>
      </c>
      <c r="U1421">
        <v>0</v>
      </c>
      <c r="V1421" t="s">
        <v>274</v>
      </c>
      <c r="W1421" t="s">
        <v>275</v>
      </c>
      <c r="X1421" t="s">
        <v>134</v>
      </c>
      <c r="Y1421" t="s">
        <v>270</v>
      </c>
      <c r="Z1421" t="s">
        <v>271</v>
      </c>
      <c r="AA1421" t="s">
        <v>272</v>
      </c>
      <c r="AB1421" t="s">
        <v>276</v>
      </c>
      <c r="AC1421" s="3" t="str">
        <f>"07094"</f>
        <v>07094</v>
      </c>
      <c r="AD1421" t="s">
        <v>128</v>
      </c>
      <c r="AF1421" s="4">
        <v>12018723003</v>
      </c>
      <c r="AG1421">
        <v>0</v>
      </c>
      <c r="AH1421" t="str">
        <f>"541211"</f>
        <v>541211</v>
      </c>
      <c r="AI1421" t="s">
        <v>130</v>
      </c>
      <c r="AJ1421" t="s">
        <v>6597</v>
      </c>
      <c r="AK1421" t="s">
        <v>1222</v>
      </c>
      <c r="AL1421" t="s">
        <v>1624</v>
      </c>
      <c r="AM1421" t="s">
        <v>278</v>
      </c>
      <c r="AN1421" t="s">
        <v>279</v>
      </c>
      <c r="AO1421" t="s">
        <v>214</v>
      </c>
      <c r="AQ1421" s="5" t="s">
        <v>280</v>
      </c>
      <c r="AR1421" t="s">
        <v>156</v>
      </c>
      <c r="AS1421" t="s">
        <v>216</v>
      </c>
      <c r="AT1421" s="4">
        <v>14169433608</v>
      </c>
      <c r="AU1421">
        <v>0</v>
      </c>
      <c r="AV1421" t="s">
        <v>8384</v>
      </c>
      <c r="AW1421" t="s">
        <v>159</v>
      </c>
      <c r="AX1421" t="s">
        <v>131</v>
      </c>
      <c r="AY1421" t="s">
        <v>131</v>
      </c>
      <c r="AZ1421" t="s">
        <v>131</v>
      </c>
      <c r="BA1421" t="s">
        <v>131</v>
      </c>
      <c r="BB1421" t="s">
        <v>131</v>
      </c>
      <c r="BC1421" t="s">
        <v>131</v>
      </c>
      <c r="BD1421" t="s">
        <v>131</v>
      </c>
      <c r="BE1421" t="s">
        <v>160</v>
      </c>
      <c r="BF1421" t="s">
        <v>8385</v>
      </c>
      <c r="BG1421" s="1">
        <v>44090</v>
      </c>
      <c r="BH1421" t="s">
        <v>18148</v>
      </c>
      <c r="BI1421" t="s">
        <v>131</v>
      </c>
      <c r="BL1421" t="s">
        <v>133</v>
      </c>
      <c r="BN1421" t="s">
        <v>18149</v>
      </c>
      <c r="BO1421" t="s">
        <v>131</v>
      </c>
      <c r="BP1421" t="s">
        <v>134</v>
      </c>
      <c r="BQ1421" t="s">
        <v>131</v>
      </c>
      <c r="BS1421" t="str">
        <f t="shared" si="91"/>
        <v>N/A</v>
      </c>
      <c r="BT1421" t="s">
        <v>135</v>
      </c>
      <c r="BU1421">
        <v>24</v>
      </c>
      <c r="BV1421" t="str">
        <f>"Any in which req'd experience is gained "</f>
        <v xml:space="preserve">Any in which req'd experience is gained </v>
      </c>
      <c r="BW1421" t="s">
        <v>135</v>
      </c>
      <c r="BX1421" t="str">
        <f>""</f>
        <v/>
      </c>
      <c r="BY1421" t="str">
        <f>""</f>
        <v/>
      </c>
      <c r="BZ1421" t="str">
        <f>""</f>
        <v/>
      </c>
      <c r="CA1421" s="2" t="s">
        <v>18150</v>
      </c>
      <c r="CB1421" t="s">
        <v>135</v>
      </c>
      <c r="CC1421" t="s">
        <v>188</v>
      </c>
      <c r="CE1421" t="s">
        <v>18151</v>
      </c>
      <c r="CF1421" t="s">
        <v>131</v>
      </c>
      <c r="CH1421" t="str">
        <f>"N/A"</f>
        <v>N/A</v>
      </c>
      <c r="CI1421" t="s">
        <v>135</v>
      </c>
      <c r="CJ1421">
        <v>12</v>
      </c>
      <c r="CK1421" t="s">
        <v>135</v>
      </c>
      <c r="CL1421" t="str">
        <f>""</f>
        <v/>
      </c>
      <c r="CM1421" t="str">
        <f>""</f>
        <v/>
      </c>
      <c r="CN1421" t="str">
        <f>""</f>
        <v/>
      </c>
      <c r="CO1421" s="2" t="s">
        <v>18152</v>
      </c>
      <c r="CP1421" t="str">
        <f>"13-2011.00"</f>
        <v>13-2011.00</v>
      </c>
      <c r="CQ1421" t="s">
        <v>672</v>
      </c>
      <c r="CR1421" t="s">
        <v>18153</v>
      </c>
      <c r="CS1421" t="s">
        <v>131</v>
      </c>
      <c r="CU1421" t="s">
        <v>18154</v>
      </c>
      <c r="CW1421" t="s">
        <v>494</v>
      </c>
      <c r="CX1421" t="s">
        <v>129</v>
      </c>
      <c r="CZ1421" s="3" t="str">
        <f>"10036"</f>
        <v>10036</v>
      </c>
      <c r="DA1421" t="s">
        <v>131</v>
      </c>
      <c r="DB1421" t="str">
        <f>""</f>
        <v/>
      </c>
      <c r="DF1421" t="str">
        <f>""</f>
        <v/>
      </c>
    </row>
    <row r="1422" spans="1:110" ht="15" customHeight="1" x14ac:dyDescent="0.35">
      <c r="A1422" t="s">
        <v>18147</v>
      </c>
      <c r="B1422" t="s">
        <v>138</v>
      </c>
      <c r="C1422" s="1">
        <v>44329</v>
      </c>
      <c r="G1422" s="1">
        <v>44330</v>
      </c>
      <c r="H1422" t="s">
        <v>125</v>
      </c>
      <c r="I1422" t="s">
        <v>266</v>
      </c>
      <c r="J1422" t="s">
        <v>267</v>
      </c>
      <c r="K1422" t="s">
        <v>268</v>
      </c>
      <c r="L1422" t="s">
        <v>269</v>
      </c>
      <c r="M1422" t="s">
        <v>270</v>
      </c>
      <c r="N1422" t="s">
        <v>271</v>
      </c>
      <c r="O1422" t="s">
        <v>272</v>
      </c>
      <c r="P1422" t="s">
        <v>273</v>
      </c>
      <c r="Q1422" s="3">
        <v>7094</v>
      </c>
      <c r="R1422" t="s">
        <v>128</v>
      </c>
      <c r="T1422" s="4">
        <v>12018723003</v>
      </c>
      <c r="U1422">
        <v>0</v>
      </c>
      <c r="V1422" t="s">
        <v>274</v>
      </c>
      <c r="W1422" t="s">
        <v>275</v>
      </c>
      <c r="X1422" t="s">
        <v>134</v>
      </c>
      <c r="Y1422" t="s">
        <v>270</v>
      </c>
      <c r="Z1422" t="s">
        <v>271</v>
      </c>
      <c r="AA1422" t="s">
        <v>272</v>
      </c>
      <c r="AB1422" t="s">
        <v>276</v>
      </c>
      <c r="AC1422" s="3" t="str">
        <f>"07094"</f>
        <v>07094</v>
      </c>
      <c r="AD1422" t="s">
        <v>128</v>
      </c>
      <c r="AF1422" s="4">
        <v>12018723003</v>
      </c>
      <c r="AG1422">
        <v>0</v>
      </c>
      <c r="AH1422" t="str">
        <f>"541211"</f>
        <v>541211</v>
      </c>
      <c r="AI1422" t="s">
        <v>130</v>
      </c>
      <c r="AJ1422" t="s">
        <v>6597</v>
      </c>
      <c r="AK1422" t="s">
        <v>1222</v>
      </c>
      <c r="AL1422" t="s">
        <v>1624</v>
      </c>
      <c r="AM1422" t="s">
        <v>278</v>
      </c>
      <c r="AN1422" t="s">
        <v>279</v>
      </c>
      <c r="AO1422" t="s">
        <v>214</v>
      </c>
      <c r="AQ1422" s="5" t="s">
        <v>280</v>
      </c>
      <c r="AR1422" t="s">
        <v>156</v>
      </c>
      <c r="AS1422" t="s">
        <v>216</v>
      </c>
      <c r="AT1422" s="4">
        <v>14169433608</v>
      </c>
      <c r="AU1422">
        <v>0</v>
      </c>
      <c r="AV1422" t="s">
        <v>8384</v>
      </c>
      <c r="AW1422" t="s">
        <v>159</v>
      </c>
      <c r="AX1422" t="s">
        <v>131</v>
      </c>
      <c r="AY1422" t="s">
        <v>131</v>
      </c>
      <c r="AZ1422" t="s">
        <v>131</v>
      </c>
      <c r="BA1422" t="s">
        <v>131</v>
      </c>
      <c r="BB1422" t="s">
        <v>131</v>
      </c>
      <c r="BC1422" t="s">
        <v>131</v>
      </c>
      <c r="BD1422" t="s">
        <v>131</v>
      </c>
      <c r="BE1422" t="s">
        <v>160</v>
      </c>
      <c r="BF1422" t="s">
        <v>281</v>
      </c>
      <c r="BG1422" s="1">
        <v>44211</v>
      </c>
      <c r="BH1422" t="s">
        <v>18148</v>
      </c>
      <c r="BI1422" t="s">
        <v>131</v>
      </c>
      <c r="BL1422" t="s">
        <v>133</v>
      </c>
      <c r="BN1422" t="s">
        <v>18149</v>
      </c>
      <c r="BO1422" t="s">
        <v>131</v>
      </c>
      <c r="BP1422" t="s">
        <v>134</v>
      </c>
      <c r="BQ1422" t="s">
        <v>131</v>
      </c>
      <c r="BS1422" t="str">
        <f t="shared" si="91"/>
        <v>N/A</v>
      </c>
      <c r="BT1422" t="s">
        <v>135</v>
      </c>
      <c r="BU1422">
        <v>24</v>
      </c>
      <c r="BV1422" t="str">
        <f>"Any in which req'd experience is gained "</f>
        <v xml:space="preserve">Any in which req'd experience is gained </v>
      </c>
      <c r="BW1422" t="s">
        <v>135</v>
      </c>
      <c r="BX1422" t="str">
        <f>""</f>
        <v/>
      </c>
      <c r="BY1422" t="str">
        <f>""</f>
        <v/>
      </c>
      <c r="BZ1422" t="str">
        <f>""</f>
        <v/>
      </c>
      <c r="CA1422" s="2" t="s">
        <v>18150</v>
      </c>
      <c r="CB1422" t="s">
        <v>135</v>
      </c>
      <c r="CC1422" t="s">
        <v>188</v>
      </c>
      <c r="CE1422" t="s">
        <v>18151</v>
      </c>
      <c r="CF1422" t="s">
        <v>131</v>
      </c>
      <c r="CH1422" t="str">
        <f>"N/A"</f>
        <v>N/A</v>
      </c>
      <c r="CI1422" t="s">
        <v>135</v>
      </c>
      <c r="CJ1422">
        <v>12</v>
      </c>
      <c r="CK1422" t="s">
        <v>135</v>
      </c>
      <c r="CL1422" t="str">
        <f>""</f>
        <v/>
      </c>
      <c r="CM1422" t="str">
        <f>""</f>
        <v/>
      </c>
      <c r="CN1422" t="str">
        <f>""</f>
        <v/>
      </c>
      <c r="CO1422" s="2" t="s">
        <v>18152</v>
      </c>
      <c r="CP1422" t="str">
        <f>"13-2011.00"</f>
        <v>13-2011.00</v>
      </c>
      <c r="CQ1422" t="s">
        <v>672</v>
      </c>
      <c r="CR1422" t="s">
        <v>18153</v>
      </c>
      <c r="CS1422" t="s">
        <v>131</v>
      </c>
      <c r="CU1422" t="s">
        <v>18154</v>
      </c>
      <c r="CW1422" t="s">
        <v>3883</v>
      </c>
      <c r="CX1422" t="s">
        <v>129</v>
      </c>
      <c r="CZ1422" s="3" t="str">
        <f>"10036"</f>
        <v>10036</v>
      </c>
      <c r="DA1422" t="s">
        <v>131</v>
      </c>
      <c r="DB1422" t="str">
        <f>""</f>
        <v/>
      </c>
      <c r="DF1422" t="str">
        <f>""</f>
        <v/>
      </c>
    </row>
    <row r="1423" spans="1:110" ht="15" customHeight="1" x14ac:dyDescent="0.35">
      <c r="A1423" t="s">
        <v>16614</v>
      </c>
      <c r="B1423" t="s">
        <v>138</v>
      </c>
      <c r="C1423" s="1">
        <v>44329</v>
      </c>
      <c r="G1423" s="1">
        <v>44333</v>
      </c>
      <c r="H1423" t="s">
        <v>125</v>
      </c>
      <c r="I1423" t="s">
        <v>1448</v>
      </c>
      <c r="J1423" t="s">
        <v>354</v>
      </c>
      <c r="L1423" t="s">
        <v>9177</v>
      </c>
      <c r="M1423" t="s">
        <v>9178</v>
      </c>
      <c r="N1423" t="s">
        <v>5870</v>
      </c>
      <c r="O1423" t="s">
        <v>5088</v>
      </c>
      <c r="P1423" t="s">
        <v>178</v>
      </c>
      <c r="Q1423" s="3">
        <v>94596</v>
      </c>
      <c r="R1423" t="s">
        <v>128</v>
      </c>
      <c r="T1423" s="4">
        <v>19252961061</v>
      </c>
      <c r="V1423" t="s">
        <v>9179</v>
      </c>
      <c r="W1423" t="s">
        <v>9180</v>
      </c>
      <c r="Y1423" t="s">
        <v>9181</v>
      </c>
      <c r="Z1423" t="s">
        <v>380</v>
      </c>
      <c r="AA1423" t="s">
        <v>220</v>
      </c>
      <c r="AB1423" t="s">
        <v>172</v>
      </c>
      <c r="AC1423" s="3" t="str">
        <f>"94108"</f>
        <v>94108</v>
      </c>
      <c r="AD1423" t="s">
        <v>128</v>
      </c>
      <c r="AF1423" s="4">
        <v>14154215757</v>
      </c>
      <c r="AH1423" t="str">
        <f>"541211"</f>
        <v>541211</v>
      </c>
      <c r="AI1423" t="s">
        <v>130</v>
      </c>
      <c r="AJ1423" t="s">
        <v>4853</v>
      </c>
      <c r="AK1423" t="s">
        <v>615</v>
      </c>
      <c r="AL1423" t="s">
        <v>3946</v>
      </c>
      <c r="AM1423" t="s">
        <v>3195</v>
      </c>
      <c r="AN1423" t="s">
        <v>611</v>
      </c>
      <c r="AO1423" t="s">
        <v>791</v>
      </c>
      <c r="AP1423" t="s">
        <v>172</v>
      </c>
      <c r="AQ1423" s="5">
        <v>92121</v>
      </c>
      <c r="AR1423" t="s">
        <v>128</v>
      </c>
      <c r="AT1423" s="4">
        <v>18586420420</v>
      </c>
      <c r="AV1423" t="s">
        <v>4854</v>
      </c>
      <c r="AW1423" t="s">
        <v>3196</v>
      </c>
      <c r="AX1423" t="s">
        <v>131</v>
      </c>
      <c r="AY1423" t="s">
        <v>131</v>
      </c>
      <c r="AZ1423" t="s">
        <v>131</v>
      </c>
      <c r="BA1423" t="s">
        <v>131</v>
      </c>
      <c r="BB1423" t="s">
        <v>131</v>
      </c>
      <c r="BC1423" t="s">
        <v>131</v>
      </c>
      <c r="BD1423" t="s">
        <v>131</v>
      </c>
      <c r="BE1423" t="s">
        <v>132</v>
      </c>
      <c r="BH1423" t="s">
        <v>9182</v>
      </c>
      <c r="BI1423" t="s">
        <v>131</v>
      </c>
      <c r="BL1423" t="s">
        <v>133</v>
      </c>
      <c r="BN1423" t="s">
        <v>16615</v>
      </c>
      <c r="BO1423" t="s">
        <v>131</v>
      </c>
      <c r="BP1423" t="s">
        <v>134</v>
      </c>
      <c r="BQ1423" t="s">
        <v>131</v>
      </c>
      <c r="BS1423" t="str">
        <f t="shared" si="91"/>
        <v>N/A</v>
      </c>
      <c r="BT1423" t="s">
        <v>135</v>
      </c>
      <c r="BU1423">
        <v>36</v>
      </c>
      <c r="BV1423" t="str">
        <f>"3 years of experience in the job offered (defined by employer as Auditing and Accounting)."</f>
        <v>3 years of experience in the job offered (defined by employer as Auditing and Accounting).</v>
      </c>
      <c r="BW1423" t="s">
        <v>135</v>
      </c>
      <c r="BX1423" t="str">
        <f>"Must be a licensed CPA or eligible to sit for the CPA exam."</f>
        <v>Must be a licensed CPA or eligible to sit for the CPA exam.</v>
      </c>
      <c r="BY1423" t="str">
        <f>""</f>
        <v/>
      </c>
      <c r="BZ1423" t="str">
        <f>""</f>
        <v/>
      </c>
      <c r="CA1423" t="s">
        <v>13673</v>
      </c>
      <c r="CB1423" t="s">
        <v>135</v>
      </c>
      <c r="CC1423" t="s">
        <v>188</v>
      </c>
      <c r="CE1423" t="s">
        <v>9183</v>
      </c>
      <c r="CF1423" t="s">
        <v>131</v>
      </c>
      <c r="CH1423" t="str">
        <f>"N/A"</f>
        <v>N/A</v>
      </c>
      <c r="CI1423" t="s">
        <v>135</v>
      </c>
      <c r="CJ1423">
        <v>24</v>
      </c>
      <c r="CK1423" t="s">
        <v>135</v>
      </c>
      <c r="CL1423" t="str">
        <f>"Must be a licensed CPA or eligible to sit for the CPA exam."</f>
        <v>Must be a licensed CPA or eligible to sit for the CPA exam.</v>
      </c>
      <c r="CM1423" t="str">
        <f>""</f>
        <v/>
      </c>
      <c r="CN1423" t="str">
        <f>""</f>
        <v/>
      </c>
      <c r="CO1423" t="s">
        <v>16616</v>
      </c>
      <c r="CP1423" t="str">
        <f>"13-2011.02"</f>
        <v>13-2011.02</v>
      </c>
      <c r="CQ1423" t="s">
        <v>591</v>
      </c>
      <c r="CR1423" t="s">
        <v>668</v>
      </c>
      <c r="CS1423" t="s">
        <v>135</v>
      </c>
      <c r="CT1423" t="s">
        <v>9184</v>
      </c>
      <c r="CU1423" t="s">
        <v>9185</v>
      </c>
      <c r="CV1423" t="s">
        <v>1779</v>
      </c>
      <c r="CW1423" t="s">
        <v>664</v>
      </c>
      <c r="CX1423" t="s">
        <v>172</v>
      </c>
      <c r="CZ1423" s="3" t="str">
        <f>"95113"</f>
        <v>95113</v>
      </c>
      <c r="DA1423" t="s">
        <v>131</v>
      </c>
      <c r="DB1423" t="str">
        <f>""</f>
        <v/>
      </c>
      <c r="DF1423" t="str">
        <f>""</f>
        <v/>
      </c>
    </row>
    <row r="1424" spans="1:110" ht="15" customHeight="1" x14ac:dyDescent="0.35">
      <c r="A1424" t="s">
        <v>17448</v>
      </c>
      <c r="B1424" t="s">
        <v>138</v>
      </c>
      <c r="C1424" s="1">
        <v>44329</v>
      </c>
      <c r="G1424" s="1">
        <v>44329</v>
      </c>
      <c r="H1424" t="s">
        <v>125</v>
      </c>
      <c r="I1424" t="s">
        <v>4046</v>
      </c>
      <c r="J1424" t="s">
        <v>563</v>
      </c>
      <c r="K1424" t="s">
        <v>10644</v>
      </c>
      <c r="L1424" t="s">
        <v>3782</v>
      </c>
      <c r="M1424" t="s">
        <v>10645</v>
      </c>
      <c r="O1424" t="s">
        <v>1471</v>
      </c>
      <c r="P1424" t="s">
        <v>441</v>
      </c>
      <c r="Q1424" s="3">
        <v>44114</v>
      </c>
      <c r="R1424" t="s">
        <v>128</v>
      </c>
      <c r="T1424" s="4">
        <v>12165669908</v>
      </c>
      <c r="V1424" t="s">
        <v>12831</v>
      </c>
      <c r="W1424" t="s">
        <v>12830</v>
      </c>
      <c r="Y1424" t="s">
        <v>12829</v>
      </c>
      <c r="AA1424" t="s">
        <v>5208</v>
      </c>
      <c r="AB1424" t="s">
        <v>444</v>
      </c>
      <c r="AC1424" s="3" t="str">
        <f>"44060"</f>
        <v>44060</v>
      </c>
      <c r="AD1424" t="s">
        <v>128</v>
      </c>
      <c r="AF1424" s="4">
        <v>14405850300</v>
      </c>
      <c r="AH1424" t="str">
        <f>"332991"</f>
        <v>332991</v>
      </c>
      <c r="AI1424" t="s">
        <v>130</v>
      </c>
      <c r="AJ1424" t="s">
        <v>4046</v>
      </c>
      <c r="AK1424" t="s">
        <v>563</v>
      </c>
      <c r="AM1424" t="s">
        <v>10645</v>
      </c>
      <c r="AO1424" t="s">
        <v>1471</v>
      </c>
      <c r="AP1424" t="s">
        <v>444</v>
      </c>
      <c r="AQ1424" s="5">
        <v>44114</v>
      </c>
      <c r="AR1424" t="s">
        <v>128</v>
      </c>
      <c r="AT1424" s="4">
        <v>12165669908</v>
      </c>
      <c r="AV1424" t="s">
        <v>12831</v>
      </c>
      <c r="AW1424" t="s">
        <v>10646</v>
      </c>
      <c r="AX1424" t="s">
        <v>131</v>
      </c>
      <c r="AY1424" t="s">
        <v>131</v>
      </c>
      <c r="AZ1424" t="s">
        <v>131</v>
      </c>
      <c r="BA1424" t="s">
        <v>131</v>
      </c>
      <c r="BB1424" t="s">
        <v>131</v>
      </c>
      <c r="BC1424" t="s">
        <v>131</v>
      </c>
      <c r="BD1424" t="s">
        <v>131</v>
      </c>
      <c r="BE1424" t="s">
        <v>132</v>
      </c>
      <c r="BH1424" t="s">
        <v>12832</v>
      </c>
      <c r="BI1424" t="s">
        <v>131</v>
      </c>
      <c r="BL1424" t="s">
        <v>188</v>
      </c>
      <c r="BN1424" t="s">
        <v>16496</v>
      </c>
      <c r="BO1424" t="s">
        <v>131</v>
      </c>
      <c r="BP1424" t="s">
        <v>134</v>
      </c>
      <c r="BQ1424" t="s">
        <v>131</v>
      </c>
      <c r="BS1424" t="str">
        <f t="shared" si="91"/>
        <v>N/A</v>
      </c>
      <c r="BT1424" t="s">
        <v>135</v>
      </c>
      <c r="BU1424">
        <v>6</v>
      </c>
      <c r="BV1424" t="str">
        <f>"accounting or financial analysis"</f>
        <v>accounting or financial analysis</v>
      </c>
      <c r="BW1424" t="s">
        <v>135</v>
      </c>
      <c r="BX1424" t="str">
        <f>""</f>
        <v/>
      </c>
      <c r="BY1424" t="str">
        <f>""</f>
        <v/>
      </c>
      <c r="BZ1424" t="str">
        <f>""</f>
        <v/>
      </c>
      <c r="CA1424" t="str">
        <f>"SAS, VBA and Python"</f>
        <v>SAS, VBA and Python</v>
      </c>
      <c r="CB1424" t="s">
        <v>131</v>
      </c>
      <c r="CF1424" t="s">
        <v>131</v>
      </c>
      <c r="CH1424" t="str">
        <f>""</f>
        <v/>
      </c>
      <c r="CI1424" t="s">
        <v>131</v>
      </c>
      <c r="CK1424" t="s">
        <v>131</v>
      </c>
      <c r="CL1424" t="str">
        <f>""</f>
        <v/>
      </c>
      <c r="CM1424" t="str">
        <f>""</f>
        <v/>
      </c>
      <c r="CN1424" t="str">
        <f>""</f>
        <v/>
      </c>
      <c r="CO1424" t="str">
        <f>""</f>
        <v/>
      </c>
      <c r="CP1424" t="str">
        <f>"13-2011.01"</f>
        <v>13-2011.01</v>
      </c>
      <c r="CQ1424" t="s">
        <v>1796</v>
      </c>
      <c r="CR1424" t="s">
        <v>2490</v>
      </c>
      <c r="CS1424" t="s">
        <v>131</v>
      </c>
      <c r="CU1424" t="s">
        <v>12829</v>
      </c>
      <c r="CW1424" t="s">
        <v>5208</v>
      </c>
      <c r="CX1424" t="s">
        <v>444</v>
      </c>
      <c r="CZ1424" s="3" t="str">
        <f>"44060"</f>
        <v>44060</v>
      </c>
      <c r="DA1424" t="s">
        <v>131</v>
      </c>
      <c r="DB1424" t="str">
        <f>""</f>
        <v/>
      </c>
      <c r="DF1424" t="str">
        <f>""</f>
        <v/>
      </c>
    </row>
    <row r="1425" spans="1:110" ht="15" customHeight="1" x14ac:dyDescent="0.35">
      <c r="A1425" t="s">
        <v>15309</v>
      </c>
      <c r="B1425" t="s">
        <v>138</v>
      </c>
      <c r="C1425" s="1">
        <v>44329</v>
      </c>
      <c r="G1425" s="1">
        <v>44335</v>
      </c>
      <c r="H1425" t="s">
        <v>125</v>
      </c>
      <c r="I1425" t="s">
        <v>12299</v>
      </c>
      <c r="J1425" t="s">
        <v>12300</v>
      </c>
      <c r="L1425" t="s">
        <v>126</v>
      </c>
      <c r="M1425" t="s">
        <v>12301</v>
      </c>
      <c r="O1425" t="s">
        <v>8558</v>
      </c>
      <c r="P1425" t="s">
        <v>720</v>
      </c>
      <c r="Q1425" s="3">
        <v>1701</v>
      </c>
      <c r="R1425" t="s">
        <v>128</v>
      </c>
      <c r="T1425" s="4">
        <v>15088794443</v>
      </c>
      <c r="V1425" t="s">
        <v>12302</v>
      </c>
      <c r="W1425" t="s">
        <v>15310</v>
      </c>
      <c r="Y1425" t="s">
        <v>15311</v>
      </c>
      <c r="AA1425" t="s">
        <v>10416</v>
      </c>
      <c r="AB1425" t="s">
        <v>377</v>
      </c>
      <c r="AC1425" s="3" t="str">
        <f>"02453"</f>
        <v>02453</v>
      </c>
      <c r="AD1425" t="s">
        <v>128</v>
      </c>
      <c r="AF1425" s="4">
        <v>17818440879</v>
      </c>
      <c r="AH1425" t="str">
        <f>"56173"</f>
        <v>56173</v>
      </c>
      <c r="AI1425" t="s">
        <v>130</v>
      </c>
      <c r="AJ1425" t="s">
        <v>12299</v>
      </c>
      <c r="AK1425" t="s">
        <v>12300</v>
      </c>
      <c r="AM1425" t="s">
        <v>12301</v>
      </c>
      <c r="AO1425" t="s">
        <v>719</v>
      </c>
      <c r="AP1425" t="s">
        <v>377</v>
      </c>
      <c r="AQ1425" s="5">
        <v>1701</v>
      </c>
      <c r="AR1425" t="s">
        <v>128</v>
      </c>
      <c r="AT1425" s="4">
        <v>15088794443</v>
      </c>
      <c r="AV1425" t="s">
        <v>12302</v>
      </c>
      <c r="AW1425" t="s">
        <v>12303</v>
      </c>
      <c r="AX1425" t="s">
        <v>131</v>
      </c>
      <c r="AY1425" t="s">
        <v>131</v>
      </c>
      <c r="AZ1425" t="s">
        <v>131</v>
      </c>
      <c r="BA1425" t="s">
        <v>131</v>
      </c>
      <c r="BB1425" t="s">
        <v>131</v>
      </c>
      <c r="BC1425" t="s">
        <v>131</v>
      </c>
      <c r="BD1425" t="s">
        <v>131</v>
      </c>
      <c r="BE1425" t="s">
        <v>132</v>
      </c>
      <c r="BH1425" t="s">
        <v>15312</v>
      </c>
      <c r="BI1425" t="s">
        <v>131</v>
      </c>
      <c r="BL1425" t="s">
        <v>167</v>
      </c>
      <c r="BO1425" t="s">
        <v>131</v>
      </c>
      <c r="BP1425" t="s">
        <v>134</v>
      </c>
      <c r="BQ1425" t="s">
        <v>131</v>
      </c>
      <c r="BS1425" t="str">
        <f t="shared" si="91"/>
        <v>N/A</v>
      </c>
      <c r="BT1425" t="s">
        <v>135</v>
      </c>
      <c r="BU1425">
        <v>12</v>
      </c>
      <c r="BV1425" t="str">
        <f>"stone mason, construction, landscaping"</f>
        <v>stone mason, construction, landscaping</v>
      </c>
      <c r="BW1425" t="s">
        <v>131</v>
      </c>
      <c r="BX1425" t="str">
        <f>""</f>
        <v/>
      </c>
      <c r="BY1425" t="str">
        <f>""</f>
        <v/>
      </c>
      <c r="BZ1425" t="str">
        <f>""</f>
        <v/>
      </c>
      <c r="CA1425" t="str">
        <f>""</f>
        <v/>
      </c>
      <c r="CB1425" t="s">
        <v>131</v>
      </c>
      <c r="CF1425" t="s">
        <v>131</v>
      </c>
      <c r="CH1425" t="str">
        <f>""</f>
        <v/>
      </c>
      <c r="CI1425" t="s">
        <v>131</v>
      </c>
      <c r="CK1425" t="s">
        <v>131</v>
      </c>
      <c r="CL1425" t="str">
        <f>""</f>
        <v/>
      </c>
      <c r="CM1425" t="str">
        <f>""</f>
        <v/>
      </c>
      <c r="CN1425" t="str">
        <f>""</f>
        <v/>
      </c>
      <c r="CO1425" t="str">
        <f>""</f>
        <v/>
      </c>
      <c r="CP1425" t="str">
        <f>"47-2022.00"</f>
        <v>47-2022.00</v>
      </c>
      <c r="CQ1425" t="s">
        <v>5319</v>
      </c>
      <c r="CR1425" t="s">
        <v>6630</v>
      </c>
      <c r="CS1425" t="s">
        <v>131</v>
      </c>
      <c r="CU1425" t="s">
        <v>15311</v>
      </c>
      <c r="CW1425" t="s">
        <v>10416</v>
      </c>
      <c r="CX1425" t="s">
        <v>377</v>
      </c>
      <c r="CZ1425" s="3" t="str">
        <f>"02453"</f>
        <v>02453</v>
      </c>
      <c r="DA1425" t="s">
        <v>131</v>
      </c>
      <c r="DB1425" t="str">
        <f>""</f>
        <v/>
      </c>
      <c r="DF1425" t="str">
        <f>""</f>
        <v/>
      </c>
    </row>
    <row r="1426" spans="1:110" ht="15" customHeight="1" x14ac:dyDescent="0.35">
      <c r="A1426" t="s">
        <v>17420</v>
      </c>
      <c r="B1426" t="s">
        <v>138</v>
      </c>
      <c r="C1426" s="1">
        <v>44329</v>
      </c>
      <c r="G1426" s="1">
        <v>44333</v>
      </c>
      <c r="H1426" t="s">
        <v>125</v>
      </c>
      <c r="I1426" t="s">
        <v>838</v>
      </c>
      <c r="J1426" t="s">
        <v>839</v>
      </c>
      <c r="K1426" t="s">
        <v>840</v>
      </c>
      <c r="L1426" t="s">
        <v>2565</v>
      </c>
      <c r="M1426" t="s">
        <v>841</v>
      </c>
      <c r="N1426" t="s">
        <v>842</v>
      </c>
      <c r="O1426" t="s">
        <v>843</v>
      </c>
      <c r="P1426" t="s">
        <v>273</v>
      </c>
      <c r="Q1426" s="3">
        <v>7080</v>
      </c>
      <c r="R1426" t="s">
        <v>128</v>
      </c>
      <c r="T1426" s="4">
        <v>17328327978</v>
      </c>
      <c r="V1426" t="s">
        <v>844</v>
      </c>
      <c r="W1426" t="s">
        <v>5861</v>
      </c>
      <c r="Y1426" t="s">
        <v>5862</v>
      </c>
      <c r="Z1426" t="s">
        <v>5863</v>
      </c>
      <c r="AA1426" t="s">
        <v>5864</v>
      </c>
      <c r="AB1426" t="s">
        <v>129</v>
      </c>
      <c r="AC1426" s="3" t="str">
        <f>"11788"</f>
        <v>11788</v>
      </c>
      <c r="AD1426" t="s">
        <v>128</v>
      </c>
      <c r="AF1426" s="4">
        <v>13023668960</v>
      </c>
      <c r="AH1426" t="str">
        <f>"541519"</f>
        <v>541519</v>
      </c>
      <c r="AI1426" t="s">
        <v>130</v>
      </c>
      <c r="AJ1426" t="s">
        <v>838</v>
      </c>
      <c r="AK1426" t="s">
        <v>839</v>
      </c>
      <c r="AL1426" t="s">
        <v>840</v>
      </c>
      <c r="AM1426" t="s">
        <v>841</v>
      </c>
      <c r="AN1426" t="s">
        <v>842</v>
      </c>
      <c r="AO1426" t="s">
        <v>843</v>
      </c>
      <c r="AP1426" t="s">
        <v>276</v>
      </c>
      <c r="AQ1426" s="5">
        <v>7080</v>
      </c>
      <c r="AR1426" t="s">
        <v>128</v>
      </c>
      <c r="AT1426" s="4">
        <v>17328327978</v>
      </c>
      <c r="AV1426" t="s">
        <v>844</v>
      </c>
      <c r="AW1426" t="s">
        <v>2779</v>
      </c>
      <c r="AX1426" t="s">
        <v>131</v>
      </c>
      <c r="AY1426" t="s">
        <v>131</v>
      </c>
      <c r="AZ1426" t="s">
        <v>131</v>
      </c>
      <c r="BA1426" t="s">
        <v>131</v>
      </c>
      <c r="BB1426" t="s">
        <v>131</v>
      </c>
      <c r="BC1426" t="s">
        <v>131</v>
      </c>
      <c r="BD1426" t="s">
        <v>131</v>
      </c>
      <c r="BE1426" t="s">
        <v>132</v>
      </c>
      <c r="BH1426" t="s">
        <v>846</v>
      </c>
      <c r="BI1426" t="s">
        <v>131</v>
      </c>
      <c r="BL1426" t="s">
        <v>188</v>
      </c>
      <c r="BN1426" s="2" t="s">
        <v>16846</v>
      </c>
      <c r="BO1426" t="s">
        <v>131</v>
      </c>
      <c r="BP1426" t="s">
        <v>134</v>
      </c>
      <c r="BQ1426" t="s">
        <v>131</v>
      </c>
      <c r="BS1426" t="str">
        <f t="shared" si="91"/>
        <v>N/A</v>
      </c>
      <c r="BT1426" t="s">
        <v>135</v>
      </c>
      <c r="BU1426">
        <v>12</v>
      </c>
      <c r="BV1426" t="str">
        <f>"JOB OFFERED OR RELATED OCCUPATION"</f>
        <v>JOB OFFERED OR RELATED OCCUPATION</v>
      </c>
      <c r="BW1426" t="s">
        <v>135</v>
      </c>
      <c r="BX1426" t="str">
        <f>""</f>
        <v/>
      </c>
      <c r="BY1426" t="str">
        <f>""</f>
        <v/>
      </c>
      <c r="BZ1426" t="str">
        <f>""</f>
        <v/>
      </c>
      <c r="CA1426" t="str">
        <f>"Skills required: Java, Rest, Spring Boot, Hibernate, Junit, Jenkins, Rally and J2EE"</f>
        <v>Skills required: Java, Rest, Spring Boot, Hibernate, Junit, Jenkins, Rally and J2EE</v>
      </c>
      <c r="CB1426" t="s">
        <v>135</v>
      </c>
      <c r="CC1426" t="s">
        <v>133</v>
      </c>
      <c r="CE1426" t="s">
        <v>847</v>
      </c>
      <c r="CF1426" t="s">
        <v>131</v>
      </c>
      <c r="CH1426" t="str">
        <f>"N/A"</f>
        <v>N/A</v>
      </c>
      <c r="CI1426" t="s">
        <v>135</v>
      </c>
      <c r="CJ1426">
        <v>60</v>
      </c>
      <c r="CK1426" t="s">
        <v>135</v>
      </c>
      <c r="CL1426" t="str">
        <f>""</f>
        <v/>
      </c>
      <c r="CM1426" t="str">
        <f>""</f>
        <v/>
      </c>
      <c r="CN1426" t="str">
        <f>""</f>
        <v/>
      </c>
      <c r="CO1426" t="str">
        <f>"SAME AS F.b.5.a"</f>
        <v>SAME AS F.b.5.a</v>
      </c>
      <c r="CP1426" t="str">
        <f>"15-1132.00"</f>
        <v>15-1132.00</v>
      </c>
      <c r="CQ1426" t="s">
        <v>198</v>
      </c>
      <c r="CR1426" t="s">
        <v>849</v>
      </c>
      <c r="CS1426" t="s">
        <v>131</v>
      </c>
      <c r="CU1426" t="s">
        <v>5862</v>
      </c>
      <c r="CV1426" t="s">
        <v>5863</v>
      </c>
      <c r="CW1426" t="s">
        <v>5864</v>
      </c>
      <c r="CX1426" t="s">
        <v>129</v>
      </c>
      <c r="CZ1426" s="3" t="str">
        <f>"11788"</f>
        <v>11788</v>
      </c>
      <c r="DA1426" t="s">
        <v>131</v>
      </c>
      <c r="DB1426" t="str">
        <f>""</f>
        <v/>
      </c>
      <c r="DF1426" t="str">
        <f>""</f>
        <v/>
      </c>
    </row>
    <row r="1427" spans="1:110" ht="15" customHeight="1" x14ac:dyDescent="0.35">
      <c r="A1427" t="s">
        <v>18670</v>
      </c>
      <c r="B1427" t="s">
        <v>138</v>
      </c>
      <c r="C1427" s="1">
        <v>44329</v>
      </c>
      <c r="G1427" s="1">
        <v>44330</v>
      </c>
      <c r="H1427" t="s">
        <v>125</v>
      </c>
      <c r="I1427" t="s">
        <v>9362</v>
      </c>
      <c r="J1427" t="s">
        <v>2372</v>
      </c>
      <c r="L1427" t="s">
        <v>553</v>
      </c>
      <c r="M1427" t="s">
        <v>9363</v>
      </c>
      <c r="N1427" t="s">
        <v>9364</v>
      </c>
      <c r="O1427" t="s">
        <v>1597</v>
      </c>
      <c r="P1427" t="s">
        <v>311</v>
      </c>
      <c r="Q1427" s="3">
        <v>15222</v>
      </c>
      <c r="R1427" t="s">
        <v>128</v>
      </c>
      <c r="T1427" s="4">
        <v>14127685133</v>
      </c>
      <c r="V1427" t="s">
        <v>9365</v>
      </c>
      <c r="W1427" t="s">
        <v>9366</v>
      </c>
      <c r="Y1427" t="s">
        <v>9367</v>
      </c>
      <c r="Z1427" t="s">
        <v>4828</v>
      </c>
      <c r="AA1427" t="s">
        <v>1597</v>
      </c>
      <c r="AB1427" t="s">
        <v>312</v>
      </c>
      <c r="AC1427" s="3" t="str">
        <f>"15222"</f>
        <v>15222</v>
      </c>
      <c r="AD1427" t="s">
        <v>128</v>
      </c>
      <c r="AF1427" s="4">
        <v>14127685133</v>
      </c>
      <c r="AH1427" t="str">
        <f>"52211"</f>
        <v>52211</v>
      </c>
      <c r="AI1427" t="s">
        <v>130</v>
      </c>
      <c r="AJ1427" t="s">
        <v>9368</v>
      </c>
      <c r="AK1427" t="s">
        <v>684</v>
      </c>
      <c r="AM1427" t="s">
        <v>6220</v>
      </c>
      <c r="AN1427" t="s">
        <v>1722</v>
      </c>
      <c r="AO1427" t="s">
        <v>1597</v>
      </c>
      <c r="AP1427" t="s">
        <v>312</v>
      </c>
      <c r="AQ1427" s="5">
        <v>15222</v>
      </c>
      <c r="AR1427" t="s">
        <v>128</v>
      </c>
      <c r="AT1427" s="4">
        <v>14122974860</v>
      </c>
      <c r="AV1427" t="s">
        <v>9369</v>
      </c>
      <c r="AW1427" t="s">
        <v>1596</v>
      </c>
      <c r="AX1427" t="s">
        <v>131</v>
      </c>
      <c r="AY1427" t="s">
        <v>131</v>
      </c>
      <c r="AZ1427" t="s">
        <v>131</v>
      </c>
      <c r="BA1427" t="s">
        <v>131</v>
      </c>
      <c r="BB1427" t="s">
        <v>131</v>
      </c>
      <c r="BC1427" t="s">
        <v>131</v>
      </c>
      <c r="BD1427" t="s">
        <v>131</v>
      </c>
      <c r="BE1427" t="s">
        <v>132</v>
      </c>
      <c r="BH1427" t="s">
        <v>9370</v>
      </c>
      <c r="BI1427" t="s">
        <v>131</v>
      </c>
      <c r="BL1427" t="s">
        <v>133</v>
      </c>
      <c r="BN1427" t="s">
        <v>9371</v>
      </c>
      <c r="BO1427" t="s">
        <v>131</v>
      </c>
      <c r="BP1427" t="s">
        <v>134</v>
      </c>
      <c r="BQ1427" t="s">
        <v>131</v>
      </c>
      <c r="BS1427" t="str">
        <f t="shared" si="91"/>
        <v>N/A</v>
      </c>
      <c r="BT1427" t="s">
        <v>135</v>
      </c>
      <c r="BU1427">
        <v>96</v>
      </c>
      <c r="BV1427" t="str">
        <f>"Experience creating Logical and Physical Data Modeling of Enterprise Data warehouse and Data Marts "</f>
        <v xml:space="preserve">Experience creating Logical and Physical Data Modeling of Enterprise Data warehouse and Data Marts </v>
      </c>
      <c r="BW1427" t="s">
        <v>135</v>
      </c>
      <c r="BX1427" t="str">
        <f>""</f>
        <v/>
      </c>
      <c r="BY1427" t="str">
        <f>""</f>
        <v/>
      </c>
      <c r="BZ1427" t="str">
        <f>""</f>
        <v/>
      </c>
      <c r="CA1427" t="s">
        <v>9372</v>
      </c>
      <c r="CB1427" t="s">
        <v>131</v>
      </c>
      <c r="CF1427" t="s">
        <v>131</v>
      </c>
      <c r="CH1427" t="str">
        <f>""</f>
        <v/>
      </c>
      <c r="CI1427" t="s">
        <v>131</v>
      </c>
      <c r="CK1427" t="s">
        <v>131</v>
      </c>
      <c r="CL1427" t="str">
        <f>""</f>
        <v/>
      </c>
      <c r="CM1427" t="str">
        <f>""</f>
        <v/>
      </c>
      <c r="CN1427" t="str">
        <f>""</f>
        <v/>
      </c>
      <c r="CO1427" t="str">
        <f>""</f>
        <v/>
      </c>
      <c r="CP1427" t="str">
        <f>"15-1132.00"</f>
        <v>15-1132.00</v>
      </c>
      <c r="CQ1427" t="s">
        <v>198</v>
      </c>
      <c r="CS1427" t="s">
        <v>131</v>
      </c>
      <c r="CU1427" t="s">
        <v>9373</v>
      </c>
      <c r="CW1427" t="s">
        <v>1471</v>
      </c>
      <c r="CX1427" t="s">
        <v>444</v>
      </c>
      <c r="CZ1427" s="3" t="str">
        <f>"44135"</f>
        <v>44135</v>
      </c>
      <c r="DA1427" t="s">
        <v>131</v>
      </c>
      <c r="DB1427" t="str">
        <f>""</f>
        <v/>
      </c>
      <c r="DF1427" t="str">
        <f>""</f>
        <v/>
      </c>
    </row>
    <row r="1428" spans="1:110" ht="15" customHeight="1" x14ac:dyDescent="0.35">
      <c r="A1428" t="s">
        <v>15600</v>
      </c>
      <c r="B1428" t="s">
        <v>138</v>
      </c>
      <c r="C1428" s="1">
        <v>44329</v>
      </c>
      <c r="G1428" s="1">
        <v>44329</v>
      </c>
      <c r="H1428" t="s">
        <v>125</v>
      </c>
      <c r="I1428" t="s">
        <v>4071</v>
      </c>
      <c r="J1428" t="s">
        <v>6512</v>
      </c>
      <c r="K1428" t="s">
        <v>4949</v>
      </c>
      <c r="L1428" t="s">
        <v>1310</v>
      </c>
      <c r="M1428" t="s">
        <v>6513</v>
      </c>
      <c r="N1428" t="s">
        <v>6514</v>
      </c>
      <c r="O1428" t="s">
        <v>458</v>
      </c>
      <c r="P1428" t="s">
        <v>412</v>
      </c>
      <c r="Q1428" s="3">
        <v>75081</v>
      </c>
      <c r="R1428" t="s">
        <v>128</v>
      </c>
      <c r="T1428" s="4">
        <v>12142532662</v>
      </c>
      <c r="V1428" t="s">
        <v>6515</v>
      </c>
      <c r="W1428" t="s">
        <v>6516</v>
      </c>
      <c r="Y1428" t="s">
        <v>6513</v>
      </c>
      <c r="Z1428" t="s">
        <v>6514</v>
      </c>
      <c r="AA1428" t="s">
        <v>458</v>
      </c>
      <c r="AB1428" t="s">
        <v>400</v>
      </c>
      <c r="AC1428" s="3" t="str">
        <f>"75081"</f>
        <v>75081</v>
      </c>
      <c r="AD1428" t="s">
        <v>128</v>
      </c>
      <c r="AF1428" s="4">
        <v>12142532662</v>
      </c>
      <c r="AH1428" t="str">
        <f>"541519"</f>
        <v>541519</v>
      </c>
      <c r="AI1428" t="s">
        <v>130</v>
      </c>
      <c r="AJ1428" t="s">
        <v>1135</v>
      </c>
      <c r="AK1428" t="s">
        <v>1136</v>
      </c>
      <c r="AM1428" t="s">
        <v>1137</v>
      </c>
      <c r="AN1428" t="s">
        <v>1138</v>
      </c>
      <c r="AO1428" t="s">
        <v>220</v>
      </c>
      <c r="AP1428" t="s">
        <v>172</v>
      </c>
      <c r="AQ1428" s="5">
        <v>94107</v>
      </c>
      <c r="AR1428" t="s">
        <v>128</v>
      </c>
      <c r="AT1428" s="4">
        <v>14152841601</v>
      </c>
      <c r="AV1428" t="s">
        <v>1139</v>
      </c>
      <c r="AW1428" t="s">
        <v>1140</v>
      </c>
      <c r="AX1428" t="s">
        <v>131</v>
      </c>
      <c r="AY1428" t="s">
        <v>131</v>
      </c>
      <c r="AZ1428" t="s">
        <v>131</v>
      </c>
      <c r="BA1428" t="s">
        <v>131</v>
      </c>
      <c r="BB1428" t="s">
        <v>131</v>
      </c>
      <c r="BC1428" t="s">
        <v>131</v>
      </c>
      <c r="BD1428" t="s">
        <v>131</v>
      </c>
      <c r="BE1428" t="s">
        <v>160</v>
      </c>
      <c r="BF1428" t="s">
        <v>1612</v>
      </c>
      <c r="BG1428" s="1">
        <v>44211</v>
      </c>
      <c r="BH1428" t="s">
        <v>11616</v>
      </c>
      <c r="BI1428" t="s">
        <v>131</v>
      </c>
      <c r="BL1428" t="s">
        <v>133</v>
      </c>
      <c r="BN1428" t="s">
        <v>1141</v>
      </c>
      <c r="BO1428" t="s">
        <v>131</v>
      </c>
      <c r="BP1428" t="s">
        <v>134</v>
      </c>
      <c r="BQ1428" t="s">
        <v>131</v>
      </c>
      <c r="BS1428" t="str">
        <f t="shared" si="91"/>
        <v>N/A</v>
      </c>
      <c r="BT1428" t="s">
        <v>135</v>
      </c>
      <c r="BU1428">
        <v>36</v>
      </c>
      <c r="BV1428" t="str">
        <f>"Please see Section F.b.5.a(iv)"</f>
        <v>Please see Section F.b.5.a(iv)</v>
      </c>
      <c r="BW1428" t="s">
        <v>135</v>
      </c>
      <c r="BX1428" t="str">
        <f>""</f>
        <v/>
      </c>
      <c r="BY1428" t="str">
        <f>""</f>
        <v/>
      </c>
      <c r="BZ1428" t="str">
        <f>""</f>
        <v/>
      </c>
      <c r="CA1428" s="2" t="s">
        <v>15601</v>
      </c>
      <c r="CB1428" t="s">
        <v>131</v>
      </c>
      <c r="CF1428" t="s">
        <v>131</v>
      </c>
      <c r="CH1428" t="str">
        <f>""</f>
        <v/>
      </c>
      <c r="CI1428" t="s">
        <v>131</v>
      </c>
      <c r="CK1428" t="s">
        <v>131</v>
      </c>
      <c r="CL1428" t="str">
        <f>""</f>
        <v/>
      </c>
      <c r="CM1428" t="str">
        <f>""</f>
        <v/>
      </c>
      <c r="CN1428" t="str">
        <f>""</f>
        <v/>
      </c>
      <c r="CO1428" t="str">
        <f>""</f>
        <v/>
      </c>
      <c r="CP1428" t="str">
        <f>"15-1132.00"</f>
        <v>15-1132.00</v>
      </c>
      <c r="CQ1428" t="s">
        <v>198</v>
      </c>
      <c r="CR1428" t="s">
        <v>11617</v>
      </c>
      <c r="CS1428" t="s">
        <v>135</v>
      </c>
      <c r="CT1428" t="s">
        <v>1141</v>
      </c>
      <c r="CU1428" t="s">
        <v>6513</v>
      </c>
      <c r="CV1428" t="s">
        <v>6514</v>
      </c>
      <c r="CW1428" t="s">
        <v>458</v>
      </c>
      <c r="CX1428" t="s">
        <v>400</v>
      </c>
      <c r="CZ1428" s="3" t="str">
        <f>"75081"</f>
        <v>75081</v>
      </c>
      <c r="DA1428" t="s">
        <v>131</v>
      </c>
      <c r="DB1428" t="str">
        <f>""</f>
        <v/>
      </c>
      <c r="DF1428" t="str">
        <f>""</f>
        <v/>
      </c>
    </row>
    <row r="1429" spans="1:110" ht="15" customHeight="1" x14ac:dyDescent="0.35">
      <c r="A1429" t="s">
        <v>16023</v>
      </c>
      <c r="B1429" t="s">
        <v>138</v>
      </c>
      <c r="C1429" s="1">
        <v>44329</v>
      </c>
      <c r="G1429" s="1">
        <v>44336</v>
      </c>
      <c r="H1429" t="s">
        <v>125</v>
      </c>
      <c r="I1429" t="s">
        <v>10083</v>
      </c>
      <c r="J1429" t="s">
        <v>8475</v>
      </c>
      <c r="L1429" t="s">
        <v>10084</v>
      </c>
      <c r="M1429" t="s">
        <v>10085</v>
      </c>
      <c r="O1429" t="s">
        <v>10086</v>
      </c>
      <c r="P1429" t="s">
        <v>467</v>
      </c>
      <c r="Q1429" s="3">
        <v>80111</v>
      </c>
      <c r="R1429" t="s">
        <v>128</v>
      </c>
      <c r="T1429" s="4">
        <v>13037374155</v>
      </c>
      <c r="V1429" t="s">
        <v>10087</v>
      </c>
      <c r="W1429" t="s">
        <v>10088</v>
      </c>
      <c r="X1429" t="s">
        <v>10089</v>
      </c>
      <c r="Y1429" t="s">
        <v>10090</v>
      </c>
      <c r="AA1429" t="s">
        <v>10091</v>
      </c>
      <c r="AB1429" t="s">
        <v>471</v>
      </c>
      <c r="AC1429" s="3" t="str">
        <f>"80111"</f>
        <v>80111</v>
      </c>
      <c r="AD1429" t="s">
        <v>128</v>
      </c>
      <c r="AF1429" s="4">
        <v>13037354155</v>
      </c>
      <c r="AH1429" t="str">
        <f>"52421"</f>
        <v>52421</v>
      </c>
      <c r="AI1429" t="s">
        <v>130</v>
      </c>
      <c r="AJ1429" t="s">
        <v>10092</v>
      </c>
      <c r="AK1429" t="s">
        <v>10093</v>
      </c>
      <c r="AL1429" t="s">
        <v>4907</v>
      </c>
      <c r="AM1429" t="s">
        <v>9606</v>
      </c>
      <c r="AN1429" t="s">
        <v>9607</v>
      </c>
      <c r="AO1429" t="s">
        <v>1643</v>
      </c>
      <c r="AP1429" t="s">
        <v>471</v>
      </c>
      <c r="AQ1429" s="5">
        <v>80202</v>
      </c>
      <c r="AR1429" t="s">
        <v>128</v>
      </c>
      <c r="AT1429" s="4">
        <v>13032183669</v>
      </c>
      <c r="AV1429" t="s">
        <v>10094</v>
      </c>
      <c r="AW1429" t="s">
        <v>9608</v>
      </c>
      <c r="AX1429" t="s">
        <v>131</v>
      </c>
      <c r="AY1429" t="s">
        <v>131</v>
      </c>
      <c r="AZ1429" t="s">
        <v>131</v>
      </c>
      <c r="BA1429" t="s">
        <v>131</v>
      </c>
      <c r="BB1429" t="s">
        <v>131</v>
      </c>
      <c r="BC1429" t="s">
        <v>131</v>
      </c>
      <c r="BD1429" t="s">
        <v>131</v>
      </c>
      <c r="BE1429" t="s">
        <v>132</v>
      </c>
      <c r="BH1429" t="s">
        <v>6045</v>
      </c>
      <c r="BI1429" t="s">
        <v>131</v>
      </c>
      <c r="BL1429" t="s">
        <v>188</v>
      </c>
      <c r="BN1429" t="s">
        <v>16024</v>
      </c>
      <c r="BO1429" t="s">
        <v>131</v>
      </c>
      <c r="BP1429" t="s">
        <v>134</v>
      </c>
      <c r="BQ1429" t="s">
        <v>131</v>
      </c>
      <c r="BS1429" t="str">
        <f t="shared" si="91"/>
        <v>N/A</v>
      </c>
      <c r="BT1429" t="s">
        <v>135</v>
      </c>
      <c r="BU1429">
        <v>24</v>
      </c>
      <c r="BV1429" t="str">
        <f>"2 years’ experience as a Product Manager, Operations Analyst or related"</f>
        <v>2 years’ experience as a Product Manager, Operations Analyst or related</v>
      </c>
      <c r="BW1429" t="s">
        <v>135</v>
      </c>
      <c r="BX1429" t="str">
        <f>""</f>
        <v/>
      </c>
      <c r="BY1429" t="str">
        <f>""</f>
        <v/>
      </c>
      <c r="BZ1429" t="str">
        <f>""</f>
        <v/>
      </c>
      <c r="CA1429" s="2" t="s">
        <v>16025</v>
      </c>
      <c r="CB1429" t="s">
        <v>135</v>
      </c>
      <c r="CC1429" t="s">
        <v>133</v>
      </c>
      <c r="CE1429" t="s">
        <v>16026</v>
      </c>
      <c r="CF1429" t="s">
        <v>131</v>
      </c>
      <c r="CH1429" t="str">
        <f>"N/A"</f>
        <v>N/A</v>
      </c>
      <c r="CI1429" t="s">
        <v>135</v>
      </c>
      <c r="CJ1429">
        <v>60</v>
      </c>
      <c r="CK1429" t="s">
        <v>135</v>
      </c>
      <c r="CL1429" t="str">
        <f>""</f>
        <v/>
      </c>
      <c r="CM1429" t="str">
        <f>""</f>
        <v/>
      </c>
      <c r="CN1429" t="str">
        <f>""</f>
        <v/>
      </c>
      <c r="CO1429" s="2" t="s">
        <v>16025</v>
      </c>
      <c r="CP1429" t="str">
        <f>"13-2051.00"</f>
        <v>13-2051.00</v>
      </c>
      <c r="CQ1429" t="s">
        <v>245</v>
      </c>
      <c r="CS1429" t="s">
        <v>131</v>
      </c>
      <c r="CU1429" t="s">
        <v>10095</v>
      </c>
      <c r="CV1429" t="s">
        <v>16027</v>
      </c>
      <c r="CW1429" t="s">
        <v>5514</v>
      </c>
      <c r="CX1429" t="s">
        <v>471</v>
      </c>
      <c r="CZ1429" s="3" t="str">
        <f>"80111"</f>
        <v>80111</v>
      </c>
      <c r="DA1429" t="s">
        <v>131</v>
      </c>
      <c r="DB1429" t="str">
        <f>""</f>
        <v/>
      </c>
      <c r="DF1429" t="str">
        <f>""</f>
        <v/>
      </c>
    </row>
    <row r="1430" spans="1:110" ht="15" customHeight="1" x14ac:dyDescent="0.35">
      <c r="A1430" t="s">
        <v>18279</v>
      </c>
      <c r="B1430" t="s">
        <v>138</v>
      </c>
      <c r="C1430" s="1">
        <v>44329</v>
      </c>
      <c r="G1430" s="1">
        <v>44330</v>
      </c>
      <c r="H1430" t="s">
        <v>125</v>
      </c>
      <c r="I1430" t="s">
        <v>17286</v>
      </c>
      <c r="J1430" t="s">
        <v>288</v>
      </c>
      <c r="L1430" t="s">
        <v>682</v>
      </c>
      <c r="M1430" t="s">
        <v>17287</v>
      </c>
      <c r="N1430" t="s">
        <v>18280</v>
      </c>
      <c r="O1430" t="s">
        <v>6144</v>
      </c>
      <c r="P1430" t="s">
        <v>2886</v>
      </c>
      <c r="Q1430" s="3">
        <v>968</v>
      </c>
      <c r="R1430" t="s">
        <v>128</v>
      </c>
      <c r="T1430" s="4">
        <v>17876208188</v>
      </c>
      <c r="V1430" t="s">
        <v>17289</v>
      </c>
      <c r="W1430" t="s">
        <v>18281</v>
      </c>
      <c r="Y1430" t="s">
        <v>17287</v>
      </c>
      <c r="Z1430" t="s">
        <v>17288</v>
      </c>
      <c r="AA1430" t="s">
        <v>6144</v>
      </c>
      <c r="AB1430" t="s">
        <v>2890</v>
      </c>
      <c r="AC1430" s="3" t="str">
        <f>"00968"</f>
        <v>00968</v>
      </c>
      <c r="AD1430" t="s">
        <v>128</v>
      </c>
      <c r="AF1430" s="4">
        <v>17876208188</v>
      </c>
      <c r="AH1430" t="str">
        <f>"518210"</f>
        <v>518210</v>
      </c>
      <c r="AI1430" t="s">
        <v>130</v>
      </c>
      <c r="AJ1430" t="s">
        <v>2491</v>
      </c>
      <c r="AK1430" t="s">
        <v>2492</v>
      </c>
      <c r="AL1430" t="s">
        <v>1594</v>
      </c>
      <c r="AM1430" t="s">
        <v>17121</v>
      </c>
      <c r="AN1430" t="s">
        <v>2493</v>
      </c>
      <c r="AO1430" t="s">
        <v>2494</v>
      </c>
      <c r="AP1430" t="s">
        <v>195</v>
      </c>
      <c r="AQ1430" s="5">
        <v>33027</v>
      </c>
      <c r="AR1430" t="s">
        <v>128</v>
      </c>
      <c r="AT1430" s="4">
        <v>17862727100</v>
      </c>
      <c r="AV1430" t="s">
        <v>2495</v>
      </c>
      <c r="AW1430" t="s">
        <v>17290</v>
      </c>
      <c r="AX1430" t="s">
        <v>131</v>
      </c>
      <c r="AY1430" t="s">
        <v>131</v>
      </c>
      <c r="AZ1430" t="s">
        <v>131</v>
      </c>
      <c r="BA1430" t="s">
        <v>131</v>
      </c>
      <c r="BB1430" t="s">
        <v>131</v>
      </c>
      <c r="BC1430" t="s">
        <v>131</v>
      </c>
      <c r="BD1430" t="s">
        <v>131</v>
      </c>
      <c r="BE1430" t="s">
        <v>132</v>
      </c>
      <c r="BH1430" t="s">
        <v>18282</v>
      </c>
      <c r="BI1430" t="s">
        <v>131</v>
      </c>
      <c r="BL1430" t="s">
        <v>133</v>
      </c>
      <c r="BN1430" t="s">
        <v>11481</v>
      </c>
      <c r="BO1430" t="s">
        <v>131</v>
      </c>
      <c r="BP1430" t="s">
        <v>134</v>
      </c>
      <c r="BQ1430" t="s">
        <v>131</v>
      </c>
      <c r="BS1430" t="str">
        <f t="shared" si="91"/>
        <v>N/A</v>
      </c>
      <c r="BT1430" t="s">
        <v>135</v>
      </c>
      <c r="BU1430">
        <v>12</v>
      </c>
      <c r="BV1430" t="str">
        <f>"Senior Consultant Supply Chain Management"</f>
        <v>Senior Consultant Supply Chain Management</v>
      </c>
      <c r="BW1430" t="s">
        <v>131</v>
      </c>
      <c r="BX1430" t="str">
        <f>""</f>
        <v/>
      </c>
      <c r="BY1430" t="str">
        <f>""</f>
        <v/>
      </c>
      <c r="BZ1430" t="str">
        <f>""</f>
        <v/>
      </c>
      <c r="CA1430" t="str">
        <f>""</f>
        <v/>
      </c>
      <c r="CB1430" t="s">
        <v>131</v>
      </c>
      <c r="CF1430" t="s">
        <v>131</v>
      </c>
      <c r="CH1430" t="str">
        <f>""</f>
        <v/>
      </c>
      <c r="CI1430" t="s">
        <v>131</v>
      </c>
      <c r="CK1430" t="s">
        <v>131</v>
      </c>
      <c r="CL1430" t="str">
        <f>""</f>
        <v/>
      </c>
      <c r="CM1430" t="str">
        <f>""</f>
        <v/>
      </c>
      <c r="CN1430" t="str">
        <f>""</f>
        <v/>
      </c>
      <c r="CO1430" t="str">
        <f>""</f>
        <v/>
      </c>
      <c r="CP1430" t="str">
        <f>"11-9199.04"</f>
        <v>11-9199.04</v>
      </c>
      <c r="CQ1430" t="s">
        <v>1517</v>
      </c>
      <c r="CS1430" t="s">
        <v>131</v>
      </c>
      <c r="CU1430" t="s">
        <v>17287</v>
      </c>
      <c r="CV1430" t="s">
        <v>17288</v>
      </c>
      <c r="CW1430" t="s">
        <v>6144</v>
      </c>
      <c r="CX1430" t="s">
        <v>2890</v>
      </c>
      <c r="CZ1430" s="3" t="str">
        <f>"00968"</f>
        <v>00968</v>
      </c>
      <c r="DA1430" t="s">
        <v>131</v>
      </c>
      <c r="DB1430" t="str">
        <f>""</f>
        <v/>
      </c>
      <c r="DF1430" t="str">
        <f>""</f>
        <v/>
      </c>
    </row>
    <row r="1431" spans="1:110" ht="15" customHeight="1" x14ac:dyDescent="0.35">
      <c r="A1431" t="s">
        <v>9610</v>
      </c>
      <c r="B1431" t="s">
        <v>138</v>
      </c>
      <c r="C1431" s="1">
        <v>44329</v>
      </c>
      <c r="G1431" s="1">
        <v>44329</v>
      </c>
      <c r="H1431" t="s">
        <v>125</v>
      </c>
      <c r="I1431" t="s">
        <v>9611</v>
      </c>
      <c r="J1431" t="s">
        <v>9612</v>
      </c>
      <c r="L1431" t="s">
        <v>771</v>
      </c>
      <c r="M1431" t="s">
        <v>9613</v>
      </c>
      <c r="N1431" t="s">
        <v>9614</v>
      </c>
      <c r="O1431" t="s">
        <v>399</v>
      </c>
      <c r="P1431" t="s">
        <v>412</v>
      </c>
      <c r="Q1431" s="3">
        <v>75252</v>
      </c>
      <c r="R1431" t="s">
        <v>128</v>
      </c>
      <c r="T1431" s="4">
        <v>19723634462</v>
      </c>
      <c r="V1431" t="s">
        <v>9615</v>
      </c>
      <c r="W1431" t="s">
        <v>9616</v>
      </c>
      <c r="Y1431" t="s">
        <v>9613</v>
      </c>
      <c r="Z1431" t="s">
        <v>9614</v>
      </c>
      <c r="AA1431" t="s">
        <v>399</v>
      </c>
      <c r="AB1431" t="s">
        <v>400</v>
      </c>
      <c r="AC1431" s="3" t="str">
        <f>"75252"</f>
        <v>75252</v>
      </c>
      <c r="AD1431" t="s">
        <v>128</v>
      </c>
      <c r="AF1431" s="4">
        <v>19723634462</v>
      </c>
      <c r="AH1431" t="str">
        <f>"541511"</f>
        <v>541511</v>
      </c>
      <c r="AI1431" t="s">
        <v>130</v>
      </c>
      <c r="AJ1431" t="s">
        <v>3588</v>
      </c>
      <c r="AK1431" t="s">
        <v>250</v>
      </c>
      <c r="AL1431" t="s">
        <v>3589</v>
      </c>
      <c r="AM1431" t="s">
        <v>3590</v>
      </c>
      <c r="AN1431" t="s">
        <v>3591</v>
      </c>
      <c r="AO1431" t="s">
        <v>399</v>
      </c>
      <c r="AP1431" t="s">
        <v>400</v>
      </c>
      <c r="AQ1431" s="5">
        <v>75287</v>
      </c>
      <c r="AR1431" t="s">
        <v>128</v>
      </c>
      <c r="AT1431" s="4">
        <v>19722414698</v>
      </c>
      <c r="AV1431" t="s">
        <v>3592</v>
      </c>
      <c r="AW1431" t="s">
        <v>3593</v>
      </c>
      <c r="AX1431" t="s">
        <v>131</v>
      </c>
      <c r="AY1431" t="s">
        <v>131</v>
      </c>
      <c r="AZ1431" t="s">
        <v>131</v>
      </c>
      <c r="BA1431" t="s">
        <v>131</v>
      </c>
      <c r="BB1431" t="s">
        <v>131</v>
      </c>
      <c r="BC1431" t="s">
        <v>131</v>
      </c>
      <c r="BD1431" t="s">
        <v>131</v>
      </c>
      <c r="BE1431" t="s">
        <v>132</v>
      </c>
      <c r="BH1431" t="s">
        <v>9617</v>
      </c>
      <c r="BI1431" t="s">
        <v>131</v>
      </c>
      <c r="BL1431" t="s">
        <v>188</v>
      </c>
      <c r="BN1431" t="s">
        <v>9618</v>
      </c>
      <c r="BO1431" t="s">
        <v>131</v>
      </c>
      <c r="BP1431" t="s">
        <v>134</v>
      </c>
      <c r="BQ1431" t="s">
        <v>131</v>
      </c>
      <c r="BS1431" t="str">
        <f t="shared" si="91"/>
        <v>N/A</v>
      </c>
      <c r="BT1431" t="s">
        <v>135</v>
      </c>
      <c r="BU1431">
        <v>12</v>
      </c>
      <c r="BV1431" t="str">
        <f>"N/A"</f>
        <v>N/A</v>
      </c>
      <c r="BW1431" t="s">
        <v>135</v>
      </c>
      <c r="BX1431" t="str">
        <f>""</f>
        <v/>
      </c>
      <c r="BY1431" t="str">
        <f>""</f>
        <v/>
      </c>
      <c r="BZ1431" t="str">
        <f>""</f>
        <v/>
      </c>
      <c r="CA1431" t="str">
        <f>"Experience in  JavaScript, Angular, jQuery, Rest and SOAP API’s , Oracle PL/SQL and SQL server. "</f>
        <v xml:space="preserve">Experience in  JavaScript, Angular, jQuery, Rest and SOAP API’s , Oracle PL/SQL and SQL server. </v>
      </c>
      <c r="CB1431" t="s">
        <v>131</v>
      </c>
      <c r="CF1431" t="s">
        <v>131</v>
      </c>
      <c r="CH1431" t="str">
        <f>""</f>
        <v/>
      </c>
      <c r="CI1431" t="s">
        <v>131</v>
      </c>
      <c r="CK1431" t="s">
        <v>131</v>
      </c>
      <c r="CL1431" t="str">
        <f>""</f>
        <v/>
      </c>
      <c r="CM1431" t="str">
        <f>""</f>
        <v/>
      </c>
      <c r="CN1431" t="str">
        <f>""</f>
        <v/>
      </c>
      <c r="CO1431" t="str">
        <f>""</f>
        <v/>
      </c>
      <c r="CP1431" t="str">
        <f>"15-1132.00"</f>
        <v>15-1132.00</v>
      </c>
      <c r="CQ1431" t="s">
        <v>198</v>
      </c>
      <c r="CR1431" t="s">
        <v>9617</v>
      </c>
      <c r="CS1431" t="s">
        <v>135</v>
      </c>
      <c r="CT1431" t="s">
        <v>3595</v>
      </c>
      <c r="CU1431" t="s">
        <v>9619</v>
      </c>
      <c r="CV1431" t="s">
        <v>3595</v>
      </c>
      <c r="CW1431" t="s">
        <v>399</v>
      </c>
      <c r="CX1431" t="s">
        <v>400</v>
      </c>
      <c r="CZ1431" s="3" t="str">
        <f>"75252"</f>
        <v>75252</v>
      </c>
      <c r="DA1431" t="s">
        <v>131</v>
      </c>
      <c r="DB1431" t="str">
        <f>""</f>
        <v/>
      </c>
      <c r="DF1431" t="str">
        <f>""</f>
        <v/>
      </c>
    </row>
    <row r="1432" spans="1:110" ht="15" customHeight="1" x14ac:dyDescent="0.35">
      <c r="A1432" t="s">
        <v>14727</v>
      </c>
      <c r="B1432" t="s">
        <v>138</v>
      </c>
      <c r="C1432" s="1">
        <v>44329</v>
      </c>
      <c r="G1432" s="1">
        <v>44350</v>
      </c>
      <c r="H1432" t="s">
        <v>125</v>
      </c>
      <c r="I1432" t="s">
        <v>838</v>
      </c>
      <c r="J1432" t="s">
        <v>839</v>
      </c>
      <c r="K1432" t="s">
        <v>840</v>
      </c>
      <c r="L1432" t="s">
        <v>2565</v>
      </c>
      <c r="M1432" t="s">
        <v>841</v>
      </c>
      <c r="N1432" t="s">
        <v>842</v>
      </c>
      <c r="O1432" t="s">
        <v>843</v>
      </c>
      <c r="P1432" t="s">
        <v>273</v>
      </c>
      <c r="Q1432" s="3">
        <v>7080</v>
      </c>
      <c r="R1432" t="s">
        <v>128</v>
      </c>
      <c r="T1432" s="4">
        <v>17328327978</v>
      </c>
      <c r="V1432" t="s">
        <v>844</v>
      </c>
      <c r="W1432" t="s">
        <v>2503</v>
      </c>
      <c r="Y1432" t="s">
        <v>14728</v>
      </c>
      <c r="Z1432" t="s">
        <v>2502</v>
      </c>
      <c r="AA1432" t="s">
        <v>4862</v>
      </c>
      <c r="AB1432" t="s">
        <v>276</v>
      </c>
      <c r="AC1432" s="3" t="str">
        <f>"08540"</f>
        <v>08540</v>
      </c>
      <c r="AD1432" t="s">
        <v>128</v>
      </c>
      <c r="AF1432" s="4">
        <v>19727527312</v>
      </c>
      <c r="AH1432" t="str">
        <f>"5416"</f>
        <v>5416</v>
      </c>
      <c r="AI1432" t="s">
        <v>130</v>
      </c>
      <c r="AJ1432" t="s">
        <v>838</v>
      </c>
      <c r="AK1432" t="s">
        <v>839</v>
      </c>
      <c r="AL1432" t="s">
        <v>840</v>
      </c>
      <c r="AM1432" t="s">
        <v>841</v>
      </c>
      <c r="AN1432" t="s">
        <v>842</v>
      </c>
      <c r="AO1432" t="s">
        <v>843</v>
      </c>
      <c r="AP1432" t="s">
        <v>276</v>
      </c>
      <c r="AQ1432" s="5">
        <v>7080</v>
      </c>
      <c r="AR1432" t="s">
        <v>128</v>
      </c>
      <c r="AT1432" s="4">
        <v>17328327978</v>
      </c>
      <c r="AV1432" t="s">
        <v>844</v>
      </c>
      <c r="AW1432" t="s">
        <v>10317</v>
      </c>
      <c r="AX1432" t="s">
        <v>131</v>
      </c>
      <c r="AY1432" t="s">
        <v>131</v>
      </c>
      <c r="AZ1432" t="s">
        <v>131</v>
      </c>
      <c r="BA1432" t="s">
        <v>131</v>
      </c>
      <c r="BB1432" t="s">
        <v>131</v>
      </c>
      <c r="BC1432" t="s">
        <v>131</v>
      </c>
      <c r="BD1432" t="s">
        <v>131</v>
      </c>
      <c r="BE1432" t="s">
        <v>132</v>
      </c>
      <c r="BH1432" t="s">
        <v>7579</v>
      </c>
      <c r="BI1432" t="s">
        <v>131</v>
      </c>
      <c r="BL1432" t="s">
        <v>188</v>
      </c>
      <c r="BN1432" t="s">
        <v>14729</v>
      </c>
      <c r="BO1432" t="s">
        <v>131</v>
      </c>
      <c r="BP1432" t="s">
        <v>134</v>
      </c>
      <c r="BQ1432" t="s">
        <v>131</v>
      </c>
      <c r="BS1432" t="str">
        <f t="shared" si="91"/>
        <v>N/A</v>
      </c>
      <c r="BT1432" t="s">
        <v>135</v>
      </c>
      <c r="BU1432">
        <v>12</v>
      </c>
      <c r="BV1432" t="str">
        <f>"JOB OFFERED OR RELATED OCCUPATION"</f>
        <v>JOB OFFERED OR RELATED OCCUPATION</v>
      </c>
      <c r="BW1432" t="s">
        <v>135</v>
      </c>
      <c r="BX1432" t="str">
        <f>""</f>
        <v/>
      </c>
      <c r="BY1432" t="str">
        <f>""</f>
        <v/>
      </c>
      <c r="BZ1432" t="str">
        <f>""</f>
        <v/>
      </c>
      <c r="CA1432" t="str">
        <f>"Skills required: SAP (HCM), ABAP, HP Quality Center, Solution Manager, HPALM, LSMW, OOABAP. "</f>
        <v xml:space="preserve">Skills required: SAP (HCM), ABAP, HP Quality Center, Solution Manager, HPALM, LSMW, OOABAP. </v>
      </c>
      <c r="CB1432" t="s">
        <v>135</v>
      </c>
      <c r="CC1432" t="s">
        <v>133</v>
      </c>
      <c r="CE1432" t="s">
        <v>14729</v>
      </c>
      <c r="CF1432" t="s">
        <v>131</v>
      </c>
      <c r="CH1432" t="str">
        <f>"N/A"</f>
        <v>N/A</v>
      </c>
      <c r="CI1432" t="s">
        <v>135</v>
      </c>
      <c r="CJ1432">
        <v>60</v>
      </c>
      <c r="CK1432" t="s">
        <v>135</v>
      </c>
      <c r="CL1432" t="str">
        <f>""</f>
        <v/>
      </c>
      <c r="CM1432" t="str">
        <f>""</f>
        <v/>
      </c>
      <c r="CN1432" t="str">
        <f>""</f>
        <v/>
      </c>
      <c r="CO1432" t="str">
        <f>"SAME AS F.b.5.a. "</f>
        <v xml:space="preserve">SAME AS F.b.5.a. </v>
      </c>
      <c r="CP1432" t="str">
        <f>"15-1121.00"</f>
        <v>15-1121.00</v>
      </c>
      <c r="CQ1432" t="s">
        <v>283</v>
      </c>
      <c r="CR1432" t="s">
        <v>849</v>
      </c>
      <c r="CS1432" t="s">
        <v>131</v>
      </c>
      <c r="CU1432" t="s">
        <v>4861</v>
      </c>
      <c r="CV1432" t="s">
        <v>2502</v>
      </c>
      <c r="CW1432" t="s">
        <v>4862</v>
      </c>
      <c r="CX1432" t="s">
        <v>276</v>
      </c>
      <c r="CZ1432" s="3" t="str">
        <f>"08540"</f>
        <v>08540</v>
      </c>
      <c r="DA1432" t="s">
        <v>131</v>
      </c>
      <c r="DB1432" t="str">
        <f>""</f>
        <v/>
      </c>
      <c r="DF1432" t="str">
        <f>""</f>
        <v/>
      </c>
    </row>
    <row r="1433" spans="1:110" ht="15" customHeight="1" x14ac:dyDescent="0.35">
      <c r="A1433" t="s">
        <v>4048</v>
      </c>
      <c r="B1433" t="s">
        <v>138</v>
      </c>
      <c r="C1433" s="1">
        <v>44329</v>
      </c>
      <c r="G1433" s="1">
        <v>44329</v>
      </c>
      <c r="H1433" t="s">
        <v>125</v>
      </c>
      <c r="I1433" t="s">
        <v>4049</v>
      </c>
      <c r="J1433" t="s">
        <v>574</v>
      </c>
      <c r="L1433" t="s">
        <v>126</v>
      </c>
      <c r="M1433" t="s">
        <v>4050</v>
      </c>
      <c r="O1433" t="s">
        <v>1663</v>
      </c>
      <c r="P1433" t="s">
        <v>178</v>
      </c>
      <c r="Q1433" s="3">
        <v>90010</v>
      </c>
      <c r="R1433" t="s">
        <v>128</v>
      </c>
      <c r="T1433" s="4">
        <v>12133848602</v>
      </c>
      <c r="V1433" t="s">
        <v>4051</v>
      </c>
      <c r="W1433" t="s">
        <v>4052</v>
      </c>
      <c r="Y1433" t="s">
        <v>4053</v>
      </c>
      <c r="AA1433" t="s">
        <v>4054</v>
      </c>
      <c r="AB1433" t="s">
        <v>172</v>
      </c>
      <c r="AC1433" s="3" t="str">
        <f>"91950"</f>
        <v>91950</v>
      </c>
      <c r="AD1433" t="s">
        <v>128</v>
      </c>
      <c r="AF1433" s="4">
        <v>16193995900</v>
      </c>
      <c r="AH1433" t="str">
        <f>"541330"</f>
        <v>541330</v>
      </c>
      <c r="AI1433" t="s">
        <v>130</v>
      </c>
      <c r="AJ1433" t="s">
        <v>4049</v>
      </c>
      <c r="AK1433" t="s">
        <v>574</v>
      </c>
      <c r="AM1433" t="s">
        <v>4055</v>
      </c>
      <c r="AO1433" t="s">
        <v>1663</v>
      </c>
      <c r="AP1433" t="s">
        <v>172</v>
      </c>
      <c r="AQ1433" s="5">
        <v>90010</v>
      </c>
      <c r="AR1433" t="s">
        <v>128</v>
      </c>
      <c r="AT1433" s="4">
        <v>12133848602</v>
      </c>
      <c r="AV1433" t="s">
        <v>4051</v>
      </c>
      <c r="AW1433" t="s">
        <v>4056</v>
      </c>
      <c r="AX1433" t="s">
        <v>131</v>
      </c>
      <c r="AY1433" t="s">
        <v>131</v>
      </c>
      <c r="AZ1433" t="s">
        <v>131</v>
      </c>
      <c r="BA1433" t="s">
        <v>131</v>
      </c>
      <c r="BB1433" t="s">
        <v>131</v>
      </c>
      <c r="BC1433" t="s">
        <v>131</v>
      </c>
      <c r="BD1433" t="s">
        <v>131</v>
      </c>
      <c r="BE1433" t="s">
        <v>132</v>
      </c>
      <c r="BH1433" t="s">
        <v>4057</v>
      </c>
      <c r="BI1433" t="s">
        <v>131</v>
      </c>
      <c r="BL1433" t="s">
        <v>188</v>
      </c>
      <c r="BN1433" t="s">
        <v>4058</v>
      </c>
      <c r="BO1433" t="s">
        <v>131</v>
      </c>
      <c r="BP1433" t="s">
        <v>134</v>
      </c>
      <c r="BQ1433" t="s">
        <v>131</v>
      </c>
      <c r="BS1433" t="str">
        <f t="shared" si="91"/>
        <v>N/A</v>
      </c>
      <c r="BT1433" t="s">
        <v>131</v>
      </c>
      <c r="BV1433" t="str">
        <f>""</f>
        <v/>
      </c>
      <c r="BW1433" t="s">
        <v>135</v>
      </c>
      <c r="BX1433" t="str">
        <f>"TEXAS PROFESSIONAL ENGINEER LICENSE REQUIRED"</f>
        <v>TEXAS PROFESSIONAL ENGINEER LICENSE REQUIRED</v>
      </c>
      <c r="BY1433" t="str">
        <f>""</f>
        <v/>
      </c>
      <c r="BZ1433" t="str">
        <f>""</f>
        <v/>
      </c>
      <c r="CA1433" t="str">
        <f>""</f>
        <v/>
      </c>
      <c r="CB1433" t="s">
        <v>131</v>
      </c>
      <c r="CF1433" t="s">
        <v>131</v>
      </c>
      <c r="CH1433" t="str">
        <f>""</f>
        <v/>
      </c>
      <c r="CI1433" t="s">
        <v>131</v>
      </c>
      <c r="CK1433" t="s">
        <v>131</v>
      </c>
      <c r="CL1433" t="str">
        <f>""</f>
        <v/>
      </c>
      <c r="CM1433" t="str">
        <f>""</f>
        <v/>
      </c>
      <c r="CN1433" t="str">
        <f>""</f>
        <v/>
      </c>
      <c r="CO1433" t="str">
        <f>""</f>
        <v/>
      </c>
      <c r="CP1433" t="str">
        <f>"17-2051.00"</f>
        <v>17-2051.00</v>
      </c>
      <c r="CQ1433" t="s">
        <v>787</v>
      </c>
      <c r="CS1433" t="s">
        <v>131</v>
      </c>
      <c r="CU1433" t="s">
        <v>4059</v>
      </c>
      <c r="CW1433" t="s">
        <v>2832</v>
      </c>
      <c r="CX1433" t="s">
        <v>400</v>
      </c>
      <c r="CZ1433" s="3" t="str">
        <f>"77077"</f>
        <v>77077</v>
      </c>
      <c r="DA1433" t="s">
        <v>131</v>
      </c>
      <c r="DB1433" t="str">
        <f>""</f>
        <v/>
      </c>
      <c r="DF1433" t="str">
        <f>""</f>
        <v/>
      </c>
    </row>
    <row r="1434" spans="1:110" ht="15" customHeight="1" x14ac:dyDescent="0.35">
      <c r="A1434" t="s">
        <v>19616</v>
      </c>
      <c r="B1434" t="s">
        <v>138</v>
      </c>
      <c r="C1434" s="1">
        <v>44329</v>
      </c>
      <c r="G1434" s="1">
        <v>44329</v>
      </c>
      <c r="H1434" t="s">
        <v>125</v>
      </c>
      <c r="I1434" t="s">
        <v>7341</v>
      </c>
      <c r="J1434" t="s">
        <v>7342</v>
      </c>
      <c r="L1434" t="s">
        <v>7343</v>
      </c>
      <c r="M1434" t="s">
        <v>7344</v>
      </c>
      <c r="N1434" t="s">
        <v>7345</v>
      </c>
      <c r="O1434" t="s">
        <v>494</v>
      </c>
      <c r="P1434" t="s">
        <v>127</v>
      </c>
      <c r="Q1434" s="3">
        <v>10041</v>
      </c>
      <c r="R1434" t="s">
        <v>128</v>
      </c>
      <c r="T1434" s="4">
        <v>12123595021</v>
      </c>
      <c r="V1434" t="s">
        <v>7346</v>
      </c>
      <c r="W1434" t="s">
        <v>19617</v>
      </c>
      <c r="Y1434" t="s">
        <v>7344</v>
      </c>
      <c r="Z1434" t="s">
        <v>7345</v>
      </c>
      <c r="AA1434" t="s">
        <v>494</v>
      </c>
      <c r="AB1434" t="s">
        <v>129</v>
      </c>
      <c r="AC1434" s="3" t="str">
        <f>"10041"</f>
        <v>10041</v>
      </c>
      <c r="AD1434" t="s">
        <v>128</v>
      </c>
      <c r="AF1434" s="4">
        <v>12123595021</v>
      </c>
      <c r="AH1434" t="str">
        <f>"541618"</f>
        <v>541618</v>
      </c>
      <c r="AI1434" t="s">
        <v>130</v>
      </c>
      <c r="AJ1434" t="s">
        <v>7347</v>
      </c>
      <c r="AK1434" t="s">
        <v>931</v>
      </c>
      <c r="AM1434" t="s">
        <v>7344</v>
      </c>
      <c r="AN1434" t="s">
        <v>7345</v>
      </c>
      <c r="AO1434" t="s">
        <v>494</v>
      </c>
      <c r="AP1434" t="s">
        <v>129</v>
      </c>
      <c r="AQ1434" s="5">
        <v>10041</v>
      </c>
      <c r="AR1434" t="s">
        <v>128</v>
      </c>
      <c r="AT1434" s="4">
        <v>12122198869</v>
      </c>
      <c r="AV1434" t="s">
        <v>7350</v>
      </c>
      <c r="AW1434" t="s">
        <v>7351</v>
      </c>
      <c r="AX1434" t="s">
        <v>131</v>
      </c>
      <c r="AY1434" t="s">
        <v>131</v>
      </c>
      <c r="AZ1434" t="s">
        <v>131</v>
      </c>
      <c r="BA1434" t="s">
        <v>131</v>
      </c>
      <c r="BB1434" t="s">
        <v>131</v>
      </c>
      <c r="BC1434" t="s">
        <v>131</v>
      </c>
      <c r="BD1434" t="s">
        <v>131</v>
      </c>
      <c r="BE1434" t="s">
        <v>132</v>
      </c>
      <c r="BH1434" t="s">
        <v>599</v>
      </c>
      <c r="BI1434" t="s">
        <v>131</v>
      </c>
      <c r="BL1434" t="s">
        <v>188</v>
      </c>
      <c r="BN1434" t="s">
        <v>10779</v>
      </c>
      <c r="BO1434" t="s">
        <v>131</v>
      </c>
      <c r="BP1434" t="s">
        <v>134</v>
      </c>
      <c r="BQ1434" t="s">
        <v>131</v>
      </c>
      <c r="BS1434" t="str">
        <f t="shared" si="91"/>
        <v>N/A</v>
      </c>
      <c r="BT1434" t="s">
        <v>131</v>
      </c>
      <c r="BV1434" t="str">
        <f>""</f>
        <v/>
      </c>
      <c r="BW1434" t="s">
        <v>135</v>
      </c>
      <c r="BX1434" t="str">
        <f>""</f>
        <v/>
      </c>
      <c r="BY1434" t="str">
        <f>""</f>
        <v/>
      </c>
      <c r="BZ1434" t="str">
        <f>""</f>
        <v/>
      </c>
      <c r="CA1434" t="s">
        <v>12743</v>
      </c>
      <c r="CB1434" t="s">
        <v>131</v>
      </c>
      <c r="CF1434" t="s">
        <v>131</v>
      </c>
      <c r="CH1434" t="str">
        <f>""</f>
        <v/>
      </c>
      <c r="CI1434" t="s">
        <v>131</v>
      </c>
      <c r="CK1434" t="s">
        <v>131</v>
      </c>
      <c r="CL1434" t="str">
        <f>""</f>
        <v/>
      </c>
      <c r="CM1434" t="str">
        <f>""</f>
        <v/>
      </c>
      <c r="CN1434" t="str">
        <f>""</f>
        <v/>
      </c>
      <c r="CO1434" t="str">
        <f>""</f>
        <v/>
      </c>
      <c r="CP1434" t="str">
        <f>"15-1132.00"</f>
        <v>15-1132.00</v>
      </c>
      <c r="CQ1434" t="s">
        <v>198</v>
      </c>
      <c r="CR1434" t="s">
        <v>599</v>
      </c>
      <c r="CS1434" t="s">
        <v>131</v>
      </c>
      <c r="CU1434" t="s">
        <v>7344</v>
      </c>
      <c r="CV1434" t="s">
        <v>7345</v>
      </c>
      <c r="CW1434" t="s">
        <v>494</v>
      </c>
      <c r="CX1434" t="s">
        <v>129</v>
      </c>
      <c r="CZ1434" s="3" t="str">
        <f>"10041"</f>
        <v>10041</v>
      </c>
      <c r="DA1434" t="s">
        <v>131</v>
      </c>
      <c r="DB1434" t="str">
        <f>""</f>
        <v/>
      </c>
      <c r="DF1434" t="str">
        <f>""</f>
        <v/>
      </c>
    </row>
    <row r="1435" spans="1:110" ht="15" customHeight="1" x14ac:dyDescent="0.35">
      <c r="A1435" t="s">
        <v>17536</v>
      </c>
      <c r="B1435" t="s">
        <v>138</v>
      </c>
      <c r="C1435" s="1">
        <v>44329</v>
      </c>
      <c r="G1435" s="1">
        <v>44348</v>
      </c>
      <c r="H1435" t="s">
        <v>125</v>
      </c>
      <c r="I1435" t="s">
        <v>534</v>
      </c>
      <c r="J1435" t="s">
        <v>562</v>
      </c>
      <c r="L1435" t="s">
        <v>10596</v>
      </c>
      <c r="M1435" t="s">
        <v>10597</v>
      </c>
      <c r="O1435" t="s">
        <v>807</v>
      </c>
      <c r="P1435" t="s">
        <v>857</v>
      </c>
      <c r="Q1435" s="3">
        <v>85040</v>
      </c>
      <c r="R1435" t="s">
        <v>128</v>
      </c>
      <c r="T1435" s="4">
        <v>16025571932</v>
      </c>
      <c r="V1435" t="s">
        <v>10598</v>
      </c>
      <c r="W1435" t="s">
        <v>10599</v>
      </c>
      <c r="Y1435" t="s">
        <v>10600</v>
      </c>
      <c r="AA1435" t="s">
        <v>807</v>
      </c>
      <c r="AB1435" t="s">
        <v>808</v>
      </c>
      <c r="AC1435" s="3" t="str">
        <f>"85040"</f>
        <v>85040</v>
      </c>
      <c r="AD1435" t="s">
        <v>128</v>
      </c>
      <c r="AF1435" s="4">
        <v>16025571932</v>
      </c>
      <c r="AH1435" t="str">
        <f>"611310"</f>
        <v>611310</v>
      </c>
      <c r="AI1435" t="s">
        <v>130</v>
      </c>
      <c r="AJ1435" t="s">
        <v>2277</v>
      </c>
      <c r="AK1435" t="s">
        <v>313</v>
      </c>
      <c r="AL1435" t="s">
        <v>1493</v>
      </c>
      <c r="AM1435" t="s">
        <v>2278</v>
      </c>
      <c r="AN1435" t="s">
        <v>1169</v>
      </c>
      <c r="AO1435" t="s">
        <v>262</v>
      </c>
      <c r="AP1435" t="s">
        <v>263</v>
      </c>
      <c r="AQ1435" s="5">
        <v>60654</v>
      </c>
      <c r="AR1435" t="s">
        <v>128</v>
      </c>
      <c r="AT1435" s="4">
        <v>13127155252</v>
      </c>
      <c r="AV1435" t="s">
        <v>2279</v>
      </c>
      <c r="AW1435" t="s">
        <v>1171</v>
      </c>
      <c r="AX1435" t="s">
        <v>131</v>
      </c>
      <c r="AY1435" t="s">
        <v>131</v>
      </c>
      <c r="AZ1435" t="s">
        <v>131</v>
      </c>
      <c r="BA1435" t="s">
        <v>131</v>
      </c>
      <c r="BB1435" t="s">
        <v>131</v>
      </c>
      <c r="BC1435" t="s">
        <v>131</v>
      </c>
      <c r="BD1435" t="s">
        <v>131</v>
      </c>
      <c r="BE1435" t="s">
        <v>132</v>
      </c>
      <c r="BH1435" t="s">
        <v>1255</v>
      </c>
      <c r="BI1435" t="s">
        <v>131</v>
      </c>
      <c r="BL1435" t="s">
        <v>188</v>
      </c>
      <c r="BN1435" t="s">
        <v>17537</v>
      </c>
      <c r="BO1435" t="s">
        <v>131</v>
      </c>
      <c r="BP1435" t="s">
        <v>134</v>
      </c>
      <c r="BQ1435" t="s">
        <v>131</v>
      </c>
      <c r="BS1435" t="str">
        <f t="shared" si="91"/>
        <v>N/A</v>
      </c>
      <c r="BT1435" t="s">
        <v>135</v>
      </c>
      <c r="BU1435">
        <v>12</v>
      </c>
      <c r="BV1435" t="str">
        <f>"performing information security investigations"</f>
        <v>performing information security investigations</v>
      </c>
      <c r="BW1435" t="s">
        <v>135</v>
      </c>
      <c r="BX1435" t="str">
        <f>""</f>
        <v/>
      </c>
      <c r="BY1435" t="str">
        <f>""</f>
        <v/>
      </c>
      <c r="BZ1435" t="str">
        <f>""</f>
        <v/>
      </c>
      <c r="CA1435" t="str">
        <f>"Please see Section F.a.2"</f>
        <v>Please see Section F.a.2</v>
      </c>
      <c r="CB1435" t="s">
        <v>131</v>
      </c>
      <c r="CF1435" t="s">
        <v>131</v>
      </c>
      <c r="CH1435" t="str">
        <f>""</f>
        <v/>
      </c>
      <c r="CI1435" t="s">
        <v>131</v>
      </c>
      <c r="CK1435" t="s">
        <v>131</v>
      </c>
      <c r="CL1435" t="str">
        <f>""</f>
        <v/>
      </c>
      <c r="CM1435" t="str">
        <f>""</f>
        <v/>
      </c>
      <c r="CN1435" t="str">
        <f>""</f>
        <v/>
      </c>
      <c r="CO1435" t="str">
        <f>""</f>
        <v/>
      </c>
      <c r="CP1435" t="str">
        <f>"15-1122.00"</f>
        <v>15-1122.00</v>
      </c>
      <c r="CQ1435" t="s">
        <v>711</v>
      </c>
      <c r="CR1435" t="s">
        <v>14462</v>
      </c>
      <c r="CS1435" t="s">
        <v>131</v>
      </c>
      <c r="CU1435" t="s">
        <v>14463</v>
      </c>
      <c r="CW1435" t="s">
        <v>807</v>
      </c>
      <c r="CX1435" t="s">
        <v>808</v>
      </c>
      <c r="CZ1435" s="3" t="str">
        <f>"85040"</f>
        <v>85040</v>
      </c>
      <c r="DA1435" t="s">
        <v>131</v>
      </c>
      <c r="DB1435" t="str">
        <f>""</f>
        <v/>
      </c>
      <c r="DF1435" t="str">
        <f>""</f>
        <v/>
      </c>
    </row>
    <row r="1436" spans="1:110" ht="15" customHeight="1" x14ac:dyDescent="0.35">
      <c r="A1436" t="s">
        <v>16869</v>
      </c>
      <c r="B1436" t="s">
        <v>138</v>
      </c>
      <c r="C1436" s="1">
        <v>44329</v>
      </c>
      <c r="G1436" s="1">
        <v>44341</v>
      </c>
      <c r="H1436" t="s">
        <v>125</v>
      </c>
      <c r="I1436" t="s">
        <v>2349</v>
      </c>
      <c r="J1436" t="s">
        <v>9692</v>
      </c>
      <c r="L1436" t="s">
        <v>395</v>
      </c>
      <c r="M1436" t="s">
        <v>16870</v>
      </c>
      <c r="N1436" t="s">
        <v>3732</v>
      </c>
      <c r="O1436" t="s">
        <v>1548</v>
      </c>
      <c r="P1436" t="s">
        <v>144</v>
      </c>
      <c r="Q1436" s="3">
        <v>98012</v>
      </c>
      <c r="R1436" t="s">
        <v>128</v>
      </c>
      <c r="T1436" s="4">
        <v>12063557636</v>
      </c>
      <c r="V1436" t="s">
        <v>16871</v>
      </c>
      <c r="W1436" t="s">
        <v>16872</v>
      </c>
      <c r="Y1436" t="s">
        <v>16870</v>
      </c>
      <c r="Z1436" t="s">
        <v>3732</v>
      </c>
      <c r="AA1436" t="s">
        <v>1548</v>
      </c>
      <c r="AB1436" t="s">
        <v>149</v>
      </c>
      <c r="AC1436" s="3" t="str">
        <f>"98012"</f>
        <v>98012</v>
      </c>
      <c r="AD1436" t="s">
        <v>128</v>
      </c>
      <c r="AF1436" s="4">
        <v>14258928669</v>
      </c>
      <c r="AH1436" t="str">
        <f>"611110"</f>
        <v>611110</v>
      </c>
      <c r="AI1436" t="s">
        <v>130</v>
      </c>
      <c r="AJ1436" t="s">
        <v>2784</v>
      </c>
      <c r="AK1436" t="s">
        <v>15677</v>
      </c>
      <c r="AM1436" t="s">
        <v>15678</v>
      </c>
      <c r="AN1436" t="s">
        <v>2065</v>
      </c>
      <c r="AO1436" t="s">
        <v>928</v>
      </c>
      <c r="AP1436" t="s">
        <v>1512</v>
      </c>
      <c r="AQ1436" s="5">
        <v>97209</v>
      </c>
      <c r="AR1436" t="s">
        <v>128</v>
      </c>
      <c r="AT1436" s="4">
        <v>15032223384</v>
      </c>
      <c r="AV1436" t="s">
        <v>15679</v>
      </c>
      <c r="AW1436" t="s">
        <v>16873</v>
      </c>
      <c r="AX1436" t="s">
        <v>131</v>
      </c>
      <c r="AY1436" t="s">
        <v>131</v>
      </c>
      <c r="AZ1436" t="s">
        <v>131</v>
      </c>
      <c r="BA1436" t="s">
        <v>131</v>
      </c>
      <c r="BB1436" t="s">
        <v>131</v>
      </c>
      <c r="BC1436" t="s">
        <v>131</v>
      </c>
      <c r="BD1436" t="s">
        <v>131</v>
      </c>
      <c r="BE1436" t="s">
        <v>132</v>
      </c>
      <c r="BH1436" t="s">
        <v>16874</v>
      </c>
      <c r="BI1436" t="s">
        <v>131</v>
      </c>
      <c r="BL1436" t="s">
        <v>658</v>
      </c>
      <c r="BM1436" t="s">
        <v>16875</v>
      </c>
      <c r="BN1436" s="2" t="s">
        <v>16876</v>
      </c>
      <c r="BO1436" t="s">
        <v>131</v>
      </c>
      <c r="BP1436" t="s">
        <v>134</v>
      </c>
      <c r="BQ1436" t="s">
        <v>131</v>
      </c>
      <c r="BS1436" t="str">
        <f t="shared" si="91"/>
        <v>N/A</v>
      </c>
      <c r="BT1436" t="s">
        <v>135</v>
      </c>
      <c r="BU1436">
        <v>24</v>
      </c>
      <c r="BV1436" t="str">
        <f>"Music Teacher"</f>
        <v>Music Teacher</v>
      </c>
      <c r="BW1436" t="s">
        <v>135</v>
      </c>
      <c r="BX1436" t="str">
        <f>""</f>
        <v/>
      </c>
      <c r="BY1436" t="str">
        <f>"Be able to write and read
Chinese."</f>
        <v>Be able to write and read
Chinese.</v>
      </c>
      <c r="BZ1436" t="str">
        <f>""</f>
        <v/>
      </c>
      <c r="CA1436" t="str">
        <f>"2 year experience as a musical teacher or related experience. "</f>
        <v xml:space="preserve">2 year experience as a musical teacher or related experience. </v>
      </c>
      <c r="CB1436" t="s">
        <v>131</v>
      </c>
      <c r="CF1436" t="s">
        <v>131</v>
      </c>
      <c r="CH1436" t="str">
        <f>""</f>
        <v/>
      </c>
      <c r="CI1436" t="s">
        <v>131</v>
      </c>
      <c r="CK1436" t="s">
        <v>131</v>
      </c>
      <c r="CL1436" t="str">
        <f>""</f>
        <v/>
      </c>
      <c r="CM1436" t="str">
        <f>""</f>
        <v/>
      </c>
      <c r="CN1436" t="str">
        <f>""</f>
        <v/>
      </c>
      <c r="CO1436" t="str">
        <f>""</f>
        <v/>
      </c>
      <c r="CP1436" t="str">
        <f>"25-2022.00"</f>
        <v>25-2022.00</v>
      </c>
      <c r="CQ1436" t="s">
        <v>2837</v>
      </c>
      <c r="CR1436" t="s">
        <v>16877</v>
      </c>
      <c r="CS1436" t="s">
        <v>131</v>
      </c>
      <c r="CU1436" t="s">
        <v>16870</v>
      </c>
      <c r="CV1436" t="s">
        <v>3732</v>
      </c>
      <c r="CW1436" t="s">
        <v>1548</v>
      </c>
      <c r="CX1436" t="s">
        <v>149</v>
      </c>
      <c r="CZ1436" s="3" t="str">
        <f>"98012"</f>
        <v>98012</v>
      </c>
      <c r="DA1436" t="s">
        <v>131</v>
      </c>
      <c r="DB1436" t="str">
        <f>""</f>
        <v/>
      </c>
      <c r="DF1436" t="str">
        <f>""</f>
        <v/>
      </c>
    </row>
    <row r="1437" spans="1:110" ht="15" customHeight="1" x14ac:dyDescent="0.35">
      <c r="A1437" t="s">
        <v>20137</v>
      </c>
      <c r="B1437" t="s">
        <v>138</v>
      </c>
      <c r="C1437" s="1">
        <v>44329</v>
      </c>
      <c r="G1437" s="1">
        <v>44330</v>
      </c>
      <c r="H1437" t="s">
        <v>125</v>
      </c>
      <c r="I1437" t="s">
        <v>2298</v>
      </c>
      <c r="J1437" t="s">
        <v>2299</v>
      </c>
      <c r="L1437" t="s">
        <v>2300</v>
      </c>
      <c r="M1437" t="s">
        <v>2301</v>
      </c>
      <c r="N1437" t="s">
        <v>2302</v>
      </c>
      <c r="O1437" t="s">
        <v>546</v>
      </c>
      <c r="P1437" t="s">
        <v>412</v>
      </c>
      <c r="Q1437" s="3">
        <v>77379</v>
      </c>
      <c r="R1437" t="s">
        <v>128</v>
      </c>
      <c r="T1437" s="4">
        <v>18325612053</v>
      </c>
      <c r="V1437" t="s">
        <v>2303</v>
      </c>
      <c r="W1437" t="s">
        <v>20138</v>
      </c>
      <c r="Y1437" t="s">
        <v>2301</v>
      </c>
      <c r="Z1437" t="s">
        <v>2302</v>
      </c>
      <c r="AA1437" t="s">
        <v>546</v>
      </c>
      <c r="AB1437" t="s">
        <v>400</v>
      </c>
      <c r="AC1437" s="3" t="str">
        <f>"77379"</f>
        <v>77379</v>
      </c>
      <c r="AD1437" t="s">
        <v>128</v>
      </c>
      <c r="AF1437" s="4">
        <v>18325593869</v>
      </c>
      <c r="AH1437" t="str">
        <f>"454110"</f>
        <v>454110</v>
      </c>
      <c r="AI1437" t="s">
        <v>130</v>
      </c>
      <c r="AJ1437" t="s">
        <v>2304</v>
      </c>
      <c r="AK1437" t="s">
        <v>2305</v>
      </c>
      <c r="AL1437" t="s">
        <v>192</v>
      </c>
      <c r="AM1437" t="s">
        <v>2306</v>
      </c>
      <c r="AO1437" t="s">
        <v>885</v>
      </c>
      <c r="AP1437" t="s">
        <v>400</v>
      </c>
      <c r="AQ1437" s="5">
        <v>77027</v>
      </c>
      <c r="AR1437" t="s">
        <v>128</v>
      </c>
      <c r="AT1437" s="4">
        <v>17136215297</v>
      </c>
      <c r="AV1437" t="s">
        <v>2307</v>
      </c>
      <c r="AW1437" t="s">
        <v>2308</v>
      </c>
      <c r="AX1437" t="s">
        <v>131</v>
      </c>
      <c r="AY1437" t="s">
        <v>131</v>
      </c>
      <c r="AZ1437" t="s">
        <v>131</v>
      </c>
      <c r="BA1437" t="s">
        <v>131</v>
      </c>
      <c r="BB1437" t="s">
        <v>131</v>
      </c>
      <c r="BC1437" t="s">
        <v>131</v>
      </c>
      <c r="BD1437" t="s">
        <v>131</v>
      </c>
      <c r="BE1437" t="s">
        <v>132</v>
      </c>
      <c r="BH1437" t="s">
        <v>199</v>
      </c>
      <c r="BI1437" t="s">
        <v>135</v>
      </c>
      <c r="BJ1437" t="s">
        <v>20139</v>
      </c>
      <c r="BK1437" t="s">
        <v>20140</v>
      </c>
      <c r="BL1437" t="s">
        <v>133</v>
      </c>
      <c r="BN1437" t="s">
        <v>2309</v>
      </c>
      <c r="BO1437" t="s">
        <v>131</v>
      </c>
      <c r="BP1437" t="s">
        <v>134</v>
      </c>
      <c r="BQ1437" t="s">
        <v>131</v>
      </c>
      <c r="BS1437" t="str">
        <f t="shared" si="91"/>
        <v>N/A</v>
      </c>
      <c r="BT1437" t="s">
        <v>135</v>
      </c>
      <c r="BU1437">
        <v>24</v>
      </c>
      <c r="BV1437" t="str">
        <f>"Job Offered, OR in any job which involved the management of a supply chain"</f>
        <v>Job Offered, OR in any job which involved the management of a supply chain</v>
      </c>
      <c r="BW1437" t="s">
        <v>135</v>
      </c>
      <c r="BX1437" t="str">
        <f>""</f>
        <v/>
      </c>
      <c r="BY1437" t="str">
        <f>""</f>
        <v/>
      </c>
      <c r="BZ1437" t="str">
        <f>""</f>
        <v/>
      </c>
      <c r="CA1437" t="s">
        <v>2310</v>
      </c>
      <c r="CB1437" t="s">
        <v>135</v>
      </c>
      <c r="CC1437" t="s">
        <v>133</v>
      </c>
      <c r="CE1437" t="s">
        <v>20141</v>
      </c>
      <c r="CF1437" t="s">
        <v>131</v>
      </c>
      <c r="CH1437" t="str">
        <f>"N/A"</f>
        <v>N/A</v>
      </c>
      <c r="CI1437" t="s">
        <v>135</v>
      </c>
      <c r="CJ1437">
        <v>24</v>
      </c>
      <c r="CK1437" t="s">
        <v>135</v>
      </c>
      <c r="CL1437" t="str">
        <f>""</f>
        <v/>
      </c>
      <c r="CM1437" t="str">
        <f>""</f>
        <v/>
      </c>
      <c r="CN1437" t="str">
        <f>""</f>
        <v/>
      </c>
      <c r="CO1437" t="s">
        <v>2310</v>
      </c>
      <c r="CP1437" t="str">
        <f>"11-1021.00"</f>
        <v>11-1021.00</v>
      </c>
      <c r="CQ1437" t="s">
        <v>1296</v>
      </c>
      <c r="CR1437" t="s">
        <v>2300</v>
      </c>
      <c r="CS1437" t="s">
        <v>131</v>
      </c>
      <c r="CU1437" t="s">
        <v>2301</v>
      </c>
      <c r="CV1437" t="s">
        <v>2302</v>
      </c>
      <c r="CW1437" t="s">
        <v>546</v>
      </c>
      <c r="CX1437" t="s">
        <v>400</v>
      </c>
      <c r="CZ1437" s="3" t="str">
        <f>"77379"</f>
        <v>77379</v>
      </c>
      <c r="DA1437" t="s">
        <v>131</v>
      </c>
      <c r="DB1437" t="str">
        <f>""</f>
        <v/>
      </c>
      <c r="DF1437" t="str">
        <f>""</f>
        <v/>
      </c>
    </row>
    <row r="1438" spans="1:110" ht="15" customHeight="1" x14ac:dyDescent="0.35">
      <c r="A1438" t="s">
        <v>7089</v>
      </c>
      <c r="B1438" t="s">
        <v>138</v>
      </c>
      <c r="C1438" s="1">
        <v>44330</v>
      </c>
      <c r="G1438" s="1">
        <v>44333</v>
      </c>
      <c r="H1438" t="s">
        <v>125</v>
      </c>
      <c r="I1438" t="s">
        <v>7090</v>
      </c>
      <c r="J1438" t="s">
        <v>7091</v>
      </c>
      <c r="L1438" t="s">
        <v>395</v>
      </c>
      <c r="M1438" t="s">
        <v>7092</v>
      </c>
      <c r="N1438" t="s">
        <v>7093</v>
      </c>
      <c r="O1438" t="s">
        <v>885</v>
      </c>
      <c r="P1438" t="s">
        <v>412</v>
      </c>
      <c r="Q1438" s="3">
        <v>77036</v>
      </c>
      <c r="R1438" t="s">
        <v>128</v>
      </c>
      <c r="T1438" s="4">
        <v>12812352944</v>
      </c>
      <c r="V1438" t="s">
        <v>7094</v>
      </c>
      <c r="W1438" t="s">
        <v>7095</v>
      </c>
      <c r="X1438" t="s">
        <v>7092</v>
      </c>
      <c r="Y1438" t="s">
        <v>7093</v>
      </c>
      <c r="AA1438" t="s">
        <v>885</v>
      </c>
      <c r="AB1438" t="s">
        <v>400</v>
      </c>
      <c r="AC1438" s="3" t="str">
        <f>"77036"</f>
        <v>77036</v>
      </c>
      <c r="AD1438" t="s">
        <v>128</v>
      </c>
      <c r="AF1438" s="4">
        <v>12812352944</v>
      </c>
      <c r="AH1438" t="str">
        <f>"42472"</f>
        <v>42472</v>
      </c>
      <c r="AI1438" t="s">
        <v>130</v>
      </c>
      <c r="AJ1438" t="s">
        <v>744</v>
      </c>
      <c r="AK1438" t="s">
        <v>745</v>
      </c>
      <c r="AL1438" t="s">
        <v>610</v>
      </c>
      <c r="AM1438" t="s">
        <v>746</v>
      </c>
      <c r="AO1438" t="s">
        <v>747</v>
      </c>
      <c r="AP1438" t="s">
        <v>400</v>
      </c>
      <c r="AQ1438" s="5">
        <v>77497</v>
      </c>
      <c r="AR1438" t="s">
        <v>128</v>
      </c>
      <c r="AT1438" s="4">
        <v>12812652522</v>
      </c>
      <c r="AV1438" t="s">
        <v>748</v>
      </c>
      <c r="AW1438" t="s">
        <v>749</v>
      </c>
      <c r="AX1438" t="s">
        <v>131</v>
      </c>
      <c r="AY1438" t="s">
        <v>131</v>
      </c>
      <c r="AZ1438" t="s">
        <v>131</v>
      </c>
      <c r="BA1438" t="s">
        <v>131</v>
      </c>
      <c r="BB1438" t="s">
        <v>131</v>
      </c>
      <c r="BC1438" t="s">
        <v>131</v>
      </c>
      <c r="BD1438" t="s">
        <v>131</v>
      </c>
      <c r="BE1438" t="s">
        <v>132</v>
      </c>
      <c r="BH1438" t="s">
        <v>4968</v>
      </c>
      <c r="BI1438" t="s">
        <v>131</v>
      </c>
      <c r="BL1438" t="s">
        <v>133</v>
      </c>
      <c r="BN1438" t="s">
        <v>4904</v>
      </c>
      <c r="BO1438" t="s">
        <v>131</v>
      </c>
      <c r="BP1438" t="s">
        <v>134</v>
      </c>
      <c r="BQ1438" t="s">
        <v>131</v>
      </c>
      <c r="BS1438" t="str">
        <f t="shared" si="91"/>
        <v>N/A</v>
      </c>
      <c r="BT1438" t="s">
        <v>135</v>
      </c>
      <c r="BU1438">
        <v>24</v>
      </c>
      <c r="BV1438" t="str">
        <f>"Job offered or*"</f>
        <v>Job offered or*</v>
      </c>
      <c r="BW1438" t="s">
        <v>135</v>
      </c>
      <c r="BX1438" t="str">
        <f>""</f>
        <v/>
      </c>
      <c r="BY1438" t="str">
        <f>""</f>
        <v/>
      </c>
      <c r="BZ1438" t="str">
        <f>""</f>
        <v/>
      </c>
      <c r="CA1438" t="s">
        <v>7096</v>
      </c>
      <c r="CB1438" t="s">
        <v>135</v>
      </c>
      <c r="CC1438" t="s">
        <v>307</v>
      </c>
      <c r="CE1438" t="s">
        <v>4904</v>
      </c>
      <c r="CF1438" t="s">
        <v>131</v>
      </c>
      <c r="CH1438" t="str">
        <f>"N/A"</f>
        <v>N/A</v>
      </c>
      <c r="CI1438" t="s">
        <v>135</v>
      </c>
      <c r="CJ1438">
        <v>48</v>
      </c>
      <c r="CK1438" t="s">
        <v>135</v>
      </c>
      <c r="CL1438" t="str">
        <f>""</f>
        <v/>
      </c>
      <c r="CM1438" t="str">
        <f>""</f>
        <v/>
      </c>
      <c r="CN1438" t="str">
        <f>""</f>
        <v/>
      </c>
      <c r="CO1438" t="s">
        <v>7097</v>
      </c>
      <c r="CP1438" t="str">
        <f>"15-1141.00"</f>
        <v>15-1141.00</v>
      </c>
      <c r="CQ1438" t="s">
        <v>1576</v>
      </c>
      <c r="CR1438" t="s">
        <v>395</v>
      </c>
      <c r="CS1438" t="s">
        <v>131</v>
      </c>
      <c r="CU1438" t="s">
        <v>7092</v>
      </c>
      <c r="CV1438" t="s">
        <v>7093</v>
      </c>
      <c r="CW1438" t="s">
        <v>885</v>
      </c>
      <c r="CX1438" t="s">
        <v>400</v>
      </c>
      <c r="CZ1438" s="3" t="str">
        <f>"77036"</f>
        <v>77036</v>
      </c>
      <c r="DA1438" t="s">
        <v>131</v>
      </c>
      <c r="DB1438" t="str">
        <f>""</f>
        <v/>
      </c>
      <c r="DF1438" t="str">
        <f>""</f>
        <v/>
      </c>
    </row>
    <row r="1439" spans="1:110" ht="15" customHeight="1" x14ac:dyDescent="0.35">
      <c r="A1439" t="s">
        <v>9726</v>
      </c>
      <c r="B1439" t="s">
        <v>138</v>
      </c>
      <c r="C1439" s="1">
        <v>44330</v>
      </c>
      <c r="G1439" s="1">
        <v>44330</v>
      </c>
      <c r="H1439" t="s">
        <v>125</v>
      </c>
      <c r="I1439" t="s">
        <v>6599</v>
      </c>
      <c r="J1439" t="s">
        <v>6600</v>
      </c>
      <c r="L1439" t="s">
        <v>583</v>
      </c>
      <c r="M1439" t="s">
        <v>6601</v>
      </c>
      <c r="O1439" t="s">
        <v>6602</v>
      </c>
      <c r="P1439" t="s">
        <v>412</v>
      </c>
      <c r="Q1439" s="3">
        <v>78629</v>
      </c>
      <c r="R1439" t="s">
        <v>128</v>
      </c>
      <c r="T1439" s="4">
        <v>18306726511</v>
      </c>
      <c r="V1439" t="s">
        <v>6603</v>
      </c>
      <c r="W1439" t="s">
        <v>6604</v>
      </c>
      <c r="Y1439" t="s">
        <v>6601</v>
      </c>
      <c r="AA1439" t="s">
        <v>6602</v>
      </c>
      <c r="AB1439" t="s">
        <v>400</v>
      </c>
      <c r="AC1439" s="3" t="str">
        <f>"78629"</f>
        <v>78629</v>
      </c>
      <c r="AD1439" t="s">
        <v>128</v>
      </c>
      <c r="AF1439" s="4">
        <v>18306726511</v>
      </c>
      <c r="AH1439" t="str">
        <f>"6221"</f>
        <v>6221</v>
      </c>
      <c r="AI1439" t="s">
        <v>130</v>
      </c>
      <c r="AJ1439" t="s">
        <v>6605</v>
      </c>
      <c r="AK1439" t="s">
        <v>5952</v>
      </c>
      <c r="AM1439" t="s">
        <v>9727</v>
      </c>
      <c r="AN1439" t="s">
        <v>6606</v>
      </c>
      <c r="AO1439" t="s">
        <v>9728</v>
      </c>
      <c r="AP1439" t="s">
        <v>172</v>
      </c>
      <c r="AQ1439" s="5">
        <v>91301</v>
      </c>
      <c r="AR1439" t="s">
        <v>128</v>
      </c>
      <c r="AT1439" s="4">
        <v>18189146482</v>
      </c>
      <c r="AV1439" t="s">
        <v>6607</v>
      </c>
      <c r="AW1439" t="s">
        <v>6608</v>
      </c>
      <c r="AX1439" t="s">
        <v>131</v>
      </c>
      <c r="AY1439" t="s">
        <v>131</v>
      </c>
      <c r="AZ1439" t="s">
        <v>131</v>
      </c>
      <c r="BA1439" t="s">
        <v>131</v>
      </c>
      <c r="BB1439" t="s">
        <v>131</v>
      </c>
      <c r="BC1439" t="s">
        <v>131</v>
      </c>
      <c r="BD1439" t="s">
        <v>131</v>
      </c>
      <c r="BE1439" t="s">
        <v>132</v>
      </c>
      <c r="BH1439" t="s">
        <v>6609</v>
      </c>
      <c r="BI1439" t="s">
        <v>131</v>
      </c>
      <c r="BL1439" t="s">
        <v>658</v>
      </c>
      <c r="BM1439" t="s">
        <v>4589</v>
      </c>
      <c r="BN1439" t="s">
        <v>4589</v>
      </c>
      <c r="BO1439" t="s">
        <v>131</v>
      </c>
      <c r="BP1439" t="s">
        <v>134</v>
      </c>
      <c r="BQ1439" t="s">
        <v>131</v>
      </c>
      <c r="BS1439" t="str">
        <f t="shared" si="91"/>
        <v>N/A</v>
      </c>
      <c r="BT1439" t="s">
        <v>135</v>
      </c>
      <c r="BU1439">
        <v>6</v>
      </c>
      <c r="BV1439" t="str">
        <f>"SEE F.A.2"</f>
        <v>SEE F.A.2</v>
      </c>
      <c r="BW1439" t="s">
        <v>135</v>
      </c>
      <c r="BX1439" t="str">
        <f>"Unrestricted License to practice Dentistry in the State of Texas"</f>
        <v>Unrestricted License to practice Dentistry in the State of Texas</v>
      </c>
      <c r="BY1439" t="str">
        <f>""</f>
        <v/>
      </c>
      <c r="BZ1439" t="str">
        <f>""</f>
        <v/>
      </c>
      <c r="CA1439" t="str">
        <f>""</f>
        <v/>
      </c>
      <c r="CB1439" t="s">
        <v>131</v>
      </c>
      <c r="CF1439" t="s">
        <v>131</v>
      </c>
      <c r="CH1439" t="str">
        <f>""</f>
        <v/>
      </c>
      <c r="CI1439" t="s">
        <v>131</v>
      </c>
      <c r="CK1439" t="s">
        <v>131</v>
      </c>
      <c r="CL1439" t="str">
        <f>""</f>
        <v/>
      </c>
      <c r="CM1439" t="str">
        <f>""</f>
        <v/>
      </c>
      <c r="CN1439" t="str">
        <f>""</f>
        <v/>
      </c>
      <c r="CO1439" t="str">
        <f>""</f>
        <v/>
      </c>
      <c r="CP1439" t="str">
        <f>"29-1021.00"</f>
        <v>29-1021.00</v>
      </c>
      <c r="CQ1439" t="s">
        <v>1103</v>
      </c>
      <c r="CR1439" t="s">
        <v>1104</v>
      </c>
      <c r="CS1439" t="s">
        <v>135</v>
      </c>
      <c r="CT1439" t="s">
        <v>9729</v>
      </c>
      <c r="CU1439" t="s">
        <v>6601</v>
      </c>
      <c r="CW1439" t="s">
        <v>6602</v>
      </c>
      <c r="CX1439" t="s">
        <v>400</v>
      </c>
      <c r="CZ1439" s="3" t="str">
        <f>"78629"</f>
        <v>78629</v>
      </c>
      <c r="DA1439" t="s">
        <v>131</v>
      </c>
      <c r="DB1439" t="str">
        <f>""</f>
        <v/>
      </c>
      <c r="DF1439" t="str">
        <f>""</f>
        <v/>
      </c>
    </row>
    <row r="1440" spans="1:110" ht="15" customHeight="1" x14ac:dyDescent="0.35">
      <c r="A1440" t="s">
        <v>15080</v>
      </c>
      <c r="B1440" t="s">
        <v>138</v>
      </c>
      <c r="C1440" s="1">
        <v>44330</v>
      </c>
      <c r="G1440" s="1">
        <v>44330</v>
      </c>
      <c r="H1440" t="s">
        <v>125</v>
      </c>
      <c r="I1440" t="s">
        <v>5059</v>
      </c>
      <c r="J1440" t="s">
        <v>4567</v>
      </c>
      <c r="L1440" t="s">
        <v>5060</v>
      </c>
      <c r="M1440" t="s">
        <v>5061</v>
      </c>
      <c r="O1440" t="s">
        <v>2539</v>
      </c>
      <c r="P1440" t="s">
        <v>593</v>
      </c>
      <c r="Q1440" s="3">
        <v>27709</v>
      </c>
      <c r="R1440" t="s">
        <v>128</v>
      </c>
      <c r="T1440" s="4">
        <v>19192544576</v>
      </c>
      <c r="V1440" t="s">
        <v>5062</v>
      </c>
      <c r="W1440" t="s">
        <v>4015</v>
      </c>
      <c r="Y1440" t="s">
        <v>5061</v>
      </c>
      <c r="AA1440" t="s">
        <v>2539</v>
      </c>
      <c r="AB1440" t="s">
        <v>594</v>
      </c>
      <c r="AC1440" s="3" t="str">
        <f>"27709"</f>
        <v>27709</v>
      </c>
      <c r="AD1440" t="s">
        <v>128</v>
      </c>
      <c r="AF1440" s="4">
        <v>19192544576</v>
      </c>
      <c r="AH1440" t="str">
        <f>"54151"</f>
        <v>54151</v>
      </c>
      <c r="AI1440" t="s">
        <v>130</v>
      </c>
      <c r="AJ1440" t="s">
        <v>5812</v>
      </c>
      <c r="AK1440" t="s">
        <v>5813</v>
      </c>
      <c r="AM1440" t="s">
        <v>493</v>
      </c>
      <c r="AO1440" t="s">
        <v>494</v>
      </c>
      <c r="AP1440" t="s">
        <v>129</v>
      </c>
      <c r="AQ1440" s="5">
        <v>10018</v>
      </c>
      <c r="AR1440" t="s">
        <v>128</v>
      </c>
      <c r="AT1440" s="4">
        <v>12126888555</v>
      </c>
      <c r="AV1440" t="s">
        <v>5814</v>
      </c>
      <c r="AW1440" t="s">
        <v>4015</v>
      </c>
      <c r="AX1440" t="s">
        <v>131</v>
      </c>
      <c r="AY1440" t="s">
        <v>131</v>
      </c>
      <c r="AZ1440" t="s">
        <v>131</v>
      </c>
      <c r="BA1440" t="s">
        <v>131</v>
      </c>
      <c r="BB1440" t="s">
        <v>131</v>
      </c>
      <c r="BC1440" t="s">
        <v>131</v>
      </c>
      <c r="BD1440" t="s">
        <v>131</v>
      </c>
      <c r="BE1440" t="s">
        <v>132</v>
      </c>
      <c r="BH1440" t="s">
        <v>1501</v>
      </c>
      <c r="BI1440" t="s">
        <v>131</v>
      </c>
      <c r="BL1440" t="s">
        <v>133</v>
      </c>
      <c r="BN1440" t="s">
        <v>7570</v>
      </c>
      <c r="BO1440" t="s">
        <v>131</v>
      </c>
      <c r="BP1440" t="s">
        <v>134</v>
      </c>
      <c r="BQ1440" t="s">
        <v>131</v>
      </c>
      <c r="BS1440" t="str">
        <f t="shared" si="91"/>
        <v>N/A</v>
      </c>
      <c r="BT1440" t="s">
        <v>135</v>
      </c>
      <c r="BU1440">
        <v>24</v>
      </c>
      <c r="BV1440" t="str">
        <f>"Software Engineer or related"</f>
        <v>Software Engineer or related</v>
      </c>
      <c r="BW1440" t="s">
        <v>135</v>
      </c>
      <c r="BX1440" t="str">
        <f>""</f>
        <v/>
      </c>
      <c r="BY1440" t="str">
        <f>""</f>
        <v/>
      </c>
      <c r="BZ1440" t="str">
        <f>""</f>
        <v/>
      </c>
      <c r="CA1440" t="str">
        <f>"see F.a.2."</f>
        <v>see F.a.2.</v>
      </c>
      <c r="CB1440" t="s">
        <v>131</v>
      </c>
      <c r="CF1440" t="s">
        <v>131</v>
      </c>
      <c r="CH1440" t="str">
        <f>""</f>
        <v/>
      </c>
      <c r="CI1440" t="s">
        <v>131</v>
      </c>
      <c r="CK1440" t="s">
        <v>131</v>
      </c>
      <c r="CL1440" t="str">
        <f>""</f>
        <v/>
      </c>
      <c r="CM1440" t="str">
        <f>""</f>
        <v/>
      </c>
      <c r="CN1440" t="str">
        <f>""</f>
        <v/>
      </c>
      <c r="CO1440" t="str">
        <f>""</f>
        <v/>
      </c>
      <c r="CP1440" t="str">
        <f>"15-1133.00"</f>
        <v>15-1133.00</v>
      </c>
      <c r="CQ1440" t="s">
        <v>648</v>
      </c>
      <c r="CR1440" t="s">
        <v>460</v>
      </c>
      <c r="CS1440" t="s">
        <v>131</v>
      </c>
      <c r="CU1440" t="s">
        <v>9865</v>
      </c>
      <c r="CW1440" t="s">
        <v>1546</v>
      </c>
      <c r="CX1440" t="s">
        <v>377</v>
      </c>
      <c r="CZ1440" s="3" t="str">
        <f>"02142"</f>
        <v>02142</v>
      </c>
      <c r="DA1440" t="s">
        <v>131</v>
      </c>
      <c r="DB1440" t="str">
        <f>""</f>
        <v/>
      </c>
      <c r="DF1440" t="str">
        <f>""</f>
        <v/>
      </c>
    </row>
    <row r="1441" spans="1:110" ht="15" customHeight="1" x14ac:dyDescent="0.35">
      <c r="A1441" t="s">
        <v>17128</v>
      </c>
      <c r="B1441" t="s">
        <v>138</v>
      </c>
      <c r="C1441" s="1">
        <v>44330</v>
      </c>
      <c r="G1441" s="1">
        <v>44341</v>
      </c>
      <c r="H1441" t="s">
        <v>125</v>
      </c>
      <c r="I1441" t="s">
        <v>6599</v>
      </c>
      <c r="J1441" t="s">
        <v>6600</v>
      </c>
      <c r="L1441" t="s">
        <v>583</v>
      </c>
      <c r="M1441" t="s">
        <v>6601</v>
      </c>
      <c r="O1441" t="s">
        <v>6602</v>
      </c>
      <c r="P1441" t="s">
        <v>412</v>
      </c>
      <c r="Q1441" s="3">
        <v>78629</v>
      </c>
      <c r="R1441" t="s">
        <v>128</v>
      </c>
      <c r="T1441" s="4">
        <v>18306726511</v>
      </c>
      <c r="V1441" t="s">
        <v>6603</v>
      </c>
      <c r="W1441" t="s">
        <v>6604</v>
      </c>
      <c r="Y1441" t="s">
        <v>6601</v>
      </c>
      <c r="AA1441" t="s">
        <v>6602</v>
      </c>
      <c r="AB1441" t="s">
        <v>400</v>
      </c>
      <c r="AC1441" s="3" t="str">
        <f>"78629"</f>
        <v>78629</v>
      </c>
      <c r="AD1441" t="s">
        <v>128</v>
      </c>
      <c r="AF1441" s="4">
        <v>18306726511</v>
      </c>
      <c r="AH1441" t="str">
        <f>"6221"</f>
        <v>6221</v>
      </c>
      <c r="AI1441" t="s">
        <v>130</v>
      </c>
      <c r="AJ1441" t="s">
        <v>6605</v>
      </c>
      <c r="AK1441" t="s">
        <v>5952</v>
      </c>
      <c r="AM1441" t="s">
        <v>9727</v>
      </c>
      <c r="AN1441" t="s">
        <v>6606</v>
      </c>
      <c r="AO1441" t="s">
        <v>9728</v>
      </c>
      <c r="AP1441" t="s">
        <v>172</v>
      </c>
      <c r="AQ1441" s="5">
        <v>91301</v>
      </c>
      <c r="AR1441" t="s">
        <v>128</v>
      </c>
      <c r="AT1441" s="4">
        <v>18189146482</v>
      </c>
      <c r="AV1441" t="s">
        <v>6607</v>
      </c>
      <c r="AW1441" t="s">
        <v>6608</v>
      </c>
      <c r="AX1441" t="s">
        <v>131</v>
      </c>
      <c r="AY1441" t="s">
        <v>131</v>
      </c>
      <c r="AZ1441" t="s">
        <v>131</v>
      </c>
      <c r="BA1441" t="s">
        <v>131</v>
      </c>
      <c r="BB1441" t="s">
        <v>131</v>
      </c>
      <c r="BC1441" t="s">
        <v>131</v>
      </c>
      <c r="BD1441" t="s">
        <v>131</v>
      </c>
      <c r="BE1441" t="s">
        <v>132</v>
      </c>
      <c r="BH1441" t="s">
        <v>6609</v>
      </c>
      <c r="BI1441" t="s">
        <v>131</v>
      </c>
      <c r="BL1441" t="s">
        <v>658</v>
      </c>
      <c r="BM1441" t="s">
        <v>4589</v>
      </c>
      <c r="BN1441" t="s">
        <v>4589</v>
      </c>
      <c r="BO1441" t="s">
        <v>131</v>
      </c>
      <c r="BP1441" t="s">
        <v>134</v>
      </c>
      <c r="BQ1441" t="s">
        <v>131</v>
      </c>
      <c r="BS1441" t="str">
        <f t="shared" si="91"/>
        <v>N/A</v>
      </c>
      <c r="BT1441" t="s">
        <v>135</v>
      </c>
      <c r="BU1441">
        <v>6</v>
      </c>
      <c r="BV1441" t="str">
        <f>"SEE F.A.2"</f>
        <v>SEE F.A.2</v>
      </c>
      <c r="BW1441" t="s">
        <v>135</v>
      </c>
      <c r="BX1441" t="str">
        <f>"UNRESTRICTED LICENSE TO PRACTICE DENTISTRY IN THE STATE OF TEXAS."</f>
        <v>UNRESTRICTED LICENSE TO PRACTICE DENTISTRY IN THE STATE OF TEXAS.</v>
      </c>
      <c r="BY1441" t="str">
        <f>""</f>
        <v/>
      </c>
      <c r="BZ1441" t="str">
        <f>""</f>
        <v/>
      </c>
      <c r="CA1441" t="str">
        <f>""</f>
        <v/>
      </c>
      <c r="CB1441" t="s">
        <v>131</v>
      </c>
      <c r="CF1441" t="s">
        <v>131</v>
      </c>
      <c r="CH1441" t="str">
        <f>""</f>
        <v/>
      </c>
      <c r="CI1441" t="s">
        <v>131</v>
      </c>
      <c r="CK1441" t="s">
        <v>131</v>
      </c>
      <c r="CL1441" t="str">
        <f>""</f>
        <v/>
      </c>
      <c r="CM1441" t="str">
        <f>""</f>
        <v/>
      </c>
      <c r="CN1441" t="str">
        <f>""</f>
        <v/>
      </c>
      <c r="CO1441" t="str">
        <f>""</f>
        <v/>
      </c>
      <c r="CP1441" t="str">
        <f>"29-1021.00"</f>
        <v>29-1021.00</v>
      </c>
      <c r="CQ1441" t="s">
        <v>1103</v>
      </c>
      <c r="CR1441" t="s">
        <v>1104</v>
      </c>
      <c r="CS1441" t="s">
        <v>131</v>
      </c>
      <c r="CU1441" t="s">
        <v>6601</v>
      </c>
      <c r="CW1441" t="s">
        <v>6602</v>
      </c>
      <c r="CX1441" t="s">
        <v>400</v>
      </c>
      <c r="CZ1441" s="3" t="str">
        <f>"78629"</f>
        <v>78629</v>
      </c>
      <c r="DA1441" t="s">
        <v>131</v>
      </c>
      <c r="DB1441" t="str">
        <f>""</f>
        <v/>
      </c>
      <c r="DF1441" t="str">
        <f>""</f>
        <v/>
      </c>
    </row>
    <row r="1442" spans="1:110" ht="15" customHeight="1" x14ac:dyDescent="0.35">
      <c r="A1442" t="s">
        <v>18599</v>
      </c>
      <c r="B1442" t="s">
        <v>138</v>
      </c>
      <c r="C1442" s="1">
        <v>44330</v>
      </c>
      <c r="G1442" s="1">
        <v>44341</v>
      </c>
      <c r="H1442" t="s">
        <v>125</v>
      </c>
      <c r="I1442" t="s">
        <v>18600</v>
      </c>
      <c r="J1442" t="s">
        <v>718</v>
      </c>
      <c r="L1442" t="s">
        <v>5098</v>
      </c>
      <c r="M1442" t="s">
        <v>5099</v>
      </c>
      <c r="O1442" t="s">
        <v>4122</v>
      </c>
      <c r="P1442" t="s">
        <v>311</v>
      </c>
      <c r="Q1442" s="3">
        <v>18104</v>
      </c>
      <c r="R1442" t="s">
        <v>128</v>
      </c>
      <c r="T1442" s="4">
        <v>16105305000</v>
      </c>
      <c r="V1442" t="s">
        <v>5100</v>
      </c>
      <c r="W1442" t="s">
        <v>5101</v>
      </c>
      <c r="Y1442" t="s">
        <v>5102</v>
      </c>
      <c r="Z1442">
        <v>300</v>
      </c>
      <c r="AA1442" t="s">
        <v>4122</v>
      </c>
      <c r="AB1442" t="s">
        <v>312</v>
      </c>
      <c r="AC1442" s="3" t="str">
        <f>"18104"</f>
        <v>18104</v>
      </c>
      <c r="AD1442" t="s">
        <v>128</v>
      </c>
      <c r="AF1442" s="4">
        <v>17176513188</v>
      </c>
      <c r="AH1442" t="str">
        <f>"54151"</f>
        <v>54151</v>
      </c>
      <c r="AI1442" t="s">
        <v>130</v>
      </c>
      <c r="AJ1442" t="s">
        <v>3300</v>
      </c>
      <c r="AK1442" t="s">
        <v>852</v>
      </c>
      <c r="AL1442" t="s">
        <v>3300</v>
      </c>
      <c r="AM1442" t="s">
        <v>1608</v>
      </c>
      <c r="AN1442" t="s">
        <v>1609</v>
      </c>
      <c r="AO1442" t="s">
        <v>766</v>
      </c>
      <c r="AP1442" t="s">
        <v>263</v>
      </c>
      <c r="AQ1442" s="5">
        <v>60690</v>
      </c>
      <c r="AR1442" t="s">
        <v>128</v>
      </c>
      <c r="AT1442" s="4">
        <v>13126516100</v>
      </c>
      <c r="AV1442" t="s">
        <v>1610</v>
      </c>
      <c r="AW1442" t="s">
        <v>1611</v>
      </c>
      <c r="AX1442" t="s">
        <v>131</v>
      </c>
      <c r="AY1442" t="s">
        <v>131</v>
      </c>
      <c r="AZ1442" t="s">
        <v>131</v>
      </c>
      <c r="BA1442" t="s">
        <v>131</v>
      </c>
      <c r="BB1442" t="s">
        <v>131</v>
      </c>
      <c r="BC1442" t="s">
        <v>131</v>
      </c>
      <c r="BD1442" t="s">
        <v>131</v>
      </c>
      <c r="BE1442" t="s">
        <v>132</v>
      </c>
      <c r="BH1442" t="s">
        <v>13163</v>
      </c>
      <c r="BI1442" t="s">
        <v>131</v>
      </c>
      <c r="BL1442" t="s">
        <v>133</v>
      </c>
      <c r="BN1442" t="s">
        <v>18601</v>
      </c>
      <c r="BO1442" t="s">
        <v>131</v>
      </c>
      <c r="BP1442" t="s">
        <v>134</v>
      </c>
      <c r="BQ1442" t="s">
        <v>131</v>
      </c>
      <c r="BS1442" t="str">
        <f t="shared" si="91"/>
        <v>N/A</v>
      </c>
      <c r="BT1442" t="s">
        <v>135</v>
      </c>
      <c r="BU1442">
        <v>60</v>
      </c>
      <c r="BV1442" t="str">
        <f>"Related occupation."</f>
        <v>Related occupation.</v>
      </c>
      <c r="BW1442" t="s">
        <v>135</v>
      </c>
      <c r="BX1442" t="str">
        <f>""</f>
        <v/>
      </c>
      <c r="BY1442" t="str">
        <f>""</f>
        <v/>
      </c>
      <c r="BZ1442" t="str">
        <f>""</f>
        <v/>
      </c>
      <c r="CA1442" t="s">
        <v>18602</v>
      </c>
      <c r="CB1442" t="s">
        <v>131</v>
      </c>
      <c r="CF1442" t="s">
        <v>131</v>
      </c>
      <c r="CH1442" t="str">
        <f>""</f>
        <v/>
      </c>
      <c r="CI1442" t="s">
        <v>131</v>
      </c>
      <c r="CK1442" t="s">
        <v>131</v>
      </c>
      <c r="CL1442" t="str">
        <f>""</f>
        <v/>
      </c>
      <c r="CM1442" t="str">
        <f>""</f>
        <v/>
      </c>
      <c r="CN1442" t="str">
        <f>""</f>
        <v/>
      </c>
      <c r="CO1442" t="str">
        <f>""</f>
        <v/>
      </c>
      <c r="CP1442" t="str">
        <f>"15-1132.00"</f>
        <v>15-1132.00</v>
      </c>
      <c r="CQ1442" t="s">
        <v>198</v>
      </c>
      <c r="CR1442" t="s">
        <v>13164</v>
      </c>
      <c r="CS1442" t="s">
        <v>135</v>
      </c>
      <c r="CT1442" t="s">
        <v>18603</v>
      </c>
      <c r="CU1442" t="s">
        <v>5099</v>
      </c>
      <c r="CV1442" t="s">
        <v>611</v>
      </c>
      <c r="CW1442" t="s">
        <v>4122</v>
      </c>
      <c r="CX1442" t="s">
        <v>312</v>
      </c>
      <c r="CZ1442" s="3" t="str">
        <f>"18104"</f>
        <v>18104</v>
      </c>
      <c r="DA1442" t="s">
        <v>131</v>
      </c>
      <c r="DB1442" t="str">
        <f>""</f>
        <v/>
      </c>
      <c r="DF1442" t="str">
        <f>""</f>
        <v/>
      </c>
    </row>
    <row r="1443" spans="1:110" ht="15" customHeight="1" x14ac:dyDescent="0.35">
      <c r="A1443" t="s">
        <v>14795</v>
      </c>
      <c r="B1443" t="s">
        <v>138</v>
      </c>
      <c r="C1443" s="1">
        <v>44330</v>
      </c>
      <c r="G1443" s="1">
        <v>44341</v>
      </c>
      <c r="H1443" t="s">
        <v>125</v>
      </c>
      <c r="I1443" t="s">
        <v>6599</v>
      </c>
      <c r="J1443" t="s">
        <v>6600</v>
      </c>
      <c r="L1443" t="s">
        <v>583</v>
      </c>
      <c r="M1443" t="s">
        <v>6601</v>
      </c>
      <c r="O1443" t="s">
        <v>6602</v>
      </c>
      <c r="P1443" t="s">
        <v>412</v>
      </c>
      <c r="Q1443" s="3">
        <v>78629</v>
      </c>
      <c r="R1443" t="s">
        <v>128</v>
      </c>
      <c r="T1443" s="4">
        <v>18306726511</v>
      </c>
      <c r="V1443" t="s">
        <v>6603</v>
      </c>
      <c r="W1443" t="s">
        <v>6604</v>
      </c>
      <c r="Y1443" t="s">
        <v>6601</v>
      </c>
      <c r="AA1443" t="s">
        <v>6602</v>
      </c>
      <c r="AB1443" t="s">
        <v>400</v>
      </c>
      <c r="AC1443" s="3" t="str">
        <f>"78629"</f>
        <v>78629</v>
      </c>
      <c r="AD1443" t="s">
        <v>128</v>
      </c>
      <c r="AF1443" s="4">
        <v>18306726511</v>
      </c>
      <c r="AH1443" t="str">
        <f>"6221"</f>
        <v>6221</v>
      </c>
      <c r="AI1443" t="s">
        <v>130</v>
      </c>
      <c r="AJ1443" t="s">
        <v>6605</v>
      </c>
      <c r="AK1443" t="s">
        <v>5952</v>
      </c>
      <c r="AM1443" t="s">
        <v>9727</v>
      </c>
      <c r="AN1443" t="s">
        <v>6606</v>
      </c>
      <c r="AO1443" t="s">
        <v>9728</v>
      </c>
      <c r="AP1443" t="s">
        <v>172</v>
      </c>
      <c r="AQ1443" s="5">
        <v>91301</v>
      </c>
      <c r="AR1443" t="s">
        <v>128</v>
      </c>
      <c r="AT1443" s="4">
        <v>18189146482</v>
      </c>
      <c r="AV1443" t="s">
        <v>6607</v>
      </c>
      <c r="AW1443" t="s">
        <v>6608</v>
      </c>
      <c r="AX1443" t="s">
        <v>131</v>
      </c>
      <c r="AY1443" t="s">
        <v>131</v>
      </c>
      <c r="AZ1443" t="s">
        <v>131</v>
      </c>
      <c r="BA1443" t="s">
        <v>131</v>
      </c>
      <c r="BB1443" t="s">
        <v>131</v>
      </c>
      <c r="BC1443" t="s">
        <v>131</v>
      </c>
      <c r="BD1443" t="s">
        <v>131</v>
      </c>
      <c r="BE1443" t="s">
        <v>132</v>
      </c>
      <c r="BH1443" t="s">
        <v>6609</v>
      </c>
      <c r="BI1443" t="s">
        <v>131</v>
      </c>
      <c r="BL1443" t="s">
        <v>658</v>
      </c>
      <c r="BM1443" t="s">
        <v>4589</v>
      </c>
      <c r="BN1443" t="s">
        <v>4589</v>
      </c>
      <c r="BO1443" t="s">
        <v>131</v>
      </c>
      <c r="BP1443" t="s">
        <v>134</v>
      </c>
      <c r="BQ1443" t="s">
        <v>131</v>
      </c>
      <c r="BS1443" t="str">
        <f t="shared" si="91"/>
        <v>N/A</v>
      </c>
      <c r="BT1443" t="s">
        <v>135</v>
      </c>
      <c r="BU1443">
        <v>6</v>
      </c>
      <c r="BV1443" t="str">
        <f>"SEE F.A.2"</f>
        <v>SEE F.A.2</v>
      </c>
      <c r="BW1443" t="s">
        <v>135</v>
      </c>
      <c r="BX1443" t="str">
        <f>"Unrestricted License to practice Dentistry in the State of Texas"</f>
        <v>Unrestricted License to practice Dentistry in the State of Texas</v>
      </c>
      <c r="BY1443" t="str">
        <f>""</f>
        <v/>
      </c>
      <c r="BZ1443" t="str">
        <f>""</f>
        <v/>
      </c>
      <c r="CA1443" t="str">
        <f>""</f>
        <v/>
      </c>
      <c r="CB1443" t="s">
        <v>131</v>
      </c>
      <c r="CF1443" t="s">
        <v>131</v>
      </c>
      <c r="CH1443" t="str">
        <f>""</f>
        <v/>
      </c>
      <c r="CI1443" t="s">
        <v>131</v>
      </c>
      <c r="CK1443" t="s">
        <v>131</v>
      </c>
      <c r="CL1443" t="str">
        <f>""</f>
        <v/>
      </c>
      <c r="CM1443" t="str">
        <f>""</f>
        <v/>
      </c>
      <c r="CN1443" t="str">
        <f>""</f>
        <v/>
      </c>
      <c r="CO1443" t="str">
        <f>""</f>
        <v/>
      </c>
      <c r="CP1443" t="str">
        <f>"29-1021.00"</f>
        <v>29-1021.00</v>
      </c>
      <c r="CQ1443" t="s">
        <v>1103</v>
      </c>
      <c r="CR1443" t="s">
        <v>1104</v>
      </c>
      <c r="CS1443" t="s">
        <v>135</v>
      </c>
      <c r="CT1443" t="s">
        <v>14796</v>
      </c>
      <c r="CU1443" t="s">
        <v>6601</v>
      </c>
      <c r="CW1443" t="s">
        <v>6602</v>
      </c>
      <c r="CX1443" t="s">
        <v>400</v>
      </c>
      <c r="CZ1443" s="3" t="str">
        <f>"78629"</f>
        <v>78629</v>
      </c>
      <c r="DA1443" t="s">
        <v>131</v>
      </c>
      <c r="DB1443" t="str">
        <f>""</f>
        <v/>
      </c>
      <c r="DF1443" t="str">
        <f>""</f>
        <v/>
      </c>
    </row>
    <row r="1444" spans="1:110" ht="15" customHeight="1" x14ac:dyDescent="0.35">
      <c r="A1444" t="s">
        <v>9716</v>
      </c>
      <c r="B1444" t="s">
        <v>138</v>
      </c>
      <c r="C1444" s="1">
        <v>44330</v>
      </c>
      <c r="G1444" s="1">
        <v>44330</v>
      </c>
      <c r="H1444" t="s">
        <v>125</v>
      </c>
      <c r="I1444" t="s">
        <v>9362</v>
      </c>
      <c r="J1444" t="s">
        <v>2372</v>
      </c>
      <c r="L1444" t="s">
        <v>553</v>
      </c>
      <c r="M1444" t="s">
        <v>9363</v>
      </c>
      <c r="N1444" t="s">
        <v>9364</v>
      </c>
      <c r="O1444" t="s">
        <v>1597</v>
      </c>
      <c r="P1444" t="s">
        <v>311</v>
      </c>
      <c r="Q1444" s="3">
        <v>15222</v>
      </c>
      <c r="R1444" t="s">
        <v>128</v>
      </c>
      <c r="T1444" s="4">
        <v>14127685133</v>
      </c>
      <c r="V1444" t="s">
        <v>9365</v>
      </c>
      <c r="W1444" t="s">
        <v>9366</v>
      </c>
      <c r="X1444" t="s">
        <v>1596</v>
      </c>
      <c r="Y1444" t="s">
        <v>9367</v>
      </c>
      <c r="AA1444" t="s">
        <v>1597</v>
      </c>
      <c r="AB1444" t="s">
        <v>312</v>
      </c>
      <c r="AC1444" s="3" t="str">
        <f>"15222"</f>
        <v>15222</v>
      </c>
      <c r="AD1444" t="s">
        <v>128</v>
      </c>
      <c r="AF1444" s="4">
        <v>14127685133</v>
      </c>
      <c r="AH1444" t="str">
        <f>"52211"</f>
        <v>52211</v>
      </c>
      <c r="AI1444" t="s">
        <v>130</v>
      </c>
      <c r="AJ1444" t="s">
        <v>9368</v>
      </c>
      <c r="AK1444" t="s">
        <v>684</v>
      </c>
      <c r="AM1444" t="s">
        <v>6220</v>
      </c>
      <c r="AN1444" t="s">
        <v>1722</v>
      </c>
      <c r="AO1444" t="s">
        <v>1597</v>
      </c>
      <c r="AP1444" t="s">
        <v>312</v>
      </c>
      <c r="AQ1444" s="5">
        <v>15222</v>
      </c>
      <c r="AR1444" t="s">
        <v>128</v>
      </c>
      <c r="AT1444" s="4">
        <v>14122974860</v>
      </c>
      <c r="AV1444" t="s">
        <v>9369</v>
      </c>
      <c r="AW1444" t="s">
        <v>1596</v>
      </c>
      <c r="AX1444" t="s">
        <v>131</v>
      </c>
      <c r="AY1444" t="s">
        <v>131</v>
      </c>
      <c r="AZ1444" t="s">
        <v>131</v>
      </c>
      <c r="BA1444" t="s">
        <v>131</v>
      </c>
      <c r="BB1444" t="s">
        <v>131</v>
      </c>
      <c r="BC1444" t="s">
        <v>131</v>
      </c>
      <c r="BD1444" t="s">
        <v>131</v>
      </c>
      <c r="BE1444" t="s">
        <v>132</v>
      </c>
      <c r="BH1444" t="s">
        <v>9370</v>
      </c>
      <c r="BI1444" t="s">
        <v>131</v>
      </c>
      <c r="BL1444" t="s">
        <v>133</v>
      </c>
      <c r="BN1444" t="s">
        <v>9371</v>
      </c>
      <c r="BO1444" t="s">
        <v>131</v>
      </c>
      <c r="BP1444" t="s">
        <v>134</v>
      </c>
      <c r="BQ1444" t="s">
        <v>131</v>
      </c>
      <c r="BS1444" t="str">
        <f t="shared" si="91"/>
        <v>N/A</v>
      </c>
      <c r="BT1444" t="s">
        <v>135</v>
      </c>
      <c r="BU1444">
        <v>96</v>
      </c>
      <c r="BV1444" t="str">
        <f>"Experience creating Logical and Physical Data Modeling of Enterprise Data warehouse and Data Marts "</f>
        <v xml:space="preserve">Experience creating Logical and Physical Data Modeling of Enterprise Data warehouse and Data Marts </v>
      </c>
      <c r="BW1444" t="s">
        <v>135</v>
      </c>
      <c r="BX1444" t="str">
        <f>""</f>
        <v/>
      </c>
      <c r="BY1444" t="str">
        <f>""</f>
        <v/>
      </c>
      <c r="BZ1444" t="str">
        <f>""</f>
        <v/>
      </c>
      <c r="CA1444" t="s">
        <v>9372</v>
      </c>
      <c r="CB1444" t="s">
        <v>131</v>
      </c>
      <c r="CF1444" t="s">
        <v>131</v>
      </c>
      <c r="CH1444" t="str">
        <f>""</f>
        <v/>
      </c>
      <c r="CI1444" t="s">
        <v>131</v>
      </c>
      <c r="CK1444" t="s">
        <v>131</v>
      </c>
      <c r="CL1444" t="str">
        <f>""</f>
        <v/>
      </c>
      <c r="CM1444" t="str">
        <f>""</f>
        <v/>
      </c>
      <c r="CN1444" t="str">
        <f>""</f>
        <v/>
      </c>
      <c r="CO1444" t="str">
        <f>""</f>
        <v/>
      </c>
      <c r="CP1444" t="str">
        <f>"15-1132.00"</f>
        <v>15-1132.00</v>
      </c>
      <c r="CQ1444" t="s">
        <v>198</v>
      </c>
      <c r="CS1444" t="s">
        <v>131</v>
      </c>
      <c r="CU1444" t="s">
        <v>9373</v>
      </c>
      <c r="CW1444" t="s">
        <v>1471</v>
      </c>
      <c r="CX1444" t="s">
        <v>444</v>
      </c>
      <c r="CZ1444" s="3" t="str">
        <f>"44135"</f>
        <v>44135</v>
      </c>
      <c r="DA1444" t="s">
        <v>131</v>
      </c>
      <c r="DB1444" t="str">
        <f>""</f>
        <v/>
      </c>
      <c r="DF1444" t="str">
        <f>""</f>
        <v/>
      </c>
    </row>
    <row r="1445" spans="1:110" ht="15" customHeight="1" x14ac:dyDescent="0.35">
      <c r="A1445" t="s">
        <v>18829</v>
      </c>
      <c r="B1445" t="s">
        <v>138</v>
      </c>
      <c r="C1445" s="1">
        <v>44330</v>
      </c>
      <c r="G1445" s="1">
        <v>44331</v>
      </c>
      <c r="H1445" t="s">
        <v>125</v>
      </c>
      <c r="I1445" t="s">
        <v>14918</v>
      </c>
      <c r="J1445" t="s">
        <v>1153</v>
      </c>
      <c r="L1445" t="s">
        <v>5757</v>
      </c>
      <c r="M1445" t="s">
        <v>14919</v>
      </c>
      <c r="O1445" t="s">
        <v>4084</v>
      </c>
      <c r="P1445" t="s">
        <v>311</v>
      </c>
      <c r="Q1445" s="3">
        <v>19144</v>
      </c>
      <c r="R1445" t="s">
        <v>128</v>
      </c>
      <c r="T1445" s="4">
        <v>19147720781</v>
      </c>
      <c r="V1445" t="s">
        <v>14920</v>
      </c>
      <c r="W1445" t="s">
        <v>14921</v>
      </c>
      <c r="X1445" t="s">
        <v>14922</v>
      </c>
      <c r="Y1445" t="s">
        <v>14919</v>
      </c>
      <c r="AA1445" t="s">
        <v>4084</v>
      </c>
      <c r="AB1445" t="s">
        <v>312</v>
      </c>
      <c r="AC1445" s="3" t="str">
        <f>"19144"</f>
        <v>19144</v>
      </c>
      <c r="AD1445" t="s">
        <v>128</v>
      </c>
      <c r="AF1445" s="4">
        <v>19147720781</v>
      </c>
      <c r="AH1445" t="str">
        <f>"541511"</f>
        <v>541511</v>
      </c>
      <c r="AI1445" t="s">
        <v>130</v>
      </c>
      <c r="AJ1445" t="s">
        <v>14923</v>
      </c>
      <c r="AK1445" t="s">
        <v>3473</v>
      </c>
      <c r="AM1445" t="s">
        <v>14924</v>
      </c>
      <c r="AN1445" t="s">
        <v>13798</v>
      </c>
      <c r="AO1445" t="s">
        <v>5674</v>
      </c>
      <c r="AP1445" t="s">
        <v>195</v>
      </c>
      <c r="AQ1445" s="5">
        <v>34110</v>
      </c>
      <c r="AR1445" t="s">
        <v>128</v>
      </c>
      <c r="AT1445" s="4">
        <v>12392980441</v>
      </c>
      <c r="AV1445" t="s">
        <v>14925</v>
      </c>
      <c r="AW1445" t="s">
        <v>18830</v>
      </c>
      <c r="AX1445" t="s">
        <v>131</v>
      </c>
      <c r="AY1445" t="s">
        <v>131</v>
      </c>
      <c r="AZ1445" t="s">
        <v>131</v>
      </c>
      <c r="BA1445" t="s">
        <v>131</v>
      </c>
      <c r="BB1445" t="s">
        <v>131</v>
      </c>
      <c r="BC1445" t="s">
        <v>131</v>
      </c>
      <c r="BD1445" t="s">
        <v>131</v>
      </c>
      <c r="BE1445" t="s">
        <v>132</v>
      </c>
      <c r="BH1445" t="s">
        <v>15431</v>
      </c>
      <c r="BI1445" t="s">
        <v>131</v>
      </c>
      <c r="BL1445" t="s">
        <v>133</v>
      </c>
      <c r="BN1445" t="s">
        <v>13609</v>
      </c>
      <c r="BO1445" t="s">
        <v>131</v>
      </c>
      <c r="BP1445" t="s">
        <v>134</v>
      </c>
      <c r="BQ1445" t="s">
        <v>131</v>
      </c>
      <c r="BS1445" t="str">
        <f t="shared" si="91"/>
        <v>N/A</v>
      </c>
      <c r="BT1445" t="s">
        <v>135</v>
      </c>
      <c r="BU1445">
        <v>60</v>
      </c>
      <c r="BV1445" t="str">
        <f>"SOFTWARE ENGINEERING OR RELATED FIELD"</f>
        <v>SOFTWARE ENGINEERING OR RELATED FIELD</v>
      </c>
      <c r="BW1445" t="s">
        <v>131</v>
      </c>
      <c r="BX1445" t="str">
        <f>""</f>
        <v/>
      </c>
      <c r="BY1445" t="str">
        <f>""</f>
        <v/>
      </c>
      <c r="BZ1445" t="str">
        <f>""</f>
        <v/>
      </c>
      <c r="CA1445" t="str">
        <f>""</f>
        <v/>
      </c>
      <c r="CB1445" t="s">
        <v>135</v>
      </c>
      <c r="CC1445" t="s">
        <v>188</v>
      </c>
      <c r="CE1445" t="s">
        <v>11823</v>
      </c>
      <c r="CF1445" t="s">
        <v>131</v>
      </c>
      <c r="CH1445" t="str">
        <f>"N/A"</f>
        <v>N/A</v>
      </c>
      <c r="CI1445" t="s">
        <v>131</v>
      </c>
      <c r="CK1445" t="s">
        <v>131</v>
      </c>
      <c r="CL1445" t="str">
        <f>""</f>
        <v/>
      </c>
      <c r="CM1445" t="str">
        <f>""</f>
        <v/>
      </c>
      <c r="CN1445" t="str">
        <f>""</f>
        <v/>
      </c>
      <c r="CO1445" t="str">
        <f>""</f>
        <v/>
      </c>
      <c r="CP1445" t="str">
        <f>"15-1133.00"</f>
        <v>15-1133.00</v>
      </c>
      <c r="CQ1445" t="s">
        <v>648</v>
      </c>
      <c r="CR1445" t="s">
        <v>12400</v>
      </c>
      <c r="CS1445" t="s">
        <v>131</v>
      </c>
      <c r="CU1445" t="s">
        <v>14919</v>
      </c>
      <c r="CW1445" t="s">
        <v>4084</v>
      </c>
      <c r="CX1445" t="s">
        <v>312</v>
      </c>
      <c r="CZ1445" s="3" t="str">
        <f>"19144"</f>
        <v>19144</v>
      </c>
      <c r="DA1445" t="s">
        <v>131</v>
      </c>
      <c r="DB1445" t="str">
        <f>""</f>
        <v/>
      </c>
      <c r="DF1445" t="str">
        <f>""</f>
        <v/>
      </c>
    </row>
    <row r="1446" spans="1:110" ht="15" customHeight="1" x14ac:dyDescent="0.35">
      <c r="A1446" t="s">
        <v>19730</v>
      </c>
      <c r="B1446" t="s">
        <v>138</v>
      </c>
      <c r="C1446" s="1">
        <v>44330</v>
      </c>
      <c r="G1446" s="1">
        <v>44341</v>
      </c>
      <c r="H1446" t="s">
        <v>125</v>
      </c>
      <c r="I1446" t="s">
        <v>7915</v>
      </c>
      <c r="J1446" t="s">
        <v>4032</v>
      </c>
      <c r="L1446" t="s">
        <v>7910</v>
      </c>
      <c r="M1446" t="s">
        <v>18202</v>
      </c>
      <c r="O1446" t="s">
        <v>12219</v>
      </c>
      <c r="P1446" t="s">
        <v>441</v>
      </c>
      <c r="Q1446" s="3">
        <v>45873</v>
      </c>
      <c r="R1446" t="s">
        <v>128</v>
      </c>
      <c r="T1446" s="4">
        <v>14195943325</v>
      </c>
      <c r="V1446" t="s">
        <v>18203</v>
      </c>
      <c r="W1446" t="s">
        <v>18204</v>
      </c>
      <c r="Y1446" t="s">
        <v>18205</v>
      </c>
      <c r="AA1446" t="s">
        <v>12219</v>
      </c>
      <c r="AB1446" t="s">
        <v>444</v>
      </c>
      <c r="AC1446" s="3" t="str">
        <f>"45873"</f>
        <v>45873</v>
      </c>
      <c r="AD1446" t="s">
        <v>128</v>
      </c>
      <c r="AF1446" s="4">
        <v>14195943325</v>
      </c>
      <c r="AH1446" t="str">
        <f>"112210"</f>
        <v>112210</v>
      </c>
      <c r="AI1446" t="s">
        <v>130</v>
      </c>
      <c r="AJ1446" t="s">
        <v>18206</v>
      </c>
      <c r="AK1446" t="s">
        <v>14271</v>
      </c>
      <c r="AL1446" t="s">
        <v>14272</v>
      </c>
      <c r="AM1446" t="s">
        <v>706</v>
      </c>
      <c r="AN1446" t="s">
        <v>1881</v>
      </c>
      <c r="AO1446" t="s">
        <v>707</v>
      </c>
      <c r="AP1446" t="s">
        <v>249</v>
      </c>
      <c r="AQ1446" s="5">
        <v>55403</v>
      </c>
      <c r="AR1446" t="s">
        <v>128</v>
      </c>
      <c r="AT1446" s="4">
        <v>16126302244</v>
      </c>
      <c r="AV1446" t="s">
        <v>14273</v>
      </c>
      <c r="AW1446" t="s">
        <v>6653</v>
      </c>
      <c r="AX1446" t="s">
        <v>131</v>
      </c>
      <c r="AY1446" t="s">
        <v>131</v>
      </c>
      <c r="AZ1446" t="s">
        <v>131</v>
      </c>
      <c r="BA1446" t="s">
        <v>131</v>
      </c>
      <c r="BB1446" t="s">
        <v>131</v>
      </c>
      <c r="BC1446" t="s">
        <v>131</v>
      </c>
      <c r="BD1446" t="s">
        <v>131</v>
      </c>
      <c r="BE1446" t="s">
        <v>132</v>
      </c>
      <c r="BH1446" t="s">
        <v>14274</v>
      </c>
      <c r="BI1446" t="s">
        <v>135</v>
      </c>
      <c r="BJ1446" t="s">
        <v>6950</v>
      </c>
      <c r="BK1446" t="s">
        <v>5790</v>
      </c>
      <c r="BL1446" t="s">
        <v>133</v>
      </c>
      <c r="BN1446" t="s">
        <v>11298</v>
      </c>
      <c r="BO1446" t="s">
        <v>131</v>
      </c>
      <c r="BP1446" t="s">
        <v>134</v>
      </c>
      <c r="BQ1446" t="s">
        <v>131</v>
      </c>
      <c r="BS1446" t="str">
        <f t="shared" si="91"/>
        <v>N/A</v>
      </c>
      <c r="BT1446" t="s">
        <v>135</v>
      </c>
      <c r="BU1446">
        <v>24</v>
      </c>
      <c r="BV1446" t="str">
        <f>"Livestock experience"</f>
        <v>Livestock experience</v>
      </c>
      <c r="BW1446" t="s">
        <v>135</v>
      </c>
      <c r="BX1446" t="str">
        <f>""</f>
        <v/>
      </c>
      <c r="BY1446" t="str">
        <f>""</f>
        <v/>
      </c>
      <c r="BZ1446" t="str">
        <f>""</f>
        <v/>
      </c>
      <c r="CA1446" t="str">
        <f>"Two years of livestock experience; and specific background in farm management and animal care, including farrowing duties."</f>
        <v>Two years of livestock experience; and specific background in farm management and animal care, including farrowing duties.</v>
      </c>
      <c r="CB1446" t="s">
        <v>131</v>
      </c>
      <c r="CF1446" t="s">
        <v>131</v>
      </c>
      <c r="CH1446" t="str">
        <f>""</f>
        <v/>
      </c>
      <c r="CI1446" t="s">
        <v>131</v>
      </c>
      <c r="CK1446" t="s">
        <v>131</v>
      </c>
      <c r="CL1446" t="str">
        <f>""</f>
        <v/>
      </c>
      <c r="CM1446" t="str">
        <f>""</f>
        <v/>
      </c>
      <c r="CN1446" t="str">
        <f>""</f>
        <v/>
      </c>
      <c r="CO1446" t="str">
        <f>""</f>
        <v/>
      </c>
      <c r="CP1446" t="str">
        <f>"11-9013.00"</f>
        <v>11-9013.00</v>
      </c>
      <c r="CQ1446" t="s">
        <v>1399</v>
      </c>
      <c r="CR1446" t="s">
        <v>10415</v>
      </c>
      <c r="CS1446" t="s">
        <v>131</v>
      </c>
      <c r="CU1446" t="s">
        <v>18207</v>
      </c>
      <c r="CW1446" t="s">
        <v>12219</v>
      </c>
      <c r="CX1446" t="s">
        <v>444</v>
      </c>
      <c r="CZ1446" s="3" t="str">
        <f>"45873"</f>
        <v>45873</v>
      </c>
      <c r="DA1446" t="s">
        <v>131</v>
      </c>
      <c r="DB1446" t="str">
        <f>""</f>
        <v/>
      </c>
      <c r="DF1446" t="str">
        <f>""</f>
        <v/>
      </c>
    </row>
    <row r="1447" spans="1:110" ht="15" customHeight="1" x14ac:dyDescent="0.35">
      <c r="A1447" t="s">
        <v>18594</v>
      </c>
      <c r="B1447" t="s">
        <v>138</v>
      </c>
      <c r="C1447" s="1">
        <v>44330</v>
      </c>
      <c r="G1447" s="1">
        <v>44331</v>
      </c>
      <c r="H1447" t="s">
        <v>125</v>
      </c>
      <c r="I1447" t="s">
        <v>2520</v>
      </c>
      <c r="J1447" t="s">
        <v>7509</v>
      </c>
      <c r="L1447" t="s">
        <v>1260</v>
      </c>
      <c r="M1447" t="s">
        <v>7512</v>
      </c>
      <c r="O1447" t="s">
        <v>709</v>
      </c>
      <c r="P1447" t="s">
        <v>178</v>
      </c>
      <c r="Q1447" s="3">
        <v>94041</v>
      </c>
      <c r="R1447" t="s">
        <v>128</v>
      </c>
      <c r="T1447" s="4">
        <v>16509369884</v>
      </c>
      <c r="V1447" t="s">
        <v>7510</v>
      </c>
      <c r="W1447" t="s">
        <v>7511</v>
      </c>
      <c r="Y1447" t="s">
        <v>7512</v>
      </c>
      <c r="AA1447" t="s">
        <v>709</v>
      </c>
      <c r="AB1447" t="s">
        <v>172</v>
      </c>
      <c r="AC1447" s="3" t="str">
        <f>"94041"</f>
        <v>94041</v>
      </c>
      <c r="AD1447" t="s">
        <v>128</v>
      </c>
      <c r="AF1447" s="4">
        <v>16509369884</v>
      </c>
      <c r="AH1447" t="str">
        <f>"611310"</f>
        <v>611310</v>
      </c>
      <c r="AI1447" t="s">
        <v>130</v>
      </c>
      <c r="AJ1447" t="s">
        <v>3795</v>
      </c>
      <c r="AK1447" t="s">
        <v>3796</v>
      </c>
      <c r="AM1447" t="s">
        <v>2000</v>
      </c>
      <c r="AN1447" t="s">
        <v>565</v>
      </c>
      <c r="AO1447" t="s">
        <v>220</v>
      </c>
      <c r="AP1447" t="s">
        <v>172</v>
      </c>
      <c r="AQ1447" s="5">
        <v>94104</v>
      </c>
      <c r="AR1447" t="s">
        <v>128</v>
      </c>
      <c r="AT1447" s="4">
        <v>14157717500</v>
      </c>
      <c r="AV1447" t="s">
        <v>7513</v>
      </c>
      <c r="AW1447" t="s">
        <v>5443</v>
      </c>
      <c r="AX1447" t="s">
        <v>131</v>
      </c>
      <c r="AY1447" t="s">
        <v>131</v>
      </c>
      <c r="AZ1447" t="s">
        <v>131</v>
      </c>
      <c r="BA1447" t="s">
        <v>131</v>
      </c>
      <c r="BB1447" t="s">
        <v>131</v>
      </c>
      <c r="BC1447" t="s">
        <v>131</v>
      </c>
      <c r="BD1447" t="s">
        <v>131</v>
      </c>
      <c r="BE1447" t="s">
        <v>132</v>
      </c>
      <c r="BH1447" t="s">
        <v>7163</v>
      </c>
      <c r="BI1447" t="s">
        <v>131</v>
      </c>
      <c r="BL1447" t="s">
        <v>188</v>
      </c>
      <c r="BN1447" t="s">
        <v>18595</v>
      </c>
      <c r="BO1447" t="s">
        <v>131</v>
      </c>
      <c r="BP1447" t="s">
        <v>134</v>
      </c>
      <c r="BQ1447" t="s">
        <v>131</v>
      </c>
      <c r="BS1447" t="str">
        <f t="shared" si="91"/>
        <v>N/A</v>
      </c>
      <c r="BT1447" t="s">
        <v>135</v>
      </c>
      <c r="BU1447">
        <v>24</v>
      </c>
      <c r="BV1447" t="str">
        <f>"in the job offered, or as a Security Engineer, Information Security Analyst, or in a related occupation."</f>
        <v>in the job offered, or as a Security Engineer, Information Security Analyst, or in a related occupation.</v>
      </c>
      <c r="BW1447" t="s">
        <v>135</v>
      </c>
      <c r="BX1447" t="str">
        <f>""</f>
        <v/>
      </c>
      <c r="BY1447" t="str">
        <f>""</f>
        <v/>
      </c>
      <c r="BZ1447" t="str">
        <f>""</f>
        <v/>
      </c>
      <c r="CA1447" s="2" t="s">
        <v>18543</v>
      </c>
      <c r="CB1447" t="s">
        <v>131</v>
      </c>
      <c r="CF1447" t="s">
        <v>131</v>
      </c>
      <c r="CH1447" t="str">
        <f>""</f>
        <v/>
      </c>
      <c r="CI1447" t="s">
        <v>131</v>
      </c>
      <c r="CK1447" t="s">
        <v>131</v>
      </c>
      <c r="CL1447" t="str">
        <f>""</f>
        <v/>
      </c>
      <c r="CM1447" t="str">
        <f>""</f>
        <v/>
      </c>
      <c r="CN1447" t="str">
        <f>""</f>
        <v/>
      </c>
      <c r="CO1447" t="str">
        <f>""</f>
        <v/>
      </c>
      <c r="CP1447" t="str">
        <f>"15-1122.00"</f>
        <v>15-1122.00</v>
      </c>
      <c r="CQ1447" t="s">
        <v>711</v>
      </c>
      <c r="CR1447" t="s">
        <v>18596</v>
      </c>
      <c r="CS1447" t="s">
        <v>131</v>
      </c>
      <c r="CU1447" t="s">
        <v>7512</v>
      </c>
      <c r="CW1447" t="s">
        <v>709</v>
      </c>
      <c r="CX1447" t="s">
        <v>172</v>
      </c>
      <c r="CZ1447" s="3" t="str">
        <f>"91041"</f>
        <v>91041</v>
      </c>
      <c r="DA1447" t="s">
        <v>131</v>
      </c>
      <c r="DB1447" t="str">
        <f>""</f>
        <v/>
      </c>
      <c r="DF1447" t="str">
        <f>""</f>
        <v/>
      </c>
    </row>
    <row r="1448" spans="1:110" ht="15" customHeight="1" x14ac:dyDescent="0.35">
      <c r="A1448" t="s">
        <v>10130</v>
      </c>
      <c r="B1448" t="s">
        <v>138</v>
      </c>
      <c r="C1448" s="1">
        <v>44330</v>
      </c>
      <c r="G1448" s="1">
        <v>44369</v>
      </c>
      <c r="H1448" t="s">
        <v>125</v>
      </c>
      <c r="I1448" t="s">
        <v>7291</v>
      </c>
      <c r="J1448" t="s">
        <v>7292</v>
      </c>
      <c r="L1448" t="s">
        <v>7293</v>
      </c>
      <c r="M1448" t="s">
        <v>517</v>
      </c>
      <c r="N1448" t="s">
        <v>7294</v>
      </c>
      <c r="O1448" t="s">
        <v>2145</v>
      </c>
      <c r="P1448" t="s">
        <v>127</v>
      </c>
      <c r="Q1448" s="3">
        <v>10018</v>
      </c>
      <c r="R1448" t="s">
        <v>128</v>
      </c>
      <c r="T1448" s="4">
        <v>16468616942</v>
      </c>
      <c r="V1448" t="s">
        <v>7295</v>
      </c>
      <c r="W1448" t="s">
        <v>7296</v>
      </c>
      <c r="Y1448" t="s">
        <v>7297</v>
      </c>
      <c r="Z1448" t="s">
        <v>10131</v>
      </c>
      <c r="AA1448" t="s">
        <v>2145</v>
      </c>
      <c r="AB1448" t="s">
        <v>129</v>
      </c>
      <c r="AC1448" s="3" t="str">
        <f>"10017"</f>
        <v>10017</v>
      </c>
      <c r="AD1448" t="s">
        <v>128</v>
      </c>
      <c r="AF1448" s="4">
        <v>12124151882</v>
      </c>
      <c r="AH1448" t="str">
        <f>"54161"</f>
        <v>54161</v>
      </c>
      <c r="AI1448" t="s">
        <v>130</v>
      </c>
      <c r="AJ1448" t="s">
        <v>7291</v>
      </c>
      <c r="AK1448" t="s">
        <v>7292</v>
      </c>
      <c r="AM1448" t="s">
        <v>514</v>
      </c>
      <c r="AN1448" t="s">
        <v>515</v>
      </c>
      <c r="AO1448" t="s">
        <v>2145</v>
      </c>
      <c r="AP1448" t="s">
        <v>129</v>
      </c>
      <c r="AQ1448" s="5">
        <v>10018</v>
      </c>
      <c r="AR1448" t="s">
        <v>128</v>
      </c>
      <c r="AT1448" s="4">
        <v>16468616942</v>
      </c>
      <c r="AV1448" t="s">
        <v>7295</v>
      </c>
      <c r="AW1448" t="s">
        <v>517</v>
      </c>
      <c r="AX1448" t="s">
        <v>131</v>
      </c>
      <c r="AY1448" t="s">
        <v>131</v>
      </c>
      <c r="AZ1448" t="s">
        <v>131</v>
      </c>
      <c r="BA1448" t="s">
        <v>131</v>
      </c>
      <c r="BB1448" t="s">
        <v>131</v>
      </c>
      <c r="BC1448" t="s">
        <v>131</v>
      </c>
      <c r="BD1448" t="s">
        <v>131</v>
      </c>
      <c r="BE1448" t="s">
        <v>132</v>
      </c>
      <c r="BH1448" t="s">
        <v>10132</v>
      </c>
      <c r="BI1448" t="s">
        <v>131</v>
      </c>
      <c r="BL1448" t="s">
        <v>188</v>
      </c>
      <c r="BN1448" t="s">
        <v>10133</v>
      </c>
      <c r="BO1448" t="s">
        <v>131</v>
      </c>
      <c r="BP1448" t="s">
        <v>134</v>
      </c>
      <c r="BQ1448" t="s">
        <v>131</v>
      </c>
      <c r="BS1448" t="str">
        <f t="shared" si="91"/>
        <v>N/A</v>
      </c>
      <c r="BT1448" t="s">
        <v>135</v>
      </c>
      <c r="BU1448">
        <v>24</v>
      </c>
      <c r="BV1448" t="str">
        <f>"Any meeting the requirements of F.b.5.a"</f>
        <v>Any meeting the requirements of F.b.5.a</v>
      </c>
      <c r="BW1448" t="s">
        <v>135</v>
      </c>
      <c r="BX1448" t="str">
        <f>""</f>
        <v/>
      </c>
      <c r="BY1448" t="str">
        <f>""</f>
        <v/>
      </c>
      <c r="BZ1448" t="str">
        <f>""</f>
        <v/>
      </c>
      <c r="CA1448" s="2" t="s">
        <v>10134</v>
      </c>
      <c r="CB1448" t="s">
        <v>131</v>
      </c>
      <c r="CF1448" t="s">
        <v>131</v>
      </c>
      <c r="CH1448" t="str">
        <f>""</f>
        <v/>
      </c>
      <c r="CI1448" t="s">
        <v>131</v>
      </c>
      <c r="CK1448" t="s">
        <v>131</v>
      </c>
      <c r="CL1448" t="str">
        <f>""</f>
        <v/>
      </c>
      <c r="CM1448" t="str">
        <f>""</f>
        <v/>
      </c>
      <c r="CN1448" t="str">
        <f>""</f>
        <v/>
      </c>
      <c r="CO1448" t="str">
        <f>""</f>
        <v/>
      </c>
      <c r="CP1448" t="str">
        <f>"15-2041.00"</f>
        <v>15-2041.00</v>
      </c>
      <c r="CQ1448" t="s">
        <v>379</v>
      </c>
      <c r="CR1448" t="s">
        <v>10135</v>
      </c>
      <c r="CS1448" t="s">
        <v>131</v>
      </c>
      <c r="CU1448" t="s">
        <v>7296</v>
      </c>
      <c r="CV1448" t="s">
        <v>10136</v>
      </c>
      <c r="CW1448" t="s">
        <v>642</v>
      </c>
      <c r="CX1448" t="s">
        <v>643</v>
      </c>
      <c r="CZ1448" s="3" t="str">
        <f>"30306"</f>
        <v>30306</v>
      </c>
      <c r="DA1448" t="s">
        <v>131</v>
      </c>
      <c r="DB1448" t="str">
        <f>""</f>
        <v/>
      </c>
      <c r="DF1448" t="str">
        <f>""</f>
        <v/>
      </c>
    </row>
    <row r="1449" spans="1:110" ht="15" customHeight="1" x14ac:dyDescent="0.35">
      <c r="A1449" t="s">
        <v>16745</v>
      </c>
      <c r="B1449" t="s">
        <v>138</v>
      </c>
      <c r="C1449" s="1">
        <v>44330</v>
      </c>
      <c r="G1449" s="1">
        <v>44369</v>
      </c>
      <c r="H1449" t="s">
        <v>125</v>
      </c>
      <c r="I1449" t="s">
        <v>7291</v>
      </c>
      <c r="J1449" t="s">
        <v>7292</v>
      </c>
      <c r="L1449" t="s">
        <v>7293</v>
      </c>
      <c r="M1449" t="s">
        <v>517</v>
      </c>
      <c r="N1449" t="s">
        <v>7294</v>
      </c>
      <c r="O1449" t="s">
        <v>2145</v>
      </c>
      <c r="P1449" t="s">
        <v>127</v>
      </c>
      <c r="Q1449" s="3">
        <v>10018</v>
      </c>
      <c r="R1449" t="s">
        <v>128</v>
      </c>
      <c r="T1449" s="4">
        <v>16468616942</v>
      </c>
      <c r="V1449" t="s">
        <v>7295</v>
      </c>
      <c r="W1449" t="s">
        <v>7296</v>
      </c>
      <c r="Y1449" t="s">
        <v>7297</v>
      </c>
      <c r="Z1449" t="s">
        <v>10131</v>
      </c>
      <c r="AA1449" t="s">
        <v>2145</v>
      </c>
      <c r="AB1449" t="s">
        <v>129</v>
      </c>
      <c r="AC1449" s="3" t="str">
        <f>"10017"</f>
        <v>10017</v>
      </c>
      <c r="AD1449" t="s">
        <v>128</v>
      </c>
      <c r="AF1449" s="4">
        <v>12124151882</v>
      </c>
      <c r="AH1449" t="str">
        <f>"54161"</f>
        <v>54161</v>
      </c>
      <c r="AI1449" t="s">
        <v>130</v>
      </c>
      <c r="AJ1449" t="s">
        <v>7291</v>
      </c>
      <c r="AK1449" t="s">
        <v>7292</v>
      </c>
      <c r="AM1449" t="s">
        <v>514</v>
      </c>
      <c r="AN1449" t="s">
        <v>515</v>
      </c>
      <c r="AO1449" t="s">
        <v>2145</v>
      </c>
      <c r="AP1449" t="s">
        <v>129</v>
      </c>
      <c r="AQ1449" s="5">
        <v>10018</v>
      </c>
      <c r="AR1449" t="s">
        <v>128</v>
      </c>
      <c r="AT1449" s="4">
        <v>16468616942</v>
      </c>
      <c r="AV1449" t="s">
        <v>7295</v>
      </c>
      <c r="AW1449" t="s">
        <v>517</v>
      </c>
      <c r="AX1449" t="s">
        <v>131</v>
      </c>
      <c r="AY1449" t="s">
        <v>131</v>
      </c>
      <c r="AZ1449" t="s">
        <v>131</v>
      </c>
      <c r="BA1449" t="s">
        <v>131</v>
      </c>
      <c r="BB1449" t="s">
        <v>131</v>
      </c>
      <c r="BC1449" t="s">
        <v>131</v>
      </c>
      <c r="BD1449" t="s">
        <v>131</v>
      </c>
      <c r="BE1449" t="s">
        <v>132</v>
      </c>
      <c r="BH1449" t="s">
        <v>16746</v>
      </c>
      <c r="BI1449" t="s">
        <v>131</v>
      </c>
      <c r="BL1449" t="s">
        <v>188</v>
      </c>
      <c r="BN1449" t="s">
        <v>12234</v>
      </c>
      <c r="BO1449" t="s">
        <v>131</v>
      </c>
      <c r="BP1449" t="s">
        <v>134</v>
      </c>
      <c r="BQ1449" t="s">
        <v>131</v>
      </c>
      <c r="BS1449" t="str">
        <f t="shared" si="91"/>
        <v>N/A</v>
      </c>
      <c r="BT1449" t="s">
        <v>135</v>
      </c>
      <c r="BU1449">
        <v>24</v>
      </c>
      <c r="BV1449" t="str">
        <f>"Any meeting the requirements of F.b.5.a"</f>
        <v>Any meeting the requirements of F.b.5.a</v>
      </c>
      <c r="BW1449" t="s">
        <v>135</v>
      </c>
      <c r="BX1449" t="str">
        <f>""</f>
        <v/>
      </c>
      <c r="BY1449" t="str">
        <f>""</f>
        <v/>
      </c>
      <c r="BZ1449" t="str">
        <f>""</f>
        <v/>
      </c>
      <c r="CA1449" t="s">
        <v>12235</v>
      </c>
      <c r="CB1449" t="s">
        <v>131</v>
      </c>
      <c r="CF1449" t="s">
        <v>131</v>
      </c>
      <c r="CH1449" t="str">
        <f>""</f>
        <v/>
      </c>
      <c r="CI1449" t="s">
        <v>131</v>
      </c>
      <c r="CK1449" t="s">
        <v>131</v>
      </c>
      <c r="CL1449" t="str">
        <f>""</f>
        <v/>
      </c>
      <c r="CM1449" t="str">
        <f>""</f>
        <v/>
      </c>
      <c r="CN1449" t="str">
        <f>""</f>
        <v/>
      </c>
      <c r="CO1449" t="str">
        <f>""</f>
        <v/>
      </c>
      <c r="CP1449" t="str">
        <f>"15-1122.00"</f>
        <v>15-1122.00</v>
      </c>
      <c r="CQ1449" t="s">
        <v>711</v>
      </c>
      <c r="CR1449" t="s">
        <v>12236</v>
      </c>
      <c r="CS1449" t="s">
        <v>131</v>
      </c>
      <c r="CU1449" t="s">
        <v>5924</v>
      </c>
      <c r="CV1449" t="s">
        <v>12237</v>
      </c>
      <c r="CW1449" t="s">
        <v>1647</v>
      </c>
      <c r="CX1449" t="s">
        <v>377</v>
      </c>
      <c r="CZ1449" s="3" t="str">
        <f>"02451"</f>
        <v>02451</v>
      </c>
      <c r="DA1449" t="s">
        <v>131</v>
      </c>
      <c r="DB1449" t="str">
        <f>""</f>
        <v/>
      </c>
      <c r="DF1449" t="str">
        <f>""</f>
        <v/>
      </c>
    </row>
    <row r="1450" spans="1:110" ht="15" customHeight="1" x14ac:dyDescent="0.35">
      <c r="A1450" t="s">
        <v>7469</v>
      </c>
      <c r="B1450" t="s">
        <v>138</v>
      </c>
      <c r="C1450" s="1">
        <v>44330</v>
      </c>
      <c r="G1450" s="1">
        <v>44330</v>
      </c>
      <c r="H1450" t="s">
        <v>125</v>
      </c>
      <c r="I1450" t="s">
        <v>7470</v>
      </c>
      <c r="J1450" t="s">
        <v>4162</v>
      </c>
      <c r="L1450" t="s">
        <v>675</v>
      </c>
      <c r="M1450" t="s">
        <v>4503</v>
      </c>
      <c r="O1450" t="s">
        <v>494</v>
      </c>
      <c r="P1450" t="s">
        <v>127</v>
      </c>
      <c r="Q1450" s="3">
        <v>10174</v>
      </c>
      <c r="R1450" t="s">
        <v>128</v>
      </c>
      <c r="T1450" s="4">
        <v>12126123203</v>
      </c>
      <c r="V1450" t="s">
        <v>7471</v>
      </c>
      <c r="W1450" t="s">
        <v>7472</v>
      </c>
      <c r="Y1450" t="s">
        <v>4503</v>
      </c>
      <c r="AA1450" t="s">
        <v>494</v>
      </c>
      <c r="AB1450" t="s">
        <v>129</v>
      </c>
      <c r="AC1450" s="3" t="str">
        <f>"10174"</f>
        <v>10174</v>
      </c>
      <c r="AD1450" t="s">
        <v>128</v>
      </c>
      <c r="AF1450" s="4">
        <v>12126123208</v>
      </c>
      <c r="AH1450" t="str">
        <f>"523920"</f>
        <v>523920</v>
      </c>
      <c r="AI1450" t="s">
        <v>130</v>
      </c>
      <c r="AJ1450" t="s">
        <v>1486</v>
      </c>
      <c r="AK1450" t="s">
        <v>1487</v>
      </c>
      <c r="AM1450" t="s">
        <v>493</v>
      </c>
      <c r="AO1450" t="s">
        <v>494</v>
      </c>
      <c r="AP1450" t="s">
        <v>129</v>
      </c>
      <c r="AQ1450" s="5">
        <v>10018</v>
      </c>
      <c r="AR1450" t="s">
        <v>128</v>
      </c>
      <c r="AS1450" t="s">
        <v>494</v>
      </c>
      <c r="AT1450" s="4">
        <v>12126888555</v>
      </c>
      <c r="AV1450" t="s">
        <v>3724</v>
      </c>
      <c r="AW1450" t="s">
        <v>386</v>
      </c>
      <c r="AX1450" t="s">
        <v>131</v>
      </c>
      <c r="AY1450" t="s">
        <v>131</v>
      </c>
      <c r="AZ1450" t="s">
        <v>131</v>
      </c>
      <c r="BA1450" t="s">
        <v>131</v>
      </c>
      <c r="BB1450" t="s">
        <v>131</v>
      </c>
      <c r="BC1450" t="s">
        <v>131</v>
      </c>
      <c r="BD1450" t="s">
        <v>131</v>
      </c>
      <c r="BE1450" t="s">
        <v>132</v>
      </c>
      <c r="BH1450" t="s">
        <v>7473</v>
      </c>
      <c r="BI1450" t="s">
        <v>131</v>
      </c>
      <c r="BL1450" t="s">
        <v>133</v>
      </c>
      <c r="BN1450" t="s">
        <v>7474</v>
      </c>
      <c r="BO1450" t="s">
        <v>131</v>
      </c>
      <c r="BP1450" t="s">
        <v>134</v>
      </c>
      <c r="BQ1450" t="s">
        <v>131</v>
      </c>
      <c r="BS1450" t="str">
        <f t="shared" si="91"/>
        <v>N/A</v>
      </c>
      <c r="BT1450" t="s">
        <v>135</v>
      </c>
      <c r="BU1450">
        <v>48</v>
      </c>
      <c r="BV1450" t="str">
        <f>"Structured Finance Associate/Analyst; Senior Analyst; or related"</f>
        <v>Structured Finance Associate/Analyst; Senior Analyst; or related</v>
      </c>
      <c r="BW1450" t="s">
        <v>135</v>
      </c>
      <c r="BX1450" t="str">
        <f>""</f>
        <v/>
      </c>
      <c r="BY1450" t="str">
        <f>""</f>
        <v/>
      </c>
      <c r="BZ1450" t="str">
        <f>""</f>
        <v/>
      </c>
      <c r="CA1450" t="s">
        <v>7475</v>
      </c>
      <c r="CB1450" t="s">
        <v>131</v>
      </c>
      <c r="CF1450" t="s">
        <v>131</v>
      </c>
      <c r="CH1450" t="str">
        <f>""</f>
        <v/>
      </c>
      <c r="CI1450" t="s">
        <v>131</v>
      </c>
      <c r="CK1450" t="s">
        <v>131</v>
      </c>
      <c r="CL1450" t="str">
        <f>""</f>
        <v/>
      </c>
      <c r="CM1450" t="str">
        <f>""</f>
        <v/>
      </c>
      <c r="CN1450" t="str">
        <f>""</f>
        <v/>
      </c>
      <c r="CO1450" t="str">
        <f>""</f>
        <v/>
      </c>
      <c r="CP1450" t="str">
        <f>"13-2051.00"</f>
        <v>13-2051.00</v>
      </c>
      <c r="CQ1450" t="s">
        <v>245</v>
      </c>
      <c r="CR1450" t="s">
        <v>7476</v>
      </c>
      <c r="CS1450" t="s">
        <v>135</v>
      </c>
      <c r="CT1450" t="s">
        <v>7477</v>
      </c>
      <c r="CU1450" t="s">
        <v>4503</v>
      </c>
      <c r="CV1450" t="s">
        <v>7478</v>
      </c>
      <c r="CW1450" t="s">
        <v>494</v>
      </c>
      <c r="CX1450" t="s">
        <v>129</v>
      </c>
      <c r="CZ1450" s="3" t="str">
        <f>"10174"</f>
        <v>10174</v>
      </c>
      <c r="DA1450" t="s">
        <v>131</v>
      </c>
      <c r="DB1450" t="str">
        <f>""</f>
        <v/>
      </c>
      <c r="DF1450" t="str">
        <f>""</f>
        <v/>
      </c>
    </row>
    <row r="1451" spans="1:110" ht="15" customHeight="1" x14ac:dyDescent="0.35">
      <c r="A1451" t="s">
        <v>18393</v>
      </c>
      <c r="B1451" t="s">
        <v>138</v>
      </c>
      <c r="C1451" s="1">
        <v>44330</v>
      </c>
      <c r="G1451" s="1">
        <v>44330</v>
      </c>
      <c r="H1451" t="s">
        <v>125</v>
      </c>
      <c r="I1451" t="s">
        <v>7470</v>
      </c>
      <c r="J1451" t="s">
        <v>4162</v>
      </c>
      <c r="L1451" t="s">
        <v>675</v>
      </c>
      <c r="M1451" t="s">
        <v>4503</v>
      </c>
      <c r="O1451" t="s">
        <v>494</v>
      </c>
      <c r="P1451" t="s">
        <v>127</v>
      </c>
      <c r="Q1451" s="3">
        <v>10174</v>
      </c>
      <c r="R1451" t="s">
        <v>128</v>
      </c>
      <c r="T1451" s="4">
        <v>12126123203</v>
      </c>
      <c r="V1451" t="s">
        <v>7471</v>
      </c>
      <c r="W1451" t="s">
        <v>7472</v>
      </c>
      <c r="Y1451" t="s">
        <v>4503</v>
      </c>
      <c r="AA1451" t="s">
        <v>494</v>
      </c>
      <c r="AB1451" t="s">
        <v>129</v>
      </c>
      <c r="AC1451" s="3" t="str">
        <f>"10174"</f>
        <v>10174</v>
      </c>
      <c r="AD1451" t="s">
        <v>128</v>
      </c>
      <c r="AF1451" s="4">
        <v>12126123208</v>
      </c>
      <c r="AH1451" t="str">
        <f>"523920"</f>
        <v>523920</v>
      </c>
      <c r="AI1451" t="s">
        <v>130</v>
      </c>
      <c r="AJ1451" t="s">
        <v>1486</v>
      </c>
      <c r="AK1451" t="s">
        <v>1487</v>
      </c>
      <c r="AM1451" t="s">
        <v>493</v>
      </c>
      <c r="AO1451" t="s">
        <v>494</v>
      </c>
      <c r="AP1451" t="s">
        <v>129</v>
      </c>
      <c r="AQ1451" s="5">
        <v>10018</v>
      </c>
      <c r="AR1451" t="s">
        <v>128</v>
      </c>
      <c r="AS1451" t="s">
        <v>494</v>
      </c>
      <c r="AT1451" s="4">
        <v>12126888555</v>
      </c>
      <c r="AV1451" t="s">
        <v>3724</v>
      </c>
      <c r="AW1451" t="s">
        <v>386</v>
      </c>
      <c r="AX1451" t="s">
        <v>131</v>
      </c>
      <c r="AY1451" t="s">
        <v>131</v>
      </c>
      <c r="AZ1451" t="s">
        <v>131</v>
      </c>
      <c r="BA1451" t="s">
        <v>131</v>
      </c>
      <c r="BB1451" t="s">
        <v>131</v>
      </c>
      <c r="BC1451" t="s">
        <v>131</v>
      </c>
      <c r="BD1451" t="s">
        <v>131</v>
      </c>
      <c r="BE1451" t="s">
        <v>160</v>
      </c>
      <c r="BF1451" t="s">
        <v>13145</v>
      </c>
      <c r="BG1451" s="1">
        <v>43922</v>
      </c>
      <c r="BH1451" t="s">
        <v>7473</v>
      </c>
      <c r="BI1451" t="s">
        <v>131</v>
      </c>
      <c r="BL1451" t="s">
        <v>133</v>
      </c>
      <c r="BN1451" t="s">
        <v>7474</v>
      </c>
      <c r="BO1451" t="s">
        <v>131</v>
      </c>
      <c r="BP1451" t="s">
        <v>134</v>
      </c>
      <c r="BQ1451" t="s">
        <v>131</v>
      </c>
      <c r="BS1451" t="str">
        <f t="shared" si="91"/>
        <v>N/A</v>
      </c>
      <c r="BT1451" t="s">
        <v>135</v>
      </c>
      <c r="BU1451">
        <v>48</v>
      </c>
      <c r="BV1451" t="str">
        <f>"Structured Finance Associate/Analyst; Senior Analyst; or related"</f>
        <v>Structured Finance Associate/Analyst; Senior Analyst; or related</v>
      </c>
      <c r="BW1451" t="s">
        <v>135</v>
      </c>
      <c r="BX1451" t="str">
        <f>""</f>
        <v/>
      </c>
      <c r="BY1451" t="str">
        <f>""</f>
        <v/>
      </c>
      <c r="BZ1451" t="str">
        <f>""</f>
        <v/>
      </c>
      <c r="CA1451" t="s">
        <v>7475</v>
      </c>
      <c r="CB1451" t="s">
        <v>131</v>
      </c>
      <c r="CF1451" t="s">
        <v>131</v>
      </c>
      <c r="CH1451" t="str">
        <f>""</f>
        <v/>
      </c>
      <c r="CI1451" t="s">
        <v>131</v>
      </c>
      <c r="CK1451" t="s">
        <v>131</v>
      </c>
      <c r="CL1451" t="str">
        <f>""</f>
        <v/>
      </c>
      <c r="CM1451" t="str">
        <f>""</f>
        <v/>
      </c>
      <c r="CN1451" t="str">
        <f>""</f>
        <v/>
      </c>
      <c r="CO1451" t="str">
        <f>""</f>
        <v/>
      </c>
      <c r="CP1451" t="str">
        <f>"13-2051.00"</f>
        <v>13-2051.00</v>
      </c>
      <c r="CQ1451" t="s">
        <v>245</v>
      </c>
      <c r="CR1451" t="s">
        <v>7476</v>
      </c>
      <c r="CS1451" t="s">
        <v>135</v>
      </c>
      <c r="CT1451" t="s">
        <v>7477</v>
      </c>
      <c r="CU1451" t="s">
        <v>4503</v>
      </c>
      <c r="CV1451" t="s">
        <v>18394</v>
      </c>
      <c r="CW1451" t="s">
        <v>494</v>
      </c>
      <c r="CX1451" t="s">
        <v>129</v>
      </c>
      <c r="CZ1451" s="3" t="str">
        <f>"10174"</f>
        <v>10174</v>
      </c>
      <c r="DA1451" t="s">
        <v>131</v>
      </c>
      <c r="DB1451" t="str">
        <f>""</f>
        <v/>
      </c>
      <c r="DF1451" t="str">
        <f>""</f>
        <v/>
      </c>
    </row>
    <row r="1452" spans="1:110" ht="15" customHeight="1" x14ac:dyDescent="0.35">
      <c r="A1452" t="s">
        <v>16115</v>
      </c>
      <c r="B1452" t="s">
        <v>138</v>
      </c>
      <c r="C1452" s="1">
        <v>44330</v>
      </c>
      <c r="G1452" s="1">
        <v>44369</v>
      </c>
      <c r="H1452" t="s">
        <v>125</v>
      </c>
      <c r="I1452" t="s">
        <v>7291</v>
      </c>
      <c r="J1452" t="s">
        <v>7292</v>
      </c>
      <c r="L1452" t="s">
        <v>7293</v>
      </c>
      <c r="M1452" t="s">
        <v>517</v>
      </c>
      <c r="N1452" t="s">
        <v>7294</v>
      </c>
      <c r="O1452" t="s">
        <v>129</v>
      </c>
      <c r="P1452" t="s">
        <v>127</v>
      </c>
      <c r="Q1452" s="3">
        <v>10018</v>
      </c>
      <c r="R1452" t="s">
        <v>128</v>
      </c>
      <c r="T1452" s="4">
        <v>16468616942</v>
      </c>
      <c r="V1452" t="s">
        <v>7295</v>
      </c>
      <c r="W1452" t="s">
        <v>7296</v>
      </c>
      <c r="Y1452" t="s">
        <v>7297</v>
      </c>
      <c r="Z1452" t="s">
        <v>10131</v>
      </c>
      <c r="AA1452" t="s">
        <v>2145</v>
      </c>
      <c r="AB1452" t="s">
        <v>129</v>
      </c>
      <c r="AC1452" s="3" t="str">
        <f>"10017"</f>
        <v>10017</v>
      </c>
      <c r="AD1452" t="s">
        <v>128</v>
      </c>
      <c r="AF1452" s="4">
        <v>12124151882</v>
      </c>
      <c r="AH1452" t="str">
        <f>"54161"</f>
        <v>54161</v>
      </c>
      <c r="AI1452" t="s">
        <v>130</v>
      </c>
      <c r="AJ1452" t="s">
        <v>7291</v>
      </c>
      <c r="AK1452" t="s">
        <v>7292</v>
      </c>
      <c r="AM1452" t="s">
        <v>514</v>
      </c>
      <c r="AN1452" t="s">
        <v>515</v>
      </c>
      <c r="AO1452" t="s">
        <v>2145</v>
      </c>
      <c r="AP1452" t="s">
        <v>129</v>
      </c>
      <c r="AQ1452" s="5">
        <v>10018</v>
      </c>
      <c r="AR1452" t="s">
        <v>128</v>
      </c>
      <c r="AT1452" s="4">
        <v>16468616942</v>
      </c>
      <c r="AV1452" t="s">
        <v>7295</v>
      </c>
      <c r="AW1452" t="s">
        <v>517</v>
      </c>
      <c r="AX1452" t="s">
        <v>131</v>
      </c>
      <c r="AY1452" t="s">
        <v>131</v>
      </c>
      <c r="AZ1452" t="s">
        <v>131</v>
      </c>
      <c r="BA1452" t="s">
        <v>131</v>
      </c>
      <c r="BB1452" t="s">
        <v>131</v>
      </c>
      <c r="BC1452" t="s">
        <v>131</v>
      </c>
      <c r="BD1452" t="s">
        <v>131</v>
      </c>
      <c r="BE1452" t="s">
        <v>132</v>
      </c>
      <c r="BH1452" t="s">
        <v>16116</v>
      </c>
      <c r="BI1452" t="s">
        <v>131</v>
      </c>
      <c r="BL1452" t="s">
        <v>188</v>
      </c>
      <c r="BN1452" t="s">
        <v>16117</v>
      </c>
      <c r="BO1452" t="s">
        <v>131</v>
      </c>
      <c r="BP1452" t="s">
        <v>134</v>
      </c>
      <c r="BQ1452" t="s">
        <v>131</v>
      </c>
      <c r="BS1452" t="str">
        <f t="shared" si="91"/>
        <v>N/A</v>
      </c>
      <c r="BT1452" t="s">
        <v>135</v>
      </c>
      <c r="BU1452">
        <v>12</v>
      </c>
      <c r="BV1452" t="str">
        <f>"Any meeting the requirements in F.b.5.a"</f>
        <v>Any meeting the requirements in F.b.5.a</v>
      </c>
      <c r="BW1452" t="s">
        <v>135</v>
      </c>
      <c r="BX1452" t="str">
        <f>""</f>
        <v/>
      </c>
      <c r="BY1452" t="str">
        <f>""</f>
        <v/>
      </c>
      <c r="BZ1452" t="str">
        <f>""</f>
        <v/>
      </c>
      <c r="CA1452" t="s">
        <v>16118</v>
      </c>
      <c r="CB1452" t="s">
        <v>131</v>
      </c>
      <c r="CF1452" t="s">
        <v>131</v>
      </c>
      <c r="CH1452" t="str">
        <f>""</f>
        <v/>
      </c>
      <c r="CI1452" t="s">
        <v>131</v>
      </c>
      <c r="CK1452" t="s">
        <v>131</v>
      </c>
      <c r="CL1452" t="str">
        <f>""</f>
        <v/>
      </c>
      <c r="CM1452" t="str">
        <f>""</f>
        <v/>
      </c>
      <c r="CN1452" t="str">
        <f>""</f>
        <v/>
      </c>
      <c r="CO1452" t="str">
        <f>""</f>
        <v/>
      </c>
      <c r="CP1452" t="str">
        <f>"15-2041.00"</f>
        <v>15-2041.00</v>
      </c>
      <c r="CQ1452" t="s">
        <v>379</v>
      </c>
      <c r="CS1452" t="s">
        <v>135</v>
      </c>
      <c r="CT1452" t="s">
        <v>16119</v>
      </c>
      <c r="CU1452" t="s">
        <v>5924</v>
      </c>
      <c r="CV1452" t="s">
        <v>16120</v>
      </c>
      <c r="CW1452" t="s">
        <v>376</v>
      </c>
      <c r="CX1452" t="s">
        <v>377</v>
      </c>
      <c r="CZ1452" s="3" t="str">
        <f>"02210"</f>
        <v>02210</v>
      </c>
      <c r="DA1452" t="s">
        <v>131</v>
      </c>
      <c r="DB1452" t="str">
        <f>""</f>
        <v/>
      </c>
      <c r="DF1452" t="str">
        <f>""</f>
        <v/>
      </c>
    </row>
    <row r="1453" spans="1:110" ht="15" customHeight="1" x14ac:dyDescent="0.35">
      <c r="A1453" t="s">
        <v>12154</v>
      </c>
      <c r="B1453" t="s">
        <v>138</v>
      </c>
      <c r="C1453" s="1">
        <v>44330</v>
      </c>
      <c r="G1453" s="1">
        <v>44330</v>
      </c>
      <c r="H1453" t="s">
        <v>125</v>
      </c>
      <c r="I1453" t="s">
        <v>2871</v>
      </c>
      <c r="J1453" t="s">
        <v>6258</v>
      </c>
      <c r="L1453" t="s">
        <v>6259</v>
      </c>
      <c r="M1453" t="s">
        <v>6260</v>
      </c>
      <c r="O1453" t="s">
        <v>458</v>
      </c>
      <c r="P1453" t="s">
        <v>412</v>
      </c>
      <c r="Q1453" s="3">
        <v>75080</v>
      </c>
      <c r="R1453" t="s">
        <v>128</v>
      </c>
      <c r="T1453" s="4">
        <v>19728832129</v>
      </c>
      <c r="V1453" t="s">
        <v>6261</v>
      </c>
      <c r="W1453" t="s">
        <v>6262</v>
      </c>
      <c r="X1453" t="s">
        <v>6263</v>
      </c>
      <c r="Y1453" t="s">
        <v>6264</v>
      </c>
      <c r="AA1453" t="s">
        <v>458</v>
      </c>
      <c r="AB1453" t="s">
        <v>400</v>
      </c>
      <c r="AC1453" s="3" t="str">
        <f>"75080"</f>
        <v>75080</v>
      </c>
      <c r="AD1453" t="s">
        <v>128</v>
      </c>
      <c r="AF1453" s="4">
        <v>19728832129</v>
      </c>
      <c r="AH1453" t="str">
        <f>"61131"</f>
        <v>61131</v>
      </c>
      <c r="AI1453" t="s">
        <v>130</v>
      </c>
      <c r="AJ1453" t="s">
        <v>6265</v>
      </c>
      <c r="AK1453" t="s">
        <v>618</v>
      </c>
      <c r="AM1453" t="s">
        <v>6266</v>
      </c>
      <c r="AN1453" t="s">
        <v>6267</v>
      </c>
      <c r="AO1453" t="s">
        <v>399</v>
      </c>
      <c r="AP1453" t="s">
        <v>400</v>
      </c>
      <c r="AQ1453" s="5">
        <v>75251</v>
      </c>
      <c r="AR1453" t="s">
        <v>128</v>
      </c>
      <c r="AT1453" s="4">
        <v>19723857900</v>
      </c>
      <c r="AV1453" t="s">
        <v>11326</v>
      </c>
      <c r="AW1453" t="s">
        <v>11327</v>
      </c>
      <c r="AX1453" t="s">
        <v>135</v>
      </c>
      <c r="AY1453" t="s">
        <v>135</v>
      </c>
      <c r="AZ1453" t="s">
        <v>131</v>
      </c>
      <c r="BA1453" t="s">
        <v>131</v>
      </c>
      <c r="BB1453" t="s">
        <v>134</v>
      </c>
      <c r="BC1453" t="s">
        <v>131</v>
      </c>
      <c r="BD1453" t="s">
        <v>131</v>
      </c>
      <c r="BE1453" t="s">
        <v>132</v>
      </c>
      <c r="BH1453" t="s">
        <v>7721</v>
      </c>
      <c r="BI1453" t="s">
        <v>131</v>
      </c>
      <c r="BL1453" t="s">
        <v>447</v>
      </c>
      <c r="BN1453" t="s">
        <v>12155</v>
      </c>
      <c r="BO1453" t="s">
        <v>131</v>
      </c>
      <c r="BP1453" t="s">
        <v>134</v>
      </c>
      <c r="BQ1453" t="s">
        <v>131</v>
      </c>
      <c r="BS1453" t="str">
        <f t="shared" si="91"/>
        <v>N/A</v>
      </c>
      <c r="BT1453" t="s">
        <v>135</v>
      </c>
      <c r="BU1453">
        <v>36</v>
      </c>
      <c r="BV1453" t="str">
        <f>"Research Scientist, Postdoctoral Researcher"</f>
        <v>Research Scientist, Postdoctoral Researcher</v>
      </c>
      <c r="BW1453" t="s">
        <v>131</v>
      </c>
      <c r="BX1453" t="str">
        <f>""</f>
        <v/>
      </c>
      <c r="BY1453" t="str">
        <f>""</f>
        <v/>
      </c>
      <c r="BZ1453" t="str">
        <f>""</f>
        <v/>
      </c>
      <c r="CA1453" t="str">
        <f>""</f>
        <v/>
      </c>
      <c r="CB1453" t="s">
        <v>131</v>
      </c>
      <c r="CF1453" t="s">
        <v>131</v>
      </c>
      <c r="CH1453" t="str">
        <f>""</f>
        <v/>
      </c>
      <c r="CI1453" t="s">
        <v>131</v>
      </c>
      <c r="CK1453" t="s">
        <v>131</v>
      </c>
      <c r="CL1453" t="str">
        <f>""</f>
        <v/>
      </c>
      <c r="CM1453" t="str">
        <f>""</f>
        <v/>
      </c>
      <c r="CN1453" t="str">
        <f>""</f>
        <v/>
      </c>
      <c r="CO1453" t="str">
        <f>""</f>
        <v/>
      </c>
      <c r="CP1453" t="str">
        <f>"17-2131.00"</f>
        <v>17-2131.00</v>
      </c>
      <c r="CQ1453" t="s">
        <v>1724</v>
      </c>
      <c r="CR1453" t="s">
        <v>717</v>
      </c>
      <c r="CS1453" t="s">
        <v>131</v>
      </c>
      <c r="CU1453" t="s">
        <v>6268</v>
      </c>
      <c r="CW1453" t="s">
        <v>458</v>
      </c>
      <c r="CX1453" t="s">
        <v>400</v>
      </c>
      <c r="CZ1453" s="3" t="str">
        <f>"75080"</f>
        <v>75080</v>
      </c>
      <c r="DA1453" t="s">
        <v>131</v>
      </c>
      <c r="DB1453" t="str">
        <f>""</f>
        <v/>
      </c>
      <c r="DF1453" t="str">
        <f>""</f>
        <v/>
      </c>
    </row>
    <row r="1454" spans="1:110" ht="15" customHeight="1" x14ac:dyDescent="0.35">
      <c r="A1454" t="s">
        <v>8894</v>
      </c>
      <c r="B1454" t="s">
        <v>138</v>
      </c>
      <c r="C1454" s="1">
        <v>44330</v>
      </c>
      <c r="G1454" s="1">
        <v>44333</v>
      </c>
      <c r="H1454" t="s">
        <v>125</v>
      </c>
      <c r="I1454" t="s">
        <v>838</v>
      </c>
      <c r="J1454" t="s">
        <v>839</v>
      </c>
      <c r="K1454" t="s">
        <v>840</v>
      </c>
      <c r="L1454" t="s">
        <v>2565</v>
      </c>
      <c r="M1454" t="s">
        <v>841</v>
      </c>
      <c r="N1454" t="s">
        <v>842</v>
      </c>
      <c r="O1454" t="s">
        <v>843</v>
      </c>
      <c r="P1454" t="s">
        <v>273</v>
      </c>
      <c r="Q1454" s="3">
        <v>7080</v>
      </c>
      <c r="R1454" t="s">
        <v>128</v>
      </c>
      <c r="T1454" s="4">
        <v>17328327978</v>
      </c>
      <c r="V1454" t="s">
        <v>844</v>
      </c>
      <c r="W1454" t="s">
        <v>3324</v>
      </c>
      <c r="Y1454" t="s">
        <v>3325</v>
      </c>
      <c r="Z1454" t="s">
        <v>3326</v>
      </c>
      <c r="AA1454" t="s">
        <v>3327</v>
      </c>
      <c r="AB1454" t="s">
        <v>276</v>
      </c>
      <c r="AC1454" s="3" t="str">
        <f>"08091"</f>
        <v>08091</v>
      </c>
      <c r="AD1454" t="s">
        <v>128</v>
      </c>
      <c r="AF1454" s="4">
        <v>18568739950</v>
      </c>
      <c r="AH1454" t="str">
        <f>"5419"</f>
        <v>5419</v>
      </c>
      <c r="AI1454" t="s">
        <v>130</v>
      </c>
      <c r="AJ1454" t="s">
        <v>838</v>
      </c>
      <c r="AK1454" t="s">
        <v>839</v>
      </c>
      <c r="AL1454" t="s">
        <v>840</v>
      </c>
      <c r="AM1454" t="s">
        <v>841</v>
      </c>
      <c r="AN1454" t="s">
        <v>842</v>
      </c>
      <c r="AO1454" t="s">
        <v>843</v>
      </c>
      <c r="AP1454" t="s">
        <v>276</v>
      </c>
      <c r="AQ1454" s="5">
        <v>7080</v>
      </c>
      <c r="AR1454" t="s">
        <v>128</v>
      </c>
      <c r="AT1454" s="4">
        <v>17328327978</v>
      </c>
      <c r="AV1454" t="s">
        <v>844</v>
      </c>
      <c r="AW1454" t="s">
        <v>8895</v>
      </c>
      <c r="AX1454" t="s">
        <v>131</v>
      </c>
      <c r="AY1454" t="s">
        <v>131</v>
      </c>
      <c r="AZ1454" t="s">
        <v>131</v>
      </c>
      <c r="BA1454" t="s">
        <v>131</v>
      </c>
      <c r="BB1454" t="s">
        <v>131</v>
      </c>
      <c r="BC1454" t="s">
        <v>131</v>
      </c>
      <c r="BD1454" t="s">
        <v>131</v>
      </c>
      <c r="BE1454" t="s">
        <v>132</v>
      </c>
      <c r="BH1454" t="s">
        <v>3291</v>
      </c>
      <c r="BI1454" t="s">
        <v>131</v>
      </c>
      <c r="BL1454" t="s">
        <v>188</v>
      </c>
      <c r="BN1454" t="s">
        <v>8896</v>
      </c>
      <c r="BO1454" t="s">
        <v>131</v>
      </c>
      <c r="BP1454" t="s">
        <v>134</v>
      </c>
      <c r="BQ1454" t="s">
        <v>131</v>
      </c>
      <c r="BS1454" t="str">
        <f t="shared" si="91"/>
        <v>N/A</v>
      </c>
      <c r="BT1454" t="s">
        <v>135</v>
      </c>
      <c r="BU1454">
        <v>12</v>
      </c>
      <c r="BV1454" t="str">
        <f>"JOB OFFERED OR RELATED OCCUPATION."</f>
        <v>JOB OFFERED OR RELATED OCCUPATION.</v>
      </c>
      <c r="BW1454" t="s">
        <v>135</v>
      </c>
      <c r="BX1454" t="str">
        <f>""</f>
        <v/>
      </c>
      <c r="BY1454" t="str">
        <f>""</f>
        <v/>
      </c>
      <c r="BZ1454" t="str">
        <f>""</f>
        <v/>
      </c>
      <c r="CA1454" t="str">
        <f>"Skills required: SAP, Mainframes, LSMW, SAP HANA, MS Office, MS- Visio, and WEB-I."</f>
        <v>Skills required: SAP, Mainframes, LSMW, SAP HANA, MS Office, MS- Visio, and WEB-I.</v>
      </c>
      <c r="CB1454" t="s">
        <v>135</v>
      </c>
      <c r="CC1454" t="s">
        <v>133</v>
      </c>
      <c r="CE1454" t="s">
        <v>8897</v>
      </c>
      <c r="CF1454" t="s">
        <v>131</v>
      </c>
      <c r="CH1454" t="str">
        <f>"N/A"</f>
        <v>N/A</v>
      </c>
      <c r="CI1454" t="s">
        <v>135</v>
      </c>
      <c r="CJ1454">
        <v>60</v>
      </c>
      <c r="CK1454" t="s">
        <v>135</v>
      </c>
      <c r="CL1454" t="str">
        <f>""</f>
        <v/>
      </c>
      <c r="CM1454" t="str">
        <f>""</f>
        <v/>
      </c>
      <c r="CN1454" t="str">
        <f>""</f>
        <v/>
      </c>
      <c r="CO1454" t="str">
        <f>"SAME AS F.b.5.a"</f>
        <v>SAME AS F.b.5.a</v>
      </c>
      <c r="CP1454" t="str">
        <f>"15-1121.00"</f>
        <v>15-1121.00</v>
      </c>
      <c r="CQ1454" t="s">
        <v>283</v>
      </c>
      <c r="CR1454" t="s">
        <v>849</v>
      </c>
      <c r="CS1454" t="s">
        <v>131</v>
      </c>
      <c r="CU1454" t="s">
        <v>3325</v>
      </c>
      <c r="CV1454" t="s">
        <v>8898</v>
      </c>
      <c r="CW1454" t="s">
        <v>3327</v>
      </c>
      <c r="CX1454" t="s">
        <v>276</v>
      </c>
      <c r="CZ1454" s="3" t="str">
        <f>"08091"</f>
        <v>08091</v>
      </c>
      <c r="DA1454" t="s">
        <v>131</v>
      </c>
      <c r="DB1454" t="str">
        <f>""</f>
        <v/>
      </c>
      <c r="DF1454" t="str">
        <f>""</f>
        <v/>
      </c>
    </row>
    <row r="1455" spans="1:110" ht="15" customHeight="1" x14ac:dyDescent="0.35">
      <c r="A1455" t="s">
        <v>15464</v>
      </c>
      <c r="B1455" t="s">
        <v>138</v>
      </c>
      <c r="C1455" s="1">
        <v>44330</v>
      </c>
      <c r="G1455" s="1">
        <v>44340</v>
      </c>
      <c r="H1455" t="s">
        <v>125</v>
      </c>
      <c r="I1455" t="s">
        <v>139</v>
      </c>
      <c r="J1455" t="s">
        <v>2259</v>
      </c>
      <c r="L1455" t="s">
        <v>141</v>
      </c>
      <c r="M1455" t="s">
        <v>142</v>
      </c>
      <c r="O1455" t="s">
        <v>143</v>
      </c>
      <c r="P1455" t="s">
        <v>144</v>
      </c>
      <c r="Q1455" s="3">
        <v>98052</v>
      </c>
      <c r="R1455" t="s">
        <v>128</v>
      </c>
      <c r="T1455" s="4">
        <v>14255383872</v>
      </c>
      <c r="V1455" t="s">
        <v>145</v>
      </c>
      <c r="W1455" t="s">
        <v>1411</v>
      </c>
      <c r="Y1455" t="s">
        <v>142</v>
      </c>
      <c r="AA1455" t="s">
        <v>143</v>
      </c>
      <c r="AB1455" t="s">
        <v>149</v>
      </c>
      <c r="AC1455" s="3" t="str">
        <f>"98052"</f>
        <v>98052</v>
      </c>
      <c r="AD1455" t="s">
        <v>128</v>
      </c>
      <c r="AE1455" t="s">
        <v>144</v>
      </c>
      <c r="AF1455" s="4">
        <v>14255383872</v>
      </c>
      <c r="AH1455" t="str">
        <f>"511210"</f>
        <v>511210</v>
      </c>
      <c r="AI1455" t="s">
        <v>130</v>
      </c>
      <c r="AJ1455" t="s">
        <v>1412</v>
      </c>
      <c r="AK1455" t="s">
        <v>1413</v>
      </c>
      <c r="AM1455" t="s">
        <v>1414</v>
      </c>
      <c r="AN1455" t="s">
        <v>698</v>
      </c>
      <c r="AO1455" t="s">
        <v>1415</v>
      </c>
      <c r="AP1455" t="s">
        <v>382</v>
      </c>
      <c r="AQ1455" s="5">
        <v>21117</v>
      </c>
      <c r="AR1455" t="s">
        <v>128</v>
      </c>
      <c r="AT1455" s="4">
        <v>14103565440</v>
      </c>
      <c r="AU1455">
        <v>265</v>
      </c>
      <c r="AV1455" t="s">
        <v>2263</v>
      </c>
      <c r="AW1455" t="s">
        <v>1416</v>
      </c>
      <c r="AX1455" t="s">
        <v>131</v>
      </c>
      <c r="AY1455" t="s">
        <v>131</v>
      </c>
      <c r="AZ1455" t="s">
        <v>131</v>
      </c>
      <c r="BA1455" t="s">
        <v>131</v>
      </c>
      <c r="BB1455" t="s">
        <v>131</v>
      </c>
      <c r="BC1455" t="s">
        <v>131</v>
      </c>
      <c r="BD1455" t="s">
        <v>131</v>
      </c>
      <c r="BE1455" t="s">
        <v>132</v>
      </c>
      <c r="BH1455" t="s">
        <v>2256</v>
      </c>
      <c r="BI1455" t="s">
        <v>131</v>
      </c>
      <c r="BL1455" t="s">
        <v>133</v>
      </c>
      <c r="BN1455" t="s">
        <v>1417</v>
      </c>
      <c r="BO1455" t="s">
        <v>131</v>
      </c>
      <c r="BP1455" t="s">
        <v>134</v>
      </c>
      <c r="BQ1455" t="s">
        <v>131</v>
      </c>
      <c r="BS1455" t="str">
        <f t="shared" si="91"/>
        <v>N/A</v>
      </c>
      <c r="BT1455" t="s">
        <v>135</v>
      </c>
      <c r="BU1455">
        <v>6</v>
      </c>
      <c r="BV1455" t="str">
        <f>"any computer-related occupation
"</f>
        <v xml:space="preserve">any computer-related occupation
</v>
      </c>
      <c r="BW1455" t="s">
        <v>135</v>
      </c>
      <c r="BX1455" t="str">
        <f>""</f>
        <v/>
      </c>
      <c r="BY1455" t="str">
        <f>""</f>
        <v/>
      </c>
      <c r="BZ1455" t="str">
        <f>""</f>
        <v/>
      </c>
      <c r="CA1455" t="str">
        <f>"Education or experience in React; Web UI;  Web Apps;  API;  Git; Data Structures; and Algorithms is required. 
"</f>
        <v xml:space="preserve">Education or experience in React; Web UI;  Web Apps;  API;  Git; Data Structures; and Algorithms is required. 
</v>
      </c>
      <c r="CB1455" t="s">
        <v>131</v>
      </c>
      <c r="CF1455" t="s">
        <v>131</v>
      </c>
      <c r="CH1455" t="str">
        <f>""</f>
        <v/>
      </c>
      <c r="CI1455" t="s">
        <v>131</v>
      </c>
      <c r="CK1455" t="s">
        <v>131</v>
      </c>
      <c r="CL1455" t="str">
        <f>""</f>
        <v/>
      </c>
      <c r="CM1455" t="str">
        <f>""</f>
        <v/>
      </c>
      <c r="CN1455" t="str">
        <f>""</f>
        <v/>
      </c>
      <c r="CO1455" t="str">
        <f>""</f>
        <v/>
      </c>
      <c r="CP1455" t="str">
        <f>"15-1132.00"</f>
        <v>15-1132.00</v>
      </c>
      <c r="CQ1455" t="s">
        <v>198</v>
      </c>
      <c r="CR1455" t="s">
        <v>136</v>
      </c>
      <c r="CS1455" t="s">
        <v>131</v>
      </c>
      <c r="CU1455" t="s">
        <v>142</v>
      </c>
      <c r="CW1455" t="s">
        <v>143</v>
      </c>
      <c r="CX1455" t="s">
        <v>149</v>
      </c>
      <c r="CZ1455" s="3" t="str">
        <f>"98052"</f>
        <v>98052</v>
      </c>
      <c r="DA1455" t="s">
        <v>131</v>
      </c>
      <c r="DB1455" t="str">
        <f>""</f>
        <v/>
      </c>
      <c r="DF1455" t="str">
        <f>""</f>
        <v/>
      </c>
    </row>
    <row r="1456" spans="1:110" ht="15" customHeight="1" x14ac:dyDescent="0.35">
      <c r="A1456" t="s">
        <v>10260</v>
      </c>
      <c r="B1456" t="s">
        <v>138</v>
      </c>
      <c r="C1456" s="1">
        <v>44330</v>
      </c>
      <c r="G1456" s="1">
        <v>44330</v>
      </c>
      <c r="H1456" t="s">
        <v>125</v>
      </c>
      <c r="I1456" t="s">
        <v>4445</v>
      </c>
      <c r="J1456" t="s">
        <v>4392</v>
      </c>
      <c r="L1456" t="s">
        <v>4446</v>
      </c>
      <c r="M1456" t="s">
        <v>4447</v>
      </c>
      <c r="O1456" t="s">
        <v>1875</v>
      </c>
      <c r="P1456" t="s">
        <v>507</v>
      </c>
      <c r="Q1456" s="3">
        <v>48377</v>
      </c>
      <c r="R1456" t="s">
        <v>128</v>
      </c>
      <c r="T1456" s="4">
        <v>17346291274</v>
      </c>
      <c r="V1456" t="s">
        <v>4448</v>
      </c>
      <c r="W1456" t="s">
        <v>4449</v>
      </c>
      <c r="Y1456" t="s">
        <v>4450</v>
      </c>
      <c r="AA1456" t="s">
        <v>4451</v>
      </c>
      <c r="AB1456" t="s">
        <v>444</v>
      </c>
      <c r="AC1456" s="3" t="str">
        <f>"43537"</f>
        <v>43537</v>
      </c>
      <c r="AD1456" t="s">
        <v>128</v>
      </c>
      <c r="AF1456" s="4">
        <v>14198873550</v>
      </c>
      <c r="AH1456" t="str">
        <f>"3363"</f>
        <v>3363</v>
      </c>
      <c r="AI1456" t="s">
        <v>130</v>
      </c>
      <c r="AJ1456" t="s">
        <v>4452</v>
      </c>
      <c r="AK1456" t="s">
        <v>1468</v>
      </c>
      <c r="AL1456" t="s">
        <v>739</v>
      </c>
      <c r="AM1456" t="s">
        <v>3182</v>
      </c>
      <c r="AN1456" t="s">
        <v>656</v>
      </c>
      <c r="AO1456" t="s">
        <v>642</v>
      </c>
      <c r="AP1456" t="s">
        <v>643</v>
      </c>
      <c r="AQ1456" s="5">
        <v>30309</v>
      </c>
      <c r="AR1456" t="s">
        <v>128</v>
      </c>
      <c r="AT1456" s="4">
        <v>14048565527</v>
      </c>
      <c r="AV1456" t="s">
        <v>4453</v>
      </c>
      <c r="AW1456" t="s">
        <v>386</v>
      </c>
      <c r="AX1456" t="s">
        <v>131</v>
      </c>
      <c r="AY1456" t="s">
        <v>131</v>
      </c>
      <c r="AZ1456" t="s">
        <v>131</v>
      </c>
      <c r="BA1456" t="s">
        <v>131</v>
      </c>
      <c r="BB1456" t="s">
        <v>131</v>
      </c>
      <c r="BC1456" t="s">
        <v>131</v>
      </c>
      <c r="BD1456" t="s">
        <v>131</v>
      </c>
      <c r="BE1456" t="s">
        <v>132</v>
      </c>
      <c r="BH1456" t="s">
        <v>4454</v>
      </c>
      <c r="BI1456" t="s">
        <v>135</v>
      </c>
      <c r="BJ1456" t="s">
        <v>10261</v>
      </c>
      <c r="BK1456" t="s">
        <v>10262</v>
      </c>
      <c r="BL1456" t="s">
        <v>133</v>
      </c>
      <c r="BN1456" t="s">
        <v>4455</v>
      </c>
      <c r="BO1456" t="s">
        <v>131</v>
      </c>
      <c r="BP1456" t="s">
        <v>134</v>
      </c>
      <c r="BQ1456" t="s">
        <v>131</v>
      </c>
      <c r="BS1456" t="str">
        <f t="shared" si="91"/>
        <v>N/A</v>
      </c>
      <c r="BT1456" t="s">
        <v>135</v>
      </c>
      <c r="BU1456">
        <v>120</v>
      </c>
      <c r="BV1456" t="str">
        <f>"Any occupation where required experience was gained."</f>
        <v>Any occupation where required experience was gained.</v>
      </c>
      <c r="BW1456" t="s">
        <v>135</v>
      </c>
      <c r="BX1456" t="str">
        <f>""</f>
        <v/>
      </c>
      <c r="BY1456" t="str">
        <f>""</f>
        <v/>
      </c>
      <c r="BZ1456" t="str">
        <f>""</f>
        <v/>
      </c>
      <c r="CA1456" t="s">
        <v>4456</v>
      </c>
      <c r="CB1456" t="s">
        <v>131</v>
      </c>
      <c r="CF1456" t="s">
        <v>131</v>
      </c>
      <c r="CH1456" t="str">
        <f>""</f>
        <v/>
      </c>
      <c r="CI1456" t="s">
        <v>131</v>
      </c>
      <c r="CK1456" t="s">
        <v>131</v>
      </c>
      <c r="CL1456" t="str">
        <f>""</f>
        <v/>
      </c>
      <c r="CM1456" t="str">
        <f>""</f>
        <v/>
      </c>
      <c r="CN1456" t="str">
        <f>""</f>
        <v/>
      </c>
      <c r="CO1456" t="str">
        <f>""</f>
        <v/>
      </c>
      <c r="CP1456" t="str">
        <f>"11-9041.00"</f>
        <v>11-9041.00</v>
      </c>
      <c r="CQ1456" t="s">
        <v>1498</v>
      </c>
      <c r="CR1456" t="s">
        <v>4457</v>
      </c>
      <c r="CS1456" t="s">
        <v>131</v>
      </c>
      <c r="CU1456" t="s">
        <v>4447</v>
      </c>
      <c r="CW1456" t="s">
        <v>1875</v>
      </c>
      <c r="CX1456" t="s">
        <v>511</v>
      </c>
      <c r="CZ1456" s="3" t="str">
        <f>"48377"</f>
        <v>48377</v>
      </c>
      <c r="DA1456" t="s">
        <v>131</v>
      </c>
      <c r="DB1456" t="str">
        <f>""</f>
        <v/>
      </c>
      <c r="DF1456" t="str">
        <f>""</f>
        <v/>
      </c>
    </row>
    <row r="1457" spans="1:110" ht="15" customHeight="1" x14ac:dyDescent="0.35">
      <c r="A1457" t="s">
        <v>19452</v>
      </c>
      <c r="B1457" t="s">
        <v>138</v>
      </c>
      <c r="C1457" s="1">
        <v>44330</v>
      </c>
      <c r="G1457" s="1">
        <v>44334</v>
      </c>
      <c r="H1457" t="s">
        <v>125</v>
      </c>
      <c r="I1457" t="s">
        <v>6199</v>
      </c>
      <c r="J1457" t="s">
        <v>1116</v>
      </c>
      <c r="L1457" t="s">
        <v>3881</v>
      </c>
      <c r="M1457" t="s">
        <v>6200</v>
      </c>
      <c r="O1457" t="s">
        <v>899</v>
      </c>
      <c r="P1457" t="s">
        <v>588</v>
      </c>
      <c r="Q1457" s="3">
        <v>22209</v>
      </c>
      <c r="R1457" t="s">
        <v>128</v>
      </c>
      <c r="T1457" s="4">
        <v>15714573603</v>
      </c>
      <c r="V1457" t="s">
        <v>6201</v>
      </c>
      <c r="W1457" t="s">
        <v>6202</v>
      </c>
      <c r="Y1457" t="s">
        <v>6203</v>
      </c>
      <c r="Z1457" t="s">
        <v>1645</v>
      </c>
      <c r="AA1457" t="s">
        <v>3883</v>
      </c>
      <c r="AB1457" t="s">
        <v>129</v>
      </c>
      <c r="AC1457" s="3" t="str">
        <f>"10120"</f>
        <v>10120</v>
      </c>
      <c r="AD1457" t="s">
        <v>128</v>
      </c>
      <c r="AF1457" s="4">
        <v>15714573531</v>
      </c>
      <c r="AH1457" t="str">
        <f>"31199"</f>
        <v>31199</v>
      </c>
      <c r="AI1457" t="s">
        <v>130</v>
      </c>
      <c r="AJ1457" t="s">
        <v>6204</v>
      </c>
      <c r="AK1457" t="s">
        <v>2510</v>
      </c>
      <c r="AL1457" t="s">
        <v>2872</v>
      </c>
      <c r="AM1457" t="s">
        <v>2792</v>
      </c>
      <c r="AO1457" t="s">
        <v>975</v>
      </c>
      <c r="AP1457" t="s">
        <v>594</v>
      </c>
      <c r="AQ1457" s="5">
        <v>27622</v>
      </c>
      <c r="AR1457" t="s">
        <v>128</v>
      </c>
      <c r="AT1457" s="4">
        <v>19197879700</v>
      </c>
      <c r="AV1457" t="s">
        <v>6205</v>
      </c>
      <c r="AW1457" t="s">
        <v>976</v>
      </c>
      <c r="AX1457" t="s">
        <v>131</v>
      </c>
      <c r="AY1457" t="s">
        <v>131</v>
      </c>
      <c r="AZ1457" t="s">
        <v>131</v>
      </c>
      <c r="BA1457" t="s">
        <v>131</v>
      </c>
      <c r="BB1457" t="s">
        <v>131</v>
      </c>
      <c r="BC1457" t="s">
        <v>131</v>
      </c>
      <c r="BD1457" t="s">
        <v>131</v>
      </c>
      <c r="BE1457" t="s">
        <v>132</v>
      </c>
      <c r="BH1457" t="s">
        <v>6206</v>
      </c>
      <c r="BI1457" t="s">
        <v>131</v>
      </c>
      <c r="BL1457" t="s">
        <v>188</v>
      </c>
      <c r="BN1457" t="s">
        <v>6207</v>
      </c>
      <c r="BO1457" t="s">
        <v>131</v>
      </c>
      <c r="BP1457" t="s">
        <v>134</v>
      </c>
      <c r="BQ1457" t="s">
        <v>131</v>
      </c>
      <c r="BS1457" t="str">
        <f t="shared" si="91"/>
        <v>N/A</v>
      </c>
      <c r="BT1457" t="s">
        <v>135</v>
      </c>
      <c r="BU1457">
        <v>24</v>
      </c>
      <c r="BV1457" t="str">
        <f>"See section F.b.5.a(iv)"</f>
        <v>See section F.b.5.a(iv)</v>
      </c>
      <c r="BW1457" t="s">
        <v>135</v>
      </c>
      <c r="BX1457" t="str">
        <f>""</f>
        <v/>
      </c>
      <c r="BY1457" t="str">
        <f>""</f>
        <v/>
      </c>
      <c r="BZ1457" t="str">
        <f>""</f>
        <v/>
      </c>
      <c r="CA1457" s="2" t="s">
        <v>19453</v>
      </c>
      <c r="CB1457" t="s">
        <v>135</v>
      </c>
      <c r="CC1457" t="s">
        <v>133</v>
      </c>
      <c r="CE1457" t="s">
        <v>6208</v>
      </c>
      <c r="CF1457" t="s">
        <v>131</v>
      </c>
      <c r="CH1457" t="str">
        <f>"N/A"</f>
        <v>N/A</v>
      </c>
      <c r="CI1457" t="s">
        <v>135</v>
      </c>
      <c r="CJ1457">
        <v>48</v>
      </c>
      <c r="CK1457" t="s">
        <v>135</v>
      </c>
      <c r="CL1457" t="str">
        <f>""</f>
        <v/>
      </c>
      <c r="CM1457" t="str">
        <f>""</f>
        <v/>
      </c>
      <c r="CN1457" t="str">
        <f>""</f>
        <v/>
      </c>
      <c r="CO1457" t="s">
        <v>6209</v>
      </c>
      <c r="CP1457" t="str">
        <f>"13-1161.00"</f>
        <v>13-1161.00</v>
      </c>
      <c r="CQ1457" t="s">
        <v>252</v>
      </c>
      <c r="CS1457" t="s">
        <v>131</v>
      </c>
      <c r="CU1457" t="s">
        <v>6210</v>
      </c>
      <c r="CV1457" t="s">
        <v>1645</v>
      </c>
      <c r="CW1457" t="s">
        <v>3883</v>
      </c>
      <c r="CX1457" t="s">
        <v>129</v>
      </c>
      <c r="CZ1457" s="3" t="str">
        <f>"10120"</f>
        <v>10120</v>
      </c>
      <c r="DA1457" t="s">
        <v>131</v>
      </c>
      <c r="DB1457" t="str">
        <f>""</f>
        <v/>
      </c>
      <c r="DF1457" t="str">
        <f>""</f>
        <v/>
      </c>
    </row>
    <row r="1458" spans="1:110" ht="15" customHeight="1" x14ac:dyDescent="0.35">
      <c r="A1458" t="s">
        <v>19807</v>
      </c>
      <c r="B1458" t="s">
        <v>138</v>
      </c>
      <c r="C1458" s="1">
        <v>44330</v>
      </c>
      <c r="G1458" s="1">
        <v>44330</v>
      </c>
      <c r="H1458" t="s">
        <v>125</v>
      </c>
      <c r="I1458" t="s">
        <v>5897</v>
      </c>
      <c r="J1458" t="s">
        <v>5898</v>
      </c>
      <c r="L1458" t="s">
        <v>5899</v>
      </c>
      <c r="M1458" t="s">
        <v>5900</v>
      </c>
      <c r="N1458" t="s">
        <v>225</v>
      </c>
      <c r="O1458" t="s">
        <v>3874</v>
      </c>
      <c r="P1458" t="s">
        <v>1760</v>
      </c>
      <c r="Q1458" s="3">
        <v>70816</v>
      </c>
      <c r="R1458" t="s">
        <v>128</v>
      </c>
      <c r="S1458" t="s">
        <v>134</v>
      </c>
      <c r="T1458" s="4">
        <v>12252993492</v>
      </c>
      <c r="V1458" t="s">
        <v>5901</v>
      </c>
      <c r="W1458" t="s">
        <v>5902</v>
      </c>
      <c r="Y1458" t="s">
        <v>5900</v>
      </c>
      <c r="Z1458" t="s">
        <v>225</v>
      </c>
      <c r="AA1458" t="s">
        <v>3874</v>
      </c>
      <c r="AB1458" t="s">
        <v>1763</v>
      </c>
      <c r="AC1458" s="3" t="str">
        <f>"70816"</f>
        <v>70816</v>
      </c>
      <c r="AD1458" t="s">
        <v>128</v>
      </c>
      <c r="AE1458" t="s">
        <v>134</v>
      </c>
      <c r="AF1458" s="4">
        <v>12252993492</v>
      </c>
      <c r="AH1458" t="str">
        <f>"621610"</f>
        <v>621610</v>
      </c>
      <c r="AI1458" t="s">
        <v>130</v>
      </c>
      <c r="AJ1458" t="s">
        <v>982</v>
      </c>
      <c r="AK1458" t="s">
        <v>983</v>
      </c>
      <c r="AM1458" t="s">
        <v>5903</v>
      </c>
      <c r="AN1458" t="s">
        <v>985</v>
      </c>
      <c r="AO1458" t="s">
        <v>742</v>
      </c>
      <c r="AP1458" t="s">
        <v>306</v>
      </c>
      <c r="AQ1458" s="5">
        <v>23219</v>
      </c>
      <c r="AR1458" t="s">
        <v>128</v>
      </c>
      <c r="AT1458" s="4">
        <v>18044206478</v>
      </c>
      <c r="AV1458" t="s">
        <v>5904</v>
      </c>
      <c r="AW1458" t="s">
        <v>987</v>
      </c>
      <c r="AX1458" t="s">
        <v>131</v>
      </c>
      <c r="AY1458" t="s">
        <v>131</v>
      </c>
      <c r="AZ1458" t="s">
        <v>131</v>
      </c>
      <c r="BA1458" t="s">
        <v>131</v>
      </c>
      <c r="BB1458" t="s">
        <v>131</v>
      </c>
      <c r="BC1458" t="s">
        <v>131</v>
      </c>
      <c r="BD1458" t="s">
        <v>131</v>
      </c>
      <c r="BE1458" t="s">
        <v>132</v>
      </c>
      <c r="BH1458" t="s">
        <v>1150</v>
      </c>
      <c r="BI1458" t="s">
        <v>135</v>
      </c>
      <c r="BJ1458" t="s">
        <v>9339</v>
      </c>
      <c r="BK1458" t="s">
        <v>9340</v>
      </c>
      <c r="BL1458" t="s">
        <v>133</v>
      </c>
      <c r="BN1458" t="s">
        <v>19808</v>
      </c>
      <c r="BO1458" t="s">
        <v>131</v>
      </c>
      <c r="BP1458" t="s">
        <v>134</v>
      </c>
      <c r="BQ1458" t="s">
        <v>131</v>
      </c>
      <c r="BS1458" t="str">
        <f t="shared" si="91"/>
        <v>N/A</v>
      </c>
      <c r="BT1458" t="s">
        <v>131</v>
      </c>
      <c r="BV1458" t="str">
        <f>""</f>
        <v/>
      </c>
      <c r="BW1458" t="s">
        <v>135</v>
      </c>
      <c r="BX1458" t="s">
        <v>19809</v>
      </c>
      <c r="BY1458" t="str">
        <f>""</f>
        <v/>
      </c>
      <c r="BZ1458" t="str">
        <f>""</f>
        <v/>
      </c>
      <c r="CA1458" t="str">
        <f>""</f>
        <v/>
      </c>
      <c r="CB1458" t="s">
        <v>131</v>
      </c>
      <c r="CF1458" t="s">
        <v>131</v>
      </c>
      <c r="CH1458" t="str">
        <f>""</f>
        <v/>
      </c>
      <c r="CI1458" t="s">
        <v>131</v>
      </c>
      <c r="CK1458" t="s">
        <v>131</v>
      </c>
      <c r="CL1458" t="str">
        <f>""</f>
        <v/>
      </c>
      <c r="CM1458" t="str">
        <f>""</f>
        <v/>
      </c>
      <c r="CN1458" t="str">
        <f>""</f>
        <v/>
      </c>
      <c r="CO1458" t="str">
        <f>""</f>
        <v/>
      </c>
      <c r="CP1458" t="str">
        <f>"29-1123.00"</f>
        <v>29-1123.00</v>
      </c>
      <c r="CQ1458" t="s">
        <v>962</v>
      </c>
      <c r="CR1458" t="s">
        <v>5908</v>
      </c>
      <c r="CS1458" t="s">
        <v>135</v>
      </c>
      <c r="CT1458" t="s">
        <v>5909</v>
      </c>
      <c r="CU1458" t="s">
        <v>12028</v>
      </c>
      <c r="CV1458" t="s">
        <v>2377</v>
      </c>
      <c r="CW1458" t="s">
        <v>6851</v>
      </c>
      <c r="CX1458" t="s">
        <v>382</v>
      </c>
      <c r="CZ1458" s="3" t="str">
        <f>"21804"</f>
        <v>21804</v>
      </c>
      <c r="DA1458" t="s">
        <v>131</v>
      </c>
      <c r="DB1458" t="str">
        <f>""</f>
        <v/>
      </c>
      <c r="DF1458" t="str">
        <f>""</f>
        <v/>
      </c>
    </row>
    <row r="1459" spans="1:110" ht="15" customHeight="1" x14ac:dyDescent="0.35">
      <c r="A1459" t="s">
        <v>7082</v>
      </c>
      <c r="B1459" t="s">
        <v>138</v>
      </c>
      <c r="C1459" s="1">
        <v>44330</v>
      </c>
      <c r="G1459" s="1">
        <v>44350</v>
      </c>
      <c r="H1459" t="s">
        <v>125</v>
      </c>
      <c r="I1459" t="s">
        <v>838</v>
      </c>
      <c r="J1459" t="s">
        <v>839</v>
      </c>
      <c r="K1459" t="s">
        <v>840</v>
      </c>
      <c r="L1459" t="s">
        <v>2565</v>
      </c>
      <c r="M1459" t="s">
        <v>841</v>
      </c>
      <c r="N1459" t="s">
        <v>842</v>
      </c>
      <c r="O1459" t="s">
        <v>843</v>
      </c>
      <c r="P1459" t="s">
        <v>273</v>
      </c>
      <c r="Q1459" s="3">
        <v>7080</v>
      </c>
      <c r="R1459" t="s">
        <v>128</v>
      </c>
      <c r="T1459" s="4">
        <v>17328327978</v>
      </c>
      <c r="V1459" t="s">
        <v>844</v>
      </c>
      <c r="W1459" t="s">
        <v>7083</v>
      </c>
      <c r="X1459" t="s">
        <v>7084</v>
      </c>
      <c r="Y1459" t="s">
        <v>7085</v>
      </c>
      <c r="Z1459" t="s">
        <v>4943</v>
      </c>
      <c r="AA1459" t="s">
        <v>6549</v>
      </c>
      <c r="AB1459" t="s">
        <v>276</v>
      </c>
      <c r="AC1459" s="3" t="str">
        <f>"08854"</f>
        <v>08854</v>
      </c>
      <c r="AD1459" t="s">
        <v>128</v>
      </c>
      <c r="AF1459" s="4">
        <v>18482199146</v>
      </c>
      <c r="AH1459" t="str">
        <f>"54199"</f>
        <v>54199</v>
      </c>
      <c r="AI1459" t="s">
        <v>130</v>
      </c>
      <c r="AJ1459" t="s">
        <v>838</v>
      </c>
      <c r="AK1459" t="s">
        <v>839</v>
      </c>
      <c r="AL1459" t="s">
        <v>840</v>
      </c>
      <c r="AM1459" t="s">
        <v>841</v>
      </c>
      <c r="AN1459" t="s">
        <v>842</v>
      </c>
      <c r="AO1459" t="s">
        <v>4695</v>
      </c>
      <c r="AP1459" t="s">
        <v>276</v>
      </c>
      <c r="AQ1459" s="5">
        <v>7080</v>
      </c>
      <c r="AR1459" t="s">
        <v>128</v>
      </c>
      <c r="AT1459" s="4">
        <v>17328327978</v>
      </c>
      <c r="AV1459" t="s">
        <v>844</v>
      </c>
      <c r="AW1459" t="s">
        <v>2779</v>
      </c>
      <c r="AX1459" t="s">
        <v>131</v>
      </c>
      <c r="AY1459" t="s">
        <v>131</v>
      </c>
      <c r="AZ1459" t="s">
        <v>131</v>
      </c>
      <c r="BA1459" t="s">
        <v>131</v>
      </c>
      <c r="BB1459" t="s">
        <v>131</v>
      </c>
      <c r="BC1459" t="s">
        <v>131</v>
      </c>
      <c r="BD1459" t="s">
        <v>131</v>
      </c>
      <c r="BE1459" t="s">
        <v>132</v>
      </c>
      <c r="BH1459" t="s">
        <v>7086</v>
      </c>
      <c r="BI1459" t="s">
        <v>131</v>
      </c>
      <c r="BL1459" t="s">
        <v>188</v>
      </c>
      <c r="BN1459" t="s">
        <v>4697</v>
      </c>
      <c r="BO1459" t="s">
        <v>131</v>
      </c>
      <c r="BP1459" t="s">
        <v>134</v>
      </c>
      <c r="BQ1459" t="s">
        <v>131</v>
      </c>
      <c r="BS1459" t="str">
        <f t="shared" si="91"/>
        <v>N/A</v>
      </c>
      <c r="BT1459" t="s">
        <v>131</v>
      </c>
      <c r="BV1459" t="str">
        <f>""</f>
        <v/>
      </c>
      <c r="BW1459" t="s">
        <v>131</v>
      </c>
      <c r="BX1459" t="str">
        <f>""</f>
        <v/>
      </c>
      <c r="BY1459" t="str">
        <f>""</f>
        <v/>
      </c>
      <c r="BZ1459" t="str">
        <f>""</f>
        <v/>
      </c>
      <c r="CA1459" t="str">
        <f>""</f>
        <v/>
      </c>
      <c r="CB1459" t="s">
        <v>135</v>
      </c>
      <c r="CC1459" t="s">
        <v>133</v>
      </c>
      <c r="CE1459" t="s">
        <v>2571</v>
      </c>
      <c r="CF1459" t="s">
        <v>131</v>
      </c>
      <c r="CH1459" t="str">
        <f>"N/A"</f>
        <v>N/A</v>
      </c>
      <c r="CI1459" t="s">
        <v>135</v>
      </c>
      <c r="CJ1459">
        <v>60</v>
      </c>
      <c r="CK1459" t="s">
        <v>135</v>
      </c>
      <c r="CL1459" t="str">
        <f>""</f>
        <v/>
      </c>
      <c r="CM1459" t="str">
        <f>""</f>
        <v/>
      </c>
      <c r="CN1459" t="str">
        <f>""</f>
        <v/>
      </c>
      <c r="CO1459" t="s">
        <v>7087</v>
      </c>
      <c r="CP1459" t="str">
        <f>"15-1132.00"</f>
        <v>15-1132.00</v>
      </c>
      <c r="CQ1459" t="s">
        <v>198</v>
      </c>
      <c r="CR1459" t="s">
        <v>849</v>
      </c>
      <c r="CS1459" t="s">
        <v>131</v>
      </c>
      <c r="CU1459" t="s">
        <v>7085</v>
      </c>
      <c r="CV1459" t="s">
        <v>7088</v>
      </c>
      <c r="CW1459" t="s">
        <v>2596</v>
      </c>
      <c r="CX1459" t="s">
        <v>276</v>
      </c>
      <c r="CZ1459" s="3" t="str">
        <f>"08854"</f>
        <v>08854</v>
      </c>
      <c r="DA1459" t="s">
        <v>131</v>
      </c>
      <c r="DB1459" t="str">
        <f>""</f>
        <v/>
      </c>
      <c r="DF1459" t="str">
        <f>""</f>
        <v/>
      </c>
    </row>
    <row r="1460" spans="1:110" ht="15" customHeight="1" x14ac:dyDescent="0.35">
      <c r="A1460" t="s">
        <v>11824</v>
      </c>
      <c r="B1460" t="s">
        <v>138</v>
      </c>
      <c r="C1460" s="1">
        <v>44330</v>
      </c>
      <c r="G1460" s="1">
        <v>44330</v>
      </c>
      <c r="H1460" t="s">
        <v>125</v>
      </c>
      <c r="I1460" t="s">
        <v>8065</v>
      </c>
      <c r="J1460" t="s">
        <v>5952</v>
      </c>
      <c r="L1460" t="s">
        <v>8066</v>
      </c>
      <c r="M1460" t="s">
        <v>8067</v>
      </c>
      <c r="N1460" t="s">
        <v>2415</v>
      </c>
      <c r="O1460" t="s">
        <v>2707</v>
      </c>
      <c r="P1460" t="s">
        <v>178</v>
      </c>
      <c r="Q1460" s="3">
        <v>92121</v>
      </c>
      <c r="R1460" t="s">
        <v>128</v>
      </c>
      <c r="T1460" s="4">
        <v>18582026467</v>
      </c>
      <c r="V1460" t="s">
        <v>8068</v>
      </c>
      <c r="W1460" t="s">
        <v>8069</v>
      </c>
      <c r="Y1460" t="s">
        <v>8070</v>
      </c>
      <c r="Z1460" t="s">
        <v>3267</v>
      </c>
      <c r="AA1460" t="s">
        <v>4617</v>
      </c>
      <c r="AB1460" t="s">
        <v>172</v>
      </c>
      <c r="AC1460" s="3" t="str">
        <f>"94065"</f>
        <v>94065</v>
      </c>
      <c r="AD1460" t="s">
        <v>128</v>
      </c>
      <c r="AF1460" s="4">
        <v>16502576141</v>
      </c>
      <c r="AH1460" t="str">
        <f>"541840"</f>
        <v>541840</v>
      </c>
      <c r="AI1460" t="s">
        <v>130</v>
      </c>
      <c r="AJ1460" t="s">
        <v>7888</v>
      </c>
      <c r="AK1460" t="s">
        <v>8071</v>
      </c>
      <c r="AL1460" t="s">
        <v>2272</v>
      </c>
      <c r="AM1460" t="s">
        <v>8072</v>
      </c>
      <c r="AN1460" t="s">
        <v>6012</v>
      </c>
      <c r="AO1460" t="s">
        <v>8073</v>
      </c>
      <c r="AP1460" t="s">
        <v>172</v>
      </c>
      <c r="AQ1460" s="5">
        <v>90292</v>
      </c>
      <c r="AR1460" t="s">
        <v>128</v>
      </c>
      <c r="AT1460" s="4">
        <v>13109109880</v>
      </c>
      <c r="AV1460" t="s">
        <v>8074</v>
      </c>
      <c r="AW1460" t="s">
        <v>8075</v>
      </c>
      <c r="AX1460" t="s">
        <v>131</v>
      </c>
      <c r="AY1460" t="s">
        <v>131</v>
      </c>
      <c r="AZ1460" t="s">
        <v>131</v>
      </c>
      <c r="BA1460" t="s">
        <v>131</v>
      </c>
      <c r="BB1460" t="s">
        <v>131</v>
      </c>
      <c r="BC1460" t="s">
        <v>131</v>
      </c>
      <c r="BD1460" t="s">
        <v>131</v>
      </c>
      <c r="BE1460" t="s">
        <v>132</v>
      </c>
      <c r="BH1460" t="s">
        <v>4693</v>
      </c>
      <c r="BI1460" t="s">
        <v>131</v>
      </c>
      <c r="BL1460" t="s">
        <v>133</v>
      </c>
      <c r="BN1460" t="s">
        <v>9267</v>
      </c>
      <c r="BO1460" t="s">
        <v>131</v>
      </c>
      <c r="BP1460" t="s">
        <v>134</v>
      </c>
      <c r="BQ1460" t="s">
        <v>131</v>
      </c>
      <c r="BS1460" t="str">
        <f t="shared" si="91"/>
        <v>N/A</v>
      </c>
      <c r="BT1460" t="s">
        <v>135</v>
      </c>
      <c r="BU1460">
        <v>72</v>
      </c>
      <c r="BV1460" t="str">
        <f>"Position offered, Software Engineer, Programmer, System Analyst, or related occupation.  "</f>
        <v xml:space="preserve">Position offered, Software Engineer, Programmer, System Analyst, or related occupation.  </v>
      </c>
      <c r="BW1460" t="s">
        <v>135</v>
      </c>
      <c r="BX1460" t="str">
        <f>""</f>
        <v/>
      </c>
      <c r="BY1460" t="str">
        <f>""</f>
        <v/>
      </c>
      <c r="BZ1460" t="str">
        <f>""</f>
        <v/>
      </c>
      <c r="CA1460" t="str">
        <f>"Docker.  Kubernetes.  Java.  Spring Boot.  AWS.  Hadoop.  Spark.  Snowflake 
"</f>
        <v xml:space="preserve">Docker.  Kubernetes.  Java.  Spring Boot.  AWS.  Hadoop.  Spark.  Snowflake 
</v>
      </c>
      <c r="CB1460" t="s">
        <v>131</v>
      </c>
      <c r="CF1460" t="s">
        <v>131</v>
      </c>
      <c r="CH1460" t="str">
        <f>""</f>
        <v/>
      </c>
      <c r="CI1460" t="s">
        <v>131</v>
      </c>
      <c r="CK1460" t="s">
        <v>131</v>
      </c>
      <c r="CL1460" t="str">
        <f>""</f>
        <v/>
      </c>
      <c r="CM1460" t="str">
        <f>""</f>
        <v/>
      </c>
      <c r="CN1460" t="str">
        <f>""</f>
        <v/>
      </c>
      <c r="CO1460" t="str">
        <f>""</f>
        <v/>
      </c>
      <c r="CP1460" t="str">
        <f>"15-1132.00"</f>
        <v>15-1132.00</v>
      </c>
      <c r="CQ1460" t="s">
        <v>198</v>
      </c>
      <c r="CR1460" t="s">
        <v>7515</v>
      </c>
      <c r="CS1460" t="s">
        <v>131</v>
      </c>
      <c r="CU1460" t="s">
        <v>8076</v>
      </c>
      <c r="CV1460" t="s">
        <v>439</v>
      </c>
      <c r="CW1460" t="s">
        <v>381</v>
      </c>
      <c r="CX1460" t="s">
        <v>382</v>
      </c>
      <c r="CZ1460" s="3" t="str">
        <f>"21230"</f>
        <v>21230</v>
      </c>
      <c r="DA1460" t="s">
        <v>131</v>
      </c>
      <c r="DB1460" t="str">
        <f>""</f>
        <v/>
      </c>
      <c r="DF1460" t="str">
        <f>""</f>
        <v/>
      </c>
    </row>
    <row r="1461" spans="1:110" ht="15" customHeight="1" x14ac:dyDescent="0.35">
      <c r="A1461" t="s">
        <v>15546</v>
      </c>
      <c r="B1461" t="s">
        <v>138</v>
      </c>
      <c r="C1461" s="1">
        <v>44330</v>
      </c>
      <c r="G1461" s="1">
        <v>44350</v>
      </c>
      <c r="H1461" t="s">
        <v>125</v>
      </c>
      <c r="I1461" t="s">
        <v>838</v>
      </c>
      <c r="J1461" t="s">
        <v>839</v>
      </c>
      <c r="K1461" t="s">
        <v>840</v>
      </c>
      <c r="L1461" t="s">
        <v>2565</v>
      </c>
      <c r="M1461" t="s">
        <v>841</v>
      </c>
      <c r="N1461" t="s">
        <v>842</v>
      </c>
      <c r="O1461" t="s">
        <v>843</v>
      </c>
      <c r="P1461" t="s">
        <v>273</v>
      </c>
      <c r="Q1461" s="3">
        <v>7080</v>
      </c>
      <c r="R1461" t="s">
        <v>128</v>
      </c>
      <c r="T1461" s="4">
        <v>17322837978</v>
      </c>
      <c r="V1461" t="s">
        <v>844</v>
      </c>
      <c r="W1461" t="s">
        <v>13286</v>
      </c>
      <c r="Y1461" t="s">
        <v>12733</v>
      </c>
      <c r="Z1461" t="s">
        <v>6956</v>
      </c>
      <c r="AA1461" t="s">
        <v>15547</v>
      </c>
      <c r="AB1461" t="s">
        <v>511</v>
      </c>
      <c r="AC1461" s="3" t="str">
        <f>"48108"</f>
        <v>48108</v>
      </c>
      <c r="AD1461" t="s">
        <v>128</v>
      </c>
      <c r="AF1461" s="4">
        <v>17342592181</v>
      </c>
      <c r="AH1461" t="str">
        <f>"541519"</f>
        <v>541519</v>
      </c>
      <c r="AI1461" t="s">
        <v>130</v>
      </c>
      <c r="AJ1461" t="s">
        <v>838</v>
      </c>
      <c r="AK1461" t="s">
        <v>839</v>
      </c>
      <c r="AL1461" t="s">
        <v>840</v>
      </c>
      <c r="AM1461" t="s">
        <v>841</v>
      </c>
      <c r="AN1461" t="s">
        <v>842</v>
      </c>
      <c r="AO1461" t="s">
        <v>843</v>
      </c>
      <c r="AP1461" t="s">
        <v>276</v>
      </c>
      <c r="AQ1461" s="5">
        <v>7080</v>
      </c>
      <c r="AR1461" t="s">
        <v>128</v>
      </c>
      <c r="AT1461" s="4">
        <v>17328327978</v>
      </c>
      <c r="AV1461" t="s">
        <v>844</v>
      </c>
      <c r="AW1461" t="s">
        <v>4863</v>
      </c>
      <c r="AX1461" t="s">
        <v>131</v>
      </c>
      <c r="AY1461" t="s">
        <v>131</v>
      </c>
      <c r="AZ1461" t="s">
        <v>131</v>
      </c>
      <c r="BA1461" t="s">
        <v>131</v>
      </c>
      <c r="BB1461" t="s">
        <v>131</v>
      </c>
      <c r="BC1461" t="s">
        <v>131</v>
      </c>
      <c r="BD1461" t="s">
        <v>131</v>
      </c>
      <c r="BE1461" t="s">
        <v>132</v>
      </c>
      <c r="BH1461" t="s">
        <v>11599</v>
      </c>
      <c r="BI1461" t="s">
        <v>131</v>
      </c>
      <c r="BL1461" t="s">
        <v>188</v>
      </c>
      <c r="BN1461" t="s">
        <v>5390</v>
      </c>
      <c r="BO1461" t="s">
        <v>131</v>
      </c>
      <c r="BP1461" t="s">
        <v>134</v>
      </c>
      <c r="BQ1461" t="s">
        <v>131</v>
      </c>
      <c r="BS1461" t="str">
        <f t="shared" si="91"/>
        <v>N/A</v>
      </c>
      <c r="BT1461" t="s">
        <v>135</v>
      </c>
      <c r="BU1461">
        <v>12</v>
      </c>
      <c r="BV1461" t="str">
        <f>"JOB OFFERED OR RELATED OCCUPATION"</f>
        <v>JOB OFFERED OR RELATED OCCUPATION</v>
      </c>
      <c r="BW1461" t="s">
        <v>131</v>
      </c>
      <c r="BX1461" t="str">
        <f>""</f>
        <v/>
      </c>
      <c r="BY1461" t="str">
        <f>""</f>
        <v/>
      </c>
      <c r="BZ1461" t="str">
        <f>""</f>
        <v/>
      </c>
      <c r="CA1461" t="str">
        <f>""</f>
        <v/>
      </c>
      <c r="CB1461" t="s">
        <v>135</v>
      </c>
      <c r="CC1461" t="s">
        <v>133</v>
      </c>
      <c r="CE1461" t="s">
        <v>5390</v>
      </c>
      <c r="CF1461" t="s">
        <v>131</v>
      </c>
      <c r="CH1461" t="str">
        <f t="shared" ref="CH1461:CH1467" si="92">"N/A"</f>
        <v>N/A</v>
      </c>
      <c r="CI1461" t="s">
        <v>135</v>
      </c>
      <c r="CJ1461">
        <v>60</v>
      </c>
      <c r="CK1461" t="s">
        <v>135</v>
      </c>
      <c r="CL1461" t="str">
        <f>""</f>
        <v/>
      </c>
      <c r="CM1461" t="str">
        <f>""</f>
        <v/>
      </c>
      <c r="CN1461" t="str">
        <f>""</f>
        <v/>
      </c>
      <c r="CO1461" t="s">
        <v>4347</v>
      </c>
      <c r="CP1461" t="str">
        <f>"15-1199.01"</f>
        <v>15-1199.01</v>
      </c>
      <c r="CQ1461" t="s">
        <v>308</v>
      </c>
      <c r="CR1461" t="s">
        <v>15548</v>
      </c>
      <c r="CS1461" t="s">
        <v>131</v>
      </c>
      <c r="CU1461" t="s">
        <v>12731</v>
      </c>
      <c r="CV1461" t="s">
        <v>15549</v>
      </c>
      <c r="CW1461" t="s">
        <v>5448</v>
      </c>
      <c r="CX1461" t="s">
        <v>511</v>
      </c>
      <c r="CZ1461" s="3" t="str">
        <f>"48108"</f>
        <v>48108</v>
      </c>
      <c r="DA1461" t="s">
        <v>131</v>
      </c>
      <c r="DB1461" t="str">
        <f>""</f>
        <v/>
      </c>
      <c r="DF1461" t="str">
        <f>""</f>
        <v/>
      </c>
    </row>
    <row r="1462" spans="1:110" ht="15" customHeight="1" x14ac:dyDescent="0.35">
      <c r="A1462" t="s">
        <v>10315</v>
      </c>
      <c r="B1462" t="s">
        <v>138</v>
      </c>
      <c r="C1462" s="1">
        <v>44330</v>
      </c>
      <c r="G1462" s="1">
        <v>44350</v>
      </c>
      <c r="H1462" t="s">
        <v>125</v>
      </c>
      <c r="I1462" t="s">
        <v>838</v>
      </c>
      <c r="J1462" t="s">
        <v>839</v>
      </c>
      <c r="K1462" t="s">
        <v>840</v>
      </c>
      <c r="L1462" t="s">
        <v>2565</v>
      </c>
      <c r="M1462" t="s">
        <v>841</v>
      </c>
      <c r="N1462" t="s">
        <v>842</v>
      </c>
      <c r="O1462" t="s">
        <v>843</v>
      </c>
      <c r="P1462" t="s">
        <v>273</v>
      </c>
      <c r="Q1462" s="3">
        <v>7080</v>
      </c>
      <c r="R1462" t="s">
        <v>128</v>
      </c>
      <c r="T1462" s="4">
        <v>17328327978</v>
      </c>
      <c r="V1462" t="s">
        <v>844</v>
      </c>
      <c r="W1462" t="s">
        <v>10316</v>
      </c>
      <c r="Y1462" t="s">
        <v>5199</v>
      </c>
      <c r="Z1462" t="s">
        <v>5200</v>
      </c>
      <c r="AA1462" t="s">
        <v>3387</v>
      </c>
      <c r="AB1462" t="s">
        <v>276</v>
      </c>
      <c r="AC1462" s="3" t="str">
        <f>"08619"</f>
        <v>08619</v>
      </c>
      <c r="AD1462" t="s">
        <v>128</v>
      </c>
      <c r="AF1462" s="4">
        <v>16098485700</v>
      </c>
      <c r="AH1462" t="str">
        <f>"541511"</f>
        <v>541511</v>
      </c>
      <c r="AI1462" t="s">
        <v>130</v>
      </c>
      <c r="AJ1462" t="s">
        <v>838</v>
      </c>
      <c r="AK1462" t="s">
        <v>839</v>
      </c>
      <c r="AL1462" t="s">
        <v>840</v>
      </c>
      <c r="AM1462" t="s">
        <v>841</v>
      </c>
      <c r="AN1462" t="s">
        <v>842</v>
      </c>
      <c r="AO1462" t="s">
        <v>843</v>
      </c>
      <c r="AP1462" t="s">
        <v>276</v>
      </c>
      <c r="AQ1462" s="5">
        <v>7080</v>
      </c>
      <c r="AR1462" t="s">
        <v>128</v>
      </c>
      <c r="AT1462" s="4">
        <v>17328327978</v>
      </c>
      <c r="AV1462" t="s">
        <v>844</v>
      </c>
      <c r="AW1462" t="s">
        <v>10317</v>
      </c>
      <c r="AX1462" t="s">
        <v>131</v>
      </c>
      <c r="AY1462" t="s">
        <v>131</v>
      </c>
      <c r="AZ1462" t="s">
        <v>131</v>
      </c>
      <c r="BA1462" t="s">
        <v>131</v>
      </c>
      <c r="BB1462" t="s">
        <v>131</v>
      </c>
      <c r="BC1462" t="s">
        <v>131</v>
      </c>
      <c r="BD1462" t="s">
        <v>131</v>
      </c>
      <c r="BE1462" t="s">
        <v>132</v>
      </c>
      <c r="BH1462" t="s">
        <v>500</v>
      </c>
      <c r="BI1462" t="s">
        <v>131</v>
      </c>
      <c r="BL1462" t="s">
        <v>188</v>
      </c>
      <c r="BN1462" t="s">
        <v>5201</v>
      </c>
      <c r="BO1462" t="s">
        <v>131</v>
      </c>
      <c r="BP1462" t="s">
        <v>134</v>
      </c>
      <c r="BQ1462" t="s">
        <v>131</v>
      </c>
      <c r="BS1462" t="str">
        <f t="shared" si="91"/>
        <v>N/A</v>
      </c>
      <c r="BT1462" t="s">
        <v>135</v>
      </c>
      <c r="BU1462">
        <v>12</v>
      </c>
      <c r="BV1462" t="str">
        <f>"JOB OFFERED OR RELATED OCCUPATION"</f>
        <v>JOB OFFERED OR RELATED OCCUPATION</v>
      </c>
      <c r="BW1462" t="s">
        <v>131</v>
      </c>
      <c r="BX1462" t="str">
        <f>""</f>
        <v/>
      </c>
      <c r="BY1462" t="str">
        <f>""</f>
        <v/>
      </c>
      <c r="BZ1462" t="str">
        <f>""</f>
        <v/>
      </c>
      <c r="CA1462" t="str">
        <f>""</f>
        <v/>
      </c>
      <c r="CB1462" t="s">
        <v>135</v>
      </c>
      <c r="CC1462" t="s">
        <v>133</v>
      </c>
      <c r="CE1462" t="s">
        <v>5201</v>
      </c>
      <c r="CF1462" t="s">
        <v>131</v>
      </c>
      <c r="CH1462" t="str">
        <f t="shared" si="92"/>
        <v>N/A</v>
      </c>
      <c r="CI1462" t="s">
        <v>135</v>
      </c>
      <c r="CJ1462">
        <v>60</v>
      </c>
      <c r="CK1462" t="s">
        <v>135</v>
      </c>
      <c r="CL1462" t="str">
        <f>""</f>
        <v/>
      </c>
      <c r="CM1462" t="str">
        <f>""</f>
        <v/>
      </c>
      <c r="CN1462" t="str">
        <f>""</f>
        <v/>
      </c>
      <c r="CO1462" t="s">
        <v>4865</v>
      </c>
      <c r="CP1462" t="str">
        <f t="shared" ref="CP1462:CP1467" si="93">"15-1132.00"</f>
        <v>15-1132.00</v>
      </c>
      <c r="CQ1462" t="s">
        <v>198</v>
      </c>
      <c r="CR1462" t="s">
        <v>10318</v>
      </c>
      <c r="CS1462" t="s">
        <v>131</v>
      </c>
      <c r="CU1462" t="s">
        <v>5199</v>
      </c>
      <c r="CV1462" t="s">
        <v>5204</v>
      </c>
      <c r="CW1462" t="s">
        <v>3387</v>
      </c>
      <c r="CX1462" t="s">
        <v>276</v>
      </c>
      <c r="CZ1462" s="3" t="str">
        <f>"08619"</f>
        <v>08619</v>
      </c>
      <c r="DA1462" t="s">
        <v>131</v>
      </c>
      <c r="DB1462" t="str">
        <f>""</f>
        <v/>
      </c>
      <c r="DF1462" t="str">
        <f>""</f>
        <v/>
      </c>
    </row>
    <row r="1463" spans="1:110" ht="15" customHeight="1" x14ac:dyDescent="0.35">
      <c r="A1463" t="s">
        <v>15081</v>
      </c>
      <c r="B1463" t="s">
        <v>138</v>
      </c>
      <c r="C1463" s="1">
        <v>44330</v>
      </c>
      <c r="G1463" s="1">
        <v>44350</v>
      </c>
      <c r="H1463" t="s">
        <v>125</v>
      </c>
      <c r="I1463" t="s">
        <v>838</v>
      </c>
      <c r="J1463" t="s">
        <v>839</v>
      </c>
      <c r="K1463" t="s">
        <v>840</v>
      </c>
      <c r="L1463" t="s">
        <v>2565</v>
      </c>
      <c r="M1463" t="s">
        <v>841</v>
      </c>
      <c r="N1463" t="s">
        <v>842</v>
      </c>
      <c r="O1463" t="s">
        <v>843</v>
      </c>
      <c r="P1463" t="s">
        <v>273</v>
      </c>
      <c r="Q1463" s="3">
        <v>7080</v>
      </c>
      <c r="R1463" t="s">
        <v>128</v>
      </c>
      <c r="T1463" s="4">
        <v>17328327978</v>
      </c>
      <c r="V1463" t="s">
        <v>844</v>
      </c>
      <c r="W1463" t="s">
        <v>10316</v>
      </c>
      <c r="Y1463" t="s">
        <v>5199</v>
      </c>
      <c r="Z1463" t="s">
        <v>5200</v>
      </c>
      <c r="AA1463" t="s">
        <v>3387</v>
      </c>
      <c r="AB1463" t="s">
        <v>276</v>
      </c>
      <c r="AC1463" s="3" t="str">
        <f>"08619"</f>
        <v>08619</v>
      </c>
      <c r="AD1463" t="s">
        <v>128</v>
      </c>
      <c r="AF1463" s="4">
        <v>16098485700</v>
      </c>
      <c r="AH1463" t="str">
        <f>"541511"</f>
        <v>541511</v>
      </c>
      <c r="AI1463" t="s">
        <v>130</v>
      </c>
      <c r="AJ1463" t="s">
        <v>838</v>
      </c>
      <c r="AK1463" t="s">
        <v>839</v>
      </c>
      <c r="AL1463" t="s">
        <v>840</v>
      </c>
      <c r="AM1463" t="s">
        <v>841</v>
      </c>
      <c r="AN1463" t="s">
        <v>842</v>
      </c>
      <c r="AO1463" t="s">
        <v>843</v>
      </c>
      <c r="AP1463" t="s">
        <v>276</v>
      </c>
      <c r="AQ1463" s="5">
        <v>7080</v>
      </c>
      <c r="AR1463" t="s">
        <v>128</v>
      </c>
      <c r="AT1463" s="4">
        <v>17328327978</v>
      </c>
      <c r="AV1463" t="s">
        <v>844</v>
      </c>
      <c r="AW1463" t="s">
        <v>4863</v>
      </c>
      <c r="AX1463" t="s">
        <v>131</v>
      </c>
      <c r="AY1463" t="s">
        <v>131</v>
      </c>
      <c r="AZ1463" t="s">
        <v>131</v>
      </c>
      <c r="BA1463" t="s">
        <v>131</v>
      </c>
      <c r="BB1463" t="s">
        <v>131</v>
      </c>
      <c r="BC1463" t="s">
        <v>131</v>
      </c>
      <c r="BD1463" t="s">
        <v>131</v>
      </c>
      <c r="BE1463" t="s">
        <v>132</v>
      </c>
      <c r="BH1463" t="s">
        <v>846</v>
      </c>
      <c r="BI1463" t="s">
        <v>131</v>
      </c>
      <c r="BL1463" t="s">
        <v>188</v>
      </c>
      <c r="BN1463" t="s">
        <v>5201</v>
      </c>
      <c r="BO1463" t="s">
        <v>131</v>
      </c>
      <c r="BP1463" t="s">
        <v>134</v>
      </c>
      <c r="BQ1463" t="s">
        <v>131</v>
      </c>
      <c r="BS1463" t="str">
        <f t="shared" si="91"/>
        <v>N/A</v>
      </c>
      <c r="BT1463" t="s">
        <v>135</v>
      </c>
      <c r="BU1463">
        <v>12</v>
      </c>
      <c r="BV1463" t="str">
        <f>"JOB OFFERED OR RELATED OCCUPATION"</f>
        <v>JOB OFFERED OR RELATED OCCUPATION</v>
      </c>
      <c r="BW1463" t="s">
        <v>131</v>
      </c>
      <c r="BX1463" t="str">
        <f>""</f>
        <v/>
      </c>
      <c r="BY1463" t="str">
        <f>""</f>
        <v/>
      </c>
      <c r="BZ1463" t="str">
        <f>""</f>
        <v/>
      </c>
      <c r="CA1463" t="str">
        <f>""</f>
        <v/>
      </c>
      <c r="CB1463" t="s">
        <v>135</v>
      </c>
      <c r="CC1463" t="s">
        <v>133</v>
      </c>
      <c r="CE1463" t="s">
        <v>5201</v>
      </c>
      <c r="CF1463" t="s">
        <v>131</v>
      </c>
      <c r="CH1463" t="str">
        <f t="shared" si="92"/>
        <v>N/A</v>
      </c>
      <c r="CI1463" t="s">
        <v>135</v>
      </c>
      <c r="CJ1463">
        <v>60</v>
      </c>
      <c r="CK1463" t="s">
        <v>135</v>
      </c>
      <c r="CL1463" t="str">
        <f>""</f>
        <v/>
      </c>
      <c r="CM1463" t="str">
        <f>""</f>
        <v/>
      </c>
      <c r="CN1463" t="str">
        <f>""</f>
        <v/>
      </c>
      <c r="CO1463" t="s">
        <v>5202</v>
      </c>
      <c r="CP1463" t="str">
        <f t="shared" si="93"/>
        <v>15-1132.00</v>
      </c>
      <c r="CQ1463" t="s">
        <v>198</v>
      </c>
      <c r="CR1463" t="s">
        <v>2509</v>
      </c>
      <c r="CS1463" t="s">
        <v>131</v>
      </c>
      <c r="CU1463" t="s">
        <v>5199</v>
      </c>
      <c r="CV1463" t="s">
        <v>5204</v>
      </c>
      <c r="CW1463" t="s">
        <v>3387</v>
      </c>
      <c r="CX1463" t="s">
        <v>276</v>
      </c>
      <c r="CZ1463" s="3" t="str">
        <f>"08619"</f>
        <v>08619</v>
      </c>
      <c r="DA1463" t="s">
        <v>131</v>
      </c>
      <c r="DB1463" t="str">
        <f>""</f>
        <v/>
      </c>
      <c r="DF1463" t="str">
        <f>""</f>
        <v/>
      </c>
    </row>
    <row r="1464" spans="1:110" ht="15" customHeight="1" x14ac:dyDescent="0.35">
      <c r="A1464" t="s">
        <v>18944</v>
      </c>
      <c r="B1464" t="s">
        <v>138</v>
      </c>
      <c r="C1464" s="1">
        <v>44330</v>
      </c>
      <c r="G1464" s="1">
        <v>44350</v>
      </c>
      <c r="H1464" t="s">
        <v>125</v>
      </c>
      <c r="I1464" t="s">
        <v>838</v>
      </c>
      <c r="J1464" t="s">
        <v>839</v>
      </c>
      <c r="K1464" t="s">
        <v>840</v>
      </c>
      <c r="L1464" t="s">
        <v>2565</v>
      </c>
      <c r="M1464" t="s">
        <v>841</v>
      </c>
      <c r="N1464" t="s">
        <v>842</v>
      </c>
      <c r="O1464" t="s">
        <v>843</v>
      </c>
      <c r="P1464" t="s">
        <v>273</v>
      </c>
      <c r="Q1464" s="3">
        <v>7080</v>
      </c>
      <c r="R1464" t="s">
        <v>128</v>
      </c>
      <c r="T1464" s="4">
        <v>17328327978</v>
      </c>
      <c r="V1464" t="s">
        <v>844</v>
      </c>
      <c r="W1464" t="s">
        <v>10316</v>
      </c>
      <c r="Y1464" t="s">
        <v>5199</v>
      </c>
      <c r="Z1464" t="s">
        <v>5200</v>
      </c>
      <c r="AA1464" t="s">
        <v>3387</v>
      </c>
      <c r="AB1464" t="s">
        <v>276</v>
      </c>
      <c r="AC1464" s="3" t="str">
        <f>"08619"</f>
        <v>08619</v>
      </c>
      <c r="AD1464" t="s">
        <v>128</v>
      </c>
      <c r="AF1464" s="4">
        <v>16098485700</v>
      </c>
      <c r="AH1464" t="str">
        <f>"541511"</f>
        <v>541511</v>
      </c>
      <c r="AI1464" t="s">
        <v>130</v>
      </c>
      <c r="AJ1464" t="s">
        <v>838</v>
      </c>
      <c r="AK1464" t="s">
        <v>839</v>
      </c>
      <c r="AL1464" t="s">
        <v>840</v>
      </c>
      <c r="AM1464" t="s">
        <v>841</v>
      </c>
      <c r="AN1464" t="s">
        <v>842</v>
      </c>
      <c r="AO1464" t="s">
        <v>843</v>
      </c>
      <c r="AP1464" t="s">
        <v>276</v>
      </c>
      <c r="AQ1464" s="5">
        <v>7080</v>
      </c>
      <c r="AR1464" t="s">
        <v>128</v>
      </c>
      <c r="AT1464" s="4">
        <v>17328327978</v>
      </c>
      <c r="AV1464" t="s">
        <v>844</v>
      </c>
      <c r="AW1464" t="s">
        <v>4863</v>
      </c>
      <c r="AX1464" t="s">
        <v>131</v>
      </c>
      <c r="AY1464" t="s">
        <v>131</v>
      </c>
      <c r="AZ1464" t="s">
        <v>131</v>
      </c>
      <c r="BA1464" t="s">
        <v>131</v>
      </c>
      <c r="BB1464" t="s">
        <v>131</v>
      </c>
      <c r="BC1464" t="s">
        <v>131</v>
      </c>
      <c r="BD1464" t="s">
        <v>131</v>
      </c>
      <c r="BE1464" t="s">
        <v>132</v>
      </c>
      <c r="BH1464" t="s">
        <v>846</v>
      </c>
      <c r="BI1464" t="s">
        <v>131</v>
      </c>
      <c r="BL1464" t="s">
        <v>188</v>
      </c>
      <c r="BN1464" t="s">
        <v>5201</v>
      </c>
      <c r="BO1464" t="s">
        <v>131</v>
      </c>
      <c r="BP1464" t="s">
        <v>134</v>
      </c>
      <c r="BQ1464" t="s">
        <v>131</v>
      </c>
      <c r="BS1464" t="str">
        <f t="shared" si="91"/>
        <v>N/A</v>
      </c>
      <c r="BT1464" t="s">
        <v>135</v>
      </c>
      <c r="BU1464">
        <v>12</v>
      </c>
      <c r="BV1464" t="str">
        <f>"JOB OFFERED OR RELATED OCCUPATION"</f>
        <v>JOB OFFERED OR RELATED OCCUPATION</v>
      </c>
      <c r="BW1464" t="s">
        <v>131</v>
      </c>
      <c r="BX1464" t="str">
        <f>""</f>
        <v/>
      </c>
      <c r="BY1464" t="str">
        <f>""</f>
        <v/>
      </c>
      <c r="BZ1464" t="str">
        <f>""</f>
        <v/>
      </c>
      <c r="CA1464" t="str">
        <f>""</f>
        <v/>
      </c>
      <c r="CB1464" t="s">
        <v>135</v>
      </c>
      <c r="CC1464" t="s">
        <v>133</v>
      </c>
      <c r="CE1464" t="s">
        <v>5201</v>
      </c>
      <c r="CF1464" t="s">
        <v>131</v>
      </c>
      <c r="CH1464" t="str">
        <f t="shared" si="92"/>
        <v>N/A</v>
      </c>
      <c r="CI1464" t="s">
        <v>135</v>
      </c>
      <c r="CJ1464">
        <v>60</v>
      </c>
      <c r="CK1464" t="s">
        <v>135</v>
      </c>
      <c r="CL1464" t="str">
        <f>""</f>
        <v/>
      </c>
      <c r="CM1464" t="str">
        <f>""</f>
        <v/>
      </c>
      <c r="CN1464" t="str">
        <f>""</f>
        <v/>
      </c>
      <c r="CO1464" t="s">
        <v>5202</v>
      </c>
      <c r="CP1464" t="str">
        <f t="shared" si="93"/>
        <v>15-1132.00</v>
      </c>
      <c r="CQ1464" t="s">
        <v>198</v>
      </c>
      <c r="CR1464" t="s">
        <v>849</v>
      </c>
      <c r="CS1464" t="s">
        <v>131</v>
      </c>
      <c r="CU1464" t="s">
        <v>5199</v>
      </c>
      <c r="CV1464" t="s">
        <v>5204</v>
      </c>
      <c r="CW1464" t="s">
        <v>3387</v>
      </c>
      <c r="CX1464" t="s">
        <v>276</v>
      </c>
      <c r="CZ1464" s="3" t="str">
        <f>"08619"</f>
        <v>08619</v>
      </c>
      <c r="DA1464" t="s">
        <v>131</v>
      </c>
      <c r="DB1464" t="str">
        <f>""</f>
        <v/>
      </c>
      <c r="DF1464" t="str">
        <f>""</f>
        <v/>
      </c>
    </row>
    <row r="1465" spans="1:110" ht="15" customHeight="1" x14ac:dyDescent="0.35">
      <c r="A1465" t="s">
        <v>6588</v>
      </c>
      <c r="B1465" t="s">
        <v>138</v>
      </c>
      <c r="C1465" s="1">
        <v>44330</v>
      </c>
      <c r="G1465" s="1">
        <v>44350</v>
      </c>
      <c r="H1465" t="s">
        <v>125</v>
      </c>
      <c r="I1465" t="s">
        <v>838</v>
      </c>
      <c r="J1465" t="s">
        <v>839</v>
      </c>
      <c r="K1465" t="s">
        <v>840</v>
      </c>
      <c r="L1465" t="s">
        <v>2565</v>
      </c>
      <c r="M1465" t="s">
        <v>841</v>
      </c>
      <c r="N1465" t="s">
        <v>842</v>
      </c>
      <c r="O1465" t="s">
        <v>843</v>
      </c>
      <c r="P1465" t="s">
        <v>273</v>
      </c>
      <c r="Q1465" s="3">
        <v>7080</v>
      </c>
      <c r="R1465" t="s">
        <v>128</v>
      </c>
      <c r="T1465" s="4">
        <v>17328327978</v>
      </c>
      <c r="V1465" t="s">
        <v>844</v>
      </c>
      <c r="W1465" t="s">
        <v>6589</v>
      </c>
      <c r="Y1465" t="s">
        <v>6590</v>
      </c>
      <c r="Z1465" t="s">
        <v>6591</v>
      </c>
      <c r="AA1465" t="s">
        <v>6592</v>
      </c>
      <c r="AB1465" t="s">
        <v>306</v>
      </c>
      <c r="AC1465" s="3" t="str">
        <f>"20166"</f>
        <v>20166</v>
      </c>
      <c r="AD1465" t="s">
        <v>128</v>
      </c>
      <c r="AF1465" s="4">
        <v>18452568585</v>
      </c>
      <c r="AH1465" t="str">
        <f>"541511"</f>
        <v>541511</v>
      </c>
      <c r="AI1465" t="s">
        <v>130</v>
      </c>
      <c r="AJ1465" t="s">
        <v>838</v>
      </c>
      <c r="AK1465" t="s">
        <v>839</v>
      </c>
      <c r="AL1465" t="s">
        <v>840</v>
      </c>
      <c r="AM1465" t="s">
        <v>841</v>
      </c>
      <c r="AN1465" t="s">
        <v>842</v>
      </c>
      <c r="AO1465" t="s">
        <v>843</v>
      </c>
      <c r="AP1465" t="s">
        <v>276</v>
      </c>
      <c r="AQ1465" s="5">
        <v>7080</v>
      </c>
      <c r="AR1465" t="s">
        <v>128</v>
      </c>
      <c r="AT1465" s="4">
        <v>17324765277</v>
      </c>
      <c r="AV1465" t="s">
        <v>844</v>
      </c>
      <c r="AW1465" t="s">
        <v>4863</v>
      </c>
      <c r="AX1465" t="s">
        <v>131</v>
      </c>
      <c r="AY1465" t="s">
        <v>131</v>
      </c>
      <c r="AZ1465" t="s">
        <v>131</v>
      </c>
      <c r="BA1465" t="s">
        <v>131</v>
      </c>
      <c r="BB1465" t="s">
        <v>131</v>
      </c>
      <c r="BC1465" t="s">
        <v>131</v>
      </c>
      <c r="BD1465" t="s">
        <v>131</v>
      </c>
      <c r="BE1465" t="s">
        <v>132</v>
      </c>
      <c r="BH1465" t="s">
        <v>846</v>
      </c>
      <c r="BI1465" t="s">
        <v>131</v>
      </c>
      <c r="BL1465" t="s">
        <v>188</v>
      </c>
      <c r="BN1465" t="s">
        <v>5390</v>
      </c>
      <c r="BO1465" t="s">
        <v>131</v>
      </c>
      <c r="BP1465" t="s">
        <v>134</v>
      </c>
      <c r="BQ1465" t="s">
        <v>131</v>
      </c>
      <c r="BS1465" t="str">
        <f t="shared" si="91"/>
        <v>N/A</v>
      </c>
      <c r="BT1465" t="s">
        <v>135</v>
      </c>
      <c r="BU1465">
        <v>12</v>
      </c>
      <c r="BV1465" t="str">
        <f>"JOB OFFERED OR RELATED OCCUPATION"</f>
        <v>JOB OFFERED OR RELATED OCCUPATION</v>
      </c>
      <c r="BW1465" t="s">
        <v>131</v>
      </c>
      <c r="BX1465" t="str">
        <f>""</f>
        <v/>
      </c>
      <c r="BY1465" t="str">
        <f>""</f>
        <v/>
      </c>
      <c r="BZ1465" t="str">
        <f>""</f>
        <v/>
      </c>
      <c r="CA1465" t="str">
        <f>""</f>
        <v/>
      </c>
      <c r="CB1465" t="s">
        <v>135</v>
      </c>
      <c r="CC1465" t="s">
        <v>133</v>
      </c>
      <c r="CE1465" t="s">
        <v>5390</v>
      </c>
      <c r="CF1465" t="s">
        <v>131</v>
      </c>
      <c r="CH1465" t="str">
        <f t="shared" si="92"/>
        <v>N/A</v>
      </c>
      <c r="CI1465" t="s">
        <v>135</v>
      </c>
      <c r="CJ1465">
        <v>60</v>
      </c>
      <c r="CK1465" t="s">
        <v>135</v>
      </c>
      <c r="CL1465" t="str">
        <f>""</f>
        <v/>
      </c>
      <c r="CM1465" t="str">
        <f>""</f>
        <v/>
      </c>
      <c r="CN1465" t="str">
        <f>""</f>
        <v/>
      </c>
      <c r="CO1465" t="s">
        <v>4347</v>
      </c>
      <c r="CP1465" t="str">
        <f t="shared" si="93"/>
        <v>15-1132.00</v>
      </c>
      <c r="CQ1465" t="s">
        <v>198</v>
      </c>
      <c r="CR1465" t="s">
        <v>849</v>
      </c>
      <c r="CS1465" t="s">
        <v>131</v>
      </c>
      <c r="CU1465" t="s">
        <v>6593</v>
      </c>
      <c r="CV1465" t="s">
        <v>6594</v>
      </c>
      <c r="CW1465" t="s">
        <v>6592</v>
      </c>
      <c r="CX1465" t="s">
        <v>306</v>
      </c>
      <c r="CZ1465" s="3" t="str">
        <f>"20166"</f>
        <v>20166</v>
      </c>
      <c r="DA1465" t="s">
        <v>131</v>
      </c>
      <c r="DB1465" t="str">
        <f>""</f>
        <v/>
      </c>
      <c r="DF1465" t="str">
        <f>""</f>
        <v/>
      </c>
    </row>
    <row r="1466" spans="1:110" ht="15" customHeight="1" x14ac:dyDescent="0.35">
      <c r="A1466" t="s">
        <v>16567</v>
      </c>
      <c r="B1466" t="s">
        <v>138</v>
      </c>
      <c r="C1466" s="1">
        <v>44330</v>
      </c>
      <c r="G1466" s="1">
        <v>44350</v>
      </c>
      <c r="H1466" t="s">
        <v>125</v>
      </c>
      <c r="I1466" t="s">
        <v>838</v>
      </c>
      <c r="J1466" t="s">
        <v>839</v>
      </c>
      <c r="K1466" t="s">
        <v>840</v>
      </c>
      <c r="L1466" t="s">
        <v>2565</v>
      </c>
      <c r="M1466" t="s">
        <v>841</v>
      </c>
      <c r="N1466" t="s">
        <v>842</v>
      </c>
      <c r="O1466" t="s">
        <v>843</v>
      </c>
      <c r="P1466" t="s">
        <v>273</v>
      </c>
      <c r="Q1466" s="3">
        <v>7080</v>
      </c>
      <c r="R1466" t="s">
        <v>128</v>
      </c>
      <c r="T1466" s="4">
        <v>17328327978</v>
      </c>
      <c r="V1466" t="s">
        <v>844</v>
      </c>
      <c r="W1466" t="s">
        <v>2566</v>
      </c>
      <c r="Y1466" t="s">
        <v>2567</v>
      </c>
      <c r="Z1466" t="s">
        <v>2568</v>
      </c>
      <c r="AA1466" t="s">
        <v>2569</v>
      </c>
      <c r="AB1466" t="s">
        <v>276</v>
      </c>
      <c r="AC1466" s="3" t="str">
        <f>"08536"</f>
        <v>08536</v>
      </c>
      <c r="AD1466" t="s">
        <v>128</v>
      </c>
      <c r="AF1466" s="4">
        <v>17324765277</v>
      </c>
      <c r="AH1466" t="str">
        <f>"541511"</f>
        <v>541511</v>
      </c>
      <c r="AI1466" t="s">
        <v>130</v>
      </c>
      <c r="AJ1466" t="s">
        <v>838</v>
      </c>
      <c r="AK1466" t="s">
        <v>839</v>
      </c>
      <c r="AL1466" t="s">
        <v>840</v>
      </c>
      <c r="AM1466" t="s">
        <v>841</v>
      </c>
      <c r="AN1466" t="s">
        <v>842</v>
      </c>
      <c r="AO1466" t="s">
        <v>843</v>
      </c>
      <c r="AP1466" t="s">
        <v>276</v>
      </c>
      <c r="AQ1466" s="5">
        <v>7080</v>
      </c>
      <c r="AR1466" t="s">
        <v>128</v>
      </c>
      <c r="AT1466" s="4">
        <v>17328327978</v>
      </c>
      <c r="AV1466" t="s">
        <v>844</v>
      </c>
      <c r="AW1466" t="s">
        <v>12732</v>
      </c>
      <c r="AX1466" t="s">
        <v>131</v>
      </c>
      <c r="AY1466" t="s">
        <v>131</v>
      </c>
      <c r="AZ1466" t="s">
        <v>131</v>
      </c>
      <c r="BA1466" t="s">
        <v>131</v>
      </c>
      <c r="BB1466" t="s">
        <v>131</v>
      </c>
      <c r="BC1466" t="s">
        <v>131</v>
      </c>
      <c r="BD1466" t="s">
        <v>131</v>
      </c>
      <c r="BE1466" t="s">
        <v>132</v>
      </c>
      <c r="BH1466" t="s">
        <v>1133</v>
      </c>
      <c r="BI1466" t="s">
        <v>131</v>
      </c>
      <c r="BL1466" t="s">
        <v>188</v>
      </c>
      <c r="BN1466" t="s">
        <v>11338</v>
      </c>
      <c r="BO1466" t="s">
        <v>131</v>
      </c>
      <c r="BP1466" t="s">
        <v>134</v>
      </c>
      <c r="BQ1466" t="s">
        <v>131</v>
      </c>
      <c r="BS1466" t="str">
        <f t="shared" si="91"/>
        <v>N/A</v>
      </c>
      <c r="BT1466" t="s">
        <v>131</v>
      </c>
      <c r="BV1466" t="str">
        <f>""</f>
        <v/>
      </c>
      <c r="BW1466" t="s">
        <v>131</v>
      </c>
      <c r="BX1466" t="str">
        <f>""</f>
        <v/>
      </c>
      <c r="BY1466" t="str">
        <f>""</f>
        <v/>
      </c>
      <c r="BZ1466" t="str">
        <f>""</f>
        <v/>
      </c>
      <c r="CA1466" t="str">
        <f>""</f>
        <v/>
      </c>
      <c r="CB1466" t="s">
        <v>135</v>
      </c>
      <c r="CC1466" t="s">
        <v>133</v>
      </c>
      <c r="CE1466" t="s">
        <v>11338</v>
      </c>
      <c r="CF1466" t="s">
        <v>131</v>
      </c>
      <c r="CH1466" t="str">
        <f t="shared" si="92"/>
        <v>N/A</v>
      </c>
      <c r="CI1466" t="s">
        <v>135</v>
      </c>
      <c r="CJ1466">
        <v>60</v>
      </c>
      <c r="CK1466" t="s">
        <v>135</v>
      </c>
      <c r="CL1466" t="str">
        <f>""</f>
        <v/>
      </c>
      <c r="CM1466" t="str">
        <f>""</f>
        <v/>
      </c>
      <c r="CN1466" t="str">
        <f>""</f>
        <v/>
      </c>
      <c r="CO1466" t="s">
        <v>2572</v>
      </c>
      <c r="CP1466" t="str">
        <f t="shared" si="93"/>
        <v>15-1132.00</v>
      </c>
      <c r="CQ1466" t="s">
        <v>198</v>
      </c>
      <c r="CR1466" t="s">
        <v>849</v>
      </c>
      <c r="CS1466" t="s">
        <v>131</v>
      </c>
      <c r="CU1466" t="s">
        <v>2567</v>
      </c>
      <c r="CV1466" t="s">
        <v>2573</v>
      </c>
      <c r="CW1466" t="s">
        <v>2569</v>
      </c>
      <c r="CX1466" t="s">
        <v>276</v>
      </c>
      <c r="CZ1466" s="3" t="str">
        <f>"08536"</f>
        <v>08536</v>
      </c>
      <c r="DA1466" t="s">
        <v>131</v>
      </c>
      <c r="DB1466" t="str">
        <f>""</f>
        <v/>
      </c>
      <c r="DF1466" t="str">
        <f>""</f>
        <v/>
      </c>
    </row>
    <row r="1467" spans="1:110" ht="15" customHeight="1" x14ac:dyDescent="0.35">
      <c r="A1467" t="s">
        <v>16189</v>
      </c>
      <c r="B1467" t="s">
        <v>138</v>
      </c>
      <c r="C1467" s="1">
        <v>44332</v>
      </c>
      <c r="G1467" s="1">
        <v>44332</v>
      </c>
      <c r="H1467" t="s">
        <v>125</v>
      </c>
      <c r="I1467" t="s">
        <v>16190</v>
      </c>
      <c r="J1467" t="s">
        <v>9244</v>
      </c>
      <c r="L1467" t="s">
        <v>5497</v>
      </c>
      <c r="M1467" t="s">
        <v>16191</v>
      </c>
      <c r="N1467" t="s">
        <v>788</v>
      </c>
      <c r="O1467" t="s">
        <v>16192</v>
      </c>
      <c r="P1467" t="s">
        <v>507</v>
      </c>
      <c r="Q1467" s="3">
        <v>49684</v>
      </c>
      <c r="R1467" t="s">
        <v>128</v>
      </c>
      <c r="T1467" s="4">
        <v>12319329919</v>
      </c>
      <c r="V1467" t="s">
        <v>16193</v>
      </c>
      <c r="W1467" t="s">
        <v>16194</v>
      </c>
      <c r="Y1467" t="s">
        <v>16191</v>
      </c>
      <c r="Z1467" t="s">
        <v>788</v>
      </c>
      <c r="AA1467" t="s">
        <v>16192</v>
      </c>
      <c r="AB1467" t="s">
        <v>511</v>
      </c>
      <c r="AC1467" s="3" t="str">
        <f>"49684"</f>
        <v>49684</v>
      </c>
      <c r="AD1467" t="s">
        <v>128</v>
      </c>
      <c r="AF1467" s="4">
        <v>18779229701</v>
      </c>
      <c r="AH1467" t="str">
        <f>"5241"</f>
        <v>5241</v>
      </c>
      <c r="AI1467" t="s">
        <v>130</v>
      </c>
      <c r="AJ1467" t="s">
        <v>8391</v>
      </c>
      <c r="AK1467" t="s">
        <v>260</v>
      </c>
      <c r="AL1467" t="s">
        <v>302</v>
      </c>
      <c r="AM1467" t="s">
        <v>8392</v>
      </c>
      <c r="AN1467" t="s">
        <v>2972</v>
      </c>
      <c r="AO1467" t="s">
        <v>801</v>
      </c>
      <c r="AP1467" t="s">
        <v>511</v>
      </c>
      <c r="AQ1467" s="5">
        <v>48640</v>
      </c>
      <c r="AR1467" t="s">
        <v>128</v>
      </c>
      <c r="AT1467" s="4">
        <v>19896983715</v>
      </c>
      <c r="AV1467" t="s">
        <v>8393</v>
      </c>
      <c r="AW1467" t="s">
        <v>16195</v>
      </c>
      <c r="AX1467" t="s">
        <v>131</v>
      </c>
      <c r="AY1467" t="s">
        <v>131</v>
      </c>
      <c r="AZ1467" t="s">
        <v>131</v>
      </c>
      <c r="BA1467" t="s">
        <v>131</v>
      </c>
      <c r="BB1467" t="s">
        <v>131</v>
      </c>
      <c r="BC1467" t="s">
        <v>131</v>
      </c>
      <c r="BD1467" t="s">
        <v>131</v>
      </c>
      <c r="BE1467" t="s">
        <v>132</v>
      </c>
      <c r="BH1467" t="s">
        <v>542</v>
      </c>
      <c r="BI1467" t="s">
        <v>131</v>
      </c>
      <c r="BL1467" t="s">
        <v>133</v>
      </c>
      <c r="BN1467" t="s">
        <v>6153</v>
      </c>
      <c r="BO1467" t="s">
        <v>131</v>
      </c>
      <c r="BP1467" t="s">
        <v>134</v>
      </c>
      <c r="BQ1467" t="s">
        <v>131</v>
      </c>
      <c r="BS1467" t="str">
        <f t="shared" si="91"/>
        <v>N/A</v>
      </c>
      <c r="BT1467" t="s">
        <v>131</v>
      </c>
      <c r="BV1467" t="str">
        <f>""</f>
        <v/>
      </c>
      <c r="BW1467" t="s">
        <v>131</v>
      </c>
      <c r="BX1467" t="str">
        <f>""</f>
        <v/>
      </c>
      <c r="BY1467" t="str">
        <f>""</f>
        <v/>
      </c>
      <c r="BZ1467" t="str">
        <f>""</f>
        <v/>
      </c>
      <c r="CA1467" t="str">
        <f>""</f>
        <v/>
      </c>
      <c r="CB1467" t="s">
        <v>135</v>
      </c>
      <c r="CC1467" t="s">
        <v>188</v>
      </c>
      <c r="CE1467" t="s">
        <v>16196</v>
      </c>
      <c r="CF1467" t="s">
        <v>131</v>
      </c>
      <c r="CH1467" t="str">
        <f t="shared" si="92"/>
        <v>N/A</v>
      </c>
      <c r="CI1467" t="s">
        <v>131</v>
      </c>
      <c r="CK1467" t="s">
        <v>131</v>
      </c>
      <c r="CL1467" t="str">
        <f>""</f>
        <v/>
      </c>
      <c r="CM1467" t="str">
        <f>""</f>
        <v/>
      </c>
      <c r="CN1467" t="str">
        <f>""</f>
        <v/>
      </c>
      <c r="CO1467" t="str">
        <f>""</f>
        <v/>
      </c>
      <c r="CP1467" t="str">
        <f t="shared" si="93"/>
        <v>15-1132.00</v>
      </c>
      <c r="CQ1467" t="s">
        <v>198</v>
      </c>
      <c r="CR1467" t="s">
        <v>542</v>
      </c>
      <c r="CS1467" t="s">
        <v>131</v>
      </c>
      <c r="CU1467" t="s">
        <v>16197</v>
      </c>
      <c r="CV1467" t="s">
        <v>788</v>
      </c>
      <c r="CW1467" t="s">
        <v>16192</v>
      </c>
      <c r="CX1467" t="s">
        <v>511</v>
      </c>
      <c r="CZ1467" s="3" t="str">
        <f>"49684"</f>
        <v>49684</v>
      </c>
      <c r="DA1467" t="s">
        <v>131</v>
      </c>
      <c r="DB1467" t="str">
        <f>""</f>
        <v/>
      </c>
      <c r="DF1467" t="str">
        <f>""</f>
        <v/>
      </c>
    </row>
    <row r="1468" spans="1:110" ht="15" customHeight="1" x14ac:dyDescent="0.35">
      <c r="A1468" t="s">
        <v>15422</v>
      </c>
      <c r="B1468" t="s">
        <v>138</v>
      </c>
      <c r="C1468" s="1">
        <v>44332</v>
      </c>
      <c r="G1468" s="1">
        <v>44332</v>
      </c>
      <c r="H1468" t="s">
        <v>125</v>
      </c>
      <c r="I1468" t="s">
        <v>12501</v>
      </c>
      <c r="J1468" t="s">
        <v>11685</v>
      </c>
      <c r="L1468" t="s">
        <v>15423</v>
      </c>
      <c r="M1468" t="s">
        <v>12502</v>
      </c>
      <c r="N1468" t="s">
        <v>554</v>
      </c>
      <c r="O1468" t="s">
        <v>12503</v>
      </c>
      <c r="P1468" t="s">
        <v>720</v>
      </c>
      <c r="Q1468" s="3">
        <v>2026</v>
      </c>
      <c r="R1468" t="s">
        <v>128</v>
      </c>
      <c r="T1468" s="4">
        <v>16173146135</v>
      </c>
      <c r="V1468" t="s">
        <v>12504</v>
      </c>
      <c r="W1468" t="s">
        <v>12505</v>
      </c>
      <c r="Y1468" t="s">
        <v>12502</v>
      </c>
      <c r="Z1468" t="s">
        <v>554</v>
      </c>
      <c r="AA1468" t="s">
        <v>12503</v>
      </c>
      <c r="AB1468" t="s">
        <v>377</v>
      </c>
      <c r="AC1468" s="3" t="str">
        <f>"02026"</f>
        <v>02026</v>
      </c>
      <c r="AD1468" t="s">
        <v>128</v>
      </c>
      <c r="AF1468" s="4">
        <v>16173146135</v>
      </c>
      <c r="AH1468" t="str">
        <f>"541512"</f>
        <v>541512</v>
      </c>
      <c r="AI1468" t="s">
        <v>130</v>
      </c>
      <c r="AJ1468" t="s">
        <v>2601</v>
      </c>
      <c r="AK1468" t="s">
        <v>260</v>
      </c>
      <c r="AM1468" t="s">
        <v>7303</v>
      </c>
      <c r="AN1468" t="s">
        <v>1256</v>
      </c>
      <c r="AO1468" t="s">
        <v>7304</v>
      </c>
      <c r="AP1468" t="s">
        <v>377</v>
      </c>
      <c r="AQ1468" s="5">
        <v>1970</v>
      </c>
      <c r="AR1468" t="s">
        <v>128</v>
      </c>
      <c r="AT1468" s="4">
        <v>19782195040</v>
      </c>
      <c r="AV1468" t="s">
        <v>2602</v>
      </c>
      <c r="AW1468" t="s">
        <v>2603</v>
      </c>
      <c r="AX1468" t="s">
        <v>131</v>
      </c>
      <c r="AY1468" t="s">
        <v>131</v>
      </c>
      <c r="AZ1468" t="s">
        <v>131</v>
      </c>
      <c r="BA1468" t="s">
        <v>131</v>
      </c>
      <c r="BB1468" t="s">
        <v>131</v>
      </c>
      <c r="BC1468" t="s">
        <v>131</v>
      </c>
      <c r="BD1468" t="s">
        <v>131</v>
      </c>
      <c r="BE1468" t="s">
        <v>132</v>
      </c>
      <c r="BH1468" t="s">
        <v>12506</v>
      </c>
      <c r="BI1468" t="s">
        <v>131</v>
      </c>
      <c r="BL1468" t="s">
        <v>188</v>
      </c>
      <c r="BN1468" t="s">
        <v>15424</v>
      </c>
      <c r="BO1468" t="s">
        <v>131</v>
      </c>
      <c r="BP1468" t="s">
        <v>134</v>
      </c>
      <c r="BQ1468" t="s">
        <v>131</v>
      </c>
      <c r="BS1468" t="str">
        <f t="shared" si="91"/>
        <v>N/A</v>
      </c>
      <c r="BT1468" t="s">
        <v>135</v>
      </c>
      <c r="BU1468">
        <v>24</v>
      </c>
      <c r="BV1468" t="str">
        <f>"Analytical/outcomes research in the biomedical or clinical domain.   
"</f>
        <v xml:space="preserve">Analytical/outcomes research in the biomedical or clinical domain.   
</v>
      </c>
      <c r="BW1468" t="s">
        <v>131</v>
      </c>
      <c r="BX1468" t="str">
        <f>""</f>
        <v/>
      </c>
      <c r="BY1468" t="str">
        <f>""</f>
        <v/>
      </c>
      <c r="BZ1468" t="str">
        <f>""</f>
        <v/>
      </c>
      <c r="CA1468" t="str">
        <f>""</f>
        <v/>
      </c>
      <c r="CB1468" t="s">
        <v>131</v>
      </c>
      <c r="CF1468" t="s">
        <v>131</v>
      </c>
      <c r="CH1468" t="str">
        <f>""</f>
        <v/>
      </c>
      <c r="CI1468" t="s">
        <v>131</v>
      </c>
      <c r="CK1468" t="s">
        <v>131</v>
      </c>
      <c r="CL1468" t="str">
        <f>""</f>
        <v/>
      </c>
      <c r="CM1468" t="str">
        <f>""</f>
        <v/>
      </c>
      <c r="CN1468" t="str">
        <f>""</f>
        <v/>
      </c>
      <c r="CO1468" t="str">
        <f>""</f>
        <v/>
      </c>
      <c r="CP1468" t="str">
        <f>"15-1199.06"</f>
        <v>15-1199.06</v>
      </c>
      <c r="CQ1468" t="s">
        <v>988</v>
      </c>
      <c r="CS1468" t="s">
        <v>131</v>
      </c>
      <c r="CU1468" t="s">
        <v>12502</v>
      </c>
      <c r="CV1468" t="s">
        <v>554</v>
      </c>
      <c r="CW1468" t="s">
        <v>12503</v>
      </c>
      <c r="CX1468" t="s">
        <v>377</v>
      </c>
      <c r="CZ1468" s="3" t="str">
        <f>"02026"</f>
        <v>02026</v>
      </c>
      <c r="DA1468" t="s">
        <v>131</v>
      </c>
      <c r="DB1468" t="str">
        <f>""</f>
        <v/>
      </c>
      <c r="DF1468" t="str">
        <f>""</f>
        <v/>
      </c>
    </row>
    <row r="1469" spans="1:110" ht="15" customHeight="1" x14ac:dyDescent="0.35">
      <c r="A1469" t="s">
        <v>17705</v>
      </c>
      <c r="B1469" t="s">
        <v>138</v>
      </c>
      <c r="C1469" s="1">
        <v>44333</v>
      </c>
      <c r="G1469" s="1">
        <v>44365</v>
      </c>
      <c r="H1469" t="s">
        <v>125</v>
      </c>
      <c r="I1469" t="s">
        <v>11403</v>
      </c>
      <c r="J1469" t="s">
        <v>3091</v>
      </c>
      <c r="L1469" t="s">
        <v>1757</v>
      </c>
      <c r="M1469" t="s">
        <v>11404</v>
      </c>
      <c r="O1469" t="s">
        <v>5088</v>
      </c>
      <c r="P1469" t="s">
        <v>178</v>
      </c>
      <c r="Q1469" s="3">
        <v>94596</v>
      </c>
      <c r="R1469" t="s">
        <v>128</v>
      </c>
      <c r="T1469" s="4">
        <v>19252320442</v>
      </c>
      <c r="V1469" t="s">
        <v>11405</v>
      </c>
      <c r="W1469" t="s">
        <v>11406</v>
      </c>
      <c r="X1469" t="s">
        <v>11407</v>
      </c>
      <c r="Y1469" t="s">
        <v>11408</v>
      </c>
      <c r="AA1469" t="s">
        <v>476</v>
      </c>
      <c r="AB1469" t="s">
        <v>172</v>
      </c>
      <c r="AC1469" s="3" t="str">
        <f>"90025"</f>
        <v>90025</v>
      </c>
      <c r="AD1469" t="s">
        <v>128</v>
      </c>
      <c r="AF1469" s="4">
        <v>13104094269</v>
      </c>
      <c r="AH1469" t="str">
        <f>"62121"</f>
        <v>62121</v>
      </c>
      <c r="AI1469" t="s">
        <v>130</v>
      </c>
      <c r="AJ1469" t="s">
        <v>11409</v>
      </c>
      <c r="AK1469" t="s">
        <v>11410</v>
      </c>
      <c r="AM1469" t="s">
        <v>11411</v>
      </c>
      <c r="AN1469" t="s">
        <v>11412</v>
      </c>
      <c r="AO1469" t="s">
        <v>4343</v>
      </c>
      <c r="AP1469" t="s">
        <v>172</v>
      </c>
      <c r="AQ1469" s="5">
        <v>94596</v>
      </c>
      <c r="AR1469" t="s">
        <v>128</v>
      </c>
      <c r="AT1469" s="4">
        <v>19252320442</v>
      </c>
      <c r="AV1469" t="s">
        <v>11413</v>
      </c>
      <c r="AW1469" t="s">
        <v>11414</v>
      </c>
      <c r="AX1469" t="s">
        <v>131</v>
      </c>
      <c r="AY1469" t="s">
        <v>131</v>
      </c>
      <c r="AZ1469" t="s">
        <v>131</v>
      </c>
      <c r="BA1469" t="s">
        <v>131</v>
      </c>
      <c r="BB1469" t="s">
        <v>131</v>
      </c>
      <c r="BC1469" t="s">
        <v>131</v>
      </c>
      <c r="BD1469" t="s">
        <v>131</v>
      </c>
      <c r="BE1469" t="s">
        <v>132</v>
      </c>
      <c r="BH1469" t="s">
        <v>4431</v>
      </c>
      <c r="BI1469" t="s">
        <v>131</v>
      </c>
      <c r="BL1469" t="s">
        <v>658</v>
      </c>
      <c r="BM1469" t="s">
        <v>4805</v>
      </c>
      <c r="BN1469" t="s">
        <v>3803</v>
      </c>
      <c r="BO1469" t="s">
        <v>131</v>
      </c>
      <c r="BP1469" t="s">
        <v>134</v>
      </c>
      <c r="BQ1469" t="s">
        <v>131</v>
      </c>
      <c r="BS1469" t="str">
        <f t="shared" si="91"/>
        <v>N/A</v>
      </c>
      <c r="BT1469" t="s">
        <v>131</v>
      </c>
      <c r="BV1469" t="str">
        <f>""</f>
        <v/>
      </c>
      <c r="BW1469" t="s">
        <v>135</v>
      </c>
      <c r="BX1469" t="str">
        <f>"Must have valid CA dental license"</f>
        <v>Must have valid CA dental license</v>
      </c>
      <c r="BY1469" t="str">
        <f>""</f>
        <v/>
      </c>
      <c r="BZ1469" t="str">
        <f>""</f>
        <v/>
      </c>
      <c r="CA1469" t="str">
        <f>""</f>
        <v/>
      </c>
      <c r="CB1469" t="s">
        <v>131</v>
      </c>
      <c r="CF1469" t="s">
        <v>131</v>
      </c>
      <c r="CH1469" t="str">
        <f>""</f>
        <v/>
      </c>
      <c r="CI1469" t="s">
        <v>131</v>
      </c>
      <c r="CK1469" t="s">
        <v>131</v>
      </c>
      <c r="CL1469" t="str">
        <f>""</f>
        <v/>
      </c>
      <c r="CM1469" t="str">
        <f>""</f>
        <v/>
      </c>
      <c r="CN1469" t="str">
        <f>""</f>
        <v/>
      </c>
      <c r="CO1469" t="str">
        <f>""</f>
        <v/>
      </c>
      <c r="CP1469" t="str">
        <f>"29-1021.00"</f>
        <v>29-1021.00</v>
      </c>
      <c r="CQ1469" t="s">
        <v>1103</v>
      </c>
      <c r="CS1469" t="s">
        <v>131</v>
      </c>
      <c r="CU1469" t="s">
        <v>11416</v>
      </c>
      <c r="CV1469" t="s">
        <v>17706</v>
      </c>
      <c r="CW1469" t="s">
        <v>11418</v>
      </c>
      <c r="CX1469" t="s">
        <v>172</v>
      </c>
      <c r="CZ1469" s="3" t="str">
        <f>"92545"</f>
        <v>92545</v>
      </c>
      <c r="DA1469" t="s">
        <v>131</v>
      </c>
      <c r="DB1469" t="str">
        <f>""</f>
        <v/>
      </c>
      <c r="DF1469" t="str">
        <f>""</f>
        <v/>
      </c>
    </row>
    <row r="1470" spans="1:110" ht="15" customHeight="1" x14ac:dyDescent="0.35">
      <c r="A1470" t="s">
        <v>15602</v>
      </c>
      <c r="B1470" t="s">
        <v>138</v>
      </c>
      <c r="C1470" s="1">
        <v>44333</v>
      </c>
      <c r="G1470" s="1">
        <v>44365</v>
      </c>
      <c r="H1470" t="s">
        <v>125</v>
      </c>
      <c r="I1470" t="s">
        <v>11403</v>
      </c>
      <c r="J1470" t="s">
        <v>3091</v>
      </c>
      <c r="L1470" t="s">
        <v>1757</v>
      </c>
      <c r="M1470" t="s">
        <v>11404</v>
      </c>
      <c r="O1470" t="s">
        <v>5088</v>
      </c>
      <c r="P1470" t="s">
        <v>178</v>
      </c>
      <c r="Q1470" s="3">
        <v>94596</v>
      </c>
      <c r="R1470" t="s">
        <v>128</v>
      </c>
      <c r="T1470" s="4">
        <v>19252320442</v>
      </c>
      <c r="V1470" t="s">
        <v>15603</v>
      </c>
      <c r="W1470" t="s">
        <v>13952</v>
      </c>
      <c r="X1470" t="s">
        <v>11407</v>
      </c>
      <c r="Y1470" t="s">
        <v>11408</v>
      </c>
      <c r="AA1470" t="s">
        <v>476</v>
      </c>
      <c r="AB1470" t="s">
        <v>172</v>
      </c>
      <c r="AC1470" s="3" t="str">
        <f>"90025"</f>
        <v>90025</v>
      </c>
      <c r="AD1470" t="s">
        <v>128</v>
      </c>
      <c r="AF1470" s="4">
        <v>13104094269</v>
      </c>
      <c r="AH1470" t="str">
        <f>"62121"</f>
        <v>62121</v>
      </c>
      <c r="AI1470" t="s">
        <v>130</v>
      </c>
      <c r="AJ1470" t="s">
        <v>11409</v>
      </c>
      <c r="AK1470" t="s">
        <v>11410</v>
      </c>
      <c r="AL1470" t="s">
        <v>795</v>
      </c>
      <c r="AM1470" t="s">
        <v>11411</v>
      </c>
      <c r="AN1470" t="s">
        <v>11412</v>
      </c>
      <c r="AO1470" t="s">
        <v>4343</v>
      </c>
      <c r="AP1470" t="s">
        <v>172</v>
      </c>
      <c r="AQ1470" s="5">
        <v>94596</v>
      </c>
      <c r="AR1470" t="s">
        <v>128</v>
      </c>
      <c r="AT1470" s="4">
        <v>19252320442</v>
      </c>
      <c r="AV1470" t="s">
        <v>11413</v>
      </c>
      <c r="AW1470" t="s">
        <v>11414</v>
      </c>
      <c r="AX1470" t="s">
        <v>131</v>
      </c>
      <c r="AY1470" t="s">
        <v>131</v>
      </c>
      <c r="AZ1470" t="s">
        <v>131</v>
      </c>
      <c r="BA1470" t="s">
        <v>131</v>
      </c>
      <c r="BB1470" t="s">
        <v>131</v>
      </c>
      <c r="BC1470" t="s">
        <v>131</v>
      </c>
      <c r="BD1470" t="s">
        <v>131</v>
      </c>
      <c r="BE1470" t="s">
        <v>132</v>
      </c>
      <c r="BH1470" t="s">
        <v>9662</v>
      </c>
      <c r="BI1470" t="s">
        <v>135</v>
      </c>
      <c r="BJ1470" t="s">
        <v>11415</v>
      </c>
      <c r="BK1470" t="s">
        <v>1103</v>
      </c>
      <c r="BL1470" t="s">
        <v>658</v>
      </c>
      <c r="BM1470" t="s">
        <v>15604</v>
      </c>
      <c r="BN1470" t="s">
        <v>3803</v>
      </c>
      <c r="BO1470" t="s">
        <v>131</v>
      </c>
      <c r="BP1470" t="s">
        <v>134</v>
      </c>
      <c r="BQ1470" t="s">
        <v>131</v>
      </c>
      <c r="BS1470" t="str">
        <f t="shared" si="91"/>
        <v>N/A</v>
      </c>
      <c r="BT1470" t="s">
        <v>131</v>
      </c>
      <c r="BV1470" t="str">
        <f>""</f>
        <v/>
      </c>
      <c r="BW1470" t="s">
        <v>135</v>
      </c>
      <c r="BX1470" t="str">
        <f>"Must have valid CA Dental License"</f>
        <v>Must have valid CA Dental License</v>
      </c>
      <c r="BY1470" t="str">
        <f>""</f>
        <v/>
      </c>
      <c r="BZ1470" t="str">
        <f>""</f>
        <v/>
      </c>
      <c r="CA1470" t="str">
        <f>""</f>
        <v/>
      </c>
      <c r="CB1470" t="s">
        <v>131</v>
      </c>
      <c r="CF1470" t="s">
        <v>131</v>
      </c>
      <c r="CH1470" t="str">
        <f>""</f>
        <v/>
      </c>
      <c r="CI1470" t="s">
        <v>131</v>
      </c>
      <c r="CK1470" t="s">
        <v>131</v>
      </c>
      <c r="CL1470" t="str">
        <f>""</f>
        <v/>
      </c>
      <c r="CM1470" t="str">
        <f>""</f>
        <v/>
      </c>
      <c r="CN1470" t="str">
        <f>""</f>
        <v/>
      </c>
      <c r="CO1470" t="str">
        <f>""</f>
        <v/>
      </c>
      <c r="CP1470" t="str">
        <f>"29-1021.00"</f>
        <v>29-1021.00</v>
      </c>
      <c r="CQ1470" t="s">
        <v>1103</v>
      </c>
      <c r="CS1470" t="s">
        <v>131</v>
      </c>
      <c r="CU1470" t="s">
        <v>11416</v>
      </c>
      <c r="CV1470" t="s">
        <v>11417</v>
      </c>
      <c r="CW1470" t="s">
        <v>11418</v>
      </c>
      <c r="CX1470" t="s">
        <v>172</v>
      </c>
      <c r="CZ1470" s="3" t="str">
        <f>"92545"</f>
        <v>92545</v>
      </c>
      <c r="DA1470" t="s">
        <v>131</v>
      </c>
      <c r="DB1470" t="str">
        <f>""</f>
        <v/>
      </c>
      <c r="DF1470" t="str">
        <f>""</f>
        <v/>
      </c>
    </row>
    <row r="1471" spans="1:110" ht="15" customHeight="1" x14ac:dyDescent="0.35">
      <c r="A1471" t="s">
        <v>13063</v>
      </c>
      <c r="B1471" t="s">
        <v>138</v>
      </c>
      <c r="C1471" s="1">
        <v>44333</v>
      </c>
      <c r="G1471" s="1">
        <v>44377</v>
      </c>
      <c r="H1471" t="s">
        <v>125</v>
      </c>
      <c r="I1471" t="s">
        <v>3311</v>
      </c>
      <c r="J1471" t="s">
        <v>3312</v>
      </c>
      <c r="L1471" t="s">
        <v>3313</v>
      </c>
      <c r="M1471" t="s">
        <v>3314</v>
      </c>
      <c r="O1471" t="s">
        <v>3315</v>
      </c>
      <c r="P1471" t="s">
        <v>178</v>
      </c>
      <c r="Q1471" s="3">
        <v>94066</v>
      </c>
      <c r="R1471" t="s">
        <v>128</v>
      </c>
      <c r="T1471" s="4">
        <v>16508375000</v>
      </c>
      <c r="V1471" t="s">
        <v>3316</v>
      </c>
      <c r="W1471" t="s">
        <v>1832</v>
      </c>
      <c r="Y1471" t="s">
        <v>1833</v>
      </c>
      <c r="Z1471" t="s">
        <v>1834</v>
      </c>
      <c r="AA1471" t="s">
        <v>1835</v>
      </c>
      <c r="AB1471" t="s">
        <v>397</v>
      </c>
      <c r="AC1471" s="3" t="str">
        <f>"72716"</f>
        <v>72716</v>
      </c>
      <c r="AD1471" t="s">
        <v>128</v>
      </c>
      <c r="AF1471" s="4">
        <v>14792731993</v>
      </c>
      <c r="AH1471" t="str">
        <f>"452210"</f>
        <v>452210</v>
      </c>
      <c r="AI1471" t="s">
        <v>130</v>
      </c>
      <c r="AJ1471" t="s">
        <v>3317</v>
      </c>
      <c r="AK1471" t="s">
        <v>789</v>
      </c>
      <c r="AM1471" t="s">
        <v>1838</v>
      </c>
      <c r="AN1471" t="s">
        <v>517</v>
      </c>
      <c r="AO1471" t="s">
        <v>129</v>
      </c>
      <c r="AP1471" t="s">
        <v>129</v>
      </c>
      <c r="AQ1471" s="5">
        <v>10018</v>
      </c>
      <c r="AR1471" t="s">
        <v>128</v>
      </c>
      <c r="AT1471" s="4">
        <v>12126888555</v>
      </c>
      <c r="AV1471" t="s">
        <v>4375</v>
      </c>
      <c r="AW1471" t="s">
        <v>1840</v>
      </c>
      <c r="AX1471" t="s">
        <v>131</v>
      </c>
      <c r="AY1471" t="s">
        <v>131</v>
      </c>
      <c r="AZ1471" t="s">
        <v>131</v>
      </c>
      <c r="BA1471" t="s">
        <v>131</v>
      </c>
      <c r="BB1471" t="s">
        <v>131</v>
      </c>
      <c r="BC1471" t="s">
        <v>131</v>
      </c>
      <c r="BD1471" t="s">
        <v>131</v>
      </c>
      <c r="BE1471" t="s">
        <v>132</v>
      </c>
      <c r="BH1471" t="s">
        <v>13064</v>
      </c>
      <c r="BI1471" t="s">
        <v>131</v>
      </c>
      <c r="BL1471" t="s">
        <v>188</v>
      </c>
      <c r="BN1471" t="s">
        <v>13065</v>
      </c>
      <c r="BO1471" t="s">
        <v>131</v>
      </c>
      <c r="BP1471" t="s">
        <v>134</v>
      </c>
      <c r="BQ1471" t="s">
        <v>131</v>
      </c>
      <c r="BS1471" t="str">
        <f t="shared" si="91"/>
        <v>N/A</v>
      </c>
      <c r="BT1471" t="s">
        <v>131</v>
      </c>
      <c r="BV1471" t="str">
        <f>""</f>
        <v/>
      </c>
      <c r="BW1471" t="s">
        <v>135</v>
      </c>
      <c r="BX1471" t="str">
        <f>""</f>
        <v/>
      </c>
      <c r="BY1471" t="str">
        <f>""</f>
        <v/>
      </c>
      <c r="BZ1471" t="str">
        <f>""</f>
        <v/>
      </c>
      <c r="CA1471" t="s">
        <v>13066</v>
      </c>
      <c r="CB1471" t="s">
        <v>135</v>
      </c>
      <c r="CC1471" t="s">
        <v>133</v>
      </c>
      <c r="CE1471" t="s">
        <v>13067</v>
      </c>
      <c r="CF1471" t="s">
        <v>131</v>
      </c>
      <c r="CH1471" t="str">
        <f>"N/A"</f>
        <v>N/A</v>
      </c>
      <c r="CI1471" t="s">
        <v>135</v>
      </c>
      <c r="CJ1471">
        <v>12</v>
      </c>
      <c r="CK1471" t="s">
        <v>135</v>
      </c>
      <c r="CL1471" t="str">
        <f>""</f>
        <v/>
      </c>
      <c r="CM1471" t="str">
        <f>""</f>
        <v/>
      </c>
      <c r="CN1471" t="str">
        <f>""</f>
        <v/>
      </c>
      <c r="CO1471" t="s">
        <v>13066</v>
      </c>
      <c r="CP1471" t="str">
        <f>"17-2112.00"</f>
        <v>17-2112.00</v>
      </c>
      <c r="CQ1471" t="s">
        <v>360</v>
      </c>
      <c r="CR1471" t="s">
        <v>13068</v>
      </c>
      <c r="CS1471" t="s">
        <v>131</v>
      </c>
      <c r="CU1471" t="s">
        <v>8911</v>
      </c>
      <c r="CW1471" t="s">
        <v>3349</v>
      </c>
      <c r="CX1471" t="s">
        <v>172</v>
      </c>
      <c r="CZ1471" s="3" t="str">
        <f>"94066"</f>
        <v>94066</v>
      </c>
      <c r="DA1471" t="s">
        <v>131</v>
      </c>
      <c r="DB1471" t="str">
        <f>""</f>
        <v/>
      </c>
      <c r="DF1471" t="str">
        <f>""</f>
        <v/>
      </c>
    </row>
    <row r="1472" spans="1:110" ht="15" customHeight="1" x14ac:dyDescent="0.35">
      <c r="A1472" t="s">
        <v>17149</v>
      </c>
      <c r="B1472" t="s">
        <v>138</v>
      </c>
      <c r="C1472" s="1">
        <v>44333</v>
      </c>
      <c r="G1472" s="1">
        <v>44333</v>
      </c>
      <c r="H1472" t="s">
        <v>125</v>
      </c>
      <c r="I1472" t="s">
        <v>7912</v>
      </c>
      <c r="J1472" t="s">
        <v>5914</v>
      </c>
      <c r="K1472" t="s">
        <v>2825</v>
      </c>
      <c r="L1472" t="s">
        <v>583</v>
      </c>
      <c r="M1472" t="s">
        <v>17150</v>
      </c>
      <c r="N1472" t="s">
        <v>134</v>
      </c>
      <c r="O1472" t="s">
        <v>5415</v>
      </c>
      <c r="P1472" t="s">
        <v>194</v>
      </c>
      <c r="Q1472" s="3">
        <v>33178</v>
      </c>
      <c r="R1472" t="s">
        <v>128</v>
      </c>
      <c r="S1472" t="s">
        <v>134</v>
      </c>
      <c r="T1472" s="4">
        <v>13058850514</v>
      </c>
      <c r="V1472" t="s">
        <v>17151</v>
      </c>
      <c r="W1472" t="s">
        <v>5915</v>
      </c>
      <c r="X1472" t="s">
        <v>2825</v>
      </c>
      <c r="Y1472" t="s">
        <v>17152</v>
      </c>
      <c r="Z1472" t="s">
        <v>2825</v>
      </c>
      <c r="AA1472" t="s">
        <v>5916</v>
      </c>
      <c r="AB1472" t="s">
        <v>195</v>
      </c>
      <c r="AC1472" s="3" t="str">
        <f>"33010"</f>
        <v>33010</v>
      </c>
      <c r="AD1472" t="s">
        <v>128</v>
      </c>
      <c r="AE1472" t="s">
        <v>134</v>
      </c>
      <c r="AF1472" s="4">
        <v>13058850514</v>
      </c>
      <c r="AG1472" t="s">
        <v>2825</v>
      </c>
      <c r="AH1472" t="str">
        <f>"425110"</f>
        <v>425110</v>
      </c>
      <c r="AI1472" t="s">
        <v>287</v>
      </c>
      <c r="AJ1472" t="s">
        <v>17153</v>
      </c>
      <c r="AK1472" t="s">
        <v>5021</v>
      </c>
      <c r="AL1472" t="s">
        <v>2374</v>
      </c>
      <c r="AM1472" t="s">
        <v>5022</v>
      </c>
      <c r="AN1472" t="s">
        <v>134</v>
      </c>
      <c r="AO1472" t="s">
        <v>5023</v>
      </c>
      <c r="AP1472" t="s">
        <v>195</v>
      </c>
      <c r="AQ1472" s="5">
        <v>33310</v>
      </c>
      <c r="AR1472" t="s">
        <v>128</v>
      </c>
      <c r="AT1472" s="4">
        <v>19546810913</v>
      </c>
      <c r="AV1472" t="s">
        <v>5024</v>
      </c>
      <c r="AW1472" t="s">
        <v>17154</v>
      </c>
      <c r="AX1472" t="s">
        <v>131</v>
      </c>
      <c r="AY1472" t="s">
        <v>131</v>
      </c>
      <c r="AZ1472" t="s">
        <v>131</v>
      </c>
      <c r="BA1472" t="s">
        <v>131</v>
      </c>
      <c r="BB1472" t="s">
        <v>131</v>
      </c>
      <c r="BC1472" t="s">
        <v>131</v>
      </c>
      <c r="BD1472" t="s">
        <v>131</v>
      </c>
      <c r="BE1472" t="s">
        <v>132</v>
      </c>
      <c r="BH1472" t="s">
        <v>5917</v>
      </c>
      <c r="BI1472" t="s">
        <v>131</v>
      </c>
      <c r="BL1472" t="s">
        <v>133</v>
      </c>
      <c r="BN1472" t="s">
        <v>17155</v>
      </c>
      <c r="BO1472" t="s">
        <v>131</v>
      </c>
      <c r="BP1472" t="s">
        <v>134</v>
      </c>
      <c r="BQ1472" t="s">
        <v>131</v>
      </c>
      <c r="BS1472" t="str">
        <f t="shared" si="91"/>
        <v>N/A</v>
      </c>
      <c r="BT1472" t="s">
        <v>131</v>
      </c>
      <c r="BV1472" t="str">
        <f>""</f>
        <v/>
      </c>
      <c r="BW1472" t="s">
        <v>131</v>
      </c>
      <c r="BX1472" t="str">
        <f>""</f>
        <v/>
      </c>
      <c r="BY1472" t="str">
        <f>""</f>
        <v/>
      </c>
      <c r="BZ1472" t="str">
        <f>""</f>
        <v/>
      </c>
      <c r="CA1472" t="str">
        <f>""</f>
        <v/>
      </c>
      <c r="CB1472" t="s">
        <v>131</v>
      </c>
      <c r="CF1472" t="s">
        <v>131</v>
      </c>
      <c r="CH1472" t="str">
        <f>""</f>
        <v/>
      </c>
      <c r="CI1472" t="s">
        <v>131</v>
      </c>
      <c r="CK1472" t="s">
        <v>131</v>
      </c>
      <c r="CL1472" t="str">
        <f>""</f>
        <v/>
      </c>
      <c r="CM1472" t="str">
        <f>""</f>
        <v/>
      </c>
      <c r="CN1472" t="str">
        <f>""</f>
        <v/>
      </c>
      <c r="CO1472" t="str">
        <f>""</f>
        <v/>
      </c>
      <c r="CP1472" t="str">
        <f>"43-4161.00"</f>
        <v>43-4161.00</v>
      </c>
      <c r="CQ1472" t="s">
        <v>2378</v>
      </c>
      <c r="CR1472" t="s">
        <v>17156</v>
      </c>
      <c r="CS1472" t="s">
        <v>131</v>
      </c>
      <c r="CU1472" t="s">
        <v>5918</v>
      </c>
      <c r="CV1472" t="s">
        <v>134</v>
      </c>
      <c r="CW1472" t="s">
        <v>5916</v>
      </c>
      <c r="CX1472" t="s">
        <v>195</v>
      </c>
      <c r="CZ1472" s="3" t="str">
        <f>"33010"</f>
        <v>33010</v>
      </c>
      <c r="DA1472" t="s">
        <v>131</v>
      </c>
      <c r="DB1472" t="str">
        <f>""</f>
        <v/>
      </c>
      <c r="DF1472" t="str">
        <f>""</f>
        <v/>
      </c>
    </row>
    <row r="1473" spans="1:110" ht="15" customHeight="1" x14ac:dyDescent="0.35">
      <c r="A1473" t="s">
        <v>6881</v>
      </c>
      <c r="B1473" t="s">
        <v>138</v>
      </c>
      <c r="C1473" s="1">
        <v>44333</v>
      </c>
      <c r="G1473" s="1">
        <v>44336</v>
      </c>
      <c r="H1473" t="s">
        <v>125</v>
      </c>
      <c r="I1473" t="s">
        <v>3846</v>
      </c>
      <c r="J1473" t="s">
        <v>3847</v>
      </c>
      <c r="L1473" t="s">
        <v>3848</v>
      </c>
      <c r="M1473" t="s">
        <v>3849</v>
      </c>
      <c r="N1473" t="s">
        <v>3850</v>
      </c>
      <c r="O1473" t="s">
        <v>1479</v>
      </c>
      <c r="P1473" t="s">
        <v>273</v>
      </c>
      <c r="Q1473" s="3">
        <v>8817</v>
      </c>
      <c r="R1473" t="s">
        <v>128</v>
      </c>
      <c r="T1473" s="4">
        <v>12012708468</v>
      </c>
      <c r="V1473" t="s">
        <v>3851</v>
      </c>
      <c r="W1473" t="s">
        <v>3852</v>
      </c>
      <c r="Y1473" t="s">
        <v>3849</v>
      </c>
      <c r="Z1473" t="s">
        <v>3850</v>
      </c>
      <c r="AA1473" t="s">
        <v>1479</v>
      </c>
      <c r="AB1473" t="s">
        <v>276</v>
      </c>
      <c r="AC1473" s="3" t="str">
        <f>"08817"</f>
        <v>08817</v>
      </c>
      <c r="AD1473" t="s">
        <v>128</v>
      </c>
      <c r="AE1473" t="s">
        <v>276</v>
      </c>
      <c r="AF1473" s="4">
        <v>17322486112</v>
      </c>
      <c r="AH1473" t="str">
        <f>"54151"</f>
        <v>54151</v>
      </c>
      <c r="AI1473" t="s">
        <v>130</v>
      </c>
      <c r="AJ1473" t="s">
        <v>3853</v>
      </c>
      <c r="AK1473" t="s">
        <v>3854</v>
      </c>
      <c r="AL1473" t="s">
        <v>314</v>
      </c>
      <c r="AM1473" t="s">
        <v>2851</v>
      </c>
      <c r="AO1473" t="s">
        <v>1730</v>
      </c>
      <c r="AP1473" t="s">
        <v>276</v>
      </c>
      <c r="AQ1473" s="5">
        <v>8837</v>
      </c>
      <c r="AR1473" t="s">
        <v>128</v>
      </c>
      <c r="AT1473" s="4">
        <v>17322058600</v>
      </c>
      <c r="AV1473" t="s">
        <v>3855</v>
      </c>
      <c r="AW1473" t="s">
        <v>2852</v>
      </c>
      <c r="AX1473" t="s">
        <v>131</v>
      </c>
      <c r="AY1473" t="s">
        <v>131</v>
      </c>
      <c r="AZ1473" t="s">
        <v>131</v>
      </c>
      <c r="BA1473" t="s">
        <v>131</v>
      </c>
      <c r="BB1473" t="s">
        <v>131</v>
      </c>
      <c r="BC1473" t="s">
        <v>131</v>
      </c>
      <c r="BD1473" t="s">
        <v>131</v>
      </c>
      <c r="BE1473" t="s">
        <v>1948</v>
      </c>
      <c r="BH1473" t="s">
        <v>1841</v>
      </c>
      <c r="BI1473" t="s">
        <v>131</v>
      </c>
      <c r="BL1473" t="s">
        <v>188</v>
      </c>
      <c r="BN1473" t="s">
        <v>6882</v>
      </c>
      <c r="BO1473" t="s">
        <v>131</v>
      </c>
      <c r="BP1473" t="s">
        <v>134</v>
      </c>
      <c r="BQ1473" t="s">
        <v>131</v>
      </c>
      <c r="BS1473" t="str">
        <f t="shared" si="91"/>
        <v>N/A</v>
      </c>
      <c r="BT1473" t="s">
        <v>135</v>
      </c>
      <c r="BU1473">
        <v>12</v>
      </c>
      <c r="BV1473" t="str">
        <f>"Senior Project Manager, Manager, Senior Consultant, Applications Engineer"</f>
        <v>Senior Project Manager, Manager, Senior Consultant, Applications Engineer</v>
      </c>
      <c r="BW1473" t="s">
        <v>135</v>
      </c>
      <c r="BX1473" t="str">
        <f>""</f>
        <v/>
      </c>
      <c r="BY1473" t="str">
        <f>"Other special skills and requirements"</f>
        <v>Other special skills and requirements</v>
      </c>
      <c r="BZ1473" t="str">
        <f>""</f>
        <v/>
      </c>
      <c r="CA1473" t="str">
        <f>"Travel and relocation possible to unanticipated client locations throughout the U.S"</f>
        <v>Travel and relocation possible to unanticipated client locations throughout the U.S</v>
      </c>
      <c r="CB1473" t="s">
        <v>135</v>
      </c>
      <c r="CC1473" t="s">
        <v>133</v>
      </c>
      <c r="CE1473" t="s">
        <v>6882</v>
      </c>
      <c r="CF1473" t="s">
        <v>131</v>
      </c>
      <c r="CH1473" t="str">
        <f>"N/A"</f>
        <v>N/A</v>
      </c>
      <c r="CI1473" t="s">
        <v>135</v>
      </c>
      <c r="CJ1473">
        <v>60</v>
      </c>
      <c r="CK1473" t="s">
        <v>135</v>
      </c>
      <c r="CL1473" t="str">
        <f>""</f>
        <v/>
      </c>
      <c r="CM1473" t="str">
        <f>"Other special skills and requirements"</f>
        <v>Other special skills and requirements</v>
      </c>
      <c r="CN1473" t="str">
        <f>""</f>
        <v/>
      </c>
      <c r="CO1473" t="str">
        <f>"Travel and relocation possible to unanticipated client locations throughout the U.S"</f>
        <v>Travel and relocation possible to unanticipated client locations throughout the U.S</v>
      </c>
      <c r="CP1473" t="str">
        <f>"15-1121.00"</f>
        <v>15-1121.00</v>
      </c>
      <c r="CQ1473" t="s">
        <v>283</v>
      </c>
      <c r="CR1473" t="s">
        <v>1841</v>
      </c>
      <c r="CS1473" t="s">
        <v>135</v>
      </c>
      <c r="CT1473" t="s">
        <v>3856</v>
      </c>
      <c r="CU1473" t="s">
        <v>3849</v>
      </c>
      <c r="CV1473" t="s">
        <v>3850</v>
      </c>
      <c r="CW1473" t="s">
        <v>1479</v>
      </c>
      <c r="CX1473" t="s">
        <v>276</v>
      </c>
      <c r="CZ1473" s="3" t="str">
        <f>"08817"</f>
        <v>08817</v>
      </c>
      <c r="DA1473" t="s">
        <v>131</v>
      </c>
      <c r="DB1473" t="str">
        <f>""</f>
        <v/>
      </c>
      <c r="DF1473" t="str">
        <f>""</f>
        <v/>
      </c>
    </row>
    <row r="1474" spans="1:110" ht="15" customHeight="1" x14ac:dyDescent="0.35">
      <c r="A1474" t="s">
        <v>12699</v>
      </c>
      <c r="B1474" t="s">
        <v>138</v>
      </c>
      <c r="C1474" s="1">
        <v>44333</v>
      </c>
      <c r="G1474" s="1">
        <v>44333</v>
      </c>
      <c r="H1474" t="s">
        <v>125</v>
      </c>
      <c r="I1474" t="s">
        <v>12700</v>
      </c>
      <c r="J1474" t="s">
        <v>12701</v>
      </c>
      <c r="L1474" t="s">
        <v>12702</v>
      </c>
      <c r="M1474" t="s">
        <v>12703</v>
      </c>
      <c r="O1474" t="s">
        <v>5320</v>
      </c>
      <c r="P1474" t="s">
        <v>412</v>
      </c>
      <c r="Q1474" s="3">
        <v>76051</v>
      </c>
      <c r="R1474" t="s">
        <v>128</v>
      </c>
      <c r="T1474" s="4">
        <v>18177227349</v>
      </c>
      <c r="V1474" t="s">
        <v>6323</v>
      </c>
      <c r="W1474" t="s">
        <v>12704</v>
      </c>
      <c r="Y1474" t="s">
        <v>12703</v>
      </c>
      <c r="AA1474" t="s">
        <v>5320</v>
      </c>
      <c r="AB1474" t="s">
        <v>400</v>
      </c>
      <c r="AC1474" s="3" t="str">
        <f>"76051"</f>
        <v>76051</v>
      </c>
      <c r="AD1474" t="s">
        <v>128</v>
      </c>
      <c r="AF1474" s="4">
        <v>18177227349</v>
      </c>
      <c r="AH1474" t="str">
        <f>"511210"</f>
        <v>511210</v>
      </c>
      <c r="AI1474" t="s">
        <v>130</v>
      </c>
      <c r="AJ1474" t="s">
        <v>1541</v>
      </c>
      <c r="AK1474" t="s">
        <v>1542</v>
      </c>
      <c r="AL1474" t="s">
        <v>840</v>
      </c>
      <c r="AM1474" t="s">
        <v>973</v>
      </c>
      <c r="AN1474" t="s">
        <v>974</v>
      </c>
      <c r="AO1474" t="s">
        <v>975</v>
      </c>
      <c r="AP1474" t="s">
        <v>594</v>
      </c>
      <c r="AQ1474" s="5">
        <v>27615</v>
      </c>
      <c r="AR1474" t="s">
        <v>128</v>
      </c>
      <c r="AT1474" s="4">
        <v>19197879700</v>
      </c>
      <c r="AV1474" t="s">
        <v>6326</v>
      </c>
      <c r="AW1474" t="s">
        <v>1570</v>
      </c>
      <c r="AX1474" t="s">
        <v>131</v>
      </c>
      <c r="AY1474" t="s">
        <v>131</v>
      </c>
      <c r="AZ1474" t="s">
        <v>131</v>
      </c>
      <c r="BA1474" t="s">
        <v>131</v>
      </c>
      <c r="BB1474" t="s">
        <v>131</v>
      </c>
      <c r="BC1474" t="s">
        <v>131</v>
      </c>
      <c r="BD1474" t="s">
        <v>131</v>
      </c>
      <c r="BE1474" t="s">
        <v>132</v>
      </c>
      <c r="BH1474" t="s">
        <v>3322</v>
      </c>
      <c r="BI1474" t="s">
        <v>135</v>
      </c>
      <c r="BJ1474" t="s">
        <v>12705</v>
      </c>
      <c r="BK1474" t="s">
        <v>12706</v>
      </c>
      <c r="BL1474" t="s">
        <v>188</v>
      </c>
      <c r="BN1474" t="s">
        <v>12707</v>
      </c>
      <c r="BO1474" t="s">
        <v>131</v>
      </c>
      <c r="BP1474" t="s">
        <v>134</v>
      </c>
      <c r="BQ1474" t="s">
        <v>131</v>
      </c>
      <c r="BS1474" t="str">
        <f t="shared" si="91"/>
        <v>N/A</v>
      </c>
      <c r="BT1474" t="s">
        <v>135</v>
      </c>
      <c r="BU1474">
        <v>60</v>
      </c>
      <c r="BV1474" t="str">
        <f>"In the job offered or related occupation "</f>
        <v xml:space="preserve">In the job offered or related occupation </v>
      </c>
      <c r="BW1474" t="s">
        <v>135</v>
      </c>
      <c r="BX1474" t="str">
        <f>""</f>
        <v/>
      </c>
      <c r="BY1474" t="str">
        <f>""</f>
        <v/>
      </c>
      <c r="BZ1474" t="str">
        <f>""</f>
        <v/>
      </c>
      <c r="CA1474" s="2" t="s">
        <v>12708</v>
      </c>
      <c r="CB1474" t="s">
        <v>131</v>
      </c>
      <c r="CF1474" t="s">
        <v>131</v>
      </c>
      <c r="CH1474" t="str">
        <f>""</f>
        <v/>
      </c>
      <c r="CI1474" t="s">
        <v>131</v>
      </c>
      <c r="CK1474" t="s">
        <v>131</v>
      </c>
      <c r="CL1474" t="str">
        <f>""</f>
        <v/>
      </c>
      <c r="CM1474" t="str">
        <f>""</f>
        <v/>
      </c>
      <c r="CN1474" t="str">
        <f>""</f>
        <v/>
      </c>
      <c r="CO1474" t="str">
        <f>""</f>
        <v/>
      </c>
      <c r="CP1474" t="str">
        <f>"17-2112.00"</f>
        <v>17-2112.00</v>
      </c>
      <c r="CQ1474" t="s">
        <v>360</v>
      </c>
      <c r="CR1474" t="s">
        <v>1068</v>
      </c>
      <c r="CS1474" t="s">
        <v>135</v>
      </c>
      <c r="CT1474" t="s">
        <v>12709</v>
      </c>
      <c r="CU1474" t="s">
        <v>12703</v>
      </c>
      <c r="CW1474" t="s">
        <v>5320</v>
      </c>
      <c r="CX1474" t="s">
        <v>400</v>
      </c>
      <c r="CZ1474" s="3" t="str">
        <f>"76051"</f>
        <v>76051</v>
      </c>
      <c r="DA1474" t="s">
        <v>131</v>
      </c>
      <c r="DB1474" t="str">
        <f>""</f>
        <v/>
      </c>
      <c r="DF1474" t="str">
        <f>""</f>
        <v/>
      </c>
    </row>
    <row r="1475" spans="1:110" ht="15" customHeight="1" x14ac:dyDescent="0.35">
      <c r="A1475" t="s">
        <v>14339</v>
      </c>
      <c r="B1475" t="s">
        <v>138</v>
      </c>
      <c r="C1475" s="1">
        <v>44333</v>
      </c>
      <c r="G1475" s="1">
        <v>44334</v>
      </c>
      <c r="H1475" t="s">
        <v>125</v>
      </c>
      <c r="I1475" t="s">
        <v>8263</v>
      </c>
      <c r="J1475" t="s">
        <v>2106</v>
      </c>
      <c r="K1475" t="s">
        <v>14340</v>
      </c>
      <c r="L1475" t="s">
        <v>126</v>
      </c>
      <c r="M1475" t="s">
        <v>13289</v>
      </c>
      <c r="N1475" t="s">
        <v>13290</v>
      </c>
      <c r="O1475" t="s">
        <v>2832</v>
      </c>
      <c r="P1475" t="s">
        <v>412</v>
      </c>
      <c r="Q1475" s="3">
        <v>77042</v>
      </c>
      <c r="R1475" t="s">
        <v>128</v>
      </c>
      <c r="T1475" s="4">
        <v>18323650707</v>
      </c>
      <c r="V1475" t="s">
        <v>8264</v>
      </c>
      <c r="W1475" t="s">
        <v>14341</v>
      </c>
      <c r="X1475" t="s">
        <v>14341</v>
      </c>
      <c r="Y1475" t="s">
        <v>14342</v>
      </c>
      <c r="AA1475" t="s">
        <v>13615</v>
      </c>
      <c r="AB1475" t="s">
        <v>400</v>
      </c>
      <c r="AC1475" s="3" t="str">
        <f>"77389"</f>
        <v>77389</v>
      </c>
      <c r="AD1475" t="s">
        <v>128</v>
      </c>
      <c r="AF1475" s="4">
        <v>18327972008</v>
      </c>
      <c r="AH1475" t="str">
        <f>"541310"</f>
        <v>541310</v>
      </c>
      <c r="AI1475" t="s">
        <v>167</v>
      </c>
      <c r="AX1475" t="s">
        <v>131</v>
      </c>
      <c r="AY1475" t="s">
        <v>131</v>
      </c>
      <c r="AZ1475" t="s">
        <v>131</v>
      </c>
      <c r="BA1475" t="s">
        <v>131</v>
      </c>
      <c r="BB1475" t="s">
        <v>131</v>
      </c>
      <c r="BC1475" t="s">
        <v>131</v>
      </c>
      <c r="BD1475" t="s">
        <v>131</v>
      </c>
      <c r="BE1475" t="s">
        <v>132</v>
      </c>
      <c r="BH1475" t="s">
        <v>10603</v>
      </c>
      <c r="BI1475" t="s">
        <v>131</v>
      </c>
      <c r="BL1475" t="s">
        <v>133</v>
      </c>
      <c r="BN1475" t="s">
        <v>11778</v>
      </c>
      <c r="BO1475" t="s">
        <v>131</v>
      </c>
      <c r="BP1475" t="s">
        <v>134</v>
      </c>
      <c r="BQ1475" t="s">
        <v>131</v>
      </c>
      <c r="BS1475" t="str">
        <f t="shared" si="91"/>
        <v>N/A</v>
      </c>
      <c r="BT1475" t="s">
        <v>135</v>
      </c>
      <c r="BU1475">
        <v>24</v>
      </c>
      <c r="BV1475" t="str">
        <f>"JOB OFERRED"</f>
        <v>JOB OFERRED</v>
      </c>
      <c r="BW1475" t="s">
        <v>131</v>
      </c>
      <c r="BX1475" t="str">
        <f>""</f>
        <v/>
      </c>
      <c r="BY1475" t="str">
        <f>""</f>
        <v/>
      </c>
      <c r="BZ1475" t="str">
        <f>""</f>
        <v/>
      </c>
      <c r="CA1475" t="str">
        <f>""</f>
        <v/>
      </c>
      <c r="CB1475" t="s">
        <v>131</v>
      </c>
      <c r="CF1475" t="s">
        <v>131</v>
      </c>
      <c r="CH1475" t="str">
        <f>""</f>
        <v/>
      </c>
      <c r="CI1475" t="s">
        <v>131</v>
      </c>
      <c r="CK1475" t="s">
        <v>131</v>
      </c>
      <c r="CL1475" t="str">
        <f>""</f>
        <v/>
      </c>
      <c r="CM1475" t="str">
        <f>""</f>
        <v/>
      </c>
      <c r="CN1475" t="str">
        <f>""</f>
        <v/>
      </c>
      <c r="CO1475" t="str">
        <f>""</f>
        <v/>
      </c>
      <c r="CP1475" t="str">
        <f>"17-1011.00"</f>
        <v>17-1011.00</v>
      </c>
      <c r="CQ1475" t="s">
        <v>2670</v>
      </c>
      <c r="CR1475" t="s">
        <v>10603</v>
      </c>
      <c r="CS1475" t="s">
        <v>131</v>
      </c>
      <c r="CU1475" t="s">
        <v>14343</v>
      </c>
      <c r="CW1475" t="s">
        <v>13615</v>
      </c>
      <c r="CX1475" t="s">
        <v>400</v>
      </c>
      <c r="CZ1475" s="3" t="str">
        <f>"77389"</f>
        <v>77389</v>
      </c>
      <c r="DA1475" t="s">
        <v>131</v>
      </c>
      <c r="DB1475" t="str">
        <f>""</f>
        <v/>
      </c>
      <c r="DF1475" t="str">
        <f>""</f>
        <v/>
      </c>
    </row>
    <row r="1476" spans="1:110" ht="15" customHeight="1" x14ac:dyDescent="0.35">
      <c r="A1476" t="s">
        <v>11333</v>
      </c>
      <c r="B1476" t="s">
        <v>138</v>
      </c>
      <c r="C1476" s="1">
        <v>44333</v>
      </c>
      <c r="G1476" s="1">
        <v>44333</v>
      </c>
      <c r="H1476" t="s">
        <v>125</v>
      </c>
      <c r="I1476" t="s">
        <v>838</v>
      </c>
      <c r="J1476" t="s">
        <v>839</v>
      </c>
      <c r="K1476" t="s">
        <v>840</v>
      </c>
      <c r="L1476" t="s">
        <v>2565</v>
      </c>
      <c r="M1476" t="s">
        <v>2505</v>
      </c>
      <c r="N1476" t="s">
        <v>842</v>
      </c>
      <c r="O1476" t="s">
        <v>843</v>
      </c>
      <c r="P1476" t="s">
        <v>273</v>
      </c>
      <c r="Q1476" s="3">
        <v>7080</v>
      </c>
      <c r="R1476" t="s">
        <v>128</v>
      </c>
      <c r="T1476" s="4">
        <v>17328327978</v>
      </c>
      <c r="V1476" t="s">
        <v>844</v>
      </c>
      <c r="W1476" t="s">
        <v>11334</v>
      </c>
      <c r="Y1476" t="s">
        <v>11335</v>
      </c>
      <c r="Z1476" t="s">
        <v>11336</v>
      </c>
      <c r="AA1476" t="s">
        <v>2205</v>
      </c>
      <c r="AB1476" t="s">
        <v>643</v>
      </c>
      <c r="AC1476" s="3" t="str">
        <f>"30022"</f>
        <v>30022</v>
      </c>
      <c r="AD1476" t="s">
        <v>128</v>
      </c>
      <c r="AF1476" s="4">
        <v>16787998929</v>
      </c>
      <c r="AH1476" t="str">
        <f>"541511"</f>
        <v>541511</v>
      </c>
      <c r="AI1476" t="s">
        <v>130</v>
      </c>
      <c r="AJ1476" t="s">
        <v>838</v>
      </c>
      <c r="AK1476" t="s">
        <v>839</v>
      </c>
      <c r="AL1476" t="s">
        <v>840</v>
      </c>
      <c r="AM1476" t="s">
        <v>841</v>
      </c>
      <c r="AN1476" t="s">
        <v>842</v>
      </c>
      <c r="AO1476" t="s">
        <v>843</v>
      </c>
      <c r="AP1476" t="s">
        <v>276</v>
      </c>
      <c r="AQ1476" s="5">
        <v>7080</v>
      </c>
      <c r="AR1476" t="s">
        <v>128</v>
      </c>
      <c r="AT1476" s="4">
        <v>17328327978</v>
      </c>
      <c r="AV1476" t="s">
        <v>844</v>
      </c>
      <c r="AW1476" t="s">
        <v>2779</v>
      </c>
      <c r="AX1476" t="s">
        <v>131</v>
      </c>
      <c r="AY1476" t="s">
        <v>131</v>
      </c>
      <c r="AZ1476" t="s">
        <v>131</v>
      </c>
      <c r="BA1476" t="s">
        <v>131</v>
      </c>
      <c r="BB1476" t="s">
        <v>131</v>
      </c>
      <c r="BC1476" t="s">
        <v>131</v>
      </c>
      <c r="BD1476" t="s">
        <v>131</v>
      </c>
      <c r="BE1476" t="s">
        <v>132</v>
      </c>
      <c r="BH1476" t="s">
        <v>11337</v>
      </c>
      <c r="BI1476" t="s">
        <v>131</v>
      </c>
      <c r="BL1476" t="s">
        <v>188</v>
      </c>
      <c r="BN1476" t="s">
        <v>11338</v>
      </c>
      <c r="BO1476" t="s">
        <v>131</v>
      </c>
      <c r="BP1476" t="s">
        <v>134</v>
      </c>
      <c r="BQ1476" t="s">
        <v>131</v>
      </c>
      <c r="BS1476" t="str">
        <f t="shared" si="91"/>
        <v>N/A</v>
      </c>
      <c r="BT1476" t="s">
        <v>131</v>
      </c>
      <c r="BV1476" t="str">
        <f>""</f>
        <v/>
      </c>
      <c r="BW1476" t="s">
        <v>131</v>
      </c>
      <c r="BX1476" t="str">
        <f>""</f>
        <v/>
      </c>
      <c r="BY1476" t="str">
        <f>""</f>
        <v/>
      </c>
      <c r="BZ1476" t="str">
        <f>""</f>
        <v/>
      </c>
      <c r="CA1476" t="str">
        <f>""</f>
        <v/>
      </c>
      <c r="CB1476" t="s">
        <v>135</v>
      </c>
      <c r="CC1476" t="s">
        <v>133</v>
      </c>
      <c r="CE1476" t="s">
        <v>11338</v>
      </c>
      <c r="CF1476" t="s">
        <v>131</v>
      </c>
      <c r="CH1476" t="str">
        <f>"N/A"</f>
        <v>N/A</v>
      </c>
      <c r="CI1476" t="s">
        <v>135</v>
      </c>
      <c r="CJ1476">
        <v>60</v>
      </c>
      <c r="CK1476" t="s">
        <v>131</v>
      </c>
      <c r="CL1476" t="str">
        <f>""</f>
        <v/>
      </c>
      <c r="CM1476" t="str">
        <f>""</f>
        <v/>
      </c>
      <c r="CN1476" t="str">
        <f>""</f>
        <v/>
      </c>
      <c r="CO1476" t="str">
        <f>""</f>
        <v/>
      </c>
      <c r="CP1476" t="str">
        <f>"15-1199.07"</f>
        <v>15-1199.07</v>
      </c>
      <c r="CQ1476" t="s">
        <v>996</v>
      </c>
      <c r="CR1476" t="s">
        <v>849</v>
      </c>
      <c r="CS1476" t="s">
        <v>131</v>
      </c>
      <c r="CU1476" t="s">
        <v>11339</v>
      </c>
      <c r="CV1476" t="s">
        <v>11340</v>
      </c>
      <c r="CW1476" t="s">
        <v>2205</v>
      </c>
      <c r="CX1476" t="s">
        <v>643</v>
      </c>
      <c r="CZ1476" s="3" t="str">
        <f>"30022"</f>
        <v>30022</v>
      </c>
      <c r="DA1476" t="s">
        <v>131</v>
      </c>
      <c r="DB1476" t="str">
        <f>""</f>
        <v/>
      </c>
      <c r="DF1476" t="str">
        <f>""</f>
        <v/>
      </c>
    </row>
    <row r="1477" spans="1:110" ht="15" customHeight="1" x14ac:dyDescent="0.35">
      <c r="A1477" t="s">
        <v>11809</v>
      </c>
      <c r="B1477" t="s">
        <v>138</v>
      </c>
      <c r="C1477" s="1">
        <v>44333</v>
      </c>
      <c r="G1477" s="1">
        <v>44333</v>
      </c>
      <c r="H1477" t="s">
        <v>125</v>
      </c>
      <c r="I1477" t="s">
        <v>11810</v>
      </c>
      <c r="J1477" t="s">
        <v>8257</v>
      </c>
      <c r="L1477" t="s">
        <v>11811</v>
      </c>
      <c r="M1477" t="s">
        <v>11812</v>
      </c>
      <c r="O1477" t="s">
        <v>262</v>
      </c>
      <c r="P1477" t="s">
        <v>539</v>
      </c>
      <c r="Q1477" s="3">
        <v>60611</v>
      </c>
      <c r="R1477" t="s">
        <v>128</v>
      </c>
      <c r="T1477" s="4">
        <v>13122275310</v>
      </c>
      <c r="V1477" t="s">
        <v>11813</v>
      </c>
      <c r="W1477" t="s">
        <v>11814</v>
      </c>
      <c r="Y1477" t="s">
        <v>11815</v>
      </c>
      <c r="AA1477" t="s">
        <v>262</v>
      </c>
      <c r="AB1477" t="s">
        <v>263</v>
      </c>
      <c r="AC1477" s="3" t="str">
        <f>"60611"</f>
        <v>60611</v>
      </c>
      <c r="AD1477" t="s">
        <v>128</v>
      </c>
      <c r="AF1477" s="4">
        <v>13122275310</v>
      </c>
      <c r="AH1477" t="str">
        <f>"622110"</f>
        <v>622110</v>
      </c>
      <c r="AI1477" t="s">
        <v>287</v>
      </c>
      <c r="AJ1477" t="s">
        <v>4377</v>
      </c>
      <c r="AK1477" t="s">
        <v>2968</v>
      </c>
      <c r="AL1477" t="s">
        <v>134</v>
      </c>
      <c r="AM1477" t="s">
        <v>11816</v>
      </c>
      <c r="AN1477" t="s">
        <v>3789</v>
      </c>
      <c r="AO1477" t="s">
        <v>262</v>
      </c>
      <c r="AP1477" t="s">
        <v>263</v>
      </c>
      <c r="AQ1477" s="5">
        <v>60604</v>
      </c>
      <c r="AR1477" t="s">
        <v>128</v>
      </c>
      <c r="AT1477" s="4">
        <v>13123419730</v>
      </c>
      <c r="AV1477" t="s">
        <v>3790</v>
      </c>
      <c r="AW1477" t="s">
        <v>11817</v>
      </c>
      <c r="AX1477" t="s">
        <v>135</v>
      </c>
      <c r="AY1477" t="s">
        <v>135</v>
      </c>
      <c r="AZ1477" t="s">
        <v>131</v>
      </c>
      <c r="BA1477" t="s">
        <v>131</v>
      </c>
      <c r="BB1477" t="s">
        <v>134</v>
      </c>
      <c r="BC1477" t="s">
        <v>131</v>
      </c>
      <c r="BD1477" t="s">
        <v>131</v>
      </c>
      <c r="BE1477" t="s">
        <v>132</v>
      </c>
      <c r="BH1477" t="s">
        <v>11818</v>
      </c>
      <c r="BI1477" t="s">
        <v>131</v>
      </c>
      <c r="BL1477" t="s">
        <v>133</v>
      </c>
      <c r="BN1477" t="s">
        <v>11819</v>
      </c>
      <c r="BO1477" t="s">
        <v>131</v>
      </c>
      <c r="BP1477" t="s">
        <v>134</v>
      </c>
      <c r="BQ1477" t="s">
        <v>131</v>
      </c>
      <c r="BS1477" t="str">
        <f t="shared" si="91"/>
        <v>N/A</v>
      </c>
      <c r="BT1477" t="s">
        <v>135</v>
      </c>
      <c r="BU1477">
        <v>24</v>
      </c>
      <c r="BV1477" t="str">
        <f>" job offered or in healthcare application support"</f>
        <v xml:space="preserve"> job offered or in healthcare application support</v>
      </c>
      <c r="BW1477" t="s">
        <v>135</v>
      </c>
      <c r="BX1477" t="str">
        <f>"Certification in EPIC Cadence, Grand Central, Prelude required. "</f>
        <v xml:space="preserve">Certification in EPIC Cadence, Grand Central, Prelude required. </v>
      </c>
      <c r="BY1477" t="str">
        <f>""</f>
        <v/>
      </c>
      <c r="BZ1477" t="str">
        <f>""</f>
        <v/>
      </c>
      <c r="CA1477" t="s">
        <v>11820</v>
      </c>
      <c r="CB1477" t="s">
        <v>131</v>
      </c>
      <c r="CF1477" t="s">
        <v>131</v>
      </c>
      <c r="CH1477" t="str">
        <f>""</f>
        <v/>
      </c>
      <c r="CI1477" t="s">
        <v>131</v>
      </c>
      <c r="CK1477" t="s">
        <v>131</v>
      </c>
      <c r="CL1477" t="str">
        <f>""</f>
        <v/>
      </c>
      <c r="CM1477" t="str">
        <f>""</f>
        <v/>
      </c>
      <c r="CN1477" t="str">
        <f>""</f>
        <v/>
      </c>
      <c r="CO1477" t="str">
        <f>""</f>
        <v/>
      </c>
      <c r="CP1477" t="str">
        <f>"15-1034.00"</f>
        <v>15-1034.00</v>
      </c>
      <c r="CQ1477" t="s">
        <v>6480</v>
      </c>
      <c r="CS1477" t="s">
        <v>131</v>
      </c>
      <c r="CU1477" t="s">
        <v>11821</v>
      </c>
      <c r="CW1477" t="s">
        <v>262</v>
      </c>
      <c r="CX1477" t="s">
        <v>263</v>
      </c>
      <c r="CZ1477" s="3" t="str">
        <f>"60611"</f>
        <v>60611</v>
      </c>
      <c r="DA1477" t="s">
        <v>131</v>
      </c>
      <c r="DB1477" t="str">
        <f>""</f>
        <v/>
      </c>
      <c r="DF1477" t="str">
        <f>""</f>
        <v/>
      </c>
    </row>
    <row r="1478" spans="1:110" ht="15" customHeight="1" x14ac:dyDescent="0.35">
      <c r="A1478" t="s">
        <v>15931</v>
      </c>
      <c r="B1478" t="s">
        <v>138</v>
      </c>
      <c r="C1478" s="1">
        <v>44333</v>
      </c>
      <c r="G1478" s="1">
        <v>44333</v>
      </c>
      <c r="H1478" t="s">
        <v>125</v>
      </c>
      <c r="I1478" t="s">
        <v>11810</v>
      </c>
      <c r="J1478" t="s">
        <v>8257</v>
      </c>
      <c r="L1478" t="s">
        <v>11811</v>
      </c>
      <c r="M1478" t="s">
        <v>11812</v>
      </c>
      <c r="O1478" t="s">
        <v>262</v>
      </c>
      <c r="P1478" t="s">
        <v>539</v>
      </c>
      <c r="Q1478" s="3">
        <v>60611</v>
      </c>
      <c r="R1478" t="s">
        <v>128</v>
      </c>
      <c r="T1478" s="4">
        <v>13122275310</v>
      </c>
      <c r="V1478" t="s">
        <v>11813</v>
      </c>
      <c r="W1478" t="s">
        <v>11814</v>
      </c>
      <c r="Y1478" t="s">
        <v>11812</v>
      </c>
      <c r="AA1478" t="s">
        <v>766</v>
      </c>
      <c r="AB1478" t="s">
        <v>263</v>
      </c>
      <c r="AC1478" s="3" t="str">
        <f>"60611"</f>
        <v>60611</v>
      </c>
      <c r="AD1478" t="s">
        <v>128</v>
      </c>
      <c r="AF1478" s="4">
        <v>13122275310</v>
      </c>
      <c r="AH1478" t="str">
        <f>"622110"</f>
        <v>622110</v>
      </c>
      <c r="AI1478" t="s">
        <v>287</v>
      </c>
      <c r="AJ1478" t="s">
        <v>15932</v>
      </c>
      <c r="AK1478" t="s">
        <v>2968</v>
      </c>
      <c r="AL1478" t="s">
        <v>134</v>
      </c>
      <c r="AM1478" t="s">
        <v>15933</v>
      </c>
      <c r="AN1478" t="s">
        <v>3789</v>
      </c>
      <c r="AO1478" t="s">
        <v>262</v>
      </c>
      <c r="AP1478" t="s">
        <v>263</v>
      </c>
      <c r="AQ1478" s="5">
        <v>60604</v>
      </c>
      <c r="AR1478" t="s">
        <v>128</v>
      </c>
      <c r="AT1478" s="4">
        <v>13123419730</v>
      </c>
      <c r="AV1478" t="s">
        <v>3790</v>
      </c>
      <c r="AW1478" t="s">
        <v>3791</v>
      </c>
      <c r="AX1478" t="s">
        <v>131</v>
      </c>
      <c r="AY1478" t="s">
        <v>131</v>
      </c>
      <c r="AZ1478" t="s">
        <v>131</v>
      </c>
      <c r="BA1478" t="s">
        <v>131</v>
      </c>
      <c r="BB1478" t="s">
        <v>131</v>
      </c>
      <c r="BC1478" t="s">
        <v>131</v>
      </c>
      <c r="BD1478" t="s">
        <v>131</v>
      </c>
      <c r="BE1478" t="s">
        <v>132</v>
      </c>
      <c r="BH1478" t="s">
        <v>11818</v>
      </c>
      <c r="BI1478" t="s">
        <v>131</v>
      </c>
      <c r="BL1478" t="s">
        <v>133</v>
      </c>
      <c r="BN1478" t="s">
        <v>15934</v>
      </c>
      <c r="BO1478" t="s">
        <v>131</v>
      </c>
      <c r="BP1478" t="s">
        <v>134</v>
      </c>
      <c r="BQ1478" t="s">
        <v>131</v>
      </c>
      <c r="BS1478" t="str">
        <f t="shared" si="91"/>
        <v>N/A</v>
      </c>
      <c r="BT1478" t="s">
        <v>135</v>
      </c>
      <c r="BU1478">
        <v>24</v>
      </c>
      <c r="BV1478" t="str">
        <f>" job offered or in healthcare application support"</f>
        <v xml:space="preserve"> job offered or in healthcare application support</v>
      </c>
      <c r="BW1478" t="s">
        <v>135</v>
      </c>
      <c r="BX1478" t="str">
        <f>"Certification in EPIC Cadence, Grand Central, Prelude required. "</f>
        <v xml:space="preserve">Certification in EPIC Cadence, Grand Central, Prelude required. </v>
      </c>
      <c r="BY1478" t="str">
        <f>""</f>
        <v/>
      </c>
      <c r="BZ1478" t="str">
        <f>""</f>
        <v/>
      </c>
      <c r="CA1478" t="s">
        <v>15935</v>
      </c>
      <c r="CB1478" t="s">
        <v>131</v>
      </c>
      <c r="CF1478" t="s">
        <v>131</v>
      </c>
      <c r="CH1478" t="str">
        <f>""</f>
        <v/>
      </c>
      <c r="CI1478" t="s">
        <v>131</v>
      </c>
      <c r="CK1478" t="s">
        <v>131</v>
      </c>
      <c r="CL1478" t="str">
        <f>""</f>
        <v/>
      </c>
      <c r="CM1478" t="str">
        <f>""</f>
        <v/>
      </c>
      <c r="CN1478" t="str">
        <f>""</f>
        <v/>
      </c>
      <c r="CO1478" t="str">
        <f>""</f>
        <v/>
      </c>
      <c r="CP1478" t="str">
        <f>"15-1034.00"</f>
        <v>15-1034.00</v>
      </c>
      <c r="CQ1478" t="s">
        <v>6480</v>
      </c>
      <c r="CS1478" t="s">
        <v>131</v>
      </c>
      <c r="CU1478" t="s">
        <v>15936</v>
      </c>
      <c r="CW1478" t="s">
        <v>262</v>
      </c>
      <c r="CX1478" t="s">
        <v>263</v>
      </c>
      <c r="CZ1478" s="3" t="str">
        <f>"60618"</f>
        <v>60618</v>
      </c>
      <c r="DA1478" t="s">
        <v>131</v>
      </c>
      <c r="DB1478" t="str">
        <f>""</f>
        <v/>
      </c>
      <c r="DF1478" t="str">
        <f>""</f>
        <v/>
      </c>
    </row>
    <row r="1479" spans="1:110" ht="15" customHeight="1" x14ac:dyDescent="0.35">
      <c r="A1479" t="s">
        <v>6546</v>
      </c>
      <c r="B1479" t="s">
        <v>138</v>
      </c>
      <c r="C1479" s="1">
        <v>44333</v>
      </c>
      <c r="G1479" s="1">
        <v>44333</v>
      </c>
      <c r="H1479" t="s">
        <v>125</v>
      </c>
      <c r="I1479" t="s">
        <v>838</v>
      </c>
      <c r="J1479" t="s">
        <v>839</v>
      </c>
      <c r="K1479" t="s">
        <v>840</v>
      </c>
      <c r="L1479" t="s">
        <v>2565</v>
      </c>
      <c r="M1479" t="s">
        <v>841</v>
      </c>
      <c r="N1479" t="s">
        <v>842</v>
      </c>
      <c r="O1479" t="s">
        <v>843</v>
      </c>
      <c r="P1479" t="s">
        <v>273</v>
      </c>
      <c r="Q1479" s="3">
        <v>7080</v>
      </c>
      <c r="R1479" t="s">
        <v>128</v>
      </c>
      <c r="T1479" s="4">
        <v>17328327978</v>
      </c>
      <c r="V1479" t="s">
        <v>844</v>
      </c>
      <c r="W1479" t="s">
        <v>6547</v>
      </c>
      <c r="Y1479" t="s">
        <v>6548</v>
      </c>
      <c r="Z1479" t="s">
        <v>3810</v>
      </c>
      <c r="AA1479" t="s">
        <v>6549</v>
      </c>
      <c r="AB1479" t="s">
        <v>276</v>
      </c>
      <c r="AC1479" s="3" t="str">
        <f>"08854"</f>
        <v>08854</v>
      </c>
      <c r="AD1479" t="s">
        <v>128</v>
      </c>
      <c r="AF1479" s="4">
        <v>12019051126</v>
      </c>
      <c r="AH1479" t="str">
        <f>"5415"</f>
        <v>5415</v>
      </c>
      <c r="AI1479" t="s">
        <v>130</v>
      </c>
      <c r="AJ1479" t="s">
        <v>838</v>
      </c>
      <c r="AK1479" t="s">
        <v>839</v>
      </c>
      <c r="AL1479" t="s">
        <v>840</v>
      </c>
      <c r="AM1479" t="s">
        <v>841</v>
      </c>
      <c r="AN1479" t="s">
        <v>842</v>
      </c>
      <c r="AO1479" t="s">
        <v>6550</v>
      </c>
      <c r="AP1479" t="s">
        <v>276</v>
      </c>
      <c r="AQ1479" s="5">
        <v>7080</v>
      </c>
      <c r="AR1479" t="s">
        <v>128</v>
      </c>
      <c r="AT1479" s="4">
        <v>17328327978</v>
      </c>
      <c r="AV1479" t="s">
        <v>844</v>
      </c>
      <c r="AW1479" t="s">
        <v>2779</v>
      </c>
      <c r="AX1479" t="s">
        <v>131</v>
      </c>
      <c r="AY1479" t="s">
        <v>131</v>
      </c>
      <c r="AZ1479" t="s">
        <v>131</v>
      </c>
      <c r="BA1479" t="s">
        <v>131</v>
      </c>
      <c r="BB1479" t="s">
        <v>131</v>
      </c>
      <c r="BC1479" t="s">
        <v>131</v>
      </c>
      <c r="BD1479" t="s">
        <v>131</v>
      </c>
      <c r="BE1479" t="s">
        <v>132</v>
      </c>
      <c r="BH1479" t="s">
        <v>500</v>
      </c>
      <c r="BI1479" t="s">
        <v>131</v>
      </c>
      <c r="BL1479" t="s">
        <v>188</v>
      </c>
      <c r="BN1479" t="s">
        <v>847</v>
      </c>
      <c r="BO1479" t="s">
        <v>131</v>
      </c>
      <c r="BP1479" t="s">
        <v>134</v>
      </c>
      <c r="BQ1479" t="s">
        <v>131</v>
      </c>
      <c r="BS1479" t="str">
        <f t="shared" si="91"/>
        <v>N/A</v>
      </c>
      <c r="BT1479" t="s">
        <v>131</v>
      </c>
      <c r="BV1479" t="str">
        <f>""</f>
        <v/>
      </c>
      <c r="BW1479" t="s">
        <v>131</v>
      </c>
      <c r="BX1479" t="str">
        <f>""</f>
        <v/>
      </c>
      <c r="BY1479" t="str">
        <f>""</f>
        <v/>
      </c>
      <c r="BZ1479" t="str">
        <f>""</f>
        <v/>
      </c>
      <c r="CA1479" t="str">
        <f>""</f>
        <v/>
      </c>
      <c r="CB1479" t="s">
        <v>135</v>
      </c>
      <c r="CC1479" t="s">
        <v>133</v>
      </c>
      <c r="CE1479" t="s">
        <v>847</v>
      </c>
      <c r="CF1479" t="s">
        <v>131</v>
      </c>
      <c r="CH1479" t="str">
        <f>"N/A"</f>
        <v>N/A</v>
      </c>
      <c r="CI1479" t="s">
        <v>135</v>
      </c>
      <c r="CJ1479">
        <v>60</v>
      </c>
      <c r="CK1479" t="s">
        <v>131</v>
      </c>
      <c r="CL1479" t="str">
        <f>""</f>
        <v/>
      </c>
      <c r="CM1479" t="str">
        <f>""</f>
        <v/>
      </c>
      <c r="CN1479" t="str">
        <f>""</f>
        <v/>
      </c>
      <c r="CO1479" t="str">
        <f>""</f>
        <v/>
      </c>
      <c r="CP1479" t="str">
        <f>"15-1132.00"</f>
        <v>15-1132.00</v>
      </c>
      <c r="CQ1479" t="s">
        <v>198</v>
      </c>
      <c r="CR1479" t="s">
        <v>849</v>
      </c>
      <c r="CS1479" t="s">
        <v>131</v>
      </c>
      <c r="CU1479" t="s">
        <v>6548</v>
      </c>
      <c r="CV1479" t="s">
        <v>6551</v>
      </c>
      <c r="CW1479" t="s">
        <v>2596</v>
      </c>
      <c r="CX1479" t="s">
        <v>276</v>
      </c>
      <c r="CZ1479" s="3" t="str">
        <f>"08854"</f>
        <v>08854</v>
      </c>
      <c r="DA1479" t="s">
        <v>131</v>
      </c>
      <c r="DB1479" t="str">
        <f>""</f>
        <v/>
      </c>
      <c r="DF1479" t="str">
        <f>""</f>
        <v/>
      </c>
    </row>
    <row r="1480" spans="1:110" ht="15" customHeight="1" x14ac:dyDescent="0.35">
      <c r="A1480" t="s">
        <v>15855</v>
      </c>
      <c r="B1480" t="s">
        <v>138</v>
      </c>
      <c r="C1480" s="1">
        <v>44333</v>
      </c>
      <c r="G1480" s="1">
        <v>44334</v>
      </c>
      <c r="H1480" t="s">
        <v>125</v>
      </c>
      <c r="I1480" t="s">
        <v>15856</v>
      </c>
      <c r="J1480" t="s">
        <v>15857</v>
      </c>
      <c r="L1480" t="s">
        <v>15858</v>
      </c>
      <c r="M1480" t="s">
        <v>15859</v>
      </c>
      <c r="O1480" t="s">
        <v>6702</v>
      </c>
      <c r="P1480" t="s">
        <v>127</v>
      </c>
      <c r="Q1480" s="3">
        <v>12208</v>
      </c>
      <c r="R1480" t="s">
        <v>128</v>
      </c>
      <c r="T1480" s="4">
        <v>15182628414</v>
      </c>
      <c r="V1480" t="s">
        <v>15860</v>
      </c>
      <c r="W1480" t="s">
        <v>8374</v>
      </c>
      <c r="X1480" t="s">
        <v>134</v>
      </c>
      <c r="Y1480" t="s">
        <v>8372</v>
      </c>
      <c r="AA1480" t="s">
        <v>6702</v>
      </c>
      <c r="AB1480" t="s">
        <v>129</v>
      </c>
      <c r="AC1480" s="3" t="str">
        <f>"12208"</f>
        <v>12208</v>
      </c>
      <c r="AD1480" t="s">
        <v>128</v>
      </c>
      <c r="AF1480" s="4">
        <v>15182628221</v>
      </c>
      <c r="AH1480" t="str">
        <f>"622110"</f>
        <v>622110</v>
      </c>
      <c r="AI1480" t="s">
        <v>130</v>
      </c>
      <c r="AJ1480" t="s">
        <v>5500</v>
      </c>
      <c r="AK1480" t="s">
        <v>8375</v>
      </c>
      <c r="AL1480" t="s">
        <v>568</v>
      </c>
      <c r="AM1480" t="s">
        <v>15861</v>
      </c>
      <c r="AO1480" t="s">
        <v>8377</v>
      </c>
      <c r="AP1480" t="s">
        <v>249</v>
      </c>
      <c r="AQ1480" s="5">
        <v>55102</v>
      </c>
      <c r="AR1480" t="s">
        <v>128</v>
      </c>
      <c r="AT1480" s="4">
        <v>16512783190</v>
      </c>
      <c r="AV1480" t="s">
        <v>8378</v>
      </c>
      <c r="AW1480" t="s">
        <v>8379</v>
      </c>
      <c r="AX1480" t="s">
        <v>135</v>
      </c>
      <c r="AY1480" t="s">
        <v>131</v>
      </c>
      <c r="AZ1480" t="s">
        <v>135</v>
      </c>
      <c r="BA1480" t="s">
        <v>131</v>
      </c>
      <c r="BB1480" t="s">
        <v>134</v>
      </c>
      <c r="BC1480" t="s">
        <v>131</v>
      </c>
      <c r="BD1480" t="s">
        <v>131</v>
      </c>
      <c r="BE1480" t="s">
        <v>132</v>
      </c>
      <c r="BH1480" t="s">
        <v>15862</v>
      </c>
      <c r="BI1480" t="s">
        <v>131</v>
      </c>
      <c r="BL1480" t="s">
        <v>133</v>
      </c>
      <c r="BN1480" t="s">
        <v>15863</v>
      </c>
      <c r="BO1480" t="s">
        <v>131</v>
      </c>
      <c r="BP1480" t="s">
        <v>134</v>
      </c>
      <c r="BQ1480" t="s">
        <v>131</v>
      </c>
      <c r="BS1480" t="str">
        <f t="shared" si="91"/>
        <v>N/A</v>
      </c>
      <c r="BT1480" t="s">
        <v>131</v>
      </c>
      <c r="BV1480" t="str">
        <f>""</f>
        <v/>
      </c>
      <c r="BW1480" t="s">
        <v>135</v>
      </c>
      <c r="BX1480" t="str">
        <f>"Clinical Laboratory Technologist for New York State"</f>
        <v>Clinical Laboratory Technologist for New York State</v>
      </c>
      <c r="BY1480" t="str">
        <f>""</f>
        <v/>
      </c>
      <c r="BZ1480" t="str">
        <f>""</f>
        <v/>
      </c>
      <c r="CA1480" t="s">
        <v>15864</v>
      </c>
      <c r="CB1480" t="s">
        <v>131</v>
      </c>
      <c r="CF1480" t="s">
        <v>131</v>
      </c>
      <c r="CH1480" t="str">
        <f>""</f>
        <v/>
      </c>
      <c r="CI1480" t="s">
        <v>131</v>
      </c>
      <c r="CK1480" t="s">
        <v>131</v>
      </c>
      <c r="CL1480" t="str">
        <f>""</f>
        <v/>
      </c>
      <c r="CM1480" t="str">
        <f>""</f>
        <v/>
      </c>
      <c r="CN1480" t="str">
        <f>""</f>
        <v/>
      </c>
      <c r="CO1480" t="str">
        <f>""</f>
        <v/>
      </c>
      <c r="CP1480" t="str">
        <f>"29-2011.00"</f>
        <v>29-2011.00</v>
      </c>
      <c r="CQ1480" t="s">
        <v>1476</v>
      </c>
      <c r="CR1480" t="s">
        <v>8383</v>
      </c>
      <c r="CS1480" t="s">
        <v>131</v>
      </c>
      <c r="CU1480" t="s">
        <v>15865</v>
      </c>
      <c r="CW1480" t="s">
        <v>1532</v>
      </c>
      <c r="CX1480" t="s">
        <v>129</v>
      </c>
      <c r="CZ1480" s="3" t="str">
        <f>"12208"</f>
        <v>12208</v>
      </c>
      <c r="DA1480" t="s">
        <v>131</v>
      </c>
      <c r="DB1480" t="str">
        <f>""</f>
        <v/>
      </c>
      <c r="DF1480" t="str">
        <f>""</f>
        <v/>
      </c>
    </row>
    <row r="1481" spans="1:110" ht="15" customHeight="1" x14ac:dyDescent="0.35">
      <c r="A1481" t="s">
        <v>3323</v>
      </c>
      <c r="B1481" t="s">
        <v>138</v>
      </c>
      <c r="C1481" s="1">
        <v>44333</v>
      </c>
      <c r="G1481" s="1">
        <v>44333</v>
      </c>
      <c r="H1481" t="s">
        <v>125</v>
      </c>
      <c r="I1481" t="s">
        <v>838</v>
      </c>
      <c r="J1481" t="s">
        <v>839</v>
      </c>
      <c r="K1481" t="s">
        <v>840</v>
      </c>
      <c r="L1481" t="s">
        <v>2565</v>
      </c>
      <c r="M1481" t="s">
        <v>841</v>
      </c>
      <c r="N1481" t="s">
        <v>842</v>
      </c>
      <c r="O1481" t="s">
        <v>843</v>
      </c>
      <c r="P1481" t="s">
        <v>273</v>
      </c>
      <c r="Q1481" s="3">
        <v>7080</v>
      </c>
      <c r="R1481" t="s">
        <v>128</v>
      </c>
      <c r="T1481" s="4">
        <v>17328327978</v>
      </c>
      <c r="V1481" t="s">
        <v>844</v>
      </c>
      <c r="W1481" t="s">
        <v>3324</v>
      </c>
      <c r="Y1481" t="s">
        <v>3325</v>
      </c>
      <c r="Z1481" t="s">
        <v>3326</v>
      </c>
      <c r="AA1481" t="s">
        <v>3327</v>
      </c>
      <c r="AB1481" t="s">
        <v>276</v>
      </c>
      <c r="AC1481" s="3" t="str">
        <f>"08091"</f>
        <v>08091</v>
      </c>
      <c r="AD1481" t="s">
        <v>128</v>
      </c>
      <c r="AF1481" s="4">
        <v>18568739950</v>
      </c>
      <c r="AH1481" t="str">
        <f>"5419"</f>
        <v>5419</v>
      </c>
      <c r="AI1481" t="s">
        <v>130</v>
      </c>
      <c r="AJ1481" t="s">
        <v>838</v>
      </c>
      <c r="AK1481" t="s">
        <v>839</v>
      </c>
      <c r="AL1481" t="s">
        <v>840</v>
      </c>
      <c r="AM1481" t="s">
        <v>841</v>
      </c>
      <c r="AN1481" t="s">
        <v>842</v>
      </c>
      <c r="AO1481" t="s">
        <v>843</v>
      </c>
      <c r="AP1481" t="s">
        <v>276</v>
      </c>
      <c r="AQ1481" s="5">
        <v>7080</v>
      </c>
      <c r="AR1481" t="s">
        <v>128</v>
      </c>
      <c r="AT1481" s="4">
        <v>17328327978</v>
      </c>
      <c r="AV1481" t="s">
        <v>844</v>
      </c>
      <c r="AW1481" t="s">
        <v>3328</v>
      </c>
      <c r="AX1481" t="s">
        <v>131</v>
      </c>
      <c r="AY1481" t="s">
        <v>131</v>
      </c>
      <c r="AZ1481" t="s">
        <v>131</v>
      </c>
      <c r="BA1481" t="s">
        <v>131</v>
      </c>
      <c r="BB1481" t="s">
        <v>131</v>
      </c>
      <c r="BC1481" t="s">
        <v>131</v>
      </c>
      <c r="BD1481" t="s">
        <v>131</v>
      </c>
      <c r="BE1481" t="s">
        <v>132</v>
      </c>
      <c r="BH1481" t="s">
        <v>3291</v>
      </c>
      <c r="BI1481" t="s">
        <v>131</v>
      </c>
      <c r="BL1481" t="s">
        <v>188</v>
      </c>
      <c r="BN1481" s="2" t="s">
        <v>3329</v>
      </c>
      <c r="BO1481" t="s">
        <v>131</v>
      </c>
      <c r="BP1481" t="s">
        <v>134</v>
      </c>
      <c r="BQ1481" t="s">
        <v>131</v>
      </c>
      <c r="BS1481" t="str">
        <f t="shared" ref="BS1481:BS1544" si="94">"N/A"</f>
        <v>N/A</v>
      </c>
      <c r="BT1481" t="s">
        <v>135</v>
      </c>
      <c r="BU1481">
        <v>12</v>
      </c>
      <c r="BV1481" t="str">
        <f>"JOB OFFERED OR RELATED OCCUPATION"</f>
        <v>JOB OFFERED OR RELATED OCCUPATION</v>
      </c>
      <c r="BW1481" t="s">
        <v>131</v>
      </c>
      <c r="BX1481" t="str">
        <f>""</f>
        <v/>
      </c>
      <c r="BY1481" t="str">
        <f>""</f>
        <v/>
      </c>
      <c r="BZ1481" t="str">
        <f>""</f>
        <v/>
      </c>
      <c r="CA1481" t="str">
        <f>""</f>
        <v/>
      </c>
      <c r="CB1481" t="s">
        <v>135</v>
      </c>
      <c r="CC1481" t="s">
        <v>133</v>
      </c>
      <c r="CE1481" s="2" t="s">
        <v>3329</v>
      </c>
      <c r="CF1481" t="s">
        <v>131</v>
      </c>
      <c r="CH1481" t="str">
        <f>"N/A"</f>
        <v>N/A</v>
      </c>
      <c r="CI1481" t="s">
        <v>135</v>
      </c>
      <c r="CJ1481">
        <v>60</v>
      </c>
      <c r="CK1481" t="s">
        <v>131</v>
      </c>
      <c r="CL1481" t="str">
        <f>""</f>
        <v/>
      </c>
      <c r="CM1481" t="str">
        <f>""</f>
        <v/>
      </c>
      <c r="CN1481" t="str">
        <f>""</f>
        <v/>
      </c>
      <c r="CO1481" t="str">
        <f>""</f>
        <v/>
      </c>
      <c r="CP1481" t="str">
        <f>"15-1121.00"</f>
        <v>15-1121.00</v>
      </c>
      <c r="CQ1481" t="s">
        <v>283</v>
      </c>
      <c r="CR1481" t="s">
        <v>849</v>
      </c>
      <c r="CS1481" t="s">
        <v>131</v>
      </c>
      <c r="CU1481" t="s">
        <v>3325</v>
      </c>
      <c r="CV1481" t="s">
        <v>3330</v>
      </c>
      <c r="CW1481" t="s">
        <v>3327</v>
      </c>
      <c r="CX1481" t="s">
        <v>276</v>
      </c>
      <c r="CZ1481" s="3" t="str">
        <f>"08091"</f>
        <v>08091</v>
      </c>
      <c r="DA1481" t="s">
        <v>131</v>
      </c>
      <c r="DB1481" t="str">
        <f>""</f>
        <v/>
      </c>
      <c r="DF1481" t="str">
        <f>""</f>
        <v/>
      </c>
    </row>
    <row r="1482" spans="1:110" ht="15" customHeight="1" x14ac:dyDescent="0.35">
      <c r="A1482" t="s">
        <v>17220</v>
      </c>
      <c r="B1482" t="s">
        <v>138</v>
      </c>
      <c r="C1482" s="1">
        <v>44333</v>
      </c>
      <c r="G1482" s="1">
        <v>44334</v>
      </c>
      <c r="H1482" t="s">
        <v>125</v>
      </c>
      <c r="I1482" t="s">
        <v>15856</v>
      </c>
      <c r="J1482" t="s">
        <v>15857</v>
      </c>
      <c r="L1482" t="s">
        <v>15858</v>
      </c>
      <c r="M1482" t="s">
        <v>15859</v>
      </c>
      <c r="O1482" t="s">
        <v>1532</v>
      </c>
      <c r="P1482" t="s">
        <v>127</v>
      </c>
      <c r="Q1482" s="3">
        <v>12208</v>
      </c>
      <c r="R1482" t="s">
        <v>128</v>
      </c>
      <c r="T1482" s="4">
        <v>15182628414</v>
      </c>
      <c r="V1482" t="s">
        <v>15860</v>
      </c>
      <c r="W1482" t="s">
        <v>8374</v>
      </c>
      <c r="X1482" t="s">
        <v>134</v>
      </c>
      <c r="Y1482" t="s">
        <v>8372</v>
      </c>
      <c r="AA1482" t="s">
        <v>6702</v>
      </c>
      <c r="AB1482" t="s">
        <v>129</v>
      </c>
      <c r="AC1482" s="3" t="str">
        <f>"12208"</f>
        <v>12208</v>
      </c>
      <c r="AD1482" t="s">
        <v>128</v>
      </c>
      <c r="AF1482" s="4">
        <v>15182628221</v>
      </c>
      <c r="AH1482" t="str">
        <f>"622110"</f>
        <v>622110</v>
      </c>
      <c r="AI1482" t="s">
        <v>130</v>
      </c>
      <c r="AJ1482" t="s">
        <v>5500</v>
      </c>
      <c r="AK1482" t="s">
        <v>17221</v>
      </c>
      <c r="AL1482" t="s">
        <v>568</v>
      </c>
      <c r="AM1482" t="s">
        <v>8376</v>
      </c>
      <c r="AO1482" t="s">
        <v>12573</v>
      </c>
      <c r="AP1482" t="s">
        <v>249</v>
      </c>
      <c r="AQ1482" s="5">
        <v>55102</v>
      </c>
      <c r="AR1482" t="s">
        <v>128</v>
      </c>
      <c r="AT1482" s="4">
        <v>16512783190</v>
      </c>
      <c r="AV1482" t="s">
        <v>8378</v>
      </c>
      <c r="AW1482" t="s">
        <v>8379</v>
      </c>
      <c r="AX1482" t="s">
        <v>135</v>
      </c>
      <c r="AY1482" t="s">
        <v>131</v>
      </c>
      <c r="AZ1482" t="s">
        <v>135</v>
      </c>
      <c r="BA1482" t="s">
        <v>131</v>
      </c>
      <c r="BB1482" t="s">
        <v>134</v>
      </c>
      <c r="BC1482" t="s">
        <v>131</v>
      </c>
      <c r="BD1482" t="s">
        <v>131</v>
      </c>
      <c r="BE1482" t="s">
        <v>132</v>
      </c>
      <c r="BH1482" t="s">
        <v>16511</v>
      </c>
      <c r="BI1482" t="s">
        <v>131</v>
      </c>
      <c r="BL1482" t="s">
        <v>133</v>
      </c>
      <c r="BN1482" t="s">
        <v>8381</v>
      </c>
      <c r="BO1482" t="s">
        <v>131</v>
      </c>
      <c r="BP1482" t="s">
        <v>134</v>
      </c>
      <c r="BQ1482" t="s">
        <v>131</v>
      </c>
      <c r="BS1482" t="str">
        <f t="shared" si="94"/>
        <v>N/A</v>
      </c>
      <c r="BT1482" t="s">
        <v>135</v>
      </c>
      <c r="BU1482">
        <v>36</v>
      </c>
      <c r="BV1482" t="str">
        <f>"Clinical Laboratory Technologist"</f>
        <v>Clinical Laboratory Technologist</v>
      </c>
      <c r="BW1482" t="s">
        <v>135</v>
      </c>
      <c r="BX1482" t="str">
        <f>"NEW YORK STATE EDUCATION DEPARTMENT LICENSE AS A CLINICAL LABORATORY TECHNOLOGIST"</f>
        <v>NEW YORK STATE EDUCATION DEPARTMENT LICENSE AS A CLINICAL LABORATORY TECHNOLOGIST</v>
      </c>
      <c r="BY1482" t="str">
        <f>""</f>
        <v/>
      </c>
      <c r="BZ1482" t="str">
        <f>""</f>
        <v/>
      </c>
      <c r="CA1482" t="s">
        <v>8382</v>
      </c>
      <c r="CB1482" t="s">
        <v>131</v>
      </c>
      <c r="CF1482" t="s">
        <v>131</v>
      </c>
      <c r="CH1482" t="str">
        <f>""</f>
        <v/>
      </c>
      <c r="CI1482" t="s">
        <v>131</v>
      </c>
      <c r="CK1482" t="s">
        <v>131</v>
      </c>
      <c r="CL1482" t="str">
        <f>""</f>
        <v/>
      </c>
      <c r="CM1482" t="str">
        <f>""</f>
        <v/>
      </c>
      <c r="CN1482" t="str">
        <f>""</f>
        <v/>
      </c>
      <c r="CO1482" t="str">
        <f>""</f>
        <v/>
      </c>
      <c r="CP1482" t="str">
        <f>"29-2011.00"</f>
        <v>29-2011.00</v>
      </c>
      <c r="CQ1482" t="s">
        <v>1476</v>
      </c>
      <c r="CR1482" t="s">
        <v>8380</v>
      </c>
      <c r="CS1482" t="s">
        <v>131</v>
      </c>
      <c r="CU1482" t="s">
        <v>8372</v>
      </c>
      <c r="CW1482" t="s">
        <v>6702</v>
      </c>
      <c r="CX1482" t="s">
        <v>129</v>
      </c>
      <c r="CZ1482" s="3" t="str">
        <f>"12208"</f>
        <v>12208</v>
      </c>
      <c r="DA1482" t="s">
        <v>131</v>
      </c>
      <c r="DB1482" t="str">
        <f>""</f>
        <v/>
      </c>
      <c r="DF1482" t="str">
        <f>""</f>
        <v/>
      </c>
    </row>
    <row r="1483" spans="1:110" ht="15" customHeight="1" x14ac:dyDescent="0.35">
      <c r="A1483" t="s">
        <v>16398</v>
      </c>
      <c r="B1483" t="s">
        <v>138</v>
      </c>
      <c r="C1483" s="1">
        <v>44333</v>
      </c>
      <c r="G1483" s="1">
        <v>44333</v>
      </c>
      <c r="H1483" t="s">
        <v>125</v>
      </c>
      <c r="I1483" t="s">
        <v>838</v>
      </c>
      <c r="J1483" t="s">
        <v>839</v>
      </c>
      <c r="K1483" t="s">
        <v>840</v>
      </c>
      <c r="L1483" t="s">
        <v>2565</v>
      </c>
      <c r="M1483" t="s">
        <v>841</v>
      </c>
      <c r="N1483" t="s">
        <v>842</v>
      </c>
      <c r="O1483" t="s">
        <v>843</v>
      </c>
      <c r="P1483" t="s">
        <v>273</v>
      </c>
      <c r="Q1483" s="3">
        <v>7080</v>
      </c>
      <c r="R1483" t="s">
        <v>128</v>
      </c>
      <c r="T1483" s="4">
        <v>17328327978</v>
      </c>
      <c r="V1483" t="s">
        <v>844</v>
      </c>
      <c r="W1483" t="s">
        <v>16399</v>
      </c>
      <c r="Y1483" t="s">
        <v>4344</v>
      </c>
      <c r="Z1483" t="s">
        <v>4345</v>
      </c>
      <c r="AA1483" t="s">
        <v>4346</v>
      </c>
      <c r="AB1483" t="s">
        <v>276</v>
      </c>
      <c r="AC1483" s="3" t="str">
        <f>"08512"</f>
        <v>08512</v>
      </c>
      <c r="AD1483" t="s">
        <v>128</v>
      </c>
      <c r="AF1483" s="4">
        <v>17327883910</v>
      </c>
      <c r="AH1483" t="str">
        <f>"541511"</f>
        <v>541511</v>
      </c>
      <c r="AI1483" t="s">
        <v>130</v>
      </c>
      <c r="AJ1483" t="s">
        <v>838</v>
      </c>
      <c r="AK1483" t="s">
        <v>839</v>
      </c>
      <c r="AL1483" t="s">
        <v>840</v>
      </c>
      <c r="AM1483" t="s">
        <v>841</v>
      </c>
      <c r="AN1483" t="s">
        <v>842</v>
      </c>
      <c r="AO1483" t="s">
        <v>843</v>
      </c>
      <c r="AP1483" t="s">
        <v>276</v>
      </c>
      <c r="AQ1483" s="5">
        <v>7080</v>
      </c>
      <c r="AR1483" t="s">
        <v>128</v>
      </c>
      <c r="AT1483" s="4">
        <v>17328327978</v>
      </c>
      <c r="AV1483" t="s">
        <v>844</v>
      </c>
      <c r="AW1483" t="s">
        <v>5865</v>
      </c>
      <c r="AX1483" t="s">
        <v>131</v>
      </c>
      <c r="AY1483" t="s">
        <v>131</v>
      </c>
      <c r="AZ1483" t="s">
        <v>131</v>
      </c>
      <c r="BA1483" t="s">
        <v>131</v>
      </c>
      <c r="BB1483" t="s">
        <v>131</v>
      </c>
      <c r="BC1483" t="s">
        <v>131</v>
      </c>
      <c r="BD1483" t="s">
        <v>131</v>
      </c>
      <c r="BE1483" t="s">
        <v>132</v>
      </c>
      <c r="BH1483" t="s">
        <v>500</v>
      </c>
      <c r="BI1483" t="s">
        <v>131</v>
      </c>
      <c r="BL1483" t="s">
        <v>188</v>
      </c>
      <c r="BN1483" t="s">
        <v>847</v>
      </c>
      <c r="BO1483" t="s">
        <v>131</v>
      </c>
      <c r="BP1483" t="s">
        <v>134</v>
      </c>
      <c r="BQ1483" t="s">
        <v>131</v>
      </c>
      <c r="BS1483" t="str">
        <f t="shared" si="94"/>
        <v>N/A</v>
      </c>
      <c r="BT1483" t="s">
        <v>135</v>
      </c>
      <c r="BU1483">
        <v>12</v>
      </c>
      <c r="BV1483" t="str">
        <f>"JOB OFFERED OR RELATED OCCUPATION"</f>
        <v>JOB OFFERED OR RELATED OCCUPATION</v>
      </c>
      <c r="BW1483" t="s">
        <v>135</v>
      </c>
      <c r="BX1483" t="str">
        <f>""</f>
        <v/>
      </c>
      <c r="BY1483" t="str">
        <f>""</f>
        <v/>
      </c>
      <c r="BZ1483" t="str">
        <f>""</f>
        <v/>
      </c>
      <c r="CA1483" t="str">
        <f>"SKILLS REQUIRED: HTML, APEX, SOQL, SOSL, REST API, GITLAB, ANT, SALESFORCE, AND ECLIPSE."</f>
        <v>SKILLS REQUIRED: HTML, APEX, SOQL, SOSL, REST API, GITLAB, ANT, SALESFORCE, AND ECLIPSE.</v>
      </c>
      <c r="CB1483" t="s">
        <v>135</v>
      </c>
      <c r="CC1483" t="s">
        <v>133</v>
      </c>
      <c r="CE1483" t="s">
        <v>847</v>
      </c>
      <c r="CF1483" t="s">
        <v>131</v>
      </c>
      <c r="CH1483" t="str">
        <f>"N/A"</f>
        <v>N/A</v>
      </c>
      <c r="CI1483" t="s">
        <v>135</v>
      </c>
      <c r="CJ1483">
        <v>60</v>
      </c>
      <c r="CK1483" t="s">
        <v>135</v>
      </c>
      <c r="CL1483" t="str">
        <f>""</f>
        <v/>
      </c>
      <c r="CM1483" t="str">
        <f>""</f>
        <v/>
      </c>
      <c r="CN1483" t="str">
        <f>""</f>
        <v/>
      </c>
      <c r="CO1483" t="str">
        <f>"SAME AS F.b.5.a"</f>
        <v>SAME AS F.b.5.a</v>
      </c>
      <c r="CP1483" t="str">
        <f>"15-1132.00"</f>
        <v>15-1132.00</v>
      </c>
      <c r="CQ1483" t="s">
        <v>198</v>
      </c>
      <c r="CR1483" t="s">
        <v>849</v>
      </c>
      <c r="CS1483" t="s">
        <v>131</v>
      </c>
      <c r="CU1483" t="s">
        <v>4344</v>
      </c>
      <c r="CV1483" t="s">
        <v>4348</v>
      </c>
      <c r="CW1483" t="s">
        <v>4346</v>
      </c>
      <c r="CX1483" t="s">
        <v>276</v>
      </c>
      <c r="CZ1483" s="3" t="str">
        <f>"08512"</f>
        <v>08512</v>
      </c>
      <c r="DA1483" t="s">
        <v>131</v>
      </c>
      <c r="DB1483" t="str">
        <f>""</f>
        <v/>
      </c>
      <c r="DF1483" t="str">
        <f>""</f>
        <v/>
      </c>
    </row>
    <row r="1484" spans="1:110" ht="15" customHeight="1" x14ac:dyDescent="0.35">
      <c r="A1484" t="s">
        <v>6903</v>
      </c>
      <c r="B1484" t="s">
        <v>138</v>
      </c>
      <c r="C1484" s="1">
        <v>44333</v>
      </c>
      <c r="G1484" s="1">
        <v>44333</v>
      </c>
      <c r="H1484" t="s">
        <v>125</v>
      </c>
      <c r="I1484" t="s">
        <v>838</v>
      </c>
      <c r="J1484" t="s">
        <v>839</v>
      </c>
      <c r="K1484" t="s">
        <v>840</v>
      </c>
      <c r="L1484" t="s">
        <v>2565</v>
      </c>
      <c r="M1484" t="s">
        <v>841</v>
      </c>
      <c r="N1484" t="s">
        <v>842</v>
      </c>
      <c r="O1484" t="s">
        <v>843</v>
      </c>
      <c r="P1484" t="s">
        <v>273</v>
      </c>
      <c r="Q1484" s="3">
        <v>7080</v>
      </c>
      <c r="R1484" t="s">
        <v>128</v>
      </c>
      <c r="T1484" s="4">
        <v>17328327978</v>
      </c>
      <c r="V1484" t="s">
        <v>844</v>
      </c>
      <c r="W1484" t="s">
        <v>2776</v>
      </c>
      <c r="Y1484" t="s">
        <v>2777</v>
      </c>
      <c r="Z1484" t="s">
        <v>2778</v>
      </c>
      <c r="AA1484" t="s">
        <v>843</v>
      </c>
      <c r="AB1484" t="s">
        <v>276</v>
      </c>
      <c r="AC1484" s="3" t="str">
        <f>"07080"</f>
        <v>07080</v>
      </c>
      <c r="AD1484" t="s">
        <v>128</v>
      </c>
      <c r="AF1484" s="4">
        <v>19087524669</v>
      </c>
      <c r="AH1484" t="str">
        <f>"541519"</f>
        <v>541519</v>
      </c>
      <c r="AI1484" t="s">
        <v>130</v>
      </c>
      <c r="AJ1484" t="s">
        <v>838</v>
      </c>
      <c r="AK1484" t="s">
        <v>839</v>
      </c>
      <c r="AL1484" t="s">
        <v>840</v>
      </c>
      <c r="AM1484" t="s">
        <v>841</v>
      </c>
      <c r="AN1484" t="s">
        <v>842</v>
      </c>
      <c r="AO1484" t="s">
        <v>843</v>
      </c>
      <c r="AP1484" t="s">
        <v>276</v>
      </c>
      <c r="AQ1484" s="5">
        <v>7080</v>
      </c>
      <c r="AR1484" t="s">
        <v>128</v>
      </c>
      <c r="AT1484" s="4">
        <v>17328327978</v>
      </c>
      <c r="AV1484" t="s">
        <v>844</v>
      </c>
      <c r="AW1484" t="s">
        <v>2779</v>
      </c>
      <c r="AX1484" t="s">
        <v>131</v>
      </c>
      <c r="AY1484" t="s">
        <v>131</v>
      </c>
      <c r="AZ1484" t="s">
        <v>131</v>
      </c>
      <c r="BA1484" t="s">
        <v>131</v>
      </c>
      <c r="BB1484" t="s">
        <v>131</v>
      </c>
      <c r="BC1484" t="s">
        <v>131</v>
      </c>
      <c r="BD1484" t="s">
        <v>131</v>
      </c>
      <c r="BE1484" t="s">
        <v>132</v>
      </c>
      <c r="BH1484" t="s">
        <v>1634</v>
      </c>
      <c r="BI1484" t="s">
        <v>131</v>
      </c>
      <c r="BL1484" t="s">
        <v>188</v>
      </c>
      <c r="BN1484" t="s">
        <v>847</v>
      </c>
      <c r="BO1484" t="s">
        <v>131</v>
      </c>
      <c r="BP1484" t="s">
        <v>134</v>
      </c>
      <c r="BQ1484" t="s">
        <v>131</v>
      </c>
      <c r="BS1484" t="str">
        <f t="shared" si="94"/>
        <v>N/A</v>
      </c>
      <c r="BT1484" t="s">
        <v>135</v>
      </c>
      <c r="BU1484">
        <v>6</v>
      </c>
      <c r="BV1484" t="str">
        <f>"JOB OFFERED OR RELATED OCCUPATION."</f>
        <v>JOB OFFERED OR RELATED OCCUPATION.</v>
      </c>
      <c r="BW1484" t="s">
        <v>135</v>
      </c>
      <c r="BX1484" t="str">
        <f>""</f>
        <v/>
      </c>
      <c r="BY1484" t="str">
        <f>""</f>
        <v/>
      </c>
      <c r="BZ1484" t="str">
        <f>""</f>
        <v/>
      </c>
      <c r="CA1484" t="str">
        <f>"SKILLS REQUIRED: SOQL, APEX, REST, WEB SERVICES, ECLIPSE IDE, LIGHTNING, CONTROLLERS,SALESFORCE.COM AND VISUALFORCE."</f>
        <v>SKILLS REQUIRED: SOQL, APEX, REST, WEB SERVICES, ECLIPSE IDE, LIGHTNING, CONTROLLERS,SALESFORCE.COM AND VISUALFORCE.</v>
      </c>
      <c r="CB1484" t="s">
        <v>135</v>
      </c>
      <c r="CC1484" t="s">
        <v>133</v>
      </c>
      <c r="CE1484" t="s">
        <v>847</v>
      </c>
      <c r="CF1484" t="s">
        <v>131</v>
      </c>
      <c r="CH1484" t="str">
        <f>"N/A"</f>
        <v>N/A</v>
      </c>
      <c r="CI1484" t="s">
        <v>135</v>
      </c>
      <c r="CJ1484">
        <v>60</v>
      </c>
      <c r="CK1484" t="s">
        <v>135</v>
      </c>
      <c r="CL1484" t="str">
        <f>""</f>
        <v/>
      </c>
      <c r="CM1484" t="str">
        <f>""</f>
        <v/>
      </c>
      <c r="CN1484" t="str">
        <f>""</f>
        <v/>
      </c>
      <c r="CO1484" t="str">
        <f>"SAME AS F.b.5.a"</f>
        <v>SAME AS F.b.5.a</v>
      </c>
      <c r="CP1484" t="str">
        <f>"15-1131.00"</f>
        <v>15-1131.00</v>
      </c>
      <c r="CQ1484" t="s">
        <v>2782</v>
      </c>
      <c r="CR1484" t="s">
        <v>849</v>
      </c>
      <c r="CS1484" t="s">
        <v>131</v>
      </c>
      <c r="CU1484" t="s">
        <v>2777</v>
      </c>
      <c r="CV1484" t="s">
        <v>2783</v>
      </c>
      <c r="CW1484" t="s">
        <v>843</v>
      </c>
      <c r="CX1484" t="s">
        <v>276</v>
      </c>
      <c r="CZ1484" s="3" t="str">
        <f>"07080"</f>
        <v>07080</v>
      </c>
      <c r="DA1484" t="s">
        <v>131</v>
      </c>
      <c r="DB1484" t="str">
        <f>""</f>
        <v/>
      </c>
      <c r="DF1484" t="str">
        <f>""</f>
        <v/>
      </c>
    </row>
    <row r="1485" spans="1:110" ht="15" customHeight="1" x14ac:dyDescent="0.35">
      <c r="A1485" t="s">
        <v>10265</v>
      </c>
      <c r="B1485" t="s">
        <v>138</v>
      </c>
      <c r="C1485" s="1">
        <v>44333</v>
      </c>
      <c r="G1485" s="1">
        <v>44333</v>
      </c>
      <c r="H1485" t="s">
        <v>125</v>
      </c>
      <c r="I1485" t="s">
        <v>838</v>
      </c>
      <c r="J1485" t="s">
        <v>5709</v>
      </c>
      <c r="K1485" t="s">
        <v>840</v>
      </c>
      <c r="L1485" t="s">
        <v>2565</v>
      </c>
      <c r="M1485" t="s">
        <v>841</v>
      </c>
      <c r="N1485" t="s">
        <v>842</v>
      </c>
      <c r="O1485" t="s">
        <v>843</v>
      </c>
      <c r="P1485" t="s">
        <v>273</v>
      </c>
      <c r="Q1485" s="3">
        <v>7080</v>
      </c>
      <c r="R1485" t="s">
        <v>128</v>
      </c>
      <c r="T1485" s="4">
        <v>17328327978</v>
      </c>
      <c r="V1485" t="s">
        <v>844</v>
      </c>
      <c r="W1485" t="s">
        <v>5994</v>
      </c>
      <c r="Y1485" t="s">
        <v>4344</v>
      </c>
      <c r="Z1485" t="s">
        <v>4345</v>
      </c>
      <c r="AA1485" t="s">
        <v>4346</v>
      </c>
      <c r="AB1485" t="s">
        <v>276</v>
      </c>
      <c r="AC1485" s="3" t="str">
        <f>"08512"</f>
        <v>08512</v>
      </c>
      <c r="AD1485" t="s">
        <v>128</v>
      </c>
      <c r="AF1485" s="4">
        <v>17327883910</v>
      </c>
      <c r="AH1485" t="str">
        <f>"541511"</f>
        <v>541511</v>
      </c>
      <c r="AI1485" t="s">
        <v>130</v>
      </c>
      <c r="AJ1485" t="s">
        <v>838</v>
      </c>
      <c r="AK1485" t="s">
        <v>839</v>
      </c>
      <c r="AL1485" t="s">
        <v>840</v>
      </c>
      <c r="AM1485" t="s">
        <v>841</v>
      </c>
      <c r="AN1485" t="s">
        <v>842</v>
      </c>
      <c r="AO1485" t="s">
        <v>843</v>
      </c>
      <c r="AP1485" t="s">
        <v>276</v>
      </c>
      <c r="AQ1485" s="5">
        <v>7080</v>
      </c>
      <c r="AR1485" t="s">
        <v>128</v>
      </c>
      <c r="AT1485" s="4">
        <v>17328327978</v>
      </c>
      <c r="AV1485" t="s">
        <v>844</v>
      </c>
      <c r="AW1485" t="s">
        <v>2570</v>
      </c>
      <c r="AX1485" t="s">
        <v>131</v>
      </c>
      <c r="AY1485" t="s">
        <v>131</v>
      </c>
      <c r="AZ1485" t="s">
        <v>131</v>
      </c>
      <c r="BA1485" t="s">
        <v>131</v>
      </c>
      <c r="BB1485" t="s">
        <v>131</v>
      </c>
      <c r="BC1485" t="s">
        <v>131</v>
      </c>
      <c r="BD1485" t="s">
        <v>131</v>
      </c>
      <c r="BE1485" t="s">
        <v>132</v>
      </c>
      <c r="BH1485" t="s">
        <v>7579</v>
      </c>
      <c r="BI1485" t="s">
        <v>131</v>
      </c>
      <c r="BL1485" t="s">
        <v>188</v>
      </c>
      <c r="BN1485" t="s">
        <v>847</v>
      </c>
      <c r="BO1485" t="s">
        <v>131</v>
      </c>
      <c r="BP1485" t="s">
        <v>134</v>
      </c>
      <c r="BQ1485" t="s">
        <v>131</v>
      </c>
      <c r="BS1485" t="str">
        <f t="shared" si="94"/>
        <v>N/A</v>
      </c>
      <c r="BT1485" t="s">
        <v>135</v>
      </c>
      <c r="BU1485">
        <v>12</v>
      </c>
      <c r="BV1485" t="str">
        <f>"JOB OFFERED OR RELATED OCCUPATION."</f>
        <v>JOB OFFERED OR RELATED OCCUPATION.</v>
      </c>
      <c r="BW1485" t="s">
        <v>135</v>
      </c>
      <c r="BX1485" t="str">
        <f>""</f>
        <v/>
      </c>
      <c r="BY1485" t="str">
        <f>""</f>
        <v/>
      </c>
      <c r="BZ1485" t="str">
        <f>""</f>
        <v/>
      </c>
      <c r="CA1485" t="str">
        <f>"SKILLS REQUIRED: INFORMATICA, PYTHON, HADOOP, AWS, AZURE, JAVA, J2EE, DB2, PL/SQL, UNIX, SHELL SCRIPTING, ORACLE, OBIEE, ODI."</f>
        <v>SKILLS REQUIRED: INFORMATICA, PYTHON, HADOOP, AWS, AZURE, JAVA, J2EE, DB2, PL/SQL, UNIX, SHELL SCRIPTING, ORACLE, OBIEE, ODI.</v>
      </c>
      <c r="CB1485" t="s">
        <v>135</v>
      </c>
      <c r="CC1485" t="s">
        <v>133</v>
      </c>
      <c r="CE1485" t="s">
        <v>847</v>
      </c>
      <c r="CF1485" t="s">
        <v>131</v>
      </c>
      <c r="CH1485" t="str">
        <f>"N/A"</f>
        <v>N/A</v>
      </c>
      <c r="CI1485" t="s">
        <v>135</v>
      </c>
      <c r="CJ1485">
        <v>60</v>
      </c>
      <c r="CK1485" t="s">
        <v>135</v>
      </c>
      <c r="CL1485" t="str">
        <f>""</f>
        <v/>
      </c>
      <c r="CM1485" t="str">
        <f>""</f>
        <v/>
      </c>
      <c r="CN1485" t="str">
        <f>""</f>
        <v/>
      </c>
      <c r="CO1485" t="str">
        <f>"SAME AS F.b.5.a"</f>
        <v>SAME AS F.b.5.a</v>
      </c>
      <c r="CP1485" t="str">
        <f>"15-1121.00"</f>
        <v>15-1121.00</v>
      </c>
      <c r="CQ1485" t="s">
        <v>283</v>
      </c>
      <c r="CR1485" t="s">
        <v>849</v>
      </c>
      <c r="CS1485" t="s">
        <v>131</v>
      </c>
      <c r="CU1485" t="s">
        <v>10266</v>
      </c>
      <c r="CV1485" t="s">
        <v>10267</v>
      </c>
      <c r="CW1485" t="s">
        <v>4346</v>
      </c>
      <c r="CX1485" t="s">
        <v>276</v>
      </c>
      <c r="CZ1485" s="3" t="str">
        <f>"08512"</f>
        <v>08512</v>
      </c>
      <c r="DA1485" t="s">
        <v>131</v>
      </c>
      <c r="DB1485" t="str">
        <f>""</f>
        <v/>
      </c>
      <c r="DF1485" t="str">
        <f>""</f>
        <v/>
      </c>
    </row>
    <row r="1486" spans="1:110" ht="15" customHeight="1" x14ac:dyDescent="0.35">
      <c r="A1486" t="s">
        <v>14131</v>
      </c>
      <c r="B1486" t="s">
        <v>138</v>
      </c>
      <c r="C1486" s="1">
        <v>44333</v>
      </c>
      <c r="G1486" s="1">
        <v>44337</v>
      </c>
      <c r="H1486" t="s">
        <v>125</v>
      </c>
      <c r="I1486" t="s">
        <v>11528</v>
      </c>
      <c r="J1486" t="s">
        <v>11529</v>
      </c>
      <c r="L1486" t="s">
        <v>3474</v>
      </c>
      <c r="M1486" t="s">
        <v>11530</v>
      </c>
      <c r="O1486" t="s">
        <v>11531</v>
      </c>
      <c r="P1486" t="s">
        <v>412</v>
      </c>
      <c r="Q1486" s="3">
        <v>77484</v>
      </c>
      <c r="R1486" t="s">
        <v>128</v>
      </c>
      <c r="T1486" s="4">
        <v>17132635325</v>
      </c>
      <c r="V1486" t="s">
        <v>11532</v>
      </c>
      <c r="W1486" t="s">
        <v>11533</v>
      </c>
      <c r="Y1486" t="s">
        <v>11530</v>
      </c>
      <c r="AA1486" t="s">
        <v>11531</v>
      </c>
      <c r="AB1486" t="s">
        <v>400</v>
      </c>
      <c r="AC1486" s="3" t="str">
        <f>"77484"</f>
        <v>77484</v>
      </c>
      <c r="AD1486" t="s">
        <v>128</v>
      </c>
      <c r="AF1486" s="4">
        <v>17138612500</v>
      </c>
      <c r="AH1486" t="str">
        <f>"33341"</f>
        <v>33341</v>
      </c>
      <c r="AI1486" t="s">
        <v>130</v>
      </c>
      <c r="AJ1486" t="s">
        <v>3634</v>
      </c>
      <c r="AK1486" t="s">
        <v>3091</v>
      </c>
      <c r="AL1486" t="s">
        <v>3635</v>
      </c>
      <c r="AM1486" t="s">
        <v>883</v>
      </c>
      <c r="AN1486" t="s">
        <v>884</v>
      </c>
      <c r="AO1486" t="s">
        <v>885</v>
      </c>
      <c r="AP1486" t="s">
        <v>400</v>
      </c>
      <c r="AQ1486" s="5">
        <v>77046</v>
      </c>
      <c r="AR1486" t="s">
        <v>128</v>
      </c>
      <c r="AT1486" s="4">
        <v>17133353949</v>
      </c>
      <c r="AV1486" t="s">
        <v>3636</v>
      </c>
      <c r="AW1486" t="s">
        <v>886</v>
      </c>
      <c r="AX1486" t="s">
        <v>131</v>
      </c>
      <c r="AY1486" t="s">
        <v>131</v>
      </c>
      <c r="AZ1486" t="s">
        <v>131</v>
      </c>
      <c r="BA1486" t="s">
        <v>131</v>
      </c>
      <c r="BB1486" t="s">
        <v>131</v>
      </c>
      <c r="BC1486" t="s">
        <v>131</v>
      </c>
      <c r="BD1486" t="s">
        <v>131</v>
      </c>
      <c r="BE1486" t="s">
        <v>132</v>
      </c>
      <c r="BH1486" t="s">
        <v>11661</v>
      </c>
      <c r="BI1486" t="s">
        <v>135</v>
      </c>
      <c r="BJ1486" t="s">
        <v>11662</v>
      </c>
      <c r="BK1486" t="s">
        <v>11663</v>
      </c>
      <c r="BL1486" t="s">
        <v>188</v>
      </c>
      <c r="BN1486" t="s">
        <v>14132</v>
      </c>
      <c r="BO1486" t="s">
        <v>131</v>
      </c>
      <c r="BP1486" t="s">
        <v>134</v>
      </c>
      <c r="BQ1486" t="s">
        <v>131</v>
      </c>
      <c r="BS1486" t="str">
        <f t="shared" si="94"/>
        <v>N/A</v>
      </c>
      <c r="BT1486" t="s">
        <v>135</v>
      </c>
      <c r="BU1486">
        <v>24</v>
      </c>
      <c r="BV1486" t="str">
        <f>"See F.a.2 for experience requirements"</f>
        <v>See F.a.2 for experience requirements</v>
      </c>
      <c r="BW1486" t="s">
        <v>131</v>
      </c>
      <c r="BX1486" t="str">
        <f>""</f>
        <v/>
      </c>
      <c r="BY1486" t="str">
        <f>""</f>
        <v/>
      </c>
      <c r="BZ1486" t="str">
        <f>""</f>
        <v/>
      </c>
      <c r="CA1486" t="str">
        <f>""</f>
        <v/>
      </c>
      <c r="CB1486" t="s">
        <v>135</v>
      </c>
      <c r="CC1486" t="s">
        <v>133</v>
      </c>
      <c r="CE1486" t="s">
        <v>14132</v>
      </c>
      <c r="CF1486" t="s">
        <v>131</v>
      </c>
      <c r="CH1486" t="str">
        <f>"N/A"</f>
        <v>N/A</v>
      </c>
      <c r="CI1486" t="s">
        <v>135</v>
      </c>
      <c r="CJ1486">
        <v>60</v>
      </c>
      <c r="CK1486" t="s">
        <v>131</v>
      </c>
      <c r="CL1486" t="str">
        <f>""</f>
        <v/>
      </c>
      <c r="CM1486" t="str">
        <f>""</f>
        <v/>
      </c>
      <c r="CN1486" t="str">
        <f>""</f>
        <v/>
      </c>
      <c r="CO1486" t="str">
        <f>""</f>
        <v/>
      </c>
      <c r="CP1486" t="str">
        <f>"11-3051.00"</f>
        <v>11-3051.00</v>
      </c>
      <c r="CQ1486" t="s">
        <v>5867</v>
      </c>
      <c r="CR1486" t="s">
        <v>1079</v>
      </c>
      <c r="CS1486" t="s">
        <v>131</v>
      </c>
      <c r="CU1486" t="s">
        <v>11530</v>
      </c>
      <c r="CW1486" t="s">
        <v>11531</v>
      </c>
      <c r="CX1486" t="s">
        <v>400</v>
      </c>
      <c r="CZ1486" s="3" t="str">
        <f>"77484"</f>
        <v>77484</v>
      </c>
      <c r="DA1486" t="s">
        <v>131</v>
      </c>
      <c r="DB1486" t="str">
        <f>""</f>
        <v/>
      </c>
      <c r="DF1486" t="str">
        <f>""</f>
        <v/>
      </c>
    </row>
    <row r="1487" spans="1:110" ht="15" customHeight="1" x14ac:dyDescent="0.35">
      <c r="A1487" t="s">
        <v>19156</v>
      </c>
      <c r="B1487" t="s">
        <v>138</v>
      </c>
      <c r="C1487" s="1">
        <v>44333</v>
      </c>
      <c r="G1487" s="1">
        <v>44333</v>
      </c>
      <c r="H1487" t="s">
        <v>125</v>
      </c>
      <c r="I1487" t="s">
        <v>266</v>
      </c>
      <c r="J1487" t="s">
        <v>267</v>
      </c>
      <c r="K1487" t="s">
        <v>268</v>
      </c>
      <c r="L1487" t="s">
        <v>269</v>
      </c>
      <c r="M1487" t="s">
        <v>270</v>
      </c>
      <c r="N1487" t="s">
        <v>271</v>
      </c>
      <c r="O1487" t="s">
        <v>272</v>
      </c>
      <c r="P1487" t="s">
        <v>273</v>
      </c>
      <c r="Q1487" s="3">
        <v>7094</v>
      </c>
      <c r="R1487" t="s">
        <v>128</v>
      </c>
      <c r="T1487" s="4">
        <v>12018723003</v>
      </c>
      <c r="U1487">
        <v>0</v>
      </c>
      <c r="V1487" t="s">
        <v>274</v>
      </c>
      <c r="W1487" t="s">
        <v>275</v>
      </c>
      <c r="X1487" t="s">
        <v>134</v>
      </c>
      <c r="Y1487" t="s">
        <v>270</v>
      </c>
      <c r="Z1487" t="s">
        <v>271</v>
      </c>
      <c r="AA1487" t="s">
        <v>272</v>
      </c>
      <c r="AB1487" t="s">
        <v>276</v>
      </c>
      <c r="AC1487" s="3" t="str">
        <f>"07094"</f>
        <v>07094</v>
      </c>
      <c r="AD1487" t="s">
        <v>128</v>
      </c>
      <c r="AF1487" s="4">
        <v>12018723003</v>
      </c>
      <c r="AG1487">
        <v>0</v>
      </c>
      <c r="AH1487" t="str">
        <f>"541211"</f>
        <v>541211</v>
      </c>
      <c r="AI1487" t="s">
        <v>130</v>
      </c>
      <c r="AJ1487" t="s">
        <v>9036</v>
      </c>
      <c r="AK1487" t="s">
        <v>9037</v>
      </c>
      <c r="AM1487" t="s">
        <v>278</v>
      </c>
      <c r="AN1487" t="s">
        <v>279</v>
      </c>
      <c r="AO1487" t="s">
        <v>214</v>
      </c>
      <c r="AQ1487" s="5" t="s">
        <v>280</v>
      </c>
      <c r="AR1487" t="s">
        <v>156</v>
      </c>
      <c r="AS1487" t="s">
        <v>216</v>
      </c>
      <c r="AT1487" s="4">
        <v>14169433309</v>
      </c>
      <c r="AV1487" t="s">
        <v>1613</v>
      </c>
      <c r="AW1487" t="s">
        <v>159</v>
      </c>
      <c r="AX1487" t="s">
        <v>131</v>
      </c>
      <c r="AY1487" t="s">
        <v>131</v>
      </c>
      <c r="AZ1487" t="s">
        <v>131</v>
      </c>
      <c r="BA1487" t="s">
        <v>131</v>
      </c>
      <c r="BB1487" t="s">
        <v>131</v>
      </c>
      <c r="BC1487" t="s">
        <v>131</v>
      </c>
      <c r="BD1487" t="s">
        <v>131</v>
      </c>
      <c r="BE1487" t="s">
        <v>160</v>
      </c>
      <c r="BF1487" t="s">
        <v>8265</v>
      </c>
      <c r="BG1487" s="1">
        <v>44090</v>
      </c>
      <c r="BH1487" t="s">
        <v>13177</v>
      </c>
      <c r="BI1487" t="s">
        <v>135</v>
      </c>
      <c r="BJ1487" t="s">
        <v>282</v>
      </c>
      <c r="BK1487" t="s">
        <v>283</v>
      </c>
      <c r="BL1487" t="s">
        <v>133</v>
      </c>
      <c r="BN1487" t="s">
        <v>18852</v>
      </c>
      <c r="BO1487" t="s">
        <v>131</v>
      </c>
      <c r="BP1487" t="s">
        <v>134</v>
      </c>
      <c r="BQ1487" t="s">
        <v>131</v>
      </c>
      <c r="BS1487" t="str">
        <f t="shared" si="94"/>
        <v>N/A</v>
      </c>
      <c r="BT1487" t="s">
        <v>135</v>
      </c>
      <c r="BU1487">
        <v>96</v>
      </c>
      <c r="BV1487" t="str">
        <f>"Any in which the req'd experience was gained."</f>
        <v>Any in which the req'd experience was gained.</v>
      </c>
      <c r="BW1487" t="s">
        <v>135</v>
      </c>
      <c r="BX1487" t="str">
        <f>""</f>
        <v/>
      </c>
      <c r="BY1487" t="str">
        <f>""</f>
        <v/>
      </c>
      <c r="BZ1487" t="str">
        <f>""</f>
        <v/>
      </c>
      <c r="CA1487" s="2" t="s">
        <v>19157</v>
      </c>
      <c r="CB1487" t="s">
        <v>135</v>
      </c>
      <c r="CC1487" t="s">
        <v>188</v>
      </c>
      <c r="CE1487" t="s">
        <v>18852</v>
      </c>
      <c r="CF1487" t="s">
        <v>131</v>
      </c>
      <c r="CH1487" t="str">
        <f>"N/A"</f>
        <v>N/A</v>
      </c>
      <c r="CI1487" t="s">
        <v>135</v>
      </c>
      <c r="CJ1487">
        <v>84</v>
      </c>
      <c r="CK1487" t="s">
        <v>135</v>
      </c>
      <c r="CL1487" t="str">
        <f>""</f>
        <v/>
      </c>
      <c r="CM1487" t="str">
        <f>""</f>
        <v/>
      </c>
      <c r="CN1487" t="str">
        <f>""</f>
        <v/>
      </c>
      <c r="CO1487" s="2" t="s">
        <v>18853</v>
      </c>
      <c r="CP1487" t="str">
        <f>"15-1121.00"</f>
        <v>15-1121.00</v>
      </c>
      <c r="CQ1487" t="s">
        <v>283</v>
      </c>
      <c r="CR1487" t="s">
        <v>668</v>
      </c>
      <c r="CS1487" t="s">
        <v>135</v>
      </c>
      <c r="CT1487" t="s">
        <v>13178</v>
      </c>
      <c r="CU1487" t="s">
        <v>6652</v>
      </c>
      <c r="CW1487" t="s">
        <v>220</v>
      </c>
      <c r="CX1487" t="s">
        <v>172</v>
      </c>
      <c r="CZ1487" s="3" t="str">
        <f>"94105"</f>
        <v>94105</v>
      </c>
      <c r="DA1487" t="s">
        <v>131</v>
      </c>
      <c r="DB1487" t="str">
        <f>""</f>
        <v/>
      </c>
      <c r="DF1487" t="str">
        <f>""</f>
        <v/>
      </c>
    </row>
    <row r="1488" spans="1:110" ht="15" customHeight="1" x14ac:dyDescent="0.35">
      <c r="A1488" t="s">
        <v>14654</v>
      </c>
      <c r="B1488" t="s">
        <v>138</v>
      </c>
      <c r="C1488" s="1">
        <v>44333</v>
      </c>
      <c r="G1488" s="1">
        <v>44369</v>
      </c>
      <c r="H1488" t="s">
        <v>125</v>
      </c>
      <c r="I1488" t="s">
        <v>7291</v>
      </c>
      <c r="J1488" t="s">
        <v>7292</v>
      </c>
      <c r="L1488" t="s">
        <v>7293</v>
      </c>
      <c r="M1488" t="s">
        <v>517</v>
      </c>
      <c r="N1488" t="s">
        <v>7294</v>
      </c>
      <c r="O1488" t="s">
        <v>2145</v>
      </c>
      <c r="P1488" t="s">
        <v>127</v>
      </c>
      <c r="Q1488" s="3">
        <v>10018</v>
      </c>
      <c r="R1488" t="s">
        <v>128</v>
      </c>
      <c r="T1488" s="4">
        <v>16468616942</v>
      </c>
      <c r="V1488" t="s">
        <v>7295</v>
      </c>
      <c r="W1488" t="s">
        <v>7296</v>
      </c>
      <c r="Y1488" t="s">
        <v>7297</v>
      </c>
      <c r="Z1488" t="s">
        <v>10131</v>
      </c>
      <c r="AA1488" t="s">
        <v>2145</v>
      </c>
      <c r="AB1488" t="s">
        <v>129</v>
      </c>
      <c r="AC1488" s="3" t="str">
        <f>"10017"</f>
        <v>10017</v>
      </c>
      <c r="AD1488" t="s">
        <v>128</v>
      </c>
      <c r="AF1488" s="4">
        <v>12124151882</v>
      </c>
      <c r="AH1488" t="str">
        <f>"54161"</f>
        <v>54161</v>
      </c>
      <c r="AI1488" t="s">
        <v>130</v>
      </c>
      <c r="AJ1488" t="s">
        <v>7291</v>
      </c>
      <c r="AK1488" t="s">
        <v>7292</v>
      </c>
      <c r="AM1488" t="s">
        <v>14655</v>
      </c>
      <c r="AN1488" t="s">
        <v>515</v>
      </c>
      <c r="AO1488" t="s">
        <v>2145</v>
      </c>
      <c r="AP1488" t="s">
        <v>129</v>
      </c>
      <c r="AQ1488" s="5">
        <v>10018</v>
      </c>
      <c r="AR1488" t="s">
        <v>128</v>
      </c>
      <c r="AT1488" s="4">
        <v>16468616942</v>
      </c>
      <c r="AV1488" t="s">
        <v>7295</v>
      </c>
      <c r="AW1488" t="s">
        <v>517</v>
      </c>
      <c r="AX1488" t="s">
        <v>131</v>
      </c>
      <c r="AY1488" t="s">
        <v>131</v>
      </c>
      <c r="AZ1488" t="s">
        <v>131</v>
      </c>
      <c r="BA1488" t="s">
        <v>131</v>
      </c>
      <c r="BB1488" t="s">
        <v>131</v>
      </c>
      <c r="BC1488" t="s">
        <v>131</v>
      </c>
      <c r="BD1488" t="s">
        <v>131</v>
      </c>
      <c r="BE1488" t="s">
        <v>132</v>
      </c>
      <c r="BH1488" t="s">
        <v>1501</v>
      </c>
      <c r="BI1488" t="s">
        <v>135</v>
      </c>
      <c r="BJ1488" t="s">
        <v>8143</v>
      </c>
      <c r="BK1488" t="s">
        <v>988</v>
      </c>
      <c r="BL1488" t="s">
        <v>188</v>
      </c>
      <c r="BN1488" t="s">
        <v>14656</v>
      </c>
      <c r="BO1488" t="s">
        <v>131</v>
      </c>
      <c r="BP1488" t="s">
        <v>134</v>
      </c>
      <c r="BQ1488" t="s">
        <v>131</v>
      </c>
      <c r="BS1488" t="str">
        <f t="shared" si="94"/>
        <v>N/A</v>
      </c>
      <c r="BT1488" t="s">
        <v>135</v>
      </c>
      <c r="BU1488">
        <v>24</v>
      </c>
      <c r="BV1488" t="str">
        <f>"Any meeting the requirements of F.b.5.a"</f>
        <v>Any meeting the requirements of F.b.5.a</v>
      </c>
      <c r="BW1488" t="s">
        <v>135</v>
      </c>
      <c r="BX1488" t="str">
        <f>""</f>
        <v/>
      </c>
      <c r="BY1488" t="str">
        <f>""</f>
        <v/>
      </c>
      <c r="BZ1488" t="str">
        <f>""</f>
        <v/>
      </c>
      <c r="CA1488" t="s">
        <v>14657</v>
      </c>
      <c r="CB1488" t="s">
        <v>131</v>
      </c>
      <c r="CF1488" t="s">
        <v>131</v>
      </c>
      <c r="CH1488" t="str">
        <f>""</f>
        <v/>
      </c>
      <c r="CI1488" t="s">
        <v>131</v>
      </c>
      <c r="CK1488" t="s">
        <v>131</v>
      </c>
      <c r="CL1488" t="str">
        <f>""</f>
        <v/>
      </c>
      <c r="CM1488" t="str">
        <f>""</f>
        <v/>
      </c>
      <c r="CN1488" t="str">
        <f>""</f>
        <v/>
      </c>
      <c r="CO1488" t="str">
        <f>""</f>
        <v/>
      </c>
      <c r="CP1488" t="str">
        <f>"15-1133.00"</f>
        <v>15-1133.00</v>
      </c>
      <c r="CQ1488" t="s">
        <v>648</v>
      </c>
      <c r="CR1488" t="s">
        <v>1543</v>
      </c>
      <c r="CS1488" t="s">
        <v>131</v>
      </c>
      <c r="CU1488" t="s">
        <v>13000</v>
      </c>
      <c r="CV1488" t="s">
        <v>13001</v>
      </c>
      <c r="CW1488" t="s">
        <v>2145</v>
      </c>
      <c r="CX1488" t="s">
        <v>129</v>
      </c>
      <c r="CZ1488" s="3" t="str">
        <f>"10017"</f>
        <v>10017</v>
      </c>
      <c r="DA1488" t="s">
        <v>131</v>
      </c>
      <c r="DB1488" t="str">
        <f>""</f>
        <v/>
      </c>
      <c r="DF1488" t="str">
        <f>""</f>
        <v/>
      </c>
    </row>
    <row r="1489" spans="1:110" ht="15" customHeight="1" x14ac:dyDescent="0.35">
      <c r="A1489" t="s">
        <v>4719</v>
      </c>
      <c r="B1489" t="s">
        <v>138</v>
      </c>
      <c r="C1489" s="1">
        <v>44333</v>
      </c>
      <c r="G1489" s="1">
        <v>44333</v>
      </c>
      <c r="H1489" t="s">
        <v>125</v>
      </c>
      <c r="I1489" t="s">
        <v>4720</v>
      </c>
      <c r="J1489" t="s">
        <v>2753</v>
      </c>
      <c r="L1489" t="s">
        <v>1285</v>
      </c>
      <c r="M1489" t="s">
        <v>4721</v>
      </c>
      <c r="N1489" t="s">
        <v>3400</v>
      </c>
      <c r="O1489" t="s">
        <v>4722</v>
      </c>
      <c r="P1489" t="s">
        <v>178</v>
      </c>
      <c r="Q1489" s="3">
        <v>90810</v>
      </c>
      <c r="R1489" t="s">
        <v>128</v>
      </c>
      <c r="T1489" s="4">
        <v>15629123411</v>
      </c>
      <c r="V1489" t="s">
        <v>4723</v>
      </c>
      <c r="W1489" t="s">
        <v>4724</v>
      </c>
      <c r="X1489" t="s">
        <v>4725</v>
      </c>
      <c r="Y1489" t="s">
        <v>4721</v>
      </c>
      <c r="Z1489" t="s">
        <v>3400</v>
      </c>
      <c r="AA1489" t="s">
        <v>4722</v>
      </c>
      <c r="AB1489" t="s">
        <v>172</v>
      </c>
      <c r="AC1489" s="3" t="str">
        <f>"90810"</f>
        <v>90810</v>
      </c>
      <c r="AD1489" t="s">
        <v>128</v>
      </c>
      <c r="AF1489" s="4">
        <v>15629123411</v>
      </c>
      <c r="AH1489" t="str">
        <f>"541511"</f>
        <v>541511</v>
      </c>
      <c r="AI1489" t="s">
        <v>130</v>
      </c>
      <c r="AJ1489" t="s">
        <v>4726</v>
      </c>
      <c r="AK1489" t="s">
        <v>4727</v>
      </c>
      <c r="AL1489" t="s">
        <v>610</v>
      </c>
      <c r="AM1489" t="s">
        <v>4728</v>
      </c>
      <c r="AN1489" t="s">
        <v>4729</v>
      </c>
      <c r="AO1489" t="s">
        <v>4730</v>
      </c>
      <c r="AP1489" t="s">
        <v>249</v>
      </c>
      <c r="AQ1489" s="5">
        <v>55116</v>
      </c>
      <c r="AR1489" t="s">
        <v>128</v>
      </c>
      <c r="AT1489" s="4">
        <v>16123390033</v>
      </c>
      <c r="AV1489" t="s">
        <v>4731</v>
      </c>
      <c r="AW1489" t="s">
        <v>4732</v>
      </c>
      <c r="AX1489" t="s">
        <v>131</v>
      </c>
      <c r="AY1489" t="s">
        <v>131</v>
      </c>
      <c r="AZ1489" t="s">
        <v>131</v>
      </c>
      <c r="BA1489" t="s">
        <v>131</v>
      </c>
      <c r="BB1489" t="s">
        <v>131</v>
      </c>
      <c r="BC1489" t="s">
        <v>131</v>
      </c>
      <c r="BD1489" t="s">
        <v>131</v>
      </c>
      <c r="BE1489" t="s">
        <v>132</v>
      </c>
      <c r="BH1489" t="s">
        <v>4733</v>
      </c>
      <c r="BI1489" t="s">
        <v>131</v>
      </c>
      <c r="BL1489" t="s">
        <v>133</v>
      </c>
      <c r="BN1489" t="s">
        <v>4734</v>
      </c>
      <c r="BO1489" t="s">
        <v>131</v>
      </c>
      <c r="BP1489" t="s">
        <v>134</v>
      </c>
      <c r="BQ1489" t="s">
        <v>131</v>
      </c>
      <c r="BS1489" t="str">
        <f t="shared" si="94"/>
        <v>N/A</v>
      </c>
      <c r="BT1489" t="s">
        <v>131</v>
      </c>
      <c r="BV1489" t="str">
        <f>""</f>
        <v/>
      </c>
      <c r="BW1489" t="s">
        <v>131</v>
      </c>
      <c r="BX1489" t="str">
        <f>""</f>
        <v/>
      </c>
      <c r="BY1489" t="str">
        <f>""</f>
        <v/>
      </c>
      <c r="BZ1489" t="str">
        <f>""</f>
        <v/>
      </c>
      <c r="CA1489" t="str">
        <f>""</f>
        <v/>
      </c>
      <c r="CB1489" t="s">
        <v>131</v>
      </c>
      <c r="CF1489" t="s">
        <v>131</v>
      </c>
      <c r="CH1489" t="str">
        <f>""</f>
        <v/>
      </c>
      <c r="CI1489" t="s">
        <v>131</v>
      </c>
      <c r="CK1489" t="s">
        <v>131</v>
      </c>
      <c r="CL1489" t="str">
        <f>""</f>
        <v/>
      </c>
      <c r="CM1489" t="str">
        <f>""</f>
        <v/>
      </c>
      <c r="CN1489" t="str">
        <f>""</f>
        <v/>
      </c>
      <c r="CO1489" t="str">
        <f>""</f>
        <v/>
      </c>
      <c r="CP1489" t="str">
        <f>"15-1132.00"</f>
        <v>15-1132.00</v>
      </c>
      <c r="CQ1489" t="s">
        <v>198</v>
      </c>
      <c r="CR1489" t="s">
        <v>1285</v>
      </c>
      <c r="CS1489" t="s">
        <v>131</v>
      </c>
      <c r="CU1489" t="s">
        <v>4721</v>
      </c>
      <c r="CV1489" t="s">
        <v>3400</v>
      </c>
      <c r="CW1489" t="s">
        <v>4722</v>
      </c>
      <c r="CX1489" t="s">
        <v>172</v>
      </c>
      <c r="CZ1489" s="3" t="str">
        <f>"90810"</f>
        <v>90810</v>
      </c>
      <c r="DA1489" t="s">
        <v>131</v>
      </c>
      <c r="DB1489" t="str">
        <f>""</f>
        <v/>
      </c>
      <c r="DF1489" t="str">
        <f>""</f>
        <v/>
      </c>
    </row>
    <row r="1490" spans="1:110" ht="15" customHeight="1" x14ac:dyDescent="0.35">
      <c r="A1490" t="s">
        <v>12566</v>
      </c>
      <c r="B1490" t="s">
        <v>138</v>
      </c>
      <c r="C1490" s="1">
        <v>44333</v>
      </c>
      <c r="G1490" s="1">
        <v>44333</v>
      </c>
      <c r="H1490" t="s">
        <v>125</v>
      </c>
      <c r="I1490" t="s">
        <v>838</v>
      </c>
      <c r="J1490" t="s">
        <v>839</v>
      </c>
      <c r="K1490" t="s">
        <v>840</v>
      </c>
      <c r="L1490" t="s">
        <v>2565</v>
      </c>
      <c r="M1490" t="s">
        <v>841</v>
      </c>
      <c r="N1490" t="s">
        <v>842</v>
      </c>
      <c r="O1490" t="s">
        <v>843</v>
      </c>
      <c r="P1490" t="s">
        <v>273</v>
      </c>
      <c r="Q1490" s="3">
        <v>7080</v>
      </c>
      <c r="R1490" t="s">
        <v>128</v>
      </c>
      <c r="T1490" s="4">
        <v>17328327978</v>
      </c>
      <c r="V1490" t="s">
        <v>844</v>
      </c>
      <c r="W1490" t="s">
        <v>12567</v>
      </c>
      <c r="Y1490" t="s">
        <v>6907</v>
      </c>
      <c r="AA1490" t="s">
        <v>4862</v>
      </c>
      <c r="AB1490" t="s">
        <v>276</v>
      </c>
      <c r="AC1490" s="3" t="str">
        <f>"08540"</f>
        <v>08540</v>
      </c>
      <c r="AD1490" t="s">
        <v>128</v>
      </c>
      <c r="AF1490" s="4">
        <v>17325120009</v>
      </c>
      <c r="AH1490" t="str">
        <f>"541511"</f>
        <v>541511</v>
      </c>
      <c r="AI1490" t="s">
        <v>130</v>
      </c>
      <c r="AJ1490" t="s">
        <v>838</v>
      </c>
      <c r="AK1490" t="s">
        <v>839</v>
      </c>
      <c r="AL1490" t="s">
        <v>840</v>
      </c>
      <c r="AM1490" t="s">
        <v>841</v>
      </c>
      <c r="AN1490" t="s">
        <v>842</v>
      </c>
      <c r="AO1490" t="s">
        <v>843</v>
      </c>
      <c r="AP1490" t="s">
        <v>276</v>
      </c>
      <c r="AQ1490" s="5">
        <v>7080</v>
      </c>
      <c r="AR1490" t="s">
        <v>128</v>
      </c>
      <c r="AT1490" s="4">
        <v>17328327978</v>
      </c>
      <c r="AV1490" t="s">
        <v>844</v>
      </c>
      <c r="AW1490" t="s">
        <v>2570</v>
      </c>
      <c r="AX1490" t="s">
        <v>131</v>
      </c>
      <c r="AY1490" t="s">
        <v>131</v>
      </c>
      <c r="AZ1490" t="s">
        <v>131</v>
      </c>
      <c r="BA1490" t="s">
        <v>131</v>
      </c>
      <c r="BB1490" t="s">
        <v>131</v>
      </c>
      <c r="BC1490" t="s">
        <v>131</v>
      </c>
      <c r="BD1490" t="s">
        <v>131</v>
      </c>
      <c r="BE1490" t="s">
        <v>132</v>
      </c>
      <c r="BH1490" t="s">
        <v>4831</v>
      </c>
      <c r="BI1490" t="s">
        <v>131</v>
      </c>
      <c r="BL1490" t="s">
        <v>188</v>
      </c>
      <c r="BN1490" t="s">
        <v>847</v>
      </c>
      <c r="BO1490" t="s">
        <v>131</v>
      </c>
      <c r="BP1490" t="s">
        <v>134</v>
      </c>
      <c r="BQ1490" t="s">
        <v>131</v>
      </c>
      <c r="BS1490" t="str">
        <f t="shared" si="94"/>
        <v>N/A</v>
      </c>
      <c r="BT1490" t="s">
        <v>135</v>
      </c>
      <c r="BU1490">
        <v>12</v>
      </c>
      <c r="BV1490" t="str">
        <f>"JOB OFFERED OR RELATED OCCUPATION."</f>
        <v>JOB OFFERED OR RELATED OCCUPATION.</v>
      </c>
      <c r="BW1490" t="s">
        <v>135</v>
      </c>
      <c r="BX1490" t="str">
        <f>""</f>
        <v/>
      </c>
      <c r="BY1490" t="str">
        <f>""</f>
        <v/>
      </c>
      <c r="BZ1490" t="str">
        <f>""</f>
        <v/>
      </c>
      <c r="CA1490" t="str">
        <f>"SKILLS REQUIRED: OSPF, BGP, PALO ALTO, CISCO ASA, SPANNING TREE AND TRUNKING."</f>
        <v>SKILLS REQUIRED: OSPF, BGP, PALO ALTO, CISCO ASA, SPANNING TREE AND TRUNKING.</v>
      </c>
      <c r="CB1490" t="s">
        <v>135</v>
      </c>
      <c r="CC1490" t="s">
        <v>133</v>
      </c>
      <c r="CE1490" t="s">
        <v>847</v>
      </c>
      <c r="CF1490" t="s">
        <v>131</v>
      </c>
      <c r="CH1490" t="str">
        <f>"N/A"</f>
        <v>N/A</v>
      </c>
      <c r="CI1490" t="s">
        <v>135</v>
      </c>
      <c r="CJ1490">
        <v>60</v>
      </c>
      <c r="CK1490" t="s">
        <v>135</v>
      </c>
      <c r="CL1490" t="str">
        <f>""</f>
        <v/>
      </c>
      <c r="CM1490" t="str">
        <f>""</f>
        <v/>
      </c>
      <c r="CN1490" t="str">
        <f>""</f>
        <v/>
      </c>
      <c r="CO1490" t="str">
        <f>"SAME AS F.b.5.a"</f>
        <v>SAME AS F.b.5.a</v>
      </c>
      <c r="CP1490" t="str">
        <f>"15-1142.00"</f>
        <v>15-1142.00</v>
      </c>
      <c r="CQ1490" t="s">
        <v>960</v>
      </c>
      <c r="CR1490" t="s">
        <v>849</v>
      </c>
      <c r="CS1490" t="s">
        <v>131</v>
      </c>
      <c r="CU1490" t="s">
        <v>6909</v>
      </c>
      <c r="CW1490" t="s">
        <v>4862</v>
      </c>
      <c r="CX1490" t="s">
        <v>276</v>
      </c>
      <c r="CZ1490" s="3" t="str">
        <f>"08540"</f>
        <v>08540</v>
      </c>
      <c r="DA1490" t="s">
        <v>131</v>
      </c>
      <c r="DB1490" t="str">
        <f>""</f>
        <v/>
      </c>
      <c r="DF1490" t="str">
        <f>""</f>
        <v/>
      </c>
    </row>
    <row r="1491" spans="1:110" ht="15" customHeight="1" x14ac:dyDescent="0.35">
      <c r="A1491" t="s">
        <v>14572</v>
      </c>
      <c r="B1491" t="s">
        <v>138</v>
      </c>
      <c r="C1491" s="1">
        <v>44333</v>
      </c>
      <c r="G1491" s="1">
        <v>44350</v>
      </c>
      <c r="H1491" t="s">
        <v>125</v>
      </c>
      <c r="I1491" t="s">
        <v>14573</v>
      </c>
      <c r="J1491" t="s">
        <v>10039</v>
      </c>
      <c r="L1491" t="s">
        <v>14574</v>
      </c>
      <c r="M1491" t="s">
        <v>14575</v>
      </c>
      <c r="O1491" t="s">
        <v>14576</v>
      </c>
      <c r="P1491" t="s">
        <v>2340</v>
      </c>
      <c r="Q1491" s="3">
        <v>67601</v>
      </c>
      <c r="R1491" t="s">
        <v>128</v>
      </c>
      <c r="T1491" s="4">
        <v>17856284233</v>
      </c>
      <c r="V1491" t="s">
        <v>14577</v>
      </c>
      <c r="W1491" t="s">
        <v>14578</v>
      </c>
      <c r="Y1491" t="s">
        <v>14575</v>
      </c>
      <c r="AA1491" t="s">
        <v>14576</v>
      </c>
      <c r="AB1491" t="s">
        <v>1551</v>
      </c>
      <c r="AC1491" s="3" t="str">
        <f>"67601-4099"</f>
        <v>67601-4099</v>
      </c>
      <c r="AD1491" t="s">
        <v>128</v>
      </c>
      <c r="AF1491" s="4">
        <v>17856284241</v>
      </c>
      <c r="AH1491" t="str">
        <f>"611310"</f>
        <v>611310</v>
      </c>
      <c r="AI1491" t="s">
        <v>130</v>
      </c>
      <c r="AJ1491" t="s">
        <v>10878</v>
      </c>
      <c r="AK1491" t="s">
        <v>3468</v>
      </c>
      <c r="AM1491" t="s">
        <v>1395</v>
      </c>
      <c r="AO1491" t="s">
        <v>1396</v>
      </c>
      <c r="AP1491" t="s">
        <v>258</v>
      </c>
      <c r="AQ1491" s="5">
        <v>64116</v>
      </c>
      <c r="AR1491" t="s">
        <v>128</v>
      </c>
      <c r="AT1491" s="4">
        <v>18162215444</v>
      </c>
      <c r="AV1491" t="s">
        <v>10557</v>
      </c>
      <c r="AW1491" t="s">
        <v>1398</v>
      </c>
      <c r="AX1491" t="s">
        <v>135</v>
      </c>
      <c r="AY1491" t="s">
        <v>135</v>
      </c>
      <c r="AZ1491" t="s">
        <v>131</v>
      </c>
      <c r="BA1491" t="s">
        <v>131</v>
      </c>
      <c r="BB1491" t="s">
        <v>134</v>
      </c>
      <c r="BC1491" t="s">
        <v>131</v>
      </c>
      <c r="BD1491" t="s">
        <v>131</v>
      </c>
      <c r="BE1491" t="s">
        <v>132</v>
      </c>
      <c r="BH1491" t="s">
        <v>11232</v>
      </c>
      <c r="BI1491" t="s">
        <v>131</v>
      </c>
      <c r="BL1491" t="s">
        <v>447</v>
      </c>
      <c r="BN1491" t="s">
        <v>14579</v>
      </c>
      <c r="BO1491" t="s">
        <v>131</v>
      </c>
      <c r="BP1491" t="s">
        <v>134</v>
      </c>
      <c r="BQ1491" t="s">
        <v>131</v>
      </c>
      <c r="BS1491" t="str">
        <f t="shared" si="94"/>
        <v>N/A</v>
      </c>
      <c r="BT1491" t="s">
        <v>131</v>
      </c>
      <c r="BV1491" t="str">
        <f>""</f>
        <v/>
      </c>
      <c r="BW1491" t="s">
        <v>135</v>
      </c>
      <c r="BX1491" t="str">
        <f>""</f>
        <v/>
      </c>
      <c r="BY1491" t="str">
        <f>""</f>
        <v/>
      </c>
      <c r="BZ1491" t="str">
        <f>""</f>
        <v/>
      </c>
      <c r="CA1491" t="str">
        <f>"PhD in Computer Science or a closely related field from an accredited institution is required.  Employer will consider ABD status with required completion of Doctorate within one year."</f>
        <v>PhD in Computer Science or a closely related field from an accredited institution is required.  Employer will consider ABD status with required completion of Doctorate within one year.</v>
      </c>
      <c r="CB1491" t="s">
        <v>135</v>
      </c>
      <c r="CC1491" t="s">
        <v>658</v>
      </c>
      <c r="CD1491" t="s">
        <v>14580</v>
      </c>
      <c r="CE1491" t="s">
        <v>14579</v>
      </c>
      <c r="CF1491" t="s">
        <v>131</v>
      </c>
      <c r="CH1491" t="str">
        <f>"N/A"</f>
        <v>N/A</v>
      </c>
      <c r="CI1491" t="s">
        <v>131</v>
      </c>
      <c r="CK1491" t="s">
        <v>135</v>
      </c>
      <c r="CL1491" t="str">
        <f>""</f>
        <v/>
      </c>
      <c r="CM1491" t="str">
        <f>""</f>
        <v/>
      </c>
      <c r="CN1491" t="str">
        <f>""</f>
        <v/>
      </c>
      <c r="CO1491" t="str">
        <f>"PhD in Computer Science or a closely related field from an accredited institution is required.  Employer will consider ABD status with required completion of Doctorate within one year."</f>
        <v>PhD in Computer Science or a closely related field from an accredited institution is required.  Employer will consider ABD status with required completion of Doctorate within one year.</v>
      </c>
      <c r="CP1491" t="str">
        <f>"25-1021.00"</f>
        <v>25-1021.00</v>
      </c>
      <c r="CQ1491" t="s">
        <v>3205</v>
      </c>
      <c r="CR1491" t="s">
        <v>1400</v>
      </c>
      <c r="CS1491" t="s">
        <v>131</v>
      </c>
      <c r="CU1491" t="s">
        <v>14575</v>
      </c>
      <c r="CW1491" t="s">
        <v>14576</v>
      </c>
      <c r="CX1491" t="s">
        <v>1551</v>
      </c>
      <c r="CZ1491" s="3" t="str">
        <f>"67601"</f>
        <v>67601</v>
      </c>
      <c r="DA1491" t="s">
        <v>131</v>
      </c>
      <c r="DB1491" t="str">
        <f>""</f>
        <v/>
      </c>
      <c r="DF1491" t="str">
        <f>""</f>
        <v/>
      </c>
    </row>
    <row r="1492" spans="1:110" ht="15" customHeight="1" x14ac:dyDescent="0.35">
      <c r="A1492" t="s">
        <v>7603</v>
      </c>
      <c r="B1492" t="s">
        <v>138</v>
      </c>
      <c r="C1492" s="1">
        <v>44333</v>
      </c>
      <c r="G1492" s="1">
        <v>44333</v>
      </c>
      <c r="H1492" t="s">
        <v>125</v>
      </c>
      <c r="I1492" t="s">
        <v>838</v>
      </c>
      <c r="J1492" t="s">
        <v>839</v>
      </c>
      <c r="K1492" t="s">
        <v>840</v>
      </c>
      <c r="L1492" t="s">
        <v>2565</v>
      </c>
      <c r="M1492" t="s">
        <v>841</v>
      </c>
      <c r="N1492" t="s">
        <v>842</v>
      </c>
      <c r="O1492" t="s">
        <v>843</v>
      </c>
      <c r="P1492" t="s">
        <v>273</v>
      </c>
      <c r="Q1492" s="3">
        <v>7080</v>
      </c>
      <c r="R1492" t="s">
        <v>128</v>
      </c>
      <c r="T1492" s="4">
        <v>17328327978</v>
      </c>
      <c r="V1492" t="s">
        <v>844</v>
      </c>
      <c r="W1492" t="s">
        <v>5861</v>
      </c>
      <c r="Y1492" t="s">
        <v>5862</v>
      </c>
      <c r="Z1492" t="s">
        <v>5863</v>
      </c>
      <c r="AA1492" t="s">
        <v>5864</v>
      </c>
      <c r="AB1492" t="s">
        <v>129</v>
      </c>
      <c r="AC1492" s="3" t="str">
        <f>"11788"</f>
        <v>11788</v>
      </c>
      <c r="AD1492" t="s">
        <v>128</v>
      </c>
      <c r="AF1492" s="4">
        <v>13023668960</v>
      </c>
      <c r="AH1492" t="str">
        <f>"541519"</f>
        <v>541519</v>
      </c>
      <c r="AI1492" t="s">
        <v>130</v>
      </c>
      <c r="AJ1492" t="s">
        <v>838</v>
      </c>
      <c r="AK1492" t="s">
        <v>839</v>
      </c>
      <c r="AL1492" t="s">
        <v>840</v>
      </c>
      <c r="AM1492" t="s">
        <v>841</v>
      </c>
      <c r="AN1492" t="s">
        <v>842</v>
      </c>
      <c r="AO1492" t="s">
        <v>843</v>
      </c>
      <c r="AP1492" t="s">
        <v>276</v>
      </c>
      <c r="AQ1492" s="5">
        <v>7080</v>
      </c>
      <c r="AR1492" t="s">
        <v>128</v>
      </c>
      <c r="AT1492" s="4">
        <v>17328327978</v>
      </c>
      <c r="AV1492" t="s">
        <v>844</v>
      </c>
      <c r="AW1492" t="s">
        <v>2570</v>
      </c>
      <c r="AX1492" t="s">
        <v>131</v>
      </c>
      <c r="AY1492" t="s">
        <v>131</v>
      </c>
      <c r="AZ1492" t="s">
        <v>131</v>
      </c>
      <c r="BA1492" t="s">
        <v>131</v>
      </c>
      <c r="BB1492" t="s">
        <v>131</v>
      </c>
      <c r="BC1492" t="s">
        <v>131</v>
      </c>
      <c r="BD1492" t="s">
        <v>131</v>
      </c>
      <c r="BE1492" t="s">
        <v>132</v>
      </c>
      <c r="BH1492" t="s">
        <v>846</v>
      </c>
      <c r="BI1492" t="s">
        <v>131</v>
      </c>
      <c r="BL1492" t="s">
        <v>188</v>
      </c>
      <c r="BN1492" t="s">
        <v>847</v>
      </c>
      <c r="BO1492" t="s">
        <v>131</v>
      </c>
      <c r="BP1492" t="s">
        <v>134</v>
      </c>
      <c r="BQ1492" t="s">
        <v>131</v>
      </c>
      <c r="BS1492" t="str">
        <f t="shared" si="94"/>
        <v>N/A</v>
      </c>
      <c r="BT1492" t="s">
        <v>135</v>
      </c>
      <c r="BU1492">
        <v>12</v>
      </c>
      <c r="BV1492" t="str">
        <f>"JOB OFFERED OR RELATED OCCUPATION."</f>
        <v>JOB OFFERED OR RELATED OCCUPATION.</v>
      </c>
      <c r="BW1492" t="s">
        <v>135</v>
      </c>
      <c r="BX1492" t="str">
        <f>""</f>
        <v/>
      </c>
      <c r="BY1492" t="str">
        <f>""</f>
        <v/>
      </c>
      <c r="BZ1492" t="str">
        <f>""</f>
        <v/>
      </c>
      <c r="CA1492" t="str">
        <f>"SKILLS REQUIRED: JAVA, REST, SPRING BOOT, HIBERNATE, JUNIT, JENKINS, RALLY AND J2EE
"</f>
        <v xml:space="preserve">SKILLS REQUIRED: JAVA, REST, SPRING BOOT, HIBERNATE, JUNIT, JENKINS, RALLY AND J2EE
</v>
      </c>
      <c r="CB1492" t="s">
        <v>135</v>
      </c>
      <c r="CC1492" t="s">
        <v>133</v>
      </c>
      <c r="CE1492" t="s">
        <v>847</v>
      </c>
      <c r="CF1492" t="s">
        <v>131</v>
      </c>
      <c r="CH1492" t="str">
        <f>"N/A"</f>
        <v>N/A</v>
      </c>
      <c r="CI1492" t="s">
        <v>135</v>
      </c>
      <c r="CJ1492">
        <v>60</v>
      </c>
      <c r="CK1492" t="s">
        <v>135</v>
      </c>
      <c r="CL1492" t="str">
        <f>""</f>
        <v/>
      </c>
      <c r="CM1492" t="str">
        <f>""</f>
        <v/>
      </c>
      <c r="CN1492" t="str">
        <f>""</f>
        <v/>
      </c>
      <c r="CO1492" t="str">
        <f>"SAME AS F.b.5.a"</f>
        <v>SAME AS F.b.5.a</v>
      </c>
      <c r="CP1492" t="str">
        <f>"15-1132.00"</f>
        <v>15-1132.00</v>
      </c>
      <c r="CQ1492" t="s">
        <v>198</v>
      </c>
      <c r="CR1492" t="s">
        <v>849</v>
      </c>
      <c r="CS1492" t="s">
        <v>131</v>
      </c>
      <c r="CU1492" t="s">
        <v>5862</v>
      </c>
      <c r="CV1492" t="s">
        <v>5866</v>
      </c>
      <c r="CW1492" t="s">
        <v>5864</v>
      </c>
      <c r="CX1492" t="s">
        <v>129</v>
      </c>
      <c r="CZ1492" s="3" t="str">
        <f>"11788"</f>
        <v>11788</v>
      </c>
      <c r="DA1492" t="s">
        <v>131</v>
      </c>
      <c r="DB1492" t="str">
        <f>""</f>
        <v/>
      </c>
      <c r="DF1492" t="str">
        <f>""</f>
        <v/>
      </c>
    </row>
    <row r="1493" spans="1:110" ht="15" customHeight="1" x14ac:dyDescent="0.35">
      <c r="A1493" t="s">
        <v>8773</v>
      </c>
      <c r="B1493" t="s">
        <v>138</v>
      </c>
      <c r="C1493" s="1">
        <v>44333</v>
      </c>
      <c r="G1493" s="1">
        <v>44350</v>
      </c>
      <c r="H1493" t="s">
        <v>125</v>
      </c>
      <c r="I1493" t="s">
        <v>838</v>
      </c>
      <c r="J1493" t="s">
        <v>839</v>
      </c>
      <c r="K1493" t="s">
        <v>1933</v>
      </c>
      <c r="L1493" t="s">
        <v>2565</v>
      </c>
      <c r="M1493" t="s">
        <v>841</v>
      </c>
      <c r="N1493" t="s">
        <v>842</v>
      </c>
      <c r="O1493" t="s">
        <v>843</v>
      </c>
      <c r="P1493" t="s">
        <v>273</v>
      </c>
      <c r="Q1493" s="3">
        <v>7080</v>
      </c>
      <c r="R1493" t="s">
        <v>128</v>
      </c>
      <c r="T1493" s="4">
        <v>17328327978</v>
      </c>
      <c r="V1493" t="s">
        <v>844</v>
      </c>
      <c r="W1493" t="s">
        <v>8774</v>
      </c>
      <c r="Y1493" t="s">
        <v>8775</v>
      </c>
      <c r="Z1493" t="s">
        <v>515</v>
      </c>
      <c r="AA1493" t="s">
        <v>1479</v>
      </c>
      <c r="AB1493" t="s">
        <v>276</v>
      </c>
      <c r="AC1493" s="3" t="str">
        <f>"08837"</f>
        <v>08837</v>
      </c>
      <c r="AD1493" t="s">
        <v>128</v>
      </c>
      <c r="AF1493" s="4">
        <v>17329936016</v>
      </c>
      <c r="AH1493" t="str">
        <f>"541511"</f>
        <v>541511</v>
      </c>
      <c r="AI1493" t="s">
        <v>130</v>
      </c>
      <c r="AJ1493" t="s">
        <v>838</v>
      </c>
      <c r="AK1493" t="s">
        <v>839</v>
      </c>
      <c r="AL1493" t="s">
        <v>1933</v>
      </c>
      <c r="AM1493" t="s">
        <v>841</v>
      </c>
      <c r="AN1493" t="s">
        <v>842</v>
      </c>
      <c r="AO1493" t="s">
        <v>843</v>
      </c>
      <c r="AP1493" t="s">
        <v>276</v>
      </c>
      <c r="AQ1493" s="5">
        <v>7080</v>
      </c>
      <c r="AR1493" t="s">
        <v>128</v>
      </c>
      <c r="AT1493" s="4">
        <v>17328327978</v>
      </c>
      <c r="AV1493" t="s">
        <v>844</v>
      </c>
      <c r="AW1493" t="s">
        <v>3328</v>
      </c>
      <c r="AX1493" t="s">
        <v>131</v>
      </c>
      <c r="AY1493" t="s">
        <v>131</v>
      </c>
      <c r="AZ1493" t="s">
        <v>131</v>
      </c>
      <c r="BA1493" t="s">
        <v>131</v>
      </c>
      <c r="BB1493" t="s">
        <v>131</v>
      </c>
      <c r="BC1493" t="s">
        <v>131</v>
      </c>
      <c r="BD1493" t="s">
        <v>131</v>
      </c>
      <c r="BE1493" t="s">
        <v>132</v>
      </c>
      <c r="BH1493" t="s">
        <v>500</v>
      </c>
      <c r="BI1493" t="s">
        <v>131</v>
      </c>
      <c r="BL1493" t="s">
        <v>307</v>
      </c>
      <c r="BN1493" t="s">
        <v>8776</v>
      </c>
      <c r="BO1493" t="s">
        <v>131</v>
      </c>
      <c r="BP1493" t="s">
        <v>134</v>
      </c>
      <c r="BQ1493" t="s">
        <v>131</v>
      </c>
      <c r="BS1493" t="str">
        <f t="shared" si="94"/>
        <v>N/A</v>
      </c>
      <c r="BT1493" t="s">
        <v>135</v>
      </c>
      <c r="BU1493">
        <v>24</v>
      </c>
      <c r="BV1493" t="str">
        <f>"job offered or related occupation"</f>
        <v>job offered or related occupation</v>
      </c>
      <c r="BW1493" t="s">
        <v>135</v>
      </c>
      <c r="BX1493" t="str">
        <f>""</f>
        <v/>
      </c>
      <c r="BY1493" t="str">
        <f>""</f>
        <v/>
      </c>
      <c r="BZ1493" t="str">
        <f>""</f>
        <v/>
      </c>
      <c r="CA1493" t="str">
        <f>"SKILLS REQUIRED: ALM, JIRA REMEDY, COGNOS, MIDAS, CITRIX AND IQOQ."</f>
        <v>SKILLS REQUIRED: ALM, JIRA REMEDY, COGNOS, MIDAS, CITRIX AND IQOQ.</v>
      </c>
      <c r="CB1493" t="s">
        <v>131</v>
      </c>
      <c r="CF1493" t="s">
        <v>131</v>
      </c>
      <c r="CH1493" t="str">
        <f>""</f>
        <v/>
      </c>
      <c r="CI1493" t="s">
        <v>131</v>
      </c>
      <c r="CK1493" t="s">
        <v>131</v>
      </c>
      <c r="CL1493" t="str">
        <f>""</f>
        <v/>
      </c>
      <c r="CM1493" t="str">
        <f>""</f>
        <v/>
      </c>
      <c r="CN1493" t="str">
        <f>""</f>
        <v/>
      </c>
      <c r="CO1493" t="str">
        <f>""</f>
        <v/>
      </c>
      <c r="CP1493" t="str">
        <f>"15-1132.00"</f>
        <v>15-1132.00</v>
      </c>
      <c r="CQ1493" t="s">
        <v>198</v>
      </c>
      <c r="CR1493" t="s">
        <v>849</v>
      </c>
      <c r="CS1493" t="s">
        <v>131</v>
      </c>
      <c r="CU1493" t="s">
        <v>8775</v>
      </c>
      <c r="CV1493" t="s">
        <v>8777</v>
      </c>
      <c r="CW1493" t="s">
        <v>1479</v>
      </c>
      <c r="CX1493" t="s">
        <v>276</v>
      </c>
      <c r="CZ1493" s="3" t="str">
        <f>"08837"</f>
        <v>08837</v>
      </c>
      <c r="DA1493" t="s">
        <v>131</v>
      </c>
      <c r="DB1493" t="str">
        <f>""</f>
        <v/>
      </c>
      <c r="DF1493" t="str">
        <f>""</f>
        <v/>
      </c>
    </row>
    <row r="1494" spans="1:110" ht="15" customHeight="1" x14ac:dyDescent="0.35">
      <c r="A1494" t="s">
        <v>9785</v>
      </c>
      <c r="B1494" t="s">
        <v>138</v>
      </c>
      <c r="C1494" s="1">
        <v>44333</v>
      </c>
      <c r="G1494" s="1">
        <v>44333</v>
      </c>
      <c r="H1494" t="s">
        <v>125</v>
      </c>
      <c r="I1494" t="s">
        <v>838</v>
      </c>
      <c r="J1494" t="s">
        <v>839</v>
      </c>
      <c r="K1494" t="s">
        <v>840</v>
      </c>
      <c r="L1494" t="s">
        <v>2565</v>
      </c>
      <c r="M1494" t="s">
        <v>841</v>
      </c>
      <c r="N1494" t="s">
        <v>842</v>
      </c>
      <c r="O1494" t="s">
        <v>843</v>
      </c>
      <c r="P1494" t="s">
        <v>273</v>
      </c>
      <c r="Q1494" s="3">
        <v>7080</v>
      </c>
      <c r="R1494" t="s">
        <v>128</v>
      </c>
      <c r="T1494" s="4">
        <v>17328327978</v>
      </c>
      <c r="V1494" t="s">
        <v>844</v>
      </c>
      <c r="W1494" t="s">
        <v>9786</v>
      </c>
      <c r="Y1494" t="s">
        <v>841</v>
      </c>
      <c r="Z1494" t="s">
        <v>9787</v>
      </c>
      <c r="AA1494" t="s">
        <v>843</v>
      </c>
      <c r="AB1494" t="s">
        <v>276</v>
      </c>
      <c r="AC1494" s="3" t="str">
        <f>"07080"</f>
        <v>07080</v>
      </c>
      <c r="AD1494" t="s">
        <v>128</v>
      </c>
      <c r="AF1494" s="4">
        <v>19084584056</v>
      </c>
      <c r="AH1494" t="str">
        <f>"541511"</f>
        <v>541511</v>
      </c>
      <c r="AI1494" t="s">
        <v>130</v>
      </c>
      <c r="AJ1494" t="s">
        <v>838</v>
      </c>
      <c r="AK1494" t="s">
        <v>839</v>
      </c>
      <c r="AL1494" t="s">
        <v>840</v>
      </c>
      <c r="AM1494" t="s">
        <v>841</v>
      </c>
      <c r="AN1494" t="s">
        <v>842</v>
      </c>
      <c r="AO1494" t="s">
        <v>843</v>
      </c>
      <c r="AP1494" t="s">
        <v>276</v>
      </c>
      <c r="AQ1494" s="5">
        <v>7080</v>
      </c>
      <c r="AR1494" t="s">
        <v>128</v>
      </c>
      <c r="AT1494" s="4">
        <v>17328327978</v>
      </c>
      <c r="AV1494" t="s">
        <v>844</v>
      </c>
      <c r="AW1494" t="s">
        <v>2570</v>
      </c>
      <c r="AX1494" t="s">
        <v>131</v>
      </c>
      <c r="AY1494" t="s">
        <v>131</v>
      </c>
      <c r="AZ1494" t="s">
        <v>131</v>
      </c>
      <c r="BA1494" t="s">
        <v>131</v>
      </c>
      <c r="BB1494" t="s">
        <v>131</v>
      </c>
      <c r="BC1494" t="s">
        <v>131</v>
      </c>
      <c r="BD1494" t="s">
        <v>131</v>
      </c>
      <c r="BE1494" t="s">
        <v>132</v>
      </c>
      <c r="BH1494" t="s">
        <v>3291</v>
      </c>
      <c r="BI1494" t="s">
        <v>131</v>
      </c>
      <c r="BL1494" t="s">
        <v>188</v>
      </c>
      <c r="BN1494" t="s">
        <v>847</v>
      </c>
      <c r="BO1494" t="s">
        <v>131</v>
      </c>
      <c r="BP1494" t="s">
        <v>134</v>
      </c>
      <c r="BQ1494" t="s">
        <v>131</v>
      </c>
      <c r="BS1494" t="str">
        <f t="shared" si="94"/>
        <v>N/A</v>
      </c>
      <c r="BT1494" t="s">
        <v>135</v>
      </c>
      <c r="BU1494">
        <v>12</v>
      </c>
      <c r="BV1494" t="str">
        <f>"JOB OFFERED OR RELATED OCCUPATION."</f>
        <v>JOB OFFERED OR RELATED OCCUPATION.</v>
      </c>
      <c r="BW1494" t="s">
        <v>135</v>
      </c>
      <c r="BX1494" t="str">
        <f>""</f>
        <v/>
      </c>
      <c r="BY1494" t="str">
        <f>""</f>
        <v/>
      </c>
      <c r="BZ1494" t="str">
        <f>""</f>
        <v/>
      </c>
      <c r="CA1494" t="str">
        <f>"SKILLS REQUIRED: ECLIPSE, MS VISIO, AXURE, IBM JAZZ, KAFKA, XML, JSON AND BIRT."</f>
        <v>SKILLS REQUIRED: ECLIPSE, MS VISIO, AXURE, IBM JAZZ, KAFKA, XML, JSON AND BIRT.</v>
      </c>
      <c r="CB1494" t="s">
        <v>135</v>
      </c>
      <c r="CC1494" t="s">
        <v>133</v>
      </c>
      <c r="CE1494" t="s">
        <v>847</v>
      </c>
      <c r="CF1494" t="s">
        <v>131</v>
      </c>
      <c r="CH1494" t="str">
        <f>"N/A"</f>
        <v>N/A</v>
      </c>
      <c r="CI1494" t="s">
        <v>135</v>
      </c>
      <c r="CJ1494">
        <v>60</v>
      </c>
      <c r="CK1494" t="s">
        <v>135</v>
      </c>
      <c r="CL1494" t="str">
        <f>""</f>
        <v/>
      </c>
      <c r="CM1494" t="str">
        <f>""</f>
        <v/>
      </c>
      <c r="CN1494" t="str">
        <f>""</f>
        <v/>
      </c>
      <c r="CO1494" t="str">
        <f>"SAME AS F.b.5.a"</f>
        <v>SAME AS F.b.5.a</v>
      </c>
      <c r="CP1494" t="str">
        <f>"15-1121.00"</f>
        <v>15-1121.00</v>
      </c>
      <c r="CQ1494" t="s">
        <v>283</v>
      </c>
      <c r="CR1494" t="s">
        <v>849</v>
      </c>
      <c r="CS1494" t="s">
        <v>131</v>
      </c>
      <c r="CU1494" t="s">
        <v>841</v>
      </c>
      <c r="CV1494" t="s">
        <v>9788</v>
      </c>
      <c r="CW1494" t="s">
        <v>843</v>
      </c>
      <c r="CX1494" t="s">
        <v>276</v>
      </c>
      <c r="CZ1494" s="3" t="str">
        <f>"07080"</f>
        <v>07080</v>
      </c>
      <c r="DA1494" t="s">
        <v>131</v>
      </c>
      <c r="DB1494" t="str">
        <f>""</f>
        <v/>
      </c>
      <c r="DF1494" t="str">
        <f>""</f>
        <v/>
      </c>
    </row>
    <row r="1495" spans="1:110" ht="15" customHeight="1" x14ac:dyDescent="0.35">
      <c r="A1495" t="s">
        <v>8704</v>
      </c>
      <c r="B1495" t="s">
        <v>138</v>
      </c>
      <c r="C1495" s="1">
        <v>44333</v>
      </c>
      <c r="G1495" s="1">
        <v>44350</v>
      </c>
      <c r="H1495" t="s">
        <v>125</v>
      </c>
      <c r="I1495" t="s">
        <v>838</v>
      </c>
      <c r="J1495" t="s">
        <v>839</v>
      </c>
      <c r="K1495" t="s">
        <v>1933</v>
      </c>
      <c r="L1495" t="s">
        <v>2565</v>
      </c>
      <c r="M1495" t="s">
        <v>841</v>
      </c>
      <c r="N1495" t="s">
        <v>842</v>
      </c>
      <c r="O1495" t="s">
        <v>843</v>
      </c>
      <c r="P1495" t="s">
        <v>273</v>
      </c>
      <c r="Q1495" s="3">
        <v>7080</v>
      </c>
      <c r="R1495" t="s">
        <v>128</v>
      </c>
      <c r="T1495" s="4">
        <v>17328327978</v>
      </c>
      <c r="V1495" t="s">
        <v>844</v>
      </c>
      <c r="W1495" t="s">
        <v>7790</v>
      </c>
      <c r="Y1495" t="s">
        <v>7791</v>
      </c>
      <c r="Z1495" t="s">
        <v>3384</v>
      </c>
      <c r="AA1495" t="s">
        <v>1154</v>
      </c>
      <c r="AB1495" t="s">
        <v>276</v>
      </c>
      <c r="AC1495" s="3" t="str">
        <f>"08873"</f>
        <v>08873</v>
      </c>
      <c r="AD1495" t="s">
        <v>128</v>
      </c>
      <c r="AF1495" s="4">
        <v>17329067806</v>
      </c>
      <c r="AH1495" t="str">
        <f>"541511"</f>
        <v>541511</v>
      </c>
      <c r="AI1495" t="s">
        <v>130</v>
      </c>
      <c r="AJ1495" t="s">
        <v>838</v>
      </c>
      <c r="AK1495" t="s">
        <v>839</v>
      </c>
      <c r="AL1495" t="s">
        <v>1933</v>
      </c>
      <c r="AM1495" t="s">
        <v>841</v>
      </c>
      <c r="AN1495" t="s">
        <v>842</v>
      </c>
      <c r="AO1495" t="s">
        <v>843</v>
      </c>
      <c r="AP1495" t="s">
        <v>276</v>
      </c>
      <c r="AQ1495" s="5">
        <v>7080</v>
      </c>
      <c r="AR1495" t="s">
        <v>128</v>
      </c>
      <c r="AT1495" s="4">
        <v>17328327978</v>
      </c>
      <c r="AV1495" t="s">
        <v>844</v>
      </c>
      <c r="AW1495" t="s">
        <v>3328</v>
      </c>
      <c r="AX1495" t="s">
        <v>131</v>
      </c>
      <c r="AY1495" t="s">
        <v>131</v>
      </c>
      <c r="AZ1495" t="s">
        <v>131</v>
      </c>
      <c r="BA1495" t="s">
        <v>131</v>
      </c>
      <c r="BB1495" t="s">
        <v>131</v>
      </c>
      <c r="BC1495" t="s">
        <v>131</v>
      </c>
      <c r="BD1495" t="s">
        <v>131</v>
      </c>
      <c r="BE1495" t="s">
        <v>132</v>
      </c>
      <c r="BH1495" t="s">
        <v>846</v>
      </c>
      <c r="BI1495" t="s">
        <v>131</v>
      </c>
      <c r="BL1495" t="s">
        <v>133</v>
      </c>
      <c r="BN1495" t="s">
        <v>6112</v>
      </c>
      <c r="BO1495" t="s">
        <v>131</v>
      </c>
      <c r="BP1495" t="s">
        <v>134</v>
      </c>
      <c r="BQ1495" t="s">
        <v>131</v>
      </c>
      <c r="BS1495" t="str">
        <f t="shared" si="94"/>
        <v>N/A</v>
      </c>
      <c r="BT1495" t="s">
        <v>135</v>
      </c>
      <c r="BU1495">
        <v>12</v>
      </c>
      <c r="BV1495" t="str">
        <f>"job offered or related occupation"</f>
        <v>job offered or related occupation</v>
      </c>
      <c r="BW1495" t="s">
        <v>135</v>
      </c>
      <c r="BX1495" t="str">
        <f>""</f>
        <v/>
      </c>
      <c r="BY1495" t="str">
        <f>""</f>
        <v/>
      </c>
      <c r="BZ1495" t="str">
        <f>""</f>
        <v/>
      </c>
      <c r="CA1495" t="str">
        <f>"SKILLS REQUIRED: JAVA, JAVASCRIPT, ANGULAR/REACT FRAMEWORK, CSS, HTML, BOOTSTRAP, JSON, AJAX, JQUERY, MYSQL, AND MONGO DB."</f>
        <v>SKILLS REQUIRED: JAVA, JAVASCRIPT, ANGULAR/REACT FRAMEWORK, CSS, HTML, BOOTSTRAP, JSON, AJAX, JQUERY, MYSQL, AND MONGO DB.</v>
      </c>
      <c r="CB1495" t="s">
        <v>131</v>
      </c>
      <c r="CF1495" t="s">
        <v>131</v>
      </c>
      <c r="CH1495" t="str">
        <f>""</f>
        <v/>
      </c>
      <c r="CI1495" t="s">
        <v>131</v>
      </c>
      <c r="CK1495" t="s">
        <v>131</v>
      </c>
      <c r="CL1495" t="str">
        <f>""</f>
        <v/>
      </c>
      <c r="CM1495" t="str">
        <f>""</f>
        <v/>
      </c>
      <c r="CN1495" t="str">
        <f>""</f>
        <v/>
      </c>
      <c r="CO1495" t="str">
        <f>""</f>
        <v/>
      </c>
      <c r="CP1495" t="str">
        <f>"15-1132.00"</f>
        <v>15-1132.00</v>
      </c>
      <c r="CQ1495" t="s">
        <v>198</v>
      </c>
      <c r="CR1495" t="s">
        <v>849</v>
      </c>
      <c r="CS1495" t="s">
        <v>131</v>
      </c>
      <c r="CU1495" t="s">
        <v>7791</v>
      </c>
      <c r="CV1495" t="s">
        <v>6949</v>
      </c>
      <c r="CW1495" t="s">
        <v>1154</v>
      </c>
      <c r="CX1495" t="s">
        <v>276</v>
      </c>
      <c r="CZ1495" s="3" t="str">
        <f>"08873"</f>
        <v>08873</v>
      </c>
      <c r="DA1495" t="s">
        <v>131</v>
      </c>
      <c r="DB1495" t="str">
        <f>""</f>
        <v/>
      </c>
      <c r="DF1495" t="str">
        <f>""</f>
        <v/>
      </c>
    </row>
    <row r="1496" spans="1:110" ht="15" customHeight="1" x14ac:dyDescent="0.35">
      <c r="A1496" t="s">
        <v>19839</v>
      </c>
      <c r="B1496" t="s">
        <v>138</v>
      </c>
      <c r="C1496" s="1">
        <v>44333</v>
      </c>
      <c r="G1496" s="1">
        <v>44333</v>
      </c>
      <c r="H1496" t="s">
        <v>125</v>
      </c>
      <c r="I1496" t="s">
        <v>16927</v>
      </c>
      <c r="J1496" t="s">
        <v>16928</v>
      </c>
      <c r="L1496" t="s">
        <v>1105</v>
      </c>
      <c r="M1496" t="s">
        <v>16929</v>
      </c>
      <c r="O1496" t="s">
        <v>1504</v>
      </c>
      <c r="P1496" t="s">
        <v>602</v>
      </c>
      <c r="Q1496" s="3">
        <v>57523</v>
      </c>
      <c r="R1496" t="s">
        <v>128</v>
      </c>
      <c r="T1496" s="4">
        <v>16058309795</v>
      </c>
      <c r="V1496" t="s">
        <v>19840</v>
      </c>
      <c r="W1496" t="s">
        <v>16930</v>
      </c>
      <c r="Y1496" t="s">
        <v>16929</v>
      </c>
      <c r="AA1496" t="s">
        <v>1504</v>
      </c>
      <c r="AB1496" t="s">
        <v>603</v>
      </c>
      <c r="AC1496" s="3" t="str">
        <f>"57523"</f>
        <v>57523</v>
      </c>
      <c r="AD1496" t="s">
        <v>128</v>
      </c>
      <c r="AF1496" s="4">
        <v>16058309795</v>
      </c>
      <c r="AH1496" t="str">
        <f>"1119"</f>
        <v>1119</v>
      </c>
      <c r="AI1496" t="s">
        <v>130</v>
      </c>
      <c r="AJ1496" t="s">
        <v>16931</v>
      </c>
      <c r="AK1496" t="s">
        <v>994</v>
      </c>
      <c r="AL1496" t="s">
        <v>695</v>
      </c>
      <c r="AM1496" t="s">
        <v>16932</v>
      </c>
      <c r="AO1496" t="s">
        <v>1504</v>
      </c>
      <c r="AP1496" t="s">
        <v>603</v>
      </c>
      <c r="AQ1496" s="5">
        <v>57523</v>
      </c>
      <c r="AR1496" t="s">
        <v>128</v>
      </c>
      <c r="AT1496" s="4">
        <v>16058300780</v>
      </c>
      <c r="AV1496" t="s">
        <v>16933</v>
      </c>
      <c r="AW1496" t="s">
        <v>16934</v>
      </c>
      <c r="AX1496" t="s">
        <v>131</v>
      </c>
      <c r="AY1496" t="s">
        <v>131</v>
      </c>
      <c r="AZ1496" t="s">
        <v>131</v>
      </c>
      <c r="BA1496" t="s">
        <v>131</v>
      </c>
      <c r="BB1496" t="s">
        <v>131</v>
      </c>
      <c r="BC1496" t="s">
        <v>131</v>
      </c>
      <c r="BD1496" t="s">
        <v>131</v>
      </c>
      <c r="BE1496" t="s">
        <v>132</v>
      </c>
      <c r="BH1496" t="s">
        <v>13215</v>
      </c>
      <c r="BI1496" t="s">
        <v>131</v>
      </c>
      <c r="BL1496" t="s">
        <v>167</v>
      </c>
      <c r="BO1496" t="s">
        <v>131</v>
      </c>
      <c r="BP1496" t="s">
        <v>134</v>
      </c>
      <c r="BQ1496" t="s">
        <v>131</v>
      </c>
      <c r="BS1496" t="str">
        <f t="shared" si="94"/>
        <v>N/A</v>
      </c>
      <c r="BT1496" t="s">
        <v>131</v>
      </c>
      <c r="BV1496" t="str">
        <f>""</f>
        <v/>
      </c>
      <c r="BW1496" t="s">
        <v>131</v>
      </c>
      <c r="BX1496" t="str">
        <f>""</f>
        <v/>
      </c>
      <c r="BY1496" t="str">
        <f>""</f>
        <v/>
      </c>
      <c r="BZ1496" t="str">
        <f>""</f>
        <v/>
      </c>
      <c r="CA1496" t="str">
        <f>""</f>
        <v/>
      </c>
      <c r="CB1496" t="s">
        <v>131</v>
      </c>
      <c r="CF1496" t="s">
        <v>131</v>
      </c>
      <c r="CH1496" t="str">
        <f>""</f>
        <v/>
      </c>
      <c r="CI1496" t="s">
        <v>131</v>
      </c>
      <c r="CK1496" t="s">
        <v>131</v>
      </c>
      <c r="CL1496" t="str">
        <f>""</f>
        <v/>
      </c>
      <c r="CM1496" t="str">
        <f>""</f>
        <v/>
      </c>
      <c r="CN1496" t="str">
        <f>""</f>
        <v/>
      </c>
      <c r="CO1496" t="str">
        <f>""</f>
        <v/>
      </c>
      <c r="CP1496" t="str">
        <f>"45-2091.00"</f>
        <v>45-2091.00</v>
      </c>
      <c r="CQ1496" t="s">
        <v>4096</v>
      </c>
      <c r="CR1496" t="s">
        <v>1105</v>
      </c>
      <c r="CS1496" t="s">
        <v>131</v>
      </c>
      <c r="CU1496" t="s">
        <v>16929</v>
      </c>
      <c r="CW1496" t="s">
        <v>1504</v>
      </c>
      <c r="CX1496" t="s">
        <v>603</v>
      </c>
      <c r="CZ1496" s="3" t="str">
        <f>"57523"</f>
        <v>57523</v>
      </c>
      <c r="DA1496" t="s">
        <v>131</v>
      </c>
      <c r="DB1496" t="str">
        <f>""</f>
        <v/>
      </c>
      <c r="DF1496" t="str">
        <f>""</f>
        <v/>
      </c>
    </row>
    <row r="1497" spans="1:110" ht="15" customHeight="1" x14ac:dyDescent="0.35">
      <c r="A1497" t="s">
        <v>5871</v>
      </c>
      <c r="B1497" t="s">
        <v>138</v>
      </c>
      <c r="C1497" s="1">
        <v>44333</v>
      </c>
      <c r="G1497" s="1">
        <v>44369</v>
      </c>
      <c r="H1497" t="s">
        <v>125</v>
      </c>
      <c r="I1497" t="s">
        <v>5872</v>
      </c>
      <c r="J1497" t="s">
        <v>2441</v>
      </c>
      <c r="L1497" t="s">
        <v>5873</v>
      </c>
      <c r="M1497" t="s">
        <v>5874</v>
      </c>
      <c r="N1497" t="s">
        <v>2423</v>
      </c>
      <c r="O1497" t="s">
        <v>391</v>
      </c>
      <c r="P1497" t="s">
        <v>826</v>
      </c>
      <c r="Q1497" s="3">
        <v>21044</v>
      </c>
      <c r="R1497" t="s">
        <v>128</v>
      </c>
      <c r="T1497" s="4">
        <v>14102582928</v>
      </c>
      <c r="V1497" t="s">
        <v>5875</v>
      </c>
      <c r="W1497" t="s">
        <v>5876</v>
      </c>
      <c r="Y1497" t="s">
        <v>5877</v>
      </c>
      <c r="AA1497" t="s">
        <v>391</v>
      </c>
      <c r="AB1497" t="s">
        <v>382</v>
      </c>
      <c r="AC1497" s="3" t="str">
        <f>"21044"</f>
        <v>21044</v>
      </c>
      <c r="AD1497" t="s">
        <v>128</v>
      </c>
      <c r="AF1497" s="4">
        <v>14102582928</v>
      </c>
      <c r="AH1497" t="str">
        <f>"54161"</f>
        <v>54161</v>
      </c>
      <c r="AI1497" t="s">
        <v>130</v>
      </c>
      <c r="AJ1497" t="s">
        <v>5878</v>
      </c>
      <c r="AK1497" t="s">
        <v>5879</v>
      </c>
      <c r="AL1497" t="s">
        <v>3946</v>
      </c>
      <c r="AM1497" t="s">
        <v>5880</v>
      </c>
      <c r="AN1497" t="s">
        <v>5881</v>
      </c>
      <c r="AO1497" t="s">
        <v>228</v>
      </c>
      <c r="AP1497" t="s">
        <v>229</v>
      </c>
      <c r="AQ1497" s="5">
        <v>46282</v>
      </c>
      <c r="AR1497" t="s">
        <v>128</v>
      </c>
      <c r="AT1497" s="4">
        <v>13172362314</v>
      </c>
      <c r="AV1497" t="s">
        <v>5882</v>
      </c>
      <c r="AW1497" t="s">
        <v>5883</v>
      </c>
      <c r="AX1497" t="s">
        <v>131</v>
      </c>
      <c r="AY1497" t="s">
        <v>131</v>
      </c>
      <c r="AZ1497" t="s">
        <v>131</v>
      </c>
      <c r="BA1497" t="s">
        <v>131</v>
      </c>
      <c r="BB1497" t="s">
        <v>131</v>
      </c>
      <c r="BC1497" t="s">
        <v>131</v>
      </c>
      <c r="BD1497" t="s">
        <v>131</v>
      </c>
      <c r="BE1497" t="s">
        <v>132</v>
      </c>
      <c r="BH1497" t="s">
        <v>5884</v>
      </c>
      <c r="BI1497" t="s">
        <v>131</v>
      </c>
      <c r="BL1497" t="s">
        <v>188</v>
      </c>
      <c r="BN1497" t="s">
        <v>5885</v>
      </c>
      <c r="BO1497" t="s">
        <v>131</v>
      </c>
      <c r="BP1497" t="s">
        <v>134</v>
      </c>
      <c r="BQ1497" t="s">
        <v>131</v>
      </c>
      <c r="BS1497" t="str">
        <f t="shared" si="94"/>
        <v>N/A</v>
      </c>
      <c r="BT1497" t="s">
        <v>135</v>
      </c>
      <c r="BU1497">
        <v>60</v>
      </c>
      <c r="BV1497" t="str">
        <f>"Experience analyzing, designing, documenting, programming, testing, and implementing business application software."</f>
        <v>Experience analyzing, designing, documenting, programming, testing, and implementing business application software.</v>
      </c>
      <c r="BW1497" t="s">
        <v>135</v>
      </c>
      <c r="BX1497" t="str">
        <f>""</f>
        <v/>
      </c>
      <c r="BY1497" t="str">
        <f>""</f>
        <v/>
      </c>
      <c r="BZ1497" t="str">
        <f>""</f>
        <v/>
      </c>
      <c r="CA1497" s="2" t="s">
        <v>5886</v>
      </c>
      <c r="CB1497" t="s">
        <v>135</v>
      </c>
      <c r="CC1497" t="s">
        <v>133</v>
      </c>
      <c r="CE1497" t="s">
        <v>5887</v>
      </c>
      <c r="CF1497" t="s">
        <v>131</v>
      </c>
      <c r="CH1497" t="str">
        <f>"N/A"</f>
        <v>N/A</v>
      </c>
      <c r="CI1497" t="s">
        <v>135</v>
      </c>
      <c r="CJ1497">
        <v>84</v>
      </c>
      <c r="CK1497" t="s">
        <v>135</v>
      </c>
      <c r="CL1497" t="str">
        <f>""</f>
        <v/>
      </c>
      <c r="CM1497" t="str">
        <f>""</f>
        <v/>
      </c>
      <c r="CN1497" t="str">
        <f>""</f>
        <v/>
      </c>
      <c r="CO1497" s="2" t="s">
        <v>5886</v>
      </c>
      <c r="CP1497" t="str">
        <f>"15-1133.00"</f>
        <v>15-1133.00</v>
      </c>
      <c r="CQ1497" t="s">
        <v>648</v>
      </c>
      <c r="CR1497" t="s">
        <v>918</v>
      </c>
      <c r="CS1497" t="s">
        <v>131</v>
      </c>
      <c r="CU1497" t="s">
        <v>5888</v>
      </c>
      <c r="CW1497" t="s">
        <v>2412</v>
      </c>
      <c r="CX1497" t="s">
        <v>382</v>
      </c>
      <c r="CZ1497" s="3" t="str">
        <f>"20144"</f>
        <v>20144</v>
      </c>
      <c r="DA1497" t="s">
        <v>131</v>
      </c>
      <c r="DB1497" t="str">
        <f>""</f>
        <v/>
      </c>
      <c r="DF1497" t="str">
        <f>""</f>
        <v/>
      </c>
    </row>
    <row r="1498" spans="1:110" ht="15" customHeight="1" x14ac:dyDescent="0.35">
      <c r="A1498" t="s">
        <v>17118</v>
      </c>
      <c r="B1498" t="s">
        <v>138</v>
      </c>
      <c r="C1498" s="1">
        <v>44333</v>
      </c>
      <c r="G1498" s="1">
        <v>44333</v>
      </c>
      <c r="H1498" t="s">
        <v>125</v>
      </c>
      <c r="I1498" t="s">
        <v>4520</v>
      </c>
      <c r="J1498" t="s">
        <v>3392</v>
      </c>
      <c r="L1498" t="s">
        <v>4521</v>
      </c>
      <c r="M1498" t="s">
        <v>4522</v>
      </c>
      <c r="O1498" t="s">
        <v>1173</v>
      </c>
      <c r="P1498" t="s">
        <v>1174</v>
      </c>
      <c r="Q1498" s="3">
        <v>97005</v>
      </c>
      <c r="R1498" t="s">
        <v>128</v>
      </c>
      <c r="T1498" s="4">
        <v>15036716228</v>
      </c>
      <c r="V1498" t="s">
        <v>4523</v>
      </c>
      <c r="W1498" t="s">
        <v>4524</v>
      </c>
      <c r="Y1498" t="s">
        <v>4525</v>
      </c>
      <c r="AA1498" t="s">
        <v>1173</v>
      </c>
      <c r="AB1498" t="s">
        <v>1512</v>
      </c>
      <c r="AC1498" s="3" t="str">
        <f>"97005"</f>
        <v>97005</v>
      </c>
      <c r="AD1498" t="s">
        <v>128</v>
      </c>
      <c r="AF1498" s="4">
        <v>15036716228</v>
      </c>
      <c r="AH1498" t="str">
        <f>"31621"</f>
        <v>31621</v>
      </c>
      <c r="AI1498" t="s">
        <v>130</v>
      </c>
      <c r="AJ1498" t="s">
        <v>1309</v>
      </c>
      <c r="AK1498" t="s">
        <v>473</v>
      </c>
      <c r="AM1498" t="s">
        <v>456</v>
      </c>
      <c r="AN1498" t="s">
        <v>4526</v>
      </c>
      <c r="AO1498" t="s">
        <v>458</v>
      </c>
      <c r="AP1498" t="s">
        <v>400</v>
      </c>
      <c r="AQ1498" s="5">
        <v>75082</v>
      </c>
      <c r="AR1498" t="s">
        <v>128</v>
      </c>
      <c r="AT1498" s="4">
        <v>14695052498</v>
      </c>
      <c r="AV1498" t="s">
        <v>4527</v>
      </c>
      <c r="AW1498" t="s">
        <v>367</v>
      </c>
      <c r="AX1498" t="s">
        <v>131</v>
      </c>
      <c r="AY1498" t="s">
        <v>131</v>
      </c>
      <c r="AZ1498" t="s">
        <v>131</v>
      </c>
      <c r="BA1498" t="s">
        <v>131</v>
      </c>
      <c r="BB1498" t="s">
        <v>131</v>
      </c>
      <c r="BC1498" t="s">
        <v>131</v>
      </c>
      <c r="BD1498" t="s">
        <v>131</v>
      </c>
      <c r="BE1498" t="s">
        <v>132</v>
      </c>
      <c r="BH1498" t="s">
        <v>17119</v>
      </c>
      <c r="BI1498" t="s">
        <v>131</v>
      </c>
      <c r="BL1498" t="s">
        <v>133</v>
      </c>
      <c r="BN1498" t="s">
        <v>5837</v>
      </c>
      <c r="BO1498" t="s">
        <v>131</v>
      </c>
      <c r="BP1498" t="s">
        <v>134</v>
      </c>
      <c r="BQ1498" t="s">
        <v>131</v>
      </c>
      <c r="BS1498" t="str">
        <f t="shared" si="94"/>
        <v>N/A</v>
      </c>
      <c r="BT1498" t="s">
        <v>135</v>
      </c>
      <c r="BU1498">
        <v>60</v>
      </c>
      <c r="BV1498" t="str">
        <f>"Please see job description. "</f>
        <v xml:space="preserve">Please see job description. </v>
      </c>
      <c r="BW1498" t="s">
        <v>135</v>
      </c>
      <c r="BX1498" t="str">
        <f>""</f>
        <v/>
      </c>
      <c r="BY1498" t="str">
        <f>""</f>
        <v/>
      </c>
      <c r="BZ1498" t="str">
        <f>""</f>
        <v/>
      </c>
      <c r="CA1498" t="s">
        <v>17120</v>
      </c>
      <c r="CB1498" t="s">
        <v>131</v>
      </c>
      <c r="CF1498" t="s">
        <v>131</v>
      </c>
      <c r="CH1498" t="str">
        <f>""</f>
        <v/>
      </c>
      <c r="CI1498" t="s">
        <v>131</v>
      </c>
      <c r="CK1498" t="s">
        <v>131</v>
      </c>
      <c r="CL1498" t="str">
        <f>""</f>
        <v/>
      </c>
      <c r="CM1498" t="str">
        <f>""</f>
        <v/>
      </c>
      <c r="CN1498" t="str">
        <f>""</f>
        <v/>
      </c>
      <c r="CO1498" t="str">
        <f>""</f>
        <v/>
      </c>
      <c r="CP1498" t="str">
        <f>"13-1161.00"</f>
        <v>13-1161.00</v>
      </c>
      <c r="CQ1498" t="s">
        <v>252</v>
      </c>
      <c r="CR1498" t="s">
        <v>460</v>
      </c>
      <c r="CS1498" t="s">
        <v>131</v>
      </c>
      <c r="CU1498" t="s">
        <v>4522</v>
      </c>
      <c r="CW1498" t="s">
        <v>1173</v>
      </c>
      <c r="CX1498" t="s">
        <v>1512</v>
      </c>
      <c r="CZ1498" s="3" t="str">
        <f>"97005"</f>
        <v>97005</v>
      </c>
      <c r="DA1498" t="s">
        <v>131</v>
      </c>
      <c r="DB1498" t="str">
        <f>""</f>
        <v/>
      </c>
      <c r="DF1498" t="str">
        <f>""</f>
        <v/>
      </c>
    </row>
    <row r="1499" spans="1:110" ht="15" customHeight="1" x14ac:dyDescent="0.35">
      <c r="A1499" t="s">
        <v>14809</v>
      </c>
      <c r="B1499" t="s">
        <v>138</v>
      </c>
      <c r="C1499" s="1">
        <v>44333</v>
      </c>
      <c r="G1499" s="1">
        <v>44334</v>
      </c>
      <c r="H1499" t="s">
        <v>125</v>
      </c>
      <c r="I1499" t="s">
        <v>905</v>
      </c>
      <c r="J1499" t="s">
        <v>14810</v>
      </c>
      <c r="L1499" t="s">
        <v>907</v>
      </c>
      <c r="M1499" t="s">
        <v>908</v>
      </c>
      <c r="O1499" t="s">
        <v>909</v>
      </c>
      <c r="P1499" t="s">
        <v>467</v>
      </c>
      <c r="Q1499" s="3">
        <v>81637</v>
      </c>
      <c r="R1499" t="s">
        <v>128</v>
      </c>
      <c r="T1499" s="4">
        <v>19705245010</v>
      </c>
      <c r="V1499" t="s">
        <v>910</v>
      </c>
      <c r="W1499" t="s">
        <v>14811</v>
      </c>
      <c r="Y1499" t="s">
        <v>908</v>
      </c>
      <c r="AA1499" t="s">
        <v>909</v>
      </c>
      <c r="AB1499" t="s">
        <v>471</v>
      </c>
      <c r="AC1499" s="3" t="str">
        <f>"81637"</f>
        <v>81637</v>
      </c>
      <c r="AD1499" t="s">
        <v>128</v>
      </c>
      <c r="AF1499" s="4">
        <v>19705245010</v>
      </c>
      <c r="AH1499" t="str">
        <f>"56173"</f>
        <v>56173</v>
      </c>
      <c r="AI1499" t="s">
        <v>130</v>
      </c>
      <c r="AJ1499" t="s">
        <v>912</v>
      </c>
      <c r="AK1499" t="s">
        <v>1540</v>
      </c>
      <c r="AM1499" t="s">
        <v>14812</v>
      </c>
      <c r="AO1499" t="s">
        <v>915</v>
      </c>
      <c r="AP1499" t="s">
        <v>471</v>
      </c>
      <c r="AQ1499" s="5">
        <v>81620</v>
      </c>
      <c r="AR1499" t="s">
        <v>128</v>
      </c>
      <c r="AT1499" s="4">
        <v>19708457474</v>
      </c>
      <c r="AV1499" t="s">
        <v>916</v>
      </c>
      <c r="AW1499" t="s">
        <v>917</v>
      </c>
      <c r="AX1499" t="s">
        <v>131</v>
      </c>
      <c r="AY1499" t="s">
        <v>131</v>
      </c>
      <c r="AZ1499" t="s">
        <v>131</v>
      </c>
      <c r="BA1499" t="s">
        <v>131</v>
      </c>
      <c r="BB1499" t="s">
        <v>131</v>
      </c>
      <c r="BC1499" t="s">
        <v>131</v>
      </c>
      <c r="BD1499" t="s">
        <v>131</v>
      </c>
      <c r="BE1499" t="s">
        <v>132</v>
      </c>
      <c r="BH1499" t="s">
        <v>918</v>
      </c>
      <c r="BI1499" t="s">
        <v>135</v>
      </c>
      <c r="BJ1499" t="s">
        <v>919</v>
      </c>
      <c r="BK1499" t="s">
        <v>920</v>
      </c>
      <c r="BL1499" t="s">
        <v>167</v>
      </c>
      <c r="BO1499" t="s">
        <v>131</v>
      </c>
      <c r="BP1499" t="s">
        <v>134</v>
      </c>
      <c r="BQ1499" t="s">
        <v>131</v>
      </c>
      <c r="BS1499" t="str">
        <f t="shared" si="94"/>
        <v>N/A</v>
      </c>
      <c r="BT1499" t="s">
        <v>131</v>
      </c>
      <c r="BV1499" t="str">
        <f>""</f>
        <v/>
      </c>
      <c r="BW1499" t="s">
        <v>131</v>
      </c>
      <c r="BX1499" t="str">
        <f>""</f>
        <v/>
      </c>
      <c r="BY1499" t="str">
        <f>""</f>
        <v/>
      </c>
      <c r="BZ1499" t="str">
        <f>""</f>
        <v/>
      </c>
      <c r="CA1499" t="str">
        <f>""</f>
        <v/>
      </c>
      <c r="CB1499" t="s">
        <v>131</v>
      </c>
      <c r="CF1499" t="s">
        <v>131</v>
      </c>
      <c r="CH1499" t="str">
        <f>""</f>
        <v/>
      </c>
      <c r="CI1499" t="s">
        <v>131</v>
      </c>
      <c r="CK1499" t="s">
        <v>131</v>
      </c>
      <c r="CL1499" t="str">
        <f>""</f>
        <v/>
      </c>
      <c r="CM1499" t="str">
        <f>""</f>
        <v/>
      </c>
      <c r="CN1499" t="str">
        <f>""</f>
        <v/>
      </c>
      <c r="CO1499" t="str">
        <f>""</f>
        <v/>
      </c>
      <c r="CP1499" t="str">
        <f>"37-1012.00"</f>
        <v>37-1012.00</v>
      </c>
      <c r="CQ1499" t="s">
        <v>921</v>
      </c>
      <c r="CR1499" t="s">
        <v>199</v>
      </c>
      <c r="CS1499" t="s">
        <v>135</v>
      </c>
      <c r="CT1499" t="s">
        <v>14813</v>
      </c>
      <c r="CU1499" t="s">
        <v>908</v>
      </c>
      <c r="CW1499" t="s">
        <v>909</v>
      </c>
      <c r="CX1499" t="s">
        <v>471</v>
      </c>
      <c r="CZ1499" s="3" t="str">
        <f>"81637"</f>
        <v>81637</v>
      </c>
      <c r="DA1499" t="s">
        <v>135</v>
      </c>
      <c r="DB1499" t="str">
        <f>""</f>
        <v/>
      </c>
      <c r="DF1499" t="str">
        <f>""</f>
        <v/>
      </c>
    </row>
    <row r="1500" spans="1:110" ht="15" customHeight="1" x14ac:dyDescent="0.35">
      <c r="A1500" t="s">
        <v>12397</v>
      </c>
      <c r="B1500" t="s">
        <v>138</v>
      </c>
      <c r="C1500" s="1">
        <v>44333</v>
      </c>
      <c r="G1500" s="1">
        <v>44334</v>
      </c>
      <c r="H1500" t="s">
        <v>125</v>
      </c>
      <c r="I1500" t="s">
        <v>8878</v>
      </c>
      <c r="J1500" t="s">
        <v>8879</v>
      </c>
      <c r="L1500" t="s">
        <v>12398</v>
      </c>
      <c r="M1500" t="s">
        <v>8881</v>
      </c>
      <c r="O1500" t="s">
        <v>8882</v>
      </c>
      <c r="P1500" t="s">
        <v>507</v>
      </c>
      <c r="Q1500" s="3">
        <v>49519</v>
      </c>
      <c r="R1500" t="s">
        <v>128</v>
      </c>
      <c r="T1500" s="4">
        <v>15616531246</v>
      </c>
      <c r="V1500" t="s">
        <v>8883</v>
      </c>
      <c r="W1500" t="s">
        <v>8884</v>
      </c>
      <c r="Y1500" t="s">
        <v>8885</v>
      </c>
      <c r="AA1500" t="s">
        <v>8882</v>
      </c>
      <c r="AB1500" t="s">
        <v>511</v>
      </c>
      <c r="AC1500" s="3" t="str">
        <f>"49519"</f>
        <v>49519</v>
      </c>
      <c r="AD1500" t="s">
        <v>128</v>
      </c>
      <c r="AF1500" s="4">
        <v>16165312464</v>
      </c>
      <c r="AH1500" t="str">
        <f>"333993"</f>
        <v>333993</v>
      </c>
      <c r="AI1500" t="s">
        <v>130</v>
      </c>
      <c r="AJ1500" t="s">
        <v>8886</v>
      </c>
      <c r="AK1500" t="s">
        <v>1623</v>
      </c>
      <c r="AL1500" t="s">
        <v>1198</v>
      </c>
      <c r="AM1500" t="s">
        <v>8887</v>
      </c>
      <c r="AO1500" t="s">
        <v>4423</v>
      </c>
      <c r="AP1500" t="s">
        <v>511</v>
      </c>
      <c r="AQ1500" s="5">
        <v>49546</v>
      </c>
      <c r="AR1500" t="s">
        <v>128</v>
      </c>
      <c r="AT1500" s="4">
        <v>16166065297</v>
      </c>
      <c r="AV1500" t="s">
        <v>8888</v>
      </c>
      <c r="AW1500" t="s">
        <v>8889</v>
      </c>
      <c r="AX1500" t="s">
        <v>131</v>
      </c>
      <c r="AY1500" t="s">
        <v>131</v>
      </c>
      <c r="AZ1500" t="s">
        <v>131</v>
      </c>
      <c r="BA1500" t="s">
        <v>131</v>
      </c>
      <c r="BB1500" t="s">
        <v>131</v>
      </c>
      <c r="BC1500" t="s">
        <v>131</v>
      </c>
      <c r="BD1500" t="s">
        <v>131</v>
      </c>
      <c r="BE1500" t="s">
        <v>132</v>
      </c>
      <c r="BH1500" t="s">
        <v>8890</v>
      </c>
      <c r="BI1500" t="s">
        <v>131</v>
      </c>
      <c r="BL1500" t="s">
        <v>188</v>
      </c>
      <c r="BN1500" t="s">
        <v>12399</v>
      </c>
      <c r="BO1500" t="s">
        <v>131</v>
      </c>
      <c r="BP1500" t="s">
        <v>134</v>
      </c>
      <c r="BQ1500" t="s">
        <v>131</v>
      </c>
      <c r="BS1500" t="str">
        <f t="shared" si="94"/>
        <v>N/A</v>
      </c>
      <c r="BT1500" t="s">
        <v>135</v>
      </c>
      <c r="BU1500">
        <v>12</v>
      </c>
      <c r="BV1500" t="str">
        <f>"Industrial Engineer, Manufacturing Engineer, Mechanical Engineer, Supply Chain Engineer or closely related occupation."</f>
        <v>Industrial Engineer, Manufacturing Engineer, Mechanical Engineer, Supply Chain Engineer or closely related occupation.</v>
      </c>
      <c r="BW1500" t="s">
        <v>135</v>
      </c>
      <c r="BX1500" t="str">
        <f>"Six sigma certification (Green Belt or above)."</f>
        <v>Six sigma certification (Green Belt or above).</v>
      </c>
      <c r="BY1500" t="str">
        <f>""</f>
        <v/>
      </c>
      <c r="BZ1500" t="str">
        <f>""</f>
        <v/>
      </c>
      <c r="CA1500" t="s">
        <v>8892</v>
      </c>
      <c r="CB1500" t="s">
        <v>131</v>
      </c>
      <c r="CF1500" t="s">
        <v>131</v>
      </c>
      <c r="CH1500" t="str">
        <f>""</f>
        <v/>
      </c>
      <c r="CI1500" t="s">
        <v>131</v>
      </c>
      <c r="CK1500" t="s">
        <v>131</v>
      </c>
      <c r="CL1500" t="str">
        <f>""</f>
        <v/>
      </c>
      <c r="CM1500" t="str">
        <f>""</f>
        <v/>
      </c>
      <c r="CN1500" t="str">
        <f>""</f>
        <v/>
      </c>
      <c r="CO1500" t="str">
        <f>""</f>
        <v/>
      </c>
      <c r="CP1500" t="str">
        <f>"17-2112.00"</f>
        <v>17-2112.00</v>
      </c>
      <c r="CQ1500" t="s">
        <v>360</v>
      </c>
      <c r="CR1500" t="s">
        <v>7736</v>
      </c>
      <c r="CS1500" t="s">
        <v>131</v>
      </c>
      <c r="CU1500" t="s">
        <v>8881</v>
      </c>
      <c r="CW1500" t="s">
        <v>8882</v>
      </c>
      <c r="CX1500" t="s">
        <v>511</v>
      </c>
      <c r="CZ1500" s="3" t="str">
        <f>"49519"</f>
        <v>49519</v>
      </c>
      <c r="DA1500" t="s">
        <v>131</v>
      </c>
      <c r="DB1500" t="str">
        <f>""</f>
        <v/>
      </c>
      <c r="DF1500" t="str">
        <f>""</f>
        <v/>
      </c>
    </row>
    <row r="1501" spans="1:110" ht="15" customHeight="1" x14ac:dyDescent="0.35">
      <c r="A1501" t="s">
        <v>19454</v>
      </c>
      <c r="B1501" t="s">
        <v>138</v>
      </c>
      <c r="C1501" s="1">
        <v>44333</v>
      </c>
      <c r="G1501" s="1">
        <v>44334</v>
      </c>
      <c r="H1501" t="s">
        <v>125</v>
      </c>
      <c r="I1501" t="s">
        <v>905</v>
      </c>
      <c r="J1501" t="s">
        <v>906</v>
      </c>
      <c r="L1501" t="s">
        <v>907</v>
      </c>
      <c r="M1501" t="s">
        <v>908</v>
      </c>
      <c r="O1501" t="s">
        <v>909</v>
      </c>
      <c r="P1501" t="s">
        <v>467</v>
      </c>
      <c r="Q1501" s="3">
        <v>81637</v>
      </c>
      <c r="R1501" t="s">
        <v>128</v>
      </c>
      <c r="T1501" s="4">
        <v>19705245010</v>
      </c>
      <c r="V1501" t="s">
        <v>910</v>
      </c>
      <c r="W1501" t="s">
        <v>19455</v>
      </c>
      <c r="Y1501" t="s">
        <v>908</v>
      </c>
      <c r="AA1501" t="s">
        <v>909</v>
      </c>
      <c r="AB1501" t="s">
        <v>471</v>
      </c>
      <c r="AC1501" s="3" t="str">
        <f>"81637"</f>
        <v>81637</v>
      </c>
      <c r="AD1501" t="s">
        <v>128</v>
      </c>
      <c r="AF1501" s="4">
        <v>19705245010</v>
      </c>
      <c r="AH1501" t="str">
        <f>"56173"</f>
        <v>56173</v>
      </c>
      <c r="AI1501" t="s">
        <v>130</v>
      </c>
      <c r="AJ1501" t="s">
        <v>912</v>
      </c>
      <c r="AK1501" t="s">
        <v>1540</v>
      </c>
      <c r="AM1501" t="s">
        <v>914</v>
      </c>
      <c r="AO1501" t="s">
        <v>915</v>
      </c>
      <c r="AP1501" t="s">
        <v>471</v>
      </c>
      <c r="AQ1501" s="5">
        <v>81620</v>
      </c>
      <c r="AR1501" t="s">
        <v>128</v>
      </c>
      <c r="AT1501" s="4">
        <v>19705245010</v>
      </c>
      <c r="AV1501" t="s">
        <v>916</v>
      </c>
      <c r="AW1501" t="s">
        <v>917</v>
      </c>
      <c r="AX1501" t="s">
        <v>131</v>
      </c>
      <c r="AY1501" t="s">
        <v>131</v>
      </c>
      <c r="AZ1501" t="s">
        <v>131</v>
      </c>
      <c r="BA1501" t="s">
        <v>131</v>
      </c>
      <c r="BB1501" t="s">
        <v>131</v>
      </c>
      <c r="BC1501" t="s">
        <v>131</v>
      </c>
      <c r="BD1501" t="s">
        <v>131</v>
      </c>
      <c r="BE1501" t="s">
        <v>132</v>
      </c>
      <c r="BH1501" t="s">
        <v>918</v>
      </c>
      <c r="BI1501" t="s">
        <v>135</v>
      </c>
      <c r="BJ1501" t="s">
        <v>919</v>
      </c>
      <c r="BK1501" t="s">
        <v>920</v>
      </c>
      <c r="BL1501" t="s">
        <v>167</v>
      </c>
      <c r="BO1501" t="s">
        <v>131</v>
      </c>
      <c r="BP1501" t="s">
        <v>134</v>
      </c>
      <c r="BQ1501" t="s">
        <v>131</v>
      </c>
      <c r="BS1501" t="str">
        <f t="shared" si="94"/>
        <v>N/A</v>
      </c>
      <c r="BT1501" t="s">
        <v>131</v>
      </c>
      <c r="BV1501" t="str">
        <f>""</f>
        <v/>
      </c>
      <c r="BW1501" t="s">
        <v>131</v>
      </c>
      <c r="BX1501" t="str">
        <f>""</f>
        <v/>
      </c>
      <c r="BY1501" t="str">
        <f>""</f>
        <v/>
      </c>
      <c r="BZ1501" t="str">
        <f>""</f>
        <v/>
      </c>
      <c r="CA1501" t="str">
        <f>""</f>
        <v/>
      </c>
      <c r="CB1501" t="s">
        <v>131</v>
      </c>
      <c r="CF1501" t="s">
        <v>131</v>
      </c>
      <c r="CH1501" t="str">
        <f>""</f>
        <v/>
      </c>
      <c r="CI1501" t="s">
        <v>131</v>
      </c>
      <c r="CK1501" t="s">
        <v>131</v>
      </c>
      <c r="CL1501" t="str">
        <f>""</f>
        <v/>
      </c>
      <c r="CM1501" t="str">
        <f>""</f>
        <v/>
      </c>
      <c r="CN1501" t="str">
        <f>""</f>
        <v/>
      </c>
      <c r="CO1501" t="str">
        <f>""</f>
        <v/>
      </c>
      <c r="CP1501" t="str">
        <f>"37-1012.00"</f>
        <v>37-1012.00</v>
      </c>
      <c r="CQ1501" t="s">
        <v>921</v>
      </c>
      <c r="CS1501" t="s">
        <v>135</v>
      </c>
      <c r="CT1501" t="s">
        <v>19456</v>
      </c>
      <c r="CU1501" t="s">
        <v>908</v>
      </c>
      <c r="CW1501" t="s">
        <v>909</v>
      </c>
      <c r="CX1501" t="s">
        <v>471</v>
      </c>
      <c r="CZ1501" s="3" t="str">
        <f>"81637"</f>
        <v>81637</v>
      </c>
      <c r="DA1501" t="s">
        <v>135</v>
      </c>
      <c r="DB1501" t="str">
        <f>""</f>
        <v/>
      </c>
      <c r="DF1501" t="str">
        <f>""</f>
        <v/>
      </c>
    </row>
    <row r="1502" spans="1:110" ht="15" customHeight="1" x14ac:dyDescent="0.35">
      <c r="A1502" t="s">
        <v>11008</v>
      </c>
      <c r="B1502" t="s">
        <v>138</v>
      </c>
      <c r="C1502" s="1">
        <v>44333</v>
      </c>
      <c r="G1502" s="1">
        <v>44334</v>
      </c>
      <c r="H1502" t="s">
        <v>125</v>
      </c>
      <c r="I1502" t="s">
        <v>905</v>
      </c>
      <c r="J1502" t="s">
        <v>906</v>
      </c>
      <c r="L1502" t="s">
        <v>907</v>
      </c>
      <c r="M1502" t="s">
        <v>908</v>
      </c>
      <c r="O1502" t="s">
        <v>909</v>
      </c>
      <c r="P1502" t="s">
        <v>467</v>
      </c>
      <c r="Q1502" s="3">
        <v>81637</v>
      </c>
      <c r="R1502" t="s">
        <v>128</v>
      </c>
      <c r="T1502" s="4">
        <v>19705245010</v>
      </c>
      <c r="V1502" t="s">
        <v>910</v>
      </c>
      <c r="W1502" t="s">
        <v>11009</v>
      </c>
      <c r="Y1502" t="s">
        <v>908</v>
      </c>
      <c r="AA1502" t="s">
        <v>909</v>
      </c>
      <c r="AB1502" t="s">
        <v>471</v>
      </c>
      <c r="AC1502" s="3" t="str">
        <f>"81637"</f>
        <v>81637</v>
      </c>
      <c r="AD1502" t="s">
        <v>128</v>
      </c>
      <c r="AF1502" s="4">
        <v>19705245010</v>
      </c>
      <c r="AH1502" t="str">
        <f>"56173"</f>
        <v>56173</v>
      </c>
      <c r="AI1502" t="s">
        <v>130</v>
      </c>
      <c r="AJ1502" t="s">
        <v>912</v>
      </c>
      <c r="AK1502" t="s">
        <v>1540</v>
      </c>
      <c r="AM1502" t="s">
        <v>914</v>
      </c>
      <c r="AO1502" t="s">
        <v>915</v>
      </c>
      <c r="AP1502" t="s">
        <v>471</v>
      </c>
      <c r="AQ1502" s="5">
        <v>81620</v>
      </c>
      <c r="AR1502" t="s">
        <v>128</v>
      </c>
      <c r="AT1502" s="4">
        <v>19708457474</v>
      </c>
      <c r="AV1502" t="s">
        <v>916</v>
      </c>
      <c r="AW1502" t="s">
        <v>917</v>
      </c>
      <c r="AX1502" t="s">
        <v>131</v>
      </c>
      <c r="AY1502" t="s">
        <v>131</v>
      </c>
      <c r="AZ1502" t="s">
        <v>131</v>
      </c>
      <c r="BA1502" t="s">
        <v>131</v>
      </c>
      <c r="BB1502" t="s">
        <v>131</v>
      </c>
      <c r="BC1502" t="s">
        <v>131</v>
      </c>
      <c r="BD1502" t="s">
        <v>131</v>
      </c>
      <c r="BE1502" t="s">
        <v>132</v>
      </c>
      <c r="BH1502" t="s">
        <v>11010</v>
      </c>
      <c r="BI1502" t="s">
        <v>131</v>
      </c>
      <c r="BL1502" t="s">
        <v>167</v>
      </c>
      <c r="BO1502" t="s">
        <v>131</v>
      </c>
      <c r="BP1502" t="s">
        <v>134</v>
      </c>
      <c r="BQ1502" t="s">
        <v>131</v>
      </c>
      <c r="BS1502" t="str">
        <f t="shared" si="94"/>
        <v>N/A</v>
      </c>
      <c r="BT1502" t="s">
        <v>131</v>
      </c>
      <c r="BV1502" t="str">
        <f>""</f>
        <v/>
      </c>
      <c r="BW1502" t="s">
        <v>131</v>
      </c>
      <c r="BX1502" t="str">
        <f>""</f>
        <v/>
      </c>
      <c r="BY1502" t="str">
        <f>""</f>
        <v/>
      </c>
      <c r="BZ1502" t="str">
        <f>""</f>
        <v/>
      </c>
      <c r="CA1502" t="str">
        <f>""</f>
        <v/>
      </c>
      <c r="CB1502" t="s">
        <v>131</v>
      </c>
      <c r="CF1502" t="s">
        <v>131</v>
      </c>
      <c r="CH1502" t="str">
        <f>""</f>
        <v/>
      </c>
      <c r="CI1502" t="s">
        <v>131</v>
      </c>
      <c r="CK1502" t="s">
        <v>131</v>
      </c>
      <c r="CL1502" t="str">
        <f>""</f>
        <v/>
      </c>
      <c r="CM1502" t="str">
        <f>""</f>
        <v/>
      </c>
      <c r="CN1502" t="str">
        <f>""</f>
        <v/>
      </c>
      <c r="CO1502" t="str">
        <f>""</f>
        <v/>
      </c>
      <c r="CP1502" t="str">
        <f>"47-2073.00"</f>
        <v>47-2073.00</v>
      </c>
      <c r="CQ1502" t="s">
        <v>402</v>
      </c>
      <c r="CR1502" t="s">
        <v>199</v>
      </c>
      <c r="CS1502" t="s">
        <v>135</v>
      </c>
      <c r="CT1502" t="s">
        <v>11011</v>
      </c>
      <c r="CU1502" t="s">
        <v>908</v>
      </c>
      <c r="CW1502" t="s">
        <v>909</v>
      </c>
      <c r="CX1502" t="s">
        <v>471</v>
      </c>
      <c r="CZ1502" s="3" t="str">
        <f>"81637"</f>
        <v>81637</v>
      </c>
      <c r="DA1502" t="s">
        <v>135</v>
      </c>
      <c r="DB1502" t="str">
        <f>""</f>
        <v/>
      </c>
      <c r="DF1502" t="str">
        <f>""</f>
        <v/>
      </c>
    </row>
    <row r="1503" spans="1:110" ht="15" customHeight="1" x14ac:dyDescent="0.35">
      <c r="A1503" t="s">
        <v>11938</v>
      </c>
      <c r="B1503" t="s">
        <v>138</v>
      </c>
      <c r="C1503" s="1">
        <v>44333</v>
      </c>
      <c r="G1503" s="1">
        <v>44334</v>
      </c>
      <c r="H1503" t="s">
        <v>125</v>
      </c>
      <c r="I1503" t="s">
        <v>905</v>
      </c>
      <c r="J1503" t="s">
        <v>906</v>
      </c>
      <c r="L1503" t="s">
        <v>907</v>
      </c>
      <c r="M1503" t="s">
        <v>908</v>
      </c>
      <c r="O1503" t="s">
        <v>909</v>
      </c>
      <c r="P1503" t="s">
        <v>467</v>
      </c>
      <c r="Q1503" s="3">
        <v>81627</v>
      </c>
      <c r="R1503" t="s">
        <v>128</v>
      </c>
      <c r="T1503" s="4">
        <v>19708457474</v>
      </c>
      <c r="V1503" t="s">
        <v>916</v>
      </c>
      <c r="W1503" t="s">
        <v>11939</v>
      </c>
      <c r="Y1503" t="s">
        <v>908</v>
      </c>
      <c r="AA1503" t="s">
        <v>909</v>
      </c>
      <c r="AB1503" t="s">
        <v>471</v>
      </c>
      <c r="AC1503" s="3" t="str">
        <f>"81637"</f>
        <v>81637</v>
      </c>
      <c r="AD1503" t="s">
        <v>128</v>
      </c>
      <c r="AF1503" s="4">
        <v>19705245010</v>
      </c>
      <c r="AH1503" t="str">
        <f>"56173"</f>
        <v>56173</v>
      </c>
      <c r="AI1503" t="s">
        <v>130</v>
      </c>
      <c r="AJ1503" t="s">
        <v>912</v>
      </c>
      <c r="AK1503" t="s">
        <v>1540</v>
      </c>
      <c r="AM1503" t="s">
        <v>914</v>
      </c>
      <c r="AO1503" t="s">
        <v>915</v>
      </c>
      <c r="AP1503" t="s">
        <v>471</v>
      </c>
      <c r="AQ1503" s="5">
        <v>81620</v>
      </c>
      <c r="AR1503" t="s">
        <v>128</v>
      </c>
      <c r="AT1503" s="4">
        <v>19708457474</v>
      </c>
      <c r="AV1503" t="s">
        <v>916</v>
      </c>
      <c r="AW1503" t="s">
        <v>917</v>
      </c>
      <c r="AX1503" t="s">
        <v>131</v>
      </c>
      <c r="AY1503" t="s">
        <v>131</v>
      </c>
      <c r="AZ1503" t="s">
        <v>131</v>
      </c>
      <c r="BA1503" t="s">
        <v>131</v>
      </c>
      <c r="BB1503" t="s">
        <v>131</v>
      </c>
      <c r="BC1503" t="s">
        <v>131</v>
      </c>
      <c r="BD1503" t="s">
        <v>131</v>
      </c>
      <c r="BE1503" t="s">
        <v>132</v>
      </c>
      <c r="BH1503" t="s">
        <v>11940</v>
      </c>
      <c r="BI1503" t="s">
        <v>131</v>
      </c>
      <c r="BL1503" t="s">
        <v>167</v>
      </c>
      <c r="BO1503" t="s">
        <v>131</v>
      </c>
      <c r="BP1503" t="s">
        <v>134</v>
      </c>
      <c r="BQ1503" t="s">
        <v>131</v>
      </c>
      <c r="BS1503" t="str">
        <f t="shared" si="94"/>
        <v>N/A</v>
      </c>
      <c r="BT1503" t="s">
        <v>131</v>
      </c>
      <c r="BV1503" t="str">
        <f>""</f>
        <v/>
      </c>
      <c r="BW1503" t="s">
        <v>131</v>
      </c>
      <c r="BX1503" t="str">
        <f>""</f>
        <v/>
      </c>
      <c r="BY1503" t="str">
        <f>""</f>
        <v/>
      </c>
      <c r="BZ1503" t="str">
        <f>""</f>
        <v/>
      </c>
      <c r="CA1503" t="str">
        <f>""</f>
        <v/>
      </c>
      <c r="CB1503" t="s">
        <v>131</v>
      </c>
      <c r="CF1503" t="s">
        <v>131</v>
      </c>
      <c r="CH1503" t="str">
        <f>""</f>
        <v/>
      </c>
      <c r="CI1503" t="s">
        <v>131</v>
      </c>
      <c r="CK1503" t="s">
        <v>131</v>
      </c>
      <c r="CL1503" t="str">
        <f>""</f>
        <v/>
      </c>
      <c r="CM1503" t="str">
        <f>""</f>
        <v/>
      </c>
      <c r="CN1503" t="str">
        <f>""</f>
        <v/>
      </c>
      <c r="CO1503" t="str">
        <f>""</f>
        <v/>
      </c>
      <c r="CP1503" t="str">
        <f>"49-3023.00"</f>
        <v>49-3023.00</v>
      </c>
      <c r="CQ1503" t="s">
        <v>11138</v>
      </c>
      <c r="CR1503" t="s">
        <v>199</v>
      </c>
      <c r="CS1503" t="s">
        <v>135</v>
      </c>
      <c r="CT1503" t="s">
        <v>11941</v>
      </c>
      <c r="CU1503" t="s">
        <v>908</v>
      </c>
      <c r="CW1503" t="s">
        <v>909</v>
      </c>
      <c r="CX1503" t="s">
        <v>471</v>
      </c>
      <c r="CZ1503" s="3" t="str">
        <f>"81637"</f>
        <v>81637</v>
      </c>
      <c r="DA1503" t="s">
        <v>135</v>
      </c>
      <c r="DB1503" t="str">
        <f>""</f>
        <v/>
      </c>
      <c r="DF1503" t="str">
        <f>""</f>
        <v/>
      </c>
    </row>
    <row r="1504" spans="1:110" ht="15" customHeight="1" x14ac:dyDescent="0.35">
      <c r="A1504" t="s">
        <v>14942</v>
      </c>
      <c r="B1504" t="s">
        <v>138</v>
      </c>
      <c r="C1504" s="1">
        <v>44333</v>
      </c>
      <c r="G1504" s="1">
        <v>44350</v>
      </c>
      <c r="H1504" t="s">
        <v>125</v>
      </c>
      <c r="I1504" t="s">
        <v>838</v>
      </c>
      <c r="J1504" t="s">
        <v>839</v>
      </c>
      <c r="K1504" t="s">
        <v>1933</v>
      </c>
      <c r="L1504" t="s">
        <v>2565</v>
      </c>
      <c r="M1504" t="s">
        <v>841</v>
      </c>
      <c r="N1504" t="s">
        <v>842</v>
      </c>
      <c r="O1504" t="s">
        <v>843</v>
      </c>
      <c r="P1504" t="s">
        <v>273</v>
      </c>
      <c r="Q1504" s="3">
        <v>7080</v>
      </c>
      <c r="R1504" t="s">
        <v>128</v>
      </c>
      <c r="T1504" s="4">
        <v>17328327978</v>
      </c>
      <c r="V1504" t="s">
        <v>844</v>
      </c>
      <c r="W1504" t="s">
        <v>14943</v>
      </c>
      <c r="Y1504" t="s">
        <v>7085</v>
      </c>
      <c r="Z1504" t="s">
        <v>14944</v>
      </c>
      <c r="AA1504" t="s">
        <v>2596</v>
      </c>
      <c r="AB1504" t="s">
        <v>276</v>
      </c>
      <c r="AC1504" s="3" t="str">
        <f>"08854"</f>
        <v>08854</v>
      </c>
      <c r="AD1504" t="s">
        <v>128</v>
      </c>
      <c r="AF1504" s="4">
        <v>17328027070</v>
      </c>
      <c r="AH1504" t="str">
        <f>"541519"</f>
        <v>541519</v>
      </c>
      <c r="AI1504" t="s">
        <v>130</v>
      </c>
      <c r="AJ1504" t="s">
        <v>838</v>
      </c>
      <c r="AK1504" t="s">
        <v>839</v>
      </c>
      <c r="AL1504" t="s">
        <v>1933</v>
      </c>
      <c r="AM1504" t="s">
        <v>841</v>
      </c>
      <c r="AN1504" t="s">
        <v>842</v>
      </c>
      <c r="AO1504" t="s">
        <v>843</v>
      </c>
      <c r="AP1504" t="s">
        <v>276</v>
      </c>
      <c r="AQ1504" s="5">
        <v>7080</v>
      </c>
      <c r="AR1504" t="s">
        <v>128</v>
      </c>
      <c r="AT1504" s="4">
        <v>17328327978</v>
      </c>
      <c r="AV1504" t="s">
        <v>844</v>
      </c>
      <c r="AW1504" t="s">
        <v>3328</v>
      </c>
      <c r="AX1504" t="s">
        <v>131</v>
      </c>
      <c r="AY1504" t="s">
        <v>131</v>
      </c>
      <c r="AZ1504" t="s">
        <v>131</v>
      </c>
      <c r="BA1504" t="s">
        <v>131</v>
      </c>
      <c r="BB1504" t="s">
        <v>131</v>
      </c>
      <c r="BC1504" t="s">
        <v>131</v>
      </c>
      <c r="BD1504" t="s">
        <v>131</v>
      </c>
      <c r="BE1504" t="s">
        <v>132</v>
      </c>
      <c r="BH1504" t="s">
        <v>846</v>
      </c>
      <c r="BI1504" t="s">
        <v>131</v>
      </c>
      <c r="BL1504" t="s">
        <v>188</v>
      </c>
      <c r="BN1504" s="2" t="s">
        <v>14945</v>
      </c>
      <c r="BO1504" t="s">
        <v>131</v>
      </c>
      <c r="BP1504" t="s">
        <v>134</v>
      </c>
      <c r="BQ1504" t="s">
        <v>131</v>
      </c>
      <c r="BS1504" t="str">
        <f t="shared" si="94"/>
        <v>N/A</v>
      </c>
      <c r="BT1504" t="s">
        <v>131</v>
      </c>
      <c r="BV1504" t="str">
        <f>""</f>
        <v/>
      </c>
      <c r="BW1504" t="s">
        <v>135</v>
      </c>
      <c r="BX1504" t="str">
        <f>""</f>
        <v/>
      </c>
      <c r="BY1504" t="str">
        <f>""</f>
        <v/>
      </c>
      <c r="BZ1504" t="str">
        <f>""</f>
        <v/>
      </c>
      <c r="CA1504" s="2" t="s">
        <v>14946</v>
      </c>
      <c r="CB1504" t="s">
        <v>135</v>
      </c>
      <c r="CC1504" t="s">
        <v>133</v>
      </c>
      <c r="CE1504" t="s">
        <v>847</v>
      </c>
      <c r="CF1504" t="s">
        <v>131</v>
      </c>
      <c r="CH1504" t="str">
        <f>"N/A"</f>
        <v>N/A</v>
      </c>
      <c r="CI1504" t="s">
        <v>135</v>
      </c>
      <c r="CJ1504">
        <v>60</v>
      </c>
      <c r="CK1504" t="s">
        <v>131</v>
      </c>
      <c r="CL1504" t="str">
        <f>""</f>
        <v/>
      </c>
      <c r="CM1504" t="str">
        <f>""</f>
        <v/>
      </c>
      <c r="CN1504" t="str">
        <f>""</f>
        <v/>
      </c>
      <c r="CO1504" t="str">
        <f>""</f>
        <v/>
      </c>
      <c r="CP1504" t="str">
        <f>"15-1132.00"</f>
        <v>15-1132.00</v>
      </c>
      <c r="CQ1504" t="s">
        <v>198</v>
      </c>
      <c r="CR1504" t="s">
        <v>849</v>
      </c>
      <c r="CS1504" t="s">
        <v>131</v>
      </c>
      <c r="CU1504" t="s">
        <v>7085</v>
      </c>
      <c r="CV1504" t="s">
        <v>14947</v>
      </c>
      <c r="CW1504" t="s">
        <v>2596</v>
      </c>
      <c r="CX1504" t="s">
        <v>276</v>
      </c>
      <c r="CZ1504" s="3" t="str">
        <f>"08854"</f>
        <v>08854</v>
      </c>
      <c r="DA1504" t="s">
        <v>131</v>
      </c>
      <c r="DB1504" t="str">
        <f>""</f>
        <v/>
      </c>
      <c r="DF1504" t="str">
        <f>""</f>
        <v/>
      </c>
    </row>
    <row r="1505" spans="1:110" ht="15" customHeight="1" x14ac:dyDescent="0.35">
      <c r="A1505" t="s">
        <v>13565</v>
      </c>
      <c r="B1505" t="s">
        <v>138</v>
      </c>
      <c r="C1505" s="1">
        <v>44333</v>
      </c>
      <c r="G1505" s="1">
        <v>44335</v>
      </c>
      <c r="H1505" t="s">
        <v>125</v>
      </c>
      <c r="I1505" t="s">
        <v>2116</v>
      </c>
      <c r="J1505" t="s">
        <v>618</v>
      </c>
      <c r="L1505" t="s">
        <v>395</v>
      </c>
      <c r="M1505" t="s">
        <v>13566</v>
      </c>
      <c r="N1505" t="s">
        <v>1072</v>
      </c>
      <c r="O1505" t="s">
        <v>998</v>
      </c>
      <c r="P1505" t="s">
        <v>178</v>
      </c>
      <c r="Q1505" s="3">
        <v>90249</v>
      </c>
      <c r="R1505" t="s">
        <v>128</v>
      </c>
      <c r="T1505" s="4">
        <v>13103237882</v>
      </c>
      <c r="V1505" t="s">
        <v>13567</v>
      </c>
      <c r="W1505" t="s">
        <v>13568</v>
      </c>
      <c r="X1505" t="s">
        <v>13569</v>
      </c>
      <c r="Y1505" t="s">
        <v>13566</v>
      </c>
      <c r="Z1505" t="s">
        <v>1072</v>
      </c>
      <c r="AA1505" t="s">
        <v>998</v>
      </c>
      <c r="AB1505" t="s">
        <v>172</v>
      </c>
      <c r="AC1505" s="3" t="str">
        <f>"90249"</f>
        <v>90249</v>
      </c>
      <c r="AD1505" t="s">
        <v>128</v>
      </c>
      <c r="AF1505" s="4">
        <v>13103237882</v>
      </c>
      <c r="AH1505" t="str">
        <f>"722511"</f>
        <v>722511</v>
      </c>
      <c r="AI1505" t="s">
        <v>130</v>
      </c>
      <c r="AJ1505" t="s">
        <v>13570</v>
      </c>
      <c r="AK1505" t="s">
        <v>13571</v>
      </c>
      <c r="AM1505" t="s">
        <v>13572</v>
      </c>
      <c r="AN1505" t="s">
        <v>12950</v>
      </c>
      <c r="AO1505" t="s">
        <v>476</v>
      </c>
      <c r="AP1505" t="s">
        <v>172</v>
      </c>
      <c r="AQ1505" s="5">
        <v>90010</v>
      </c>
      <c r="AR1505" t="s">
        <v>128</v>
      </c>
      <c r="AT1505" s="4">
        <v>12134279750</v>
      </c>
      <c r="AV1505" t="s">
        <v>13573</v>
      </c>
      <c r="AW1505" t="s">
        <v>13574</v>
      </c>
      <c r="AX1505" t="s">
        <v>131</v>
      </c>
      <c r="AY1505" t="s">
        <v>131</v>
      </c>
      <c r="AZ1505" t="s">
        <v>131</v>
      </c>
      <c r="BA1505" t="s">
        <v>131</v>
      </c>
      <c r="BB1505" t="s">
        <v>131</v>
      </c>
      <c r="BC1505" t="s">
        <v>131</v>
      </c>
      <c r="BD1505" t="s">
        <v>131</v>
      </c>
      <c r="BE1505" t="s">
        <v>132</v>
      </c>
      <c r="BH1505" t="s">
        <v>1080</v>
      </c>
      <c r="BI1505" t="s">
        <v>131</v>
      </c>
      <c r="BL1505" t="s">
        <v>167</v>
      </c>
      <c r="BO1505" t="s">
        <v>131</v>
      </c>
      <c r="BP1505" t="s">
        <v>134</v>
      </c>
      <c r="BQ1505" t="s">
        <v>131</v>
      </c>
      <c r="BS1505" t="str">
        <f t="shared" si="94"/>
        <v>N/A</v>
      </c>
      <c r="BT1505" t="s">
        <v>135</v>
      </c>
      <c r="BU1505">
        <v>24</v>
      </c>
      <c r="BV1505" t="str">
        <f>"Asian Cook or Related Field"</f>
        <v>Asian Cook or Related Field</v>
      </c>
      <c r="BW1505" t="s">
        <v>131</v>
      </c>
      <c r="BX1505" t="str">
        <f>""</f>
        <v/>
      </c>
      <c r="BY1505" t="str">
        <f>""</f>
        <v/>
      </c>
      <c r="BZ1505" t="str">
        <f>""</f>
        <v/>
      </c>
      <c r="CA1505" t="str">
        <f>""</f>
        <v/>
      </c>
      <c r="CB1505" t="s">
        <v>131</v>
      </c>
      <c r="CF1505" t="s">
        <v>131</v>
      </c>
      <c r="CH1505" t="str">
        <f>""</f>
        <v/>
      </c>
      <c r="CI1505" t="s">
        <v>131</v>
      </c>
      <c r="CK1505" t="s">
        <v>131</v>
      </c>
      <c r="CL1505" t="str">
        <f>""</f>
        <v/>
      </c>
      <c r="CM1505" t="str">
        <f>""</f>
        <v/>
      </c>
      <c r="CN1505" t="str">
        <f>""</f>
        <v/>
      </c>
      <c r="CO1505" t="str">
        <f>""</f>
        <v/>
      </c>
      <c r="CP1505" t="str">
        <f>"35-2014.00"</f>
        <v>35-2014.00</v>
      </c>
      <c r="CQ1505" t="s">
        <v>581</v>
      </c>
      <c r="CR1505" t="s">
        <v>1080</v>
      </c>
      <c r="CS1505" t="s">
        <v>131</v>
      </c>
      <c r="CU1505" t="s">
        <v>13566</v>
      </c>
      <c r="CV1505" t="s">
        <v>1072</v>
      </c>
      <c r="CW1505" t="s">
        <v>998</v>
      </c>
      <c r="CX1505" t="s">
        <v>172</v>
      </c>
      <c r="CZ1505" s="3" t="str">
        <f>"90249"</f>
        <v>90249</v>
      </c>
      <c r="DA1505" t="s">
        <v>131</v>
      </c>
      <c r="DB1505" t="str">
        <f>""</f>
        <v/>
      </c>
      <c r="DF1505" t="str">
        <f>""</f>
        <v/>
      </c>
    </row>
    <row r="1506" spans="1:110" ht="15" customHeight="1" x14ac:dyDescent="0.35">
      <c r="A1506" t="s">
        <v>15173</v>
      </c>
      <c r="B1506" t="s">
        <v>138</v>
      </c>
      <c r="C1506" s="1">
        <v>44333</v>
      </c>
      <c r="G1506" s="1">
        <v>44341</v>
      </c>
      <c r="H1506" t="s">
        <v>125</v>
      </c>
      <c r="I1506" t="s">
        <v>449</v>
      </c>
      <c r="J1506" t="s">
        <v>450</v>
      </c>
      <c r="L1506" t="s">
        <v>451</v>
      </c>
      <c r="M1506" t="s">
        <v>452</v>
      </c>
      <c r="O1506" t="s">
        <v>453</v>
      </c>
      <c r="P1506" t="s">
        <v>178</v>
      </c>
      <c r="Q1506" s="3">
        <v>94025</v>
      </c>
      <c r="R1506" t="s">
        <v>128</v>
      </c>
      <c r="T1506" s="4">
        <v>16505434800</v>
      </c>
      <c r="V1506" t="s">
        <v>454</v>
      </c>
      <c r="W1506" t="s">
        <v>455</v>
      </c>
      <c r="Y1506" t="s">
        <v>452</v>
      </c>
      <c r="AA1506" t="s">
        <v>453</v>
      </c>
      <c r="AB1506" t="s">
        <v>172</v>
      </c>
      <c r="AC1506" s="3" t="str">
        <f>"94025"</f>
        <v>94025</v>
      </c>
      <c r="AD1506" t="s">
        <v>128</v>
      </c>
      <c r="AF1506" s="4">
        <v>16505434800</v>
      </c>
      <c r="AH1506" t="str">
        <f>"51913"</f>
        <v>51913</v>
      </c>
      <c r="AI1506" t="s">
        <v>130</v>
      </c>
      <c r="AJ1506" t="s">
        <v>1616</v>
      </c>
      <c r="AK1506" t="s">
        <v>5825</v>
      </c>
      <c r="AM1506" t="s">
        <v>11684</v>
      </c>
      <c r="AN1506" t="s">
        <v>5826</v>
      </c>
      <c r="AO1506" t="s">
        <v>458</v>
      </c>
      <c r="AP1506" t="s">
        <v>400</v>
      </c>
      <c r="AQ1506" s="5">
        <v>75082</v>
      </c>
      <c r="AR1506" t="s">
        <v>128</v>
      </c>
      <c r="AT1506" s="4">
        <v>14692909913</v>
      </c>
      <c r="AV1506" t="s">
        <v>5827</v>
      </c>
      <c r="AW1506" t="s">
        <v>367</v>
      </c>
      <c r="AX1506" t="s">
        <v>131</v>
      </c>
      <c r="AY1506" t="s">
        <v>131</v>
      </c>
      <c r="AZ1506" t="s">
        <v>131</v>
      </c>
      <c r="BA1506" t="s">
        <v>131</v>
      </c>
      <c r="BB1506" t="s">
        <v>131</v>
      </c>
      <c r="BC1506" t="s">
        <v>131</v>
      </c>
      <c r="BD1506" t="s">
        <v>131</v>
      </c>
      <c r="BE1506" t="s">
        <v>132</v>
      </c>
      <c r="BH1506" t="s">
        <v>13343</v>
      </c>
      <c r="BI1506" t="s">
        <v>131</v>
      </c>
      <c r="BL1506" t="s">
        <v>133</v>
      </c>
      <c r="BN1506" t="s">
        <v>1918</v>
      </c>
      <c r="BO1506" t="s">
        <v>131</v>
      </c>
      <c r="BP1506" t="s">
        <v>134</v>
      </c>
      <c r="BQ1506" t="s">
        <v>131</v>
      </c>
      <c r="BS1506" t="str">
        <f t="shared" si="94"/>
        <v>N/A</v>
      </c>
      <c r="BT1506" t="s">
        <v>135</v>
      </c>
      <c r="BU1506">
        <v>60</v>
      </c>
      <c r="BV1506" t="str">
        <f>"Please see F.a.2"</f>
        <v>Please see F.a.2</v>
      </c>
      <c r="BW1506" t="s">
        <v>135</v>
      </c>
      <c r="BX1506" t="str">
        <f>""</f>
        <v/>
      </c>
      <c r="BY1506" t="str">
        <f>""</f>
        <v/>
      </c>
      <c r="BZ1506" t="str">
        <f>""</f>
        <v/>
      </c>
      <c r="CA1506" t="str">
        <f>"Please see F.a.2"</f>
        <v>Please see F.a.2</v>
      </c>
      <c r="CB1506" t="s">
        <v>131</v>
      </c>
      <c r="CF1506" t="s">
        <v>131</v>
      </c>
      <c r="CH1506" t="str">
        <f>""</f>
        <v/>
      </c>
      <c r="CI1506" t="s">
        <v>131</v>
      </c>
      <c r="CK1506" t="s">
        <v>131</v>
      </c>
      <c r="CL1506" t="str">
        <f>""</f>
        <v/>
      </c>
      <c r="CM1506" t="str">
        <f>""</f>
        <v/>
      </c>
      <c r="CN1506" t="str">
        <f>""</f>
        <v/>
      </c>
      <c r="CO1506" t="str">
        <f>""</f>
        <v/>
      </c>
      <c r="CP1506" t="str">
        <f>"15-1133.00"</f>
        <v>15-1133.00</v>
      </c>
      <c r="CQ1506" t="s">
        <v>648</v>
      </c>
      <c r="CR1506" t="s">
        <v>460</v>
      </c>
      <c r="CS1506" t="s">
        <v>131</v>
      </c>
      <c r="CU1506" t="s">
        <v>13344</v>
      </c>
      <c r="CW1506" t="s">
        <v>1040</v>
      </c>
      <c r="CX1506" t="s">
        <v>400</v>
      </c>
      <c r="CZ1506" s="3" t="str">
        <f>"78701"</f>
        <v>78701</v>
      </c>
      <c r="DA1506" t="s">
        <v>131</v>
      </c>
      <c r="DB1506" t="str">
        <f>""</f>
        <v/>
      </c>
      <c r="DF1506" t="str">
        <f>""</f>
        <v/>
      </c>
    </row>
    <row r="1507" spans="1:110" ht="15" customHeight="1" x14ac:dyDescent="0.35">
      <c r="A1507" t="s">
        <v>15896</v>
      </c>
      <c r="B1507" t="s">
        <v>138</v>
      </c>
      <c r="C1507" s="1">
        <v>44333</v>
      </c>
      <c r="G1507" s="1">
        <v>44336</v>
      </c>
      <c r="H1507" t="s">
        <v>125</v>
      </c>
      <c r="I1507" t="s">
        <v>139</v>
      </c>
      <c r="J1507" t="s">
        <v>140</v>
      </c>
      <c r="L1507" t="s">
        <v>141</v>
      </c>
      <c r="M1507" t="s">
        <v>142</v>
      </c>
      <c r="O1507" t="s">
        <v>143</v>
      </c>
      <c r="P1507" t="s">
        <v>144</v>
      </c>
      <c r="Q1507" s="3">
        <v>98052</v>
      </c>
      <c r="R1507" t="s">
        <v>128</v>
      </c>
      <c r="T1507" s="4">
        <v>14258828080</v>
      </c>
      <c r="V1507" t="s">
        <v>145</v>
      </c>
      <c r="W1507" t="s">
        <v>146</v>
      </c>
      <c r="X1507" t="s">
        <v>134</v>
      </c>
      <c r="Y1507" t="s">
        <v>147</v>
      </c>
      <c r="Z1507" t="s">
        <v>134</v>
      </c>
      <c r="AA1507" t="s">
        <v>148</v>
      </c>
      <c r="AB1507" t="s">
        <v>149</v>
      </c>
      <c r="AC1507" s="3" t="str">
        <f>"98052"</f>
        <v>98052</v>
      </c>
      <c r="AD1507" t="s">
        <v>128</v>
      </c>
      <c r="AE1507" t="s">
        <v>134</v>
      </c>
      <c r="AF1507" s="4">
        <v>14258828080</v>
      </c>
      <c r="AH1507" t="str">
        <f>"5112"</f>
        <v>5112</v>
      </c>
      <c r="AI1507" t="s">
        <v>130</v>
      </c>
      <c r="AJ1507" t="s">
        <v>150</v>
      </c>
      <c r="AK1507" t="s">
        <v>151</v>
      </c>
      <c r="AL1507" t="s">
        <v>5487</v>
      </c>
      <c r="AM1507" t="s">
        <v>152</v>
      </c>
      <c r="AN1507" t="s">
        <v>153</v>
      </c>
      <c r="AO1507" t="s">
        <v>154</v>
      </c>
      <c r="AQ1507" s="5" t="s">
        <v>155</v>
      </c>
      <c r="AR1507" t="s">
        <v>156</v>
      </c>
      <c r="AS1507" t="s">
        <v>157</v>
      </c>
      <c r="AT1507" s="4">
        <v>16048918371</v>
      </c>
      <c r="AV1507" t="s">
        <v>158</v>
      </c>
      <c r="AW1507" t="s">
        <v>159</v>
      </c>
      <c r="AX1507" t="s">
        <v>131</v>
      </c>
      <c r="AY1507" t="s">
        <v>131</v>
      </c>
      <c r="AZ1507" t="s">
        <v>131</v>
      </c>
      <c r="BA1507" t="s">
        <v>131</v>
      </c>
      <c r="BB1507" t="s">
        <v>131</v>
      </c>
      <c r="BC1507" t="s">
        <v>131</v>
      </c>
      <c r="BD1507" t="s">
        <v>131</v>
      </c>
      <c r="BE1507" t="s">
        <v>160</v>
      </c>
      <c r="BF1507" t="s">
        <v>1612</v>
      </c>
      <c r="BG1507" s="1">
        <v>44270</v>
      </c>
      <c r="BH1507" t="s">
        <v>15897</v>
      </c>
      <c r="BI1507" t="s">
        <v>131</v>
      </c>
      <c r="BL1507" t="s">
        <v>133</v>
      </c>
      <c r="BN1507" t="s">
        <v>6345</v>
      </c>
      <c r="BO1507" t="s">
        <v>131</v>
      </c>
      <c r="BP1507" t="s">
        <v>134</v>
      </c>
      <c r="BQ1507" t="s">
        <v>131</v>
      </c>
      <c r="BS1507" t="str">
        <f t="shared" si="94"/>
        <v>N/A</v>
      </c>
      <c r="BT1507" t="s">
        <v>135</v>
      </c>
      <c r="BU1507">
        <v>60</v>
      </c>
      <c r="BV1507" t="str">
        <f>"Any Computer Related Occupation"</f>
        <v>Any Computer Related Occupation</v>
      </c>
      <c r="BW1507" t="s">
        <v>135</v>
      </c>
      <c r="BX1507" t="str">
        <f>""</f>
        <v/>
      </c>
      <c r="BY1507" t="str">
        <f>""</f>
        <v/>
      </c>
      <c r="BZ1507" t="str">
        <f>""</f>
        <v/>
      </c>
      <c r="CA1507" s="2" t="s">
        <v>6346</v>
      </c>
      <c r="CB1507" t="s">
        <v>131</v>
      </c>
      <c r="CF1507" t="s">
        <v>131</v>
      </c>
      <c r="CH1507" t="str">
        <f>""</f>
        <v/>
      </c>
      <c r="CI1507" t="s">
        <v>131</v>
      </c>
      <c r="CK1507" t="s">
        <v>131</v>
      </c>
      <c r="CL1507" t="str">
        <f>""</f>
        <v/>
      </c>
      <c r="CM1507" t="str">
        <f>""</f>
        <v/>
      </c>
      <c r="CN1507" t="str">
        <f>""</f>
        <v/>
      </c>
      <c r="CO1507" t="str">
        <f>""</f>
        <v/>
      </c>
      <c r="CP1507" t="str">
        <f>"15-1132.00"</f>
        <v>15-1132.00</v>
      </c>
      <c r="CQ1507" t="s">
        <v>198</v>
      </c>
      <c r="CR1507" t="s">
        <v>6347</v>
      </c>
      <c r="CS1507" t="s">
        <v>131</v>
      </c>
      <c r="CU1507" t="s">
        <v>142</v>
      </c>
      <c r="CW1507" t="s">
        <v>143</v>
      </c>
      <c r="CX1507" t="s">
        <v>149</v>
      </c>
      <c r="CZ1507" s="3" t="str">
        <f>"98052"</f>
        <v>98052</v>
      </c>
      <c r="DA1507" t="s">
        <v>131</v>
      </c>
      <c r="DB1507" t="str">
        <f>""</f>
        <v/>
      </c>
      <c r="DF1507" t="str">
        <f>""</f>
        <v/>
      </c>
    </row>
    <row r="1508" spans="1:110" ht="15" customHeight="1" x14ac:dyDescent="0.35">
      <c r="A1508" t="s">
        <v>6982</v>
      </c>
      <c r="B1508" t="s">
        <v>138</v>
      </c>
      <c r="C1508" s="1">
        <v>44333</v>
      </c>
      <c r="G1508" s="1">
        <v>44333</v>
      </c>
      <c r="H1508" t="s">
        <v>125</v>
      </c>
      <c r="I1508" t="s">
        <v>6983</v>
      </c>
      <c r="J1508" t="s">
        <v>6984</v>
      </c>
      <c r="L1508" t="s">
        <v>1776</v>
      </c>
      <c r="M1508" t="s">
        <v>6985</v>
      </c>
      <c r="O1508" t="s">
        <v>1134</v>
      </c>
      <c r="P1508" t="s">
        <v>178</v>
      </c>
      <c r="Q1508" s="3">
        <v>94403</v>
      </c>
      <c r="R1508" t="s">
        <v>128</v>
      </c>
      <c r="T1508" s="4">
        <v>14084395985</v>
      </c>
      <c r="V1508" t="s">
        <v>6986</v>
      </c>
      <c r="W1508" t="s">
        <v>6987</v>
      </c>
      <c r="X1508" t="s">
        <v>6987</v>
      </c>
      <c r="Y1508" t="s">
        <v>6985</v>
      </c>
      <c r="AA1508" t="s">
        <v>1134</v>
      </c>
      <c r="AB1508" t="s">
        <v>172</v>
      </c>
      <c r="AC1508" s="3" t="str">
        <f>"94403"</f>
        <v>94403</v>
      </c>
      <c r="AD1508" t="s">
        <v>128</v>
      </c>
      <c r="AF1508" s="4">
        <v>16502813348</v>
      </c>
      <c r="AG1508" t="s">
        <v>734</v>
      </c>
      <c r="AH1508" t="str">
        <f>"518210"</f>
        <v>518210</v>
      </c>
      <c r="AI1508" t="s">
        <v>130</v>
      </c>
      <c r="AJ1508" t="s">
        <v>6988</v>
      </c>
      <c r="AK1508" t="s">
        <v>6989</v>
      </c>
      <c r="AL1508" t="s">
        <v>2167</v>
      </c>
      <c r="AM1508" t="s">
        <v>2725</v>
      </c>
      <c r="AN1508" t="s">
        <v>788</v>
      </c>
      <c r="AO1508" t="s">
        <v>6990</v>
      </c>
      <c r="AP1508" t="s">
        <v>172</v>
      </c>
      <c r="AQ1508" s="5">
        <v>94133</v>
      </c>
      <c r="AR1508" t="s">
        <v>128</v>
      </c>
      <c r="AT1508" s="4">
        <v>14159864559</v>
      </c>
      <c r="AV1508" t="s">
        <v>6991</v>
      </c>
      <c r="AW1508" t="s">
        <v>6992</v>
      </c>
      <c r="AX1508" t="s">
        <v>131</v>
      </c>
      <c r="AY1508" t="s">
        <v>131</v>
      </c>
      <c r="AZ1508" t="s">
        <v>131</v>
      </c>
      <c r="BA1508" t="s">
        <v>131</v>
      </c>
      <c r="BB1508" t="s">
        <v>131</v>
      </c>
      <c r="BC1508" t="s">
        <v>131</v>
      </c>
      <c r="BD1508" t="s">
        <v>131</v>
      </c>
      <c r="BE1508" t="s">
        <v>132</v>
      </c>
      <c r="BH1508" t="s">
        <v>136</v>
      </c>
      <c r="BI1508" t="s">
        <v>135</v>
      </c>
      <c r="BJ1508" t="s">
        <v>597</v>
      </c>
      <c r="BK1508" t="s">
        <v>198</v>
      </c>
      <c r="BL1508" t="s">
        <v>133</v>
      </c>
      <c r="BN1508" t="s">
        <v>6993</v>
      </c>
      <c r="BO1508" t="s">
        <v>131</v>
      </c>
      <c r="BP1508" t="s">
        <v>134</v>
      </c>
      <c r="BQ1508" t="s">
        <v>131</v>
      </c>
      <c r="BS1508" t="str">
        <f t="shared" si="94"/>
        <v>N/A</v>
      </c>
      <c r="BT1508" t="s">
        <v>135</v>
      </c>
      <c r="BU1508">
        <v>36</v>
      </c>
      <c r="BV1508" t="str">
        <f>"Job offered or related occupations."</f>
        <v>Job offered or related occupations.</v>
      </c>
      <c r="BW1508" t="s">
        <v>135</v>
      </c>
      <c r="BX1508" t="str">
        <f>""</f>
        <v/>
      </c>
      <c r="BY1508" t="str">
        <f>""</f>
        <v/>
      </c>
      <c r="BZ1508" t="str">
        <f>""</f>
        <v/>
      </c>
      <c r="CA1508" s="2" t="s">
        <v>6994</v>
      </c>
      <c r="CB1508" t="s">
        <v>131</v>
      </c>
      <c r="CF1508" t="s">
        <v>131</v>
      </c>
      <c r="CH1508" t="str">
        <f>""</f>
        <v/>
      </c>
      <c r="CI1508" t="s">
        <v>131</v>
      </c>
      <c r="CK1508" t="s">
        <v>131</v>
      </c>
      <c r="CL1508" t="str">
        <f>""</f>
        <v/>
      </c>
      <c r="CM1508" t="str">
        <f>""</f>
        <v/>
      </c>
      <c r="CN1508" t="str">
        <f>""</f>
        <v/>
      </c>
      <c r="CO1508" t="str">
        <f>""</f>
        <v/>
      </c>
      <c r="CP1508" t="str">
        <f>"15-1132.00"</f>
        <v>15-1132.00</v>
      </c>
      <c r="CQ1508" t="s">
        <v>198</v>
      </c>
      <c r="CR1508" t="s">
        <v>3322</v>
      </c>
      <c r="CS1508" t="s">
        <v>131</v>
      </c>
      <c r="CU1508" t="s">
        <v>6985</v>
      </c>
      <c r="CW1508" t="s">
        <v>1134</v>
      </c>
      <c r="CX1508" t="s">
        <v>172</v>
      </c>
      <c r="CZ1508" s="3" t="str">
        <f>"94403"</f>
        <v>94403</v>
      </c>
      <c r="DA1508" t="s">
        <v>131</v>
      </c>
      <c r="DB1508" t="str">
        <f>""</f>
        <v/>
      </c>
      <c r="DF1508" t="str">
        <f>""</f>
        <v/>
      </c>
    </row>
    <row r="1509" spans="1:110" ht="15" customHeight="1" x14ac:dyDescent="0.35">
      <c r="A1509" t="s">
        <v>10995</v>
      </c>
      <c r="B1509" t="s">
        <v>138</v>
      </c>
      <c r="C1509" s="1">
        <v>44333</v>
      </c>
      <c r="G1509" s="1">
        <v>44333</v>
      </c>
      <c r="H1509" t="s">
        <v>125</v>
      </c>
      <c r="I1509" t="s">
        <v>2821</v>
      </c>
      <c r="J1509" t="s">
        <v>10435</v>
      </c>
      <c r="K1509" t="s">
        <v>10996</v>
      </c>
      <c r="L1509" t="s">
        <v>5122</v>
      </c>
      <c r="M1509" t="s">
        <v>10997</v>
      </c>
      <c r="N1509" t="s">
        <v>2355</v>
      </c>
      <c r="O1509" t="s">
        <v>129</v>
      </c>
      <c r="P1509" t="s">
        <v>127</v>
      </c>
      <c r="Q1509" s="3">
        <v>10019</v>
      </c>
      <c r="R1509" t="s">
        <v>128</v>
      </c>
      <c r="T1509" s="4">
        <v>12129570500</v>
      </c>
      <c r="V1509" t="s">
        <v>10998</v>
      </c>
      <c r="W1509" t="s">
        <v>10999</v>
      </c>
      <c r="Y1509" t="s">
        <v>11000</v>
      </c>
      <c r="AA1509" t="s">
        <v>10416</v>
      </c>
      <c r="AB1509" t="s">
        <v>377</v>
      </c>
      <c r="AC1509" s="3" t="str">
        <f>"02451"</f>
        <v>02451</v>
      </c>
      <c r="AD1509" t="s">
        <v>128</v>
      </c>
      <c r="AF1509" s="4">
        <v>17819071000</v>
      </c>
      <c r="AH1509" t="str">
        <f>"221122"</f>
        <v>221122</v>
      </c>
      <c r="AI1509" t="s">
        <v>130</v>
      </c>
      <c r="AJ1509" t="s">
        <v>2821</v>
      </c>
      <c r="AK1509" t="s">
        <v>10435</v>
      </c>
      <c r="AL1509" t="s">
        <v>10996</v>
      </c>
      <c r="AM1509" t="s">
        <v>10997</v>
      </c>
      <c r="AN1509" t="s">
        <v>2355</v>
      </c>
      <c r="AO1509" t="s">
        <v>129</v>
      </c>
      <c r="AP1509" t="s">
        <v>129</v>
      </c>
      <c r="AQ1509" s="5">
        <v>10019</v>
      </c>
      <c r="AR1509" t="s">
        <v>128</v>
      </c>
      <c r="AT1509" s="4">
        <v>12129570500</v>
      </c>
      <c r="AV1509" t="s">
        <v>10998</v>
      </c>
      <c r="AW1509" t="s">
        <v>11001</v>
      </c>
      <c r="AX1509" t="s">
        <v>131</v>
      </c>
      <c r="AY1509" t="s">
        <v>131</v>
      </c>
      <c r="AZ1509" t="s">
        <v>131</v>
      </c>
      <c r="BA1509" t="s">
        <v>131</v>
      </c>
      <c r="BB1509" t="s">
        <v>131</v>
      </c>
      <c r="BC1509" t="s">
        <v>131</v>
      </c>
      <c r="BD1509" t="s">
        <v>131</v>
      </c>
      <c r="BE1509" t="s">
        <v>132</v>
      </c>
      <c r="BH1509" t="s">
        <v>11002</v>
      </c>
      <c r="BI1509" t="s">
        <v>135</v>
      </c>
      <c r="BJ1509" t="s">
        <v>282</v>
      </c>
      <c r="BK1509" t="s">
        <v>283</v>
      </c>
      <c r="BL1509" t="s">
        <v>133</v>
      </c>
      <c r="BN1509" t="s">
        <v>11003</v>
      </c>
      <c r="BO1509" t="s">
        <v>131</v>
      </c>
      <c r="BP1509" t="s">
        <v>134</v>
      </c>
      <c r="BQ1509" t="s">
        <v>131</v>
      </c>
      <c r="BS1509" t="str">
        <f t="shared" si="94"/>
        <v>N/A</v>
      </c>
      <c r="BT1509" t="s">
        <v>135</v>
      </c>
      <c r="BU1509">
        <v>36</v>
      </c>
      <c r="BV1509" t="str">
        <f>"PLEASE SEE ITEM F.b.5.a.(iv) BELOW."</f>
        <v>PLEASE SEE ITEM F.b.5.a.(iv) BELOW.</v>
      </c>
      <c r="BW1509" t="s">
        <v>135</v>
      </c>
      <c r="BX1509" t="str">
        <f>""</f>
        <v/>
      </c>
      <c r="BY1509" t="str">
        <f>""</f>
        <v/>
      </c>
      <c r="BZ1509" t="str">
        <f>""</f>
        <v/>
      </c>
      <c r="CA1509" t="s">
        <v>11004</v>
      </c>
      <c r="CB1509" t="s">
        <v>131</v>
      </c>
      <c r="CF1509" t="s">
        <v>131</v>
      </c>
      <c r="CH1509" t="str">
        <f>""</f>
        <v/>
      </c>
      <c r="CI1509" t="s">
        <v>131</v>
      </c>
      <c r="CK1509" t="s">
        <v>131</v>
      </c>
      <c r="CL1509" t="str">
        <f>""</f>
        <v/>
      </c>
      <c r="CM1509" t="str">
        <f>""</f>
        <v/>
      </c>
      <c r="CN1509" t="str">
        <f>""</f>
        <v/>
      </c>
      <c r="CO1509" t="str">
        <f>""</f>
        <v/>
      </c>
      <c r="CP1509" t="str">
        <f>"11-3021.00"</f>
        <v>11-3021.00</v>
      </c>
      <c r="CQ1509" t="s">
        <v>598</v>
      </c>
      <c r="CR1509" t="s">
        <v>11005</v>
      </c>
      <c r="CS1509" t="s">
        <v>135</v>
      </c>
      <c r="CT1509" t="s">
        <v>11006</v>
      </c>
      <c r="CU1509" t="s">
        <v>11007</v>
      </c>
      <c r="CW1509" t="s">
        <v>1647</v>
      </c>
      <c r="CX1509" t="s">
        <v>377</v>
      </c>
      <c r="CZ1509" s="3" t="str">
        <f>"02451"</f>
        <v>02451</v>
      </c>
      <c r="DA1509" t="s">
        <v>131</v>
      </c>
      <c r="DB1509" t="str">
        <f>""</f>
        <v/>
      </c>
      <c r="DF1509" t="str">
        <f>""</f>
        <v/>
      </c>
    </row>
    <row r="1510" spans="1:110" ht="15" customHeight="1" x14ac:dyDescent="0.35">
      <c r="A1510" t="s">
        <v>19118</v>
      </c>
      <c r="B1510" t="s">
        <v>138</v>
      </c>
      <c r="C1510" s="1">
        <v>44334</v>
      </c>
      <c r="G1510" s="1">
        <v>44358</v>
      </c>
      <c r="H1510" t="s">
        <v>125</v>
      </c>
      <c r="I1510" t="s">
        <v>549</v>
      </c>
      <c r="J1510" t="s">
        <v>550</v>
      </c>
      <c r="L1510" t="s">
        <v>1246</v>
      </c>
      <c r="M1510" t="s">
        <v>1075</v>
      </c>
      <c r="O1510" t="s">
        <v>129</v>
      </c>
      <c r="P1510" t="s">
        <v>127</v>
      </c>
      <c r="Q1510" s="3">
        <v>10018</v>
      </c>
      <c r="R1510" t="s">
        <v>128</v>
      </c>
      <c r="T1510" s="4">
        <v>12126888555</v>
      </c>
      <c r="V1510" t="s">
        <v>551</v>
      </c>
      <c r="W1510" t="s">
        <v>489</v>
      </c>
      <c r="Y1510" t="s">
        <v>485</v>
      </c>
      <c r="AA1510" t="s">
        <v>486</v>
      </c>
      <c r="AB1510" t="s">
        <v>490</v>
      </c>
      <c r="AC1510" s="3" t="str">
        <f>"19809"</f>
        <v>19809</v>
      </c>
      <c r="AD1510" t="s">
        <v>128</v>
      </c>
      <c r="AF1510" s="4">
        <v>13027972000</v>
      </c>
      <c r="AH1510" t="str">
        <f>"52392"</f>
        <v>52392</v>
      </c>
      <c r="AI1510" t="s">
        <v>130</v>
      </c>
      <c r="AJ1510" t="s">
        <v>491</v>
      </c>
      <c r="AK1510" t="s">
        <v>492</v>
      </c>
      <c r="AM1510" t="s">
        <v>493</v>
      </c>
      <c r="AO1510" t="s">
        <v>494</v>
      </c>
      <c r="AP1510" t="s">
        <v>129</v>
      </c>
      <c r="AQ1510" s="5">
        <v>10018</v>
      </c>
      <c r="AR1510" t="s">
        <v>128</v>
      </c>
      <c r="AT1510" s="4">
        <v>12126888555</v>
      </c>
      <c r="AV1510" t="s">
        <v>551</v>
      </c>
      <c r="AW1510" t="s">
        <v>386</v>
      </c>
      <c r="AX1510" t="s">
        <v>131</v>
      </c>
      <c r="AY1510" t="s">
        <v>131</v>
      </c>
      <c r="AZ1510" t="s">
        <v>131</v>
      </c>
      <c r="BA1510" t="s">
        <v>131</v>
      </c>
      <c r="BB1510" t="s">
        <v>131</v>
      </c>
      <c r="BC1510" t="s">
        <v>131</v>
      </c>
      <c r="BD1510" t="s">
        <v>131</v>
      </c>
      <c r="BE1510" t="s">
        <v>132</v>
      </c>
      <c r="BH1510" t="s">
        <v>18641</v>
      </c>
      <c r="BI1510" t="s">
        <v>131</v>
      </c>
      <c r="BL1510" t="s">
        <v>133</v>
      </c>
      <c r="BN1510" t="s">
        <v>19119</v>
      </c>
      <c r="BO1510" t="s">
        <v>131</v>
      </c>
      <c r="BP1510" t="s">
        <v>134</v>
      </c>
      <c r="BQ1510" t="s">
        <v>131</v>
      </c>
      <c r="BS1510" t="str">
        <f t="shared" si="94"/>
        <v>N/A</v>
      </c>
      <c r="BT1510" t="s">
        <v>135</v>
      </c>
      <c r="BU1510">
        <v>24</v>
      </c>
      <c r="BV1510" t="str">
        <f>"Analyst or related."</f>
        <v>Analyst or related.</v>
      </c>
      <c r="BW1510" t="s">
        <v>135</v>
      </c>
      <c r="BX1510" t="str">
        <f>""</f>
        <v/>
      </c>
      <c r="BY1510" t="str">
        <f>""</f>
        <v/>
      </c>
      <c r="BZ1510" t="str">
        <f>""</f>
        <v/>
      </c>
      <c r="CA1510" t="s">
        <v>19120</v>
      </c>
      <c r="CB1510" t="s">
        <v>131</v>
      </c>
      <c r="CF1510" t="s">
        <v>131</v>
      </c>
      <c r="CH1510" t="str">
        <f>""</f>
        <v/>
      </c>
      <c r="CI1510" t="s">
        <v>131</v>
      </c>
      <c r="CK1510" t="s">
        <v>131</v>
      </c>
      <c r="CL1510" t="str">
        <f>""</f>
        <v/>
      </c>
      <c r="CM1510" t="str">
        <f>""</f>
        <v/>
      </c>
      <c r="CN1510" t="str">
        <f>""</f>
        <v/>
      </c>
      <c r="CO1510" t="str">
        <f>""</f>
        <v/>
      </c>
      <c r="CP1510" t="str">
        <f>"13-2099.00"</f>
        <v>13-2099.00</v>
      </c>
      <c r="CQ1510" t="s">
        <v>6273</v>
      </c>
      <c r="CR1510" t="s">
        <v>303</v>
      </c>
      <c r="CS1510" t="s">
        <v>131</v>
      </c>
      <c r="CU1510" t="s">
        <v>11831</v>
      </c>
      <c r="CW1510" t="s">
        <v>494</v>
      </c>
      <c r="CX1510" t="s">
        <v>129</v>
      </c>
      <c r="CZ1510" s="3" t="str">
        <f>"10022"</f>
        <v>10022</v>
      </c>
      <c r="DA1510" t="s">
        <v>131</v>
      </c>
      <c r="DB1510" t="str">
        <f>""</f>
        <v/>
      </c>
      <c r="DF1510" t="str">
        <f>""</f>
        <v/>
      </c>
    </row>
    <row r="1511" spans="1:110" ht="15" customHeight="1" x14ac:dyDescent="0.35">
      <c r="A1511" t="s">
        <v>1244</v>
      </c>
      <c r="B1511" t="s">
        <v>138</v>
      </c>
      <c r="C1511" s="1">
        <v>44334</v>
      </c>
      <c r="G1511" s="1">
        <v>44358</v>
      </c>
      <c r="H1511" t="s">
        <v>125</v>
      </c>
      <c r="I1511" t="s">
        <v>549</v>
      </c>
      <c r="J1511" t="s">
        <v>1245</v>
      </c>
      <c r="L1511" t="s">
        <v>1246</v>
      </c>
      <c r="M1511" t="s">
        <v>514</v>
      </c>
      <c r="O1511" t="s">
        <v>129</v>
      </c>
      <c r="P1511" t="s">
        <v>127</v>
      </c>
      <c r="Q1511" s="3">
        <v>10018</v>
      </c>
      <c r="R1511" t="s">
        <v>128</v>
      </c>
      <c r="T1511" s="4">
        <v>12126888555</v>
      </c>
      <c r="V1511" t="s">
        <v>551</v>
      </c>
      <c r="W1511" t="s">
        <v>489</v>
      </c>
      <c r="Y1511" t="s">
        <v>485</v>
      </c>
      <c r="AA1511" t="s">
        <v>486</v>
      </c>
      <c r="AB1511" t="s">
        <v>490</v>
      </c>
      <c r="AC1511" s="3" t="str">
        <f>"19809"</f>
        <v>19809</v>
      </c>
      <c r="AD1511" t="s">
        <v>128</v>
      </c>
      <c r="AF1511" s="4">
        <v>13027972000</v>
      </c>
      <c r="AH1511" t="str">
        <f>"52392"</f>
        <v>52392</v>
      </c>
      <c r="AI1511" t="s">
        <v>130</v>
      </c>
      <c r="AJ1511" t="s">
        <v>491</v>
      </c>
      <c r="AK1511" t="s">
        <v>492</v>
      </c>
      <c r="AM1511" t="s">
        <v>493</v>
      </c>
      <c r="AO1511" t="s">
        <v>494</v>
      </c>
      <c r="AP1511" t="s">
        <v>129</v>
      </c>
      <c r="AQ1511" s="5">
        <v>10018</v>
      </c>
      <c r="AR1511" t="s">
        <v>128</v>
      </c>
      <c r="AT1511" s="4">
        <v>12126888555</v>
      </c>
      <c r="AV1511" t="s">
        <v>1247</v>
      </c>
      <c r="AW1511" t="s">
        <v>386</v>
      </c>
      <c r="AX1511" t="s">
        <v>131</v>
      </c>
      <c r="AY1511" t="s">
        <v>131</v>
      </c>
      <c r="AZ1511" t="s">
        <v>131</v>
      </c>
      <c r="BA1511" t="s">
        <v>131</v>
      </c>
      <c r="BB1511" t="s">
        <v>131</v>
      </c>
      <c r="BC1511" t="s">
        <v>131</v>
      </c>
      <c r="BD1511" t="s">
        <v>131</v>
      </c>
      <c r="BE1511" t="s">
        <v>132</v>
      </c>
      <c r="BH1511" t="s">
        <v>1248</v>
      </c>
      <c r="BI1511" t="s">
        <v>131</v>
      </c>
      <c r="BL1511" t="s">
        <v>133</v>
      </c>
      <c r="BN1511" t="s">
        <v>1249</v>
      </c>
      <c r="BO1511" t="s">
        <v>131</v>
      </c>
      <c r="BP1511" t="s">
        <v>134</v>
      </c>
      <c r="BQ1511" t="s">
        <v>131</v>
      </c>
      <c r="BS1511" t="str">
        <f t="shared" si="94"/>
        <v>N/A</v>
      </c>
      <c r="BT1511" t="s">
        <v>135</v>
      </c>
      <c r="BU1511">
        <v>60</v>
      </c>
      <c r="BV1511" t="str">
        <f>"Experienced Associate Consultant; Systems Analyst; Application Development Analyst – ASP.NET, DevOps or related."</f>
        <v>Experienced Associate Consultant; Systems Analyst; Application Development Analyst – ASP.NET, DevOps or related.</v>
      </c>
      <c r="BW1511" t="s">
        <v>135</v>
      </c>
      <c r="BX1511" t="str">
        <f>""</f>
        <v/>
      </c>
      <c r="BY1511" t="str">
        <f>""</f>
        <v/>
      </c>
      <c r="BZ1511" t="str">
        <f>""</f>
        <v/>
      </c>
      <c r="CA1511" t="s">
        <v>1250</v>
      </c>
      <c r="CB1511" t="s">
        <v>135</v>
      </c>
      <c r="CC1511" t="s">
        <v>188</v>
      </c>
      <c r="CE1511" t="s">
        <v>1249</v>
      </c>
      <c r="CF1511" t="s">
        <v>131</v>
      </c>
      <c r="CH1511" t="str">
        <f>"N/A"</f>
        <v>N/A</v>
      </c>
      <c r="CI1511" t="s">
        <v>135</v>
      </c>
      <c r="CJ1511">
        <v>36</v>
      </c>
      <c r="CK1511" t="s">
        <v>135</v>
      </c>
      <c r="CL1511" t="str">
        <f>""</f>
        <v/>
      </c>
      <c r="CM1511" t="str">
        <f>""</f>
        <v/>
      </c>
      <c r="CN1511" t="str">
        <f>""</f>
        <v/>
      </c>
      <c r="CO1511" t="s">
        <v>1250</v>
      </c>
      <c r="CP1511" t="str">
        <f>"15-1133.00"</f>
        <v>15-1133.00</v>
      </c>
      <c r="CQ1511" t="s">
        <v>648</v>
      </c>
      <c r="CR1511" t="s">
        <v>303</v>
      </c>
      <c r="CS1511" t="s">
        <v>131</v>
      </c>
      <c r="CU1511" t="s">
        <v>1251</v>
      </c>
      <c r="CW1511" t="s">
        <v>642</v>
      </c>
      <c r="CX1511" t="s">
        <v>643</v>
      </c>
      <c r="CZ1511" s="3" t="str">
        <f>"30306"</f>
        <v>30306</v>
      </c>
      <c r="DA1511" t="s">
        <v>131</v>
      </c>
      <c r="DB1511" t="str">
        <f>""</f>
        <v/>
      </c>
      <c r="DF1511" t="str">
        <f>""</f>
        <v/>
      </c>
    </row>
    <row r="1512" spans="1:110" ht="15" customHeight="1" x14ac:dyDescent="0.35">
      <c r="A1512" t="s">
        <v>17063</v>
      </c>
      <c r="B1512" t="s">
        <v>138</v>
      </c>
      <c r="C1512" s="1">
        <v>44334</v>
      </c>
      <c r="G1512" s="1">
        <v>44342</v>
      </c>
      <c r="H1512" t="s">
        <v>125</v>
      </c>
      <c r="I1512" t="s">
        <v>1493</v>
      </c>
      <c r="J1512" t="s">
        <v>13817</v>
      </c>
      <c r="L1512" t="s">
        <v>13818</v>
      </c>
      <c r="M1512" t="s">
        <v>13819</v>
      </c>
      <c r="O1512" t="s">
        <v>376</v>
      </c>
      <c r="P1512" t="s">
        <v>720</v>
      </c>
      <c r="Q1512" s="3">
        <v>2115</v>
      </c>
      <c r="R1512" t="s">
        <v>128</v>
      </c>
      <c r="T1512" s="4">
        <v>16177351513</v>
      </c>
      <c r="V1512" t="s">
        <v>13820</v>
      </c>
      <c r="W1512" t="s">
        <v>13821</v>
      </c>
      <c r="Y1512" t="s">
        <v>13819</v>
      </c>
      <c r="AA1512" t="s">
        <v>376</v>
      </c>
      <c r="AB1512" t="s">
        <v>377</v>
      </c>
      <c r="AC1512" s="3" t="str">
        <f>"02115"</f>
        <v>02115</v>
      </c>
      <c r="AD1512" t="s">
        <v>128</v>
      </c>
      <c r="AE1512" t="s">
        <v>720</v>
      </c>
      <c r="AF1512" s="4">
        <v>16177322800</v>
      </c>
      <c r="AH1512" t="str">
        <f>"61131"</f>
        <v>61131</v>
      </c>
      <c r="AI1512" t="s">
        <v>130</v>
      </c>
      <c r="AJ1512" t="s">
        <v>1648</v>
      </c>
      <c r="AK1512" t="s">
        <v>1108</v>
      </c>
      <c r="AL1512" t="s">
        <v>718</v>
      </c>
      <c r="AM1512" t="s">
        <v>1649</v>
      </c>
      <c r="AN1512" t="s">
        <v>1650</v>
      </c>
      <c r="AO1512" t="s">
        <v>376</v>
      </c>
      <c r="AP1512" t="s">
        <v>377</v>
      </c>
      <c r="AQ1512" s="5">
        <v>2109</v>
      </c>
      <c r="AR1512" t="s">
        <v>128</v>
      </c>
      <c r="AT1512" s="4">
        <v>16173579300</v>
      </c>
      <c r="AV1512" t="s">
        <v>1651</v>
      </c>
      <c r="AW1512" t="s">
        <v>1652</v>
      </c>
      <c r="AX1512" t="s">
        <v>135</v>
      </c>
      <c r="AY1512" t="s">
        <v>135</v>
      </c>
      <c r="AZ1512" t="s">
        <v>131</v>
      </c>
      <c r="BA1512" t="s">
        <v>131</v>
      </c>
      <c r="BB1512" t="s">
        <v>134</v>
      </c>
      <c r="BC1512" t="s">
        <v>131</v>
      </c>
      <c r="BD1512" t="s">
        <v>131</v>
      </c>
      <c r="BE1512" t="s">
        <v>132</v>
      </c>
      <c r="BH1512" t="s">
        <v>13822</v>
      </c>
      <c r="BI1512" t="s">
        <v>131</v>
      </c>
      <c r="BL1512" t="s">
        <v>133</v>
      </c>
      <c r="BN1512" t="s">
        <v>17064</v>
      </c>
      <c r="BO1512" t="s">
        <v>131</v>
      </c>
      <c r="BP1512" t="s">
        <v>134</v>
      </c>
      <c r="BQ1512" t="s">
        <v>131</v>
      </c>
      <c r="BS1512" t="str">
        <f t="shared" si="94"/>
        <v>N/A</v>
      </c>
      <c r="BT1512" t="s">
        <v>135</v>
      </c>
      <c r="BU1512">
        <v>12</v>
      </c>
      <c r="BV1512" t="str">
        <f>"professional experience in working with digital marketing."</f>
        <v>professional experience in working with digital marketing.</v>
      </c>
      <c r="BW1512" t="s">
        <v>135</v>
      </c>
      <c r="BX1512" t="str">
        <f>""</f>
        <v/>
      </c>
      <c r="BY1512" t="str">
        <f>""</f>
        <v/>
      </c>
      <c r="BZ1512" t="str">
        <f>""</f>
        <v/>
      </c>
      <c r="CA1512" t="str">
        <f>"Must have demonstrated knowledge of: 1) video production; 2) digital management software, including Sprout Social or Hootsuite; 3) and Adobe Creative Cloud (Photoshop, Premiere Pro, After Effects, InDesign, Lightroom)."</f>
        <v>Must have demonstrated knowledge of: 1) video production; 2) digital management software, including Sprout Social or Hootsuite; 3) and Adobe Creative Cloud (Photoshop, Premiere Pro, After Effects, InDesign, Lightroom).</v>
      </c>
      <c r="CB1512" t="s">
        <v>131</v>
      </c>
      <c r="CF1512" t="s">
        <v>131</v>
      </c>
      <c r="CH1512" t="str">
        <f>""</f>
        <v/>
      </c>
      <c r="CI1512" t="s">
        <v>131</v>
      </c>
      <c r="CK1512" t="s">
        <v>131</v>
      </c>
      <c r="CL1512" t="str">
        <f>""</f>
        <v/>
      </c>
      <c r="CM1512" t="str">
        <f>""</f>
        <v/>
      </c>
      <c r="CN1512" t="str">
        <f>""</f>
        <v/>
      </c>
      <c r="CO1512" t="str">
        <f>""</f>
        <v/>
      </c>
      <c r="CP1512" t="str">
        <f>"27-3031.00"</f>
        <v>27-3031.00</v>
      </c>
      <c r="CQ1512" t="s">
        <v>4434</v>
      </c>
      <c r="CR1512" t="s">
        <v>13823</v>
      </c>
      <c r="CS1512" t="s">
        <v>131</v>
      </c>
      <c r="CU1512" t="s">
        <v>13819</v>
      </c>
      <c r="CW1512" t="s">
        <v>376</v>
      </c>
      <c r="CX1512" t="s">
        <v>377</v>
      </c>
      <c r="CZ1512" s="3" t="str">
        <f>"02115"</f>
        <v>02115</v>
      </c>
      <c r="DA1512" t="s">
        <v>131</v>
      </c>
      <c r="DB1512" t="str">
        <f>""</f>
        <v/>
      </c>
      <c r="DF1512" t="str">
        <f>""</f>
        <v/>
      </c>
    </row>
    <row r="1513" spans="1:110" ht="15" customHeight="1" x14ac:dyDescent="0.35">
      <c r="A1513" t="s">
        <v>17861</v>
      </c>
      <c r="B1513" t="s">
        <v>138</v>
      </c>
      <c r="C1513" s="1">
        <v>44334</v>
      </c>
      <c r="G1513" s="1">
        <v>44350</v>
      </c>
      <c r="H1513" t="s">
        <v>125</v>
      </c>
      <c r="I1513" t="s">
        <v>838</v>
      </c>
      <c r="J1513" t="s">
        <v>839</v>
      </c>
      <c r="K1513" t="s">
        <v>1933</v>
      </c>
      <c r="L1513" t="s">
        <v>2565</v>
      </c>
      <c r="M1513" t="s">
        <v>841</v>
      </c>
      <c r="N1513" t="s">
        <v>842</v>
      </c>
      <c r="O1513" t="s">
        <v>843</v>
      </c>
      <c r="P1513" t="s">
        <v>273</v>
      </c>
      <c r="Q1513" s="3">
        <v>7080</v>
      </c>
      <c r="R1513" t="s">
        <v>128</v>
      </c>
      <c r="T1513" s="4">
        <v>17328327978</v>
      </c>
      <c r="V1513" t="s">
        <v>844</v>
      </c>
      <c r="W1513" t="s">
        <v>8774</v>
      </c>
      <c r="Y1513" t="s">
        <v>8775</v>
      </c>
      <c r="Z1513" t="s">
        <v>515</v>
      </c>
      <c r="AA1513" t="s">
        <v>1479</v>
      </c>
      <c r="AB1513" t="s">
        <v>276</v>
      </c>
      <c r="AC1513" s="3" t="str">
        <f>"08837"</f>
        <v>08837</v>
      </c>
      <c r="AD1513" t="s">
        <v>128</v>
      </c>
      <c r="AF1513" s="4">
        <v>17329936016</v>
      </c>
      <c r="AH1513" t="str">
        <f>"541511"</f>
        <v>541511</v>
      </c>
      <c r="AI1513" t="s">
        <v>130</v>
      </c>
      <c r="AJ1513" t="s">
        <v>838</v>
      </c>
      <c r="AK1513" t="s">
        <v>839</v>
      </c>
      <c r="AL1513" t="s">
        <v>1933</v>
      </c>
      <c r="AM1513" t="s">
        <v>841</v>
      </c>
      <c r="AN1513" t="s">
        <v>842</v>
      </c>
      <c r="AO1513" t="s">
        <v>843</v>
      </c>
      <c r="AP1513" t="s">
        <v>276</v>
      </c>
      <c r="AQ1513" s="5">
        <v>7080</v>
      </c>
      <c r="AR1513" t="s">
        <v>128</v>
      </c>
      <c r="AT1513" s="4">
        <v>17328327978</v>
      </c>
      <c r="AV1513" t="s">
        <v>844</v>
      </c>
      <c r="AW1513" t="s">
        <v>3328</v>
      </c>
      <c r="AX1513" t="s">
        <v>131</v>
      </c>
      <c r="AY1513" t="s">
        <v>131</v>
      </c>
      <c r="AZ1513" t="s">
        <v>131</v>
      </c>
      <c r="BA1513" t="s">
        <v>131</v>
      </c>
      <c r="BB1513" t="s">
        <v>131</v>
      </c>
      <c r="BC1513" t="s">
        <v>131</v>
      </c>
      <c r="BD1513" t="s">
        <v>131</v>
      </c>
      <c r="BE1513" t="s">
        <v>132</v>
      </c>
      <c r="BH1513" t="s">
        <v>500</v>
      </c>
      <c r="BI1513" t="s">
        <v>131</v>
      </c>
      <c r="BL1513" t="s">
        <v>307</v>
      </c>
      <c r="BN1513" t="s">
        <v>8776</v>
      </c>
      <c r="BO1513" t="s">
        <v>131</v>
      </c>
      <c r="BP1513" t="s">
        <v>134</v>
      </c>
      <c r="BQ1513" t="s">
        <v>131</v>
      </c>
      <c r="BS1513" t="str">
        <f t="shared" si="94"/>
        <v>N/A</v>
      </c>
      <c r="BT1513" t="s">
        <v>135</v>
      </c>
      <c r="BU1513">
        <v>24</v>
      </c>
      <c r="BV1513" t="str">
        <f>"job offered or related occupation"</f>
        <v>job offered or related occupation</v>
      </c>
      <c r="BW1513" t="s">
        <v>131</v>
      </c>
      <c r="BX1513" t="str">
        <f>""</f>
        <v/>
      </c>
      <c r="BY1513" t="str">
        <f>""</f>
        <v/>
      </c>
      <c r="BZ1513" t="str">
        <f>""</f>
        <v/>
      </c>
      <c r="CA1513" t="str">
        <f>""</f>
        <v/>
      </c>
      <c r="CB1513" t="s">
        <v>131</v>
      </c>
      <c r="CF1513" t="s">
        <v>131</v>
      </c>
      <c r="CH1513" t="str">
        <f>""</f>
        <v/>
      </c>
      <c r="CI1513" t="s">
        <v>131</v>
      </c>
      <c r="CK1513" t="s">
        <v>131</v>
      </c>
      <c r="CL1513" t="str">
        <f>""</f>
        <v/>
      </c>
      <c r="CM1513" t="str">
        <f>""</f>
        <v/>
      </c>
      <c r="CN1513" t="str">
        <f>""</f>
        <v/>
      </c>
      <c r="CO1513" t="str">
        <f>""</f>
        <v/>
      </c>
      <c r="CP1513" t="str">
        <f>"15-1132.00"</f>
        <v>15-1132.00</v>
      </c>
      <c r="CQ1513" t="s">
        <v>198</v>
      </c>
      <c r="CR1513" t="s">
        <v>849</v>
      </c>
      <c r="CS1513" t="s">
        <v>131</v>
      </c>
      <c r="CU1513" t="s">
        <v>8775</v>
      </c>
      <c r="CV1513" t="s">
        <v>8777</v>
      </c>
      <c r="CW1513" t="s">
        <v>1479</v>
      </c>
      <c r="CX1513" t="s">
        <v>276</v>
      </c>
      <c r="CZ1513" s="3" t="str">
        <f>"08837"</f>
        <v>08837</v>
      </c>
      <c r="DA1513" t="s">
        <v>131</v>
      </c>
      <c r="DB1513" t="str">
        <f>""</f>
        <v/>
      </c>
      <c r="DF1513" t="str">
        <f>""</f>
        <v/>
      </c>
    </row>
    <row r="1514" spans="1:110" ht="15" customHeight="1" x14ac:dyDescent="0.35">
      <c r="A1514" t="s">
        <v>18698</v>
      </c>
      <c r="B1514" t="s">
        <v>138</v>
      </c>
      <c r="C1514" s="1">
        <v>44334</v>
      </c>
      <c r="G1514" s="1">
        <v>44350</v>
      </c>
      <c r="H1514" t="s">
        <v>125</v>
      </c>
      <c r="I1514" t="s">
        <v>838</v>
      </c>
      <c r="J1514" t="s">
        <v>839</v>
      </c>
      <c r="K1514" t="s">
        <v>1933</v>
      </c>
      <c r="L1514" t="s">
        <v>2565</v>
      </c>
      <c r="M1514" t="s">
        <v>841</v>
      </c>
      <c r="N1514" t="s">
        <v>842</v>
      </c>
      <c r="O1514" t="s">
        <v>843</v>
      </c>
      <c r="P1514" t="s">
        <v>273</v>
      </c>
      <c r="Q1514" s="3">
        <v>7080</v>
      </c>
      <c r="R1514" t="s">
        <v>128</v>
      </c>
      <c r="T1514" s="4">
        <v>17328327978</v>
      </c>
      <c r="V1514" t="s">
        <v>844</v>
      </c>
      <c r="W1514" t="s">
        <v>7790</v>
      </c>
      <c r="Y1514" t="s">
        <v>7791</v>
      </c>
      <c r="Z1514" t="s">
        <v>3384</v>
      </c>
      <c r="AA1514" t="s">
        <v>1154</v>
      </c>
      <c r="AB1514" t="s">
        <v>276</v>
      </c>
      <c r="AC1514" s="3" t="str">
        <f>"08873"</f>
        <v>08873</v>
      </c>
      <c r="AD1514" t="s">
        <v>128</v>
      </c>
      <c r="AF1514" s="4">
        <v>17329067806</v>
      </c>
      <c r="AH1514" t="str">
        <f>"541511"</f>
        <v>541511</v>
      </c>
      <c r="AI1514" t="s">
        <v>130</v>
      </c>
      <c r="AJ1514" t="s">
        <v>838</v>
      </c>
      <c r="AK1514" t="s">
        <v>839</v>
      </c>
      <c r="AL1514" t="s">
        <v>1933</v>
      </c>
      <c r="AM1514" t="s">
        <v>841</v>
      </c>
      <c r="AN1514" t="s">
        <v>842</v>
      </c>
      <c r="AO1514" t="s">
        <v>843</v>
      </c>
      <c r="AP1514" t="s">
        <v>276</v>
      </c>
      <c r="AQ1514" s="5">
        <v>7080</v>
      </c>
      <c r="AR1514" t="s">
        <v>128</v>
      </c>
      <c r="AT1514" s="4">
        <v>17328327978</v>
      </c>
      <c r="AV1514" t="s">
        <v>844</v>
      </c>
      <c r="AW1514" t="s">
        <v>3328</v>
      </c>
      <c r="AX1514" t="s">
        <v>131</v>
      </c>
      <c r="AY1514" t="s">
        <v>131</v>
      </c>
      <c r="AZ1514" t="s">
        <v>131</v>
      </c>
      <c r="BA1514" t="s">
        <v>131</v>
      </c>
      <c r="BB1514" t="s">
        <v>131</v>
      </c>
      <c r="BC1514" t="s">
        <v>131</v>
      </c>
      <c r="BD1514" t="s">
        <v>131</v>
      </c>
      <c r="BE1514" t="s">
        <v>132</v>
      </c>
      <c r="BH1514" t="s">
        <v>846</v>
      </c>
      <c r="BI1514" t="s">
        <v>131</v>
      </c>
      <c r="BL1514" t="s">
        <v>133</v>
      </c>
      <c r="BN1514" t="s">
        <v>6112</v>
      </c>
      <c r="BO1514" t="s">
        <v>131</v>
      </c>
      <c r="BP1514" t="s">
        <v>134</v>
      </c>
      <c r="BQ1514" t="s">
        <v>131</v>
      </c>
      <c r="BS1514" t="str">
        <f t="shared" si="94"/>
        <v>N/A</v>
      </c>
      <c r="BT1514" t="s">
        <v>135</v>
      </c>
      <c r="BU1514">
        <v>12</v>
      </c>
      <c r="BV1514" t="str">
        <f>"job offered or related occupation"</f>
        <v>job offered or related occupation</v>
      </c>
      <c r="BW1514" t="s">
        <v>131</v>
      </c>
      <c r="BX1514" t="str">
        <f>""</f>
        <v/>
      </c>
      <c r="BY1514" t="str">
        <f>""</f>
        <v/>
      </c>
      <c r="BZ1514" t="str">
        <f>""</f>
        <v/>
      </c>
      <c r="CA1514" t="str">
        <f>""</f>
        <v/>
      </c>
      <c r="CB1514" t="s">
        <v>131</v>
      </c>
      <c r="CF1514" t="s">
        <v>131</v>
      </c>
      <c r="CH1514" t="str">
        <f>""</f>
        <v/>
      </c>
      <c r="CI1514" t="s">
        <v>131</v>
      </c>
      <c r="CK1514" t="s">
        <v>131</v>
      </c>
      <c r="CL1514" t="str">
        <f>""</f>
        <v/>
      </c>
      <c r="CM1514" t="str">
        <f>""</f>
        <v/>
      </c>
      <c r="CN1514" t="str">
        <f>""</f>
        <v/>
      </c>
      <c r="CO1514" t="str">
        <f>""</f>
        <v/>
      </c>
      <c r="CP1514" t="str">
        <f>"15-1132.00"</f>
        <v>15-1132.00</v>
      </c>
      <c r="CQ1514" t="s">
        <v>198</v>
      </c>
      <c r="CR1514" t="s">
        <v>849</v>
      </c>
      <c r="CS1514" t="s">
        <v>131</v>
      </c>
      <c r="CU1514" t="s">
        <v>7791</v>
      </c>
      <c r="CV1514" t="s">
        <v>6949</v>
      </c>
      <c r="CW1514" t="s">
        <v>1154</v>
      </c>
      <c r="CX1514" t="s">
        <v>276</v>
      </c>
      <c r="CZ1514" s="3" t="str">
        <f>"08873"</f>
        <v>08873</v>
      </c>
      <c r="DA1514" t="s">
        <v>131</v>
      </c>
      <c r="DB1514" t="str">
        <f>""</f>
        <v/>
      </c>
      <c r="DF1514" t="str">
        <f>""</f>
        <v/>
      </c>
    </row>
    <row r="1515" spans="1:110" ht="15" customHeight="1" x14ac:dyDescent="0.35">
      <c r="A1515" t="s">
        <v>17666</v>
      </c>
      <c r="B1515" t="s">
        <v>138</v>
      </c>
      <c r="C1515" s="1">
        <v>44334</v>
      </c>
      <c r="G1515" s="1">
        <v>44350</v>
      </c>
      <c r="H1515" t="s">
        <v>125</v>
      </c>
      <c r="I1515" t="s">
        <v>838</v>
      </c>
      <c r="J1515" t="s">
        <v>839</v>
      </c>
      <c r="K1515" t="s">
        <v>1933</v>
      </c>
      <c r="L1515" t="s">
        <v>2565</v>
      </c>
      <c r="M1515" t="s">
        <v>841</v>
      </c>
      <c r="N1515" t="s">
        <v>842</v>
      </c>
      <c r="O1515" t="s">
        <v>843</v>
      </c>
      <c r="P1515" t="s">
        <v>273</v>
      </c>
      <c r="Q1515" s="3">
        <v>7080</v>
      </c>
      <c r="R1515" t="s">
        <v>128</v>
      </c>
      <c r="T1515" s="4">
        <v>17328327978</v>
      </c>
      <c r="V1515" t="s">
        <v>844</v>
      </c>
      <c r="W1515" t="s">
        <v>14943</v>
      </c>
      <c r="Y1515" t="s">
        <v>7085</v>
      </c>
      <c r="Z1515" t="s">
        <v>14944</v>
      </c>
      <c r="AA1515" t="s">
        <v>2596</v>
      </c>
      <c r="AB1515" t="s">
        <v>276</v>
      </c>
      <c r="AC1515" s="3" t="str">
        <f>"08854"</f>
        <v>08854</v>
      </c>
      <c r="AD1515" t="s">
        <v>128</v>
      </c>
      <c r="AF1515" s="4">
        <v>17328027070</v>
      </c>
      <c r="AH1515" t="str">
        <f>"541519"</f>
        <v>541519</v>
      </c>
      <c r="AI1515" t="s">
        <v>130</v>
      </c>
      <c r="AJ1515" t="s">
        <v>838</v>
      </c>
      <c r="AK1515" t="s">
        <v>839</v>
      </c>
      <c r="AL1515" t="s">
        <v>1933</v>
      </c>
      <c r="AM1515" t="s">
        <v>841</v>
      </c>
      <c r="AN1515" t="s">
        <v>842</v>
      </c>
      <c r="AO1515" t="s">
        <v>843</v>
      </c>
      <c r="AP1515" t="s">
        <v>276</v>
      </c>
      <c r="AQ1515" s="5">
        <v>7080</v>
      </c>
      <c r="AR1515" t="s">
        <v>128</v>
      </c>
      <c r="AT1515" s="4">
        <v>17328327978</v>
      </c>
      <c r="AV1515" t="s">
        <v>844</v>
      </c>
      <c r="AW1515" t="s">
        <v>3328</v>
      </c>
      <c r="AX1515" t="s">
        <v>131</v>
      </c>
      <c r="AY1515" t="s">
        <v>131</v>
      </c>
      <c r="AZ1515" t="s">
        <v>131</v>
      </c>
      <c r="BA1515" t="s">
        <v>131</v>
      </c>
      <c r="BB1515" t="s">
        <v>131</v>
      </c>
      <c r="BC1515" t="s">
        <v>131</v>
      </c>
      <c r="BD1515" t="s">
        <v>131</v>
      </c>
      <c r="BE1515" t="s">
        <v>132</v>
      </c>
      <c r="BH1515" t="s">
        <v>846</v>
      </c>
      <c r="BI1515" t="s">
        <v>131</v>
      </c>
      <c r="BL1515" t="s">
        <v>188</v>
      </c>
      <c r="BN1515" t="s">
        <v>17471</v>
      </c>
      <c r="BO1515" t="s">
        <v>131</v>
      </c>
      <c r="BP1515" t="s">
        <v>134</v>
      </c>
      <c r="BQ1515" t="s">
        <v>131</v>
      </c>
      <c r="BS1515" t="str">
        <f t="shared" si="94"/>
        <v>N/A</v>
      </c>
      <c r="BT1515" t="s">
        <v>131</v>
      </c>
      <c r="BV1515" t="str">
        <f>""</f>
        <v/>
      </c>
      <c r="BW1515" t="s">
        <v>131</v>
      </c>
      <c r="BX1515" t="str">
        <f>""</f>
        <v/>
      </c>
      <c r="BY1515" t="str">
        <f>""</f>
        <v/>
      </c>
      <c r="BZ1515" t="str">
        <f>""</f>
        <v/>
      </c>
      <c r="CA1515" t="str">
        <f>""</f>
        <v/>
      </c>
      <c r="CB1515" t="s">
        <v>135</v>
      </c>
      <c r="CC1515" t="s">
        <v>133</v>
      </c>
      <c r="CE1515" t="s">
        <v>17471</v>
      </c>
      <c r="CF1515" t="s">
        <v>131</v>
      </c>
      <c r="CH1515" t="str">
        <f t="shared" ref="CH1515:CH1526" si="95">"N/A"</f>
        <v>N/A</v>
      </c>
      <c r="CI1515" t="s">
        <v>135</v>
      </c>
      <c r="CJ1515">
        <v>60</v>
      </c>
      <c r="CK1515" t="s">
        <v>135</v>
      </c>
      <c r="CL1515" t="str">
        <f>""</f>
        <v/>
      </c>
      <c r="CM1515" t="str">
        <f>""</f>
        <v/>
      </c>
      <c r="CN1515" t="str">
        <f>""</f>
        <v/>
      </c>
      <c r="CO1515" t="s">
        <v>17667</v>
      </c>
      <c r="CP1515" t="str">
        <f>"15-1132.00"</f>
        <v>15-1132.00</v>
      </c>
      <c r="CQ1515" t="s">
        <v>198</v>
      </c>
      <c r="CR1515" t="s">
        <v>849</v>
      </c>
      <c r="CS1515" t="s">
        <v>131</v>
      </c>
      <c r="CU1515" t="s">
        <v>7085</v>
      </c>
      <c r="CV1515" t="s">
        <v>14947</v>
      </c>
      <c r="CW1515" t="s">
        <v>2596</v>
      </c>
      <c r="CX1515" t="s">
        <v>276</v>
      </c>
      <c r="CZ1515" s="3" t="str">
        <f>"08854"</f>
        <v>08854</v>
      </c>
      <c r="DA1515" t="s">
        <v>131</v>
      </c>
      <c r="DB1515" t="str">
        <f>""</f>
        <v/>
      </c>
      <c r="DF1515" t="str">
        <f>""</f>
        <v/>
      </c>
    </row>
    <row r="1516" spans="1:110" ht="15" customHeight="1" x14ac:dyDescent="0.35">
      <c r="A1516" t="s">
        <v>18528</v>
      </c>
      <c r="B1516" t="s">
        <v>138</v>
      </c>
      <c r="C1516" s="1">
        <v>44334</v>
      </c>
      <c r="G1516" s="1">
        <v>44334</v>
      </c>
      <c r="H1516" t="s">
        <v>125</v>
      </c>
      <c r="I1516" t="s">
        <v>16121</v>
      </c>
      <c r="J1516" t="s">
        <v>6567</v>
      </c>
      <c r="L1516" t="s">
        <v>16122</v>
      </c>
      <c r="M1516" t="s">
        <v>7215</v>
      </c>
      <c r="N1516" t="s">
        <v>3712</v>
      </c>
      <c r="O1516" t="s">
        <v>494</v>
      </c>
      <c r="P1516" t="s">
        <v>127</v>
      </c>
      <c r="Q1516" s="3">
        <v>10005</v>
      </c>
      <c r="R1516" t="s">
        <v>128</v>
      </c>
      <c r="T1516" s="4">
        <v>14073745852</v>
      </c>
      <c r="V1516" t="s">
        <v>16123</v>
      </c>
      <c r="W1516" t="s">
        <v>16124</v>
      </c>
      <c r="Y1516" t="s">
        <v>16125</v>
      </c>
      <c r="Z1516" t="s">
        <v>5058</v>
      </c>
      <c r="AA1516" t="s">
        <v>129</v>
      </c>
      <c r="AB1516" t="s">
        <v>129</v>
      </c>
      <c r="AC1516" s="3" t="str">
        <f>"10005"</f>
        <v>10005</v>
      </c>
      <c r="AD1516" t="s">
        <v>128</v>
      </c>
      <c r="AF1516" s="4">
        <v>14073745852</v>
      </c>
      <c r="AG1516">
        <v>0</v>
      </c>
      <c r="AH1516" t="str">
        <f>"54199"</f>
        <v>54199</v>
      </c>
      <c r="AI1516" t="s">
        <v>130</v>
      </c>
      <c r="AJ1516" t="s">
        <v>1486</v>
      </c>
      <c r="AK1516" t="s">
        <v>1487</v>
      </c>
      <c r="AM1516" t="s">
        <v>493</v>
      </c>
      <c r="AO1516" t="s">
        <v>494</v>
      </c>
      <c r="AP1516" t="s">
        <v>129</v>
      </c>
      <c r="AQ1516" s="5">
        <v>10018</v>
      </c>
      <c r="AR1516" t="s">
        <v>128</v>
      </c>
      <c r="AS1516" t="s">
        <v>494</v>
      </c>
      <c r="AT1516" s="4">
        <v>12126888555</v>
      </c>
      <c r="AV1516" t="s">
        <v>8868</v>
      </c>
      <c r="AW1516" t="s">
        <v>386</v>
      </c>
      <c r="AX1516" t="s">
        <v>131</v>
      </c>
      <c r="AY1516" t="s">
        <v>131</v>
      </c>
      <c r="AZ1516" t="s">
        <v>131</v>
      </c>
      <c r="BA1516" t="s">
        <v>131</v>
      </c>
      <c r="BB1516" t="s">
        <v>131</v>
      </c>
      <c r="BC1516" t="s">
        <v>131</v>
      </c>
      <c r="BD1516" t="s">
        <v>131</v>
      </c>
      <c r="BE1516" t="s">
        <v>132</v>
      </c>
      <c r="BH1516" t="s">
        <v>13915</v>
      </c>
      <c r="BI1516" t="s">
        <v>131</v>
      </c>
      <c r="BL1516" t="s">
        <v>133</v>
      </c>
      <c r="BN1516" t="s">
        <v>16126</v>
      </c>
      <c r="BO1516" t="s">
        <v>131</v>
      </c>
      <c r="BP1516" t="s">
        <v>134</v>
      </c>
      <c r="BQ1516" t="s">
        <v>131</v>
      </c>
      <c r="BS1516" t="str">
        <f t="shared" si="94"/>
        <v>N/A</v>
      </c>
      <c r="BT1516" t="s">
        <v>135</v>
      </c>
      <c r="BU1516">
        <v>120</v>
      </c>
      <c r="BV1516" t="str">
        <f>"Managing Principal, Senior Consultant/Principal Consultant/Managing Principal, IT Senior Business Systems Analyst/Project Lead/Account Manager, or related."</f>
        <v>Managing Principal, Senior Consultant/Principal Consultant/Managing Principal, IT Senior Business Systems Analyst/Project Lead/Account Manager, or related.</v>
      </c>
      <c r="BW1516" t="s">
        <v>135</v>
      </c>
      <c r="BX1516" t="str">
        <f>""</f>
        <v/>
      </c>
      <c r="BY1516" t="str">
        <f>""</f>
        <v/>
      </c>
      <c r="BZ1516" t="str">
        <f>""</f>
        <v/>
      </c>
      <c r="CA1516" t="s">
        <v>18529</v>
      </c>
      <c r="CB1516" t="s">
        <v>135</v>
      </c>
      <c r="CC1516" t="s">
        <v>133</v>
      </c>
      <c r="CE1516" t="s">
        <v>10822</v>
      </c>
      <c r="CF1516" t="s">
        <v>131</v>
      </c>
      <c r="CH1516" t="str">
        <f t="shared" si="95"/>
        <v>N/A</v>
      </c>
      <c r="CI1516" t="s">
        <v>135</v>
      </c>
      <c r="CJ1516">
        <v>12</v>
      </c>
      <c r="CK1516" t="s">
        <v>131</v>
      </c>
      <c r="CL1516" t="str">
        <f>""</f>
        <v/>
      </c>
      <c r="CM1516" t="str">
        <f>""</f>
        <v/>
      </c>
      <c r="CN1516" t="str">
        <f>""</f>
        <v/>
      </c>
      <c r="CO1516" t="str">
        <f>""</f>
        <v/>
      </c>
      <c r="CP1516" t="str">
        <f>"11-1021.00"</f>
        <v>11-1021.00</v>
      </c>
      <c r="CQ1516" t="s">
        <v>1296</v>
      </c>
      <c r="CR1516" t="s">
        <v>668</v>
      </c>
      <c r="CS1516" t="s">
        <v>135</v>
      </c>
      <c r="CT1516" t="s">
        <v>18530</v>
      </c>
      <c r="CU1516" t="s">
        <v>7215</v>
      </c>
      <c r="CW1516" t="s">
        <v>494</v>
      </c>
      <c r="CX1516" t="s">
        <v>129</v>
      </c>
      <c r="CZ1516" s="3" t="str">
        <f>"10005"</f>
        <v>10005</v>
      </c>
      <c r="DA1516" t="s">
        <v>131</v>
      </c>
      <c r="DB1516" t="str">
        <f>""</f>
        <v/>
      </c>
      <c r="DF1516" t="str">
        <f>""</f>
        <v/>
      </c>
    </row>
    <row r="1517" spans="1:110" ht="15" customHeight="1" x14ac:dyDescent="0.35">
      <c r="A1517" t="s">
        <v>18155</v>
      </c>
      <c r="B1517" t="s">
        <v>138</v>
      </c>
      <c r="C1517" s="1">
        <v>44334</v>
      </c>
      <c r="G1517" s="1">
        <v>44334</v>
      </c>
      <c r="H1517" t="s">
        <v>125</v>
      </c>
      <c r="I1517" t="s">
        <v>838</v>
      </c>
      <c r="J1517" t="s">
        <v>839</v>
      </c>
      <c r="K1517" t="s">
        <v>1933</v>
      </c>
      <c r="L1517" t="s">
        <v>2565</v>
      </c>
      <c r="M1517" t="s">
        <v>841</v>
      </c>
      <c r="N1517" t="s">
        <v>842</v>
      </c>
      <c r="O1517" t="s">
        <v>843</v>
      </c>
      <c r="P1517" t="s">
        <v>273</v>
      </c>
      <c r="Q1517" s="3">
        <v>7080</v>
      </c>
      <c r="R1517" t="s">
        <v>128</v>
      </c>
      <c r="T1517" s="4">
        <v>17328327978</v>
      </c>
      <c r="V1517" t="s">
        <v>844</v>
      </c>
      <c r="W1517" t="s">
        <v>6109</v>
      </c>
      <c r="Y1517" t="s">
        <v>6110</v>
      </c>
      <c r="Z1517" t="s">
        <v>4387</v>
      </c>
      <c r="AA1517" t="s">
        <v>129</v>
      </c>
      <c r="AB1517" t="s">
        <v>129</v>
      </c>
      <c r="AC1517" s="3" t="str">
        <f>"10038"</f>
        <v>10038</v>
      </c>
      <c r="AD1517" t="s">
        <v>128</v>
      </c>
      <c r="AF1517" s="4">
        <v>12125079350</v>
      </c>
      <c r="AH1517" t="str">
        <f>"541511"</f>
        <v>541511</v>
      </c>
      <c r="AI1517" t="s">
        <v>130</v>
      </c>
      <c r="AJ1517" t="s">
        <v>838</v>
      </c>
      <c r="AK1517" t="s">
        <v>839</v>
      </c>
      <c r="AL1517" t="s">
        <v>1933</v>
      </c>
      <c r="AM1517" t="s">
        <v>841</v>
      </c>
      <c r="AN1517" t="s">
        <v>842</v>
      </c>
      <c r="AO1517" t="s">
        <v>843</v>
      </c>
      <c r="AP1517" t="s">
        <v>276</v>
      </c>
      <c r="AQ1517" s="5">
        <v>7080</v>
      </c>
      <c r="AR1517" t="s">
        <v>128</v>
      </c>
      <c r="AT1517" s="4">
        <v>17328327978</v>
      </c>
      <c r="AV1517" t="s">
        <v>844</v>
      </c>
      <c r="AW1517" t="s">
        <v>3328</v>
      </c>
      <c r="AX1517" t="s">
        <v>131</v>
      </c>
      <c r="AY1517" t="s">
        <v>131</v>
      </c>
      <c r="AZ1517" t="s">
        <v>131</v>
      </c>
      <c r="BA1517" t="s">
        <v>131</v>
      </c>
      <c r="BB1517" t="s">
        <v>131</v>
      </c>
      <c r="BC1517" t="s">
        <v>131</v>
      </c>
      <c r="BD1517" t="s">
        <v>131</v>
      </c>
      <c r="BE1517" t="s">
        <v>132</v>
      </c>
      <c r="BH1517" t="s">
        <v>18156</v>
      </c>
      <c r="BI1517" t="s">
        <v>131</v>
      </c>
      <c r="BL1517" t="s">
        <v>188</v>
      </c>
      <c r="BN1517" t="s">
        <v>7493</v>
      </c>
      <c r="BO1517" t="s">
        <v>131</v>
      </c>
      <c r="BP1517" t="s">
        <v>134</v>
      </c>
      <c r="BQ1517" t="s">
        <v>131</v>
      </c>
      <c r="BS1517" t="str">
        <f t="shared" si="94"/>
        <v>N/A</v>
      </c>
      <c r="BT1517" t="s">
        <v>135</v>
      </c>
      <c r="BU1517">
        <v>12</v>
      </c>
      <c r="BV1517" t="str">
        <f>"job offered or related occupation"</f>
        <v>job offered or related occupation</v>
      </c>
      <c r="BW1517" t="s">
        <v>135</v>
      </c>
      <c r="BX1517" t="str">
        <f>""</f>
        <v/>
      </c>
      <c r="BY1517" t="str">
        <f>""</f>
        <v/>
      </c>
      <c r="BZ1517" t="str">
        <f>""</f>
        <v/>
      </c>
      <c r="CA1517" t="s">
        <v>18157</v>
      </c>
      <c r="CB1517" t="s">
        <v>135</v>
      </c>
      <c r="CC1517" t="s">
        <v>133</v>
      </c>
      <c r="CE1517" t="s">
        <v>11969</v>
      </c>
      <c r="CF1517" t="s">
        <v>131</v>
      </c>
      <c r="CH1517" t="str">
        <f t="shared" si="95"/>
        <v>N/A</v>
      </c>
      <c r="CI1517" t="s">
        <v>135</v>
      </c>
      <c r="CJ1517">
        <v>60</v>
      </c>
      <c r="CK1517" t="s">
        <v>131</v>
      </c>
      <c r="CL1517" t="str">
        <f>""</f>
        <v/>
      </c>
      <c r="CM1517" t="str">
        <f>""</f>
        <v/>
      </c>
      <c r="CN1517" t="str">
        <f>""</f>
        <v/>
      </c>
      <c r="CO1517" t="str">
        <f>""</f>
        <v/>
      </c>
      <c r="CP1517" t="str">
        <f>"15-1132.00"</f>
        <v>15-1132.00</v>
      </c>
      <c r="CQ1517" t="s">
        <v>198</v>
      </c>
      <c r="CR1517" t="s">
        <v>849</v>
      </c>
      <c r="CS1517" t="s">
        <v>131</v>
      </c>
      <c r="CU1517" t="s">
        <v>6110</v>
      </c>
      <c r="CV1517" t="s">
        <v>18158</v>
      </c>
      <c r="CW1517" t="s">
        <v>129</v>
      </c>
      <c r="CX1517" t="s">
        <v>129</v>
      </c>
      <c r="CZ1517" s="3" t="str">
        <f>"10038"</f>
        <v>10038</v>
      </c>
      <c r="DA1517" t="s">
        <v>131</v>
      </c>
      <c r="DB1517" t="str">
        <f>""</f>
        <v/>
      </c>
      <c r="DF1517" t="str">
        <f>""</f>
        <v/>
      </c>
    </row>
    <row r="1518" spans="1:110" ht="15" customHeight="1" x14ac:dyDescent="0.35">
      <c r="A1518" t="s">
        <v>19867</v>
      </c>
      <c r="B1518" t="s">
        <v>138</v>
      </c>
      <c r="C1518" s="1">
        <v>44334</v>
      </c>
      <c r="G1518" s="1">
        <v>44334</v>
      </c>
      <c r="H1518" t="s">
        <v>125</v>
      </c>
      <c r="I1518" t="s">
        <v>838</v>
      </c>
      <c r="J1518" t="s">
        <v>839</v>
      </c>
      <c r="K1518" t="s">
        <v>1933</v>
      </c>
      <c r="L1518" t="s">
        <v>2565</v>
      </c>
      <c r="M1518" t="s">
        <v>841</v>
      </c>
      <c r="N1518" t="s">
        <v>842</v>
      </c>
      <c r="O1518" t="s">
        <v>843</v>
      </c>
      <c r="P1518" t="s">
        <v>273</v>
      </c>
      <c r="Q1518" s="3">
        <v>7080</v>
      </c>
      <c r="R1518" t="s">
        <v>128</v>
      </c>
      <c r="T1518" s="4">
        <v>17328327978</v>
      </c>
      <c r="V1518" t="s">
        <v>844</v>
      </c>
      <c r="W1518" t="s">
        <v>6109</v>
      </c>
      <c r="Y1518" t="s">
        <v>6110</v>
      </c>
      <c r="Z1518" t="s">
        <v>6111</v>
      </c>
      <c r="AA1518" t="s">
        <v>129</v>
      </c>
      <c r="AB1518" t="s">
        <v>129</v>
      </c>
      <c r="AC1518" s="3" t="str">
        <f>"07080"</f>
        <v>07080</v>
      </c>
      <c r="AD1518" t="s">
        <v>128</v>
      </c>
      <c r="AF1518" s="4">
        <v>12125079350</v>
      </c>
      <c r="AH1518" t="str">
        <f>"541511"</f>
        <v>541511</v>
      </c>
      <c r="AI1518" t="s">
        <v>130</v>
      </c>
      <c r="AJ1518" t="s">
        <v>838</v>
      </c>
      <c r="AK1518" t="s">
        <v>839</v>
      </c>
      <c r="AL1518" t="s">
        <v>1933</v>
      </c>
      <c r="AM1518" t="s">
        <v>841</v>
      </c>
      <c r="AN1518" t="s">
        <v>842</v>
      </c>
      <c r="AO1518" t="s">
        <v>843</v>
      </c>
      <c r="AP1518" t="s">
        <v>276</v>
      </c>
      <c r="AQ1518" s="5">
        <v>7080</v>
      </c>
      <c r="AR1518" t="s">
        <v>128</v>
      </c>
      <c r="AT1518" s="4">
        <v>17328327978</v>
      </c>
      <c r="AV1518" t="s">
        <v>844</v>
      </c>
      <c r="AW1518" t="s">
        <v>3328</v>
      </c>
      <c r="AX1518" t="s">
        <v>131</v>
      </c>
      <c r="AY1518" t="s">
        <v>131</v>
      </c>
      <c r="AZ1518" t="s">
        <v>131</v>
      </c>
      <c r="BA1518" t="s">
        <v>131</v>
      </c>
      <c r="BB1518" t="s">
        <v>131</v>
      </c>
      <c r="BC1518" t="s">
        <v>131</v>
      </c>
      <c r="BD1518" t="s">
        <v>131</v>
      </c>
      <c r="BE1518" t="s">
        <v>132</v>
      </c>
      <c r="BH1518" t="s">
        <v>846</v>
      </c>
      <c r="BI1518" t="s">
        <v>131</v>
      </c>
      <c r="BL1518" t="s">
        <v>188</v>
      </c>
      <c r="BN1518" t="s">
        <v>7493</v>
      </c>
      <c r="BO1518" t="s">
        <v>131</v>
      </c>
      <c r="BP1518" t="s">
        <v>134</v>
      </c>
      <c r="BQ1518" t="s">
        <v>131</v>
      </c>
      <c r="BS1518" t="str">
        <f t="shared" si="94"/>
        <v>N/A</v>
      </c>
      <c r="BT1518" t="s">
        <v>135</v>
      </c>
      <c r="BU1518">
        <v>12</v>
      </c>
      <c r="BV1518" t="str">
        <f>"job offered or related occupation "</f>
        <v xml:space="preserve">job offered or related occupation </v>
      </c>
      <c r="BW1518" t="s">
        <v>135</v>
      </c>
      <c r="BX1518" t="str">
        <f>""</f>
        <v/>
      </c>
      <c r="BY1518" t="str">
        <f>""</f>
        <v/>
      </c>
      <c r="BZ1518" t="str">
        <f>""</f>
        <v/>
      </c>
      <c r="CA1518" t="s">
        <v>16936</v>
      </c>
      <c r="CB1518" t="s">
        <v>135</v>
      </c>
      <c r="CC1518" t="s">
        <v>133</v>
      </c>
      <c r="CE1518" t="s">
        <v>11969</v>
      </c>
      <c r="CF1518" t="s">
        <v>131</v>
      </c>
      <c r="CH1518" t="str">
        <f t="shared" si="95"/>
        <v>N/A</v>
      </c>
      <c r="CI1518" t="s">
        <v>135</v>
      </c>
      <c r="CJ1518">
        <v>60</v>
      </c>
      <c r="CK1518" t="s">
        <v>131</v>
      </c>
      <c r="CL1518" t="str">
        <f>""</f>
        <v/>
      </c>
      <c r="CM1518" t="str">
        <f>""</f>
        <v/>
      </c>
      <c r="CN1518" t="str">
        <f>""</f>
        <v/>
      </c>
      <c r="CO1518" t="str">
        <f>""</f>
        <v/>
      </c>
      <c r="CP1518" t="str">
        <f>"15-1132.00"</f>
        <v>15-1132.00</v>
      </c>
      <c r="CQ1518" t="s">
        <v>198</v>
      </c>
      <c r="CR1518" t="s">
        <v>849</v>
      </c>
      <c r="CS1518" t="s">
        <v>131</v>
      </c>
      <c r="CU1518" t="s">
        <v>6110</v>
      </c>
      <c r="CV1518" t="s">
        <v>18158</v>
      </c>
      <c r="CW1518" t="s">
        <v>129</v>
      </c>
      <c r="CX1518" t="s">
        <v>129</v>
      </c>
      <c r="CZ1518" s="3" t="str">
        <f>"10038"</f>
        <v>10038</v>
      </c>
      <c r="DA1518" t="s">
        <v>131</v>
      </c>
      <c r="DB1518" t="str">
        <f>""</f>
        <v/>
      </c>
      <c r="DF1518" t="str">
        <f>""</f>
        <v/>
      </c>
    </row>
    <row r="1519" spans="1:110" ht="15" customHeight="1" x14ac:dyDescent="0.35">
      <c r="A1519" t="s">
        <v>15667</v>
      </c>
      <c r="B1519" t="s">
        <v>138</v>
      </c>
      <c r="C1519" s="1">
        <v>44334</v>
      </c>
      <c r="G1519" s="1">
        <v>44350</v>
      </c>
      <c r="H1519" t="s">
        <v>125</v>
      </c>
      <c r="I1519" t="s">
        <v>838</v>
      </c>
      <c r="J1519" t="s">
        <v>839</v>
      </c>
      <c r="K1519" t="s">
        <v>840</v>
      </c>
      <c r="L1519" t="s">
        <v>2565</v>
      </c>
      <c r="M1519" t="s">
        <v>841</v>
      </c>
      <c r="N1519" t="s">
        <v>842</v>
      </c>
      <c r="O1519" t="s">
        <v>843</v>
      </c>
      <c r="P1519" t="s">
        <v>273</v>
      </c>
      <c r="Q1519" s="3">
        <v>7080</v>
      </c>
      <c r="R1519" t="s">
        <v>128</v>
      </c>
      <c r="T1519" s="4">
        <v>17328327978</v>
      </c>
      <c r="V1519" t="s">
        <v>844</v>
      </c>
      <c r="W1519" t="s">
        <v>9786</v>
      </c>
      <c r="Y1519" t="s">
        <v>841</v>
      </c>
      <c r="Z1519" t="s">
        <v>9787</v>
      </c>
      <c r="AA1519" t="s">
        <v>843</v>
      </c>
      <c r="AB1519" t="s">
        <v>276</v>
      </c>
      <c r="AC1519" s="3" t="str">
        <f>"07080"</f>
        <v>07080</v>
      </c>
      <c r="AD1519" t="s">
        <v>128</v>
      </c>
      <c r="AF1519" s="4">
        <v>19084584056</v>
      </c>
      <c r="AH1519" t="str">
        <f>"541511"</f>
        <v>541511</v>
      </c>
      <c r="AI1519" t="s">
        <v>130</v>
      </c>
      <c r="AJ1519" t="s">
        <v>838</v>
      </c>
      <c r="AK1519" t="s">
        <v>839</v>
      </c>
      <c r="AL1519" t="s">
        <v>840</v>
      </c>
      <c r="AM1519" t="s">
        <v>841</v>
      </c>
      <c r="AN1519" t="s">
        <v>842</v>
      </c>
      <c r="AO1519" t="s">
        <v>843</v>
      </c>
      <c r="AP1519" t="s">
        <v>276</v>
      </c>
      <c r="AQ1519" s="5">
        <v>7080</v>
      </c>
      <c r="AR1519" t="s">
        <v>128</v>
      </c>
      <c r="AT1519" s="4">
        <v>17328327978</v>
      </c>
      <c r="AV1519" t="s">
        <v>844</v>
      </c>
      <c r="AW1519" t="s">
        <v>5865</v>
      </c>
      <c r="AX1519" t="s">
        <v>131</v>
      </c>
      <c r="AY1519" t="s">
        <v>131</v>
      </c>
      <c r="AZ1519" t="s">
        <v>131</v>
      </c>
      <c r="BA1519" t="s">
        <v>131</v>
      </c>
      <c r="BB1519" t="s">
        <v>131</v>
      </c>
      <c r="BC1519" t="s">
        <v>131</v>
      </c>
      <c r="BD1519" t="s">
        <v>131</v>
      </c>
      <c r="BE1519" t="s">
        <v>132</v>
      </c>
      <c r="BH1519" t="s">
        <v>3291</v>
      </c>
      <c r="BI1519" t="s">
        <v>131</v>
      </c>
      <c r="BL1519" t="s">
        <v>188</v>
      </c>
      <c r="BN1519" t="s">
        <v>847</v>
      </c>
      <c r="BO1519" t="s">
        <v>131</v>
      </c>
      <c r="BP1519" t="s">
        <v>134</v>
      </c>
      <c r="BQ1519" t="s">
        <v>131</v>
      </c>
      <c r="BS1519" t="str">
        <f t="shared" si="94"/>
        <v>N/A</v>
      </c>
      <c r="BT1519" t="s">
        <v>135</v>
      </c>
      <c r="BU1519">
        <v>12</v>
      </c>
      <c r="BV1519" t="str">
        <f>"JOB OFFERED OR RELATED OCCUPATION."</f>
        <v>JOB OFFERED OR RELATED OCCUPATION.</v>
      </c>
      <c r="BW1519" t="s">
        <v>131</v>
      </c>
      <c r="BX1519" t="str">
        <f>""</f>
        <v/>
      </c>
      <c r="BY1519" t="str">
        <f>""</f>
        <v/>
      </c>
      <c r="BZ1519" t="str">
        <f>""</f>
        <v/>
      </c>
      <c r="CA1519" t="str">
        <f>""</f>
        <v/>
      </c>
      <c r="CB1519" t="s">
        <v>135</v>
      </c>
      <c r="CC1519" t="s">
        <v>133</v>
      </c>
      <c r="CE1519" t="s">
        <v>847</v>
      </c>
      <c r="CF1519" t="s">
        <v>131</v>
      </c>
      <c r="CH1519" t="str">
        <f t="shared" si="95"/>
        <v>N/A</v>
      </c>
      <c r="CI1519" t="s">
        <v>135</v>
      </c>
      <c r="CJ1519">
        <v>60</v>
      </c>
      <c r="CK1519" t="s">
        <v>135</v>
      </c>
      <c r="CL1519" t="str">
        <f>""</f>
        <v/>
      </c>
      <c r="CM1519" t="str">
        <f>""</f>
        <v/>
      </c>
      <c r="CN1519" t="str">
        <f>""</f>
        <v/>
      </c>
      <c r="CO1519" t="s">
        <v>4347</v>
      </c>
      <c r="CP1519" t="str">
        <f>"15-1121.00"</f>
        <v>15-1121.00</v>
      </c>
      <c r="CQ1519" t="s">
        <v>283</v>
      </c>
      <c r="CR1519" t="s">
        <v>849</v>
      </c>
      <c r="CS1519" t="s">
        <v>131</v>
      </c>
      <c r="CU1519" t="s">
        <v>841</v>
      </c>
      <c r="CV1519" t="s">
        <v>9788</v>
      </c>
      <c r="CW1519" t="s">
        <v>843</v>
      </c>
      <c r="CX1519" t="s">
        <v>276</v>
      </c>
      <c r="CZ1519" s="3" t="str">
        <f>"07080"</f>
        <v>07080</v>
      </c>
      <c r="DA1519" t="s">
        <v>131</v>
      </c>
      <c r="DB1519" t="str">
        <f>""</f>
        <v/>
      </c>
      <c r="DF1519" t="str">
        <f>""</f>
        <v/>
      </c>
    </row>
    <row r="1520" spans="1:110" ht="15" customHeight="1" x14ac:dyDescent="0.35">
      <c r="A1520" t="s">
        <v>18238</v>
      </c>
      <c r="B1520" t="s">
        <v>138</v>
      </c>
      <c r="C1520" s="1">
        <v>44334</v>
      </c>
      <c r="G1520" s="1">
        <v>44350</v>
      </c>
      <c r="H1520" t="s">
        <v>125</v>
      </c>
      <c r="I1520" t="s">
        <v>838</v>
      </c>
      <c r="J1520" t="s">
        <v>839</v>
      </c>
      <c r="K1520" t="s">
        <v>1933</v>
      </c>
      <c r="L1520" t="s">
        <v>2565</v>
      </c>
      <c r="M1520" t="s">
        <v>841</v>
      </c>
      <c r="N1520" t="s">
        <v>842</v>
      </c>
      <c r="O1520" t="s">
        <v>843</v>
      </c>
      <c r="P1520" t="s">
        <v>273</v>
      </c>
      <c r="Q1520" s="3">
        <v>7080</v>
      </c>
      <c r="R1520" t="s">
        <v>128</v>
      </c>
      <c r="T1520" s="4">
        <v>17328327978</v>
      </c>
      <c r="V1520" t="s">
        <v>844</v>
      </c>
      <c r="W1520" t="s">
        <v>6109</v>
      </c>
      <c r="Y1520" t="s">
        <v>6110</v>
      </c>
      <c r="Z1520" t="s">
        <v>6111</v>
      </c>
      <c r="AA1520" t="s">
        <v>129</v>
      </c>
      <c r="AB1520" t="s">
        <v>129</v>
      </c>
      <c r="AC1520" s="3" t="str">
        <f>"10038"</f>
        <v>10038</v>
      </c>
      <c r="AD1520" t="s">
        <v>128</v>
      </c>
      <c r="AF1520" s="4">
        <v>12125079350</v>
      </c>
      <c r="AH1520" t="str">
        <f>"541511"</f>
        <v>541511</v>
      </c>
      <c r="AI1520" t="s">
        <v>130</v>
      </c>
      <c r="AJ1520" t="s">
        <v>838</v>
      </c>
      <c r="AK1520" t="s">
        <v>839</v>
      </c>
      <c r="AL1520" t="s">
        <v>1933</v>
      </c>
      <c r="AM1520" t="s">
        <v>841</v>
      </c>
      <c r="AN1520" t="s">
        <v>842</v>
      </c>
      <c r="AO1520" t="s">
        <v>843</v>
      </c>
      <c r="AP1520" t="s">
        <v>276</v>
      </c>
      <c r="AQ1520" s="5">
        <v>7080</v>
      </c>
      <c r="AR1520" t="s">
        <v>128</v>
      </c>
      <c r="AT1520" s="4">
        <v>17328327978</v>
      </c>
      <c r="AV1520" t="s">
        <v>844</v>
      </c>
      <c r="AW1520" t="s">
        <v>3328</v>
      </c>
      <c r="AX1520" t="s">
        <v>131</v>
      </c>
      <c r="AY1520" t="s">
        <v>131</v>
      </c>
      <c r="AZ1520" t="s">
        <v>131</v>
      </c>
      <c r="BA1520" t="s">
        <v>131</v>
      </c>
      <c r="BB1520" t="s">
        <v>131</v>
      </c>
      <c r="BC1520" t="s">
        <v>131</v>
      </c>
      <c r="BD1520" t="s">
        <v>131</v>
      </c>
      <c r="BE1520" t="s">
        <v>132</v>
      </c>
      <c r="BH1520" t="s">
        <v>846</v>
      </c>
      <c r="BI1520" t="s">
        <v>131</v>
      </c>
      <c r="BL1520" t="s">
        <v>188</v>
      </c>
      <c r="BN1520" t="s">
        <v>6112</v>
      </c>
      <c r="BO1520" t="s">
        <v>131</v>
      </c>
      <c r="BP1520" t="s">
        <v>134</v>
      </c>
      <c r="BQ1520" t="s">
        <v>131</v>
      </c>
      <c r="BS1520" t="str">
        <f t="shared" si="94"/>
        <v>N/A</v>
      </c>
      <c r="BT1520" t="s">
        <v>135</v>
      </c>
      <c r="BU1520">
        <v>12</v>
      </c>
      <c r="BV1520" t="str">
        <f>"job offered or related occupation"</f>
        <v>job offered or related occupation</v>
      </c>
      <c r="BW1520" t="s">
        <v>135</v>
      </c>
      <c r="BX1520" t="str">
        <f>""</f>
        <v/>
      </c>
      <c r="BY1520" t="str">
        <f>""</f>
        <v/>
      </c>
      <c r="BZ1520" t="str">
        <f>""</f>
        <v/>
      </c>
      <c r="CA1520" s="2" t="s">
        <v>18239</v>
      </c>
      <c r="CB1520" t="s">
        <v>135</v>
      </c>
      <c r="CC1520" t="s">
        <v>133</v>
      </c>
      <c r="CE1520" t="s">
        <v>6112</v>
      </c>
      <c r="CF1520" t="s">
        <v>131</v>
      </c>
      <c r="CH1520" t="str">
        <f t="shared" si="95"/>
        <v>N/A</v>
      </c>
      <c r="CI1520" t="s">
        <v>135</v>
      </c>
      <c r="CJ1520">
        <v>60</v>
      </c>
      <c r="CK1520" t="s">
        <v>131</v>
      </c>
      <c r="CL1520" t="str">
        <f>""</f>
        <v/>
      </c>
      <c r="CM1520" t="str">
        <f>""</f>
        <v/>
      </c>
      <c r="CN1520" t="str">
        <f>""</f>
        <v/>
      </c>
      <c r="CO1520" t="str">
        <f>""</f>
        <v/>
      </c>
      <c r="CP1520" t="str">
        <f>"15-1132.00"</f>
        <v>15-1132.00</v>
      </c>
      <c r="CQ1520" t="s">
        <v>198</v>
      </c>
      <c r="CR1520" t="s">
        <v>849</v>
      </c>
      <c r="CS1520" t="s">
        <v>131</v>
      </c>
      <c r="CU1520" t="s">
        <v>6110</v>
      </c>
      <c r="CV1520" t="s">
        <v>6114</v>
      </c>
      <c r="CW1520" t="s">
        <v>129</v>
      </c>
      <c r="CX1520" t="s">
        <v>129</v>
      </c>
      <c r="CZ1520" s="3" t="str">
        <f>"10038"</f>
        <v>10038</v>
      </c>
      <c r="DA1520" t="s">
        <v>131</v>
      </c>
      <c r="DB1520" t="str">
        <f>""</f>
        <v/>
      </c>
      <c r="DF1520" t="str">
        <f>""</f>
        <v/>
      </c>
    </row>
    <row r="1521" spans="1:110" ht="15" customHeight="1" x14ac:dyDescent="0.35">
      <c r="A1521" t="s">
        <v>5860</v>
      </c>
      <c r="B1521" t="s">
        <v>138</v>
      </c>
      <c r="C1521" s="1">
        <v>44334</v>
      </c>
      <c r="G1521" s="1">
        <v>44350</v>
      </c>
      <c r="H1521" t="s">
        <v>125</v>
      </c>
      <c r="I1521" t="s">
        <v>838</v>
      </c>
      <c r="J1521" t="s">
        <v>839</v>
      </c>
      <c r="K1521" t="s">
        <v>840</v>
      </c>
      <c r="L1521" t="s">
        <v>2565</v>
      </c>
      <c r="M1521" t="s">
        <v>841</v>
      </c>
      <c r="N1521" t="s">
        <v>842</v>
      </c>
      <c r="O1521" t="s">
        <v>843</v>
      </c>
      <c r="P1521" t="s">
        <v>273</v>
      </c>
      <c r="Q1521" s="3">
        <v>7080</v>
      </c>
      <c r="R1521" t="s">
        <v>128</v>
      </c>
      <c r="T1521" s="4">
        <v>17328327978</v>
      </c>
      <c r="V1521" t="s">
        <v>844</v>
      </c>
      <c r="W1521" t="s">
        <v>5861</v>
      </c>
      <c r="Y1521" t="s">
        <v>5862</v>
      </c>
      <c r="Z1521" t="s">
        <v>5863</v>
      </c>
      <c r="AA1521" t="s">
        <v>5864</v>
      </c>
      <c r="AB1521" t="s">
        <v>129</v>
      </c>
      <c r="AC1521" s="3" t="str">
        <f>"11788"</f>
        <v>11788</v>
      </c>
      <c r="AD1521" t="s">
        <v>128</v>
      </c>
      <c r="AF1521" s="4">
        <v>13023668960</v>
      </c>
      <c r="AH1521" t="str">
        <f>"541519"</f>
        <v>541519</v>
      </c>
      <c r="AI1521" t="s">
        <v>130</v>
      </c>
      <c r="AJ1521" t="s">
        <v>838</v>
      </c>
      <c r="AK1521" t="s">
        <v>839</v>
      </c>
      <c r="AL1521" t="s">
        <v>840</v>
      </c>
      <c r="AM1521" t="s">
        <v>841</v>
      </c>
      <c r="AN1521" t="s">
        <v>842</v>
      </c>
      <c r="AO1521" t="s">
        <v>843</v>
      </c>
      <c r="AP1521" t="s">
        <v>276</v>
      </c>
      <c r="AQ1521" s="5">
        <v>7080</v>
      </c>
      <c r="AR1521" t="s">
        <v>128</v>
      </c>
      <c r="AT1521" s="4">
        <v>17328327978</v>
      </c>
      <c r="AV1521" t="s">
        <v>844</v>
      </c>
      <c r="AW1521" t="s">
        <v>5865</v>
      </c>
      <c r="AX1521" t="s">
        <v>131</v>
      </c>
      <c r="AY1521" t="s">
        <v>131</v>
      </c>
      <c r="AZ1521" t="s">
        <v>131</v>
      </c>
      <c r="BA1521" t="s">
        <v>131</v>
      </c>
      <c r="BB1521" t="s">
        <v>131</v>
      </c>
      <c r="BC1521" t="s">
        <v>131</v>
      </c>
      <c r="BD1521" t="s">
        <v>131</v>
      </c>
      <c r="BE1521" t="s">
        <v>132</v>
      </c>
      <c r="BH1521" t="s">
        <v>846</v>
      </c>
      <c r="BI1521" t="s">
        <v>131</v>
      </c>
      <c r="BL1521" t="s">
        <v>188</v>
      </c>
      <c r="BN1521" t="s">
        <v>847</v>
      </c>
      <c r="BO1521" t="s">
        <v>131</v>
      </c>
      <c r="BP1521" t="s">
        <v>134</v>
      </c>
      <c r="BQ1521" t="s">
        <v>131</v>
      </c>
      <c r="BS1521" t="str">
        <f t="shared" si="94"/>
        <v>N/A</v>
      </c>
      <c r="BT1521" t="s">
        <v>135</v>
      </c>
      <c r="BU1521">
        <v>12</v>
      </c>
      <c r="BV1521" t="str">
        <f>"JOB OFFERED OR RELATED OCCUPATION."</f>
        <v>JOB OFFERED OR RELATED OCCUPATION.</v>
      </c>
      <c r="BW1521" t="s">
        <v>131</v>
      </c>
      <c r="BX1521" t="str">
        <f>""</f>
        <v/>
      </c>
      <c r="BY1521" t="str">
        <f>""</f>
        <v/>
      </c>
      <c r="BZ1521" t="str">
        <f>""</f>
        <v/>
      </c>
      <c r="CA1521" t="str">
        <f>""</f>
        <v/>
      </c>
      <c r="CB1521" t="s">
        <v>135</v>
      </c>
      <c r="CC1521" t="s">
        <v>133</v>
      </c>
      <c r="CE1521" t="s">
        <v>847</v>
      </c>
      <c r="CF1521" t="s">
        <v>131</v>
      </c>
      <c r="CH1521" t="str">
        <f t="shared" si="95"/>
        <v>N/A</v>
      </c>
      <c r="CI1521" t="s">
        <v>135</v>
      </c>
      <c r="CJ1521">
        <v>60</v>
      </c>
      <c r="CK1521" t="s">
        <v>135</v>
      </c>
      <c r="CL1521" t="str">
        <f>""</f>
        <v/>
      </c>
      <c r="CM1521" t="str">
        <f>""</f>
        <v/>
      </c>
      <c r="CN1521" t="str">
        <f>""</f>
        <v/>
      </c>
      <c r="CO1521" t="s">
        <v>4347</v>
      </c>
      <c r="CP1521" t="str">
        <f>"15-1132.00"</f>
        <v>15-1132.00</v>
      </c>
      <c r="CQ1521" t="s">
        <v>198</v>
      </c>
      <c r="CR1521" t="s">
        <v>849</v>
      </c>
      <c r="CS1521" t="s">
        <v>131</v>
      </c>
      <c r="CU1521" t="s">
        <v>5862</v>
      </c>
      <c r="CV1521" t="s">
        <v>5866</v>
      </c>
      <c r="CW1521" t="s">
        <v>5864</v>
      </c>
      <c r="CX1521" t="s">
        <v>129</v>
      </c>
      <c r="CZ1521" s="3" t="str">
        <f>"11788"</f>
        <v>11788</v>
      </c>
      <c r="DA1521" t="s">
        <v>131</v>
      </c>
      <c r="DB1521" t="str">
        <f>""</f>
        <v/>
      </c>
      <c r="DF1521" t="str">
        <f>""</f>
        <v/>
      </c>
    </row>
    <row r="1522" spans="1:110" ht="15" customHeight="1" x14ac:dyDescent="0.35">
      <c r="A1522" t="s">
        <v>11948</v>
      </c>
      <c r="B1522" t="s">
        <v>138</v>
      </c>
      <c r="C1522" s="1">
        <v>44334</v>
      </c>
      <c r="G1522" s="1">
        <v>44350</v>
      </c>
      <c r="H1522" t="s">
        <v>125</v>
      </c>
      <c r="I1522" t="s">
        <v>838</v>
      </c>
      <c r="J1522" t="s">
        <v>839</v>
      </c>
      <c r="K1522" t="s">
        <v>840</v>
      </c>
      <c r="L1522" t="s">
        <v>2565</v>
      </c>
      <c r="M1522" t="s">
        <v>841</v>
      </c>
      <c r="N1522" t="s">
        <v>11949</v>
      </c>
      <c r="O1522" t="s">
        <v>843</v>
      </c>
      <c r="P1522" t="s">
        <v>273</v>
      </c>
      <c r="Q1522" s="3">
        <v>7080</v>
      </c>
      <c r="R1522" t="s">
        <v>128</v>
      </c>
      <c r="T1522" s="4">
        <v>17328327978</v>
      </c>
      <c r="V1522" t="s">
        <v>844</v>
      </c>
      <c r="W1522" t="s">
        <v>6906</v>
      </c>
      <c r="Y1522" t="s">
        <v>6907</v>
      </c>
      <c r="AA1522" t="s">
        <v>4862</v>
      </c>
      <c r="AB1522" t="s">
        <v>276</v>
      </c>
      <c r="AC1522" s="3" t="str">
        <f>"08540"</f>
        <v>08540</v>
      </c>
      <c r="AD1522" t="s">
        <v>128</v>
      </c>
      <c r="AF1522" s="4">
        <v>17325120009</v>
      </c>
      <c r="AH1522" t="str">
        <f>"541511"</f>
        <v>541511</v>
      </c>
      <c r="AI1522" t="s">
        <v>130</v>
      </c>
      <c r="AJ1522" t="s">
        <v>838</v>
      </c>
      <c r="AK1522" t="s">
        <v>839</v>
      </c>
      <c r="AL1522" t="s">
        <v>840</v>
      </c>
      <c r="AM1522" t="s">
        <v>841</v>
      </c>
      <c r="AN1522" t="s">
        <v>842</v>
      </c>
      <c r="AO1522" t="s">
        <v>843</v>
      </c>
      <c r="AP1522" t="s">
        <v>276</v>
      </c>
      <c r="AQ1522" s="5">
        <v>7080</v>
      </c>
      <c r="AR1522" t="s">
        <v>128</v>
      </c>
      <c r="AT1522" s="4">
        <v>17328327978</v>
      </c>
      <c r="AV1522" t="s">
        <v>844</v>
      </c>
      <c r="AW1522" t="s">
        <v>845</v>
      </c>
      <c r="AX1522" t="s">
        <v>131</v>
      </c>
      <c r="AY1522" t="s">
        <v>131</v>
      </c>
      <c r="AZ1522" t="s">
        <v>131</v>
      </c>
      <c r="BA1522" t="s">
        <v>131</v>
      </c>
      <c r="BB1522" t="s">
        <v>131</v>
      </c>
      <c r="BC1522" t="s">
        <v>131</v>
      </c>
      <c r="BD1522" t="s">
        <v>131</v>
      </c>
      <c r="BE1522" t="s">
        <v>132</v>
      </c>
      <c r="BH1522" t="s">
        <v>4831</v>
      </c>
      <c r="BI1522" t="s">
        <v>131</v>
      </c>
      <c r="BL1522" t="s">
        <v>188</v>
      </c>
      <c r="BN1522" t="s">
        <v>847</v>
      </c>
      <c r="BO1522" t="s">
        <v>131</v>
      </c>
      <c r="BP1522" t="s">
        <v>134</v>
      </c>
      <c r="BQ1522" t="s">
        <v>131</v>
      </c>
      <c r="BS1522" t="str">
        <f t="shared" si="94"/>
        <v>N/A</v>
      </c>
      <c r="BT1522" t="s">
        <v>135</v>
      </c>
      <c r="BU1522">
        <v>12</v>
      </c>
      <c r="BV1522" t="str">
        <f>"JOB OFFERED OR RELATED OCCUPATION"</f>
        <v>JOB OFFERED OR RELATED OCCUPATION</v>
      </c>
      <c r="BW1522" t="s">
        <v>131</v>
      </c>
      <c r="BX1522" t="str">
        <f>""</f>
        <v/>
      </c>
      <c r="BY1522" t="str">
        <f>""</f>
        <v/>
      </c>
      <c r="BZ1522" t="str">
        <f>""</f>
        <v/>
      </c>
      <c r="CA1522" t="str">
        <f>""</f>
        <v/>
      </c>
      <c r="CB1522" t="s">
        <v>135</v>
      </c>
      <c r="CC1522" t="s">
        <v>133</v>
      </c>
      <c r="CE1522" t="s">
        <v>847</v>
      </c>
      <c r="CF1522" t="s">
        <v>131</v>
      </c>
      <c r="CH1522" t="str">
        <f t="shared" si="95"/>
        <v>N/A</v>
      </c>
      <c r="CI1522" t="s">
        <v>135</v>
      </c>
      <c r="CJ1522">
        <v>60</v>
      </c>
      <c r="CK1522" t="s">
        <v>135</v>
      </c>
      <c r="CL1522" t="str">
        <f>""</f>
        <v/>
      </c>
      <c r="CM1522" t="str">
        <f>""</f>
        <v/>
      </c>
      <c r="CN1522" t="str">
        <f>""</f>
        <v/>
      </c>
      <c r="CO1522" t="s">
        <v>4347</v>
      </c>
      <c r="CP1522" t="str">
        <f>"15-1142.00"</f>
        <v>15-1142.00</v>
      </c>
      <c r="CQ1522" t="s">
        <v>960</v>
      </c>
      <c r="CR1522" t="s">
        <v>849</v>
      </c>
      <c r="CS1522" t="s">
        <v>131</v>
      </c>
      <c r="CU1522" t="s">
        <v>6909</v>
      </c>
      <c r="CW1522" t="s">
        <v>4862</v>
      </c>
      <c r="CX1522" t="s">
        <v>276</v>
      </c>
      <c r="CZ1522" s="3" t="str">
        <f>"08540"</f>
        <v>08540</v>
      </c>
      <c r="DA1522" t="s">
        <v>131</v>
      </c>
      <c r="DB1522" t="str">
        <f>""</f>
        <v/>
      </c>
      <c r="DF1522" t="str">
        <f>""</f>
        <v/>
      </c>
    </row>
    <row r="1523" spans="1:110" ht="15" customHeight="1" x14ac:dyDescent="0.35">
      <c r="A1523" t="s">
        <v>15120</v>
      </c>
      <c r="B1523" t="s">
        <v>138</v>
      </c>
      <c r="C1523" s="1">
        <v>44334</v>
      </c>
      <c r="G1523" s="1">
        <v>44350</v>
      </c>
      <c r="H1523" t="s">
        <v>125</v>
      </c>
      <c r="I1523" t="s">
        <v>838</v>
      </c>
      <c r="J1523" t="s">
        <v>839</v>
      </c>
      <c r="K1523" t="s">
        <v>840</v>
      </c>
      <c r="L1523" t="s">
        <v>2565</v>
      </c>
      <c r="M1523" t="s">
        <v>841</v>
      </c>
      <c r="N1523" t="s">
        <v>842</v>
      </c>
      <c r="O1523" t="s">
        <v>15121</v>
      </c>
      <c r="P1523" t="s">
        <v>273</v>
      </c>
      <c r="Q1523" s="3">
        <v>7080</v>
      </c>
      <c r="R1523" t="s">
        <v>128</v>
      </c>
      <c r="T1523" s="4">
        <v>17328327978</v>
      </c>
      <c r="V1523" t="s">
        <v>844</v>
      </c>
      <c r="W1523" t="s">
        <v>5994</v>
      </c>
      <c r="Y1523" t="s">
        <v>4344</v>
      </c>
      <c r="Z1523" t="s">
        <v>4345</v>
      </c>
      <c r="AA1523" t="s">
        <v>4346</v>
      </c>
      <c r="AB1523" t="s">
        <v>276</v>
      </c>
      <c r="AC1523" s="3" t="str">
        <f>"08512"</f>
        <v>08512</v>
      </c>
      <c r="AD1523" t="s">
        <v>128</v>
      </c>
      <c r="AF1523" s="4">
        <v>17327883910</v>
      </c>
      <c r="AH1523" t="str">
        <f>"541511"</f>
        <v>541511</v>
      </c>
      <c r="AI1523" t="s">
        <v>130</v>
      </c>
      <c r="AJ1523" t="s">
        <v>838</v>
      </c>
      <c r="AK1523" t="s">
        <v>839</v>
      </c>
      <c r="AL1523" t="s">
        <v>840</v>
      </c>
      <c r="AM1523" t="s">
        <v>841</v>
      </c>
      <c r="AN1523" t="s">
        <v>842</v>
      </c>
      <c r="AO1523" t="s">
        <v>843</v>
      </c>
      <c r="AP1523" t="s">
        <v>276</v>
      </c>
      <c r="AQ1523" s="5">
        <v>7080</v>
      </c>
      <c r="AR1523" t="s">
        <v>128</v>
      </c>
      <c r="AT1523" s="4">
        <v>17328327978</v>
      </c>
      <c r="AV1523" t="s">
        <v>844</v>
      </c>
      <c r="AW1523" t="s">
        <v>845</v>
      </c>
      <c r="AX1523" t="s">
        <v>131</v>
      </c>
      <c r="AY1523" t="s">
        <v>131</v>
      </c>
      <c r="AZ1523" t="s">
        <v>131</v>
      </c>
      <c r="BA1523" t="s">
        <v>131</v>
      </c>
      <c r="BB1523" t="s">
        <v>131</v>
      </c>
      <c r="BC1523" t="s">
        <v>131</v>
      </c>
      <c r="BD1523" t="s">
        <v>131</v>
      </c>
      <c r="BE1523" t="s">
        <v>132</v>
      </c>
      <c r="BH1523" t="s">
        <v>7579</v>
      </c>
      <c r="BI1523" t="s">
        <v>131</v>
      </c>
      <c r="BL1523" t="s">
        <v>188</v>
      </c>
      <c r="BN1523" t="s">
        <v>847</v>
      </c>
      <c r="BO1523" t="s">
        <v>131</v>
      </c>
      <c r="BP1523" t="s">
        <v>134</v>
      </c>
      <c r="BQ1523" t="s">
        <v>131</v>
      </c>
      <c r="BS1523" t="str">
        <f t="shared" si="94"/>
        <v>N/A</v>
      </c>
      <c r="BT1523" t="s">
        <v>135</v>
      </c>
      <c r="BU1523">
        <v>12</v>
      </c>
      <c r="BV1523" t="str">
        <f>"JOB OFFERED OR RELATED OCCUPATION"</f>
        <v>JOB OFFERED OR RELATED OCCUPATION</v>
      </c>
      <c r="BW1523" t="s">
        <v>131</v>
      </c>
      <c r="BX1523" t="str">
        <f>""</f>
        <v/>
      </c>
      <c r="BY1523" t="str">
        <f>""</f>
        <v/>
      </c>
      <c r="BZ1523" t="str">
        <f>""</f>
        <v/>
      </c>
      <c r="CA1523" t="str">
        <f>""</f>
        <v/>
      </c>
      <c r="CB1523" t="s">
        <v>135</v>
      </c>
      <c r="CC1523" t="s">
        <v>133</v>
      </c>
      <c r="CE1523" t="s">
        <v>847</v>
      </c>
      <c r="CF1523" t="s">
        <v>131</v>
      </c>
      <c r="CH1523" t="str">
        <f t="shared" si="95"/>
        <v>N/A</v>
      </c>
      <c r="CI1523" t="s">
        <v>135</v>
      </c>
      <c r="CJ1523">
        <v>60</v>
      </c>
      <c r="CK1523" t="s">
        <v>135</v>
      </c>
      <c r="CL1523" t="str">
        <f>""</f>
        <v/>
      </c>
      <c r="CM1523" t="str">
        <f>""</f>
        <v/>
      </c>
      <c r="CN1523" t="str">
        <f>""</f>
        <v/>
      </c>
      <c r="CO1523" t="s">
        <v>4347</v>
      </c>
      <c r="CP1523" t="str">
        <f>"15-1121.00"</f>
        <v>15-1121.00</v>
      </c>
      <c r="CQ1523" t="s">
        <v>283</v>
      </c>
      <c r="CR1523" t="s">
        <v>849</v>
      </c>
      <c r="CS1523" t="s">
        <v>131</v>
      </c>
      <c r="CU1523" t="s">
        <v>4344</v>
      </c>
      <c r="CV1523" t="s">
        <v>4348</v>
      </c>
      <c r="CW1523" t="s">
        <v>4346</v>
      </c>
      <c r="CX1523" t="s">
        <v>276</v>
      </c>
      <c r="CZ1523" s="3" t="str">
        <f>"08512"</f>
        <v>08512</v>
      </c>
      <c r="DA1523" t="s">
        <v>131</v>
      </c>
      <c r="DB1523" t="str">
        <f>""</f>
        <v/>
      </c>
      <c r="DF1523" t="str">
        <f>""</f>
        <v/>
      </c>
    </row>
    <row r="1524" spans="1:110" ht="15" customHeight="1" x14ac:dyDescent="0.35">
      <c r="A1524" t="s">
        <v>16474</v>
      </c>
      <c r="B1524" t="s">
        <v>138</v>
      </c>
      <c r="C1524" s="1">
        <v>44334</v>
      </c>
      <c r="G1524" s="1">
        <v>44350</v>
      </c>
      <c r="H1524" t="s">
        <v>125</v>
      </c>
      <c r="I1524" t="s">
        <v>838</v>
      </c>
      <c r="J1524" t="s">
        <v>839</v>
      </c>
      <c r="K1524" t="s">
        <v>840</v>
      </c>
      <c r="L1524" t="s">
        <v>2565</v>
      </c>
      <c r="M1524" t="s">
        <v>841</v>
      </c>
      <c r="N1524" t="s">
        <v>842</v>
      </c>
      <c r="O1524" t="s">
        <v>843</v>
      </c>
      <c r="P1524" t="s">
        <v>273</v>
      </c>
      <c r="Q1524" s="3">
        <v>7080</v>
      </c>
      <c r="R1524" t="s">
        <v>128</v>
      </c>
      <c r="T1524" s="4">
        <v>17328327978</v>
      </c>
      <c r="V1524" t="s">
        <v>844</v>
      </c>
      <c r="W1524" t="s">
        <v>7819</v>
      </c>
      <c r="Y1524" t="s">
        <v>7810</v>
      </c>
      <c r="Z1524" t="s">
        <v>7811</v>
      </c>
      <c r="AA1524" t="s">
        <v>6028</v>
      </c>
      <c r="AB1524" t="s">
        <v>276</v>
      </c>
      <c r="AC1524" s="3" t="str">
        <f>"08830"</f>
        <v>08830</v>
      </c>
      <c r="AD1524" t="s">
        <v>128</v>
      </c>
      <c r="AF1524" s="4">
        <v>17325270567</v>
      </c>
      <c r="AH1524" t="str">
        <f>"541519"</f>
        <v>541519</v>
      </c>
      <c r="AI1524" t="s">
        <v>130</v>
      </c>
      <c r="AJ1524" t="s">
        <v>838</v>
      </c>
      <c r="AK1524" t="s">
        <v>5709</v>
      </c>
      <c r="AL1524" t="s">
        <v>840</v>
      </c>
      <c r="AM1524" t="s">
        <v>304</v>
      </c>
      <c r="AN1524" t="s">
        <v>698</v>
      </c>
      <c r="AO1524" t="s">
        <v>305</v>
      </c>
      <c r="AP1524" t="s">
        <v>276</v>
      </c>
      <c r="AQ1524" s="5">
        <v>7080</v>
      </c>
      <c r="AR1524" t="s">
        <v>128</v>
      </c>
      <c r="AT1524" s="4">
        <v>17328327978</v>
      </c>
      <c r="AV1524" t="s">
        <v>844</v>
      </c>
      <c r="AW1524" t="s">
        <v>845</v>
      </c>
      <c r="AX1524" t="s">
        <v>131</v>
      </c>
      <c r="AY1524" t="s">
        <v>131</v>
      </c>
      <c r="AZ1524" t="s">
        <v>131</v>
      </c>
      <c r="BA1524" t="s">
        <v>131</v>
      </c>
      <c r="BB1524" t="s">
        <v>131</v>
      </c>
      <c r="BC1524" t="s">
        <v>131</v>
      </c>
      <c r="BD1524" t="s">
        <v>131</v>
      </c>
      <c r="BE1524" t="s">
        <v>132</v>
      </c>
      <c r="BH1524" t="s">
        <v>846</v>
      </c>
      <c r="BI1524" t="s">
        <v>131</v>
      </c>
      <c r="BL1524" t="s">
        <v>188</v>
      </c>
      <c r="BN1524" t="s">
        <v>847</v>
      </c>
      <c r="BO1524" t="s">
        <v>131</v>
      </c>
      <c r="BP1524" t="s">
        <v>134</v>
      </c>
      <c r="BQ1524" t="s">
        <v>131</v>
      </c>
      <c r="BS1524" t="str">
        <f t="shared" si="94"/>
        <v>N/A</v>
      </c>
      <c r="BT1524" t="s">
        <v>135</v>
      </c>
      <c r="BU1524">
        <v>6</v>
      </c>
      <c r="BV1524" t="str">
        <f>"JOB OFFERED OR RELATED OCCUPATION"</f>
        <v>JOB OFFERED OR RELATED OCCUPATION</v>
      </c>
      <c r="BW1524" t="s">
        <v>131</v>
      </c>
      <c r="BX1524" t="str">
        <f>""</f>
        <v/>
      </c>
      <c r="BY1524" t="str">
        <f>""</f>
        <v/>
      </c>
      <c r="BZ1524" t="str">
        <f>""</f>
        <v/>
      </c>
      <c r="CA1524" t="str">
        <f>""</f>
        <v/>
      </c>
      <c r="CB1524" t="s">
        <v>135</v>
      </c>
      <c r="CC1524" t="s">
        <v>133</v>
      </c>
      <c r="CE1524" t="s">
        <v>847</v>
      </c>
      <c r="CF1524" t="s">
        <v>131</v>
      </c>
      <c r="CH1524" t="str">
        <f t="shared" si="95"/>
        <v>N/A</v>
      </c>
      <c r="CI1524" t="s">
        <v>135</v>
      </c>
      <c r="CJ1524">
        <v>5</v>
      </c>
      <c r="CK1524" t="s">
        <v>135</v>
      </c>
      <c r="CL1524" t="str">
        <f>""</f>
        <v/>
      </c>
      <c r="CM1524" t="str">
        <f>""</f>
        <v/>
      </c>
      <c r="CN1524" t="str">
        <f>""</f>
        <v/>
      </c>
      <c r="CO1524" t="s">
        <v>13116</v>
      </c>
      <c r="CP1524" t="str">
        <f>"15-1132.00"</f>
        <v>15-1132.00</v>
      </c>
      <c r="CQ1524" t="s">
        <v>198</v>
      </c>
      <c r="CR1524" t="s">
        <v>849</v>
      </c>
      <c r="CS1524" t="s">
        <v>131</v>
      </c>
      <c r="CU1524" t="s">
        <v>7810</v>
      </c>
      <c r="CV1524" t="s">
        <v>7813</v>
      </c>
      <c r="CW1524" t="s">
        <v>6028</v>
      </c>
      <c r="CX1524" t="s">
        <v>276</v>
      </c>
      <c r="CZ1524" s="3" t="str">
        <f>"08830"</f>
        <v>08830</v>
      </c>
      <c r="DA1524" t="s">
        <v>131</v>
      </c>
      <c r="DB1524" t="str">
        <f>""</f>
        <v/>
      </c>
      <c r="DF1524" t="str">
        <f>""</f>
        <v/>
      </c>
    </row>
    <row r="1525" spans="1:110" ht="15" customHeight="1" x14ac:dyDescent="0.35">
      <c r="A1525" t="s">
        <v>17239</v>
      </c>
      <c r="B1525" t="s">
        <v>138</v>
      </c>
      <c r="C1525" s="1">
        <v>44334</v>
      </c>
      <c r="G1525" s="1">
        <v>44334</v>
      </c>
      <c r="H1525" t="s">
        <v>125</v>
      </c>
      <c r="I1525" t="s">
        <v>10799</v>
      </c>
      <c r="J1525" t="s">
        <v>2372</v>
      </c>
      <c r="L1525" t="s">
        <v>10800</v>
      </c>
      <c r="M1525" t="s">
        <v>12530</v>
      </c>
      <c r="O1525" t="s">
        <v>129</v>
      </c>
      <c r="P1525" t="s">
        <v>127</v>
      </c>
      <c r="Q1525" s="3">
        <v>10001</v>
      </c>
      <c r="R1525" t="s">
        <v>128</v>
      </c>
      <c r="T1525" s="4">
        <v>12129711108</v>
      </c>
      <c r="V1525" t="s">
        <v>10802</v>
      </c>
      <c r="W1525" t="s">
        <v>12531</v>
      </c>
      <c r="X1525">
        <v>582382378</v>
      </c>
      <c r="Y1525" t="s">
        <v>10801</v>
      </c>
      <c r="AA1525" t="s">
        <v>129</v>
      </c>
      <c r="AB1525" t="s">
        <v>129</v>
      </c>
      <c r="AC1525" s="3" t="str">
        <f>"10001"</f>
        <v>10001</v>
      </c>
      <c r="AD1525" t="s">
        <v>128</v>
      </c>
      <c r="AF1525" s="4">
        <v>12125027900</v>
      </c>
      <c r="AH1525" t="str">
        <f>"237990"</f>
        <v>237990</v>
      </c>
      <c r="AI1525" t="s">
        <v>130</v>
      </c>
      <c r="AJ1525" t="s">
        <v>3674</v>
      </c>
      <c r="AK1525" t="s">
        <v>560</v>
      </c>
      <c r="AM1525" t="s">
        <v>3675</v>
      </c>
      <c r="AN1525" t="s">
        <v>554</v>
      </c>
      <c r="AO1525" t="s">
        <v>1175</v>
      </c>
      <c r="AP1525" t="s">
        <v>1176</v>
      </c>
      <c r="AQ1525" s="5">
        <v>68114</v>
      </c>
      <c r="AR1525" t="s">
        <v>128</v>
      </c>
      <c r="AT1525" s="4">
        <v>14023911991</v>
      </c>
      <c r="AV1525" t="s">
        <v>10803</v>
      </c>
      <c r="AW1525" t="s">
        <v>3676</v>
      </c>
      <c r="AX1525" t="s">
        <v>131</v>
      </c>
      <c r="AY1525" t="s">
        <v>131</v>
      </c>
      <c r="AZ1525" t="s">
        <v>131</v>
      </c>
      <c r="BA1525" t="s">
        <v>131</v>
      </c>
      <c r="BB1525" t="s">
        <v>131</v>
      </c>
      <c r="BC1525" t="s">
        <v>131</v>
      </c>
      <c r="BD1525" t="s">
        <v>131</v>
      </c>
      <c r="BE1525" t="s">
        <v>132</v>
      </c>
      <c r="BH1525" t="s">
        <v>12532</v>
      </c>
      <c r="BI1525" t="s">
        <v>131</v>
      </c>
      <c r="BL1525" t="s">
        <v>188</v>
      </c>
      <c r="BN1525" t="s">
        <v>12533</v>
      </c>
      <c r="BO1525" t="s">
        <v>131</v>
      </c>
      <c r="BP1525" t="s">
        <v>134</v>
      </c>
      <c r="BQ1525" t="s">
        <v>131</v>
      </c>
      <c r="BS1525" t="str">
        <f t="shared" si="94"/>
        <v>N/A</v>
      </c>
      <c r="BT1525" t="s">
        <v>135</v>
      </c>
      <c r="BU1525">
        <v>24</v>
      </c>
      <c r="BV1525" t="str">
        <f>"Related occupation."</f>
        <v>Related occupation.</v>
      </c>
      <c r="BW1525" t="s">
        <v>135</v>
      </c>
      <c r="BX1525" t="str">
        <f>""</f>
        <v/>
      </c>
      <c r="BY1525" t="str">
        <f>""</f>
        <v/>
      </c>
      <c r="BZ1525" t="str">
        <f>""</f>
        <v/>
      </c>
      <c r="CA1525" t="str">
        <f>"Demonstrated ability to use ERP (Enterprise resource planning) platform and Primavera P6 software.  
Job located in Olympia, WA but candidate can work remotely and live anywhere in the U.S. Travel 90% of time, throughout the U.S."</f>
        <v>Demonstrated ability to use ERP (Enterprise resource planning) platform and Primavera P6 software.  
Job located in Olympia, WA but candidate can work remotely and live anywhere in the U.S. Travel 90% of time, throughout the U.S.</v>
      </c>
      <c r="CB1525" t="s">
        <v>135</v>
      </c>
      <c r="CC1525" t="s">
        <v>133</v>
      </c>
      <c r="CE1525" t="s">
        <v>12533</v>
      </c>
      <c r="CF1525" t="s">
        <v>131</v>
      </c>
      <c r="CH1525" t="str">
        <f t="shared" si="95"/>
        <v>N/A</v>
      </c>
      <c r="CI1525" t="s">
        <v>135</v>
      </c>
      <c r="CJ1525">
        <v>72</v>
      </c>
      <c r="CK1525" t="s">
        <v>135</v>
      </c>
      <c r="CL1525" t="str">
        <f>""</f>
        <v/>
      </c>
      <c r="CM1525" t="str">
        <f>""</f>
        <v/>
      </c>
      <c r="CN1525" t="str">
        <f>""</f>
        <v/>
      </c>
      <c r="CO1525" t="str">
        <f>"Demonstrated ability to use ERP (Enterprise resource planning) platform and Primavera P6 software.  
Job located in Olympia, WA but candidate can work remotely and live anywhere in the U.S. Travel 90% of time, throughout the U.S."</f>
        <v>Demonstrated ability to use ERP (Enterprise resource planning) platform and Primavera P6 software.  
Job located in Olympia, WA but candidate can work remotely and live anywhere in the U.S. Travel 90% of time, throughout the U.S.</v>
      </c>
      <c r="CP1525" t="str">
        <f>"17-2051.00"</f>
        <v>17-2051.00</v>
      </c>
      <c r="CQ1525" t="s">
        <v>787</v>
      </c>
      <c r="CS1525" t="s">
        <v>135</v>
      </c>
      <c r="CT1525" t="s">
        <v>17240</v>
      </c>
      <c r="CU1525" t="s">
        <v>17241</v>
      </c>
      <c r="CV1525" t="s">
        <v>1980</v>
      </c>
      <c r="CW1525" t="s">
        <v>12534</v>
      </c>
      <c r="CX1525" t="s">
        <v>149</v>
      </c>
      <c r="CZ1525" s="3" t="str">
        <f>"98516"</f>
        <v>98516</v>
      </c>
      <c r="DA1525" t="s">
        <v>131</v>
      </c>
      <c r="DB1525" t="str">
        <f>""</f>
        <v/>
      </c>
      <c r="DF1525" t="str">
        <f>""</f>
        <v/>
      </c>
    </row>
    <row r="1526" spans="1:110" ht="15" customHeight="1" x14ac:dyDescent="0.35">
      <c r="A1526" t="s">
        <v>18718</v>
      </c>
      <c r="B1526" t="s">
        <v>138</v>
      </c>
      <c r="C1526" s="1">
        <v>44334</v>
      </c>
      <c r="G1526" s="1">
        <v>44350</v>
      </c>
      <c r="H1526" t="s">
        <v>125</v>
      </c>
      <c r="I1526" t="s">
        <v>838</v>
      </c>
      <c r="J1526" t="s">
        <v>839</v>
      </c>
      <c r="K1526" t="s">
        <v>840</v>
      </c>
      <c r="L1526" t="s">
        <v>2565</v>
      </c>
      <c r="M1526" t="s">
        <v>841</v>
      </c>
      <c r="N1526" t="s">
        <v>842</v>
      </c>
      <c r="O1526" t="s">
        <v>843</v>
      </c>
      <c r="P1526" t="s">
        <v>273</v>
      </c>
      <c r="Q1526" s="3">
        <v>7080</v>
      </c>
      <c r="R1526" t="s">
        <v>128</v>
      </c>
      <c r="T1526" s="4">
        <v>17328327978</v>
      </c>
      <c r="V1526" t="s">
        <v>844</v>
      </c>
      <c r="W1526" t="s">
        <v>7819</v>
      </c>
      <c r="Y1526" t="s">
        <v>7810</v>
      </c>
      <c r="Z1526" t="s">
        <v>7811</v>
      </c>
      <c r="AA1526" t="s">
        <v>6028</v>
      </c>
      <c r="AB1526" t="s">
        <v>276</v>
      </c>
      <c r="AC1526" s="3" t="str">
        <f>"08830"</f>
        <v>08830</v>
      </c>
      <c r="AD1526" t="s">
        <v>128</v>
      </c>
      <c r="AF1526" s="4">
        <v>17325270567</v>
      </c>
      <c r="AH1526" t="str">
        <f>"541519"</f>
        <v>541519</v>
      </c>
      <c r="AI1526" t="s">
        <v>130</v>
      </c>
      <c r="AJ1526" t="s">
        <v>838</v>
      </c>
      <c r="AK1526" t="s">
        <v>839</v>
      </c>
      <c r="AL1526" t="s">
        <v>840</v>
      </c>
      <c r="AM1526" t="s">
        <v>841</v>
      </c>
      <c r="AN1526" t="s">
        <v>842</v>
      </c>
      <c r="AO1526" t="s">
        <v>843</v>
      </c>
      <c r="AP1526" t="s">
        <v>276</v>
      </c>
      <c r="AQ1526" s="5">
        <v>7080</v>
      </c>
      <c r="AR1526" t="s">
        <v>128</v>
      </c>
      <c r="AT1526" s="4">
        <v>17328327978</v>
      </c>
      <c r="AV1526" t="s">
        <v>844</v>
      </c>
      <c r="AW1526" t="s">
        <v>845</v>
      </c>
      <c r="AX1526" t="s">
        <v>131</v>
      </c>
      <c r="AY1526" t="s">
        <v>131</v>
      </c>
      <c r="AZ1526" t="s">
        <v>131</v>
      </c>
      <c r="BA1526" t="s">
        <v>131</v>
      </c>
      <c r="BB1526" t="s">
        <v>131</v>
      </c>
      <c r="BC1526" t="s">
        <v>131</v>
      </c>
      <c r="BD1526" t="s">
        <v>131</v>
      </c>
      <c r="BE1526" t="s">
        <v>132</v>
      </c>
      <c r="BH1526" t="s">
        <v>7812</v>
      </c>
      <c r="BI1526" t="s">
        <v>131</v>
      </c>
      <c r="BL1526" t="s">
        <v>188</v>
      </c>
      <c r="BN1526" t="s">
        <v>847</v>
      </c>
      <c r="BO1526" t="s">
        <v>131</v>
      </c>
      <c r="BP1526" t="s">
        <v>134</v>
      </c>
      <c r="BQ1526" t="s">
        <v>131</v>
      </c>
      <c r="BS1526" t="str">
        <f t="shared" si="94"/>
        <v>N/A</v>
      </c>
      <c r="BT1526" t="s">
        <v>135</v>
      </c>
      <c r="BU1526">
        <v>12</v>
      </c>
      <c r="BV1526" t="str">
        <f>"JOB OFFERED OR RELATED OCCUPATION"</f>
        <v>JOB OFFERED OR RELATED OCCUPATION</v>
      </c>
      <c r="BW1526" t="s">
        <v>131</v>
      </c>
      <c r="BX1526" t="str">
        <f>""</f>
        <v/>
      </c>
      <c r="BY1526" t="str">
        <f>""</f>
        <v/>
      </c>
      <c r="BZ1526" t="str">
        <f>""</f>
        <v/>
      </c>
      <c r="CA1526" t="str">
        <f>""</f>
        <v/>
      </c>
      <c r="CB1526" t="s">
        <v>135</v>
      </c>
      <c r="CC1526" t="s">
        <v>133</v>
      </c>
      <c r="CE1526" t="s">
        <v>847</v>
      </c>
      <c r="CF1526" t="s">
        <v>131</v>
      </c>
      <c r="CH1526" t="str">
        <f t="shared" si="95"/>
        <v>N/A</v>
      </c>
      <c r="CI1526" t="s">
        <v>135</v>
      </c>
      <c r="CJ1526">
        <v>60</v>
      </c>
      <c r="CK1526" t="s">
        <v>135</v>
      </c>
      <c r="CL1526" t="str">
        <f>""</f>
        <v/>
      </c>
      <c r="CM1526" t="str">
        <f>""</f>
        <v/>
      </c>
      <c r="CN1526" t="str">
        <f>""</f>
        <v/>
      </c>
      <c r="CO1526" t="s">
        <v>4347</v>
      </c>
      <c r="CP1526" t="str">
        <f>"15-1122.00"</f>
        <v>15-1122.00</v>
      </c>
      <c r="CQ1526" t="s">
        <v>711</v>
      </c>
      <c r="CR1526" t="s">
        <v>849</v>
      </c>
      <c r="CS1526" t="s">
        <v>131</v>
      </c>
      <c r="CU1526" t="s">
        <v>7810</v>
      </c>
      <c r="CV1526" t="s">
        <v>7813</v>
      </c>
      <c r="CW1526" t="s">
        <v>6028</v>
      </c>
      <c r="CX1526" t="s">
        <v>276</v>
      </c>
      <c r="CZ1526" s="3" t="str">
        <f>"08830"</f>
        <v>08830</v>
      </c>
      <c r="DA1526" t="s">
        <v>131</v>
      </c>
      <c r="DB1526" t="str">
        <f>""</f>
        <v/>
      </c>
      <c r="DF1526" t="str">
        <f>""</f>
        <v/>
      </c>
    </row>
    <row r="1527" spans="1:110" ht="15" customHeight="1" x14ac:dyDescent="0.35">
      <c r="A1527" t="s">
        <v>16509</v>
      </c>
      <c r="B1527" t="s">
        <v>138</v>
      </c>
      <c r="C1527" s="1">
        <v>44334</v>
      </c>
      <c r="G1527" s="1">
        <v>44340</v>
      </c>
      <c r="H1527" t="s">
        <v>125</v>
      </c>
      <c r="I1527" t="s">
        <v>6700</v>
      </c>
      <c r="J1527" t="s">
        <v>6701</v>
      </c>
      <c r="K1527" t="s">
        <v>1820</v>
      </c>
      <c r="L1527" t="s">
        <v>16510</v>
      </c>
      <c r="M1527" t="s">
        <v>8372</v>
      </c>
      <c r="O1527" t="s">
        <v>1532</v>
      </c>
      <c r="P1527" t="s">
        <v>127</v>
      </c>
      <c r="Q1527" s="3">
        <v>12208</v>
      </c>
      <c r="R1527" t="s">
        <v>128</v>
      </c>
      <c r="T1527" s="4">
        <v>15187014811</v>
      </c>
      <c r="V1527" t="s">
        <v>8373</v>
      </c>
      <c r="W1527" t="s">
        <v>8374</v>
      </c>
      <c r="X1527" t="s">
        <v>134</v>
      </c>
      <c r="Y1527" t="s">
        <v>8372</v>
      </c>
      <c r="AA1527" t="s">
        <v>6702</v>
      </c>
      <c r="AB1527" t="s">
        <v>129</v>
      </c>
      <c r="AC1527" s="3" t="str">
        <f>"12208"</f>
        <v>12208</v>
      </c>
      <c r="AD1527" t="s">
        <v>128</v>
      </c>
      <c r="AF1527" s="4">
        <v>15182628221</v>
      </c>
      <c r="AH1527" t="str">
        <f>"622110"</f>
        <v>622110</v>
      </c>
      <c r="AI1527" t="s">
        <v>130</v>
      </c>
      <c r="AJ1527" t="s">
        <v>5500</v>
      </c>
      <c r="AK1527" t="s">
        <v>8375</v>
      </c>
      <c r="AL1527" t="s">
        <v>568</v>
      </c>
      <c r="AM1527" t="s">
        <v>8376</v>
      </c>
      <c r="AO1527" t="s">
        <v>12573</v>
      </c>
      <c r="AP1527" t="s">
        <v>249</v>
      </c>
      <c r="AQ1527" s="5">
        <v>55102</v>
      </c>
      <c r="AR1527" t="s">
        <v>128</v>
      </c>
      <c r="AT1527" s="4">
        <v>16512783190</v>
      </c>
      <c r="AV1527" t="s">
        <v>8378</v>
      </c>
      <c r="AW1527" t="s">
        <v>8379</v>
      </c>
      <c r="AX1527" t="s">
        <v>135</v>
      </c>
      <c r="AY1527" t="s">
        <v>131</v>
      </c>
      <c r="AZ1527" t="s">
        <v>135</v>
      </c>
      <c r="BA1527" t="s">
        <v>131</v>
      </c>
      <c r="BB1527" t="s">
        <v>134</v>
      </c>
      <c r="BC1527" t="s">
        <v>131</v>
      </c>
      <c r="BD1527" t="s">
        <v>131</v>
      </c>
      <c r="BE1527" t="s">
        <v>132</v>
      </c>
      <c r="BH1527" t="s">
        <v>16511</v>
      </c>
      <c r="BI1527" t="s">
        <v>131</v>
      </c>
      <c r="BL1527" t="s">
        <v>133</v>
      </c>
      <c r="BN1527" t="s">
        <v>8381</v>
      </c>
      <c r="BO1527" t="s">
        <v>131</v>
      </c>
      <c r="BP1527" t="s">
        <v>134</v>
      </c>
      <c r="BQ1527" t="s">
        <v>131</v>
      </c>
      <c r="BS1527" t="str">
        <f t="shared" si="94"/>
        <v>N/A</v>
      </c>
      <c r="BT1527" t="s">
        <v>135</v>
      </c>
      <c r="BU1527">
        <v>36</v>
      </c>
      <c r="BV1527" t="str">
        <f>"Clinical Laboratory Technologist"</f>
        <v>Clinical Laboratory Technologist</v>
      </c>
      <c r="BW1527" t="s">
        <v>135</v>
      </c>
      <c r="BX1527" t="str">
        <f>"NEW YORK STATE EDUCATION DEPARTMENT LICENSE AS A CLINICAL LABORATORY TECHNOLOGIST"</f>
        <v>NEW YORK STATE EDUCATION DEPARTMENT LICENSE AS A CLINICAL LABORATORY TECHNOLOGIST</v>
      </c>
      <c r="BY1527" t="str">
        <f>""</f>
        <v/>
      </c>
      <c r="BZ1527" t="str">
        <f>""</f>
        <v/>
      </c>
      <c r="CA1527" t="s">
        <v>8382</v>
      </c>
      <c r="CB1527" t="s">
        <v>131</v>
      </c>
      <c r="CF1527" t="s">
        <v>131</v>
      </c>
      <c r="CH1527" t="str">
        <f>""</f>
        <v/>
      </c>
      <c r="CI1527" t="s">
        <v>131</v>
      </c>
      <c r="CK1527" t="s">
        <v>131</v>
      </c>
      <c r="CL1527" t="str">
        <f>""</f>
        <v/>
      </c>
      <c r="CM1527" t="str">
        <f>""</f>
        <v/>
      </c>
      <c r="CN1527" t="str">
        <f>""</f>
        <v/>
      </c>
      <c r="CO1527" t="str">
        <f>""</f>
        <v/>
      </c>
      <c r="CP1527" t="str">
        <f>"29-2011.00"</f>
        <v>29-2011.00</v>
      </c>
      <c r="CQ1527" t="s">
        <v>1476</v>
      </c>
      <c r="CR1527" t="s">
        <v>8383</v>
      </c>
      <c r="CS1527" t="s">
        <v>131</v>
      </c>
      <c r="CU1527" t="s">
        <v>8372</v>
      </c>
      <c r="CW1527" t="s">
        <v>6702</v>
      </c>
      <c r="CX1527" t="s">
        <v>129</v>
      </c>
      <c r="CZ1527" s="3" t="str">
        <f>"12208"</f>
        <v>12208</v>
      </c>
      <c r="DA1527" t="s">
        <v>131</v>
      </c>
      <c r="DB1527" t="str">
        <f>""</f>
        <v/>
      </c>
      <c r="DF1527" t="str">
        <f>""</f>
        <v/>
      </c>
    </row>
    <row r="1528" spans="1:110" ht="15" customHeight="1" x14ac:dyDescent="0.35">
      <c r="A1528" t="s">
        <v>18801</v>
      </c>
      <c r="B1528" t="s">
        <v>138</v>
      </c>
      <c r="C1528" s="1">
        <v>44334</v>
      </c>
      <c r="G1528" s="1">
        <v>44340</v>
      </c>
      <c r="H1528" t="s">
        <v>125</v>
      </c>
      <c r="I1528" t="s">
        <v>6700</v>
      </c>
      <c r="J1528" t="s">
        <v>6701</v>
      </c>
      <c r="K1528" t="s">
        <v>1820</v>
      </c>
      <c r="L1528" t="s">
        <v>16510</v>
      </c>
      <c r="M1528" t="s">
        <v>15859</v>
      </c>
      <c r="O1528" t="s">
        <v>6702</v>
      </c>
      <c r="P1528" t="s">
        <v>127</v>
      </c>
      <c r="Q1528" s="3">
        <v>12208</v>
      </c>
      <c r="R1528" t="s">
        <v>128</v>
      </c>
      <c r="T1528" s="4">
        <v>15187014811</v>
      </c>
      <c r="V1528" t="s">
        <v>8373</v>
      </c>
      <c r="W1528" t="s">
        <v>8374</v>
      </c>
      <c r="X1528" t="s">
        <v>134</v>
      </c>
      <c r="Y1528" t="s">
        <v>8372</v>
      </c>
      <c r="AA1528" t="s">
        <v>6702</v>
      </c>
      <c r="AB1528" t="s">
        <v>129</v>
      </c>
      <c r="AC1528" s="3" t="str">
        <f>"12208"</f>
        <v>12208</v>
      </c>
      <c r="AD1528" t="s">
        <v>128</v>
      </c>
      <c r="AF1528" s="4">
        <v>15182628221</v>
      </c>
      <c r="AH1528" t="str">
        <f>"622110"</f>
        <v>622110</v>
      </c>
      <c r="AI1528" t="s">
        <v>130</v>
      </c>
      <c r="AJ1528" t="s">
        <v>5377</v>
      </c>
      <c r="AK1528" t="s">
        <v>2120</v>
      </c>
      <c r="AL1528" t="s">
        <v>1616</v>
      </c>
      <c r="AM1528" t="s">
        <v>15861</v>
      </c>
      <c r="AO1528" t="s">
        <v>8377</v>
      </c>
      <c r="AP1528" t="s">
        <v>249</v>
      </c>
      <c r="AQ1528" s="5">
        <v>55102</v>
      </c>
      <c r="AR1528" t="s">
        <v>128</v>
      </c>
      <c r="AT1528" s="4">
        <v>16512783190</v>
      </c>
      <c r="AV1528" t="s">
        <v>8378</v>
      </c>
      <c r="AW1528" t="s">
        <v>8379</v>
      </c>
      <c r="AX1528" t="s">
        <v>135</v>
      </c>
      <c r="AY1528" t="s">
        <v>131</v>
      </c>
      <c r="AZ1528" t="s">
        <v>135</v>
      </c>
      <c r="BA1528" t="s">
        <v>131</v>
      </c>
      <c r="BB1528" t="s">
        <v>134</v>
      </c>
      <c r="BC1528" t="s">
        <v>131</v>
      </c>
      <c r="BD1528" t="s">
        <v>131</v>
      </c>
      <c r="BE1528" t="s">
        <v>132</v>
      </c>
      <c r="BH1528" t="s">
        <v>15862</v>
      </c>
      <c r="BI1528" t="s">
        <v>131</v>
      </c>
      <c r="BL1528" t="s">
        <v>133</v>
      </c>
      <c r="BN1528" t="s">
        <v>16961</v>
      </c>
      <c r="BO1528" t="s">
        <v>131</v>
      </c>
      <c r="BP1528" t="s">
        <v>134</v>
      </c>
      <c r="BQ1528" t="s">
        <v>131</v>
      </c>
      <c r="BS1528" t="str">
        <f t="shared" si="94"/>
        <v>N/A</v>
      </c>
      <c r="BT1528" t="s">
        <v>131</v>
      </c>
      <c r="BV1528" t="str">
        <f>""</f>
        <v/>
      </c>
      <c r="BW1528" t="s">
        <v>135</v>
      </c>
      <c r="BX1528" t="str">
        <f>"CLINICAL LABORATORY TECHNOLOGIST FOR NEW YORK STATE"</f>
        <v>CLINICAL LABORATORY TECHNOLOGIST FOR NEW YORK STATE</v>
      </c>
      <c r="BY1528" t="str">
        <f>""</f>
        <v/>
      </c>
      <c r="BZ1528" t="str">
        <f>""</f>
        <v/>
      </c>
      <c r="CA1528" t="s">
        <v>16962</v>
      </c>
      <c r="CB1528" t="s">
        <v>131</v>
      </c>
      <c r="CF1528" t="s">
        <v>131</v>
      </c>
      <c r="CH1528" t="str">
        <f>""</f>
        <v/>
      </c>
      <c r="CI1528" t="s">
        <v>131</v>
      </c>
      <c r="CK1528" t="s">
        <v>131</v>
      </c>
      <c r="CL1528" t="str">
        <f>""</f>
        <v/>
      </c>
      <c r="CM1528" t="str">
        <f>""</f>
        <v/>
      </c>
      <c r="CN1528" t="str">
        <f>""</f>
        <v/>
      </c>
      <c r="CO1528" t="str">
        <f>""</f>
        <v/>
      </c>
      <c r="CP1528" t="str">
        <f>"29-2011.00"</f>
        <v>29-2011.00</v>
      </c>
      <c r="CQ1528" t="s">
        <v>1476</v>
      </c>
      <c r="CR1528" t="s">
        <v>8383</v>
      </c>
      <c r="CS1528" t="s">
        <v>131</v>
      </c>
      <c r="CU1528" t="s">
        <v>15865</v>
      </c>
      <c r="CW1528" t="s">
        <v>6702</v>
      </c>
      <c r="CX1528" t="s">
        <v>129</v>
      </c>
      <c r="CZ1528" s="3" t="str">
        <f>"12208"</f>
        <v>12208</v>
      </c>
      <c r="DA1528" t="s">
        <v>131</v>
      </c>
      <c r="DB1528" t="str">
        <f>""</f>
        <v/>
      </c>
      <c r="DF1528" t="str">
        <f>""</f>
        <v/>
      </c>
    </row>
    <row r="1529" spans="1:110" ht="15" customHeight="1" x14ac:dyDescent="0.35">
      <c r="A1529" t="s">
        <v>6013</v>
      </c>
      <c r="B1529" t="s">
        <v>138</v>
      </c>
      <c r="C1529" s="1">
        <v>44334</v>
      </c>
      <c r="G1529" s="1">
        <v>44334</v>
      </c>
      <c r="H1529" t="s">
        <v>125</v>
      </c>
      <c r="I1529" t="s">
        <v>6014</v>
      </c>
      <c r="J1529" t="s">
        <v>301</v>
      </c>
      <c r="K1529" t="s">
        <v>6015</v>
      </c>
      <c r="L1529" t="s">
        <v>3782</v>
      </c>
      <c r="M1529" t="s">
        <v>6016</v>
      </c>
      <c r="N1529" t="s">
        <v>1883</v>
      </c>
      <c r="O1529" t="s">
        <v>1101</v>
      </c>
      <c r="P1529" t="s">
        <v>194</v>
      </c>
      <c r="Q1529" s="3">
        <v>32216</v>
      </c>
      <c r="R1529" t="s">
        <v>128</v>
      </c>
      <c r="T1529" s="4">
        <v>19042969474</v>
      </c>
      <c r="V1529" t="s">
        <v>6017</v>
      </c>
      <c r="W1529" t="s">
        <v>6018</v>
      </c>
      <c r="Y1529" t="s">
        <v>6019</v>
      </c>
      <c r="AA1529" t="s">
        <v>1101</v>
      </c>
      <c r="AB1529" t="s">
        <v>195</v>
      </c>
      <c r="AC1529" s="3" t="str">
        <f>"32256"</f>
        <v>32256</v>
      </c>
      <c r="AD1529" t="s">
        <v>128</v>
      </c>
      <c r="AF1529" s="4">
        <v>19047317040</v>
      </c>
      <c r="AH1529" t="str">
        <f>"541330"</f>
        <v>541330</v>
      </c>
      <c r="AI1529" t="s">
        <v>130</v>
      </c>
      <c r="AJ1529" t="s">
        <v>6014</v>
      </c>
      <c r="AK1529" t="s">
        <v>301</v>
      </c>
      <c r="AL1529" t="s">
        <v>6015</v>
      </c>
      <c r="AM1529" t="s">
        <v>6016</v>
      </c>
      <c r="AN1529" t="s">
        <v>1883</v>
      </c>
      <c r="AO1529" t="s">
        <v>1101</v>
      </c>
      <c r="AP1529" t="s">
        <v>195</v>
      </c>
      <c r="AQ1529" s="5">
        <v>32216</v>
      </c>
      <c r="AR1529" t="s">
        <v>128</v>
      </c>
      <c r="AT1529" s="4">
        <v>19042969474</v>
      </c>
      <c r="AV1529" t="s">
        <v>6017</v>
      </c>
      <c r="AW1529" t="s">
        <v>6020</v>
      </c>
      <c r="AX1529" t="s">
        <v>131</v>
      </c>
      <c r="AY1529" t="s">
        <v>131</v>
      </c>
      <c r="AZ1529" t="s">
        <v>131</v>
      </c>
      <c r="BA1529" t="s">
        <v>131</v>
      </c>
      <c r="BB1529" t="s">
        <v>131</v>
      </c>
      <c r="BC1529" t="s">
        <v>131</v>
      </c>
      <c r="BD1529" t="s">
        <v>131</v>
      </c>
      <c r="BE1529" t="s">
        <v>132</v>
      </c>
      <c r="BH1529" t="s">
        <v>6021</v>
      </c>
      <c r="BI1529" t="s">
        <v>131</v>
      </c>
      <c r="BL1529" t="s">
        <v>188</v>
      </c>
      <c r="BN1529" t="s">
        <v>6022</v>
      </c>
      <c r="BO1529" t="s">
        <v>131</v>
      </c>
      <c r="BP1529" t="s">
        <v>134</v>
      </c>
      <c r="BQ1529" t="s">
        <v>131</v>
      </c>
      <c r="BS1529" t="str">
        <f t="shared" si="94"/>
        <v>N/A</v>
      </c>
      <c r="BT1529" t="s">
        <v>131</v>
      </c>
      <c r="BV1529" t="str">
        <f>""</f>
        <v/>
      </c>
      <c r="BW1529" t="s">
        <v>131</v>
      </c>
      <c r="BX1529" t="str">
        <f>""</f>
        <v/>
      </c>
      <c r="BY1529" t="str">
        <f>""</f>
        <v/>
      </c>
      <c r="BZ1529" t="str">
        <f>""</f>
        <v/>
      </c>
      <c r="CA1529" t="str">
        <f>""</f>
        <v/>
      </c>
      <c r="CB1529" t="s">
        <v>131</v>
      </c>
      <c r="CF1529" t="s">
        <v>131</v>
      </c>
      <c r="CH1529" t="str">
        <f>""</f>
        <v/>
      </c>
      <c r="CI1529" t="s">
        <v>131</v>
      </c>
      <c r="CK1529" t="s">
        <v>131</v>
      </c>
      <c r="CL1529" t="str">
        <f>""</f>
        <v/>
      </c>
      <c r="CM1529" t="str">
        <f>""</f>
        <v/>
      </c>
      <c r="CN1529" t="str">
        <f>""</f>
        <v/>
      </c>
      <c r="CO1529" t="str">
        <f>""</f>
        <v/>
      </c>
      <c r="CP1529" t="str">
        <f>"17-2051.00"</f>
        <v>17-2051.00</v>
      </c>
      <c r="CQ1529" t="s">
        <v>787</v>
      </c>
      <c r="CR1529" t="s">
        <v>6021</v>
      </c>
      <c r="CS1529" t="s">
        <v>131</v>
      </c>
      <c r="CU1529" t="s">
        <v>6023</v>
      </c>
      <c r="CW1529" t="s">
        <v>197</v>
      </c>
      <c r="CX1529" t="s">
        <v>195</v>
      </c>
      <c r="CZ1529" s="3" t="str">
        <f>"33618"</f>
        <v>33618</v>
      </c>
      <c r="DA1529" t="s">
        <v>131</v>
      </c>
      <c r="DB1529" t="str">
        <f>""</f>
        <v/>
      </c>
      <c r="DF1529" t="str">
        <f>""</f>
        <v/>
      </c>
    </row>
    <row r="1530" spans="1:110" ht="15" customHeight="1" x14ac:dyDescent="0.35">
      <c r="A1530" t="s">
        <v>15126</v>
      </c>
      <c r="B1530" t="s">
        <v>138</v>
      </c>
      <c r="C1530" s="1">
        <v>44334</v>
      </c>
      <c r="G1530" s="1">
        <v>44350</v>
      </c>
      <c r="H1530" t="s">
        <v>125</v>
      </c>
      <c r="I1530" t="s">
        <v>838</v>
      </c>
      <c r="J1530" t="s">
        <v>839</v>
      </c>
      <c r="K1530" t="s">
        <v>840</v>
      </c>
      <c r="L1530" t="s">
        <v>2565</v>
      </c>
      <c r="M1530" t="s">
        <v>841</v>
      </c>
      <c r="N1530" t="s">
        <v>842</v>
      </c>
      <c r="O1530" t="s">
        <v>843</v>
      </c>
      <c r="P1530" t="s">
        <v>273</v>
      </c>
      <c r="Q1530" s="3">
        <v>7080</v>
      </c>
      <c r="R1530" t="s">
        <v>128</v>
      </c>
      <c r="T1530" s="4">
        <v>17328327978</v>
      </c>
      <c r="V1530" t="s">
        <v>844</v>
      </c>
      <c r="W1530" t="s">
        <v>7617</v>
      </c>
      <c r="Y1530" t="s">
        <v>7618</v>
      </c>
      <c r="Z1530" t="s">
        <v>3384</v>
      </c>
      <c r="AA1530" t="s">
        <v>4862</v>
      </c>
      <c r="AB1530" t="s">
        <v>276</v>
      </c>
      <c r="AC1530" s="3" t="str">
        <f>"08540"</f>
        <v>08540</v>
      </c>
      <c r="AD1530" t="s">
        <v>128</v>
      </c>
      <c r="AF1530" s="4">
        <v>16098580630</v>
      </c>
      <c r="AH1530" t="str">
        <f>"541511"</f>
        <v>541511</v>
      </c>
      <c r="AI1530" t="s">
        <v>130</v>
      </c>
      <c r="AJ1530" t="s">
        <v>838</v>
      </c>
      <c r="AK1530" t="s">
        <v>839</v>
      </c>
      <c r="AL1530" t="s">
        <v>840</v>
      </c>
      <c r="AM1530" t="s">
        <v>841</v>
      </c>
      <c r="AN1530" t="s">
        <v>842</v>
      </c>
      <c r="AO1530" t="s">
        <v>843</v>
      </c>
      <c r="AP1530" t="s">
        <v>276</v>
      </c>
      <c r="AQ1530" s="5">
        <v>7080</v>
      </c>
      <c r="AR1530" t="s">
        <v>128</v>
      </c>
      <c r="AT1530" s="4">
        <v>17328327978</v>
      </c>
      <c r="AV1530" t="s">
        <v>844</v>
      </c>
      <c r="AW1530" t="s">
        <v>845</v>
      </c>
      <c r="AX1530" t="s">
        <v>131</v>
      </c>
      <c r="AY1530" t="s">
        <v>131</v>
      </c>
      <c r="AZ1530" t="s">
        <v>131</v>
      </c>
      <c r="BA1530" t="s">
        <v>131</v>
      </c>
      <c r="BB1530" t="s">
        <v>131</v>
      </c>
      <c r="BC1530" t="s">
        <v>131</v>
      </c>
      <c r="BD1530" t="s">
        <v>131</v>
      </c>
      <c r="BE1530" t="s">
        <v>132</v>
      </c>
      <c r="BH1530" t="s">
        <v>846</v>
      </c>
      <c r="BI1530" t="s">
        <v>131</v>
      </c>
      <c r="BL1530" t="s">
        <v>188</v>
      </c>
      <c r="BN1530" t="s">
        <v>847</v>
      </c>
      <c r="BO1530" t="s">
        <v>131</v>
      </c>
      <c r="BP1530" t="s">
        <v>134</v>
      </c>
      <c r="BQ1530" t="s">
        <v>131</v>
      </c>
      <c r="BS1530" t="str">
        <f t="shared" si="94"/>
        <v>N/A</v>
      </c>
      <c r="BT1530" t="s">
        <v>135</v>
      </c>
      <c r="BU1530">
        <v>12</v>
      </c>
      <c r="BV1530" t="str">
        <f>"JOB OFFERED OR RELATED OCCUPATION"</f>
        <v>JOB OFFERED OR RELATED OCCUPATION</v>
      </c>
      <c r="BW1530" t="s">
        <v>131</v>
      </c>
      <c r="BX1530" t="str">
        <f>""</f>
        <v/>
      </c>
      <c r="BY1530" t="str">
        <f>""</f>
        <v/>
      </c>
      <c r="BZ1530" t="str">
        <f>""</f>
        <v/>
      </c>
      <c r="CA1530" t="str">
        <f>""</f>
        <v/>
      </c>
      <c r="CB1530" t="s">
        <v>135</v>
      </c>
      <c r="CC1530" t="s">
        <v>133</v>
      </c>
      <c r="CE1530" t="s">
        <v>847</v>
      </c>
      <c r="CF1530" t="s">
        <v>131</v>
      </c>
      <c r="CH1530" t="str">
        <f>"N/A"</f>
        <v>N/A</v>
      </c>
      <c r="CI1530" t="s">
        <v>135</v>
      </c>
      <c r="CJ1530">
        <v>60</v>
      </c>
      <c r="CK1530" t="s">
        <v>135</v>
      </c>
      <c r="CL1530" t="str">
        <f>""</f>
        <v/>
      </c>
      <c r="CM1530" t="str">
        <f>""</f>
        <v/>
      </c>
      <c r="CN1530" t="str">
        <f>""</f>
        <v/>
      </c>
      <c r="CO1530" t="s">
        <v>5997</v>
      </c>
      <c r="CP1530" t="str">
        <f>"15-1132.00"</f>
        <v>15-1132.00</v>
      </c>
      <c r="CQ1530" t="s">
        <v>198</v>
      </c>
      <c r="CR1530" t="s">
        <v>849</v>
      </c>
      <c r="CS1530" t="s">
        <v>131</v>
      </c>
      <c r="CU1530" t="s">
        <v>7618</v>
      </c>
      <c r="CV1530" t="s">
        <v>6949</v>
      </c>
      <c r="CW1530" t="s">
        <v>4862</v>
      </c>
      <c r="CX1530" t="s">
        <v>276</v>
      </c>
      <c r="CZ1530" s="3" t="str">
        <f>"08540"</f>
        <v>08540</v>
      </c>
      <c r="DA1530" t="s">
        <v>131</v>
      </c>
      <c r="DB1530" t="str">
        <f>""</f>
        <v/>
      </c>
      <c r="DF1530" t="str">
        <f>""</f>
        <v/>
      </c>
    </row>
    <row r="1531" spans="1:110" ht="15" customHeight="1" x14ac:dyDescent="0.35">
      <c r="A1531" t="s">
        <v>13737</v>
      </c>
      <c r="B1531" t="s">
        <v>138</v>
      </c>
      <c r="C1531" s="1">
        <v>44334</v>
      </c>
      <c r="G1531" s="1">
        <v>44375</v>
      </c>
      <c r="H1531" t="s">
        <v>125</v>
      </c>
      <c r="I1531" t="s">
        <v>8065</v>
      </c>
      <c r="J1531" t="s">
        <v>5952</v>
      </c>
      <c r="L1531" t="s">
        <v>8066</v>
      </c>
      <c r="M1531" t="s">
        <v>8067</v>
      </c>
      <c r="N1531" t="s">
        <v>2415</v>
      </c>
      <c r="O1531" t="s">
        <v>2707</v>
      </c>
      <c r="P1531" t="s">
        <v>178</v>
      </c>
      <c r="Q1531" s="3">
        <v>92121</v>
      </c>
      <c r="R1531" t="s">
        <v>128</v>
      </c>
      <c r="T1531" s="4">
        <v>18582026467</v>
      </c>
      <c r="V1531" t="s">
        <v>8068</v>
      </c>
      <c r="W1531" t="s">
        <v>8069</v>
      </c>
      <c r="Y1531" t="s">
        <v>8070</v>
      </c>
      <c r="Z1531" t="s">
        <v>3267</v>
      </c>
      <c r="AA1531" t="s">
        <v>4617</v>
      </c>
      <c r="AB1531" t="s">
        <v>172</v>
      </c>
      <c r="AC1531" s="3" t="str">
        <f>"94065"</f>
        <v>94065</v>
      </c>
      <c r="AD1531" t="s">
        <v>128</v>
      </c>
      <c r="AF1531" s="4">
        <v>16502576141</v>
      </c>
      <c r="AH1531" t="str">
        <f>"541840"</f>
        <v>541840</v>
      </c>
      <c r="AI1531" t="s">
        <v>130</v>
      </c>
      <c r="AJ1531" t="s">
        <v>13738</v>
      </c>
      <c r="AK1531" t="s">
        <v>11385</v>
      </c>
      <c r="AL1531" t="s">
        <v>13739</v>
      </c>
      <c r="AM1531" t="s">
        <v>8072</v>
      </c>
      <c r="AN1531" t="s">
        <v>6012</v>
      </c>
      <c r="AO1531" t="s">
        <v>8073</v>
      </c>
      <c r="AP1531" t="s">
        <v>172</v>
      </c>
      <c r="AQ1531" s="5">
        <v>90292</v>
      </c>
      <c r="AR1531" t="s">
        <v>128</v>
      </c>
      <c r="AT1531" s="4">
        <v>13109109880</v>
      </c>
      <c r="AV1531" t="s">
        <v>8074</v>
      </c>
      <c r="AW1531" t="s">
        <v>8075</v>
      </c>
      <c r="AX1531" t="s">
        <v>131</v>
      </c>
      <c r="AY1531" t="s">
        <v>131</v>
      </c>
      <c r="AZ1531" t="s">
        <v>131</v>
      </c>
      <c r="BA1531" t="s">
        <v>131</v>
      </c>
      <c r="BB1531" t="s">
        <v>131</v>
      </c>
      <c r="BC1531" t="s">
        <v>131</v>
      </c>
      <c r="BD1531" t="s">
        <v>131</v>
      </c>
      <c r="BE1531" t="s">
        <v>132</v>
      </c>
      <c r="BH1531" t="s">
        <v>1501</v>
      </c>
      <c r="BI1531" t="s">
        <v>131</v>
      </c>
      <c r="BL1531" t="s">
        <v>188</v>
      </c>
      <c r="BN1531" t="s">
        <v>13740</v>
      </c>
      <c r="BO1531" t="s">
        <v>131</v>
      </c>
      <c r="BP1531" t="s">
        <v>134</v>
      </c>
      <c r="BQ1531" t="s">
        <v>131</v>
      </c>
      <c r="BS1531" t="str">
        <f t="shared" si="94"/>
        <v>N/A</v>
      </c>
      <c r="BT1531" t="s">
        <v>135</v>
      </c>
      <c r="BU1531">
        <v>12</v>
      </c>
      <c r="BV1531" t="str">
        <f>"Software Engineer, Software Developer, or related occupation.  "</f>
        <v xml:space="preserve">Software Engineer, Software Developer, or related occupation.  </v>
      </c>
      <c r="BW1531" t="s">
        <v>135</v>
      </c>
      <c r="BX1531" t="str">
        <f>""</f>
        <v/>
      </c>
      <c r="BY1531" t="str">
        <f>""</f>
        <v/>
      </c>
      <c r="BZ1531" t="str">
        <f>""</f>
        <v/>
      </c>
      <c r="CA1531" t="str">
        <f>"Java. Python. NumPy. Keras. Adaboost. Random Forest. Sklearn. Linux. HDFS."</f>
        <v>Java. Python. NumPy. Keras. Adaboost. Random Forest. Sklearn. Linux. HDFS.</v>
      </c>
      <c r="CB1531" t="s">
        <v>131</v>
      </c>
      <c r="CF1531" t="s">
        <v>131</v>
      </c>
      <c r="CH1531" t="str">
        <f>""</f>
        <v/>
      </c>
      <c r="CI1531" t="s">
        <v>131</v>
      </c>
      <c r="CK1531" t="s">
        <v>131</v>
      </c>
      <c r="CL1531" t="str">
        <f>""</f>
        <v/>
      </c>
      <c r="CM1531" t="str">
        <f>""</f>
        <v/>
      </c>
      <c r="CN1531" t="str">
        <f>""</f>
        <v/>
      </c>
      <c r="CO1531" t="str">
        <f>""</f>
        <v/>
      </c>
      <c r="CP1531" t="str">
        <f>"15-1132.00"</f>
        <v>15-1132.00</v>
      </c>
      <c r="CQ1531" t="s">
        <v>198</v>
      </c>
      <c r="CR1531" t="s">
        <v>5810</v>
      </c>
      <c r="CS1531" t="s">
        <v>131</v>
      </c>
      <c r="CU1531" t="s">
        <v>11962</v>
      </c>
      <c r="CV1531" t="s">
        <v>375</v>
      </c>
      <c r="CW1531" t="s">
        <v>1322</v>
      </c>
      <c r="CX1531" t="s">
        <v>172</v>
      </c>
      <c r="CZ1531" s="3" t="str">
        <f>"94065"</f>
        <v>94065</v>
      </c>
      <c r="DA1531" t="s">
        <v>131</v>
      </c>
      <c r="DB1531" t="str">
        <f>""</f>
        <v/>
      </c>
      <c r="DF1531" t="str">
        <f>""</f>
        <v/>
      </c>
    </row>
    <row r="1532" spans="1:110" ht="15" customHeight="1" x14ac:dyDescent="0.35">
      <c r="A1532" t="s">
        <v>8440</v>
      </c>
      <c r="B1532" t="s">
        <v>138</v>
      </c>
      <c r="C1532" s="1">
        <v>44334</v>
      </c>
      <c r="G1532" s="1">
        <v>44350</v>
      </c>
      <c r="H1532" t="s">
        <v>125</v>
      </c>
      <c r="I1532" t="s">
        <v>838</v>
      </c>
      <c r="J1532" t="s">
        <v>839</v>
      </c>
      <c r="K1532" t="s">
        <v>840</v>
      </c>
      <c r="L1532" t="s">
        <v>2565</v>
      </c>
      <c r="M1532" t="s">
        <v>841</v>
      </c>
      <c r="N1532" t="s">
        <v>842</v>
      </c>
      <c r="O1532" t="s">
        <v>843</v>
      </c>
      <c r="P1532" t="s">
        <v>273</v>
      </c>
      <c r="Q1532" s="3">
        <v>7080</v>
      </c>
      <c r="R1532" t="s">
        <v>128</v>
      </c>
      <c r="T1532" s="4">
        <v>17328327978</v>
      </c>
      <c r="V1532" t="s">
        <v>844</v>
      </c>
      <c r="W1532" t="s">
        <v>3324</v>
      </c>
      <c r="Y1532" t="s">
        <v>3325</v>
      </c>
      <c r="Z1532" t="s">
        <v>3326</v>
      </c>
      <c r="AA1532" t="s">
        <v>3327</v>
      </c>
      <c r="AB1532" t="s">
        <v>276</v>
      </c>
      <c r="AC1532" s="3" t="str">
        <f>"08091"</f>
        <v>08091</v>
      </c>
      <c r="AD1532" t="s">
        <v>128</v>
      </c>
      <c r="AF1532" s="4">
        <v>18568739950</v>
      </c>
      <c r="AH1532" t="str">
        <f>"5419"</f>
        <v>5419</v>
      </c>
      <c r="AI1532" t="s">
        <v>130</v>
      </c>
      <c r="AJ1532" t="s">
        <v>838</v>
      </c>
      <c r="AK1532" t="s">
        <v>839</v>
      </c>
      <c r="AL1532" t="s">
        <v>840</v>
      </c>
      <c r="AM1532" t="s">
        <v>841</v>
      </c>
      <c r="AN1532" t="s">
        <v>842</v>
      </c>
      <c r="AO1532" t="s">
        <v>843</v>
      </c>
      <c r="AP1532" t="s">
        <v>276</v>
      </c>
      <c r="AQ1532" s="5">
        <v>7080</v>
      </c>
      <c r="AR1532" t="s">
        <v>128</v>
      </c>
      <c r="AT1532" s="4">
        <v>17328327978</v>
      </c>
      <c r="AV1532" t="s">
        <v>844</v>
      </c>
      <c r="AW1532" t="s">
        <v>845</v>
      </c>
      <c r="AX1532" t="s">
        <v>131</v>
      </c>
      <c r="AY1532" t="s">
        <v>131</v>
      </c>
      <c r="AZ1532" t="s">
        <v>131</v>
      </c>
      <c r="BA1532" t="s">
        <v>131</v>
      </c>
      <c r="BB1532" t="s">
        <v>131</v>
      </c>
      <c r="BC1532" t="s">
        <v>131</v>
      </c>
      <c r="BD1532" t="s">
        <v>131</v>
      </c>
      <c r="BE1532" t="s">
        <v>132</v>
      </c>
      <c r="BH1532" t="s">
        <v>3291</v>
      </c>
      <c r="BI1532" t="s">
        <v>131</v>
      </c>
      <c r="BL1532" t="s">
        <v>188</v>
      </c>
      <c r="BN1532" t="s">
        <v>8441</v>
      </c>
      <c r="BO1532" t="s">
        <v>131</v>
      </c>
      <c r="BP1532" t="s">
        <v>134</v>
      </c>
      <c r="BQ1532" t="s">
        <v>131</v>
      </c>
      <c r="BS1532" t="str">
        <f t="shared" si="94"/>
        <v>N/A</v>
      </c>
      <c r="BT1532" t="s">
        <v>135</v>
      </c>
      <c r="BU1532">
        <v>12</v>
      </c>
      <c r="BV1532" t="str">
        <f>"JOB OFFERED OR RELATED OCCUPATION."</f>
        <v>JOB OFFERED OR RELATED OCCUPATION.</v>
      </c>
      <c r="BW1532" t="s">
        <v>131</v>
      </c>
      <c r="BX1532" t="str">
        <f>""</f>
        <v/>
      </c>
      <c r="BY1532" t="str">
        <f>""</f>
        <v/>
      </c>
      <c r="BZ1532" t="str">
        <f>""</f>
        <v/>
      </c>
      <c r="CA1532" t="str">
        <f>""</f>
        <v/>
      </c>
      <c r="CB1532" t="s">
        <v>135</v>
      </c>
      <c r="CC1532" t="s">
        <v>133</v>
      </c>
      <c r="CE1532" t="s">
        <v>8441</v>
      </c>
      <c r="CF1532" t="s">
        <v>131</v>
      </c>
      <c r="CH1532" t="str">
        <f>"N/A"</f>
        <v>N/A</v>
      </c>
      <c r="CI1532" t="s">
        <v>135</v>
      </c>
      <c r="CJ1532">
        <v>60</v>
      </c>
      <c r="CK1532" t="s">
        <v>135</v>
      </c>
      <c r="CL1532" t="str">
        <f>""</f>
        <v/>
      </c>
      <c r="CM1532" t="str">
        <f>""</f>
        <v/>
      </c>
      <c r="CN1532" t="str">
        <f>""</f>
        <v/>
      </c>
      <c r="CO1532" t="s">
        <v>8442</v>
      </c>
      <c r="CP1532" t="str">
        <f>"15-1121.00"</f>
        <v>15-1121.00</v>
      </c>
      <c r="CQ1532" t="s">
        <v>283</v>
      </c>
      <c r="CR1532" t="s">
        <v>849</v>
      </c>
      <c r="CS1532" t="s">
        <v>131</v>
      </c>
      <c r="CU1532" t="s">
        <v>3325</v>
      </c>
      <c r="CV1532" t="s">
        <v>8443</v>
      </c>
      <c r="CW1532" t="s">
        <v>3327</v>
      </c>
      <c r="CX1532" t="s">
        <v>276</v>
      </c>
      <c r="CZ1532" s="3" t="str">
        <f>"08091"</f>
        <v>08091</v>
      </c>
      <c r="DA1532" t="s">
        <v>131</v>
      </c>
      <c r="DB1532" t="str">
        <f>""</f>
        <v/>
      </c>
      <c r="DF1532" t="str">
        <f>""</f>
        <v/>
      </c>
    </row>
    <row r="1533" spans="1:110" ht="15" customHeight="1" x14ac:dyDescent="0.35">
      <c r="A1533" t="s">
        <v>19770</v>
      </c>
      <c r="B1533" t="s">
        <v>138</v>
      </c>
      <c r="C1533" s="1">
        <v>44334</v>
      </c>
      <c r="G1533" s="1">
        <v>44342</v>
      </c>
      <c r="H1533" t="s">
        <v>125</v>
      </c>
      <c r="I1533" t="s">
        <v>2949</v>
      </c>
      <c r="J1533" t="s">
        <v>2950</v>
      </c>
      <c r="L1533" t="s">
        <v>130</v>
      </c>
      <c r="M1533" t="s">
        <v>6081</v>
      </c>
      <c r="N1533" t="s">
        <v>1929</v>
      </c>
      <c r="O1533" t="s">
        <v>2952</v>
      </c>
      <c r="P1533" t="s">
        <v>178</v>
      </c>
      <c r="Q1533" s="3">
        <v>90501</v>
      </c>
      <c r="R1533" t="s">
        <v>128</v>
      </c>
      <c r="T1533" s="4">
        <v>13106181818</v>
      </c>
      <c r="V1533" t="s">
        <v>2953</v>
      </c>
      <c r="W1533" t="s">
        <v>9731</v>
      </c>
      <c r="X1533" t="s">
        <v>9732</v>
      </c>
      <c r="Y1533" t="s">
        <v>9733</v>
      </c>
      <c r="AA1533" t="s">
        <v>4363</v>
      </c>
      <c r="AB1533" t="s">
        <v>172</v>
      </c>
      <c r="AC1533" s="3" t="str">
        <f>"92705"</f>
        <v>92705</v>
      </c>
      <c r="AD1533" t="s">
        <v>128</v>
      </c>
      <c r="AF1533" s="4">
        <v>17145571669</v>
      </c>
      <c r="AH1533" t="str">
        <f>"6116"</f>
        <v>6116</v>
      </c>
      <c r="AI1533" t="s">
        <v>130</v>
      </c>
      <c r="AJ1533" t="s">
        <v>2949</v>
      </c>
      <c r="AK1533" t="s">
        <v>2950</v>
      </c>
      <c r="AM1533" t="s">
        <v>6081</v>
      </c>
      <c r="AN1533" t="s">
        <v>1929</v>
      </c>
      <c r="AO1533" t="s">
        <v>2952</v>
      </c>
      <c r="AP1533" t="s">
        <v>172</v>
      </c>
      <c r="AQ1533" s="5">
        <v>90501</v>
      </c>
      <c r="AR1533" t="s">
        <v>128</v>
      </c>
      <c r="AT1533" s="4">
        <v>13106181818</v>
      </c>
      <c r="AV1533" t="s">
        <v>2953</v>
      </c>
      <c r="AW1533" t="s">
        <v>2954</v>
      </c>
      <c r="AX1533" t="s">
        <v>131</v>
      </c>
      <c r="AY1533" t="s">
        <v>131</v>
      </c>
      <c r="AZ1533" t="s">
        <v>131</v>
      </c>
      <c r="BA1533" t="s">
        <v>131</v>
      </c>
      <c r="BB1533" t="s">
        <v>131</v>
      </c>
      <c r="BC1533" t="s">
        <v>131</v>
      </c>
      <c r="BD1533" t="s">
        <v>131</v>
      </c>
      <c r="BE1533" t="s">
        <v>132</v>
      </c>
      <c r="BH1533" t="s">
        <v>4487</v>
      </c>
      <c r="BI1533" t="s">
        <v>131</v>
      </c>
      <c r="BL1533" t="s">
        <v>401</v>
      </c>
      <c r="BO1533" t="s">
        <v>131</v>
      </c>
      <c r="BP1533" t="s">
        <v>134</v>
      </c>
      <c r="BQ1533" t="s">
        <v>131</v>
      </c>
      <c r="BS1533" t="str">
        <f t="shared" si="94"/>
        <v>N/A</v>
      </c>
      <c r="BT1533" t="s">
        <v>135</v>
      </c>
      <c r="BU1533">
        <v>24</v>
      </c>
      <c r="BV1533" t="str">
        <f>"Education Administrator or any other experience in the education field."</f>
        <v>Education Administrator or any other experience in the education field.</v>
      </c>
      <c r="BW1533" t="s">
        <v>131</v>
      </c>
      <c r="BX1533" t="str">
        <f>""</f>
        <v/>
      </c>
      <c r="BY1533" t="str">
        <f>""</f>
        <v/>
      </c>
      <c r="BZ1533" t="str">
        <f>""</f>
        <v/>
      </c>
      <c r="CA1533" t="str">
        <f>""</f>
        <v/>
      </c>
      <c r="CB1533" t="s">
        <v>135</v>
      </c>
      <c r="CC1533" t="s">
        <v>401</v>
      </c>
      <c r="CF1533" t="s">
        <v>131</v>
      </c>
      <c r="CH1533" t="str">
        <f>"N/A"</f>
        <v>N/A</v>
      </c>
      <c r="CI1533" t="s">
        <v>135</v>
      </c>
      <c r="CJ1533">
        <v>24</v>
      </c>
      <c r="CK1533" t="s">
        <v>131</v>
      </c>
      <c r="CL1533" t="str">
        <f>""</f>
        <v/>
      </c>
      <c r="CM1533" t="str">
        <f>""</f>
        <v/>
      </c>
      <c r="CN1533" t="str">
        <f>""</f>
        <v/>
      </c>
      <c r="CO1533" t="str">
        <f>""</f>
        <v/>
      </c>
      <c r="CP1533" t="str">
        <f>"11-9031.00"</f>
        <v>11-9031.00</v>
      </c>
      <c r="CQ1533" t="s">
        <v>8363</v>
      </c>
      <c r="CS1533" t="s">
        <v>131</v>
      </c>
      <c r="CU1533" t="s">
        <v>15714</v>
      </c>
      <c r="CW1533" t="s">
        <v>4363</v>
      </c>
      <c r="CX1533" t="s">
        <v>172</v>
      </c>
      <c r="CZ1533" s="3" t="str">
        <f>"92705"</f>
        <v>92705</v>
      </c>
      <c r="DA1533" t="s">
        <v>131</v>
      </c>
      <c r="DB1533" t="str">
        <f>""</f>
        <v/>
      </c>
      <c r="DF1533" t="str">
        <f>""</f>
        <v/>
      </c>
    </row>
    <row r="1534" spans="1:110" ht="15" customHeight="1" x14ac:dyDescent="0.35">
      <c r="A1534" t="s">
        <v>6108</v>
      </c>
      <c r="B1534" t="s">
        <v>138</v>
      </c>
      <c r="C1534" s="1">
        <v>44334</v>
      </c>
      <c r="G1534" s="1">
        <v>44350</v>
      </c>
      <c r="H1534" t="s">
        <v>125</v>
      </c>
      <c r="I1534" t="s">
        <v>838</v>
      </c>
      <c r="J1534" t="s">
        <v>839</v>
      </c>
      <c r="K1534" t="s">
        <v>1933</v>
      </c>
      <c r="L1534" t="s">
        <v>2565</v>
      </c>
      <c r="M1534" t="s">
        <v>841</v>
      </c>
      <c r="N1534" t="s">
        <v>842</v>
      </c>
      <c r="O1534" t="s">
        <v>843</v>
      </c>
      <c r="P1534" t="s">
        <v>273</v>
      </c>
      <c r="Q1534" s="3">
        <v>7080</v>
      </c>
      <c r="R1534" t="s">
        <v>128</v>
      </c>
      <c r="T1534" s="4">
        <v>17328327978</v>
      </c>
      <c r="V1534" t="s">
        <v>844</v>
      </c>
      <c r="W1534" t="s">
        <v>6109</v>
      </c>
      <c r="Y1534" t="s">
        <v>6110</v>
      </c>
      <c r="Z1534" t="s">
        <v>6111</v>
      </c>
      <c r="AA1534" t="s">
        <v>129</v>
      </c>
      <c r="AB1534" t="s">
        <v>129</v>
      </c>
      <c r="AC1534" s="3" t="str">
        <f>"10038"</f>
        <v>10038</v>
      </c>
      <c r="AD1534" t="s">
        <v>128</v>
      </c>
      <c r="AF1534" s="4">
        <v>12125079350</v>
      </c>
      <c r="AH1534" t="str">
        <f>"541511"</f>
        <v>541511</v>
      </c>
      <c r="AI1534" t="s">
        <v>130</v>
      </c>
      <c r="AJ1534" t="s">
        <v>838</v>
      </c>
      <c r="AK1534" t="s">
        <v>839</v>
      </c>
      <c r="AL1534" t="s">
        <v>1933</v>
      </c>
      <c r="AM1534" t="s">
        <v>841</v>
      </c>
      <c r="AN1534" t="s">
        <v>842</v>
      </c>
      <c r="AO1534" t="s">
        <v>843</v>
      </c>
      <c r="AP1534" t="s">
        <v>276</v>
      </c>
      <c r="AQ1534" s="5">
        <v>7080</v>
      </c>
      <c r="AR1534" t="s">
        <v>128</v>
      </c>
      <c r="AT1534" s="4">
        <v>17328327978</v>
      </c>
      <c r="AV1534" t="s">
        <v>844</v>
      </c>
      <c r="AW1534" t="s">
        <v>3328</v>
      </c>
      <c r="AX1534" t="s">
        <v>131</v>
      </c>
      <c r="AY1534" t="s">
        <v>131</v>
      </c>
      <c r="AZ1534" t="s">
        <v>131</v>
      </c>
      <c r="BA1534" t="s">
        <v>131</v>
      </c>
      <c r="BB1534" t="s">
        <v>131</v>
      </c>
      <c r="BC1534" t="s">
        <v>131</v>
      </c>
      <c r="BD1534" t="s">
        <v>131</v>
      </c>
      <c r="BE1534" t="s">
        <v>132</v>
      </c>
      <c r="BH1534" t="s">
        <v>846</v>
      </c>
      <c r="BI1534" t="s">
        <v>131</v>
      </c>
      <c r="BL1534" t="s">
        <v>188</v>
      </c>
      <c r="BN1534" t="s">
        <v>6112</v>
      </c>
      <c r="BO1534" t="s">
        <v>131</v>
      </c>
      <c r="BP1534" t="s">
        <v>134</v>
      </c>
      <c r="BQ1534" t="s">
        <v>131</v>
      </c>
      <c r="BS1534" t="str">
        <f t="shared" si="94"/>
        <v>N/A</v>
      </c>
      <c r="BT1534" t="s">
        <v>135</v>
      </c>
      <c r="BU1534">
        <v>12</v>
      </c>
      <c r="BV1534" t="str">
        <f>"job offered or related occupation"</f>
        <v>job offered or related occupation</v>
      </c>
      <c r="BW1534" t="s">
        <v>131</v>
      </c>
      <c r="BX1534" t="str">
        <f>""</f>
        <v/>
      </c>
      <c r="BY1534" t="str">
        <f>""</f>
        <v/>
      </c>
      <c r="BZ1534" t="str">
        <f>""</f>
        <v/>
      </c>
      <c r="CA1534" t="str">
        <f>""</f>
        <v/>
      </c>
      <c r="CB1534" t="s">
        <v>135</v>
      </c>
      <c r="CC1534" t="s">
        <v>133</v>
      </c>
      <c r="CE1534" t="s">
        <v>6112</v>
      </c>
      <c r="CF1534" t="s">
        <v>131</v>
      </c>
      <c r="CH1534" t="str">
        <f>"N/A"</f>
        <v>N/A</v>
      </c>
      <c r="CI1534" t="s">
        <v>135</v>
      </c>
      <c r="CJ1534">
        <v>60</v>
      </c>
      <c r="CK1534" t="s">
        <v>135</v>
      </c>
      <c r="CL1534" t="str">
        <f>""</f>
        <v/>
      </c>
      <c r="CM1534" t="str">
        <f>""</f>
        <v/>
      </c>
      <c r="CN1534" t="str">
        <f>""</f>
        <v/>
      </c>
      <c r="CO1534" t="s">
        <v>6113</v>
      </c>
      <c r="CP1534" t="str">
        <f>"15-1132.00"</f>
        <v>15-1132.00</v>
      </c>
      <c r="CQ1534" t="s">
        <v>198</v>
      </c>
      <c r="CR1534" t="s">
        <v>849</v>
      </c>
      <c r="CS1534" t="s">
        <v>131</v>
      </c>
      <c r="CU1534" t="s">
        <v>6110</v>
      </c>
      <c r="CV1534" t="s">
        <v>6114</v>
      </c>
      <c r="CW1534" t="s">
        <v>129</v>
      </c>
      <c r="CX1534" t="s">
        <v>129</v>
      </c>
      <c r="CZ1534" s="3" t="str">
        <f>"10038"</f>
        <v>10038</v>
      </c>
      <c r="DA1534" t="s">
        <v>131</v>
      </c>
      <c r="DB1534" t="str">
        <f>""</f>
        <v/>
      </c>
      <c r="DF1534" t="str">
        <f>""</f>
        <v/>
      </c>
    </row>
    <row r="1535" spans="1:110" ht="15" customHeight="1" x14ac:dyDescent="0.35">
      <c r="A1535" t="s">
        <v>15713</v>
      </c>
      <c r="B1535" t="s">
        <v>138</v>
      </c>
      <c r="C1535" s="1">
        <v>44334</v>
      </c>
      <c r="G1535" s="1">
        <v>44342</v>
      </c>
      <c r="H1535" t="s">
        <v>125</v>
      </c>
      <c r="I1535" t="s">
        <v>2949</v>
      </c>
      <c r="J1535" t="s">
        <v>2950</v>
      </c>
      <c r="L1535" t="s">
        <v>130</v>
      </c>
      <c r="M1535" t="s">
        <v>6081</v>
      </c>
      <c r="N1535" t="s">
        <v>1929</v>
      </c>
      <c r="O1535" t="s">
        <v>2952</v>
      </c>
      <c r="P1535" t="s">
        <v>178</v>
      </c>
      <c r="Q1535" s="3">
        <v>90501</v>
      </c>
      <c r="R1535" t="s">
        <v>128</v>
      </c>
      <c r="T1535" s="4">
        <v>13106181818</v>
      </c>
      <c r="V1535" t="s">
        <v>2953</v>
      </c>
      <c r="W1535" t="s">
        <v>9731</v>
      </c>
      <c r="X1535" t="s">
        <v>9732</v>
      </c>
      <c r="Y1535" t="s">
        <v>9733</v>
      </c>
      <c r="AA1535" t="s">
        <v>4363</v>
      </c>
      <c r="AB1535" t="s">
        <v>172</v>
      </c>
      <c r="AC1535" s="3" t="str">
        <f>"92705"</f>
        <v>92705</v>
      </c>
      <c r="AD1535" t="s">
        <v>128</v>
      </c>
      <c r="AF1535" s="4">
        <v>17145571669</v>
      </c>
      <c r="AH1535" t="str">
        <f>"624410"</f>
        <v>624410</v>
      </c>
      <c r="AI1535" t="s">
        <v>130</v>
      </c>
      <c r="AJ1535" t="s">
        <v>2949</v>
      </c>
      <c r="AK1535" t="s">
        <v>2950</v>
      </c>
      <c r="AM1535" t="s">
        <v>6081</v>
      </c>
      <c r="AN1535" t="s">
        <v>1929</v>
      </c>
      <c r="AO1535" t="s">
        <v>2952</v>
      </c>
      <c r="AP1535" t="s">
        <v>172</v>
      </c>
      <c r="AQ1535" s="5">
        <v>90501</v>
      </c>
      <c r="AR1535" t="s">
        <v>128</v>
      </c>
      <c r="AT1535" s="4">
        <v>13106181818</v>
      </c>
      <c r="AV1535" t="s">
        <v>2953</v>
      </c>
      <c r="AW1535" t="s">
        <v>2954</v>
      </c>
      <c r="AX1535" t="s">
        <v>131</v>
      </c>
      <c r="AY1535" t="s">
        <v>131</v>
      </c>
      <c r="AZ1535" t="s">
        <v>131</v>
      </c>
      <c r="BA1535" t="s">
        <v>131</v>
      </c>
      <c r="BB1535" t="s">
        <v>131</v>
      </c>
      <c r="BC1535" t="s">
        <v>131</v>
      </c>
      <c r="BD1535" t="s">
        <v>131</v>
      </c>
      <c r="BE1535" t="s">
        <v>132</v>
      </c>
      <c r="BH1535" t="s">
        <v>4487</v>
      </c>
      <c r="BI1535" t="s">
        <v>131</v>
      </c>
      <c r="BL1535" t="s">
        <v>401</v>
      </c>
      <c r="BO1535" t="s">
        <v>131</v>
      </c>
      <c r="BP1535" t="s">
        <v>134</v>
      </c>
      <c r="BQ1535" t="s">
        <v>131</v>
      </c>
      <c r="BS1535" t="str">
        <f t="shared" si="94"/>
        <v>N/A</v>
      </c>
      <c r="BT1535" t="s">
        <v>135</v>
      </c>
      <c r="BU1535">
        <v>24</v>
      </c>
      <c r="BV1535" t="str">
        <f>"Education Administrator or any experience in the education field."</f>
        <v>Education Administrator or any experience in the education field.</v>
      </c>
      <c r="BW1535" t="s">
        <v>131</v>
      </c>
      <c r="BX1535" t="str">
        <f>""</f>
        <v/>
      </c>
      <c r="BY1535" t="str">
        <f>""</f>
        <v/>
      </c>
      <c r="BZ1535" t="str">
        <f>""</f>
        <v/>
      </c>
      <c r="CA1535" t="str">
        <f>""</f>
        <v/>
      </c>
      <c r="CB1535" t="s">
        <v>135</v>
      </c>
      <c r="CC1535" t="s">
        <v>401</v>
      </c>
      <c r="CF1535" t="s">
        <v>131</v>
      </c>
      <c r="CH1535" t="str">
        <f>"N/A"</f>
        <v>N/A</v>
      </c>
      <c r="CI1535" t="s">
        <v>135</v>
      </c>
      <c r="CJ1535">
        <v>24</v>
      </c>
      <c r="CK1535" t="s">
        <v>131</v>
      </c>
      <c r="CL1535" t="str">
        <f>""</f>
        <v/>
      </c>
      <c r="CM1535" t="str">
        <f>""</f>
        <v/>
      </c>
      <c r="CN1535" t="str">
        <f>""</f>
        <v/>
      </c>
      <c r="CO1535" t="str">
        <f>""</f>
        <v/>
      </c>
      <c r="CP1535" t="str">
        <f>"25-2011.00"</f>
        <v>25-2011.00</v>
      </c>
      <c r="CQ1535" t="s">
        <v>4502</v>
      </c>
      <c r="CS1535" t="s">
        <v>131</v>
      </c>
      <c r="CU1535" t="s">
        <v>15714</v>
      </c>
      <c r="CW1535" t="s">
        <v>4363</v>
      </c>
      <c r="CX1535" t="s">
        <v>172</v>
      </c>
      <c r="CZ1535" s="3" t="str">
        <f>"92705"</f>
        <v>92705</v>
      </c>
      <c r="DA1535" t="s">
        <v>131</v>
      </c>
      <c r="DB1535" t="str">
        <f>""</f>
        <v/>
      </c>
      <c r="DF1535" t="str">
        <f>""</f>
        <v/>
      </c>
    </row>
    <row r="1536" spans="1:110" ht="15" customHeight="1" x14ac:dyDescent="0.35">
      <c r="A1536" t="s">
        <v>20017</v>
      </c>
      <c r="B1536" t="s">
        <v>138</v>
      </c>
      <c r="C1536" s="1">
        <v>44334</v>
      </c>
      <c r="G1536" s="1">
        <v>44344</v>
      </c>
      <c r="H1536" t="s">
        <v>125</v>
      </c>
      <c r="I1536" t="s">
        <v>2949</v>
      </c>
      <c r="J1536" t="s">
        <v>2950</v>
      </c>
      <c r="L1536" t="s">
        <v>130</v>
      </c>
      <c r="M1536" t="s">
        <v>6081</v>
      </c>
      <c r="N1536" t="s">
        <v>1929</v>
      </c>
      <c r="O1536" t="s">
        <v>2952</v>
      </c>
      <c r="P1536" t="s">
        <v>178</v>
      </c>
      <c r="Q1536" s="3">
        <v>90501</v>
      </c>
      <c r="R1536" t="s">
        <v>128</v>
      </c>
      <c r="T1536" s="4">
        <v>13106181818</v>
      </c>
      <c r="V1536" t="s">
        <v>2953</v>
      </c>
      <c r="W1536" t="s">
        <v>9731</v>
      </c>
      <c r="X1536" t="s">
        <v>9732</v>
      </c>
      <c r="Y1536" t="s">
        <v>9733</v>
      </c>
      <c r="AA1536" t="s">
        <v>4363</v>
      </c>
      <c r="AB1536" t="s">
        <v>172</v>
      </c>
      <c r="AC1536" s="3" t="str">
        <f>"92705"</f>
        <v>92705</v>
      </c>
      <c r="AD1536" t="s">
        <v>128</v>
      </c>
      <c r="AF1536" s="4">
        <v>17145571669</v>
      </c>
      <c r="AH1536" t="str">
        <f>"624410"</f>
        <v>624410</v>
      </c>
      <c r="AI1536" t="s">
        <v>130</v>
      </c>
      <c r="AJ1536" t="s">
        <v>2949</v>
      </c>
      <c r="AK1536" t="s">
        <v>2950</v>
      </c>
      <c r="AM1536" t="s">
        <v>6081</v>
      </c>
      <c r="AN1536" t="s">
        <v>1929</v>
      </c>
      <c r="AO1536" t="s">
        <v>2952</v>
      </c>
      <c r="AP1536" t="s">
        <v>172</v>
      </c>
      <c r="AQ1536" s="5">
        <v>90501</v>
      </c>
      <c r="AR1536" t="s">
        <v>128</v>
      </c>
      <c r="AT1536" s="4">
        <v>13106181818</v>
      </c>
      <c r="AV1536" t="s">
        <v>2953</v>
      </c>
      <c r="AW1536" t="s">
        <v>2954</v>
      </c>
      <c r="AX1536" t="s">
        <v>131</v>
      </c>
      <c r="AY1536" t="s">
        <v>131</v>
      </c>
      <c r="AZ1536" t="s">
        <v>131</v>
      </c>
      <c r="BA1536" t="s">
        <v>131</v>
      </c>
      <c r="BB1536" t="s">
        <v>131</v>
      </c>
      <c r="BC1536" t="s">
        <v>131</v>
      </c>
      <c r="BD1536" t="s">
        <v>131</v>
      </c>
      <c r="BE1536" t="s">
        <v>132</v>
      </c>
      <c r="BH1536" t="s">
        <v>4487</v>
      </c>
      <c r="BI1536" t="s">
        <v>131</v>
      </c>
      <c r="BL1536" t="s">
        <v>401</v>
      </c>
      <c r="BO1536" t="s">
        <v>131</v>
      </c>
      <c r="BP1536" t="s">
        <v>134</v>
      </c>
      <c r="BQ1536" t="s">
        <v>131</v>
      </c>
      <c r="BS1536" t="str">
        <f t="shared" si="94"/>
        <v>N/A</v>
      </c>
      <c r="BT1536" t="s">
        <v>135</v>
      </c>
      <c r="BU1536">
        <v>24</v>
      </c>
      <c r="BV1536" t="str">
        <f>"Education Administrator or any experience in education field."</f>
        <v>Education Administrator or any experience in education field.</v>
      </c>
      <c r="BW1536" t="s">
        <v>131</v>
      </c>
      <c r="BX1536" t="str">
        <f>""</f>
        <v/>
      </c>
      <c r="BY1536" t="str">
        <f>""</f>
        <v/>
      </c>
      <c r="BZ1536" t="str">
        <f>""</f>
        <v/>
      </c>
      <c r="CA1536" t="str">
        <f>""</f>
        <v/>
      </c>
      <c r="CB1536" t="s">
        <v>135</v>
      </c>
      <c r="CC1536" t="s">
        <v>401</v>
      </c>
      <c r="CF1536" t="s">
        <v>131</v>
      </c>
      <c r="CH1536" t="str">
        <f>"N/A"</f>
        <v>N/A</v>
      </c>
      <c r="CI1536" t="s">
        <v>135</v>
      </c>
      <c r="CJ1536">
        <v>24</v>
      </c>
      <c r="CK1536" t="s">
        <v>131</v>
      </c>
      <c r="CL1536" t="str">
        <f>""</f>
        <v/>
      </c>
      <c r="CM1536" t="str">
        <f>""</f>
        <v/>
      </c>
      <c r="CN1536" t="str">
        <f>""</f>
        <v/>
      </c>
      <c r="CO1536" t="str">
        <f>""</f>
        <v/>
      </c>
      <c r="CP1536" t="str">
        <f>"11-9031.00"</f>
        <v>11-9031.00</v>
      </c>
      <c r="CQ1536" t="s">
        <v>8363</v>
      </c>
      <c r="CS1536" t="s">
        <v>131</v>
      </c>
      <c r="CU1536" t="s">
        <v>9733</v>
      </c>
      <c r="CW1536" t="s">
        <v>4363</v>
      </c>
      <c r="CX1536" t="s">
        <v>172</v>
      </c>
      <c r="CZ1536" s="3" t="str">
        <f>"92705"</f>
        <v>92705</v>
      </c>
      <c r="DA1536" t="s">
        <v>131</v>
      </c>
      <c r="DB1536" t="str">
        <f>""</f>
        <v/>
      </c>
      <c r="DF1536" t="str">
        <f>""</f>
        <v/>
      </c>
    </row>
    <row r="1537" spans="1:110" ht="15" customHeight="1" x14ac:dyDescent="0.35">
      <c r="A1537" t="s">
        <v>18659</v>
      </c>
      <c r="B1537" t="s">
        <v>138</v>
      </c>
      <c r="C1537" s="1">
        <v>44334</v>
      </c>
      <c r="G1537" s="1">
        <v>44335</v>
      </c>
      <c r="H1537" t="s">
        <v>125</v>
      </c>
      <c r="I1537" t="s">
        <v>10017</v>
      </c>
      <c r="J1537" t="s">
        <v>9129</v>
      </c>
      <c r="L1537" t="s">
        <v>15694</v>
      </c>
      <c r="M1537" t="s">
        <v>18004</v>
      </c>
      <c r="N1537" t="s">
        <v>3297</v>
      </c>
      <c r="O1537" t="s">
        <v>18005</v>
      </c>
      <c r="P1537" t="s">
        <v>1174</v>
      </c>
      <c r="Q1537" s="3">
        <v>97702</v>
      </c>
      <c r="R1537" t="s">
        <v>128</v>
      </c>
      <c r="T1537" s="4">
        <v>15417280558</v>
      </c>
      <c r="V1537" t="s">
        <v>18660</v>
      </c>
      <c r="W1537" t="s">
        <v>18006</v>
      </c>
      <c r="X1537" t="s">
        <v>18007</v>
      </c>
      <c r="Y1537" t="s">
        <v>18004</v>
      </c>
      <c r="Z1537" t="s">
        <v>3297</v>
      </c>
      <c r="AA1537" t="s">
        <v>18005</v>
      </c>
      <c r="AB1537" t="s">
        <v>1512</v>
      </c>
      <c r="AC1537" s="3" t="str">
        <f>"97702"</f>
        <v>97702</v>
      </c>
      <c r="AD1537" t="s">
        <v>128</v>
      </c>
      <c r="AF1537" s="4">
        <v>15417280558</v>
      </c>
      <c r="AH1537" t="str">
        <f>"541910"</f>
        <v>541910</v>
      </c>
      <c r="AI1537" t="s">
        <v>130</v>
      </c>
      <c r="AJ1537" t="s">
        <v>18008</v>
      </c>
      <c r="AK1537" t="s">
        <v>8445</v>
      </c>
      <c r="AM1537" t="s">
        <v>15540</v>
      </c>
      <c r="AO1537" t="s">
        <v>584</v>
      </c>
      <c r="AP1537" t="s">
        <v>195</v>
      </c>
      <c r="AQ1537" s="5">
        <v>33130</v>
      </c>
      <c r="AR1537" t="s">
        <v>128</v>
      </c>
      <c r="AT1537" s="4">
        <v>13058604050</v>
      </c>
      <c r="AV1537" t="s">
        <v>18009</v>
      </c>
      <c r="AW1537" t="s">
        <v>8459</v>
      </c>
      <c r="AX1537" t="s">
        <v>131</v>
      </c>
      <c r="AY1537" t="s">
        <v>131</v>
      </c>
      <c r="AZ1537" t="s">
        <v>131</v>
      </c>
      <c r="BA1537" t="s">
        <v>131</v>
      </c>
      <c r="BB1537" t="s">
        <v>131</v>
      </c>
      <c r="BC1537" t="s">
        <v>131</v>
      </c>
      <c r="BD1537" t="s">
        <v>131</v>
      </c>
      <c r="BE1537" t="s">
        <v>132</v>
      </c>
      <c r="BH1537" t="s">
        <v>18661</v>
      </c>
      <c r="BI1537" t="s">
        <v>131</v>
      </c>
      <c r="BL1537" t="s">
        <v>133</v>
      </c>
      <c r="BN1537" t="s">
        <v>18010</v>
      </c>
      <c r="BO1537" t="s">
        <v>131</v>
      </c>
      <c r="BP1537" t="s">
        <v>134</v>
      </c>
      <c r="BQ1537" t="s">
        <v>131</v>
      </c>
      <c r="BS1537" t="str">
        <f t="shared" si="94"/>
        <v>N/A</v>
      </c>
      <c r="BT1537" t="s">
        <v>135</v>
      </c>
      <c r="BU1537">
        <v>12</v>
      </c>
      <c r="BV1537" t="str">
        <f>"Digital marketing and managing social media advertising, campaigns, content creation. "</f>
        <v xml:space="preserve">Digital marketing and managing social media advertising, campaigns, content creation. </v>
      </c>
      <c r="BW1537" t="s">
        <v>135</v>
      </c>
      <c r="BX1537" t="str">
        <f>""</f>
        <v/>
      </c>
      <c r="BY1537" t="str">
        <f>""</f>
        <v/>
      </c>
      <c r="BZ1537" t="str">
        <f>""</f>
        <v/>
      </c>
      <c r="CA1537" t="str">
        <f>"Advanced Google Analytics Certificate; Facebook Certified in the following: Digital Marketing Associate, Community Manager, Media Planning Professional, and Creative Strategy Professional"</f>
        <v>Advanced Google Analytics Certificate; Facebook Certified in the following: Digital Marketing Associate, Community Manager, Media Planning Professional, and Creative Strategy Professional</v>
      </c>
      <c r="CB1537" t="s">
        <v>131</v>
      </c>
      <c r="CF1537" t="s">
        <v>131</v>
      </c>
      <c r="CH1537" t="str">
        <f>""</f>
        <v/>
      </c>
      <c r="CI1537" t="s">
        <v>131</v>
      </c>
      <c r="CK1537" t="s">
        <v>131</v>
      </c>
      <c r="CL1537" t="str">
        <f>""</f>
        <v/>
      </c>
      <c r="CM1537" t="str">
        <f>""</f>
        <v/>
      </c>
      <c r="CN1537" t="str">
        <f>""</f>
        <v/>
      </c>
      <c r="CO1537" t="str">
        <f>""</f>
        <v/>
      </c>
      <c r="CP1537" t="str">
        <f>"13-1161.00"</f>
        <v>13-1161.00</v>
      </c>
      <c r="CQ1537" t="s">
        <v>252</v>
      </c>
      <c r="CR1537" t="s">
        <v>1281</v>
      </c>
      <c r="CS1537" t="s">
        <v>131</v>
      </c>
      <c r="CU1537" t="s">
        <v>18004</v>
      </c>
      <c r="CW1537" t="s">
        <v>18005</v>
      </c>
      <c r="CX1537" t="s">
        <v>1512</v>
      </c>
      <c r="CZ1537" s="3" t="str">
        <f>"97702"</f>
        <v>97702</v>
      </c>
      <c r="DA1537" t="s">
        <v>131</v>
      </c>
      <c r="DB1537" t="str">
        <f>""</f>
        <v/>
      </c>
      <c r="DF1537" t="str">
        <f>""</f>
        <v/>
      </c>
    </row>
    <row r="1538" spans="1:110" ht="15" customHeight="1" x14ac:dyDescent="0.35">
      <c r="A1538" t="s">
        <v>9730</v>
      </c>
      <c r="B1538" t="s">
        <v>138</v>
      </c>
      <c r="C1538" s="1">
        <v>44334</v>
      </c>
      <c r="G1538" s="1">
        <v>44344</v>
      </c>
      <c r="H1538" t="s">
        <v>125</v>
      </c>
      <c r="I1538" t="s">
        <v>2949</v>
      </c>
      <c r="J1538" t="s">
        <v>2950</v>
      </c>
      <c r="L1538" t="s">
        <v>130</v>
      </c>
      <c r="M1538" t="s">
        <v>6081</v>
      </c>
      <c r="N1538" t="s">
        <v>1929</v>
      </c>
      <c r="O1538" t="s">
        <v>2952</v>
      </c>
      <c r="P1538" t="s">
        <v>178</v>
      </c>
      <c r="Q1538" s="3">
        <v>90501</v>
      </c>
      <c r="R1538" t="s">
        <v>128</v>
      </c>
      <c r="T1538" s="4">
        <v>13106181818</v>
      </c>
      <c r="V1538" t="s">
        <v>2953</v>
      </c>
      <c r="W1538" t="s">
        <v>9731</v>
      </c>
      <c r="X1538" t="s">
        <v>9732</v>
      </c>
      <c r="Y1538" t="s">
        <v>9733</v>
      </c>
      <c r="AA1538" t="s">
        <v>4363</v>
      </c>
      <c r="AB1538" t="s">
        <v>172</v>
      </c>
      <c r="AC1538" s="3" t="str">
        <f>"92705"</f>
        <v>92705</v>
      </c>
      <c r="AD1538" t="s">
        <v>128</v>
      </c>
      <c r="AF1538" s="4">
        <v>17145571669</v>
      </c>
      <c r="AH1538" t="str">
        <f>"624410"</f>
        <v>624410</v>
      </c>
      <c r="AI1538" t="s">
        <v>130</v>
      </c>
      <c r="AJ1538" t="s">
        <v>2949</v>
      </c>
      <c r="AK1538" t="s">
        <v>2950</v>
      </c>
      <c r="AM1538" t="s">
        <v>6081</v>
      </c>
      <c r="AN1538" t="s">
        <v>1929</v>
      </c>
      <c r="AO1538" t="s">
        <v>2952</v>
      </c>
      <c r="AP1538" t="s">
        <v>172</v>
      </c>
      <c r="AQ1538" s="5">
        <v>90501</v>
      </c>
      <c r="AR1538" t="s">
        <v>128</v>
      </c>
      <c r="AT1538" s="4">
        <v>13106181818</v>
      </c>
      <c r="AV1538" t="s">
        <v>2953</v>
      </c>
      <c r="AW1538" t="s">
        <v>2954</v>
      </c>
      <c r="AX1538" t="s">
        <v>131</v>
      </c>
      <c r="AY1538" t="s">
        <v>131</v>
      </c>
      <c r="AZ1538" t="s">
        <v>131</v>
      </c>
      <c r="BA1538" t="s">
        <v>131</v>
      </c>
      <c r="BB1538" t="s">
        <v>131</v>
      </c>
      <c r="BC1538" t="s">
        <v>131</v>
      </c>
      <c r="BD1538" t="s">
        <v>131</v>
      </c>
      <c r="BE1538" t="s">
        <v>132</v>
      </c>
      <c r="BH1538" t="s">
        <v>4487</v>
      </c>
      <c r="BI1538" t="s">
        <v>131</v>
      </c>
      <c r="BL1538" t="s">
        <v>401</v>
      </c>
      <c r="BO1538" t="s">
        <v>131</v>
      </c>
      <c r="BP1538" t="s">
        <v>134</v>
      </c>
      <c r="BQ1538" t="s">
        <v>131</v>
      </c>
      <c r="BS1538" t="str">
        <f t="shared" si="94"/>
        <v>N/A</v>
      </c>
      <c r="BT1538" t="s">
        <v>135</v>
      </c>
      <c r="BU1538">
        <v>24</v>
      </c>
      <c r="BV1538" t="str">
        <f>"Education Administrator or any experience in education field."</f>
        <v>Education Administrator or any experience in education field.</v>
      </c>
      <c r="BW1538" t="s">
        <v>131</v>
      </c>
      <c r="BX1538" t="str">
        <f>""</f>
        <v/>
      </c>
      <c r="BY1538" t="str">
        <f>""</f>
        <v/>
      </c>
      <c r="BZ1538" t="str">
        <f>""</f>
        <v/>
      </c>
      <c r="CA1538" t="str">
        <f>""</f>
        <v/>
      </c>
      <c r="CB1538" t="s">
        <v>135</v>
      </c>
      <c r="CC1538" t="s">
        <v>401</v>
      </c>
      <c r="CF1538" t="s">
        <v>131</v>
      </c>
      <c r="CH1538" t="str">
        <f>"N/A"</f>
        <v>N/A</v>
      </c>
      <c r="CI1538" t="s">
        <v>135</v>
      </c>
      <c r="CJ1538">
        <v>24</v>
      </c>
      <c r="CK1538" t="s">
        <v>131</v>
      </c>
      <c r="CL1538" t="str">
        <f>""</f>
        <v/>
      </c>
      <c r="CM1538" t="str">
        <f>""</f>
        <v/>
      </c>
      <c r="CN1538" t="str">
        <f>""</f>
        <v/>
      </c>
      <c r="CO1538" t="str">
        <f>""</f>
        <v/>
      </c>
      <c r="CP1538" t="str">
        <f>"25-2011.00"</f>
        <v>25-2011.00</v>
      </c>
      <c r="CQ1538" t="s">
        <v>4502</v>
      </c>
      <c r="CS1538" t="s">
        <v>131</v>
      </c>
      <c r="CU1538" t="s">
        <v>9733</v>
      </c>
      <c r="CW1538" t="s">
        <v>4363</v>
      </c>
      <c r="CX1538" t="s">
        <v>172</v>
      </c>
      <c r="CZ1538" s="3" t="str">
        <f>"92705"</f>
        <v>92705</v>
      </c>
      <c r="DA1538" t="s">
        <v>131</v>
      </c>
      <c r="DB1538" t="str">
        <f>""</f>
        <v/>
      </c>
      <c r="DF1538" t="str">
        <f>""</f>
        <v/>
      </c>
    </row>
    <row r="1539" spans="1:110" ht="15" customHeight="1" x14ac:dyDescent="0.35">
      <c r="A1539" t="s">
        <v>14587</v>
      </c>
      <c r="B1539" t="s">
        <v>138</v>
      </c>
      <c r="C1539" s="1">
        <v>44334</v>
      </c>
      <c r="G1539" s="1">
        <v>44337</v>
      </c>
      <c r="H1539" t="s">
        <v>125</v>
      </c>
      <c r="I1539" t="s">
        <v>14588</v>
      </c>
      <c r="J1539" t="s">
        <v>14589</v>
      </c>
      <c r="L1539" t="s">
        <v>1226</v>
      </c>
      <c r="M1539" t="s">
        <v>14590</v>
      </c>
      <c r="O1539" t="s">
        <v>8352</v>
      </c>
      <c r="P1539" t="s">
        <v>144</v>
      </c>
      <c r="Q1539" s="3">
        <v>98005</v>
      </c>
      <c r="R1539" t="s">
        <v>128</v>
      </c>
      <c r="T1539" s="4">
        <v>12067076697</v>
      </c>
      <c r="V1539" t="s">
        <v>6607</v>
      </c>
      <c r="W1539" t="s">
        <v>14591</v>
      </c>
      <c r="Y1539" t="s">
        <v>14590</v>
      </c>
      <c r="AA1539" t="s">
        <v>8352</v>
      </c>
      <c r="AB1539" t="s">
        <v>149</v>
      </c>
      <c r="AC1539" s="3" t="str">
        <f>"98005"</f>
        <v>98005</v>
      </c>
      <c r="AD1539" t="s">
        <v>128</v>
      </c>
      <c r="AF1539" s="4">
        <v>12067076697</v>
      </c>
      <c r="AH1539" t="str">
        <f>"541511"</f>
        <v>541511</v>
      </c>
      <c r="AI1539" t="s">
        <v>130</v>
      </c>
      <c r="AJ1539" t="s">
        <v>6605</v>
      </c>
      <c r="AK1539" t="s">
        <v>5952</v>
      </c>
      <c r="AM1539" t="s">
        <v>9727</v>
      </c>
      <c r="AN1539" t="s">
        <v>14592</v>
      </c>
      <c r="AO1539" t="s">
        <v>14593</v>
      </c>
      <c r="AP1539" t="s">
        <v>172</v>
      </c>
      <c r="AQ1539" s="5">
        <v>91301</v>
      </c>
      <c r="AR1539" t="s">
        <v>128</v>
      </c>
      <c r="AT1539" s="4">
        <v>18189146482</v>
      </c>
      <c r="AV1539" t="s">
        <v>6607</v>
      </c>
      <c r="AW1539" t="s">
        <v>6608</v>
      </c>
      <c r="AX1539" t="s">
        <v>131</v>
      </c>
      <c r="AY1539" t="s">
        <v>131</v>
      </c>
      <c r="AZ1539" t="s">
        <v>131</v>
      </c>
      <c r="BA1539" t="s">
        <v>131</v>
      </c>
      <c r="BB1539" t="s">
        <v>131</v>
      </c>
      <c r="BC1539" t="s">
        <v>131</v>
      </c>
      <c r="BD1539" t="s">
        <v>131</v>
      </c>
      <c r="BE1539" t="s">
        <v>132</v>
      </c>
      <c r="BH1539" t="s">
        <v>14594</v>
      </c>
      <c r="BI1539" t="s">
        <v>131</v>
      </c>
      <c r="BL1539" t="s">
        <v>188</v>
      </c>
      <c r="BN1539" t="s">
        <v>4589</v>
      </c>
      <c r="BO1539" t="s">
        <v>131</v>
      </c>
      <c r="BP1539" t="s">
        <v>134</v>
      </c>
      <c r="BQ1539" t="s">
        <v>131</v>
      </c>
      <c r="BS1539" t="str">
        <f t="shared" si="94"/>
        <v>N/A</v>
      </c>
      <c r="BT1539" t="s">
        <v>135</v>
      </c>
      <c r="BU1539">
        <v>36</v>
      </c>
      <c r="BV1539" t="str">
        <f>"SEE F.A.2"</f>
        <v>SEE F.A.2</v>
      </c>
      <c r="BW1539" t="s">
        <v>131</v>
      </c>
      <c r="BX1539" t="str">
        <f>""</f>
        <v/>
      </c>
      <c r="BY1539" t="str">
        <f>""</f>
        <v/>
      </c>
      <c r="BZ1539" t="str">
        <f>""</f>
        <v/>
      </c>
      <c r="CA1539" t="str">
        <f>""</f>
        <v/>
      </c>
      <c r="CB1539" t="s">
        <v>135</v>
      </c>
      <c r="CC1539" t="s">
        <v>133</v>
      </c>
      <c r="CE1539" t="s">
        <v>4589</v>
      </c>
      <c r="CF1539" t="s">
        <v>131</v>
      </c>
      <c r="CH1539" t="str">
        <f>"N/A"</f>
        <v>N/A</v>
      </c>
      <c r="CI1539" t="s">
        <v>135</v>
      </c>
      <c r="CJ1539">
        <v>60</v>
      </c>
      <c r="CK1539" t="s">
        <v>131</v>
      </c>
      <c r="CL1539" t="str">
        <f>""</f>
        <v/>
      </c>
      <c r="CM1539" t="str">
        <f>""</f>
        <v/>
      </c>
      <c r="CN1539" t="str">
        <f>""</f>
        <v/>
      </c>
      <c r="CO1539" t="str">
        <f>""</f>
        <v/>
      </c>
      <c r="CP1539" t="str">
        <f>"15-1121.00"</f>
        <v>15-1121.00</v>
      </c>
      <c r="CQ1539" t="s">
        <v>283</v>
      </c>
      <c r="CR1539" t="s">
        <v>8387</v>
      </c>
      <c r="CS1539" t="s">
        <v>135</v>
      </c>
      <c r="CT1539" t="s">
        <v>14595</v>
      </c>
      <c r="CU1539" t="s">
        <v>14596</v>
      </c>
      <c r="CW1539" t="s">
        <v>8352</v>
      </c>
      <c r="CX1539" t="s">
        <v>149</v>
      </c>
      <c r="CZ1539" s="3" t="str">
        <f>"98005"</f>
        <v>98005</v>
      </c>
      <c r="DA1539" t="s">
        <v>131</v>
      </c>
      <c r="DB1539" t="str">
        <f>""</f>
        <v/>
      </c>
      <c r="DF1539" t="str">
        <f>""</f>
        <v/>
      </c>
    </row>
    <row r="1540" spans="1:110" ht="15" customHeight="1" x14ac:dyDescent="0.35">
      <c r="A1540" t="s">
        <v>16264</v>
      </c>
      <c r="B1540" t="s">
        <v>138</v>
      </c>
      <c r="C1540" s="1">
        <v>44334</v>
      </c>
      <c r="G1540" s="1">
        <v>44334</v>
      </c>
      <c r="H1540" t="s">
        <v>125</v>
      </c>
      <c r="I1540" t="s">
        <v>752</v>
      </c>
      <c r="J1540" t="s">
        <v>753</v>
      </c>
      <c r="L1540" t="s">
        <v>754</v>
      </c>
      <c r="M1540" t="s">
        <v>7381</v>
      </c>
      <c r="N1540" t="s">
        <v>756</v>
      </c>
      <c r="O1540" t="s">
        <v>757</v>
      </c>
      <c r="Q1540" s="3">
        <v>411006</v>
      </c>
      <c r="R1540" t="s">
        <v>758</v>
      </c>
      <c r="S1540" t="s">
        <v>759</v>
      </c>
      <c r="T1540" s="4">
        <v>919923981865</v>
      </c>
      <c r="V1540" t="s">
        <v>760</v>
      </c>
      <c r="W1540" t="s">
        <v>761</v>
      </c>
      <c r="Y1540" t="s">
        <v>762</v>
      </c>
      <c r="Z1540" t="s">
        <v>763</v>
      </c>
      <c r="AA1540" t="s">
        <v>664</v>
      </c>
      <c r="AB1540" t="s">
        <v>172</v>
      </c>
      <c r="AC1540" s="3" t="str">
        <f>"95113"</f>
        <v>95113</v>
      </c>
      <c r="AD1540" t="s">
        <v>128</v>
      </c>
      <c r="AF1540" s="4">
        <v>16503864049</v>
      </c>
      <c r="AH1540" t="str">
        <f>"541512"</f>
        <v>541512</v>
      </c>
      <c r="AI1540" t="s">
        <v>130</v>
      </c>
      <c r="AJ1540" t="s">
        <v>678</v>
      </c>
      <c r="AK1540" t="s">
        <v>679</v>
      </c>
      <c r="AM1540" t="s">
        <v>540</v>
      </c>
      <c r="AN1540" t="s">
        <v>526</v>
      </c>
      <c r="AO1540" t="s">
        <v>262</v>
      </c>
      <c r="AP1540" t="s">
        <v>263</v>
      </c>
      <c r="AQ1540" s="5">
        <v>60606</v>
      </c>
      <c r="AR1540" t="s">
        <v>128</v>
      </c>
      <c r="AT1540" s="4">
        <v>13127226300</v>
      </c>
      <c r="AV1540" t="s">
        <v>527</v>
      </c>
      <c r="AW1540" t="s">
        <v>528</v>
      </c>
      <c r="AX1540" t="s">
        <v>131</v>
      </c>
      <c r="AY1540" t="s">
        <v>131</v>
      </c>
      <c r="AZ1540" t="s">
        <v>131</v>
      </c>
      <c r="BA1540" t="s">
        <v>131</v>
      </c>
      <c r="BB1540" t="s">
        <v>131</v>
      </c>
      <c r="BC1540" t="s">
        <v>131</v>
      </c>
      <c r="BD1540" t="s">
        <v>131</v>
      </c>
      <c r="BE1540" t="s">
        <v>132</v>
      </c>
      <c r="BH1540" t="s">
        <v>767</v>
      </c>
      <c r="BI1540" t="s">
        <v>135</v>
      </c>
      <c r="BJ1540" t="s">
        <v>768</v>
      </c>
      <c r="BK1540" t="s">
        <v>769</v>
      </c>
      <c r="BL1540" t="s">
        <v>133</v>
      </c>
      <c r="BN1540" t="s">
        <v>16265</v>
      </c>
      <c r="BO1540" t="s">
        <v>131</v>
      </c>
      <c r="BP1540" t="s">
        <v>134</v>
      </c>
      <c r="BQ1540" t="s">
        <v>131</v>
      </c>
      <c r="BS1540" t="str">
        <f t="shared" si="94"/>
        <v>N/A</v>
      </c>
      <c r="BT1540" t="s">
        <v>131</v>
      </c>
      <c r="BV1540" t="str">
        <f>""</f>
        <v/>
      </c>
      <c r="BW1540" t="s">
        <v>135</v>
      </c>
      <c r="BX1540" t="str">
        <f>""</f>
        <v/>
      </c>
      <c r="BY1540" t="str">
        <f>""</f>
        <v/>
      </c>
      <c r="BZ1540" t="str">
        <f>""</f>
        <v/>
      </c>
      <c r="CA1540" t="s">
        <v>16266</v>
      </c>
      <c r="CB1540" t="s">
        <v>131</v>
      </c>
      <c r="CF1540" t="s">
        <v>131</v>
      </c>
      <c r="CH1540" t="str">
        <f>""</f>
        <v/>
      </c>
      <c r="CI1540" t="s">
        <v>131</v>
      </c>
      <c r="CK1540" t="s">
        <v>131</v>
      </c>
      <c r="CL1540" t="str">
        <f>""</f>
        <v/>
      </c>
      <c r="CM1540" t="str">
        <f>""</f>
        <v/>
      </c>
      <c r="CN1540" t="str">
        <f>""</f>
        <v/>
      </c>
      <c r="CO1540" t="str">
        <f>""</f>
        <v/>
      </c>
      <c r="CP1540" t="str">
        <f>"15-1199.09"</f>
        <v>15-1199.09</v>
      </c>
      <c r="CQ1540" t="s">
        <v>697</v>
      </c>
      <c r="CR1540" t="s">
        <v>286</v>
      </c>
      <c r="CS1540" t="s">
        <v>135</v>
      </c>
      <c r="CT1540" t="s">
        <v>16267</v>
      </c>
      <c r="CU1540" t="s">
        <v>773</v>
      </c>
      <c r="CV1540" t="s">
        <v>3185</v>
      </c>
      <c r="CW1540" t="s">
        <v>399</v>
      </c>
      <c r="CX1540" t="s">
        <v>400</v>
      </c>
      <c r="CZ1540" s="3" t="str">
        <f>"75248"</f>
        <v>75248</v>
      </c>
      <c r="DA1540" t="s">
        <v>131</v>
      </c>
      <c r="DB1540" t="str">
        <f>""</f>
        <v/>
      </c>
      <c r="DF1540" t="str">
        <f>""</f>
        <v/>
      </c>
    </row>
    <row r="1541" spans="1:110" ht="15" customHeight="1" x14ac:dyDescent="0.35">
      <c r="A1541" t="s">
        <v>8807</v>
      </c>
      <c r="B1541" t="s">
        <v>138</v>
      </c>
      <c r="C1541" s="1">
        <v>44334</v>
      </c>
      <c r="G1541" s="1">
        <v>44335</v>
      </c>
      <c r="H1541" t="s">
        <v>125</v>
      </c>
      <c r="I1541" t="s">
        <v>3449</v>
      </c>
      <c r="J1541" t="s">
        <v>3450</v>
      </c>
      <c r="L1541" t="s">
        <v>3452</v>
      </c>
      <c r="M1541" t="s">
        <v>3453</v>
      </c>
      <c r="N1541" t="s">
        <v>3454</v>
      </c>
      <c r="O1541" t="s">
        <v>642</v>
      </c>
      <c r="P1541" t="s">
        <v>818</v>
      </c>
      <c r="Q1541" s="3">
        <v>30309</v>
      </c>
      <c r="R1541" t="s">
        <v>128</v>
      </c>
      <c r="T1541" s="4">
        <v>17707405413</v>
      </c>
      <c r="V1541" t="s">
        <v>3455</v>
      </c>
      <c r="W1541" t="s">
        <v>3456</v>
      </c>
      <c r="X1541" t="s">
        <v>134</v>
      </c>
      <c r="Y1541" t="s">
        <v>3453</v>
      </c>
      <c r="Z1541" t="s">
        <v>3454</v>
      </c>
      <c r="AA1541" t="s">
        <v>642</v>
      </c>
      <c r="AB1541" t="s">
        <v>643</v>
      </c>
      <c r="AC1541" s="3" t="str">
        <f>"30309"</f>
        <v>30309</v>
      </c>
      <c r="AD1541" t="s">
        <v>128</v>
      </c>
      <c r="AE1541" t="s">
        <v>134</v>
      </c>
      <c r="AF1541" s="4">
        <v>17707405413</v>
      </c>
      <c r="AH1541" t="str">
        <f>"51919"</f>
        <v>51919</v>
      </c>
      <c r="AI1541" t="s">
        <v>130</v>
      </c>
      <c r="AJ1541" t="s">
        <v>2769</v>
      </c>
      <c r="AK1541" t="s">
        <v>1071</v>
      </c>
      <c r="AL1541" t="s">
        <v>2314</v>
      </c>
      <c r="AM1541" t="s">
        <v>3540</v>
      </c>
      <c r="AN1541" t="s">
        <v>213</v>
      </c>
      <c r="AO1541" t="s">
        <v>642</v>
      </c>
      <c r="AP1541" t="s">
        <v>643</v>
      </c>
      <c r="AQ1541" s="5">
        <v>30309</v>
      </c>
      <c r="AR1541" t="s">
        <v>128</v>
      </c>
      <c r="AS1541" t="s">
        <v>134</v>
      </c>
      <c r="AT1541" s="4">
        <v>14048856720</v>
      </c>
      <c r="AV1541" t="s">
        <v>3457</v>
      </c>
      <c r="AW1541" t="s">
        <v>1083</v>
      </c>
      <c r="AX1541" t="s">
        <v>131</v>
      </c>
      <c r="AY1541" t="s">
        <v>131</v>
      </c>
      <c r="AZ1541" t="s">
        <v>131</v>
      </c>
      <c r="BA1541" t="s">
        <v>131</v>
      </c>
      <c r="BB1541" t="s">
        <v>131</v>
      </c>
      <c r="BC1541" t="s">
        <v>131</v>
      </c>
      <c r="BD1541" t="s">
        <v>131</v>
      </c>
      <c r="BE1541" t="s">
        <v>132</v>
      </c>
      <c r="BH1541" t="s">
        <v>542</v>
      </c>
      <c r="BI1541" t="s">
        <v>131</v>
      </c>
      <c r="BL1541" t="s">
        <v>133</v>
      </c>
      <c r="BN1541" t="s">
        <v>8808</v>
      </c>
      <c r="BO1541" t="s">
        <v>131</v>
      </c>
      <c r="BP1541" t="s">
        <v>134</v>
      </c>
      <c r="BQ1541" t="s">
        <v>131</v>
      </c>
      <c r="BS1541" t="str">
        <f t="shared" si="94"/>
        <v>N/A</v>
      </c>
      <c r="BT1541" t="s">
        <v>135</v>
      </c>
      <c r="BU1541">
        <v>96</v>
      </c>
      <c r="BV1541" t="str">
        <f>"PLEASE SEE F.B.5"</f>
        <v>PLEASE SEE F.B.5</v>
      </c>
      <c r="BW1541" t="s">
        <v>135</v>
      </c>
      <c r="BX1541" t="str">
        <f>""</f>
        <v/>
      </c>
      <c r="BY1541" t="str">
        <f>""</f>
        <v/>
      </c>
      <c r="BZ1541" t="str">
        <f>""</f>
        <v/>
      </c>
      <c r="CA1541" t="s">
        <v>8809</v>
      </c>
      <c r="CB1541" t="s">
        <v>135</v>
      </c>
      <c r="CC1541" t="s">
        <v>188</v>
      </c>
      <c r="CE1541" t="s">
        <v>8808</v>
      </c>
      <c r="CF1541" t="s">
        <v>131</v>
      </c>
      <c r="CH1541" t="str">
        <f>"N/A"</f>
        <v>N/A</v>
      </c>
      <c r="CI1541" t="s">
        <v>135</v>
      </c>
      <c r="CJ1541">
        <v>60</v>
      </c>
      <c r="CK1541" t="s">
        <v>131</v>
      </c>
      <c r="CL1541" t="str">
        <f>""</f>
        <v/>
      </c>
      <c r="CM1541" t="str">
        <f>""</f>
        <v/>
      </c>
      <c r="CN1541" t="str">
        <f>""</f>
        <v/>
      </c>
      <c r="CO1541" t="str">
        <f>""</f>
        <v/>
      </c>
      <c r="CP1541" t="str">
        <f>"15-1132.00"</f>
        <v>15-1132.00</v>
      </c>
      <c r="CQ1541" t="s">
        <v>198</v>
      </c>
      <c r="CS1541" t="s">
        <v>131</v>
      </c>
      <c r="CU1541" t="s">
        <v>8810</v>
      </c>
      <c r="CW1541" t="s">
        <v>735</v>
      </c>
      <c r="CX1541" t="s">
        <v>643</v>
      </c>
      <c r="CZ1541" s="3" t="str">
        <f>"30005"</f>
        <v>30005</v>
      </c>
      <c r="DA1541" t="s">
        <v>131</v>
      </c>
      <c r="DB1541" t="str">
        <f>""</f>
        <v/>
      </c>
      <c r="DF1541" t="str">
        <f>""</f>
        <v/>
      </c>
    </row>
    <row r="1542" spans="1:110" ht="15" customHeight="1" x14ac:dyDescent="0.35">
      <c r="A1542" t="s">
        <v>18410</v>
      </c>
      <c r="B1542" t="s">
        <v>138</v>
      </c>
      <c r="C1542" s="1">
        <v>44334</v>
      </c>
      <c r="G1542" s="1">
        <v>44334</v>
      </c>
      <c r="H1542" t="s">
        <v>125</v>
      </c>
      <c r="I1542" t="s">
        <v>752</v>
      </c>
      <c r="J1542" t="s">
        <v>753</v>
      </c>
      <c r="L1542" t="s">
        <v>754</v>
      </c>
      <c r="M1542" t="s">
        <v>755</v>
      </c>
      <c r="N1542" t="s">
        <v>756</v>
      </c>
      <c r="O1542" t="s">
        <v>757</v>
      </c>
      <c r="Q1542" s="3">
        <v>411006</v>
      </c>
      <c r="R1542" t="s">
        <v>758</v>
      </c>
      <c r="S1542" t="s">
        <v>759</v>
      </c>
      <c r="T1542" s="4">
        <v>919923981865</v>
      </c>
      <c r="V1542" t="s">
        <v>760</v>
      </c>
      <c r="W1542" t="s">
        <v>761</v>
      </c>
      <c r="Y1542" t="s">
        <v>762</v>
      </c>
      <c r="Z1542" t="s">
        <v>763</v>
      </c>
      <c r="AA1542" t="s">
        <v>664</v>
      </c>
      <c r="AB1542" t="s">
        <v>172</v>
      </c>
      <c r="AC1542" s="3" t="str">
        <f>"95113"</f>
        <v>95113</v>
      </c>
      <c r="AD1542" t="s">
        <v>128</v>
      </c>
      <c r="AF1542" s="4">
        <v>16503864049</v>
      </c>
      <c r="AH1542" t="str">
        <f>"541512"</f>
        <v>541512</v>
      </c>
      <c r="AI1542" t="s">
        <v>130</v>
      </c>
      <c r="AJ1542" t="s">
        <v>764</v>
      </c>
      <c r="AK1542" t="s">
        <v>679</v>
      </c>
      <c r="AM1542" t="s">
        <v>765</v>
      </c>
      <c r="AN1542" t="s">
        <v>526</v>
      </c>
      <c r="AO1542" t="s">
        <v>262</v>
      </c>
      <c r="AP1542" t="s">
        <v>263</v>
      </c>
      <c r="AQ1542" s="5">
        <v>60606</v>
      </c>
      <c r="AR1542" t="s">
        <v>128</v>
      </c>
      <c r="AT1542" s="4">
        <v>13127226300</v>
      </c>
      <c r="AV1542" t="s">
        <v>527</v>
      </c>
      <c r="AW1542" t="s">
        <v>528</v>
      </c>
      <c r="AX1542" t="s">
        <v>131</v>
      </c>
      <c r="AY1542" t="s">
        <v>131</v>
      </c>
      <c r="AZ1542" t="s">
        <v>131</v>
      </c>
      <c r="BA1542" t="s">
        <v>131</v>
      </c>
      <c r="BB1542" t="s">
        <v>131</v>
      </c>
      <c r="BC1542" t="s">
        <v>131</v>
      </c>
      <c r="BD1542" t="s">
        <v>131</v>
      </c>
      <c r="BE1542" t="s">
        <v>132</v>
      </c>
      <c r="BH1542" t="s">
        <v>767</v>
      </c>
      <c r="BI1542" t="s">
        <v>135</v>
      </c>
      <c r="BJ1542" t="s">
        <v>768</v>
      </c>
      <c r="BK1542" t="s">
        <v>769</v>
      </c>
      <c r="BL1542" t="s">
        <v>133</v>
      </c>
      <c r="BN1542" t="s">
        <v>16265</v>
      </c>
      <c r="BO1542" t="s">
        <v>131</v>
      </c>
      <c r="BP1542" t="s">
        <v>134</v>
      </c>
      <c r="BQ1542" t="s">
        <v>131</v>
      </c>
      <c r="BS1542" t="str">
        <f t="shared" si="94"/>
        <v>N/A</v>
      </c>
      <c r="BT1542" t="s">
        <v>135</v>
      </c>
      <c r="BU1542">
        <v>96</v>
      </c>
      <c r="BV1542" t="str">
        <f>"Information Technology or related"</f>
        <v>Information Technology or related</v>
      </c>
      <c r="BW1542" t="s">
        <v>135</v>
      </c>
      <c r="BX1542" t="str">
        <f>""</f>
        <v/>
      </c>
      <c r="BY1542" t="str">
        <f>""</f>
        <v/>
      </c>
      <c r="BZ1542" t="str">
        <f>""</f>
        <v/>
      </c>
      <c r="CA1542" t="s">
        <v>770</v>
      </c>
      <c r="CB1542" t="s">
        <v>131</v>
      </c>
      <c r="CF1542" t="s">
        <v>131</v>
      </c>
      <c r="CH1542" t="str">
        <f>""</f>
        <v/>
      </c>
      <c r="CI1542" t="s">
        <v>131</v>
      </c>
      <c r="CK1542" t="s">
        <v>131</v>
      </c>
      <c r="CL1542" t="str">
        <f>""</f>
        <v/>
      </c>
      <c r="CM1542" t="str">
        <f>""</f>
        <v/>
      </c>
      <c r="CN1542" t="str">
        <f>""</f>
        <v/>
      </c>
      <c r="CO1542" t="str">
        <f>""</f>
        <v/>
      </c>
      <c r="CP1542" t="str">
        <f>"15-1199.09"</f>
        <v>15-1199.09</v>
      </c>
      <c r="CQ1542" t="s">
        <v>697</v>
      </c>
      <c r="CR1542" t="s">
        <v>286</v>
      </c>
      <c r="CS1542" t="s">
        <v>135</v>
      </c>
      <c r="CT1542" t="s">
        <v>772</v>
      </c>
      <c r="CU1542" t="s">
        <v>18411</v>
      </c>
      <c r="CV1542" t="s">
        <v>3185</v>
      </c>
      <c r="CW1542" t="s">
        <v>399</v>
      </c>
      <c r="CX1542" t="s">
        <v>400</v>
      </c>
      <c r="CZ1542" s="3" t="str">
        <f>"75248"</f>
        <v>75248</v>
      </c>
      <c r="DA1542" t="s">
        <v>131</v>
      </c>
      <c r="DB1542" t="str">
        <f>""</f>
        <v/>
      </c>
      <c r="DF1542" t="str">
        <f>""</f>
        <v/>
      </c>
    </row>
    <row r="1543" spans="1:110" ht="15" customHeight="1" x14ac:dyDescent="0.35">
      <c r="A1543" t="s">
        <v>8117</v>
      </c>
      <c r="B1543" t="s">
        <v>138</v>
      </c>
      <c r="C1543" s="1">
        <v>44334</v>
      </c>
      <c r="G1543" s="1">
        <v>44334</v>
      </c>
      <c r="H1543" t="s">
        <v>125</v>
      </c>
      <c r="I1543" t="s">
        <v>905</v>
      </c>
      <c r="J1543" t="s">
        <v>906</v>
      </c>
      <c r="L1543" t="s">
        <v>907</v>
      </c>
      <c r="M1543" t="s">
        <v>908</v>
      </c>
      <c r="O1543" t="s">
        <v>909</v>
      </c>
      <c r="P1543" t="s">
        <v>467</v>
      </c>
      <c r="Q1543" s="3">
        <v>81620</v>
      </c>
      <c r="R1543" t="s">
        <v>128</v>
      </c>
      <c r="T1543" s="4">
        <v>19705245010</v>
      </c>
      <c r="V1543" t="s">
        <v>910</v>
      </c>
      <c r="W1543" t="s">
        <v>911</v>
      </c>
      <c r="X1543" t="s">
        <v>911</v>
      </c>
      <c r="Y1543" t="s">
        <v>908</v>
      </c>
      <c r="AA1543" t="s">
        <v>909</v>
      </c>
      <c r="AB1543" t="s">
        <v>471</v>
      </c>
      <c r="AC1543" s="3" t="str">
        <f>"81637"</f>
        <v>81637</v>
      </c>
      <c r="AD1543" t="s">
        <v>128</v>
      </c>
      <c r="AF1543" s="4">
        <v>19705245010</v>
      </c>
      <c r="AH1543" t="str">
        <f>"56173"</f>
        <v>56173</v>
      </c>
      <c r="AI1543" t="s">
        <v>130</v>
      </c>
      <c r="AJ1543" t="s">
        <v>912</v>
      </c>
      <c r="AK1543" t="s">
        <v>1540</v>
      </c>
      <c r="AM1543" t="s">
        <v>914</v>
      </c>
      <c r="AO1543" t="s">
        <v>915</v>
      </c>
      <c r="AP1543" t="s">
        <v>471</v>
      </c>
      <c r="AQ1543" s="5">
        <v>81620</v>
      </c>
      <c r="AR1543" t="s">
        <v>128</v>
      </c>
      <c r="AT1543" s="4">
        <v>19708457474</v>
      </c>
      <c r="AV1543" t="s">
        <v>916</v>
      </c>
      <c r="AW1543" t="s">
        <v>917</v>
      </c>
      <c r="AX1543" t="s">
        <v>131</v>
      </c>
      <c r="AY1543" t="s">
        <v>131</v>
      </c>
      <c r="AZ1543" t="s">
        <v>131</v>
      </c>
      <c r="BA1543" t="s">
        <v>131</v>
      </c>
      <c r="BB1543" t="s">
        <v>131</v>
      </c>
      <c r="BC1543" t="s">
        <v>131</v>
      </c>
      <c r="BD1543" t="s">
        <v>131</v>
      </c>
      <c r="BE1543" t="s">
        <v>132</v>
      </c>
      <c r="BH1543" t="s">
        <v>918</v>
      </c>
      <c r="BI1543" t="s">
        <v>135</v>
      </c>
      <c r="BJ1543" t="s">
        <v>919</v>
      </c>
      <c r="BK1543" t="s">
        <v>920</v>
      </c>
      <c r="BL1543" t="s">
        <v>167</v>
      </c>
      <c r="BO1543" t="s">
        <v>131</v>
      </c>
      <c r="BP1543" t="s">
        <v>134</v>
      </c>
      <c r="BQ1543" t="s">
        <v>131</v>
      </c>
      <c r="BS1543" t="str">
        <f t="shared" si="94"/>
        <v>N/A</v>
      </c>
      <c r="BT1543" t="s">
        <v>131</v>
      </c>
      <c r="BV1543" t="str">
        <f>""</f>
        <v/>
      </c>
      <c r="BW1543" t="s">
        <v>131</v>
      </c>
      <c r="BX1543" t="str">
        <f>""</f>
        <v/>
      </c>
      <c r="BY1543" t="str">
        <f>""</f>
        <v/>
      </c>
      <c r="BZ1543" t="str">
        <f>""</f>
        <v/>
      </c>
      <c r="CA1543" t="str">
        <f>""</f>
        <v/>
      </c>
      <c r="CB1543" t="s">
        <v>131</v>
      </c>
      <c r="CF1543" t="s">
        <v>131</v>
      </c>
      <c r="CH1543" t="str">
        <f>""</f>
        <v/>
      </c>
      <c r="CI1543" t="s">
        <v>131</v>
      </c>
      <c r="CK1543" t="s">
        <v>131</v>
      </c>
      <c r="CL1543" t="str">
        <f>""</f>
        <v/>
      </c>
      <c r="CM1543" t="str">
        <f>""</f>
        <v/>
      </c>
      <c r="CN1543" t="str">
        <f>""</f>
        <v/>
      </c>
      <c r="CO1543" t="str">
        <f>""</f>
        <v/>
      </c>
      <c r="CP1543" t="str">
        <f>"37-1012.00"</f>
        <v>37-1012.00</v>
      </c>
      <c r="CQ1543" t="s">
        <v>921</v>
      </c>
      <c r="CR1543" t="s">
        <v>199</v>
      </c>
      <c r="CS1543" t="s">
        <v>131</v>
      </c>
      <c r="CU1543" t="s">
        <v>908</v>
      </c>
      <c r="CW1543" t="s">
        <v>909</v>
      </c>
      <c r="CX1543" t="s">
        <v>471</v>
      </c>
      <c r="CZ1543" s="3" t="str">
        <f>"81631"</f>
        <v>81631</v>
      </c>
      <c r="DA1543" t="s">
        <v>131</v>
      </c>
      <c r="DB1543" t="str">
        <f>""</f>
        <v/>
      </c>
      <c r="DF1543" t="str">
        <f>""</f>
        <v/>
      </c>
    </row>
    <row r="1544" spans="1:110" ht="15" customHeight="1" x14ac:dyDescent="0.35">
      <c r="A1544" t="s">
        <v>10879</v>
      </c>
      <c r="B1544" t="s">
        <v>138</v>
      </c>
      <c r="C1544" s="1">
        <v>44334</v>
      </c>
      <c r="G1544" s="1">
        <v>44356</v>
      </c>
      <c r="H1544" t="s">
        <v>125</v>
      </c>
      <c r="I1544" t="s">
        <v>10880</v>
      </c>
      <c r="J1544" t="s">
        <v>1314</v>
      </c>
      <c r="L1544" t="s">
        <v>1646</v>
      </c>
      <c r="M1544" t="s">
        <v>10881</v>
      </c>
      <c r="N1544" t="s">
        <v>3707</v>
      </c>
      <c r="O1544" t="s">
        <v>9187</v>
      </c>
      <c r="P1544" t="s">
        <v>720</v>
      </c>
      <c r="Q1544" s="3">
        <v>2459</v>
      </c>
      <c r="R1544" t="s">
        <v>128</v>
      </c>
      <c r="T1544" s="4">
        <v>16174546645</v>
      </c>
      <c r="V1544" t="s">
        <v>10882</v>
      </c>
      <c r="W1544" t="s">
        <v>10883</v>
      </c>
      <c r="Y1544" t="s">
        <v>10884</v>
      </c>
      <c r="AA1544" t="s">
        <v>10885</v>
      </c>
      <c r="AB1544" t="s">
        <v>312</v>
      </c>
      <c r="AC1544" s="3" t="str">
        <f>"19025"</f>
        <v>19025</v>
      </c>
      <c r="AD1544" t="s">
        <v>128</v>
      </c>
      <c r="AF1544" s="4">
        <v>16174546645</v>
      </c>
      <c r="AH1544" t="str">
        <f>"525110"</f>
        <v>525110</v>
      </c>
      <c r="AI1544" t="s">
        <v>130</v>
      </c>
      <c r="AJ1544" t="s">
        <v>6558</v>
      </c>
      <c r="AK1544" t="s">
        <v>700</v>
      </c>
      <c r="AL1544" t="s">
        <v>10886</v>
      </c>
      <c r="AM1544" t="s">
        <v>6560</v>
      </c>
      <c r="AN1544" t="s">
        <v>6561</v>
      </c>
      <c r="AO1544" t="s">
        <v>885</v>
      </c>
      <c r="AP1544" t="s">
        <v>400</v>
      </c>
      <c r="AQ1544" s="5">
        <v>77010</v>
      </c>
      <c r="AR1544" t="s">
        <v>128</v>
      </c>
      <c r="AT1544" s="4">
        <v>12816053100</v>
      </c>
      <c r="AV1544" t="s">
        <v>6562</v>
      </c>
      <c r="AW1544" t="s">
        <v>386</v>
      </c>
      <c r="AX1544" t="s">
        <v>131</v>
      </c>
      <c r="AY1544" t="s">
        <v>131</v>
      </c>
      <c r="AZ1544" t="s">
        <v>131</v>
      </c>
      <c r="BA1544" t="s">
        <v>131</v>
      </c>
      <c r="BB1544" t="s">
        <v>131</v>
      </c>
      <c r="BC1544" t="s">
        <v>131</v>
      </c>
      <c r="BD1544" t="s">
        <v>131</v>
      </c>
      <c r="BE1544" t="s">
        <v>132</v>
      </c>
      <c r="BH1544" t="s">
        <v>1501</v>
      </c>
      <c r="BI1544" t="s">
        <v>131</v>
      </c>
      <c r="BL1544" t="s">
        <v>133</v>
      </c>
      <c r="BN1544" t="s">
        <v>3910</v>
      </c>
      <c r="BO1544" t="s">
        <v>131</v>
      </c>
      <c r="BP1544" t="s">
        <v>134</v>
      </c>
      <c r="BQ1544" t="s">
        <v>131</v>
      </c>
      <c r="BS1544" t="str">
        <f t="shared" si="94"/>
        <v>N/A</v>
      </c>
      <c r="BT1544" t="s">
        <v>135</v>
      </c>
      <c r="BU1544">
        <v>60</v>
      </c>
      <c r="BV1544" t="str">
        <f>"Please see section F.a.2."</f>
        <v>Please see section F.a.2.</v>
      </c>
      <c r="BW1544" t="s">
        <v>131</v>
      </c>
      <c r="BX1544" t="str">
        <f>""</f>
        <v/>
      </c>
      <c r="BY1544" t="str">
        <f>""</f>
        <v/>
      </c>
      <c r="BZ1544" t="str">
        <f>""</f>
        <v/>
      </c>
      <c r="CA1544" t="str">
        <f>""</f>
        <v/>
      </c>
      <c r="CB1544" t="s">
        <v>131</v>
      </c>
      <c r="CF1544" t="s">
        <v>131</v>
      </c>
      <c r="CH1544" t="str">
        <f>""</f>
        <v/>
      </c>
      <c r="CI1544" t="s">
        <v>131</v>
      </c>
      <c r="CK1544" t="s">
        <v>131</v>
      </c>
      <c r="CL1544" t="str">
        <f>""</f>
        <v/>
      </c>
      <c r="CM1544" t="str">
        <f>""</f>
        <v/>
      </c>
      <c r="CN1544" t="str">
        <f>""</f>
        <v/>
      </c>
      <c r="CO1544" t="str">
        <f>""</f>
        <v/>
      </c>
      <c r="CP1544" t="str">
        <f>"15-1132.00"</f>
        <v>15-1132.00</v>
      </c>
      <c r="CQ1544" t="s">
        <v>198</v>
      </c>
      <c r="CS1544" t="s">
        <v>131</v>
      </c>
      <c r="CU1544" t="s">
        <v>10881</v>
      </c>
      <c r="CV1544" t="s">
        <v>3707</v>
      </c>
      <c r="CW1544" t="s">
        <v>9187</v>
      </c>
      <c r="CX1544" t="s">
        <v>377</v>
      </c>
      <c r="CZ1544" s="3" t="str">
        <f>"02459"</f>
        <v>02459</v>
      </c>
      <c r="DA1544" t="s">
        <v>131</v>
      </c>
      <c r="DB1544" t="str">
        <f>""</f>
        <v/>
      </c>
      <c r="DF1544" t="str">
        <f>""</f>
        <v/>
      </c>
    </row>
    <row r="1545" spans="1:110" ht="15" customHeight="1" x14ac:dyDescent="0.35">
      <c r="A1545" t="s">
        <v>18493</v>
      </c>
      <c r="B1545" t="s">
        <v>138</v>
      </c>
      <c r="C1545" s="1">
        <v>44334</v>
      </c>
      <c r="G1545" s="1">
        <v>44335</v>
      </c>
      <c r="H1545" t="s">
        <v>125</v>
      </c>
      <c r="I1545" t="s">
        <v>11836</v>
      </c>
      <c r="J1545" t="s">
        <v>6120</v>
      </c>
      <c r="L1545" t="s">
        <v>11837</v>
      </c>
      <c r="M1545" t="s">
        <v>11838</v>
      </c>
      <c r="O1545" t="s">
        <v>262</v>
      </c>
      <c r="P1545" t="s">
        <v>539</v>
      </c>
      <c r="Q1545" s="3">
        <v>60606</v>
      </c>
      <c r="R1545" t="s">
        <v>128</v>
      </c>
      <c r="T1545" s="4">
        <v>18555051378</v>
      </c>
      <c r="V1545" t="s">
        <v>11839</v>
      </c>
      <c r="W1545" t="s">
        <v>11840</v>
      </c>
      <c r="Y1545" t="s">
        <v>11841</v>
      </c>
      <c r="AA1545" t="s">
        <v>262</v>
      </c>
      <c r="AB1545" t="s">
        <v>263</v>
      </c>
      <c r="AC1545" s="3" t="str">
        <f>"60606"</f>
        <v>60606</v>
      </c>
      <c r="AD1545" t="s">
        <v>128</v>
      </c>
      <c r="AF1545" s="4">
        <v>18555051378</v>
      </c>
      <c r="AH1545" t="str">
        <f>"54161"</f>
        <v>54161</v>
      </c>
      <c r="AI1545" t="s">
        <v>130</v>
      </c>
      <c r="AJ1545" t="s">
        <v>11842</v>
      </c>
      <c r="AK1545" t="s">
        <v>1811</v>
      </c>
      <c r="AL1545" t="s">
        <v>610</v>
      </c>
      <c r="AM1545" t="s">
        <v>11843</v>
      </c>
      <c r="AN1545" t="s">
        <v>11844</v>
      </c>
      <c r="AO1545" t="s">
        <v>262</v>
      </c>
      <c r="AP1545" t="s">
        <v>263</v>
      </c>
      <c r="AQ1545" s="5">
        <v>60604</v>
      </c>
      <c r="AR1545" t="s">
        <v>128</v>
      </c>
      <c r="AT1545" s="4">
        <v>13123419009</v>
      </c>
      <c r="AV1545" t="s">
        <v>11845</v>
      </c>
      <c r="AW1545" t="s">
        <v>11846</v>
      </c>
      <c r="AX1545" t="s">
        <v>131</v>
      </c>
      <c r="AY1545" t="s">
        <v>131</v>
      </c>
      <c r="AZ1545" t="s">
        <v>131</v>
      </c>
      <c r="BA1545" t="s">
        <v>131</v>
      </c>
      <c r="BB1545" t="s">
        <v>131</v>
      </c>
      <c r="BC1545" t="s">
        <v>131</v>
      </c>
      <c r="BD1545" t="s">
        <v>131</v>
      </c>
      <c r="BE1545" t="s">
        <v>132</v>
      </c>
      <c r="BH1545" t="s">
        <v>3711</v>
      </c>
      <c r="BI1545" t="s">
        <v>131</v>
      </c>
      <c r="BL1545" t="s">
        <v>133</v>
      </c>
      <c r="BN1545" t="s">
        <v>18494</v>
      </c>
      <c r="BO1545" t="s">
        <v>131</v>
      </c>
      <c r="BP1545" t="s">
        <v>134</v>
      </c>
      <c r="BQ1545" t="s">
        <v>131</v>
      </c>
      <c r="BS1545" t="str">
        <f t="shared" ref="BS1545:BS1608" si="96">"N/A"</f>
        <v>N/A</v>
      </c>
      <c r="BT1545" t="s">
        <v>135</v>
      </c>
      <c r="BU1545">
        <v>24</v>
      </c>
      <c r="BV1545" t="str">
        <f>"Tier 3 Engineer or Field Engineer"</f>
        <v>Tier 3 Engineer or Field Engineer</v>
      </c>
      <c r="BW1545" t="s">
        <v>135</v>
      </c>
      <c r="BX1545" t="str">
        <f>""</f>
        <v/>
      </c>
      <c r="BY1545" t="str">
        <f>""</f>
        <v/>
      </c>
      <c r="BZ1545" t="str">
        <f>""</f>
        <v/>
      </c>
      <c r="CA1545" t="str">
        <f>"Experience must include managing Avaya Aura products and monitoring Cisco and Microsoft products in Unified Communication and Contact Center providers.  Candidate must hold Avaya Certification. "</f>
        <v xml:space="preserve">Experience must include managing Avaya Aura products and monitoring Cisco and Microsoft products in Unified Communication and Contact Center providers.  Candidate must hold Avaya Certification. </v>
      </c>
      <c r="CB1545" t="s">
        <v>131</v>
      </c>
      <c r="CF1545" t="s">
        <v>131</v>
      </c>
      <c r="CH1545" t="str">
        <f>""</f>
        <v/>
      </c>
      <c r="CI1545" t="s">
        <v>131</v>
      </c>
      <c r="CK1545" t="s">
        <v>131</v>
      </c>
      <c r="CL1545" t="str">
        <f>""</f>
        <v/>
      </c>
      <c r="CM1545" t="str">
        <f>""</f>
        <v/>
      </c>
      <c r="CN1545" t="str">
        <f>""</f>
        <v/>
      </c>
      <c r="CO1545" t="str">
        <f>""</f>
        <v/>
      </c>
      <c r="CP1545" t="str">
        <f>"15-1199.08"</f>
        <v>15-1199.08</v>
      </c>
      <c r="CQ1545" t="s">
        <v>265</v>
      </c>
      <c r="CR1545" t="s">
        <v>11847</v>
      </c>
      <c r="CS1545" t="s">
        <v>131</v>
      </c>
      <c r="CU1545" t="s">
        <v>11838</v>
      </c>
      <c r="CW1545" t="s">
        <v>262</v>
      </c>
      <c r="CX1545" t="s">
        <v>263</v>
      </c>
      <c r="CZ1545" s="3" t="str">
        <f>"60606"</f>
        <v>60606</v>
      </c>
      <c r="DA1545" t="s">
        <v>131</v>
      </c>
      <c r="DB1545" t="str">
        <f>""</f>
        <v/>
      </c>
      <c r="DF1545" t="str">
        <f>""</f>
        <v/>
      </c>
    </row>
    <row r="1546" spans="1:110" ht="15" customHeight="1" x14ac:dyDescent="0.35">
      <c r="A1546" t="s">
        <v>19446</v>
      </c>
      <c r="B1546" t="s">
        <v>138</v>
      </c>
      <c r="C1546" s="1">
        <v>44334</v>
      </c>
      <c r="G1546" s="1">
        <v>44334</v>
      </c>
      <c r="H1546" t="s">
        <v>125</v>
      </c>
      <c r="I1546" t="s">
        <v>6523</v>
      </c>
      <c r="J1546" t="s">
        <v>6524</v>
      </c>
      <c r="L1546" t="s">
        <v>395</v>
      </c>
      <c r="M1546" t="s">
        <v>6525</v>
      </c>
      <c r="O1546" t="s">
        <v>371</v>
      </c>
      <c r="P1546" t="s">
        <v>144</v>
      </c>
      <c r="Q1546" s="3">
        <v>98102</v>
      </c>
      <c r="R1546" t="s">
        <v>128</v>
      </c>
      <c r="T1546" s="4">
        <v>12067477292</v>
      </c>
      <c r="V1546" t="s">
        <v>6526</v>
      </c>
      <c r="W1546" t="s">
        <v>6527</v>
      </c>
      <c r="X1546" t="s">
        <v>6528</v>
      </c>
      <c r="Y1546" t="s">
        <v>6525</v>
      </c>
      <c r="AA1546" t="s">
        <v>371</v>
      </c>
      <c r="AB1546" t="s">
        <v>149</v>
      </c>
      <c r="AC1546" s="3" t="str">
        <f>"98102"</f>
        <v>98102</v>
      </c>
      <c r="AD1546" t="s">
        <v>128</v>
      </c>
      <c r="AF1546" s="4">
        <v>12065882051</v>
      </c>
      <c r="AH1546" t="str">
        <f>"722511"</f>
        <v>722511</v>
      </c>
      <c r="AI1546" t="s">
        <v>130</v>
      </c>
      <c r="AJ1546" t="s">
        <v>2394</v>
      </c>
      <c r="AK1546" t="s">
        <v>2395</v>
      </c>
      <c r="AM1546" t="s">
        <v>19447</v>
      </c>
      <c r="AN1546" t="s">
        <v>2397</v>
      </c>
      <c r="AO1546" t="s">
        <v>2398</v>
      </c>
      <c r="AP1546" t="s">
        <v>149</v>
      </c>
      <c r="AQ1546" s="5">
        <v>98043</v>
      </c>
      <c r="AR1546" t="s">
        <v>128</v>
      </c>
      <c r="AT1546" s="4">
        <v>12064305108</v>
      </c>
      <c r="AU1546">
        <v>10</v>
      </c>
      <c r="AV1546" t="s">
        <v>2399</v>
      </c>
      <c r="AW1546" t="s">
        <v>2400</v>
      </c>
      <c r="AX1546" t="s">
        <v>131</v>
      </c>
      <c r="AY1546" t="s">
        <v>131</v>
      </c>
      <c r="AZ1546" t="s">
        <v>131</v>
      </c>
      <c r="BA1546" t="s">
        <v>131</v>
      </c>
      <c r="BB1546" t="s">
        <v>131</v>
      </c>
      <c r="BC1546" t="s">
        <v>131</v>
      </c>
      <c r="BD1546" t="s">
        <v>131</v>
      </c>
      <c r="BE1546" t="s">
        <v>132</v>
      </c>
      <c r="BH1546" t="s">
        <v>1205</v>
      </c>
      <c r="BI1546" t="s">
        <v>135</v>
      </c>
      <c r="BJ1546" t="s">
        <v>4760</v>
      </c>
      <c r="BK1546" t="s">
        <v>4761</v>
      </c>
      <c r="BL1546" t="s">
        <v>167</v>
      </c>
      <c r="BO1546" t="s">
        <v>131</v>
      </c>
      <c r="BP1546" t="s">
        <v>134</v>
      </c>
      <c r="BQ1546" t="s">
        <v>131</v>
      </c>
      <c r="BS1546" t="str">
        <f t="shared" si="96"/>
        <v>N/A</v>
      </c>
      <c r="BT1546" t="s">
        <v>135</v>
      </c>
      <c r="BU1546">
        <v>12</v>
      </c>
      <c r="BV1546" t="str">
        <f>"Manager of Japanese restaurant/bar.  
Manager experience can include as general manager, assistant manager, hall manager, or kitchen manager. 
"</f>
        <v xml:space="preserve">Manager of Japanese restaurant/bar.  
Manager experience can include as general manager, assistant manager, hall manager, or kitchen manager. 
</v>
      </c>
      <c r="BW1546" t="s">
        <v>131</v>
      </c>
      <c r="BX1546" t="str">
        <f>""</f>
        <v/>
      </c>
      <c r="BY1546" t="str">
        <f>""</f>
        <v/>
      </c>
      <c r="BZ1546" t="str">
        <f>""</f>
        <v/>
      </c>
      <c r="CA1546" t="str">
        <f>""</f>
        <v/>
      </c>
      <c r="CB1546" t="s">
        <v>131</v>
      </c>
      <c r="CF1546" t="s">
        <v>131</v>
      </c>
      <c r="CH1546" t="str">
        <f>""</f>
        <v/>
      </c>
      <c r="CI1546" t="s">
        <v>131</v>
      </c>
      <c r="CK1546" t="s">
        <v>131</v>
      </c>
      <c r="CL1546" t="str">
        <f>""</f>
        <v/>
      </c>
      <c r="CM1546" t="str">
        <f>""</f>
        <v/>
      </c>
      <c r="CN1546" t="str">
        <f>""</f>
        <v/>
      </c>
      <c r="CO1546" t="str">
        <f>""</f>
        <v/>
      </c>
      <c r="CP1546" t="str">
        <f>"11-9051.00"</f>
        <v>11-9051.00</v>
      </c>
      <c r="CQ1546" t="s">
        <v>4761</v>
      </c>
      <c r="CR1546" t="s">
        <v>395</v>
      </c>
      <c r="CS1546" t="s">
        <v>131</v>
      </c>
      <c r="CU1546" t="s">
        <v>6525</v>
      </c>
      <c r="CW1546" t="s">
        <v>371</v>
      </c>
      <c r="CX1546" t="s">
        <v>149</v>
      </c>
      <c r="CZ1546" s="3" t="str">
        <f>"98102"</f>
        <v>98102</v>
      </c>
      <c r="DA1546" t="s">
        <v>131</v>
      </c>
      <c r="DB1546" t="str">
        <f>""</f>
        <v/>
      </c>
      <c r="DF1546" t="str">
        <f>""</f>
        <v/>
      </c>
    </row>
    <row r="1547" spans="1:110" ht="15" customHeight="1" x14ac:dyDescent="0.35">
      <c r="A1547" t="s">
        <v>15758</v>
      </c>
      <c r="B1547" t="s">
        <v>138</v>
      </c>
      <c r="C1547" s="1">
        <v>44334</v>
      </c>
      <c r="G1547" s="1">
        <v>44336</v>
      </c>
      <c r="H1547" t="s">
        <v>125</v>
      </c>
      <c r="I1547" t="s">
        <v>13242</v>
      </c>
      <c r="J1547" t="s">
        <v>522</v>
      </c>
      <c r="L1547" t="s">
        <v>675</v>
      </c>
      <c r="M1547" t="s">
        <v>8602</v>
      </c>
      <c r="N1547" t="s">
        <v>884</v>
      </c>
      <c r="O1547" t="s">
        <v>616</v>
      </c>
      <c r="P1547" t="s">
        <v>194</v>
      </c>
      <c r="Q1547" s="3">
        <v>33156</v>
      </c>
      <c r="R1547" t="s">
        <v>128</v>
      </c>
      <c r="T1547" s="4">
        <v>17862701170</v>
      </c>
      <c r="V1547" t="s">
        <v>15759</v>
      </c>
      <c r="W1547" t="s">
        <v>15760</v>
      </c>
      <c r="Y1547" t="s">
        <v>8602</v>
      </c>
      <c r="Z1547" t="s">
        <v>884</v>
      </c>
      <c r="AA1547" t="s">
        <v>616</v>
      </c>
      <c r="AB1547" t="s">
        <v>195</v>
      </c>
      <c r="AC1547" s="3" t="str">
        <f>"33156"</f>
        <v>33156</v>
      </c>
      <c r="AD1547" t="s">
        <v>128</v>
      </c>
      <c r="AF1547" s="4">
        <v>13056700041</v>
      </c>
      <c r="AH1547" t="str">
        <f>"813910"</f>
        <v>813910</v>
      </c>
      <c r="AI1547" t="s">
        <v>130</v>
      </c>
      <c r="AJ1547" t="s">
        <v>8604</v>
      </c>
      <c r="AK1547" t="s">
        <v>6721</v>
      </c>
      <c r="AL1547" t="s">
        <v>1060</v>
      </c>
      <c r="AM1547" t="s">
        <v>3241</v>
      </c>
      <c r="AN1547" t="s">
        <v>686</v>
      </c>
      <c r="AO1547" t="s">
        <v>616</v>
      </c>
      <c r="AP1547" t="s">
        <v>195</v>
      </c>
      <c r="AQ1547" s="5">
        <v>33131</v>
      </c>
      <c r="AR1547" t="s">
        <v>128</v>
      </c>
      <c r="AT1547" s="4">
        <v>13054166880</v>
      </c>
      <c r="AU1547">
        <v>4357</v>
      </c>
      <c r="AV1547" t="s">
        <v>8605</v>
      </c>
      <c r="AW1547" t="s">
        <v>8606</v>
      </c>
      <c r="AX1547" t="s">
        <v>131</v>
      </c>
      <c r="AY1547" t="s">
        <v>131</v>
      </c>
      <c r="AZ1547" t="s">
        <v>131</v>
      </c>
      <c r="BA1547" t="s">
        <v>131</v>
      </c>
      <c r="BB1547" t="s">
        <v>131</v>
      </c>
      <c r="BC1547" t="s">
        <v>131</v>
      </c>
      <c r="BD1547" t="s">
        <v>131</v>
      </c>
      <c r="BE1547" t="s">
        <v>132</v>
      </c>
      <c r="BH1547" t="s">
        <v>8607</v>
      </c>
      <c r="BI1547" t="s">
        <v>131</v>
      </c>
      <c r="BL1547" t="s">
        <v>133</v>
      </c>
      <c r="BN1547" t="s">
        <v>14214</v>
      </c>
      <c r="BO1547" t="s">
        <v>131</v>
      </c>
      <c r="BP1547" t="s">
        <v>134</v>
      </c>
      <c r="BQ1547" t="s">
        <v>131</v>
      </c>
      <c r="BS1547" t="str">
        <f t="shared" si="96"/>
        <v>N/A</v>
      </c>
      <c r="BT1547" t="s">
        <v>135</v>
      </c>
      <c r="BU1547">
        <v>6</v>
      </c>
      <c r="BV1547" t="str">
        <f>"Supply Chain Planning role"</f>
        <v>Supply Chain Planning role</v>
      </c>
      <c r="BW1547" t="s">
        <v>135</v>
      </c>
      <c r="BX1547" t="str">
        <f>""</f>
        <v/>
      </c>
      <c r="BY1547" t="str">
        <f>""</f>
        <v/>
      </c>
      <c r="BZ1547" t="str">
        <f>""</f>
        <v/>
      </c>
      <c r="CA1547" t="str">
        <f>"Advance proficiency in use of Excel."</f>
        <v>Advance proficiency in use of Excel.</v>
      </c>
      <c r="CB1547" t="s">
        <v>131</v>
      </c>
      <c r="CF1547" t="s">
        <v>131</v>
      </c>
      <c r="CH1547" t="str">
        <f>""</f>
        <v/>
      </c>
      <c r="CI1547" t="s">
        <v>131</v>
      </c>
      <c r="CK1547" t="s">
        <v>131</v>
      </c>
      <c r="CL1547" t="str">
        <f>""</f>
        <v/>
      </c>
      <c r="CM1547" t="str">
        <f>""</f>
        <v/>
      </c>
      <c r="CN1547" t="str">
        <f>""</f>
        <v/>
      </c>
      <c r="CO1547" t="str">
        <f>""</f>
        <v/>
      </c>
      <c r="CP1547" t="str">
        <f>"13-1081.02"</f>
        <v>13-1081.02</v>
      </c>
      <c r="CQ1547" t="s">
        <v>4142</v>
      </c>
      <c r="CR1547" t="s">
        <v>8608</v>
      </c>
      <c r="CS1547" t="s">
        <v>135</v>
      </c>
      <c r="CT1547" t="s">
        <v>15761</v>
      </c>
      <c r="CU1547" t="s">
        <v>8602</v>
      </c>
      <c r="CV1547" t="s">
        <v>884</v>
      </c>
      <c r="CW1547" t="s">
        <v>616</v>
      </c>
      <c r="CX1547" t="s">
        <v>195</v>
      </c>
      <c r="CZ1547" s="3" t="str">
        <f>"33156"</f>
        <v>33156</v>
      </c>
      <c r="DA1547" t="s">
        <v>131</v>
      </c>
      <c r="DB1547" t="str">
        <f>""</f>
        <v/>
      </c>
      <c r="DF1547" t="str">
        <f>""</f>
        <v/>
      </c>
    </row>
    <row r="1548" spans="1:110" ht="15" customHeight="1" x14ac:dyDescent="0.35">
      <c r="A1548" t="s">
        <v>6456</v>
      </c>
      <c r="B1548" t="s">
        <v>138</v>
      </c>
      <c r="C1548" s="1">
        <v>44334</v>
      </c>
      <c r="G1548" s="1">
        <v>44335</v>
      </c>
      <c r="H1548" t="s">
        <v>125</v>
      </c>
      <c r="I1548" t="s">
        <v>6457</v>
      </c>
      <c r="J1548" t="s">
        <v>348</v>
      </c>
      <c r="L1548" t="s">
        <v>907</v>
      </c>
      <c r="M1548" t="s">
        <v>176</v>
      </c>
      <c r="O1548" t="s">
        <v>2628</v>
      </c>
      <c r="P1548" t="s">
        <v>178</v>
      </c>
      <c r="Q1548" s="3">
        <v>94612</v>
      </c>
      <c r="R1548" t="s">
        <v>128</v>
      </c>
      <c r="T1548" s="4">
        <v>14159790788</v>
      </c>
      <c r="V1548" t="s">
        <v>179</v>
      </c>
      <c r="W1548" t="s">
        <v>180</v>
      </c>
      <c r="Y1548" t="s">
        <v>6458</v>
      </c>
      <c r="AA1548" t="s">
        <v>177</v>
      </c>
      <c r="AB1548" t="s">
        <v>172</v>
      </c>
      <c r="AC1548" s="3" t="str">
        <f>"94612"</f>
        <v>94612</v>
      </c>
      <c r="AD1548" t="s">
        <v>128</v>
      </c>
      <c r="AF1548" s="4">
        <v>14159790788</v>
      </c>
      <c r="AH1548" t="str">
        <f>"54132"</f>
        <v>54132</v>
      </c>
      <c r="AI1548" t="s">
        <v>130</v>
      </c>
      <c r="AJ1548" t="s">
        <v>181</v>
      </c>
      <c r="AK1548" t="s">
        <v>182</v>
      </c>
      <c r="AM1548" t="s">
        <v>183</v>
      </c>
      <c r="AO1548" t="s">
        <v>184</v>
      </c>
      <c r="AP1548" t="s">
        <v>172</v>
      </c>
      <c r="AQ1548" s="5">
        <v>94539</v>
      </c>
      <c r="AR1548" t="s">
        <v>128</v>
      </c>
      <c r="AT1548" s="4">
        <v>14083928880</v>
      </c>
      <c r="AV1548" t="s">
        <v>185</v>
      </c>
      <c r="AW1548" t="s">
        <v>186</v>
      </c>
      <c r="AX1548" t="s">
        <v>131</v>
      </c>
      <c r="AY1548" t="s">
        <v>131</v>
      </c>
      <c r="AZ1548" t="s">
        <v>131</v>
      </c>
      <c r="BA1548" t="s">
        <v>131</v>
      </c>
      <c r="BB1548" t="s">
        <v>131</v>
      </c>
      <c r="BC1548" t="s">
        <v>131</v>
      </c>
      <c r="BD1548" t="s">
        <v>131</v>
      </c>
      <c r="BE1548" t="s">
        <v>132</v>
      </c>
      <c r="BH1548" t="s">
        <v>187</v>
      </c>
      <c r="BI1548" t="s">
        <v>131</v>
      </c>
      <c r="BL1548" t="s">
        <v>133</v>
      </c>
      <c r="BN1548" t="s">
        <v>189</v>
      </c>
      <c r="BO1548" t="s">
        <v>131</v>
      </c>
      <c r="BP1548" t="s">
        <v>134</v>
      </c>
      <c r="BQ1548" t="s">
        <v>131</v>
      </c>
      <c r="BS1548" t="str">
        <f t="shared" si="96"/>
        <v>N/A</v>
      </c>
      <c r="BT1548" t="s">
        <v>135</v>
      </c>
      <c r="BU1548">
        <v>12</v>
      </c>
      <c r="BV1548" t="str">
        <f>"IN THE JOB OFFERED"</f>
        <v>IN THE JOB OFFERED</v>
      </c>
      <c r="BW1548" t="s">
        <v>131</v>
      </c>
      <c r="BX1548" t="str">
        <f>""</f>
        <v/>
      </c>
      <c r="BY1548" t="str">
        <f>""</f>
        <v/>
      </c>
      <c r="BZ1548" t="str">
        <f>""</f>
        <v/>
      </c>
      <c r="CA1548" t="str">
        <f>""</f>
        <v/>
      </c>
      <c r="CB1548" t="s">
        <v>131</v>
      </c>
      <c r="CF1548" t="s">
        <v>131</v>
      </c>
      <c r="CH1548" t="str">
        <f>""</f>
        <v/>
      </c>
      <c r="CI1548" t="s">
        <v>131</v>
      </c>
      <c r="CK1548" t="s">
        <v>131</v>
      </c>
      <c r="CL1548" t="str">
        <f>""</f>
        <v/>
      </c>
      <c r="CM1548" t="str">
        <f>""</f>
        <v/>
      </c>
      <c r="CN1548" t="str">
        <f>""</f>
        <v/>
      </c>
      <c r="CO1548" t="str">
        <f>""</f>
        <v/>
      </c>
      <c r="CP1548" t="str">
        <f>"17-1012.00"</f>
        <v>17-1012.00</v>
      </c>
      <c r="CQ1548" t="s">
        <v>190</v>
      </c>
      <c r="CR1548" t="s">
        <v>6459</v>
      </c>
      <c r="CS1548" t="s">
        <v>131</v>
      </c>
      <c r="CU1548" t="s">
        <v>176</v>
      </c>
      <c r="CW1548" t="s">
        <v>177</v>
      </c>
      <c r="CX1548" t="s">
        <v>172</v>
      </c>
      <c r="CZ1548" s="3" t="str">
        <f>"94612"</f>
        <v>94612</v>
      </c>
      <c r="DA1548" t="s">
        <v>131</v>
      </c>
      <c r="DB1548" t="str">
        <f>""</f>
        <v/>
      </c>
      <c r="DF1548" t="str">
        <f>""</f>
        <v/>
      </c>
    </row>
    <row r="1549" spans="1:110" ht="15" customHeight="1" x14ac:dyDescent="0.35">
      <c r="A1549" t="s">
        <v>16663</v>
      </c>
      <c r="B1549" t="s">
        <v>138</v>
      </c>
      <c r="C1549" s="1">
        <v>44334</v>
      </c>
      <c r="G1549" s="1">
        <v>44335</v>
      </c>
      <c r="H1549" t="s">
        <v>125</v>
      </c>
      <c r="I1549" t="s">
        <v>173</v>
      </c>
      <c r="J1549" t="s">
        <v>174</v>
      </c>
      <c r="L1549" t="s">
        <v>175</v>
      </c>
      <c r="M1549" t="s">
        <v>176</v>
      </c>
      <c r="O1549" t="s">
        <v>177</v>
      </c>
      <c r="P1549" t="s">
        <v>178</v>
      </c>
      <c r="Q1549" s="3">
        <v>94612</v>
      </c>
      <c r="R1549" t="s">
        <v>128</v>
      </c>
      <c r="T1549" s="4">
        <v>14159790788</v>
      </c>
      <c r="V1549" t="s">
        <v>179</v>
      </c>
      <c r="W1549" t="s">
        <v>180</v>
      </c>
      <c r="Y1549" t="s">
        <v>176</v>
      </c>
      <c r="AA1549" t="s">
        <v>177</v>
      </c>
      <c r="AB1549" t="s">
        <v>172</v>
      </c>
      <c r="AC1549" s="3" t="str">
        <f>"94612"</f>
        <v>94612</v>
      </c>
      <c r="AD1549" t="s">
        <v>128</v>
      </c>
      <c r="AF1549" s="4">
        <v>14159790788</v>
      </c>
      <c r="AH1549" t="str">
        <f>"54132"</f>
        <v>54132</v>
      </c>
      <c r="AI1549" t="s">
        <v>130</v>
      </c>
      <c r="AJ1549" t="s">
        <v>181</v>
      </c>
      <c r="AK1549" t="s">
        <v>182</v>
      </c>
      <c r="AM1549" t="s">
        <v>183</v>
      </c>
      <c r="AO1549" t="s">
        <v>184</v>
      </c>
      <c r="AP1549" t="s">
        <v>172</v>
      </c>
      <c r="AQ1549" s="5">
        <v>94539</v>
      </c>
      <c r="AR1549" t="s">
        <v>128</v>
      </c>
      <c r="AT1549" s="4">
        <v>14083928880</v>
      </c>
      <c r="AV1549" t="s">
        <v>185</v>
      </c>
      <c r="AW1549" t="s">
        <v>186</v>
      </c>
      <c r="AX1549" t="s">
        <v>131</v>
      </c>
      <c r="AY1549" t="s">
        <v>131</v>
      </c>
      <c r="AZ1549" t="s">
        <v>131</v>
      </c>
      <c r="BA1549" t="s">
        <v>131</v>
      </c>
      <c r="BB1549" t="s">
        <v>131</v>
      </c>
      <c r="BC1549" t="s">
        <v>131</v>
      </c>
      <c r="BD1549" t="s">
        <v>131</v>
      </c>
      <c r="BE1549" t="s">
        <v>132</v>
      </c>
      <c r="BH1549" t="s">
        <v>16664</v>
      </c>
      <c r="BI1549" t="s">
        <v>131</v>
      </c>
      <c r="BL1549" t="s">
        <v>188</v>
      </c>
      <c r="BN1549" t="s">
        <v>189</v>
      </c>
      <c r="BO1549" t="s">
        <v>131</v>
      </c>
      <c r="BP1549" t="s">
        <v>134</v>
      </c>
      <c r="BQ1549" t="s">
        <v>131</v>
      </c>
      <c r="BS1549" t="str">
        <f t="shared" si="96"/>
        <v>N/A</v>
      </c>
      <c r="BT1549" t="s">
        <v>135</v>
      </c>
      <c r="BU1549">
        <v>24</v>
      </c>
      <c r="BV1549" t="str">
        <f>"IN THE JOB OFFERED FIELD"</f>
        <v>IN THE JOB OFFERED FIELD</v>
      </c>
      <c r="BW1549" t="s">
        <v>131</v>
      </c>
      <c r="BX1549" t="str">
        <f>""</f>
        <v/>
      </c>
      <c r="BY1549" t="str">
        <f>""</f>
        <v/>
      </c>
      <c r="BZ1549" t="str">
        <f>""</f>
        <v/>
      </c>
      <c r="CA1549" t="str">
        <f>""</f>
        <v/>
      </c>
      <c r="CB1549" t="s">
        <v>131</v>
      </c>
      <c r="CF1549" t="s">
        <v>131</v>
      </c>
      <c r="CH1549" t="str">
        <f>""</f>
        <v/>
      </c>
      <c r="CI1549" t="s">
        <v>131</v>
      </c>
      <c r="CK1549" t="s">
        <v>131</v>
      </c>
      <c r="CL1549" t="str">
        <f>""</f>
        <v/>
      </c>
      <c r="CM1549" t="str">
        <f>""</f>
        <v/>
      </c>
      <c r="CN1549" t="str">
        <f>""</f>
        <v/>
      </c>
      <c r="CO1549" t="str">
        <f>""</f>
        <v/>
      </c>
      <c r="CP1549" t="str">
        <f>"17-1012.00"</f>
        <v>17-1012.00</v>
      </c>
      <c r="CQ1549" t="s">
        <v>190</v>
      </c>
      <c r="CR1549" t="s">
        <v>191</v>
      </c>
      <c r="CS1549" t="s">
        <v>131</v>
      </c>
      <c r="CU1549" t="s">
        <v>176</v>
      </c>
      <c r="CW1549" t="s">
        <v>177</v>
      </c>
      <c r="CX1549" t="s">
        <v>172</v>
      </c>
      <c r="CZ1549" s="3" t="str">
        <f>"94612"</f>
        <v>94612</v>
      </c>
      <c r="DA1549" t="s">
        <v>131</v>
      </c>
      <c r="DB1549" t="str">
        <f>""</f>
        <v/>
      </c>
      <c r="DF1549" t="str">
        <f>""</f>
        <v/>
      </c>
    </row>
    <row r="1550" spans="1:110" ht="15" customHeight="1" x14ac:dyDescent="0.35">
      <c r="A1550" t="s">
        <v>19303</v>
      </c>
      <c r="B1550" t="s">
        <v>138</v>
      </c>
      <c r="C1550" s="1">
        <v>44334</v>
      </c>
      <c r="G1550" s="1">
        <v>44335</v>
      </c>
      <c r="H1550" t="s">
        <v>125</v>
      </c>
      <c r="I1550" t="s">
        <v>173</v>
      </c>
      <c r="J1550" t="s">
        <v>174</v>
      </c>
      <c r="L1550" t="s">
        <v>175</v>
      </c>
      <c r="M1550" t="s">
        <v>176</v>
      </c>
      <c r="O1550" t="s">
        <v>177</v>
      </c>
      <c r="P1550" t="s">
        <v>178</v>
      </c>
      <c r="Q1550" s="3">
        <v>94612</v>
      </c>
      <c r="R1550" t="s">
        <v>128</v>
      </c>
      <c r="T1550" s="4">
        <v>14159790788</v>
      </c>
      <c r="V1550" t="s">
        <v>179</v>
      </c>
      <c r="W1550" t="s">
        <v>180</v>
      </c>
      <c r="Y1550" t="s">
        <v>176</v>
      </c>
      <c r="AA1550" t="s">
        <v>177</v>
      </c>
      <c r="AB1550" t="s">
        <v>172</v>
      </c>
      <c r="AC1550" s="3" t="str">
        <f>"94612"</f>
        <v>94612</v>
      </c>
      <c r="AD1550" t="s">
        <v>128</v>
      </c>
      <c r="AF1550" s="4">
        <v>14159790788</v>
      </c>
      <c r="AH1550" t="str">
        <f>"54132"</f>
        <v>54132</v>
      </c>
      <c r="AI1550" t="s">
        <v>130</v>
      </c>
      <c r="AJ1550" t="s">
        <v>181</v>
      </c>
      <c r="AK1550" t="s">
        <v>182</v>
      </c>
      <c r="AM1550" t="s">
        <v>183</v>
      </c>
      <c r="AO1550" t="s">
        <v>184</v>
      </c>
      <c r="AP1550" t="s">
        <v>172</v>
      </c>
      <c r="AQ1550" s="5">
        <v>94539</v>
      </c>
      <c r="AR1550" t="s">
        <v>128</v>
      </c>
      <c r="AT1550" s="4">
        <v>14083928880</v>
      </c>
      <c r="AV1550" t="s">
        <v>185</v>
      </c>
      <c r="AW1550" t="s">
        <v>186</v>
      </c>
      <c r="AX1550" t="s">
        <v>131</v>
      </c>
      <c r="AY1550" t="s">
        <v>131</v>
      </c>
      <c r="AZ1550" t="s">
        <v>131</v>
      </c>
      <c r="BA1550" t="s">
        <v>131</v>
      </c>
      <c r="BB1550" t="s">
        <v>131</v>
      </c>
      <c r="BC1550" t="s">
        <v>131</v>
      </c>
      <c r="BD1550" t="s">
        <v>131</v>
      </c>
      <c r="BE1550" t="s">
        <v>132</v>
      </c>
      <c r="BH1550" t="s">
        <v>187</v>
      </c>
      <c r="BI1550" t="s">
        <v>131</v>
      </c>
      <c r="BL1550" t="s">
        <v>133</v>
      </c>
      <c r="BN1550" t="s">
        <v>189</v>
      </c>
      <c r="BO1550" t="s">
        <v>131</v>
      </c>
      <c r="BP1550" t="s">
        <v>134</v>
      </c>
      <c r="BQ1550" t="s">
        <v>131</v>
      </c>
      <c r="BS1550" t="str">
        <f t="shared" si="96"/>
        <v>N/A</v>
      </c>
      <c r="BT1550" t="s">
        <v>135</v>
      </c>
      <c r="BU1550">
        <v>24</v>
      </c>
      <c r="BV1550" t="str">
        <f>"IN THE JOB OFFERED FIELD"</f>
        <v>IN THE JOB OFFERED FIELD</v>
      </c>
      <c r="BW1550" t="s">
        <v>131</v>
      </c>
      <c r="BX1550" t="str">
        <f>""</f>
        <v/>
      </c>
      <c r="BY1550" t="str">
        <f>""</f>
        <v/>
      </c>
      <c r="BZ1550" t="str">
        <f>""</f>
        <v/>
      </c>
      <c r="CA1550" t="str">
        <f>""</f>
        <v/>
      </c>
      <c r="CB1550" t="s">
        <v>131</v>
      </c>
      <c r="CF1550" t="s">
        <v>131</v>
      </c>
      <c r="CH1550" t="str">
        <f>""</f>
        <v/>
      </c>
      <c r="CI1550" t="s">
        <v>131</v>
      </c>
      <c r="CK1550" t="s">
        <v>131</v>
      </c>
      <c r="CL1550" t="str">
        <f>""</f>
        <v/>
      </c>
      <c r="CM1550" t="str">
        <f>""</f>
        <v/>
      </c>
      <c r="CN1550" t="str">
        <f>""</f>
        <v/>
      </c>
      <c r="CO1550" t="str">
        <f>""</f>
        <v/>
      </c>
      <c r="CP1550" t="str">
        <f>"17-1012.00"</f>
        <v>17-1012.00</v>
      </c>
      <c r="CQ1550" t="s">
        <v>190</v>
      </c>
      <c r="CR1550" t="s">
        <v>191</v>
      </c>
      <c r="CS1550" t="s">
        <v>131</v>
      </c>
      <c r="CU1550" t="s">
        <v>176</v>
      </c>
      <c r="CW1550" t="s">
        <v>177</v>
      </c>
      <c r="CX1550" t="s">
        <v>172</v>
      </c>
      <c r="CZ1550" s="3" t="str">
        <f>"94612"</f>
        <v>94612</v>
      </c>
      <c r="DA1550" t="s">
        <v>131</v>
      </c>
      <c r="DB1550" t="str">
        <f>""</f>
        <v/>
      </c>
      <c r="DF1550" t="str">
        <f>""</f>
        <v/>
      </c>
    </row>
    <row r="1551" spans="1:110" ht="15" customHeight="1" x14ac:dyDescent="0.35">
      <c r="A1551" t="s">
        <v>11460</v>
      </c>
      <c r="B1551" t="s">
        <v>138</v>
      </c>
      <c r="C1551" s="1">
        <v>44334</v>
      </c>
      <c r="G1551" s="1">
        <v>44342</v>
      </c>
      <c r="H1551" t="s">
        <v>125</v>
      </c>
      <c r="I1551" t="s">
        <v>1622</v>
      </c>
      <c r="J1551" t="s">
        <v>1623</v>
      </c>
      <c r="K1551" t="s">
        <v>1624</v>
      </c>
      <c r="L1551" t="s">
        <v>130</v>
      </c>
      <c r="M1551" t="s">
        <v>4386</v>
      </c>
      <c r="N1551" t="s">
        <v>4387</v>
      </c>
      <c r="O1551" t="s">
        <v>719</v>
      </c>
      <c r="P1551" t="s">
        <v>720</v>
      </c>
      <c r="Q1551" s="3">
        <v>1701</v>
      </c>
      <c r="R1551" t="s">
        <v>128</v>
      </c>
      <c r="T1551" s="4">
        <v>15085323527</v>
      </c>
      <c r="V1551" t="s">
        <v>4388</v>
      </c>
      <c r="W1551" t="s">
        <v>7262</v>
      </c>
      <c r="Y1551" t="s">
        <v>7260</v>
      </c>
      <c r="Z1551" t="s">
        <v>11461</v>
      </c>
      <c r="AA1551" t="s">
        <v>494</v>
      </c>
      <c r="AB1551" t="s">
        <v>129</v>
      </c>
      <c r="AC1551" s="3" t="str">
        <f>"10001"</f>
        <v>10001</v>
      </c>
      <c r="AD1551" t="s">
        <v>128</v>
      </c>
      <c r="AF1551" s="4">
        <v>18666799129</v>
      </c>
      <c r="AH1551" t="str">
        <f>"451110"</f>
        <v>451110</v>
      </c>
      <c r="AI1551" t="s">
        <v>130</v>
      </c>
      <c r="AJ1551" t="s">
        <v>1622</v>
      </c>
      <c r="AK1551" t="s">
        <v>1623</v>
      </c>
      <c r="AL1551" t="s">
        <v>1624</v>
      </c>
      <c r="AM1551" t="s">
        <v>4386</v>
      </c>
      <c r="AN1551" t="s">
        <v>4387</v>
      </c>
      <c r="AO1551" t="s">
        <v>719</v>
      </c>
      <c r="AP1551" t="s">
        <v>377</v>
      </c>
      <c r="AQ1551" s="5">
        <v>1701</v>
      </c>
      <c r="AR1551" t="s">
        <v>128</v>
      </c>
      <c r="AT1551" s="4">
        <v>15085323527</v>
      </c>
      <c r="AV1551" t="s">
        <v>10561</v>
      </c>
      <c r="AW1551" t="s">
        <v>4389</v>
      </c>
      <c r="AX1551" t="s">
        <v>131</v>
      </c>
      <c r="AY1551" t="s">
        <v>131</v>
      </c>
      <c r="AZ1551" t="s">
        <v>131</v>
      </c>
      <c r="BA1551" t="s">
        <v>131</v>
      </c>
      <c r="BB1551" t="s">
        <v>131</v>
      </c>
      <c r="BC1551" t="s">
        <v>131</v>
      </c>
      <c r="BD1551" t="s">
        <v>131</v>
      </c>
      <c r="BE1551" t="s">
        <v>132</v>
      </c>
      <c r="BH1551" t="s">
        <v>10877</v>
      </c>
      <c r="BI1551" t="s">
        <v>131</v>
      </c>
      <c r="BL1551" t="s">
        <v>188</v>
      </c>
      <c r="BN1551" t="s">
        <v>11462</v>
      </c>
      <c r="BO1551" t="s">
        <v>131</v>
      </c>
      <c r="BP1551" t="s">
        <v>134</v>
      </c>
      <c r="BQ1551" t="s">
        <v>131</v>
      </c>
      <c r="BS1551" t="str">
        <f t="shared" si="96"/>
        <v>N/A</v>
      </c>
      <c r="BT1551" t="s">
        <v>135</v>
      </c>
      <c r="BU1551">
        <v>12</v>
      </c>
      <c r="BV1551" t="str">
        <f>"integration processes btwn apps using Dell Boomi AtomSphere platform(Cloud Integration,App Integration+Enterprise web serv APIs);EAI Integrations;Architecture, serv oriented+discoverable Web serv+APIs"</f>
        <v>integration processes btwn apps using Dell Boomi AtomSphere platform(Cloud Integration,App Integration+Enterprise web serv APIs);EAI Integrations;Architecture, serv oriented+discoverable Web serv+APIs</v>
      </c>
      <c r="BW1551" t="s">
        <v>131</v>
      </c>
      <c r="BX1551" t="str">
        <f>""</f>
        <v/>
      </c>
      <c r="BY1551" t="str">
        <f>""</f>
        <v/>
      </c>
      <c r="BZ1551" t="str">
        <f>""</f>
        <v/>
      </c>
      <c r="CA1551" t="str">
        <f>""</f>
        <v/>
      </c>
      <c r="CB1551" t="s">
        <v>131</v>
      </c>
      <c r="CF1551" t="s">
        <v>131</v>
      </c>
      <c r="CH1551" t="str">
        <f>""</f>
        <v/>
      </c>
      <c r="CI1551" t="s">
        <v>131</v>
      </c>
      <c r="CK1551" t="s">
        <v>131</v>
      </c>
      <c r="CL1551" t="str">
        <f>""</f>
        <v/>
      </c>
      <c r="CM1551" t="str">
        <f>""</f>
        <v/>
      </c>
      <c r="CN1551" t="str">
        <f>""</f>
        <v/>
      </c>
      <c r="CO1551" t="str">
        <f>""</f>
        <v/>
      </c>
      <c r="CP1551" t="str">
        <f>"15-1133.00"</f>
        <v>15-1133.00</v>
      </c>
      <c r="CQ1551" t="s">
        <v>648</v>
      </c>
      <c r="CR1551" t="s">
        <v>11463</v>
      </c>
      <c r="CS1551" t="s">
        <v>131</v>
      </c>
      <c r="CU1551" t="s">
        <v>11464</v>
      </c>
      <c r="CV1551" t="s">
        <v>646</v>
      </c>
      <c r="CW1551" t="s">
        <v>1447</v>
      </c>
      <c r="CX1551" t="s">
        <v>400</v>
      </c>
      <c r="CZ1551" s="3" t="str">
        <f>"75023"</f>
        <v>75023</v>
      </c>
      <c r="DA1551" t="s">
        <v>131</v>
      </c>
      <c r="DB1551" t="str">
        <f>""</f>
        <v/>
      </c>
      <c r="DF1551" t="str">
        <f>""</f>
        <v/>
      </c>
    </row>
    <row r="1552" spans="1:110" ht="15" customHeight="1" x14ac:dyDescent="0.35">
      <c r="A1552" t="s">
        <v>12323</v>
      </c>
      <c r="B1552" t="s">
        <v>138</v>
      </c>
      <c r="C1552" s="1">
        <v>44334</v>
      </c>
      <c r="G1552" s="1">
        <v>44335</v>
      </c>
      <c r="H1552" t="s">
        <v>125</v>
      </c>
      <c r="I1552" t="s">
        <v>2520</v>
      </c>
      <c r="J1552" t="s">
        <v>2521</v>
      </c>
      <c r="L1552" t="s">
        <v>2522</v>
      </c>
      <c r="M1552" t="s">
        <v>2523</v>
      </c>
      <c r="O1552" t="s">
        <v>1506</v>
      </c>
      <c r="P1552" t="s">
        <v>178</v>
      </c>
      <c r="Q1552" s="3">
        <v>94086</v>
      </c>
      <c r="R1552" t="s">
        <v>128</v>
      </c>
      <c r="T1552" s="4">
        <v>14085237070</v>
      </c>
      <c r="V1552" t="s">
        <v>2524</v>
      </c>
      <c r="W1552" t="s">
        <v>2525</v>
      </c>
      <c r="Y1552" t="s">
        <v>2523</v>
      </c>
      <c r="AA1552" t="s">
        <v>1506</v>
      </c>
      <c r="AB1552" t="s">
        <v>172</v>
      </c>
      <c r="AC1552" s="3" t="str">
        <f>"94086"</f>
        <v>94086</v>
      </c>
      <c r="AD1552" t="s">
        <v>128</v>
      </c>
      <c r="AF1552" s="4">
        <v>14085237070</v>
      </c>
      <c r="AH1552" t="str">
        <f>"33911"</f>
        <v>33911</v>
      </c>
      <c r="AI1552" t="s">
        <v>130</v>
      </c>
      <c r="AJ1552" t="s">
        <v>2526</v>
      </c>
      <c r="AK1552" t="s">
        <v>2527</v>
      </c>
      <c r="AM1552" t="s">
        <v>4427</v>
      </c>
      <c r="AN1552" t="s">
        <v>731</v>
      </c>
      <c r="AO1552" t="s">
        <v>664</v>
      </c>
      <c r="AP1552" t="s">
        <v>172</v>
      </c>
      <c r="AQ1552" s="5">
        <v>95112</v>
      </c>
      <c r="AR1552" t="s">
        <v>128</v>
      </c>
      <c r="AT1552" s="4">
        <v>14082135092</v>
      </c>
      <c r="AV1552" t="s">
        <v>12324</v>
      </c>
      <c r="AW1552" t="s">
        <v>732</v>
      </c>
      <c r="AX1552" t="s">
        <v>131</v>
      </c>
      <c r="AY1552" t="s">
        <v>131</v>
      </c>
      <c r="AZ1552" t="s">
        <v>131</v>
      </c>
      <c r="BA1552" t="s">
        <v>131</v>
      </c>
      <c r="BB1552" t="s">
        <v>131</v>
      </c>
      <c r="BC1552" t="s">
        <v>131</v>
      </c>
      <c r="BD1552" t="s">
        <v>131</v>
      </c>
      <c r="BE1552" t="s">
        <v>132</v>
      </c>
      <c r="BH1552" t="s">
        <v>9197</v>
      </c>
      <c r="BI1552" t="s">
        <v>131</v>
      </c>
      <c r="BL1552" t="s">
        <v>447</v>
      </c>
      <c r="BN1552" t="s">
        <v>12325</v>
      </c>
      <c r="BO1552" t="s">
        <v>131</v>
      </c>
      <c r="BP1552" t="s">
        <v>134</v>
      </c>
      <c r="BQ1552" t="s">
        <v>131</v>
      </c>
      <c r="BS1552" t="str">
        <f t="shared" si="96"/>
        <v>N/A</v>
      </c>
      <c r="BT1552" t="s">
        <v>131</v>
      </c>
      <c r="BV1552" t="str">
        <f>""</f>
        <v/>
      </c>
      <c r="BW1552" t="s">
        <v>135</v>
      </c>
      <c r="BX1552" t="str">
        <f>""</f>
        <v/>
      </c>
      <c r="BY1552" t="str">
        <f>""</f>
        <v/>
      </c>
      <c r="BZ1552" t="str">
        <f>""</f>
        <v/>
      </c>
      <c r="CA1552" s="2" t="s">
        <v>9198</v>
      </c>
      <c r="CB1552" t="s">
        <v>131</v>
      </c>
      <c r="CF1552" t="s">
        <v>131</v>
      </c>
      <c r="CH1552" t="str">
        <f>""</f>
        <v/>
      </c>
      <c r="CI1552" t="s">
        <v>131</v>
      </c>
      <c r="CK1552" t="s">
        <v>131</v>
      </c>
      <c r="CL1552" t="str">
        <f>""</f>
        <v/>
      </c>
      <c r="CM1552" t="str">
        <f>""</f>
        <v/>
      </c>
      <c r="CN1552" t="str">
        <f>""</f>
        <v/>
      </c>
      <c r="CO1552" t="str">
        <f>""</f>
        <v/>
      </c>
      <c r="CP1552" t="str">
        <f>"19-1029.01"</f>
        <v>19-1029.01</v>
      </c>
      <c r="CQ1552" t="s">
        <v>3703</v>
      </c>
      <c r="CR1552" t="s">
        <v>9199</v>
      </c>
      <c r="CS1552" t="s">
        <v>131</v>
      </c>
      <c r="CU1552" t="s">
        <v>9200</v>
      </c>
      <c r="CW1552" t="s">
        <v>817</v>
      </c>
      <c r="CX1552" t="s">
        <v>643</v>
      </c>
      <c r="CZ1552" s="3" t="str">
        <f>"30092"</f>
        <v>30092</v>
      </c>
      <c r="DA1552" t="s">
        <v>131</v>
      </c>
      <c r="DB1552" t="str">
        <f>""</f>
        <v/>
      </c>
      <c r="DF1552" t="str">
        <f>""</f>
        <v/>
      </c>
    </row>
    <row r="1553" spans="1:110" ht="15" customHeight="1" x14ac:dyDescent="0.35">
      <c r="A1553" t="s">
        <v>16491</v>
      </c>
      <c r="B1553" t="s">
        <v>138</v>
      </c>
      <c r="C1553" s="1">
        <v>44334</v>
      </c>
      <c r="G1553" s="1">
        <v>44343</v>
      </c>
      <c r="H1553" t="s">
        <v>125</v>
      </c>
      <c r="I1553" t="s">
        <v>1622</v>
      </c>
      <c r="J1553" t="s">
        <v>1623</v>
      </c>
      <c r="K1553" t="s">
        <v>1624</v>
      </c>
      <c r="L1553" t="s">
        <v>130</v>
      </c>
      <c r="M1553" t="s">
        <v>4386</v>
      </c>
      <c r="N1553" t="s">
        <v>4387</v>
      </c>
      <c r="O1553" t="s">
        <v>719</v>
      </c>
      <c r="P1553" t="s">
        <v>720</v>
      </c>
      <c r="Q1553" s="3">
        <v>1701</v>
      </c>
      <c r="R1553" t="s">
        <v>128</v>
      </c>
      <c r="T1553" s="4">
        <v>15085323527</v>
      </c>
      <c r="V1553" t="s">
        <v>4388</v>
      </c>
      <c r="W1553" t="s">
        <v>4619</v>
      </c>
      <c r="Y1553" t="s">
        <v>10560</v>
      </c>
      <c r="Z1553" t="s">
        <v>4618</v>
      </c>
      <c r="AA1553" t="s">
        <v>664</v>
      </c>
      <c r="AB1553" t="s">
        <v>172</v>
      </c>
      <c r="AC1553" s="3" t="str">
        <f>"95124"</f>
        <v>95124</v>
      </c>
      <c r="AD1553" t="s">
        <v>128</v>
      </c>
      <c r="AF1553" s="4">
        <v>14088192336</v>
      </c>
      <c r="AH1553" t="str">
        <f t="shared" ref="AH1553:AH1558" si="97">"541511"</f>
        <v>541511</v>
      </c>
      <c r="AI1553" t="s">
        <v>130</v>
      </c>
      <c r="AJ1553" t="s">
        <v>1622</v>
      </c>
      <c r="AK1553" t="s">
        <v>1623</v>
      </c>
      <c r="AL1553" t="s">
        <v>1624</v>
      </c>
      <c r="AM1553" t="s">
        <v>4386</v>
      </c>
      <c r="AN1553" t="s">
        <v>4387</v>
      </c>
      <c r="AO1553" t="s">
        <v>719</v>
      </c>
      <c r="AP1553" t="s">
        <v>377</v>
      </c>
      <c r="AQ1553" s="5">
        <v>1701</v>
      </c>
      <c r="AR1553" t="s">
        <v>128</v>
      </c>
      <c r="AT1553" s="4">
        <v>15085323527</v>
      </c>
      <c r="AV1553" t="s">
        <v>10561</v>
      </c>
      <c r="AW1553" t="s">
        <v>4389</v>
      </c>
      <c r="AX1553" t="s">
        <v>131</v>
      </c>
      <c r="AY1553" t="s">
        <v>131</v>
      </c>
      <c r="AZ1553" t="s">
        <v>131</v>
      </c>
      <c r="BA1553" t="s">
        <v>131</v>
      </c>
      <c r="BB1553" t="s">
        <v>131</v>
      </c>
      <c r="BC1553" t="s">
        <v>131</v>
      </c>
      <c r="BD1553" t="s">
        <v>131</v>
      </c>
      <c r="BE1553" t="s">
        <v>132</v>
      </c>
      <c r="BH1553" t="s">
        <v>1063</v>
      </c>
      <c r="BI1553" t="s">
        <v>131</v>
      </c>
      <c r="BL1553" t="s">
        <v>133</v>
      </c>
      <c r="BN1553" t="s">
        <v>16492</v>
      </c>
      <c r="BO1553" t="s">
        <v>131</v>
      </c>
      <c r="BP1553" t="s">
        <v>134</v>
      </c>
      <c r="BQ1553" t="s">
        <v>131</v>
      </c>
      <c r="BS1553" t="str">
        <f t="shared" si="96"/>
        <v>N/A</v>
      </c>
      <c r="BT1553" t="s">
        <v>135</v>
      </c>
      <c r="BU1553">
        <v>60</v>
      </c>
      <c r="BV1553" t="str">
        <f>"Experience must include demonstrable knowledge of: Petabyte Scale Data Warehousing; Snowflake SQL; Snowflake Cost Optimization; Teradata SQL; Teradata Utility; Petabyte Scale Data Ingestion, and; Unix"</f>
        <v>Experience must include demonstrable knowledge of: Petabyte Scale Data Warehousing; Snowflake SQL; Snowflake Cost Optimization; Teradata SQL; Teradata Utility; Petabyte Scale Data Ingestion, and; Unix</v>
      </c>
      <c r="BW1553" t="s">
        <v>131</v>
      </c>
      <c r="BX1553" t="str">
        <f>""</f>
        <v/>
      </c>
      <c r="BY1553" t="str">
        <f>""</f>
        <v/>
      </c>
      <c r="BZ1553" t="str">
        <f>""</f>
        <v/>
      </c>
      <c r="CA1553" t="str">
        <f>""</f>
        <v/>
      </c>
      <c r="CB1553" t="s">
        <v>131</v>
      </c>
      <c r="CF1553" t="s">
        <v>131</v>
      </c>
      <c r="CH1553" t="str">
        <f>""</f>
        <v/>
      </c>
      <c r="CI1553" t="s">
        <v>131</v>
      </c>
      <c r="CK1553" t="s">
        <v>131</v>
      </c>
      <c r="CL1553" t="str">
        <f>""</f>
        <v/>
      </c>
      <c r="CM1553" t="str">
        <f>""</f>
        <v/>
      </c>
      <c r="CN1553" t="str">
        <f>""</f>
        <v/>
      </c>
      <c r="CO1553" t="str">
        <f>""</f>
        <v/>
      </c>
      <c r="CP1553" t="str">
        <f>"15-1121.00"</f>
        <v>15-1121.00</v>
      </c>
      <c r="CQ1553" t="s">
        <v>283</v>
      </c>
      <c r="CR1553" t="s">
        <v>9486</v>
      </c>
      <c r="CS1553" t="s">
        <v>135</v>
      </c>
      <c r="CT1553" t="s">
        <v>8415</v>
      </c>
      <c r="CU1553" t="s">
        <v>10560</v>
      </c>
      <c r="CV1553" t="s">
        <v>4618</v>
      </c>
      <c r="CW1553" t="s">
        <v>664</v>
      </c>
      <c r="CX1553" t="s">
        <v>172</v>
      </c>
      <c r="CZ1553" s="3" t="str">
        <f>"95124"</f>
        <v>95124</v>
      </c>
      <c r="DA1553" t="s">
        <v>131</v>
      </c>
      <c r="DB1553" t="str">
        <f>""</f>
        <v/>
      </c>
      <c r="DF1553" t="str">
        <f>""</f>
        <v/>
      </c>
    </row>
    <row r="1554" spans="1:110" ht="15" customHeight="1" x14ac:dyDescent="0.35">
      <c r="A1554" t="s">
        <v>19835</v>
      </c>
      <c r="B1554" t="s">
        <v>138</v>
      </c>
      <c r="C1554" s="1">
        <v>44335</v>
      </c>
      <c r="G1554" s="1">
        <v>44335</v>
      </c>
      <c r="H1554" t="s">
        <v>125</v>
      </c>
      <c r="I1554" t="s">
        <v>6145</v>
      </c>
      <c r="J1554" t="s">
        <v>10753</v>
      </c>
      <c r="L1554" t="s">
        <v>3647</v>
      </c>
      <c r="M1554" t="s">
        <v>10754</v>
      </c>
      <c r="N1554" t="s">
        <v>10456</v>
      </c>
      <c r="O1554" t="s">
        <v>2111</v>
      </c>
      <c r="P1554" t="s">
        <v>539</v>
      </c>
      <c r="Q1554" s="3">
        <v>60195</v>
      </c>
      <c r="R1554" t="s">
        <v>128</v>
      </c>
      <c r="T1554" s="4">
        <v>18474661067</v>
      </c>
      <c r="V1554" t="s">
        <v>10755</v>
      </c>
      <c r="W1554" t="s">
        <v>10756</v>
      </c>
      <c r="Y1554" t="s">
        <v>10754</v>
      </c>
      <c r="Z1554" t="s">
        <v>10456</v>
      </c>
      <c r="AA1554" t="s">
        <v>2111</v>
      </c>
      <c r="AB1554" t="s">
        <v>263</v>
      </c>
      <c r="AC1554" s="3" t="str">
        <f>"60195"</f>
        <v>60195</v>
      </c>
      <c r="AD1554" t="s">
        <v>128</v>
      </c>
      <c r="AF1554" s="4">
        <v>18474661067</v>
      </c>
      <c r="AH1554" t="str">
        <f t="shared" si="97"/>
        <v>541511</v>
      </c>
      <c r="AI1554" t="s">
        <v>130</v>
      </c>
      <c r="AJ1554" t="s">
        <v>3285</v>
      </c>
      <c r="AK1554" t="s">
        <v>1695</v>
      </c>
      <c r="AL1554" t="s">
        <v>268</v>
      </c>
      <c r="AM1554" t="s">
        <v>3652</v>
      </c>
      <c r="AN1554" t="s">
        <v>3287</v>
      </c>
      <c r="AO1554" t="s">
        <v>3287</v>
      </c>
      <c r="AP1554" t="s">
        <v>263</v>
      </c>
      <c r="AQ1554" s="5">
        <v>60093</v>
      </c>
      <c r="AR1554" t="s">
        <v>128</v>
      </c>
      <c r="AT1554" s="4">
        <v>18474414188</v>
      </c>
      <c r="AV1554" t="s">
        <v>3289</v>
      </c>
      <c r="AW1554" t="s">
        <v>3290</v>
      </c>
      <c r="AX1554" t="s">
        <v>131</v>
      </c>
      <c r="AY1554" t="s">
        <v>131</v>
      </c>
      <c r="AZ1554" t="s">
        <v>131</v>
      </c>
      <c r="BA1554" t="s">
        <v>131</v>
      </c>
      <c r="BB1554" t="s">
        <v>131</v>
      </c>
      <c r="BC1554" t="s">
        <v>131</v>
      </c>
      <c r="BD1554" t="s">
        <v>131</v>
      </c>
      <c r="BE1554" t="s">
        <v>132</v>
      </c>
      <c r="BH1554" t="s">
        <v>846</v>
      </c>
      <c r="BI1554" t="s">
        <v>131</v>
      </c>
      <c r="BL1554" t="s">
        <v>188</v>
      </c>
      <c r="BN1554" t="s">
        <v>19836</v>
      </c>
      <c r="BO1554" t="s">
        <v>131</v>
      </c>
      <c r="BP1554" t="s">
        <v>134</v>
      </c>
      <c r="BQ1554" t="s">
        <v>131</v>
      </c>
      <c r="BS1554" t="str">
        <f t="shared" si="96"/>
        <v>N/A</v>
      </c>
      <c r="BT1554" t="s">
        <v>131</v>
      </c>
      <c r="BV1554" t="str">
        <f>""</f>
        <v/>
      </c>
      <c r="BW1554" t="s">
        <v>135</v>
      </c>
      <c r="BX1554" t="str">
        <f>""</f>
        <v/>
      </c>
      <c r="BY1554" t="str">
        <f>""</f>
        <v/>
      </c>
      <c r="BZ1554" t="str">
        <f>""</f>
        <v/>
      </c>
      <c r="CA1554" t="s">
        <v>19837</v>
      </c>
      <c r="CB1554" t="s">
        <v>131</v>
      </c>
      <c r="CF1554" t="s">
        <v>131</v>
      </c>
      <c r="CH1554" t="str">
        <f>""</f>
        <v/>
      </c>
      <c r="CI1554" t="s">
        <v>131</v>
      </c>
      <c r="CK1554" t="s">
        <v>131</v>
      </c>
      <c r="CL1554" t="str">
        <f>""</f>
        <v/>
      </c>
      <c r="CM1554" t="str">
        <f>""</f>
        <v/>
      </c>
      <c r="CN1554" t="str">
        <f>""</f>
        <v/>
      </c>
      <c r="CO1554" t="str">
        <f>""</f>
        <v/>
      </c>
      <c r="CP1554" t="str">
        <f>"15-1132.00"</f>
        <v>15-1132.00</v>
      </c>
      <c r="CQ1554" t="s">
        <v>198</v>
      </c>
      <c r="CR1554" t="s">
        <v>2509</v>
      </c>
      <c r="CS1554" t="s">
        <v>135</v>
      </c>
      <c r="CT1554" t="s">
        <v>4442</v>
      </c>
      <c r="CU1554" t="s">
        <v>10754</v>
      </c>
      <c r="CV1554" t="s">
        <v>10456</v>
      </c>
      <c r="CW1554" t="s">
        <v>2111</v>
      </c>
      <c r="CX1554" t="s">
        <v>263</v>
      </c>
      <c r="CZ1554" s="3" t="str">
        <f>"60195"</f>
        <v>60195</v>
      </c>
      <c r="DA1554" t="s">
        <v>131</v>
      </c>
      <c r="DB1554" t="str">
        <f>""</f>
        <v/>
      </c>
      <c r="DF1554" t="str">
        <f>""</f>
        <v/>
      </c>
    </row>
    <row r="1555" spans="1:110" ht="15" customHeight="1" x14ac:dyDescent="0.35">
      <c r="A1555" t="s">
        <v>16707</v>
      </c>
      <c r="B1555" t="s">
        <v>138</v>
      </c>
      <c r="C1555" s="1">
        <v>44335</v>
      </c>
      <c r="G1555" s="1">
        <v>44335</v>
      </c>
      <c r="H1555" t="s">
        <v>125</v>
      </c>
      <c r="I1555" t="s">
        <v>9580</v>
      </c>
      <c r="J1555" t="s">
        <v>9539</v>
      </c>
      <c r="L1555" t="s">
        <v>3647</v>
      </c>
      <c r="M1555" t="s">
        <v>3648</v>
      </c>
      <c r="N1555" t="s">
        <v>3649</v>
      </c>
      <c r="O1555" t="s">
        <v>2111</v>
      </c>
      <c r="P1555" t="s">
        <v>539</v>
      </c>
      <c r="Q1555" s="3">
        <v>60195</v>
      </c>
      <c r="R1555" t="s">
        <v>128</v>
      </c>
      <c r="T1555" s="4">
        <v>18473102630</v>
      </c>
      <c r="V1555" t="s">
        <v>3650</v>
      </c>
      <c r="W1555" t="s">
        <v>16708</v>
      </c>
      <c r="X1555" t="s">
        <v>3284</v>
      </c>
      <c r="Y1555" t="s">
        <v>3648</v>
      </c>
      <c r="Z1555" t="s">
        <v>9583</v>
      </c>
      <c r="AA1555" t="s">
        <v>2111</v>
      </c>
      <c r="AB1555" t="s">
        <v>263</v>
      </c>
      <c r="AC1555" s="3" t="str">
        <f>"60195"</f>
        <v>60195</v>
      </c>
      <c r="AD1555" t="s">
        <v>128</v>
      </c>
      <c r="AF1555" s="4">
        <v>18473102630</v>
      </c>
      <c r="AH1555" t="str">
        <f t="shared" si="97"/>
        <v>541511</v>
      </c>
      <c r="AI1555" t="s">
        <v>130</v>
      </c>
      <c r="AJ1555" t="s">
        <v>3285</v>
      </c>
      <c r="AK1555" t="s">
        <v>1695</v>
      </c>
      <c r="AL1555" t="s">
        <v>268</v>
      </c>
      <c r="AM1555" t="s">
        <v>3286</v>
      </c>
      <c r="AN1555" t="s">
        <v>3287</v>
      </c>
      <c r="AO1555" t="s">
        <v>3288</v>
      </c>
      <c r="AP1555" t="s">
        <v>263</v>
      </c>
      <c r="AQ1555" s="5">
        <v>60093</v>
      </c>
      <c r="AR1555" t="s">
        <v>128</v>
      </c>
      <c r="AT1555" s="4">
        <v>18474414188</v>
      </c>
      <c r="AV1555" t="s">
        <v>3289</v>
      </c>
      <c r="AW1555" t="s">
        <v>3290</v>
      </c>
      <c r="AX1555" t="s">
        <v>131</v>
      </c>
      <c r="AY1555" t="s">
        <v>131</v>
      </c>
      <c r="AZ1555" t="s">
        <v>131</v>
      </c>
      <c r="BA1555" t="s">
        <v>131</v>
      </c>
      <c r="BB1555" t="s">
        <v>131</v>
      </c>
      <c r="BC1555" t="s">
        <v>131</v>
      </c>
      <c r="BD1555" t="s">
        <v>131</v>
      </c>
      <c r="BE1555" t="s">
        <v>132</v>
      </c>
      <c r="BH1555" t="s">
        <v>846</v>
      </c>
      <c r="BI1555" t="s">
        <v>131</v>
      </c>
      <c r="BL1555" t="s">
        <v>188</v>
      </c>
      <c r="BN1555" t="s">
        <v>16709</v>
      </c>
      <c r="BO1555" t="s">
        <v>131</v>
      </c>
      <c r="BP1555" t="s">
        <v>134</v>
      </c>
      <c r="BQ1555" t="s">
        <v>131</v>
      </c>
      <c r="BS1555" t="str">
        <f t="shared" si="96"/>
        <v>N/A</v>
      </c>
      <c r="BT1555" t="s">
        <v>131</v>
      </c>
      <c r="BV1555" t="str">
        <f>""</f>
        <v/>
      </c>
      <c r="BW1555" t="s">
        <v>135</v>
      </c>
      <c r="BX1555" t="str">
        <f>""</f>
        <v/>
      </c>
      <c r="BY1555" t="str">
        <f>""</f>
        <v/>
      </c>
      <c r="BZ1555" t="str">
        <f>""</f>
        <v/>
      </c>
      <c r="CA1555" t="s">
        <v>16710</v>
      </c>
      <c r="CB1555" t="s">
        <v>131</v>
      </c>
      <c r="CF1555" t="s">
        <v>131</v>
      </c>
      <c r="CH1555" t="str">
        <f>""</f>
        <v/>
      </c>
      <c r="CI1555" t="s">
        <v>131</v>
      </c>
      <c r="CK1555" t="s">
        <v>131</v>
      </c>
      <c r="CL1555" t="str">
        <f>""</f>
        <v/>
      </c>
      <c r="CM1555" t="str">
        <f>""</f>
        <v/>
      </c>
      <c r="CN1555" t="str">
        <f>""</f>
        <v/>
      </c>
      <c r="CO1555" t="str">
        <f>""</f>
        <v/>
      </c>
      <c r="CP1555" t="str">
        <f>"15-1132.00"</f>
        <v>15-1132.00</v>
      </c>
      <c r="CQ1555" t="s">
        <v>198</v>
      </c>
      <c r="CR1555" t="s">
        <v>392</v>
      </c>
      <c r="CS1555" t="s">
        <v>135</v>
      </c>
      <c r="CT1555" s="2" t="s">
        <v>9582</v>
      </c>
      <c r="CU1555" t="s">
        <v>3648</v>
      </c>
      <c r="CV1555" t="s">
        <v>3649</v>
      </c>
      <c r="CW1555" t="s">
        <v>2111</v>
      </c>
      <c r="CX1555" t="s">
        <v>263</v>
      </c>
      <c r="CZ1555" s="3" t="str">
        <f>"60195"</f>
        <v>60195</v>
      </c>
      <c r="DA1555" t="s">
        <v>131</v>
      </c>
      <c r="DB1555" t="str">
        <f>""</f>
        <v/>
      </c>
      <c r="DF1555" t="str">
        <f>""</f>
        <v/>
      </c>
    </row>
    <row r="1556" spans="1:110" ht="15" customHeight="1" x14ac:dyDescent="0.35">
      <c r="A1556" t="s">
        <v>19403</v>
      </c>
      <c r="B1556" t="s">
        <v>138</v>
      </c>
      <c r="C1556" s="1">
        <v>44335</v>
      </c>
      <c r="G1556" s="1">
        <v>44335</v>
      </c>
      <c r="H1556" t="s">
        <v>125</v>
      </c>
      <c r="I1556" t="s">
        <v>9022</v>
      </c>
      <c r="J1556" t="s">
        <v>9023</v>
      </c>
      <c r="L1556" t="s">
        <v>223</v>
      </c>
      <c r="M1556" t="s">
        <v>3279</v>
      </c>
      <c r="N1556" t="s">
        <v>3280</v>
      </c>
      <c r="O1556" t="s">
        <v>3281</v>
      </c>
      <c r="P1556" t="s">
        <v>539</v>
      </c>
      <c r="Q1556" s="3">
        <v>60008</v>
      </c>
      <c r="R1556" t="s">
        <v>128</v>
      </c>
      <c r="T1556" s="4">
        <v>18479563381</v>
      </c>
      <c r="V1556" t="s">
        <v>3282</v>
      </c>
      <c r="W1556" t="s">
        <v>3283</v>
      </c>
      <c r="Y1556" t="s">
        <v>3279</v>
      </c>
      <c r="Z1556" t="s">
        <v>3280</v>
      </c>
      <c r="AA1556" t="s">
        <v>3281</v>
      </c>
      <c r="AB1556" t="s">
        <v>263</v>
      </c>
      <c r="AC1556" s="3" t="str">
        <f>"60008"</f>
        <v>60008</v>
      </c>
      <c r="AD1556" t="s">
        <v>128</v>
      </c>
      <c r="AF1556" s="4">
        <v>18479563381</v>
      </c>
      <c r="AH1556" t="str">
        <f t="shared" si="97"/>
        <v>541511</v>
      </c>
      <c r="AI1556" t="s">
        <v>130</v>
      </c>
      <c r="AJ1556" t="s">
        <v>14460</v>
      </c>
      <c r="AK1556" t="s">
        <v>1861</v>
      </c>
      <c r="AL1556" t="s">
        <v>268</v>
      </c>
      <c r="AM1556" t="s">
        <v>3286</v>
      </c>
      <c r="AN1556" t="s">
        <v>3287</v>
      </c>
      <c r="AO1556" t="s">
        <v>3288</v>
      </c>
      <c r="AP1556" t="s">
        <v>263</v>
      </c>
      <c r="AQ1556" s="5">
        <v>60093</v>
      </c>
      <c r="AR1556" t="s">
        <v>128</v>
      </c>
      <c r="AT1556" s="4">
        <v>18474414188</v>
      </c>
      <c r="AV1556" t="s">
        <v>3289</v>
      </c>
      <c r="AW1556" t="s">
        <v>3290</v>
      </c>
      <c r="AX1556" t="s">
        <v>131</v>
      </c>
      <c r="AY1556" t="s">
        <v>131</v>
      </c>
      <c r="AZ1556" t="s">
        <v>131</v>
      </c>
      <c r="BA1556" t="s">
        <v>131</v>
      </c>
      <c r="BB1556" t="s">
        <v>131</v>
      </c>
      <c r="BC1556" t="s">
        <v>131</v>
      </c>
      <c r="BD1556" t="s">
        <v>131</v>
      </c>
      <c r="BE1556" t="s">
        <v>132</v>
      </c>
      <c r="BH1556" t="s">
        <v>846</v>
      </c>
      <c r="BI1556" t="s">
        <v>131</v>
      </c>
      <c r="BL1556" t="s">
        <v>188</v>
      </c>
      <c r="BN1556" t="s">
        <v>19404</v>
      </c>
      <c r="BO1556" t="s">
        <v>131</v>
      </c>
      <c r="BP1556" t="s">
        <v>134</v>
      </c>
      <c r="BQ1556" t="s">
        <v>131</v>
      </c>
      <c r="BS1556" t="str">
        <f t="shared" si="96"/>
        <v>N/A</v>
      </c>
      <c r="BT1556" t="s">
        <v>131</v>
      </c>
      <c r="BV1556" t="str">
        <f>""</f>
        <v/>
      </c>
      <c r="BW1556" t="s">
        <v>135</v>
      </c>
      <c r="BX1556" t="str">
        <f>""</f>
        <v/>
      </c>
      <c r="BY1556" t="str">
        <f>""</f>
        <v/>
      </c>
      <c r="BZ1556" t="str">
        <f>""</f>
        <v/>
      </c>
      <c r="CA1556" t="s">
        <v>19405</v>
      </c>
      <c r="CB1556" t="s">
        <v>131</v>
      </c>
      <c r="CF1556" t="s">
        <v>131</v>
      </c>
      <c r="CH1556" t="str">
        <f>""</f>
        <v/>
      </c>
      <c r="CI1556" t="s">
        <v>131</v>
      </c>
      <c r="CK1556" t="s">
        <v>131</v>
      </c>
      <c r="CL1556" t="str">
        <f>""</f>
        <v/>
      </c>
      <c r="CM1556" t="str">
        <f>""</f>
        <v/>
      </c>
      <c r="CN1556" t="str">
        <f>""</f>
        <v/>
      </c>
      <c r="CO1556" t="str">
        <f>""</f>
        <v/>
      </c>
      <c r="CP1556" t="str">
        <f>"15-1132.00"</f>
        <v>15-1132.00</v>
      </c>
      <c r="CQ1556" t="s">
        <v>198</v>
      </c>
      <c r="CR1556" t="s">
        <v>2509</v>
      </c>
      <c r="CS1556" t="s">
        <v>135</v>
      </c>
      <c r="CT1556" t="s">
        <v>19406</v>
      </c>
      <c r="CU1556" t="s">
        <v>3279</v>
      </c>
      <c r="CV1556" t="s">
        <v>3280</v>
      </c>
      <c r="CW1556" t="s">
        <v>3281</v>
      </c>
      <c r="CX1556" t="s">
        <v>263</v>
      </c>
      <c r="CZ1556" s="3" t="str">
        <f>"60008"</f>
        <v>60008</v>
      </c>
      <c r="DA1556" t="s">
        <v>131</v>
      </c>
      <c r="DB1556" t="str">
        <f>""</f>
        <v/>
      </c>
      <c r="DF1556" t="str">
        <f>""</f>
        <v/>
      </c>
    </row>
    <row r="1557" spans="1:110" ht="15" customHeight="1" x14ac:dyDescent="0.35">
      <c r="A1557" t="s">
        <v>3275</v>
      </c>
      <c r="B1557" t="s">
        <v>138</v>
      </c>
      <c r="C1557" s="1">
        <v>44335</v>
      </c>
      <c r="G1557" s="1">
        <v>44335</v>
      </c>
      <c r="H1557" t="s">
        <v>125</v>
      </c>
      <c r="I1557" t="s">
        <v>3276</v>
      </c>
      <c r="J1557" t="s">
        <v>3277</v>
      </c>
      <c r="L1557" t="s">
        <v>3278</v>
      </c>
      <c r="M1557" t="s">
        <v>3279</v>
      </c>
      <c r="N1557" t="s">
        <v>3280</v>
      </c>
      <c r="O1557" t="s">
        <v>3281</v>
      </c>
      <c r="P1557" t="s">
        <v>539</v>
      </c>
      <c r="Q1557" s="3">
        <v>60008</v>
      </c>
      <c r="R1557" t="s">
        <v>128</v>
      </c>
      <c r="T1557" s="4">
        <v>18479563381</v>
      </c>
      <c r="V1557" t="s">
        <v>3282</v>
      </c>
      <c r="W1557" t="s">
        <v>3283</v>
      </c>
      <c r="X1557" t="s">
        <v>3284</v>
      </c>
      <c r="Y1557" t="s">
        <v>3279</v>
      </c>
      <c r="Z1557" t="s">
        <v>3280</v>
      </c>
      <c r="AA1557" t="s">
        <v>3281</v>
      </c>
      <c r="AB1557" t="s">
        <v>263</v>
      </c>
      <c r="AC1557" s="3" t="str">
        <f>"60008"</f>
        <v>60008</v>
      </c>
      <c r="AD1557" t="s">
        <v>128</v>
      </c>
      <c r="AF1557" s="4">
        <v>18479563381</v>
      </c>
      <c r="AH1557" t="str">
        <f t="shared" si="97"/>
        <v>541511</v>
      </c>
      <c r="AI1557" t="s">
        <v>130</v>
      </c>
      <c r="AJ1557" t="s">
        <v>3285</v>
      </c>
      <c r="AK1557" t="s">
        <v>1695</v>
      </c>
      <c r="AL1557" t="s">
        <v>268</v>
      </c>
      <c r="AM1557" t="s">
        <v>3286</v>
      </c>
      <c r="AN1557" t="s">
        <v>3287</v>
      </c>
      <c r="AO1557" t="s">
        <v>3288</v>
      </c>
      <c r="AP1557" t="s">
        <v>263</v>
      </c>
      <c r="AQ1557" s="5">
        <v>60093</v>
      </c>
      <c r="AR1557" t="s">
        <v>128</v>
      </c>
      <c r="AT1557" s="4">
        <v>18474414188</v>
      </c>
      <c r="AV1557" t="s">
        <v>3289</v>
      </c>
      <c r="AW1557" t="s">
        <v>3290</v>
      </c>
      <c r="AX1557" t="s">
        <v>131</v>
      </c>
      <c r="AY1557" t="s">
        <v>131</v>
      </c>
      <c r="AZ1557" t="s">
        <v>131</v>
      </c>
      <c r="BA1557" t="s">
        <v>131</v>
      </c>
      <c r="BB1557" t="s">
        <v>131</v>
      </c>
      <c r="BC1557" t="s">
        <v>131</v>
      </c>
      <c r="BD1557" t="s">
        <v>131</v>
      </c>
      <c r="BE1557" t="s">
        <v>132</v>
      </c>
      <c r="BH1557" t="s">
        <v>3291</v>
      </c>
      <c r="BI1557" t="s">
        <v>131</v>
      </c>
      <c r="BL1557" t="s">
        <v>188</v>
      </c>
      <c r="BN1557" t="s">
        <v>3292</v>
      </c>
      <c r="BO1557" t="s">
        <v>131</v>
      </c>
      <c r="BP1557" t="s">
        <v>134</v>
      </c>
      <c r="BQ1557" t="s">
        <v>131</v>
      </c>
      <c r="BS1557" t="str">
        <f t="shared" si="96"/>
        <v>N/A</v>
      </c>
      <c r="BT1557" t="s">
        <v>131</v>
      </c>
      <c r="BV1557" t="str">
        <f>""</f>
        <v/>
      </c>
      <c r="BW1557" t="s">
        <v>135</v>
      </c>
      <c r="BX1557" t="str">
        <f>""</f>
        <v/>
      </c>
      <c r="BY1557" t="str">
        <f>""</f>
        <v/>
      </c>
      <c r="BZ1557" t="str">
        <f>""</f>
        <v/>
      </c>
      <c r="CA1557" t="s">
        <v>3293</v>
      </c>
      <c r="CB1557" t="s">
        <v>131</v>
      </c>
      <c r="CF1557" t="s">
        <v>131</v>
      </c>
      <c r="CH1557" t="str">
        <f>""</f>
        <v/>
      </c>
      <c r="CI1557" t="s">
        <v>131</v>
      </c>
      <c r="CK1557" t="s">
        <v>131</v>
      </c>
      <c r="CL1557" t="str">
        <f>""</f>
        <v/>
      </c>
      <c r="CM1557" t="str">
        <f>""</f>
        <v/>
      </c>
      <c r="CN1557" t="str">
        <f>""</f>
        <v/>
      </c>
      <c r="CO1557" t="str">
        <f>""</f>
        <v/>
      </c>
      <c r="CP1557" t="str">
        <f>"13-1111.00"</f>
        <v>13-1111.00</v>
      </c>
      <c r="CQ1557" t="s">
        <v>292</v>
      </c>
      <c r="CR1557" t="s">
        <v>849</v>
      </c>
      <c r="CS1557" t="s">
        <v>135</v>
      </c>
      <c r="CT1557" t="s">
        <v>3294</v>
      </c>
      <c r="CU1557" t="s">
        <v>3279</v>
      </c>
      <c r="CV1557" t="s">
        <v>3280</v>
      </c>
      <c r="CW1557" t="s">
        <v>3281</v>
      </c>
      <c r="CX1557" t="s">
        <v>263</v>
      </c>
      <c r="CZ1557" s="3" t="str">
        <f>"60008"</f>
        <v>60008</v>
      </c>
      <c r="DA1557" t="s">
        <v>131</v>
      </c>
      <c r="DB1557" t="str">
        <f>""</f>
        <v/>
      </c>
      <c r="DF1557" t="str">
        <f>""</f>
        <v/>
      </c>
    </row>
    <row r="1558" spans="1:110" ht="15" customHeight="1" x14ac:dyDescent="0.35">
      <c r="A1558" t="s">
        <v>9579</v>
      </c>
      <c r="B1558" t="s">
        <v>138</v>
      </c>
      <c r="C1558" s="1">
        <v>44335</v>
      </c>
      <c r="G1558" s="1">
        <v>44335</v>
      </c>
      <c r="H1558" t="s">
        <v>125</v>
      </c>
      <c r="I1558" t="s">
        <v>9580</v>
      </c>
      <c r="J1558" t="s">
        <v>3646</v>
      </c>
      <c r="L1558" t="s">
        <v>3647</v>
      </c>
      <c r="M1558" t="s">
        <v>3648</v>
      </c>
      <c r="N1558" t="s">
        <v>3649</v>
      </c>
      <c r="O1558" t="s">
        <v>2111</v>
      </c>
      <c r="P1558" t="s">
        <v>539</v>
      </c>
      <c r="Q1558" s="3">
        <v>60195</v>
      </c>
      <c r="R1558" t="s">
        <v>128</v>
      </c>
      <c r="T1558" s="4">
        <v>18473102630</v>
      </c>
      <c r="V1558" t="s">
        <v>3650</v>
      </c>
      <c r="W1558" t="s">
        <v>3651</v>
      </c>
      <c r="Y1558" t="s">
        <v>3648</v>
      </c>
      <c r="Z1558" t="s">
        <v>3649</v>
      </c>
      <c r="AA1558" t="s">
        <v>2111</v>
      </c>
      <c r="AB1558" t="s">
        <v>263</v>
      </c>
      <c r="AC1558" s="3" t="str">
        <f>"60195"</f>
        <v>60195</v>
      </c>
      <c r="AD1558" t="s">
        <v>128</v>
      </c>
      <c r="AF1558" s="4">
        <v>18473102630</v>
      </c>
      <c r="AH1558" t="str">
        <f t="shared" si="97"/>
        <v>541511</v>
      </c>
      <c r="AI1558" t="s">
        <v>130</v>
      </c>
      <c r="AJ1558" t="s">
        <v>3285</v>
      </c>
      <c r="AK1558" t="s">
        <v>1695</v>
      </c>
      <c r="AL1558" t="s">
        <v>268</v>
      </c>
      <c r="AM1558" t="s">
        <v>126</v>
      </c>
      <c r="AN1558" t="s">
        <v>3652</v>
      </c>
      <c r="AO1558" t="s">
        <v>3288</v>
      </c>
      <c r="AP1558" t="s">
        <v>263</v>
      </c>
      <c r="AQ1558" s="5">
        <v>60093</v>
      </c>
      <c r="AR1558" t="s">
        <v>128</v>
      </c>
      <c r="AT1558" s="4">
        <v>18474414188</v>
      </c>
      <c r="AV1558" t="s">
        <v>3289</v>
      </c>
      <c r="AW1558" t="s">
        <v>3290</v>
      </c>
      <c r="AX1558" t="s">
        <v>131</v>
      </c>
      <c r="AY1558" t="s">
        <v>131</v>
      </c>
      <c r="AZ1558" t="s">
        <v>131</v>
      </c>
      <c r="BA1558" t="s">
        <v>131</v>
      </c>
      <c r="BB1558" t="s">
        <v>131</v>
      </c>
      <c r="BC1558" t="s">
        <v>131</v>
      </c>
      <c r="BD1558" t="s">
        <v>131</v>
      </c>
      <c r="BE1558" t="s">
        <v>132</v>
      </c>
      <c r="BH1558" t="s">
        <v>3291</v>
      </c>
      <c r="BI1558" t="s">
        <v>131</v>
      </c>
      <c r="BL1558" t="s">
        <v>188</v>
      </c>
      <c r="BN1558" s="2" t="s">
        <v>9581</v>
      </c>
      <c r="BO1558" t="s">
        <v>131</v>
      </c>
      <c r="BP1558" t="s">
        <v>134</v>
      </c>
      <c r="BQ1558" t="s">
        <v>131</v>
      </c>
      <c r="BS1558" t="str">
        <f t="shared" si="96"/>
        <v>N/A</v>
      </c>
      <c r="BT1558" t="s">
        <v>131</v>
      </c>
      <c r="BV1558" t="str">
        <f>""</f>
        <v/>
      </c>
      <c r="BW1558" t="s">
        <v>135</v>
      </c>
      <c r="BX1558" t="str">
        <f>""</f>
        <v/>
      </c>
      <c r="BY1558" t="str">
        <f>""</f>
        <v/>
      </c>
      <c r="BZ1558" t="str">
        <f>""</f>
        <v/>
      </c>
      <c r="CA1558" t="s">
        <v>3653</v>
      </c>
      <c r="CB1558" t="s">
        <v>131</v>
      </c>
      <c r="CF1558" t="s">
        <v>131</v>
      </c>
      <c r="CH1558" t="str">
        <f>""</f>
        <v/>
      </c>
      <c r="CI1558" t="s">
        <v>131</v>
      </c>
      <c r="CK1558" t="s">
        <v>131</v>
      </c>
      <c r="CL1558" t="str">
        <f>""</f>
        <v/>
      </c>
      <c r="CM1558" t="str">
        <f>""</f>
        <v/>
      </c>
      <c r="CN1558" t="str">
        <f>""</f>
        <v/>
      </c>
      <c r="CO1558" t="str">
        <f>""</f>
        <v/>
      </c>
      <c r="CP1558" t="str">
        <f>"13-1111.00"</f>
        <v>13-1111.00</v>
      </c>
      <c r="CQ1558" t="s">
        <v>292</v>
      </c>
      <c r="CR1558" t="s">
        <v>849</v>
      </c>
      <c r="CS1558" t="s">
        <v>135</v>
      </c>
      <c r="CT1558" s="2" t="s">
        <v>9582</v>
      </c>
      <c r="CU1558" t="s">
        <v>3648</v>
      </c>
      <c r="CV1558" t="s">
        <v>9583</v>
      </c>
      <c r="CW1558" t="s">
        <v>2111</v>
      </c>
      <c r="CX1558" t="s">
        <v>263</v>
      </c>
      <c r="CZ1558" s="3" t="str">
        <f>"60195"</f>
        <v>60195</v>
      </c>
      <c r="DA1558" t="s">
        <v>131</v>
      </c>
      <c r="DB1558" t="str">
        <f>""</f>
        <v/>
      </c>
      <c r="DF1558" t="str">
        <f>""</f>
        <v/>
      </c>
    </row>
    <row r="1559" spans="1:110" ht="15" customHeight="1" x14ac:dyDescent="0.35">
      <c r="A1559" t="s">
        <v>12978</v>
      </c>
      <c r="B1559" t="s">
        <v>138</v>
      </c>
      <c r="C1559" s="1">
        <v>44335</v>
      </c>
      <c r="G1559" s="1">
        <v>44335</v>
      </c>
      <c r="H1559" t="s">
        <v>125</v>
      </c>
      <c r="I1559" t="s">
        <v>6145</v>
      </c>
      <c r="J1559" t="s">
        <v>10753</v>
      </c>
      <c r="L1559" t="s">
        <v>3647</v>
      </c>
      <c r="M1559" t="s">
        <v>3648</v>
      </c>
      <c r="N1559" t="s">
        <v>12979</v>
      </c>
      <c r="O1559" t="s">
        <v>2111</v>
      </c>
      <c r="P1559" t="s">
        <v>539</v>
      </c>
      <c r="Q1559" s="3">
        <v>60195</v>
      </c>
      <c r="R1559" t="s">
        <v>128</v>
      </c>
      <c r="T1559" s="4">
        <v>18474661067</v>
      </c>
      <c r="V1559" t="s">
        <v>10755</v>
      </c>
      <c r="W1559" t="s">
        <v>10756</v>
      </c>
      <c r="Y1559" t="s">
        <v>10754</v>
      </c>
      <c r="Z1559" t="s">
        <v>10456</v>
      </c>
      <c r="AA1559" t="s">
        <v>2111</v>
      </c>
      <c r="AB1559" t="s">
        <v>263</v>
      </c>
      <c r="AC1559" s="3" t="str">
        <f>"60195"</f>
        <v>60195</v>
      </c>
      <c r="AD1559" t="s">
        <v>128</v>
      </c>
      <c r="AF1559" s="4">
        <v>18474661067</v>
      </c>
      <c r="AH1559" t="str">
        <f>"54151"</f>
        <v>54151</v>
      </c>
      <c r="AI1559" t="s">
        <v>130</v>
      </c>
      <c r="AJ1559" t="s">
        <v>3285</v>
      </c>
      <c r="AK1559" t="s">
        <v>1695</v>
      </c>
      <c r="AL1559" t="s">
        <v>1695</v>
      </c>
      <c r="AM1559" t="s">
        <v>3652</v>
      </c>
      <c r="AN1559" t="s">
        <v>3287</v>
      </c>
      <c r="AO1559" t="s">
        <v>3288</v>
      </c>
      <c r="AP1559" t="s">
        <v>263</v>
      </c>
      <c r="AQ1559" s="5">
        <v>60093</v>
      </c>
      <c r="AR1559" t="s">
        <v>128</v>
      </c>
      <c r="AT1559" s="4">
        <v>18474414188</v>
      </c>
      <c r="AV1559" t="s">
        <v>3289</v>
      </c>
      <c r="AW1559" t="s">
        <v>3290</v>
      </c>
      <c r="AX1559" t="s">
        <v>131</v>
      </c>
      <c r="AY1559" t="s">
        <v>131</v>
      </c>
      <c r="AZ1559" t="s">
        <v>131</v>
      </c>
      <c r="BA1559" t="s">
        <v>131</v>
      </c>
      <c r="BB1559" t="s">
        <v>131</v>
      </c>
      <c r="BC1559" t="s">
        <v>131</v>
      </c>
      <c r="BD1559" t="s">
        <v>131</v>
      </c>
      <c r="BE1559" t="s">
        <v>132</v>
      </c>
      <c r="BH1559" t="s">
        <v>3291</v>
      </c>
      <c r="BI1559" t="s">
        <v>131</v>
      </c>
      <c r="BL1559" t="s">
        <v>188</v>
      </c>
      <c r="BN1559" s="2" t="s">
        <v>9581</v>
      </c>
      <c r="BO1559" t="s">
        <v>131</v>
      </c>
      <c r="BP1559" t="s">
        <v>134</v>
      </c>
      <c r="BQ1559" t="s">
        <v>131</v>
      </c>
      <c r="BS1559" t="str">
        <f t="shared" si="96"/>
        <v>N/A</v>
      </c>
      <c r="BT1559" t="s">
        <v>131</v>
      </c>
      <c r="BV1559" t="str">
        <f>""</f>
        <v/>
      </c>
      <c r="BW1559" t="s">
        <v>135</v>
      </c>
      <c r="BX1559" t="str">
        <f>""</f>
        <v/>
      </c>
      <c r="BY1559" t="str">
        <f>""</f>
        <v/>
      </c>
      <c r="BZ1559" t="str">
        <f>""</f>
        <v/>
      </c>
      <c r="CA1559" s="2" t="s">
        <v>12980</v>
      </c>
      <c r="CB1559" t="s">
        <v>131</v>
      </c>
      <c r="CF1559" t="s">
        <v>131</v>
      </c>
      <c r="CH1559" t="str">
        <f>""</f>
        <v/>
      </c>
      <c r="CI1559" t="s">
        <v>131</v>
      </c>
      <c r="CK1559" t="s">
        <v>131</v>
      </c>
      <c r="CL1559" t="str">
        <f>""</f>
        <v/>
      </c>
      <c r="CM1559" t="str">
        <f>""</f>
        <v/>
      </c>
      <c r="CN1559" t="str">
        <f>""</f>
        <v/>
      </c>
      <c r="CO1559" t="str">
        <f>""</f>
        <v/>
      </c>
      <c r="CP1559" t="str">
        <f>"13-1111.00"</f>
        <v>13-1111.00</v>
      </c>
      <c r="CQ1559" t="s">
        <v>292</v>
      </c>
      <c r="CR1559" t="s">
        <v>849</v>
      </c>
      <c r="CS1559" t="s">
        <v>135</v>
      </c>
      <c r="CT1559" t="s">
        <v>4442</v>
      </c>
      <c r="CU1559" t="s">
        <v>3648</v>
      </c>
      <c r="CV1559" t="s">
        <v>12979</v>
      </c>
      <c r="CW1559" t="s">
        <v>2111</v>
      </c>
      <c r="CX1559" t="s">
        <v>263</v>
      </c>
      <c r="CZ1559" s="3" t="str">
        <f>"60195"</f>
        <v>60195</v>
      </c>
      <c r="DA1559" t="s">
        <v>131</v>
      </c>
      <c r="DB1559" t="str">
        <f>""</f>
        <v/>
      </c>
      <c r="DF1559" t="str">
        <f>""</f>
        <v/>
      </c>
    </row>
    <row r="1560" spans="1:110" ht="15" customHeight="1" x14ac:dyDescent="0.35">
      <c r="A1560" t="s">
        <v>8449</v>
      </c>
      <c r="B1560" t="s">
        <v>138</v>
      </c>
      <c r="C1560" s="1">
        <v>44335</v>
      </c>
      <c r="G1560" s="1">
        <v>44335</v>
      </c>
      <c r="H1560" t="s">
        <v>125</v>
      </c>
      <c r="I1560" t="s">
        <v>8450</v>
      </c>
      <c r="J1560" t="s">
        <v>8451</v>
      </c>
      <c r="L1560" t="s">
        <v>1031</v>
      </c>
      <c r="M1560" t="s">
        <v>8452</v>
      </c>
      <c r="O1560" t="s">
        <v>5023</v>
      </c>
      <c r="P1560" t="s">
        <v>194</v>
      </c>
      <c r="Q1560" s="3">
        <v>33327</v>
      </c>
      <c r="R1560" t="s">
        <v>128</v>
      </c>
      <c r="T1560" s="4">
        <v>13057939428</v>
      </c>
      <c r="V1560" t="s">
        <v>8453</v>
      </c>
      <c r="W1560" t="s">
        <v>8454</v>
      </c>
      <c r="Y1560" t="s">
        <v>8452</v>
      </c>
      <c r="AA1560" t="s">
        <v>5023</v>
      </c>
      <c r="AB1560" t="s">
        <v>195</v>
      </c>
      <c r="AC1560" s="3" t="str">
        <f>"33327"</f>
        <v>33327</v>
      </c>
      <c r="AD1560" t="s">
        <v>128</v>
      </c>
      <c r="AF1560" s="4">
        <v>13057939428</v>
      </c>
      <c r="AH1560" t="str">
        <f>"2361"</f>
        <v>2361</v>
      </c>
      <c r="AI1560" t="s">
        <v>130</v>
      </c>
      <c r="AJ1560" t="s">
        <v>8455</v>
      </c>
      <c r="AK1560" t="s">
        <v>4350</v>
      </c>
      <c r="AM1560" t="s">
        <v>8456</v>
      </c>
      <c r="AN1560" t="s">
        <v>8457</v>
      </c>
      <c r="AO1560" t="s">
        <v>584</v>
      </c>
      <c r="AP1560" t="s">
        <v>195</v>
      </c>
      <c r="AQ1560" s="5">
        <v>33130</v>
      </c>
      <c r="AR1560" t="s">
        <v>128</v>
      </c>
      <c r="AT1560" s="4">
        <v>13058604050</v>
      </c>
      <c r="AV1560" t="s">
        <v>8458</v>
      </c>
      <c r="AW1560" t="s">
        <v>8459</v>
      </c>
      <c r="AX1560" t="s">
        <v>131</v>
      </c>
      <c r="AY1560" t="s">
        <v>131</v>
      </c>
      <c r="AZ1560" t="s">
        <v>131</v>
      </c>
      <c r="BA1560" t="s">
        <v>131</v>
      </c>
      <c r="BB1560" t="s">
        <v>131</v>
      </c>
      <c r="BC1560" t="s">
        <v>131</v>
      </c>
      <c r="BD1560" t="s">
        <v>131</v>
      </c>
      <c r="BE1560" t="s">
        <v>132</v>
      </c>
      <c r="BH1560" t="s">
        <v>8460</v>
      </c>
      <c r="BI1560" t="s">
        <v>131</v>
      </c>
      <c r="BL1560" t="s">
        <v>167</v>
      </c>
      <c r="BO1560" t="s">
        <v>131</v>
      </c>
      <c r="BP1560" t="s">
        <v>134</v>
      </c>
      <c r="BQ1560" t="s">
        <v>131</v>
      </c>
      <c r="BS1560" t="str">
        <f t="shared" si="96"/>
        <v>N/A</v>
      </c>
      <c r="BT1560" t="s">
        <v>135</v>
      </c>
      <c r="BU1560">
        <v>36</v>
      </c>
      <c r="BV1560" t="str">
        <f>"Implementing customer service standards"</f>
        <v>Implementing customer service standards</v>
      </c>
      <c r="BW1560" t="s">
        <v>131</v>
      </c>
      <c r="BX1560" t="str">
        <f>""</f>
        <v/>
      </c>
      <c r="BY1560" t="str">
        <f>""</f>
        <v/>
      </c>
      <c r="BZ1560" t="str">
        <f>""</f>
        <v/>
      </c>
      <c r="CA1560" t="str">
        <f>""</f>
        <v/>
      </c>
      <c r="CB1560" t="s">
        <v>131</v>
      </c>
      <c r="CF1560" t="s">
        <v>131</v>
      </c>
      <c r="CH1560" t="str">
        <f>""</f>
        <v/>
      </c>
      <c r="CI1560" t="s">
        <v>131</v>
      </c>
      <c r="CK1560" t="s">
        <v>131</v>
      </c>
      <c r="CL1560" t="str">
        <f>""</f>
        <v/>
      </c>
      <c r="CM1560" t="str">
        <f>""</f>
        <v/>
      </c>
      <c r="CN1560" t="str">
        <f>""</f>
        <v/>
      </c>
      <c r="CO1560" t="str">
        <f>""</f>
        <v/>
      </c>
      <c r="CP1560" t="str">
        <f>"41-4012.00"</f>
        <v>41-4012.00</v>
      </c>
      <c r="CQ1560" t="s">
        <v>1845</v>
      </c>
      <c r="CR1560" t="s">
        <v>1031</v>
      </c>
      <c r="CS1560" t="s">
        <v>131</v>
      </c>
      <c r="CU1560" t="s">
        <v>8452</v>
      </c>
      <c r="CW1560" t="s">
        <v>5023</v>
      </c>
      <c r="CX1560" t="s">
        <v>195</v>
      </c>
      <c r="CZ1560" s="3" t="str">
        <f>"33327"</f>
        <v>33327</v>
      </c>
      <c r="DA1560" t="s">
        <v>131</v>
      </c>
      <c r="DB1560" t="str">
        <f>""</f>
        <v/>
      </c>
      <c r="DF1560" t="str">
        <f>""</f>
        <v/>
      </c>
    </row>
    <row r="1561" spans="1:110" ht="15" customHeight="1" x14ac:dyDescent="0.35">
      <c r="A1561" t="s">
        <v>16622</v>
      </c>
      <c r="B1561" t="s">
        <v>138</v>
      </c>
      <c r="C1561" s="1">
        <v>44335</v>
      </c>
      <c r="G1561" s="1">
        <v>44335</v>
      </c>
      <c r="H1561" t="s">
        <v>125</v>
      </c>
      <c r="I1561" t="s">
        <v>1615</v>
      </c>
      <c r="J1561" t="s">
        <v>1616</v>
      </c>
      <c r="L1561" t="s">
        <v>1617</v>
      </c>
      <c r="M1561" t="s">
        <v>1618</v>
      </c>
      <c r="N1561" t="s">
        <v>1619</v>
      </c>
      <c r="O1561" t="s">
        <v>259</v>
      </c>
      <c r="P1561" t="s">
        <v>720</v>
      </c>
      <c r="Q1561" s="3">
        <v>7059</v>
      </c>
      <c r="R1561" t="s">
        <v>128</v>
      </c>
      <c r="T1561" s="4">
        <v>19086048080</v>
      </c>
      <c r="V1561" t="s">
        <v>1620</v>
      </c>
      <c r="W1561" t="s">
        <v>1621</v>
      </c>
      <c r="Y1561" t="s">
        <v>1618</v>
      </c>
      <c r="Z1561" t="s">
        <v>1619</v>
      </c>
      <c r="AA1561" t="s">
        <v>259</v>
      </c>
      <c r="AB1561" t="s">
        <v>276</v>
      </c>
      <c r="AC1561" s="3" t="str">
        <f>"07059"</f>
        <v>07059</v>
      </c>
      <c r="AD1561" t="s">
        <v>128</v>
      </c>
      <c r="AF1561" s="4">
        <v>19086048080</v>
      </c>
      <c r="AH1561" t="str">
        <f>"541511"</f>
        <v>541511</v>
      </c>
      <c r="AI1561" t="s">
        <v>130</v>
      </c>
      <c r="AJ1561" t="s">
        <v>1622</v>
      </c>
      <c r="AK1561" t="s">
        <v>1623</v>
      </c>
      <c r="AL1561" t="s">
        <v>1624</v>
      </c>
      <c r="AM1561" t="s">
        <v>1625</v>
      </c>
      <c r="AN1561" t="s">
        <v>1626</v>
      </c>
      <c r="AO1561" t="s">
        <v>719</v>
      </c>
      <c r="AP1561" t="s">
        <v>377</v>
      </c>
      <c r="AQ1561" s="5">
        <v>1701</v>
      </c>
      <c r="AR1561" t="s">
        <v>128</v>
      </c>
      <c r="AT1561" s="4">
        <v>15085323527</v>
      </c>
      <c r="AV1561" t="s">
        <v>1627</v>
      </c>
      <c r="AW1561" t="s">
        <v>1628</v>
      </c>
      <c r="AX1561" t="s">
        <v>131</v>
      </c>
      <c r="AY1561" t="s">
        <v>131</v>
      </c>
      <c r="AZ1561" t="s">
        <v>131</v>
      </c>
      <c r="BA1561" t="s">
        <v>131</v>
      </c>
      <c r="BB1561" t="s">
        <v>131</v>
      </c>
      <c r="BC1561" t="s">
        <v>131</v>
      </c>
      <c r="BD1561" t="s">
        <v>131</v>
      </c>
      <c r="BE1561" t="s">
        <v>132</v>
      </c>
      <c r="BH1561" t="s">
        <v>1158</v>
      </c>
      <c r="BI1561" t="s">
        <v>131</v>
      </c>
      <c r="BL1561" t="s">
        <v>188</v>
      </c>
      <c r="BN1561" t="s">
        <v>16623</v>
      </c>
      <c r="BO1561" t="s">
        <v>131</v>
      </c>
      <c r="BP1561" t="s">
        <v>134</v>
      </c>
      <c r="BQ1561" t="s">
        <v>131</v>
      </c>
      <c r="BS1561" t="str">
        <f t="shared" si="96"/>
        <v>N/A</v>
      </c>
      <c r="BT1561" t="s">
        <v>135</v>
      </c>
      <c r="BU1561">
        <v>24</v>
      </c>
      <c r="BV1561" t="str">
        <f>"job offered or related position"</f>
        <v>job offered or related position</v>
      </c>
      <c r="BW1561" t="s">
        <v>135</v>
      </c>
      <c r="BX1561" t="str">
        <f>""</f>
        <v/>
      </c>
      <c r="BY1561" t="str">
        <f>""</f>
        <v/>
      </c>
      <c r="BZ1561" t="str">
        <f>""</f>
        <v/>
      </c>
      <c r="CA1561" t="s">
        <v>14228</v>
      </c>
      <c r="CB1561" t="s">
        <v>135</v>
      </c>
      <c r="CC1561" t="s">
        <v>133</v>
      </c>
      <c r="CE1561" t="s">
        <v>16623</v>
      </c>
      <c r="CF1561" t="s">
        <v>131</v>
      </c>
      <c r="CH1561" t="str">
        <f>"N/A"</f>
        <v>N/A</v>
      </c>
      <c r="CI1561" t="s">
        <v>135</v>
      </c>
      <c r="CJ1561">
        <v>60</v>
      </c>
      <c r="CK1561" t="s">
        <v>135</v>
      </c>
      <c r="CL1561" t="str">
        <f>""</f>
        <v/>
      </c>
      <c r="CM1561" t="str">
        <f>""</f>
        <v/>
      </c>
      <c r="CN1561" t="str">
        <f>""</f>
        <v/>
      </c>
      <c r="CO1561" t="s">
        <v>14228</v>
      </c>
      <c r="CP1561" t="str">
        <f>"15-1199.09"</f>
        <v>15-1199.09</v>
      </c>
      <c r="CQ1561" t="s">
        <v>697</v>
      </c>
      <c r="CR1561" t="s">
        <v>1632</v>
      </c>
      <c r="CS1561" t="s">
        <v>135</v>
      </c>
      <c r="CT1561" t="s">
        <v>1633</v>
      </c>
      <c r="CU1561" t="s">
        <v>1618</v>
      </c>
      <c r="CV1561" t="s">
        <v>1619</v>
      </c>
      <c r="CW1561" t="s">
        <v>259</v>
      </c>
      <c r="CX1561" t="s">
        <v>377</v>
      </c>
      <c r="CZ1561" s="3" t="str">
        <f>"07059"</f>
        <v>07059</v>
      </c>
      <c r="DA1561" t="s">
        <v>131</v>
      </c>
      <c r="DB1561" t="str">
        <f>""</f>
        <v/>
      </c>
      <c r="DF1561" t="str">
        <f>""</f>
        <v/>
      </c>
    </row>
    <row r="1562" spans="1:110" ht="15" customHeight="1" x14ac:dyDescent="0.35">
      <c r="A1562" t="s">
        <v>10824</v>
      </c>
      <c r="B1562" t="s">
        <v>138</v>
      </c>
      <c r="C1562" s="1">
        <v>44335</v>
      </c>
      <c r="G1562" s="1">
        <v>44350</v>
      </c>
      <c r="H1562" t="s">
        <v>125</v>
      </c>
      <c r="I1562" t="s">
        <v>838</v>
      </c>
      <c r="J1562" t="s">
        <v>839</v>
      </c>
      <c r="K1562" t="s">
        <v>840</v>
      </c>
      <c r="L1562" t="s">
        <v>2565</v>
      </c>
      <c r="M1562" t="s">
        <v>841</v>
      </c>
      <c r="N1562" t="s">
        <v>842</v>
      </c>
      <c r="O1562" t="s">
        <v>10825</v>
      </c>
      <c r="P1562" t="s">
        <v>273</v>
      </c>
      <c r="Q1562" s="3">
        <v>7080</v>
      </c>
      <c r="R1562" t="s">
        <v>128</v>
      </c>
      <c r="T1562" s="4">
        <v>17328327978</v>
      </c>
      <c r="V1562" t="s">
        <v>844</v>
      </c>
      <c r="W1562" t="s">
        <v>7819</v>
      </c>
      <c r="Y1562" t="s">
        <v>7810</v>
      </c>
      <c r="Z1562" t="s">
        <v>7811</v>
      </c>
      <c r="AA1562" t="s">
        <v>6028</v>
      </c>
      <c r="AB1562" t="s">
        <v>276</v>
      </c>
      <c r="AC1562" s="3" t="str">
        <f>"08830"</f>
        <v>08830</v>
      </c>
      <c r="AD1562" t="s">
        <v>128</v>
      </c>
      <c r="AF1562" s="4">
        <v>17325270567</v>
      </c>
      <c r="AH1562" t="str">
        <f>"541519"</f>
        <v>541519</v>
      </c>
      <c r="AI1562" t="s">
        <v>130</v>
      </c>
      <c r="AJ1562" t="s">
        <v>838</v>
      </c>
      <c r="AK1562" t="s">
        <v>839</v>
      </c>
      <c r="AL1562" t="s">
        <v>840</v>
      </c>
      <c r="AM1562" t="s">
        <v>841</v>
      </c>
      <c r="AN1562" t="s">
        <v>842</v>
      </c>
      <c r="AO1562" t="s">
        <v>843</v>
      </c>
      <c r="AP1562" t="s">
        <v>276</v>
      </c>
      <c r="AQ1562" s="5">
        <v>7080</v>
      </c>
      <c r="AR1562" t="s">
        <v>128</v>
      </c>
      <c r="AT1562" s="4">
        <v>17328327978</v>
      </c>
      <c r="AV1562" t="s">
        <v>844</v>
      </c>
      <c r="AW1562" t="s">
        <v>845</v>
      </c>
      <c r="AX1562" t="s">
        <v>131</v>
      </c>
      <c r="AY1562" t="s">
        <v>131</v>
      </c>
      <c r="AZ1562" t="s">
        <v>131</v>
      </c>
      <c r="BA1562" t="s">
        <v>131</v>
      </c>
      <c r="BB1562" t="s">
        <v>131</v>
      </c>
      <c r="BC1562" t="s">
        <v>131</v>
      </c>
      <c r="BD1562" t="s">
        <v>131</v>
      </c>
      <c r="BE1562" t="s">
        <v>132</v>
      </c>
      <c r="BH1562" t="s">
        <v>7812</v>
      </c>
      <c r="BI1562" t="s">
        <v>131</v>
      </c>
      <c r="BL1562" t="s">
        <v>188</v>
      </c>
      <c r="BN1562" t="s">
        <v>847</v>
      </c>
      <c r="BO1562" t="s">
        <v>131</v>
      </c>
      <c r="BP1562" t="s">
        <v>134</v>
      </c>
      <c r="BQ1562" t="s">
        <v>131</v>
      </c>
      <c r="BS1562" t="str">
        <f t="shared" si="96"/>
        <v>N/A</v>
      </c>
      <c r="BT1562" t="s">
        <v>135</v>
      </c>
      <c r="BU1562">
        <v>12</v>
      </c>
      <c r="BV1562" t="str">
        <f>"JOB OFFERED OR RELATED OCCUPATION"</f>
        <v>JOB OFFERED OR RELATED OCCUPATION</v>
      </c>
      <c r="BW1562" t="s">
        <v>135</v>
      </c>
      <c r="BX1562" t="str">
        <f>""</f>
        <v/>
      </c>
      <c r="BY1562" t="str">
        <f>""</f>
        <v/>
      </c>
      <c r="BZ1562" t="str">
        <f>""</f>
        <v/>
      </c>
      <c r="CA1562" t="s">
        <v>10826</v>
      </c>
      <c r="CB1562" t="s">
        <v>135</v>
      </c>
      <c r="CC1562" t="s">
        <v>133</v>
      </c>
      <c r="CE1562" t="s">
        <v>847</v>
      </c>
      <c r="CF1562" t="s">
        <v>131</v>
      </c>
      <c r="CH1562" t="str">
        <f>"N/A"</f>
        <v>N/A</v>
      </c>
      <c r="CI1562" t="s">
        <v>135</v>
      </c>
      <c r="CJ1562">
        <v>60</v>
      </c>
      <c r="CK1562" t="s">
        <v>131</v>
      </c>
      <c r="CL1562" t="str">
        <f>""</f>
        <v/>
      </c>
      <c r="CM1562" t="str">
        <f>""</f>
        <v/>
      </c>
      <c r="CN1562" t="str">
        <f>""</f>
        <v/>
      </c>
      <c r="CO1562" t="str">
        <f>""</f>
        <v/>
      </c>
      <c r="CP1562" t="str">
        <f>"15-1122.00"</f>
        <v>15-1122.00</v>
      </c>
      <c r="CQ1562" t="s">
        <v>711</v>
      </c>
      <c r="CR1562" t="s">
        <v>849</v>
      </c>
      <c r="CS1562" t="s">
        <v>131</v>
      </c>
      <c r="CU1562" t="s">
        <v>7810</v>
      </c>
      <c r="CV1562" t="s">
        <v>7813</v>
      </c>
      <c r="CW1562" t="s">
        <v>6028</v>
      </c>
      <c r="CX1562" t="s">
        <v>276</v>
      </c>
      <c r="CZ1562" s="3" t="str">
        <f>"08830"</f>
        <v>08830</v>
      </c>
      <c r="DA1562" t="s">
        <v>131</v>
      </c>
      <c r="DB1562" t="str">
        <f>""</f>
        <v/>
      </c>
      <c r="DF1562" t="str">
        <f>""</f>
        <v/>
      </c>
    </row>
    <row r="1563" spans="1:110" ht="15" customHeight="1" x14ac:dyDescent="0.35">
      <c r="A1563" t="s">
        <v>1614</v>
      </c>
      <c r="B1563" t="s">
        <v>138</v>
      </c>
      <c r="C1563" s="1">
        <v>44335</v>
      </c>
      <c r="G1563" s="1">
        <v>44342</v>
      </c>
      <c r="H1563" t="s">
        <v>125</v>
      </c>
      <c r="I1563" t="s">
        <v>1615</v>
      </c>
      <c r="J1563" t="s">
        <v>1616</v>
      </c>
      <c r="L1563" t="s">
        <v>1617</v>
      </c>
      <c r="M1563" t="s">
        <v>1618</v>
      </c>
      <c r="N1563" t="s">
        <v>1619</v>
      </c>
      <c r="O1563" t="s">
        <v>259</v>
      </c>
      <c r="P1563" t="s">
        <v>273</v>
      </c>
      <c r="Q1563" s="3">
        <v>7059</v>
      </c>
      <c r="R1563" t="s">
        <v>128</v>
      </c>
      <c r="T1563" s="4">
        <v>19086048080</v>
      </c>
      <c r="V1563" t="s">
        <v>1620</v>
      </c>
      <c r="W1563" t="s">
        <v>1621</v>
      </c>
      <c r="Y1563" t="s">
        <v>1618</v>
      </c>
      <c r="Z1563" t="s">
        <v>1619</v>
      </c>
      <c r="AA1563" t="s">
        <v>259</v>
      </c>
      <c r="AB1563" t="s">
        <v>276</v>
      </c>
      <c r="AC1563" s="3" t="str">
        <f>"07059"</f>
        <v>07059</v>
      </c>
      <c r="AD1563" t="s">
        <v>128</v>
      </c>
      <c r="AF1563" s="4">
        <v>19086048080</v>
      </c>
      <c r="AH1563" t="str">
        <f>"541511"</f>
        <v>541511</v>
      </c>
      <c r="AI1563" t="s">
        <v>130</v>
      </c>
      <c r="AJ1563" t="s">
        <v>1622</v>
      </c>
      <c r="AK1563" t="s">
        <v>1623</v>
      </c>
      <c r="AL1563" t="s">
        <v>1624</v>
      </c>
      <c r="AM1563" t="s">
        <v>1625</v>
      </c>
      <c r="AN1563" t="s">
        <v>1626</v>
      </c>
      <c r="AO1563" t="s">
        <v>719</v>
      </c>
      <c r="AP1563" t="s">
        <v>377</v>
      </c>
      <c r="AQ1563" s="5">
        <v>1701</v>
      </c>
      <c r="AR1563" t="s">
        <v>128</v>
      </c>
      <c r="AT1563" s="4">
        <v>15085323527</v>
      </c>
      <c r="AV1563" t="s">
        <v>1627</v>
      </c>
      <c r="AW1563" t="s">
        <v>1628</v>
      </c>
      <c r="AX1563" t="s">
        <v>131</v>
      </c>
      <c r="AY1563" t="s">
        <v>131</v>
      </c>
      <c r="AZ1563" t="s">
        <v>131</v>
      </c>
      <c r="BA1563" t="s">
        <v>131</v>
      </c>
      <c r="BB1563" t="s">
        <v>131</v>
      </c>
      <c r="BC1563" t="s">
        <v>131</v>
      </c>
      <c r="BD1563" t="s">
        <v>131</v>
      </c>
      <c r="BE1563" t="s">
        <v>132</v>
      </c>
      <c r="BH1563" t="s">
        <v>1629</v>
      </c>
      <c r="BI1563" t="s">
        <v>131</v>
      </c>
      <c r="BL1563" t="s">
        <v>133</v>
      </c>
      <c r="BN1563" t="s">
        <v>1630</v>
      </c>
      <c r="BO1563" t="s">
        <v>131</v>
      </c>
      <c r="BP1563" t="s">
        <v>134</v>
      </c>
      <c r="BQ1563" t="s">
        <v>131</v>
      </c>
      <c r="BS1563" t="str">
        <f t="shared" si="96"/>
        <v>N/A</v>
      </c>
      <c r="BT1563" t="s">
        <v>135</v>
      </c>
      <c r="BU1563">
        <v>24</v>
      </c>
      <c r="BV1563" t="str">
        <f>"job offered or related position"</f>
        <v>job offered or related position</v>
      </c>
      <c r="BW1563" t="s">
        <v>135</v>
      </c>
      <c r="BX1563" t="str">
        <f>""</f>
        <v/>
      </c>
      <c r="BY1563" t="str">
        <f>""</f>
        <v/>
      </c>
      <c r="BZ1563" t="str">
        <f>""</f>
        <v/>
      </c>
      <c r="CA1563" t="s">
        <v>1631</v>
      </c>
      <c r="CB1563" t="s">
        <v>135</v>
      </c>
      <c r="CC1563" t="s">
        <v>167</v>
      </c>
      <c r="CF1563" t="s">
        <v>131</v>
      </c>
      <c r="CH1563" t="str">
        <f>"N/A"</f>
        <v>N/A</v>
      </c>
      <c r="CI1563" t="s">
        <v>135</v>
      </c>
      <c r="CJ1563">
        <v>48</v>
      </c>
      <c r="CK1563" t="s">
        <v>135</v>
      </c>
      <c r="CL1563" t="str">
        <f>""</f>
        <v/>
      </c>
      <c r="CM1563" t="str">
        <f>""</f>
        <v/>
      </c>
      <c r="CN1563" t="str">
        <f>""</f>
        <v/>
      </c>
      <c r="CO1563" t="s">
        <v>1631</v>
      </c>
      <c r="CP1563" t="str">
        <f>"15-1121.00"</f>
        <v>15-1121.00</v>
      </c>
      <c r="CQ1563" t="s">
        <v>283</v>
      </c>
      <c r="CR1563" t="s">
        <v>1632</v>
      </c>
      <c r="CS1563" t="s">
        <v>135</v>
      </c>
      <c r="CT1563" t="s">
        <v>1633</v>
      </c>
      <c r="CU1563" t="s">
        <v>1618</v>
      </c>
      <c r="CV1563" t="s">
        <v>1619</v>
      </c>
      <c r="CW1563" t="s">
        <v>259</v>
      </c>
      <c r="CX1563" t="s">
        <v>276</v>
      </c>
      <c r="CZ1563" s="3" t="str">
        <f>"07059"</f>
        <v>07059</v>
      </c>
      <c r="DA1563" t="s">
        <v>131</v>
      </c>
      <c r="DB1563" t="str">
        <f>""</f>
        <v/>
      </c>
      <c r="DF1563" t="str">
        <f>""</f>
        <v/>
      </c>
    </row>
    <row r="1564" spans="1:110" ht="15" customHeight="1" x14ac:dyDescent="0.35">
      <c r="A1564" t="s">
        <v>10247</v>
      </c>
      <c r="B1564" t="s">
        <v>138</v>
      </c>
      <c r="C1564" s="1">
        <v>44335</v>
      </c>
      <c r="G1564" s="1">
        <v>44335</v>
      </c>
      <c r="H1564" t="s">
        <v>125</v>
      </c>
      <c r="I1564" t="s">
        <v>7695</v>
      </c>
      <c r="J1564" t="s">
        <v>7696</v>
      </c>
      <c r="L1564" t="s">
        <v>10248</v>
      </c>
      <c r="M1564" t="s">
        <v>7697</v>
      </c>
      <c r="N1564" t="s">
        <v>698</v>
      </c>
      <c r="O1564" t="s">
        <v>7698</v>
      </c>
      <c r="P1564" t="s">
        <v>127</v>
      </c>
      <c r="Q1564" s="3">
        <v>14047</v>
      </c>
      <c r="R1564" t="s">
        <v>128</v>
      </c>
      <c r="T1564" s="4">
        <v>17169470408</v>
      </c>
      <c r="V1564" t="s">
        <v>7699</v>
      </c>
      <c r="W1564" t="s">
        <v>7700</v>
      </c>
      <c r="Y1564" t="s">
        <v>7697</v>
      </c>
      <c r="Z1564" t="s">
        <v>698</v>
      </c>
      <c r="AA1564" t="s">
        <v>7698</v>
      </c>
      <c r="AB1564" t="s">
        <v>129</v>
      </c>
      <c r="AC1564" s="3" t="str">
        <f>"14047"</f>
        <v>14047</v>
      </c>
      <c r="AD1564" t="s">
        <v>128</v>
      </c>
      <c r="AF1564" s="4">
        <v>17169470408</v>
      </c>
      <c r="AH1564" t="str">
        <f>"621111"</f>
        <v>621111</v>
      </c>
      <c r="AI1564" t="s">
        <v>130</v>
      </c>
      <c r="AJ1564" t="s">
        <v>7701</v>
      </c>
      <c r="AK1564" t="s">
        <v>7702</v>
      </c>
      <c r="AM1564" t="s">
        <v>7703</v>
      </c>
      <c r="AN1564" t="s">
        <v>5129</v>
      </c>
      <c r="AO1564" t="s">
        <v>5306</v>
      </c>
      <c r="AP1564" t="s">
        <v>276</v>
      </c>
      <c r="AQ1564" s="5">
        <v>7024</v>
      </c>
      <c r="AR1564" t="s">
        <v>128</v>
      </c>
      <c r="AT1564" s="4">
        <v>12015920146</v>
      </c>
      <c r="AV1564" t="s">
        <v>7704</v>
      </c>
      <c r="AW1564" t="s">
        <v>7705</v>
      </c>
      <c r="AX1564" t="s">
        <v>131</v>
      </c>
      <c r="AY1564" t="s">
        <v>131</v>
      </c>
      <c r="AZ1564" t="s">
        <v>131</v>
      </c>
      <c r="BA1564" t="s">
        <v>131</v>
      </c>
      <c r="BB1564" t="s">
        <v>131</v>
      </c>
      <c r="BC1564" t="s">
        <v>131</v>
      </c>
      <c r="BD1564" t="s">
        <v>131</v>
      </c>
      <c r="BE1564" t="s">
        <v>132</v>
      </c>
      <c r="BH1564" t="s">
        <v>7706</v>
      </c>
      <c r="BI1564" t="s">
        <v>131</v>
      </c>
      <c r="BL1564" t="s">
        <v>188</v>
      </c>
      <c r="BN1564" t="s">
        <v>10249</v>
      </c>
      <c r="BO1564" t="s">
        <v>131</v>
      </c>
      <c r="BP1564" t="s">
        <v>134</v>
      </c>
      <c r="BQ1564" t="s">
        <v>131</v>
      </c>
      <c r="BS1564" t="str">
        <f t="shared" si="96"/>
        <v>N/A</v>
      </c>
      <c r="BT1564" t="s">
        <v>131</v>
      </c>
      <c r="BV1564" t="str">
        <f>""</f>
        <v/>
      </c>
      <c r="BW1564" t="s">
        <v>135</v>
      </c>
      <c r="BX1564" t="s">
        <v>10250</v>
      </c>
      <c r="BY1564" t="str">
        <f>""</f>
        <v/>
      </c>
      <c r="BZ1564" t="str">
        <f>""</f>
        <v/>
      </c>
      <c r="CA1564" t="str">
        <f>""</f>
        <v/>
      </c>
      <c r="CB1564" t="s">
        <v>131</v>
      </c>
      <c r="CF1564" t="s">
        <v>131</v>
      </c>
      <c r="CH1564" t="str">
        <f>""</f>
        <v/>
      </c>
      <c r="CI1564" t="s">
        <v>131</v>
      </c>
      <c r="CK1564" t="s">
        <v>131</v>
      </c>
      <c r="CL1564" t="str">
        <f>""</f>
        <v/>
      </c>
      <c r="CM1564" t="str">
        <f>""</f>
        <v/>
      </c>
      <c r="CN1564" t="str">
        <f>""</f>
        <v/>
      </c>
      <c r="CO1564" t="str">
        <f>""</f>
        <v/>
      </c>
      <c r="CP1564" t="str">
        <f>"29-1171.00"</f>
        <v>29-1171.00</v>
      </c>
      <c r="CQ1564" t="s">
        <v>6784</v>
      </c>
      <c r="CS1564" t="s">
        <v>131</v>
      </c>
      <c r="CU1564" t="s">
        <v>7697</v>
      </c>
      <c r="CV1564" t="s">
        <v>698</v>
      </c>
      <c r="CW1564" t="s">
        <v>7698</v>
      </c>
      <c r="CX1564" t="s">
        <v>129</v>
      </c>
      <c r="CZ1564" s="3" t="str">
        <f>"14047"</f>
        <v>14047</v>
      </c>
      <c r="DA1564" t="s">
        <v>131</v>
      </c>
      <c r="DB1564" t="str">
        <f>""</f>
        <v/>
      </c>
      <c r="DF1564" t="str">
        <f>""</f>
        <v/>
      </c>
    </row>
    <row r="1565" spans="1:110" ht="15" customHeight="1" x14ac:dyDescent="0.35">
      <c r="A1565" t="s">
        <v>9151</v>
      </c>
      <c r="B1565" t="s">
        <v>138</v>
      </c>
      <c r="C1565" s="1">
        <v>44335</v>
      </c>
      <c r="G1565" s="1">
        <v>44351</v>
      </c>
      <c r="H1565" t="s">
        <v>125</v>
      </c>
      <c r="I1565" t="s">
        <v>838</v>
      </c>
      <c r="J1565" t="s">
        <v>839</v>
      </c>
      <c r="K1565" t="s">
        <v>840</v>
      </c>
      <c r="L1565" t="s">
        <v>2565</v>
      </c>
      <c r="M1565" t="s">
        <v>841</v>
      </c>
      <c r="N1565" t="s">
        <v>842</v>
      </c>
      <c r="O1565" t="s">
        <v>843</v>
      </c>
      <c r="P1565" t="s">
        <v>273</v>
      </c>
      <c r="Q1565" s="3">
        <v>7080</v>
      </c>
      <c r="R1565" t="s">
        <v>128</v>
      </c>
      <c r="T1565" s="4">
        <v>17328327978</v>
      </c>
      <c r="V1565" t="s">
        <v>844</v>
      </c>
      <c r="W1565" t="s">
        <v>6547</v>
      </c>
      <c r="Y1565" t="s">
        <v>6548</v>
      </c>
      <c r="Z1565" t="s">
        <v>3810</v>
      </c>
      <c r="AA1565" t="s">
        <v>2596</v>
      </c>
      <c r="AB1565" t="s">
        <v>276</v>
      </c>
      <c r="AC1565" s="3" t="str">
        <f>"08854"</f>
        <v>08854</v>
      </c>
      <c r="AD1565" t="s">
        <v>128</v>
      </c>
      <c r="AF1565" s="4">
        <v>12019051126</v>
      </c>
      <c r="AH1565" t="str">
        <f>"5415"</f>
        <v>5415</v>
      </c>
      <c r="AI1565" t="s">
        <v>130</v>
      </c>
      <c r="AJ1565" t="s">
        <v>838</v>
      </c>
      <c r="AK1565" t="s">
        <v>839</v>
      </c>
      <c r="AL1565" t="s">
        <v>840</v>
      </c>
      <c r="AM1565" t="s">
        <v>9152</v>
      </c>
      <c r="AN1565" t="s">
        <v>842</v>
      </c>
      <c r="AO1565" t="s">
        <v>843</v>
      </c>
      <c r="AP1565" t="s">
        <v>276</v>
      </c>
      <c r="AQ1565" s="5">
        <v>7080</v>
      </c>
      <c r="AR1565" t="s">
        <v>128</v>
      </c>
      <c r="AT1565" s="4">
        <v>17328327978</v>
      </c>
      <c r="AV1565" t="s">
        <v>844</v>
      </c>
      <c r="AW1565" t="s">
        <v>2779</v>
      </c>
      <c r="AX1565" t="s">
        <v>131</v>
      </c>
      <c r="AY1565" t="s">
        <v>131</v>
      </c>
      <c r="AZ1565" t="s">
        <v>131</v>
      </c>
      <c r="BA1565" t="s">
        <v>131</v>
      </c>
      <c r="BB1565" t="s">
        <v>131</v>
      </c>
      <c r="BC1565" t="s">
        <v>131</v>
      </c>
      <c r="BD1565" t="s">
        <v>131</v>
      </c>
      <c r="BE1565" t="s">
        <v>132</v>
      </c>
      <c r="BH1565" t="s">
        <v>500</v>
      </c>
      <c r="BI1565" t="s">
        <v>131</v>
      </c>
      <c r="BL1565" t="s">
        <v>188</v>
      </c>
      <c r="BN1565" t="s">
        <v>9153</v>
      </c>
      <c r="BO1565" t="s">
        <v>131</v>
      </c>
      <c r="BP1565" t="s">
        <v>134</v>
      </c>
      <c r="BQ1565" t="s">
        <v>131</v>
      </c>
      <c r="BS1565" t="str">
        <f t="shared" si="96"/>
        <v>N/A</v>
      </c>
      <c r="BT1565" t="s">
        <v>131</v>
      </c>
      <c r="BV1565" t="str">
        <f>""</f>
        <v/>
      </c>
      <c r="BW1565" t="s">
        <v>135</v>
      </c>
      <c r="BX1565" t="str">
        <f>""</f>
        <v/>
      </c>
      <c r="BY1565" t="str">
        <f>""</f>
        <v/>
      </c>
      <c r="BZ1565" t="str">
        <f>""</f>
        <v/>
      </c>
      <c r="CA1565" t="s">
        <v>9154</v>
      </c>
      <c r="CB1565" t="s">
        <v>135</v>
      </c>
      <c r="CC1565" t="s">
        <v>133</v>
      </c>
      <c r="CE1565" t="s">
        <v>9153</v>
      </c>
      <c r="CF1565" t="s">
        <v>131</v>
      </c>
      <c r="CH1565" t="str">
        <f>"N/A"</f>
        <v>N/A</v>
      </c>
      <c r="CI1565" t="s">
        <v>135</v>
      </c>
      <c r="CJ1565">
        <v>60</v>
      </c>
      <c r="CK1565" t="s">
        <v>131</v>
      </c>
      <c r="CL1565" t="str">
        <f>""</f>
        <v/>
      </c>
      <c r="CM1565" t="str">
        <f>""</f>
        <v/>
      </c>
      <c r="CN1565" t="str">
        <f>""</f>
        <v/>
      </c>
      <c r="CO1565" t="str">
        <f>""</f>
        <v/>
      </c>
      <c r="CP1565" t="str">
        <f>"15-1132.00"</f>
        <v>15-1132.00</v>
      </c>
      <c r="CQ1565" t="s">
        <v>198</v>
      </c>
      <c r="CR1565" t="s">
        <v>849</v>
      </c>
      <c r="CS1565" t="s">
        <v>131</v>
      </c>
      <c r="CU1565" t="s">
        <v>6548</v>
      </c>
      <c r="CV1565" t="s">
        <v>9155</v>
      </c>
      <c r="CW1565" t="s">
        <v>2596</v>
      </c>
      <c r="CX1565" t="s">
        <v>276</v>
      </c>
      <c r="CZ1565" s="3" t="str">
        <f>"08854"</f>
        <v>08854</v>
      </c>
      <c r="DA1565" t="s">
        <v>131</v>
      </c>
      <c r="DB1565" t="str">
        <f>""</f>
        <v/>
      </c>
      <c r="DF1565" t="str">
        <f>""</f>
        <v/>
      </c>
    </row>
    <row r="1566" spans="1:110" ht="15" customHeight="1" x14ac:dyDescent="0.35">
      <c r="A1566" t="s">
        <v>18996</v>
      </c>
      <c r="B1566" t="s">
        <v>138</v>
      </c>
      <c r="C1566" s="1">
        <v>44335</v>
      </c>
      <c r="G1566" s="1">
        <v>44335</v>
      </c>
      <c r="H1566" t="s">
        <v>125</v>
      </c>
      <c r="I1566" t="s">
        <v>7695</v>
      </c>
      <c r="J1566" t="s">
        <v>7696</v>
      </c>
      <c r="L1566" t="s">
        <v>929</v>
      </c>
      <c r="M1566" t="s">
        <v>7697</v>
      </c>
      <c r="N1566" t="s">
        <v>698</v>
      </c>
      <c r="O1566" t="s">
        <v>7698</v>
      </c>
      <c r="P1566" t="s">
        <v>127</v>
      </c>
      <c r="Q1566" s="3">
        <v>14047</v>
      </c>
      <c r="R1566" t="s">
        <v>128</v>
      </c>
      <c r="T1566" s="4">
        <v>17169470408</v>
      </c>
      <c r="V1566" t="s">
        <v>7699</v>
      </c>
      <c r="W1566" t="s">
        <v>7700</v>
      </c>
      <c r="Y1566" t="s">
        <v>7697</v>
      </c>
      <c r="Z1566" t="s">
        <v>698</v>
      </c>
      <c r="AA1566" t="s">
        <v>7698</v>
      </c>
      <c r="AB1566" t="s">
        <v>129</v>
      </c>
      <c r="AC1566" s="3" t="str">
        <f>"14047"</f>
        <v>14047</v>
      </c>
      <c r="AD1566" t="s">
        <v>128</v>
      </c>
      <c r="AF1566" s="4">
        <v>17169470408</v>
      </c>
      <c r="AH1566" t="str">
        <f>"621111"</f>
        <v>621111</v>
      </c>
      <c r="AI1566" t="s">
        <v>130</v>
      </c>
      <c r="AJ1566" t="s">
        <v>7701</v>
      </c>
      <c r="AK1566" t="s">
        <v>7702</v>
      </c>
      <c r="AM1566" t="s">
        <v>7703</v>
      </c>
      <c r="AN1566" t="s">
        <v>5129</v>
      </c>
      <c r="AO1566" t="s">
        <v>5306</v>
      </c>
      <c r="AP1566" t="s">
        <v>276</v>
      </c>
      <c r="AQ1566" s="5">
        <v>7024</v>
      </c>
      <c r="AR1566" t="s">
        <v>128</v>
      </c>
      <c r="AT1566" s="4">
        <v>12015920146</v>
      </c>
      <c r="AV1566" t="s">
        <v>7704</v>
      </c>
      <c r="AW1566" t="s">
        <v>7705</v>
      </c>
      <c r="AX1566" t="s">
        <v>131</v>
      </c>
      <c r="AY1566" t="s">
        <v>131</v>
      </c>
      <c r="AZ1566" t="s">
        <v>131</v>
      </c>
      <c r="BA1566" t="s">
        <v>131</v>
      </c>
      <c r="BB1566" t="s">
        <v>131</v>
      </c>
      <c r="BC1566" t="s">
        <v>131</v>
      </c>
      <c r="BD1566" t="s">
        <v>131</v>
      </c>
      <c r="BE1566" t="s">
        <v>132</v>
      </c>
      <c r="BH1566" t="s">
        <v>7706</v>
      </c>
      <c r="BI1566" t="s">
        <v>131</v>
      </c>
      <c r="BL1566" t="s">
        <v>188</v>
      </c>
      <c r="BN1566" t="s">
        <v>7707</v>
      </c>
      <c r="BO1566" t="s">
        <v>131</v>
      </c>
      <c r="BP1566" t="s">
        <v>134</v>
      </c>
      <c r="BQ1566" t="s">
        <v>131</v>
      </c>
      <c r="BS1566" t="str">
        <f t="shared" si="96"/>
        <v>N/A</v>
      </c>
      <c r="BT1566" t="s">
        <v>131</v>
      </c>
      <c r="BV1566" t="str">
        <f>""</f>
        <v/>
      </c>
      <c r="BW1566" t="s">
        <v>135</v>
      </c>
      <c r="BX1566" t="s">
        <v>18997</v>
      </c>
      <c r="BY1566" t="str">
        <f>""</f>
        <v/>
      </c>
      <c r="BZ1566" t="str">
        <f>""</f>
        <v/>
      </c>
      <c r="CA1566" t="str">
        <f>""</f>
        <v/>
      </c>
      <c r="CB1566" t="s">
        <v>131</v>
      </c>
      <c r="CF1566" t="s">
        <v>131</v>
      </c>
      <c r="CH1566" t="str">
        <f>""</f>
        <v/>
      </c>
      <c r="CI1566" t="s">
        <v>131</v>
      </c>
      <c r="CK1566" t="s">
        <v>131</v>
      </c>
      <c r="CL1566" t="str">
        <f>""</f>
        <v/>
      </c>
      <c r="CM1566" t="str">
        <f>""</f>
        <v/>
      </c>
      <c r="CN1566" t="str">
        <f>""</f>
        <v/>
      </c>
      <c r="CO1566" t="str">
        <f>""</f>
        <v/>
      </c>
      <c r="CP1566" t="str">
        <f>"29-1171.00"</f>
        <v>29-1171.00</v>
      </c>
      <c r="CQ1566" t="s">
        <v>6784</v>
      </c>
      <c r="CS1566" t="s">
        <v>131</v>
      </c>
      <c r="CU1566" t="s">
        <v>7697</v>
      </c>
      <c r="CV1566" t="s">
        <v>698</v>
      </c>
      <c r="CW1566" t="s">
        <v>7698</v>
      </c>
      <c r="CX1566" t="s">
        <v>129</v>
      </c>
      <c r="CZ1566" s="3" t="str">
        <f>"14047"</f>
        <v>14047</v>
      </c>
      <c r="DA1566" t="s">
        <v>131</v>
      </c>
      <c r="DB1566" t="str">
        <f>""</f>
        <v/>
      </c>
      <c r="DF1566" t="str">
        <f>""</f>
        <v/>
      </c>
    </row>
    <row r="1567" spans="1:110" ht="15" customHeight="1" x14ac:dyDescent="0.35">
      <c r="A1567" t="s">
        <v>17028</v>
      </c>
      <c r="B1567" t="s">
        <v>138</v>
      </c>
      <c r="C1567" s="1">
        <v>44335</v>
      </c>
      <c r="G1567" s="1">
        <v>44340</v>
      </c>
      <c r="H1567" t="s">
        <v>125</v>
      </c>
      <c r="I1567" t="s">
        <v>1843</v>
      </c>
      <c r="J1567" t="s">
        <v>9244</v>
      </c>
      <c r="L1567" t="s">
        <v>17029</v>
      </c>
      <c r="M1567" t="s">
        <v>17030</v>
      </c>
      <c r="O1567" t="s">
        <v>6429</v>
      </c>
      <c r="P1567" t="s">
        <v>720</v>
      </c>
      <c r="Q1567" s="3">
        <v>1111</v>
      </c>
      <c r="R1567" t="s">
        <v>128</v>
      </c>
      <c r="T1567" s="4">
        <v>14137445795</v>
      </c>
      <c r="V1567" t="s">
        <v>17031</v>
      </c>
      <c r="W1567" t="s">
        <v>9525</v>
      </c>
      <c r="Y1567" t="s">
        <v>9523</v>
      </c>
      <c r="AA1567" t="s">
        <v>6429</v>
      </c>
      <c r="AB1567" t="s">
        <v>377</v>
      </c>
      <c r="AC1567" s="3" t="str">
        <f>"01111"</f>
        <v>01111</v>
      </c>
      <c r="AD1567" t="s">
        <v>128</v>
      </c>
      <c r="AF1567" s="4">
        <v>14137441755</v>
      </c>
      <c r="AH1567" t="str">
        <f>"524113"</f>
        <v>524113</v>
      </c>
      <c r="AI1567" t="s">
        <v>130</v>
      </c>
      <c r="AJ1567" t="s">
        <v>1922</v>
      </c>
      <c r="AK1567" t="s">
        <v>922</v>
      </c>
      <c r="AL1567" t="s">
        <v>302</v>
      </c>
      <c r="AM1567" t="s">
        <v>1923</v>
      </c>
      <c r="AN1567" t="s">
        <v>1924</v>
      </c>
      <c r="AO1567" t="s">
        <v>1925</v>
      </c>
      <c r="AP1567" t="s">
        <v>377</v>
      </c>
      <c r="AQ1567" s="5">
        <v>1060</v>
      </c>
      <c r="AR1567" t="s">
        <v>128</v>
      </c>
      <c r="AT1567" s="4">
        <v>14135843232</v>
      </c>
      <c r="AV1567" t="s">
        <v>1926</v>
      </c>
      <c r="AW1567" t="s">
        <v>1923</v>
      </c>
      <c r="AX1567" t="s">
        <v>131</v>
      </c>
      <c r="AY1567" t="s">
        <v>131</v>
      </c>
      <c r="AZ1567" t="s">
        <v>131</v>
      </c>
      <c r="BA1567" t="s">
        <v>131</v>
      </c>
      <c r="BB1567" t="s">
        <v>131</v>
      </c>
      <c r="BC1567" t="s">
        <v>131</v>
      </c>
      <c r="BD1567" t="s">
        <v>131</v>
      </c>
      <c r="BE1567" t="s">
        <v>132</v>
      </c>
      <c r="BH1567" t="s">
        <v>10472</v>
      </c>
      <c r="BI1567" t="s">
        <v>131</v>
      </c>
      <c r="BL1567" t="s">
        <v>133</v>
      </c>
      <c r="BN1567" t="s">
        <v>17032</v>
      </c>
      <c r="BO1567" t="s">
        <v>131</v>
      </c>
      <c r="BP1567" t="s">
        <v>134</v>
      </c>
      <c r="BQ1567" t="s">
        <v>131</v>
      </c>
      <c r="BS1567" t="str">
        <f t="shared" si="96"/>
        <v>N/A</v>
      </c>
      <c r="BT1567" t="s">
        <v>131</v>
      </c>
      <c r="BV1567" t="str">
        <f>""</f>
        <v/>
      </c>
      <c r="BW1567" t="s">
        <v>135</v>
      </c>
      <c r="BX1567" t="str">
        <f>""</f>
        <v/>
      </c>
      <c r="BY1567" t="str">
        <f>""</f>
        <v/>
      </c>
      <c r="BZ1567" t="str">
        <f>""</f>
        <v/>
      </c>
      <c r="CA1567" t="str">
        <f>"Coursework must include working with data and relevant computational frameworks, development of probabilistic models and machine learning algorithms, and utilizing R, SQL, or Python."</f>
        <v>Coursework must include working with data and relevant computational frameworks, development of probabilistic models and machine learning algorithms, and utilizing R, SQL, or Python.</v>
      </c>
      <c r="CB1567" t="s">
        <v>131</v>
      </c>
      <c r="CF1567" t="s">
        <v>131</v>
      </c>
      <c r="CH1567" t="str">
        <f>""</f>
        <v/>
      </c>
      <c r="CI1567" t="s">
        <v>131</v>
      </c>
      <c r="CK1567" t="s">
        <v>131</v>
      </c>
      <c r="CL1567" t="str">
        <f>""</f>
        <v/>
      </c>
      <c r="CM1567" t="str">
        <f>""</f>
        <v/>
      </c>
      <c r="CN1567" t="str">
        <f>""</f>
        <v/>
      </c>
      <c r="CO1567" t="str">
        <f>""</f>
        <v/>
      </c>
      <c r="CP1567" t="str">
        <f>"15-2041.00"</f>
        <v>15-2041.00</v>
      </c>
      <c r="CQ1567" t="s">
        <v>379</v>
      </c>
      <c r="CR1567" t="s">
        <v>16260</v>
      </c>
      <c r="CS1567" t="s">
        <v>131</v>
      </c>
      <c r="CU1567" t="s">
        <v>17033</v>
      </c>
      <c r="CW1567" t="s">
        <v>494</v>
      </c>
      <c r="CX1567" t="s">
        <v>129</v>
      </c>
      <c r="CZ1567" s="3" t="str">
        <f>"10010"</f>
        <v>10010</v>
      </c>
      <c r="DA1567" t="s">
        <v>131</v>
      </c>
      <c r="DB1567" t="str">
        <f>""</f>
        <v/>
      </c>
      <c r="DF1567" t="str">
        <f>""</f>
        <v/>
      </c>
    </row>
    <row r="1568" spans="1:110" ht="15" customHeight="1" x14ac:dyDescent="0.35">
      <c r="A1568" t="s">
        <v>8975</v>
      </c>
      <c r="B1568" t="s">
        <v>138</v>
      </c>
      <c r="C1568" s="1">
        <v>44335</v>
      </c>
      <c r="G1568" s="1">
        <v>44336</v>
      </c>
      <c r="H1568" t="s">
        <v>125</v>
      </c>
      <c r="I1568" t="s">
        <v>3023</v>
      </c>
      <c r="J1568" t="s">
        <v>260</v>
      </c>
      <c r="L1568" t="s">
        <v>8976</v>
      </c>
      <c r="M1568" t="s">
        <v>8977</v>
      </c>
      <c r="N1568" t="s">
        <v>8978</v>
      </c>
      <c r="O1568" t="s">
        <v>7468</v>
      </c>
      <c r="P1568" t="s">
        <v>178</v>
      </c>
      <c r="Q1568" s="3">
        <v>90621</v>
      </c>
      <c r="R1568" t="s">
        <v>128</v>
      </c>
      <c r="T1568" s="4">
        <v>17145232828</v>
      </c>
      <c r="V1568" t="s">
        <v>8979</v>
      </c>
      <c r="W1568" t="s">
        <v>8980</v>
      </c>
      <c r="Y1568" t="s">
        <v>8977</v>
      </c>
      <c r="Z1568" t="s">
        <v>8981</v>
      </c>
      <c r="AA1568" t="s">
        <v>7468</v>
      </c>
      <c r="AB1568" t="s">
        <v>172</v>
      </c>
      <c r="AC1568" s="3" t="str">
        <f>"90621"</f>
        <v>90621</v>
      </c>
      <c r="AD1568" t="s">
        <v>128</v>
      </c>
      <c r="AF1568" s="4">
        <v>17145232828</v>
      </c>
      <c r="AH1568" t="str">
        <f>"621210"</f>
        <v>621210</v>
      </c>
      <c r="AI1568" t="s">
        <v>167</v>
      </c>
      <c r="AX1568" t="s">
        <v>131</v>
      </c>
      <c r="AY1568" t="s">
        <v>131</v>
      </c>
      <c r="AZ1568" t="s">
        <v>131</v>
      </c>
      <c r="BA1568" t="s">
        <v>131</v>
      </c>
      <c r="BB1568" t="s">
        <v>131</v>
      </c>
      <c r="BC1568" t="s">
        <v>131</v>
      </c>
      <c r="BD1568" t="s">
        <v>131</v>
      </c>
      <c r="BE1568" t="s">
        <v>132</v>
      </c>
      <c r="BH1568" t="s">
        <v>7279</v>
      </c>
      <c r="BI1568" t="s">
        <v>131</v>
      </c>
      <c r="BL1568" t="s">
        <v>307</v>
      </c>
      <c r="BN1568" t="s">
        <v>8982</v>
      </c>
      <c r="BO1568" t="s">
        <v>131</v>
      </c>
      <c r="BP1568" t="s">
        <v>134</v>
      </c>
      <c r="BQ1568" t="s">
        <v>131</v>
      </c>
      <c r="BS1568" t="str">
        <f t="shared" si="96"/>
        <v>N/A</v>
      </c>
      <c r="BT1568" t="s">
        <v>131</v>
      </c>
      <c r="BV1568" t="str">
        <f>""</f>
        <v/>
      </c>
      <c r="BW1568" t="s">
        <v>131</v>
      </c>
      <c r="BX1568" t="str">
        <f>""</f>
        <v/>
      </c>
      <c r="BY1568" t="str">
        <f>""</f>
        <v/>
      </c>
      <c r="BZ1568" t="str">
        <f>""</f>
        <v/>
      </c>
      <c r="CA1568" t="str">
        <f>""</f>
        <v/>
      </c>
      <c r="CB1568" t="s">
        <v>131</v>
      </c>
      <c r="CF1568" t="s">
        <v>131</v>
      </c>
      <c r="CH1568" t="str">
        <f>""</f>
        <v/>
      </c>
      <c r="CI1568" t="s">
        <v>131</v>
      </c>
      <c r="CK1568" t="s">
        <v>131</v>
      </c>
      <c r="CL1568" t="str">
        <f>""</f>
        <v/>
      </c>
      <c r="CM1568" t="str">
        <f>""</f>
        <v/>
      </c>
      <c r="CN1568" t="str">
        <f>""</f>
        <v/>
      </c>
      <c r="CO1568" t="str">
        <f>""</f>
        <v/>
      </c>
      <c r="CP1568" t="str">
        <f>"43-6013.00"</f>
        <v>43-6013.00</v>
      </c>
      <c r="CQ1568" t="s">
        <v>5270</v>
      </c>
      <c r="CS1568" t="s">
        <v>131</v>
      </c>
      <c r="CU1568" t="s">
        <v>8977</v>
      </c>
      <c r="CV1568" t="s">
        <v>225</v>
      </c>
      <c r="CW1568" t="s">
        <v>7468</v>
      </c>
      <c r="CX1568" t="s">
        <v>172</v>
      </c>
      <c r="CZ1568" s="3" t="str">
        <f>"90621"</f>
        <v>90621</v>
      </c>
      <c r="DA1568" t="s">
        <v>131</v>
      </c>
      <c r="DB1568" t="str">
        <f>""</f>
        <v/>
      </c>
      <c r="DF1568" t="str">
        <f>""</f>
        <v/>
      </c>
    </row>
    <row r="1569" spans="1:110" ht="15" customHeight="1" x14ac:dyDescent="0.35">
      <c r="A1569" t="s">
        <v>20002</v>
      </c>
      <c r="B1569" t="s">
        <v>138</v>
      </c>
      <c r="C1569" s="1">
        <v>44335</v>
      </c>
      <c r="G1569" s="1">
        <v>44351</v>
      </c>
      <c r="H1569" t="s">
        <v>125</v>
      </c>
      <c r="I1569" t="s">
        <v>838</v>
      </c>
      <c r="J1569" t="s">
        <v>839</v>
      </c>
      <c r="K1569" t="s">
        <v>840</v>
      </c>
      <c r="L1569" t="s">
        <v>2565</v>
      </c>
      <c r="M1569" t="s">
        <v>841</v>
      </c>
      <c r="N1569" t="s">
        <v>842</v>
      </c>
      <c r="O1569" t="s">
        <v>843</v>
      </c>
      <c r="P1569" t="s">
        <v>273</v>
      </c>
      <c r="Q1569" s="3">
        <v>7080</v>
      </c>
      <c r="R1569" t="s">
        <v>128</v>
      </c>
      <c r="T1569" s="4">
        <v>17328327978</v>
      </c>
      <c r="V1569" t="s">
        <v>844</v>
      </c>
      <c r="W1569" t="s">
        <v>11334</v>
      </c>
      <c r="Y1569" t="s">
        <v>11335</v>
      </c>
      <c r="Z1569" t="s">
        <v>9668</v>
      </c>
      <c r="AA1569" t="s">
        <v>2205</v>
      </c>
      <c r="AB1569" t="s">
        <v>643</v>
      </c>
      <c r="AC1569" s="3" t="str">
        <f>"30022"</f>
        <v>30022</v>
      </c>
      <c r="AD1569" t="s">
        <v>128</v>
      </c>
      <c r="AF1569" s="4">
        <v>16787998929</v>
      </c>
      <c r="AH1569" t="str">
        <f>"541511"</f>
        <v>541511</v>
      </c>
      <c r="AI1569" t="s">
        <v>130</v>
      </c>
      <c r="AJ1569" t="s">
        <v>838</v>
      </c>
      <c r="AK1569" t="s">
        <v>839</v>
      </c>
      <c r="AL1569" t="s">
        <v>840</v>
      </c>
      <c r="AM1569" t="s">
        <v>841</v>
      </c>
      <c r="AN1569" t="s">
        <v>842</v>
      </c>
      <c r="AO1569" t="s">
        <v>843</v>
      </c>
      <c r="AP1569" t="s">
        <v>276</v>
      </c>
      <c r="AQ1569" s="5">
        <v>7080</v>
      </c>
      <c r="AR1569" t="s">
        <v>128</v>
      </c>
      <c r="AT1569" s="4">
        <v>17328327978</v>
      </c>
      <c r="AV1569" t="s">
        <v>844</v>
      </c>
      <c r="AW1569" t="s">
        <v>2779</v>
      </c>
      <c r="AX1569" t="s">
        <v>131</v>
      </c>
      <c r="AY1569" t="s">
        <v>131</v>
      </c>
      <c r="AZ1569" t="s">
        <v>131</v>
      </c>
      <c r="BA1569" t="s">
        <v>131</v>
      </c>
      <c r="BB1569" t="s">
        <v>131</v>
      </c>
      <c r="BC1569" t="s">
        <v>131</v>
      </c>
      <c r="BD1569" t="s">
        <v>131</v>
      </c>
      <c r="BE1569" t="s">
        <v>132</v>
      </c>
      <c r="BH1569" t="s">
        <v>11337</v>
      </c>
      <c r="BI1569" t="s">
        <v>131</v>
      </c>
      <c r="BL1569" t="s">
        <v>188</v>
      </c>
      <c r="BN1569" t="s">
        <v>11338</v>
      </c>
      <c r="BO1569" t="s">
        <v>131</v>
      </c>
      <c r="BP1569" t="s">
        <v>134</v>
      </c>
      <c r="BQ1569" t="s">
        <v>131</v>
      </c>
      <c r="BS1569" t="str">
        <f t="shared" si="96"/>
        <v>N/A</v>
      </c>
      <c r="BT1569" t="s">
        <v>131</v>
      </c>
      <c r="BV1569" t="str">
        <f>""</f>
        <v/>
      </c>
      <c r="BW1569" t="s">
        <v>135</v>
      </c>
      <c r="BX1569" t="str">
        <f>""</f>
        <v/>
      </c>
      <c r="BY1569" t="str">
        <f>""</f>
        <v/>
      </c>
      <c r="BZ1569" t="str">
        <f>""</f>
        <v/>
      </c>
      <c r="CA1569" t="s">
        <v>16450</v>
      </c>
      <c r="CB1569" t="s">
        <v>135</v>
      </c>
      <c r="CC1569" t="s">
        <v>133</v>
      </c>
      <c r="CE1569" t="s">
        <v>11338</v>
      </c>
      <c r="CF1569" t="s">
        <v>131</v>
      </c>
      <c r="CH1569" t="str">
        <f>"N/A"</f>
        <v>N/A</v>
      </c>
      <c r="CI1569" t="s">
        <v>135</v>
      </c>
      <c r="CJ1569">
        <v>60</v>
      </c>
      <c r="CK1569" t="s">
        <v>131</v>
      </c>
      <c r="CL1569" t="str">
        <f>""</f>
        <v/>
      </c>
      <c r="CM1569" t="str">
        <f>""</f>
        <v/>
      </c>
      <c r="CN1569" t="str">
        <f>""</f>
        <v/>
      </c>
      <c r="CO1569" t="str">
        <f>""</f>
        <v/>
      </c>
      <c r="CP1569" t="str">
        <f>"15-1199.07"</f>
        <v>15-1199.07</v>
      </c>
      <c r="CQ1569" t="s">
        <v>996</v>
      </c>
      <c r="CR1569" t="s">
        <v>849</v>
      </c>
      <c r="CS1569" t="s">
        <v>131</v>
      </c>
      <c r="CU1569" t="s">
        <v>11335</v>
      </c>
      <c r="CV1569" t="s">
        <v>11340</v>
      </c>
      <c r="CW1569" t="s">
        <v>2205</v>
      </c>
      <c r="CX1569" t="s">
        <v>643</v>
      </c>
      <c r="CZ1569" s="3" t="str">
        <f>"30022"</f>
        <v>30022</v>
      </c>
      <c r="DA1569" t="s">
        <v>131</v>
      </c>
      <c r="DB1569" t="str">
        <f>""</f>
        <v/>
      </c>
      <c r="DF1569" t="str">
        <f>""</f>
        <v/>
      </c>
    </row>
    <row r="1570" spans="1:110" ht="15" customHeight="1" x14ac:dyDescent="0.35">
      <c r="A1570" t="s">
        <v>2775</v>
      </c>
      <c r="B1570" t="s">
        <v>138</v>
      </c>
      <c r="C1570" s="1">
        <v>44335</v>
      </c>
      <c r="G1570" s="1">
        <v>44351</v>
      </c>
      <c r="H1570" t="s">
        <v>125</v>
      </c>
      <c r="I1570" t="s">
        <v>838</v>
      </c>
      <c r="J1570" t="s">
        <v>839</v>
      </c>
      <c r="K1570" t="s">
        <v>840</v>
      </c>
      <c r="L1570" t="s">
        <v>2565</v>
      </c>
      <c r="M1570" t="s">
        <v>841</v>
      </c>
      <c r="N1570" t="s">
        <v>842</v>
      </c>
      <c r="O1570" t="s">
        <v>843</v>
      </c>
      <c r="P1570" t="s">
        <v>273</v>
      </c>
      <c r="Q1570" s="3">
        <v>7080</v>
      </c>
      <c r="R1570" t="s">
        <v>128</v>
      </c>
      <c r="T1570" s="4">
        <v>17328327978</v>
      </c>
      <c r="V1570" t="s">
        <v>844</v>
      </c>
      <c r="W1570" t="s">
        <v>2776</v>
      </c>
      <c r="Y1570" t="s">
        <v>2777</v>
      </c>
      <c r="Z1570" t="s">
        <v>2778</v>
      </c>
      <c r="AA1570" t="s">
        <v>843</v>
      </c>
      <c r="AB1570" t="s">
        <v>276</v>
      </c>
      <c r="AC1570" s="3" t="str">
        <f>"07080"</f>
        <v>07080</v>
      </c>
      <c r="AD1570" t="s">
        <v>128</v>
      </c>
      <c r="AF1570" s="4">
        <v>19087524669</v>
      </c>
      <c r="AH1570" t="str">
        <f>"541519"</f>
        <v>541519</v>
      </c>
      <c r="AI1570" t="s">
        <v>130</v>
      </c>
      <c r="AJ1570" t="s">
        <v>838</v>
      </c>
      <c r="AK1570" t="s">
        <v>839</v>
      </c>
      <c r="AL1570" t="s">
        <v>840</v>
      </c>
      <c r="AM1570" t="s">
        <v>841</v>
      </c>
      <c r="AN1570" t="s">
        <v>842</v>
      </c>
      <c r="AO1570" t="s">
        <v>843</v>
      </c>
      <c r="AP1570" t="s">
        <v>276</v>
      </c>
      <c r="AQ1570" s="5">
        <v>7080</v>
      </c>
      <c r="AR1570" t="s">
        <v>128</v>
      </c>
      <c r="AT1570" s="4">
        <v>17328327978</v>
      </c>
      <c r="AV1570" t="s">
        <v>844</v>
      </c>
      <c r="AW1570" t="s">
        <v>2779</v>
      </c>
      <c r="AX1570" t="s">
        <v>131</v>
      </c>
      <c r="AY1570" t="s">
        <v>131</v>
      </c>
      <c r="AZ1570" t="s">
        <v>131</v>
      </c>
      <c r="BA1570" t="s">
        <v>131</v>
      </c>
      <c r="BB1570" t="s">
        <v>131</v>
      </c>
      <c r="BC1570" t="s">
        <v>131</v>
      </c>
      <c r="BD1570" t="s">
        <v>131</v>
      </c>
      <c r="BE1570" t="s">
        <v>132</v>
      </c>
      <c r="BH1570" t="s">
        <v>1634</v>
      </c>
      <c r="BI1570" t="s">
        <v>131</v>
      </c>
      <c r="BL1570" t="s">
        <v>188</v>
      </c>
      <c r="BN1570" t="s">
        <v>2780</v>
      </c>
      <c r="BO1570" t="s">
        <v>131</v>
      </c>
      <c r="BP1570" t="s">
        <v>134</v>
      </c>
      <c r="BQ1570" t="s">
        <v>131</v>
      </c>
      <c r="BS1570" t="str">
        <f t="shared" si="96"/>
        <v>N/A</v>
      </c>
      <c r="BT1570" t="s">
        <v>135</v>
      </c>
      <c r="BU1570">
        <v>6</v>
      </c>
      <c r="BV1570" t="str">
        <f>"JOB OFFERED OR RELATED OCCUPATION."</f>
        <v>JOB OFFERED OR RELATED OCCUPATION.</v>
      </c>
      <c r="BW1570" t="s">
        <v>131</v>
      </c>
      <c r="BX1570" t="str">
        <f>""</f>
        <v/>
      </c>
      <c r="BY1570" t="str">
        <f>""</f>
        <v/>
      </c>
      <c r="BZ1570" t="str">
        <f>""</f>
        <v/>
      </c>
      <c r="CA1570" t="str">
        <f>""</f>
        <v/>
      </c>
      <c r="CB1570" t="s">
        <v>135</v>
      </c>
      <c r="CC1570" t="s">
        <v>133</v>
      </c>
      <c r="CE1570" t="s">
        <v>2780</v>
      </c>
      <c r="CF1570" t="s">
        <v>131</v>
      </c>
      <c r="CH1570" t="str">
        <f>"N/A"</f>
        <v>N/A</v>
      </c>
      <c r="CI1570" t="s">
        <v>135</v>
      </c>
      <c r="CJ1570">
        <v>60</v>
      </c>
      <c r="CK1570" t="s">
        <v>135</v>
      </c>
      <c r="CL1570" t="str">
        <f>""</f>
        <v/>
      </c>
      <c r="CM1570" t="str">
        <f>""</f>
        <v/>
      </c>
      <c r="CN1570" t="str">
        <f>""</f>
        <v/>
      </c>
      <c r="CO1570" t="s">
        <v>2781</v>
      </c>
      <c r="CP1570" t="str">
        <f>"15-1131.00"</f>
        <v>15-1131.00</v>
      </c>
      <c r="CQ1570" t="s">
        <v>2782</v>
      </c>
      <c r="CR1570" t="s">
        <v>849</v>
      </c>
      <c r="CS1570" t="s">
        <v>131</v>
      </c>
      <c r="CU1570" t="s">
        <v>2777</v>
      </c>
      <c r="CV1570" t="s">
        <v>2783</v>
      </c>
      <c r="CW1570" t="s">
        <v>843</v>
      </c>
      <c r="CX1570" t="s">
        <v>276</v>
      </c>
      <c r="CZ1570" s="3" t="str">
        <f>"07080"</f>
        <v>07080</v>
      </c>
      <c r="DA1570" t="s">
        <v>131</v>
      </c>
      <c r="DB1570" t="str">
        <f>""</f>
        <v/>
      </c>
      <c r="DF1570" t="str">
        <f>""</f>
        <v/>
      </c>
    </row>
    <row r="1571" spans="1:110" ht="15" customHeight="1" x14ac:dyDescent="0.35">
      <c r="A1571" t="s">
        <v>19629</v>
      </c>
      <c r="B1571" t="s">
        <v>138</v>
      </c>
      <c r="C1571" s="1">
        <v>44335</v>
      </c>
      <c r="G1571" s="1">
        <v>44343</v>
      </c>
      <c r="H1571" t="s">
        <v>125</v>
      </c>
      <c r="I1571" t="s">
        <v>2732</v>
      </c>
      <c r="J1571" t="s">
        <v>1437</v>
      </c>
      <c r="L1571" t="s">
        <v>7259</v>
      </c>
      <c r="M1571" t="s">
        <v>7260</v>
      </c>
      <c r="N1571" t="s">
        <v>2489</v>
      </c>
      <c r="O1571" t="s">
        <v>494</v>
      </c>
      <c r="P1571" t="s">
        <v>127</v>
      </c>
      <c r="Q1571" s="3">
        <v>10001</v>
      </c>
      <c r="R1571" t="s">
        <v>128</v>
      </c>
      <c r="T1571" s="4">
        <v>18666799129</v>
      </c>
      <c r="V1571" t="s">
        <v>7261</v>
      </c>
      <c r="W1571" t="s">
        <v>19630</v>
      </c>
      <c r="Y1571" t="s">
        <v>7260</v>
      </c>
      <c r="Z1571" t="s">
        <v>2489</v>
      </c>
      <c r="AA1571" t="s">
        <v>494</v>
      </c>
      <c r="AB1571" t="s">
        <v>129</v>
      </c>
      <c r="AC1571" s="3" t="str">
        <f>"10001"</f>
        <v>10001</v>
      </c>
      <c r="AD1571" t="s">
        <v>128</v>
      </c>
      <c r="AF1571" s="4">
        <v>18666799129</v>
      </c>
      <c r="AH1571" t="str">
        <f>"451110"</f>
        <v>451110</v>
      </c>
      <c r="AI1571" t="s">
        <v>130</v>
      </c>
      <c r="AJ1571" t="s">
        <v>1622</v>
      </c>
      <c r="AK1571" t="s">
        <v>1623</v>
      </c>
      <c r="AL1571" t="s">
        <v>1624</v>
      </c>
      <c r="AM1571" t="s">
        <v>1625</v>
      </c>
      <c r="AN1571" t="s">
        <v>1626</v>
      </c>
      <c r="AO1571" t="s">
        <v>719</v>
      </c>
      <c r="AP1571" t="s">
        <v>377</v>
      </c>
      <c r="AQ1571" s="5">
        <v>1701</v>
      </c>
      <c r="AR1571" t="s">
        <v>128</v>
      </c>
      <c r="AT1571" s="4">
        <v>15085323527</v>
      </c>
      <c r="AV1571" t="s">
        <v>1927</v>
      </c>
      <c r="AW1571" t="s">
        <v>1628</v>
      </c>
      <c r="AX1571" t="s">
        <v>131</v>
      </c>
      <c r="AY1571" t="s">
        <v>131</v>
      </c>
      <c r="AZ1571" t="s">
        <v>131</v>
      </c>
      <c r="BA1571" t="s">
        <v>131</v>
      </c>
      <c r="BB1571" t="s">
        <v>131</v>
      </c>
      <c r="BC1571" t="s">
        <v>131</v>
      </c>
      <c r="BD1571" t="s">
        <v>131</v>
      </c>
      <c r="BE1571" t="s">
        <v>132</v>
      </c>
      <c r="BH1571" t="s">
        <v>542</v>
      </c>
      <c r="BI1571" t="s">
        <v>131</v>
      </c>
      <c r="BL1571" t="s">
        <v>188</v>
      </c>
      <c r="BN1571" t="s">
        <v>19631</v>
      </c>
      <c r="BO1571" t="s">
        <v>131</v>
      </c>
      <c r="BP1571" t="s">
        <v>134</v>
      </c>
      <c r="BQ1571" t="s">
        <v>131</v>
      </c>
      <c r="BS1571" t="str">
        <f t="shared" si="96"/>
        <v>N/A</v>
      </c>
      <c r="BT1571" t="s">
        <v>131</v>
      </c>
      <c r="BV1571" t="str">
        <f>""</f>
        <v/>
      </c>
      <c r="BW1571" t="s">
        <v>135</v>
      </c>
      <c r="BX1571" t="str">
        <f>""</f>
        <v/>
      </c>
      <c r="BY1571" t="str">
        <f>""</f>
        <v/>
      </c>
      <c r="BZ1571" t="str">
        <f>""</f>
        <v/>
      </c>
      <c r="CA1571" t="s">
        <v>19632</v>
      </c>
      <c r="CB1571" t="s">
        <v>131</v>
      </c>
      <c r="CF1571" t="s">
        <v>131</v>
      </c>
      <c r="CH1571" t="str">
        <f>""</f>
        <v/>
      </c>
      <c r="CI1571" t="s">
        <v>131</v>
      </c>
      <c r="CK1571" t="s">
        <v>131</v>
      </c>
      <c r="CL1571" t="str">
        <f>""</f>
        <v/>
      </c>
      <c r="CM1571" t="str">
        <f>""</f>
        <v/>
      </c>
      <c r="CN1571" t="str">
        <f>""</f>
        <v/>
      </c>
      <c r="CO1571" t="str">
        <f>""</f>
        <v/>
      </c>
      <c r="CP1571" t="str">
        <f>"15-1133.00"</f>
        <v>15-1133.00</v>
      </c>
      <c r="CQ1571" t="s">
        <v>648</v>
      </c>
      <c r="CR1571" t="s">
        <v>8812</v>
      </c>
      <c r="CS1571" t="s">
        <v>131</v>
      </c>
      <c r="CU1571" t="s">
        <v>7260</v>
      </c>
      <c r="CV1571" t="s">
        <v>2489</v>
      </c>
      <c r="CW1571" t="s">
        <v>494</v>
      </c>
      <c r="CX1571" t="s">
        <v>129</v>
      </c>
      <c r="CZ1571" s="3" t="str">
        <f>"10001"</f>
        <v>10001</v>
      </c>
      <c r="DA1571" t="s">
        <v>131</v>
      </c>
      <c r="DB1571" t="str">
        <f>""</f>
        <v/>
      </c>
      <c r="DF1571" t="str">
        <f>""</f>
        <v/>
      </c>
    </row>
    <row r="1572" spans="1:110" ht="15" customHeight="1" x14ac:dyDescent="0.35">
      <c r="A1572" t="s">
        <v>15877</v>
      </c>
      <c r="B1572" t="s">
        <v>138</v>
      </c>
      <c r="C1572" s="1">
        <v>44335</v>
      </c>
      <c r="G1572" s="1">
        <v>44335</v>
      </c>
      <c r="H1572" t="s">
        <v>125</v>
      </c>
      <c r="I1572" t="s">
        <v>1552</v>
      </c>
      <c r="J1572" t="s">
        <v>1553</v>
      </c>
      <c r="L1572" t="s">
        <v>1554</v>
      </c>
      <c r="M1572" t="s">
        <v>1555</v>
      </c>
      <c r="O1572" t="s">
        <v>1556</v>
      </c>
      <c r="P1572" t="s">
        <v>178</v>
      </c>
      <c r="Q1572" s="3">
        <v>95014</v>
      </c>
      <c r="R1572" t="s">
        <v>128</v>
      </c>
      <c r="T1572" s="4">
        <v>14089742562</v>
      </c>
      <c r="V1572" t="s">
        <v>3680</v>
      </c>
      <c r="W1572" t="s">
        <v>1558</v>
      </c>
      <c r="Y1572" t="s">
        <v>1559</v>
      </c>
      <c r="AA1572" t="s">
        <v>1560</v>
      </c>
      <c r="AB1572" t="s">
        <v>172</v>
      </c>
      <c r="AC1572" s="3" t="str">
        <f>"95014"</f>
        <v>95014</v>
      </c>
      <c r="AD1572" t="s">
        <v>128</v>
      </c>
      <c r="AF1572" s="4">
        <v>14089742562</v>
      </c>
      <c r="AH1572" t="str">
        <f>"334111"</f>
        <v>334111</v>
      </c>
      <c r="AI1572" t="s">
        <v>130</v>
      </c>
      <c r="AJ1572" t="s">
        <v>3476</v>
      </c>
      <c r="AK1572" t="s">
        <v>781</v>
      </c>
      <c r="AL1572" t="s">
        <v>3681</v>
      </c>
      <c r="AM1572" t="s">
        <v>15878</v>
      </c>
      <c r="AN1572" t="s">
        <v>997</v>
      </c>
      <c r="AO1572" t="s">
        <v>220</v>
      </c>
      <c r="AP1572" t="s">
        <v>172</v>
      </c>
      <c r="AQ1572" s="5">
        <v>94111</v>
      </c>
      <c r="AR1572" t="s">
        <v>128</v>
      </c>
      <c r="AT1572" s="4">
        <v>14159861446</v>
      </c>
      <c r="AV1572" t="s">
        <v>1564</v>
      </c>
      <c r="AW1572" t="s">
        <v>386</v>
      </c>
      <c r="AX1572" t="s">
        <v>131</v>
      </c>
      <c r="AY1572" t="s">
        <v>131</v>
      </c>
      <c r="AZ1572" t="s">
        <v>131</v>
      </c>
      <c r="BA1572" t="s">
        <v>131</v>
      </c>
      <c r="BB1572" t="s">
        <v>131</v>
      </c>
      <c r="BC1572" t="s">
        <v>131</v>
      </c>
      <c r="BD1572" t="s">
        <v>131</v>
      </c>
      <c r="BE1572" t="s">
        <v>160</v>
      </c>
      <c r="BF1572" t="s">
        <v>1565</v>
      </c>
      <c r="BG1572" s="1">
        <v>44270</v>
      </c>
      <c r="BH1572" t="s">
        <v>6269</v>
      </c>
      <c r="BI1572" t="s">
        <v>131</v>
      </c>
      <c r="BL1572" t="s">
        <v>188</v>
      </c>
      <c r="BN1572" t="s">
        <v>1566</v>
      </c>
      <c r="BO1572" t="s">
        <v>131</v>
      </c>
      <c r="BP1572" t="s">
        <v>134</v>
      </c>
      <c r="BQ1572" t="s">
        <v>131</v>
      </c>
      <c r="BS1572" t="str">
        <f t="shared" si="96"/>
        <v>N/A</v>
      </c>
      <c r="BT1572" t="s">
        <v>131</v>
      </c>
      <c r="BV1572" t="str">
        <f>""</f>
        <v/>
      </c>
      <c r="BW1572" t="s">
        <v>135</v>
      </c>
      <c r="BX1572" t="str">
        <f>""</f>
        <v/>
      </c>
      <c r="BY1572" t="str">
        <f>""</f>
        <v/>
      </c>
      <c r="BZ1572" t="str">
        <f>""</f>
        <v/>
      </c>
      <c r="CA1572" t="str">
        <f>"Please See Section F.a.2."</f>
        <v>Please See Section F.a.2.</v>
      </c>
      <c r="CB1572" t="s">
        <v>131</v>
      </c>
      <c r="CF1572" t="s">
        <v>131</v>
      </c>
      <c r="CH1572" t="str">
        <f>""</f>
        <v/>
      </c>
      <c r="CI1572" t="s">
        <v>131</v>
      </c>
      <c r="CK1572" t="s">
        <v>131</v>
      </c>
      <c r="CL1572" t="str">
        <f>""</f>
        <v/>
      </c>
      <c r="CM1572" t="str">
        <f>""</f>
        <v/>
      </c>
      <c r="CN1572" t="str">
        <f>""</f>
        <v/>
      </c>
      <c r="CO1572" t="str">
        <f>""</f>
        <v/>
      </c>
      <c r="CP1572" t="str">
        <f>"15-1133.00"</f>
        <v>15-1133.00</v>
      </c>
      <c r="CQ1572" t="s">
        <v>648</v>
      </c>
      <c r="CR1572" t="s">
        <v>460</v>
      </c>
      <c r="CS1572" t="s">
        <v>131</v>
      </c>
      <c r="CU1572" t="s">
        <v>1555</v>
      </c>
      <c r="CW1572" t="s">
        <v>1556</v>
      </c>
      <c r="CX1572" t="s">
        <v>172</v>
      </c>
      <c r="CZ1572" s="3" t="str">
        <f>"95014"</f>
        <v>95014</v>
      </c>
      <c r="DA1572" t="s">
        <v>131</v>
      </c>
      <c r="DB1572" t="str">
        <f>""</f>
        <v/>
      </c>
      <c r="DF1572" t="str">
        <f>""</f>
        <v/>
      </c>
    </row>
    <row r="1573" spans="1:110" ht="15" customHeight="1" x14ac:dyDescent="0.35">
      <c r="A1573" t="s">
        <v>12788</v>
      </c>
      <c r="B1573" t="s">
        <v>138</v>
      </c>
      <c r="C1573" s="1">
        <v>44335</v>
      </c>
      <c r="G1573" s="1">
        <v>44335</v>
      </c>
      <c r="H1573" t="s">
        <v>125</v>
      </c>
      <c r="I1573" t="s">
        <v>11072</v>
      </c>
      <c r="J1573" t="s">
        <v>1710</v>
      </c>
      <c r="K1573" t="s">
        <v>12789</v>
      </c>
      <c r="L1573" t="s">
        <v>12790</v>
      </c>
      <c r="M1573" t="s">
        <v>12791</v>
      </c>
      <c r="N1573" t="s">
        <v>12792</v>
      </c>
      <c r="O1573" t="s">
        <v>5181</v>
      </c>
      <c r="P1573" t="s">
        <v>311</v>
      </c>
      <c r="Q1573" s="3">
        <v>18015</v>
      </c>
      <c r="R1573" t="s">
        <v>128</v>
      </c>
      <c r="T1573" s="4">
        <v>16107584859</v>
      </c>
      <c r="V1573" t="s">
        <v>12793</v>
      </c>
      <c r="W1573" t="s">
        <v>12794</v>
      </c>
      <c r="Y1573" t="s">
        <v>12795</v>
      </c>
      <c r="AA1573" t="s">
        <v>5181</v>
      </c>
      <c r="AB1573" t="s">
        <v>312</v>
      </c>
      <c r="AC1573" s="3" t="str">
        <f>"18015"</f>
        <v>18015</v>
      </c>
      <c r="AD1573" t="s">
        <v>128</v>
      </c>
      <c r="AF1573" s="4">
        <v>16107583000</v>
      </c>
      <c r="AH1573" t="str">
        <f>"61131"</f>
        <v>61131</v>
      </c>
      <c r="AI1573" t="s">
        <v>130</v>
      </c>
      <c r="AJ1573" t="s">
        <v>4759</v>
      </c>
      <c r="AK1573" t="s">
        <v>2104</v>
      </c>
      <c r="AL1573" t="s">
        <v>12796</v>
      </c>
      <c r="AM1573" t="s">
        <v>4484</v>
      </c>
      <c r="AN1573" t="s">
        <v>4485</v>
      </c>
      <c r="AO1573" t="s">
        <v>310</v>
      </c>
      <c r="AP1573" t="s">
        <v>312</v>
      </c>
      <c r="AQ1573" s="5">
        <v>19106</v>
      </c>
      <c r="AR1573" t="s">
        <v>128</v>
      </c>
      <c r="AT1573" s="4">
        <v>12159250705</v>
      </c>
      <c r="AU1573">
        <v>1236</v>
      </c>
      <c r="AV1573" t="s">
        <v>12797</v>
      </c>
      <c r="AW1573" t="s">
        <v>4486</v>
      </c>
      <c r="AX1573" t="s">
        <v>135</v>
      </c>
      <c r="AY1573" t="s">
        <v>135</v>
      </c>
      <c r="AZ1573" t="s">
        <v>131</v>
      </c>
      <c r="BA1573" t="s">
        <v>131</v>
      </c>
      <c r="BB1573" t="s">
        <v>134</v>
      </c>
      <c r="BC1573" t="s">
        <v>131</v>
      </c>
      <c r="BD1573" t="s">
        <v>131</v>
      </c>
      <c r="BE1573" t="s">
        <v>132</v>
      </c>
      <c r="BH1573" t="s">
        <v>446</v>
      </c>
      <c r="BI1573" t="s">
        <v>131</v>
      </c>
      <c r="BL1573" t="s">
        <v>447</v>
      </c>
      <c r="BN1573" t="s">
        <v>12798</v>
      </c>
      <c r="BO1573" t="s">
        <v>131</v>
      </c>
      <c r="BP1573" t="s">
        <v>134</v>
      </c>
      <c r="BQ1573" t="s">
        <v>131</v>
      </c>
      <c r="BS1573" t="str">
        <f t="shared" si="96"/>
        <v>N/A</v>
      </c>
      <c r="BT1573" t="s">
        <v>131</v>
      </c>
      <c r="BV1573" t="str">
        <f>""</f>
        <v/>
      </c>
      <c r="BW1573" t="s">
        <v>135</v>
      </c>
      <c r="BX1573" t="str">
        <f>""</f>
        <v/>
      </c>
      <c r="BY1573" t="str">
        <f>""</f>
        <v/>
      </c>
      <c r="BZ1573" t="str">
        <f>""</f>
        <v/>
      </c>
      <c r="CA1573" t="s">
        <v>12799</v>
      </c>
      <c r="CB1573" t="s">
        <v>131</v>
      </c>
      <c r="CF1573" t="s">
        <v>131</v>
      </c>
      <c r="CH1573" t="str">
        <f>""</f>
        <v/>
      </c>
      <c r="CI1573" t="s">
        <v>131</v>
      </c>
      <c r="CK1573" t="s">
        <v>131</v>
      </c>
      <c r="CL1573" t="str">
        <f>""</f>
        <v/>
      </c>
      <c r="CM1573" t="str">
        <f>""</f>
        <v/>
      </c>
      <c r="CN1573" t="str">
        <f>""</f>
        <v/>
      </c>
      <c r="CO1573" t="str">
        <f>""</f>
        <v/>
      </c>
      <c r="CP1573" t="str">
        <f>"25-1021.00"</f>
        <v>25-1021.00</v>
      </c>
      <c r="CQ1573" t="s">
        <v>3205</v>
      </c>
      <c r="CR1573" t="s">
        <v>12800</v>
      </c>
      <c r="CS1573" t="s">
        <v>131</v>
      </c>
      <c r="CU1573" t="s">
        <v>12801</v>
      </c>
      <c r="CW1573" t="s">
        <v>5181</v>
      </c>
      <c r="CX1573" t="s">
        <v>312</v>
      </c>
      <c r="CZ1573" s="3" t="str">
        <f>"18015"</f>
        <v>18015</v>
      </c>
      <c r="DA1573" t="s">
        <v>131</v>
      </c>
      <c r="DB1573" t="str">
        <f>""</f>
        <v/>
      </c>
      <c r="DF1573" t="str">
        <f>""</f>
        <v/>
      </c>
    </row>
    <row r="1574" spans="1:110" ht="15" customHeight="1" x14ac:dyDescent="0.35">
      <c r="A1574" t="s">
        <v>7974</v>
      </c>
      <c r="B1574" t="s">
        <v>138</v>
      </c>
      <c r="C1574" s="1">
        <v>44335</v>
      </c>
      <c r="G1574" s="1">
        <v>44336</v>
      </c>
      <c r="H1574" t="s">
        <v>125</v>
      </c>
      <c r="I1574" t="s">
        <v>5892</v>
      </c>
      <c r="J1574" t="s">
        <v>1252</v>
      </c>
      <c r="L1574" t="s">
        <v>7975</v>
      </c>
      <c r="M1574" t="s">
        <v>7976</v>
      </c>
      <c r="O1574" t="s">
        <v>742</v>
      </c>
      <c r="P1574" t="s">
        <v>588</v>
      </c>
      <c r="Q1574" s="3">
        <v>23219</v>
      </c>
      <c r="R1574" t="s">
        <v>128</v>
      </c>
      <c r="T1574" s="4">
        <v>18047885000</v>
      </c>
      <c r="V1574" t="s">
        <v>7977</v>
      </c>
      <c r="W1574" t="s">
        <v>7978</v>
      </c>
      <c r="Y1574" t="s">
        <v>7979</v>
      </c>
      <c r="AA1574" t="s">
        <v>742</v>
      </c>
      <c r="AB1574" t="s">
        <v>306</v>
      </c>
      <c r="AC1574" s="3" t="str">
        <f>"23219"</f>
        <v>23219</v>
      </c>
      <c r="AD1574" t="s">
        <v>128</v>
      </c>
      <c r="AF1574" s="4">
        <v>18047885000</v>
      </c>
      <c r="AH1574" t="str">
        <f>"324191"</f>
        <v>324191</v>
      </c>
      <c r="AI1574" t="s">
        <v>130</v>
      </c>
      <c r="AJ1574" t="s">
        <v>982</v>
      </c>
      <c r="AK1574" t="s">
        <v>983</v>
      </c>
      <c r="AM1574" t="s">
        <v>984</v>
      </c>
      <c r="AN1574" t="s">
        <v>985</v>
      </c>
      <c r="AO1574" t="s">
        <v>742</v>
      </c>
      <c r="AP1574" t="s">
        <v>306</v>
      </c>
      <c r="AQ1574" s="5">
        <v>23219</v>
      </c>
      <c r="AR1574" t="s">
        <v>128</v>
      </c>
      <c r="AT1574" s="4">
        <v>18044206478</v>
      </c>
      <c r="AV1574" t="s">
        <v>986</v>
      </c>
      <c r="AW1574" t="s">
        <v>987</v>
      </c>
      <c r="AX1574" t="s">
        <v>131</v>
      </c>
      <c r="AY1574" t="s">
        <v>131</v>
      </c>
      <c r="AZ1574" t="s">
        <v>131</v>
      </c>
      <c r="BA1574" t="s">
        <v>131</v>
      </c>
      <c r="BB1574" t="s">
        <v>131</v>
      </c>
      <c r="BC1574" t="s">
        <v>131</v>
      </c>
      <c r="BD1574" t="s">
        <v>131</v>
      </c>
      <c r="BE1574" t="s">
        <v>132</v>
      </c>
      <c r="BH1574" t="s">
        <v>7980</v>
      </c>
      <c r="BI1574" t="s">
        <v>131</v>
      </c>
      <c r="BL1574" t="s">
        <v>133</v>
      </c>
      <c r="BN1574" t="s">
        <v>7981</v>
      </c>
      <c r="BO1574" t="s">
        <v>131</v>
      </c>
      <c r="BP1574" t="s">
        <v>134</v>
      </c>
      <c r="BQ1574" t="s">
        <v>131</v>
      </c>
      <c r="BS1574" t="str">
        <f t="shared" si="96"/>
        <v>N/A</v>
      </c>
      <c r="BT1574" t="s">
        <v>135</v>
      </c>
      <c r="BU1574">
        <v>60</v>
      </c>
      <c r="BV1574" t="str">
        <f>"5 years' experience as a Software Developer"</f>
        <v>5 years' experience as a Software Developer</v>
      </c>
      <c r="BW1574" t="s">
        <v>135</v>
      </c>
      <c r="BX1574" t="str">
        <f>""</f>
        <v/>
      </c>
      <c r="BY1574" t="str">
        <f>""</f>
        <v/>
      </c>
      <c r="BZ1574" t="str">
        <f>""</f>
        <v/>
      </c>
      <c r="CA1574" t="str">
        <f>"2 years’ concurrent experience  with .Net, C#, Jquery/JavaScript, BootStrap, Asp MVC, Asp MVC Web API, GIT, TFS, HTML, MS SQL server database, SQL"</f>
        <v>2 years’ concurrent experience  with .Net, C#, Jquery/JavaScript, BootStrap, Asp MVC, Asp MVC Web API, GIT, TFS, HTML, MS SQL server database, SQL</v>
      </c>
      <c r="CB1574" t="s">
        <v>131</v>
      </c>
      <c r="CF1574" t="s">
        <v>131</v>
      </c>
      <c r="CH1574" t="str">
        <f>""</f>
        <v/>
      </c>
      <c r="CI1574" t="s">
        <v>131</v>
      </c>
      <c r="CK1574" t="s">
        <v>131</v>
      </c>
      <c r="CL1574" t="str">
        <f>""</f>
        <v/>
      </c>
      <c r="CM1574" t="str">
        <f>""</f>
        <v/>
      </c>
      <c r="CN1574" t="str">
        <f>""</f>
        <v/>
      </c>
      <c r="CO1574" t="str">
        <f>""</f>
        <v/>
      </c>
      <c r="CP1574" t="str">
        <f>"15-1133.00"</f>
        <v>15-1133.00</v>
      </c>
      <c r="CQ1574" t="s">
        <v>648</v>
      </c>
      <c r="CR1574" t="s">
        <v>2296</v>
      </c>
      <c r="CS1574" t="s">
        <v>131</v>
      </c>
      <c r="CU1574" t="s">
        <v>7979</v>
      </c>
      <c r="CW1574" t="s">
        <v>742</v>
      </c>
      <c r="CX1574" t="s">
        <v>306</v>
      </c>
      <c r="CZ1574" s="3" t="str">
        <f>"23219"</f>
        <v>23219</v>
      </c>
      <c r="DA1574" t="s">
        <v>131</v>
      </c>
      <c r="DB1574" t="str">
        <f>""</f>
        <v/>
      </c>
      <c r="DF1574" t="str">
        <f>""</f>
        <v/>
      </c>
    </row>
    <row r="1575" spans="1:110" ht="15" customHeight="1" x14ac:dyDescent="0.35">
      <c r="A1575" t="s">
        <v>7616</v>
      </c>
      <c r="B1575" t="s">
        <v>138</v>
      </c>
      <c r="C1575" s="1">
        <v>44335</v>
      </c>
      <c r="G1575" s="1">
        <v>44350</v>
      </c>
      <c r="H1575" t="s">
        <v>125</v>
      </c>
      <c r="I1575" t="s">
        <v>838</v>
      </c>
      <c r="J1575" t="s">
        <v>839</v>
      </c>
      <c r="K1575" t="s">
        <v>840</v>
      </c>
      <c r="L1575" t="s">
        <v>2565</v>
      </c>
      <c r="M1575" t="s">
        <v>841</v>
      </c>
      <c r="N1575" t="s">
        <v>842</v>
      </c>
      <c r="O1575" t="s">
        <v>843</v>
      </c>
      <c r="P1575" t="s">
        <v>273</v>
      </c>
      <c r="Q1575" s="3">
        <v>7080</v>
      </c>
      <c r="R1575" t="s">
        <v>128</v>
      </c>
      <c r="T1575" s="4">
        <v>17328327978</v>
      </c>
      <c r="V1575" t="s">
        <v>844</v>
      </c>
      <c r="W1575" t="s">
        <v>7617</v>
      </c>
      <c r="Y1575" t="s">
        <v>7618</v>
      </c>
      <c r="Z1575" t="s">
        <v>3384</v>
      </c>
      <c r="AA1575" t="s">
        <v>4862</v>
      </c>
      <c r="AB1575" t="s">
        <v>276</v>
      </c>
      <c r="AC1575" s="3" t="str">
        <f>"08540"</f>
        <v>08540</v>
      </c>
      <c r="AD1575" t="s">
        <v>128</v>
      </c>
      <c r="AF1575" s="4">
        <v>16098580630</v>
      </c>
      <c r="AH1575" t="str">
        <f>"541511"</f>
        <v>541511</v>
      </c>
      <c r="AI1575" t="s">
        <v>130</v>
      </c>
      <c r="AJ1575" t="s">
        <v>838</v>
      </c>
      <c r="AK1575" t="s">
        <v>839</v>
      </c>
      <c r="AL1575" t="s">
        <v>840</v>
      </c>
      <c r="AM1575" t="s">
        <v>7619</v>
      </c>
      <c r="AN1575" t="s">
        <v>842</v>
      </c>
      <c r="AO1575" t="s">
        <v>843</v>
      </c>
      <c r="AP1575" t="s">
        <v>276</v>
      </c>
      <c r="AQ1575" s="5">
        <v>7080</v>
      </c>
      <c r="AR1575" t="s">
        <v>128</v>
      </c>
      <c r="AT1575" s="4">
        <v>17328327978</v>
      </c>
      <c r="AV1575" t="s">
        <v>844</v>
      </c>
      <c r="AW1575" t="s">
        <v>845</v>
      </c>
      <c r="AX1575" t="s">
        <v>131</v>
      </c>
      <c r="AY1575" t="s">
        <v>131</v>
      </c>
      <c r="AZ1575" t="s">
        <v>131</v>
      </c>
      <c r="BA1575" t="s">
        <v>131</v>
      </c>
      <c r="BB1575" t="s">
        <v>131</v>
      </c>
      <c r="BC1575" t="s">
        <v>131</v>
      </c>
      <c r="BD1575" t="s">
        <v>131</v>
      </c>
      <c r="BE1575" t="s">
        <v>132</v>
      </c>
      <c r="BH1575" t="s">
        <v>846</v>
      </c>
      <c r="BI1575" t="s">
        <v>131</v>
      </c>
      <c r="BL1575" t="s">
        <v>188</v>
      </c>
      <c r="BN1575" t="s">
        <v>847</v>
      </c>
      <c r="BO1575" t="s">
        <v>131</v>
      </c>
      <c r="BP1575" t="s">
        <v>134</v>
      </c>
      <c r="BQ1575" t="s">
        <v>131</v>
      </c>
      <c r="BS1575" t="str">
        <f t="shared" si="96"/>
        <v>N/A</v>
      </c>
      <c r="BT1575" t="s">
        <v>135</v>
      </c>
      <c r="BU1575">
        <v>12</v>
      </c>
      <c r="BV1575" t="str">
        <f t="shared" ref="BV1575:BV1582" si="98">"JOB OFFERED OR RELATED OCCUPATION."</f>
        <v>JOB OFFERED OR RELATED OCCUPATION.</v>
      </c>
      <c r="BW1575" t="s">
        <v>135</v>
      </c>
      <c r="BX1575" t="str">
        <f>""</f>
        <v/>
      </c>
      <c r="BY1575" t="str">
        <f>""</f>
        <v/>
      </c>
      <c r="BZ1575" t="str">
        <f>""</f>
        <v/>
      </c>
      <c r="CA1575" s="2" t="s">
        <v>7620</v>
      </c>
      <c r="CB1575" t="s">
        <v>135</v>
      </c>
      <c r="CC1575" t="s">
        <v>133</v>
      </c>
      <c r="CE1575" t="s">
        <v>847</v>
      </c>
      <c r="CF1575" t="s">
        <v>131</v>
      </c>
      <c r="CH1575" t="str">
        <f t="shared" ref="CH1575:CH1582" si="99">"N/A"</f>
        <v>N/A</v>
      </c>
      <c r="CI1575" t="s">
        <v>135</v>
      </c>
      <c r="CJ1575">
        <v>60</v>
      </c>
      <c r="CK1575" t="s">
        <v>131</v>
      </c>
      <c r="CL1575" t="str">
        <f>""</f>
        <v/>
      </c>
      <c r="CM1575" t="str">
        <f>""</f>
        <v/>
      </c>
      <c r="CN1575" t="str">
        <f>""</f>
        <v/>
      </c>
      <c r="CO1575" t="str">
        <f>""</f>
        <v/>
      </c>
      <c r="CP1575" t="str">
        <f>"15-1132.00"</f>
        <v>15-1132.00</v>
      </c>
      <c r="CQ1575" t="s">
        <v>198</v>
      </c>
      <c r="CR1575" t="s">
        <v>849</v>
      </c>
      <c r="CS1575" t="s">
        <v>131</v>
      </c>
      <c r="CU1575" t="s">
        <v>7618</v>
      </c>
      <c r="CV1575" t="s">
        <v>7621</v>
      </c>
      <c r="CW1575" t="s">
        <v>4862</v>
      </c>
      <c r="CX1575" t="s">
        <v>276</v>
      </c>
      <c r="CZ1575" s="3" t="str">
        <f>"08540"</f>
        <v>08540</v>
      </c>
      <c r="DA1575" t="s">
        <v>131</v>
      </c>
      <c r="DB1575" t="str">
        <f>""</f>
        <v/>
      </c>
      <c r="DF1575" t="str">
        <f>""</f>
        <v/>
      </c>
    </row>
    <row r="1576" spans="1:110" ht="15" customHeight="1" x14ac:dyDescent="0.35">
      <c r="A1576" t="s">
        <v>6905</v>
      </c>
      <c r="B1576" t="s">
        <v>138</v>
      </c>
      <c r="C1576" s="1">
        <v>44335</v>
      </c>
      <c r="G1576" s="1">
        <v>44350</v>
      </c>
      <c r="H1576" t="s">
        <v>125</v>
      </c>
      <c r="I1576" t="s">
        <v>838</v>
      </c>
      <c r="J1576" t="s">
        <v>839</v>
      </c>
      <c r="K1576" t="s">
        <v>840</v>
      </c>
      <c r="L1576" t="s">
        <v>2565</v>
      </c>
      <c r="M1576" t="s">
        <v>841</v>
      </c>
      <c r="N1576" t="s">
        <v>842</v>
      </c>
      <c r="O1576" t="s">
        <v>843</v>
      </c>
      <c r="P1576" t="s">
        <v>273</v>
      </c>
      <c r="Q1576" s="3">
        <v>7080</v>
      </c>
      <c r="R1576" t="s">
        <v>128</v>
      </c>
      <c r="T1576" s="4">
        <v>17328327978</v>
      </c>
      <c r="V1576" t="s">
        <v>844</v>
      </c>
      <c r="W1576" t="s">
        <v>6906</v>
      </c>
      <c r="Y1576" t="s">
        <v>6907</v>
      </c>
      <c r="AA1576" t="s">
        <v>4862</v>
      </c>
      <c r="AB1576" t="s">
        <v>276</v>
      </c>
      <c r="AC1576" s="3" t="str">
        <f>"08540"</f>
        <v>08540</v>
      </c>
      <c r="AD1576" t="s">
        <v>128</v>
      </c>
      <c r="AF1576" s="4">
        <v>17325120009</v>
      </c>
      <c r="AH1576" t="str">
        <f>"541511"</f>
        <v>541511</v>
      </c>
      <c r="AI1576" t="s">
        <v>130</v>
      </c>
      <c r="AJ1576" t="s">
        <v>838</v>
      </c>
      <c r="AK1576" t="s">
        <v>839</v>
      </c>
      <c r="AL1576" t="s">
        <v>840</v>
      </c>
      <c r="AM1576" t="s">
        <v>841</v>
      </c>
      <c r="AN1576" t="s">
        <v>842</v>
      </c>
      <c r="AO1576" t="s">
        <v>843</v>
      </c>
      <c r="AP1576" t="s">
        <v>276</v>
      </c>
      <c r="AQ1576" s="5">
        <v>7080</v>
      </c>
      <c r="AR1576" t="s">
        <v>128</v>
      </c>
      <c r="AT1576" s="4">
        <v>17328327978</v>
      </c>
      <c r="AV1576" t="s">
        <v>844</v>
      </c>
      <c r="AW1576" t="s">
        <v>845</v>
      </c>
      <c r="AX1576" t="s">
        <v>131</v>
      </c>
      <c r="AY1576" t="s">
        <v>131</v>
      </c>
      <c r="AZ1576" t="s">
        <v>131</v>
      </c>
      <c r="BA1576" t="s">
        <v>131</v>
      </c>
      <c r="BB1576" t="s">
        <v>131</v>
      </c>
      <c r="BC1576" t="s">
        <v>131</v>
      </c>
      <c r="BD1576" t="s">
        <v>131</v>
      </c>
      <c r="BE1576" t="s">
        <v>132</v>
      </c>
      <c r="BH1576" t="s">
        <v>4831</v>
      </c>
      <c r="BI1576" t="s">
        <v>131</v>
      </c>
      <c r="BL1576" t="s">
        <v>188</v>
      </c>
      <c r="BN1576" t="s">
        <v>847</v>
      </c>
      <c r="BO1576" t="s">
        <v>131</v>
      </c>
      <c r="BP1576" t="s">
        <v>134</v>
      </c>
      <c r="BQ1576" t="s">
        <v>131</v>
      </c>
      <c r="BS1576" t="str">
        <f t="shared" si="96"/>
        <v>N/A</v>
      </c>
      <c r="BT1576" t="s">
        <v>135</v>
      </c>
      <c r="BU1576">
        <v>12</v>
      </c>
      <c r="BV1576" t="str">
        <f t="shared" si="98"/>
        <v>JOB OFFERED OR RELATED OCCUPATION.</v>
      </c>
      <c r="BW1576" t="s">
        <v>135</v>
      </c>
      <c r="BX1576" t="str">
        <f>""</f>
        <v/>
      </c>
      <c r="BY1576" t="str">
        <f>""</f>
        <v/>
      </c>
      <c r="BZ1576" t="str">
        <f>""</f>
        <v/>
      </c>
      <c r="CA1576" s="2" t="s">
        <v>6908</v>
      </c>
      <c r="CB1576" t="s">
        <v>135</v>
      </c>
      <c r="CC1576" t="s">
        <v>133</v>
      </c>
      <c r="CE1576" t="s">
        <v>847</v>
      </c>
      <c r="CF1576" t="s">
        <v>131</v>
      </c>
      <c r="CH1576" t="str">
        <f t="shared" si="99"/>
        <v>N/A</v>
      </c>
      <c r="CI1576" t="s">
        <v>135</v>
      </c>
      <c r="CJ1576">
        <v>60</v>
      </c>
      <c r="CK1576" t="s">
        <v>131</v>
      </c>
      <c r="CL1576" t="str">
        <f>""</f>
        <v/>
      </c>
      <c r="CM1576" t="str">
        <f>""</f>
        <v/>
      </c>
      <c r="CN1576" t="str">
        <f>""</f>
        <v/>
      </c>
      <c r="CO1576" t="str">
        <f>""</f>
        <v/>
      </c>
      <c r="CP1576" t="str">
        <f>"15-1142.00"</f>
        <v>15-1142.00</v>
      </c>
      <c r="CQ1576" t="s">
        <v>960</v>
      </c>
      <c r="CR1576" t="s">
        <v>849</v>
      </c>
      <c r="CS1576" t="s">
        <v>131</v>
      </c>
      <c r="CU1576" t="s">
        <v>6909</v>
      </c>
      <c r="CW1576" t="s">
        <v>4862</v>
      </c>
      <c r="CX1576" t="s">
        <v>276</v>
      </c>
      <c r="CZ1576" s="3" t="str">
        <f>"08540"</f>
        <v>08540</v>
      </c>
      <c r="DA1576" t="s">
        <v>131</v>
      </c>
      <c r="DB1576" t="str">
        <f>""</f>
        <v/>
      </c>
      <c r="DF1576" t="str">
        <f>""</f>
        <v/>
      </c>
    </row>
    <row r="1577" spans="1:110" ht="15" customHeight="1" x14ac:dyDescent="0.35">
      <c r="A1577" t="s">
        <v>18678</v>
      </c>
      <c r="B1577" t="s">
        <v>138</v>
      </c>
      <c r="C1577" s="1">
        <v>44335</v>
      </c>
      <c r="G1577" s="1">
        <v>44350</v>
      </c>
      <c r="H1577" t="s">
        <v>125</v>
      </c>
      <c r="I1577" t="s">
        <v>838</v>
      </c>
      <c r="J1577" t="s">
        <v>839</v>
      </c>
      <c r="K1577" t="s">
        <v>840</v>
      </c>
      <c r="L1577" t="s">
        <v>2565</v>
      </c>
      <c r="M1577" t="s">
        <v>841</v>
      </c>
      <c r="N1577" t="s">
        <v>842</v>
      </c>
      <c r="O1577" t="s">
        <v>843</v>
      </c>
      <c r="P1577" t="s">
        <v>273</v>
      </c>
      <c r="Q1577" s="3">
        <v>7080</v>
      </c>
      <c r="R1577" t="s">
        <v>128</v>
      </c>
      <c r="T1577" s="4">
        <v>17328327978</v>
      </c>
      <c r="V1577" t="s">
        <v>844</v>
      </c>
      <c r="W1577" t="s">
        <v>5861</v>
      </c>
      <c r="Y1577" t="s">
        <v>5862</v>
      </c>
      <c r="Z1577" t="s">
        <v>5863</v>
      </c>
      <c r="AA1577" t="s">
        <v>5864</v>
      </c>
      <c r="AB1577" t="s">
        <v>129</v>
      </c>
      <c r="AC1577" s="3" t="str">
        <f>"11788"</f>
        <v>11788</v>
      </c>
      <c r="AD1577" t="s">
        <v>128</v>
      </c>
      <c r="AF1577" s="4">
        <v>13023668960</v>
      </c>
      <c r="AH1577" t="str">
        <f>"541519"</f>
        <v>541519</v>
      </c>
      <c r="AI1577" t="s">
        <v>130</v>
      </c>
      <c r="AJ1577" t="s">
        <v>838</v>
      </c>
      <c r="AK1577" t="s">
        <v>839</v>
      </c>
      <c r="AL1577" t="s">
        <v>840</v>
      </c>
      <c r="AM1577" t="s">
        <v>841</v>
      </c>
      <c r="AN1577" t="s">
        <v>842</v>
      </c>
      <c r="AO1577" t="s">
        <v>843</v>
      </c>
      <c r="AP1577" t="s">
        <v>276</v>
      </c>
      <c r="AQ1577" s="5">
        <v>7080</v>
      </c>
      <c r="AR1577" t="s">
        <v>128</v>
      </c>
      <c r="AT1577" s="4">
        <v>17328327978</v>
      </c>
      <c r="AV1577" t="s">
        <v>844</v>
      </c>
      <c r="AW1577" t="s">
        <v>845</v>
      </c>
      <c r="AX1577" t="s">
        <v>131</v>
      </c>
      <c r="AY1577" t="s">
        <v>131</v>
      </c>
      <c r="AZ1577" t="s">
        <v>131</v>
      </c>
      <c r="BA1577" t="s">
        <v>131</v>
      </c>
      <c r="BB1577" t="s">
        <v>131</v>
      </c>
      <c r="BC1577" t="s">
        <v>131</v>
      </c>
      <c r="BD1577" t="s">
        <v>131</v>
      </c>
      <c r="BE1577" t="s">
        <v>132</v>
      </c>
      <c r="BH1577" t="s">
        <v>846</v>
      </c>
      <c r="BI1577" t="s">
        <v>131</v>
      </c>
      <c r="BL1577" t="s">
        <v>188</v>
      </c>
      <c r="BN1577" t="s">
        <v>847</v>
      </c>
      <c r="BO1577" t="s">
        <v>131</v>
      </c>
      <c r="BP1577" t="s">
        <v>134</v>
      </c>
      <c r="BQ1577" t="s">
        <v>131</v>
      </c>
      <c r="BS1577" t="str">
        <f t="shared" si="96"/>
        <v>N/A</v>
      </c>
      <c r="BT1577" t="s">
        <v>135</v>
      </c>
      <c r="BU1577">
        <v>12</v>
      </c>
      <c r="BV1577" t="str">
        <f t="shared" si="98"/>
        <v>JOB OFFERED OR RELATED OCCUPATION.</v>
      </c>
      <c r="BW1577" t="s">
        <v>135</v>
      </c>
      <c r="BX1577" t="str">
        <f>""</f>
        <v/>
      </c>
      <c r="BY1577" t="str">
        <f>""</f>
        <v/>
      </c>
      <c r="BZ1577" t="str">
        <f>""</f>
        <v/>
      </c>
      <c r="CA1577" s="2" t="s">
        <v>18679</v>
      </c>
      <c r="CB1577" t="s">
        <v>135</v>
      </c>
      <c r="CC1577" t="s">
        <v>133</v>
      </c>
      <c r="CE1577" t="s">
        <v>847</v>
      </c>
      <c r="CF1577" t="s">
        <v>131</v>
      </c>
      <c r="CH1577" t="str">
        <f t="shared" si="99"/>
        <v>N/A</v>
      </c>
      <c r="CI1577" t="s">
        <v>135</v>
      </c>
      <c r="CJ1577">
        <v>60</v>
      </c>
      <c r="CK1577" t="s">
        <v>131</v>
      </c>
      <c r="CL1577" t="str">
        <f>""</f>
        <v/>
      </c>
      <c r="CM1577" t="str">
        <f>""</f>
        <v/>
      </c>
      <c r="CN1577" t="str">
        <f>""</f>
        <v/>
      </c>
      <c r="CO1577" t="str">
        <f>""</f>
        <v/>
      </c>
      <c r="CP1577" t="str">
        <f>"15-1132.00"</f>
        <v>15-1132.00</v>
      </c>
      <c r="CQ1577" t="s">
        <v>198</v>
      </c>
      <c r="CR1577" t="s">
        <v>849</v>
      </c>
      <c r="CS1577" t="s">
        <v>131</v>
      </c>
      <c r="CU1577" t="s">
        <v>5862</v>
      </c>
      <c r="CV1577" t="s">
        <v>5866</v>
      </c>
      <c r="CW1577" t="s">
        <v>5864</v>
      </c>
      <c r="CX1577" t="s">
        <v>129</v>
      </c>
      <c r="CZ1577" s="3" t="str">
        <f>"11788"</f>
        <v>11788</v>
      </c>
      <c r="DA1577" t="s">
        <v>131</v>
      </c>
      <c r="DB1577" t="str">
        <f>""</f>
        <v/>
      </c>
      <c r="DF1577" t="str">
        <f>""</f>
        <v/>
      </c>
    </row>
    <row r="1578" spans="1:110" ht="15" customHeight="1" x14ac:dyDescent="0.35">
      <c r="A1578" t="s">
        <v>16128</v>
      </c>
      <c r="B1578" t="s">
        <v>138</v>
      </c>
      <c r="C1578" s="1">
        <v>44335</v>
      </c>
      <c r="G1578" s="1">
        <v>44350</v>
      </c>
      <c r="H1578" t="s">
        <v>125</v>
      </c>
      <c r="I1578" t="s">
        <v>838</v>
      </c>
      <c r="J1578" t="s">
        <v>839</v>
      </c>
      <c r="K1578" t="s">
        <v>840</v>
      </c>
      <c r="L1578" t="s">
        <v>16129</v>
      </c>
      <c r="M1578" t="s">
        <v>841</v>
      </c>
      <c r="N1578" t="s">
        <v>842</v>
      </c>
      <c r="O1578" t="s">
        <v>843</v>
      </c>
      <c r="P1578" t="s">
        <v>273</v>
      </c>
      <c r="Q1578" s="3">
        <v>7080</v>
      </c>
      <c r="R1578" t="s">
        <v>128</v>
      </c>
      <c r="T1578" s="4">
        <v>17328327978</v>
      </c>
      <c r="V1578" t="s">
        <v>844</v>
      </c>
      <c r="W1578" t="s">
        <v>9786</v>
      </c>
      <c r="Y1578" t="s">
        <v>841</v>
      </c>
      <c r="Z1578" t="s">
        <v>9787</v>
      </c>
      <c r="AA1578" t="s">
        <v>843</v>
      </c>
      <c r="AB1578" t="s">
        <v>276</v>
      </c>
      <c r="AC1578" s="3" t="str">
        <f>"07080"</f>
        <v>07080</v>
      </c>
      <c r="AD1578" t="s">
        <v>128</v>
      </c>
      <c r="AF1578" s="4">
        <v>19084584056</v>
      </c>
      <c r="AH1578" t="str">
        <f>"541511"</f>
        <v>541511</v>
      </c>
      <c r="AI1578" t="s">
        <v>130</v>
      </c>
      <c r="AJ1578" t="s">
        <v>838</v>
      </c>
      <c r="AK1578" t="s">
        <v>839</v>
      </c>
      <c r="AL1578" t="s">
        <v>840</v>
      </c>
      <c r="AM1578" t="s">
        <v>841</v>
      </c>
      <c r="AN1578" t="s">
        <v>842</v>
      </c>
      <c r="AO1578" t="s">
        <v>10825</v>
      </c>
      <c r="AP1578" t="s">
        <v>276</v>
      </c>
      <c r="AQ1578" s="5">
        <v>7080</v>
      </c>
      <c r="AR1578" t="s">
        <v>128</v>
      </c>
      <c r="AT1578" s="4">
        <v>17328327978</v>
      </c>
      <c r="AV1578" t="s">
        <v>844</v>
      </c>
      <c r="AW1578" t="s">
        <v>845</v>
      </c>
      <c r="AX1578" t="s">
        <v>131</v>
      </c>
      <c r="AY1578" t="s">
        <v>131</v>
      </c>
      <c r="AZ1578" t="s">
        <v>131</v>
      </c>
      <c r="BA1578" t="s">
        <v>131</v>
      </c>
      <c r="BB1578" t="s">
        <v>131</v>
      </c>
      <c r="BC1578" t="s">
        <v>131</v>
      </c>
      <c r="BD1578" t="s">
        <v>131</v>
      </c>
      <c r="BE1578" t="s">
        <v>132</v>
      </c>
      <c r="BH1578" t="s">
        <v>3291</v>
      </c>
      <c r="BI1578" t="s">
        <v>131</v>
      </c>
      <c r="BL1578" t="s">
        <v>188</v>
      </c>
      <c r="BN1578" t="s">
        <v>847</v>
      </c>
      <c r="BO1578" t="s">
        <v>131</v>
      </c>
      <c r="BP1578" t="s">
        <v>134</v>
      </c>
      <c r="BQ1578" t="s">
        <v>131</v>
      </c>
      <c r="BS1578" t="str">
        <f t="shared" si="96"/>
        <v>N/A</v>
      </c>
      <c r="BT1578" t="s">
        <v>135</v>
      </c>
      <c r="BU1578">
        <v>12</v>
      </c>
      <c r="BV1578" t="str">
        <f t="shared" si="98"/>
        <v>JOB OFFERED OR RELATED OCCUPATION.</v>
      </c>
      <c r="BW1578" t="s">
        <v>135</v>
      </c>
      <c r="BX1578" t="str">
        <f>""</f>
        <v/>
      </c>
      <c r="BY1578" t="str">
        <f>""</f>
        <v/>
      </c>
      <c r="BZ1578" t="str">
        <f>""</f>
        <v/>
      </c>
      <c r="CA1578" s="2" t="s">
        <v>16130</v>
      </c>
      <c r="CB1578" t="s">
        <v>135</v>
      </c>
      <c r="CC1578" t="s">
        <v>133</v>
      </c>
      <c r="CE1578" t="s">
        <v>847</v>
      </c>
      <c r="CF1578" t="s">
        <v>131</v>
      </c>
      <c r="CH1578" t="str">
        <f t="shared" si="99"/>
        <v>N/A</v>
      </c>
      <c r="CI1578" t="s">
        <v>135</v>
      </c>
      <c r="CJ1578">
        <v>60</v>
      </c>
      <c r="CK1578" t="s">
        <v>131</v>
      </c>
      <c r="CL1578" t="str">
        <f>""</f>
        <v/>
      </c>
      <c r="CM1578" t="str">
        <f>""</f>
        <v/>
      </c>
      <c r="CN1578" t="str">
        <f>""</f>
        <v/>
      </c>
      <c r="CO1578" t="str">
        <f>""</f>
        <v/>
      </c>
      <c r="CP1578" t="str">
        <f>"15-1121.00"</f>
        <v>15-1121.00</v>
      </c>
      <c r="CQ1578" t="s">
        <v>283</v>
      </c>
      <c r="CR1578" t="s">
        <v>849</v>
      </c>
      <c r="CS1578" t="s">
        <v>131</v>
      </c>
      <c r="CU1578" t="s">
        <v>841</v>
      </c>
      <c r="CV1578" t="s">
        <v>16131</v>
      </c>
      <c r="CW1578" t="s">
        <v>843</v>
      </c>
      <c r="CX1578" t="s">
        <v>276</v>
      </c>
      <c r="CZ1578" s="3" t="str">
        <f>"07080"</f>
        <v>07080</v>
      </c>
      <c r="DA1578" t="s">
        <v>131</v>
      </c>
      <c r="DB1578" t="str">
        <f>""</f>
        <v/>
      </c>
      <c r="DF1578" t="str">
        <f>""</f>
        <v/>
      </c>
    </row>
    <row r="1579" spans="1:110" ht="15" customHeight="1" x14ac:dyDescent="0.35">
      <c r="A1579" t="s">
        <v>18343</v>
      </c>
      <c r="B1579" t="s">
        <v>138</v>
      </c>
      <c r="C1579" s="1">
        <v>44335</v>
      </c>
      <c r="G1579" s="1">
        <v>44350</v>
      </c>
      <c r="H1579" t="s">
        <v>125</v>
      </c>
      <c r="I1579" t="s">
        <v>838</v>
      </c>
      <c r="J1579" t="s">
        <v>839</v>
      </c>
      <c r="K1579" t="s">
        <v>840</v>
      </c>
      <c r="L1579" t="s">
        <v>2565</v>
      </c>
      <c r="M1579" t="s">
        <v>841</v>
      </c>
      <c r="N1579" t="s">
        <v>842</v>
      </c>
      <c r="O1579" t="s">
        <v>843</v>
      </c>
      <c r="P1579" t="s">
        <v>273</v>
      </c>
      <c r="Q1579" s="3">
        <v>7080</v>
      </c>
      <c r="R1579" t="s">
        <v>128</v>
      </c>
      <c r="T1579" s="4">
        <v>17328327978</v>
      </c>
      <c r="V1579" t="s">
        <v>844</v>
      </c>
      <c r="W1579" t="s">
        <v>5994</v>
      </c>
      <c r="Y1579" t="s">
        <v>5995</v>
      </c>
      <c r="Z1579" t="s">
        <v>4345</v>
      </c>
      <c r="AA1579" t="s">
        <v>4346</v>
      </c>
      <c r="AB1579" t="s">
        <v>276</v>
      </c>
      <c r="AC1579" s="3" t="str">
        <f>"08512"</f>
        <v>08512</v>
      </c>
      <c r="AD1579" t="s">
        <v>128</v>
      </c>
      <c r="AF1579" s="4">
        <v>17327883910</v>
      </c>
      <c r="AH1579" t="str">
        <f>"541511"</f>
        <v>541511</v>
      </c>
      <c r="AI1579" t="s">
        <v>130</v>
      </c>
      <c r="AJ1579" t="s">
        <v>838</v>
      </c>
      <c r="AK1579" t="s">
        <v>839</v>
      </c>
      <c r="AL1579" t="s">
        <v>840</v>
      </c>
      <c r="AM1579" t="s">
        <v>841</v>
      </c>
      <c r="AN1579" t="s">
        <v>842</v>
      </c>
      <c r="AO1579" t="s">
        <v>843</v>
      </c>
      <c r="AP1579" t="s">
        <v>276</v>
      </c>
      <c r="AQ1579" s="5">
        <v>7080</v>
      </c>
      <c r="AR1579" t="s">
        <v>128</v>
      </c>
      <c r="AT1579" s="4">
        <v>17328327978</v>
      </c>
      <c r="AV1579" t="s">
        <v>844</v>
      </c>
      <c r="AW1579" t="s">
        <v>845</v>
      </c>
      <c r="AX1579" t="s">
        <v>131</v>
      </c>
      <c r="AY1579" t="s">
        <v>131</v>
      </c>
      <c r="AZ1579" t="s">
        <v>131</v>
      </c>
      <c r="BA1579" t="s">
        <v>131</v>
      </c>
      <c r="BB1579" t="s">
        <v>131</v>
      </c>
      <c r="BC1579" t="s">
        <v>131</v>
      </c>
      <c r="BD1579" t="s">
        <v>131</v>
      </c>
      <c r="BE1579" t="s">
        <v>132</v>
      </c>
      <c r="BH1579" t="s">
        <v>7579</v>
      </c>
      <c r="BI1579" t="s">
        <v>131</v>
      </c>
      <c r="BL1579" t="s">
        <v>188</v>
      </c>
      <c r="BN1579" t="s">
        <v>847</v>
      </c>
      <c r="BO1579" t="s">
        <v>131</v>
      </c>
      <c r="BP1579" t="s">
        <v>134</v>
      </c>
      <c r="BQ1579" t="s">
        <v>131</v>
      </c>
      <c r="BS1579" t="str">
        <f t="shared" si="96"/>
        <v>N/A</v>
      </c>
      <c r="BT1579" t="s">
        <v>135</v>
      </c>
      <c r="BU1579">
        <v>12</v>
      </c>
      <c r="BV1579" t="str">
        <f t="shared" si="98"/>
        <v>JOB OFFERED OR RELATED OCCUPATION.</v>
      </c>
      <c r="BW1579" t="s">
        <v>135</v>
      </c>
      <c r="BX1579" t="str">
        <f>""</f>
        <v/>
      </c>
      <c r="BY1579" t="str">
        <f>""</f>
        <v/>
      </c>
      <c r="BZ1579" t="str">
        <f>""</f>
        <v/>
      </c>
      <c r="CA1579" t="s">
        <v>18344</v>
      </c>
      <c r="CB1579" t="s">
        <v>135</v>
      </c>
      <c r="CC1579" t="s">
        <v>133</v>
      </c>
      <c r="CE1579" t="s">
        <v>847</v>
      </c>
      <c r="CF1579" t="s">
        <v>131</v>
      </c>
      <c r="CH1579" t="str">
        <f t="shared" si="99"/>
        <v>N/A</v>
      </c>
      <c r="CI1579" t="s">
        <v>135</v>
      </c>
      <c r="CJ1579">
        <v>60</v>
      </c>
      <c r="CK1579" t="s">
        <v>131</v>
      </c>
      <c r="CL1579" t="str">
        <f>""</f>
        <v/>
      </c>
      <c r="CM1579" t="str">
        <f>""</f>
        <v/>
      </c>
      <c r="CN1579" t="str">
        <f>""</f>
        <v/>
      </c>
      <c r="CO1579" t="str">
        <f>""</f>
        <v/>
      </c>
      <c r="CP1579" t="str">
        <f>"15-1121.00"</f>
        <v>15-1121.00</v>
      </c>
      <c r="CQ1579" t="s">
        <v>283</v>
      </c>
      <c r="CR1579" t="s">
        <v>849</v>
      </c>
      <c r="CS1579" t="s">
        <v>131</v>
      </c>
      <c r="CU1579" t="s">
        <v>18345</v>
      </c>
      <c r="CV1579" t="s">
        <v>18346</v>
      </c>
      <c r="CW1579" t="s">
        <v>4346</v>
      </c>
      <c r="CX1579" t="s">
        <v>276</v>
      </c>
      <c r="CZ1579" s="3" t="str">
        <f>"08512"</f>
        <v>08512</v>
      </c>
      <c r="DA1579" t="s">
        <v>131</v>
      </c>
      <c r="DB1579" t="str">
        <f>""</f>
        <v/>
      </c>
      <c r="DF1579" t="str">
        <f>""</f>
        <v/>
      </c>
    </row>
    <row r="1580" spans="1:110" ht="15" customHeight="1" x14ac:dyDescent="0.35">
      <c r="A1580" t="s">
        <v>5993</v>
      </c>
      <c r="B1580" t="s">
        <v>138</v>
      </c>
      <c r="C1580" s="1">
        <v>44335</v>
      </c>
      <c r="G1580" s="1">
        <v>44350</v>
      </c>
      <c r="H1580" t="s">
        <v>125</v>
      </c>
      <c r="I1580" t="s">
        <v>838</v>
      </c>
      <c r="J1580" t="s">
        <v>839</v>
      </c>
      <c r="K1580" t="s">
        <v>840</v>
      </c>
      <c r="L1580" t="s">
        <v>2565</v>
      </c>
      <c r="M1580" t="s">
        <v>841</v>
      </c>
      <c r="N1580" t="s">
        <v>842</v>
      </c>
      <c r="O1580" t="s">
        <v>843</v>
      </c>
      <c r="P1580" t="s">
        <v>273</v>
      </c>
      <c r="Q1580" s="3">
        <v>7080</v>
      </c>
      <c r="R1580" t="s">
        <v>128</v>
      </c>
      <c r="T1580" s="4">
        <v>17328327978</v>
      </c>
      <c r="V1580" t="s">
        <v>844</v>
      </c>
      <c r="W1580" t="s">
        <v>5994</v>
      </c>
      <c r="Y1580" t="s">
        <v>5995</v>
      </c>
      <c r="Z1580" t="s">
        <v>4345</v>
      </c>
      <c r="AA1580" t="s">
        <v>4346</v>
      </c>
      <c r="AB1580" t="s">
        <v>276</v>
      </c>
      <c r="AC1580" s="3" t="str">
        <f>"08512"</f>
        <v>08512</v>
      </c>
      <c r="AD1580" t="s">
        <v>128</v>
      </c>
      <c r="AF1580" s="4">
        <v>17327883910</v>
      </c>
      <c r="AH1580" t="str">
        <f>"541511"</f>
        <v>541511</v>
      </c>
      <c r="AI1580" t="s">
        <v>130</v>
      </c>
      <c r="AJ1580" t="s">
        <v>838</v>
      </c>
      <c r="AK1580" t="s">
        <v>839</v>
      </c>
      <c r="AL1580" t="s">
        <v>840</v>
      </c>
      <c r="AM1580" t="s">
        <v>841</v>
      </c>
      <c r="AN1580" t="s">
        <v>842</v>
      </c>
      <c r="AO1580" t="s">
        <v>843</v>
      </c>
      <c r="AP1580" t="s">
        <v>276</v>
      </c>
      <c r="AQ1580" s="5">
        <v>7080</v>
      </c>
      <c r="AR1580" t="s">
        <v>128</v>
      </c>
      <c r="AT1580" s="4">
        <v>17328327978</v>
      </c>
      <c r="AV1580" t="s">
        <v>844</v>
      </c>
      <c r="AW1580" t="s">
        <v>845</v>
      </c>
      <c r="AX1580" t="s">
        <v>131</v>
      </c>
      <c r="AY1580" t="s">
        <v>131</v>
      </c>
      <c r="AZ1580" t="s">
        <v>131</v>
      </c>
      <c r="BA1580" t="s">
        <v>131</v>
      </c>
      <c r="BB1580" t="s">
        <v>131</v>
      </c>
      <c r="BC1580" t="s">
        <v>131</v>
      </c>
      <c r="BD1580" t="s">
        <v>131</v>
      </c>
      <c r="BE1580" t="s">
        <v>132</v>
      </c>
      <c r="BH1580" t="s">
        <v>500</v>
      </c>
      <c r="BI1580" t="s">
        <v>131</v>
      </c>
      <c r="BL1580" t="s">
        <v>188</v>
      </c>
      <c r="BN1580" t="s">
        <v>847</v>
      </c>
      <c r="BO1580" t="s">
        <v>131</v>
      </c>
      <c r="BP1580" t="s">
        <v>134</v>
      </c>
      <c r="BQ1580" t="s">
        <v>131</v>
      </c>
      <c r="BS1580" t="str">
        <f t="shared" si="96"/>
        <v>N/A</v>
      </c>
      <c r="BT1580" t="s">
        <v>135</v>
      </c>
      <c r="BU1580">
        <v>12</v>
      </c>
      <c r="BV1580" t="str">
        <f t="shared" si="98"/>
        <v>JOB OFFERED OR RELATED OCCUPATION.</v>
      </c>
      <c r="BW1580" t="s">
        <v>135</v>
      </c>
      <c r="BX1580" t="str">
        <f>""</f>
        <v/>
      </c>
      <c r="BY1580" t="str">
        <f>""</f>
        <v/>
      </c>
      <c r="BZ1580" t="str">
        <f>""</f>
        <v/>
      </c>
      <c r="CA1580" s="2" t="s">
        <v>5996</v>
      </c>
      <c r="CB1580" t="s">
        <v>135</v>
      </c>
      <c r="CC1580" t="s">
        <v>133</v>
      </c>
      <c r="CE1580" t="s">
        <v>847</v>
      </c>
      <c r="CF1580" t="s">
        <v>131</v>
      </c>
      <c r="CH1580" t="str">
        <f t="shared" si="99"/>
        <v>N/A</v>
      </c>
      <c r="CI1580" t="s">
        <v>135</v>
      </c>
      <c r="CJ1580">
        <v>60</v>
      </c>
      <c r="CK1580" t="s">
        <v>131</v>
      </c>
      <c r="CL1580" t="str">
        <f>""</f>
        <v/>
      </c>
      <c r="CM1580" t="str">
        <f>""</f>
        <v/>
      </c>
      <c r="CN1580" t="str">
        <f>""</f>
        <v/>
      </c>
      <c r="CO1580" t="str">
        <f>""</f>
        <v/>
      </c>
      <c r="CP1580" t="str">
        <f>"15-1132.00"</f>
        <v>15-1132.00</v>
      </c>
      <c r="CQ1580" t="s">
        <v>198</v>
      </c>
      <c r="CR1580" t="s">
        <v>849</v>
      </c>
      <c r="CS1580" t="s">
        <v>131</v>
      </c>
      <c r="CU1580" t="s">
        <v>5995</v>
      </c>
      <c r="CV1580" t="s">
        <v>4348</v>
      </c>
      <c r="CW1580" t="s">
        <v>4346</v>
      </c>
      <c r="CX1580" t="s">
        <v>276</v>
      </c>
      <c r="CZ1580" s="3" t="str">
        <f>"08512"</f>
        <v>08512</v>
      </c>
      <c r="DA1580" t="s">
        <v>131</v>
      </c>
      <c r="DB1580" t="str">
        <f>""</f>
        <v/>
      </c>
      <c r="DF1580" t="str">
        <f>""</f>
        <v/>
      </c>
    </row>
    <row r="1581" spans="1:110" ht="15" customHeight="1" x14ac:dyDescent="0.35">
      <c r="A1581" t="s">
        <v>9671</v>
      </c>
      <c r="B1581" t="s">
        <v>138</v>
      </c>
      <c r="C1581" s="1">
        <v>44335</v>
      </c>
      <c r="G1581" s="1">
        <v>44350</v>
      </c>
      <c r="H1581" t="s">
        <v>125</v>
      </c>
      <c r="I1581" t="s">
        <v>838</v>
      </c>
      <c r="J1581" t="s">
        <v>839</v>
      </c>
      <c r="K1581" t="s">
        <v>840</v>
      </c>
      <c r="L1581" t="s">
        <v>2565</v>
      </c>
      <c r="M1581" t="s">
        <v>841</v>
      </c>
      <c r="N1581" t="s">
        <v>842</v>
      </c>
      <c r="O1581" t="s">
        <v>843</v>
      </c>
      <c r="P1581" t="s">
        <v>273</v>
      </c>
      <c r="Q1581" s="3">
        <v>7080</v>
      </c>
      <c r="R1581" t="s">
        <v>128</v>
      </c>
      <c r="T1581" s="4">
        <v>17328327978</v>
      </c>
      <c r="V1581" t="s">
        <v>844</v>
      </c>
      <c r="W1581" t="s">
        <v>7819</v>
      </c>
      <c r="Y1581" t="s">
        <v>7810</v>
      </c>
      <c r="Z1581" t="s">
        <v>7811</v>
      </c>
      <c r="AA1581" t="s">
        <v>6028</v>
      </c>
      <c r="AB1581" t="s">
        <v>276</v>
      </c>
      <c r="AC1581" s="3" t="str">
        <f>"08830"</f>
        <v>08830</v>
      </c>
      <c r="AD1581" t="s">
        <v>128</v>
      </c>
      <c r="AF1581" s="4">
        <v>17325270567</v>
      </c>
      <c r="AH1581" t="str">
        <f>"541519"</f>
        <v>541519</v>
      </c>
      <c r="AI1581" t="s">
        <v>130</v>
      </c>
      <c r="AJ1581" t="s">
        <v>838</v>
      </c>
      <c r="AK1581" t="s">
        <v>839</v>
      </c>
      <c r="AL1581" t="s">
        <v>840</v>
      </c>
      <c r="AM1581" t="s">
        <v>841</v>
      </c>
      <c r="AN1581" t="s">
        <v>842</v>
      </c>
      <c r="AO1581" t="s">
        <v>843</v>
      </c>
      <c r="AP1581" t="s">
        <v>276</v>
      </c>
      <c r="AQ1581" s="5">
        <v>7080</v>
      </c>
      <c r="AR1581" t="s">
        <v>128</v>
      </c>
      <c r="AT1581" s="4">
        <v>17328327978</v>
      </c>
      <c r="AV1581" t="s">
        <v>844</v>
      </c>
      <c r="AW1581" t="s">
        <v>845</v>
      </c>
      <c r="AX1581" t="s">
        <v>131</v>
      </c>
      <c r="AY1581" t="s">
        <v>131</v>
      </c>
      <c r="AZ1581" t="s">
        <v>131</v>
      </c>
      <c r="BA1581" t="s">
        <v>131</v>
      </c>
      <c r="BB1581" t="s">
        <v>131</v>
      </c>
      <c r="BC1581" t="s">
        <v>131</v>
      </c>
      <c r="BD1581" t="s">
        <v>131</v>
      </c>
      <c r="BE1581" t="s">
        <v>132</v>
      </c>
      <c r="BH1581" t="s">
        <v>846</v>
      </c>
      <c r="BI1581" t="s">
        <v>131</v>
      </c>
      <c r="BL1581" t="s">
        <v>188</v>
      </c>
      <c r="BN1581" t="s">
        <v>847</v>
      </c>
      <c r="BO1581" t="s">
        <v>131</v>
      </c>
      <c r="BP1581" t="s">
        <v>134</v>
      </c>
      <c r="BQ1581" t="s">
        <v>131</v>
      </c>
      <c r="BS1581" t="str">
        <f t="shared" si="96"/>
        <v>N/A</v>
      </c>
      <c r="BT1581" t="s">
        <v>135</v>
      </c>
      <c r="BU1581">
        <v>6</v>
      </c>
      <c r="BV1581" t="str">
        <f t="shared" si="98"/>
        <v>JOB OFFERED OR RELATED OCCUPATION.</v>
      </c>
      <c r="BW1581" t="s">
        <v>135</v>
      </c>
      <c r="BX1581" t="str">
        <f>""</f>
        <v/>
      </c>
      <c r="BY1581" t="str">
        <f>""</f>
        <v/>
      </c>
      <c r="BZ1581" t="str">
        <f>""</f>
        <v/>
      </c>
      <c r="CA1581" t="s">
        <v>9672</v>
      </c>
      <c r="CB1581" t="s">
        <v>135</v>
      </c>
      <c r="CC1581" t="s">
        <v>133</v>
      </c>
      <c r="CE1581" t="s">
        <v>847</v>
      </c>
      <c r="CF1581" t="s">
        <v>131</v>
      </c>
      <c r="CH1581" t="str">
        <f t="shared" si="99"/>
        <v>N/A</v>
      </c>
      <c r="CI1581" t="s">
        <v>135</v>
      </c>
      <c r="CJ1581">
        <v>60</v>
      </c>
      <c r="CK1581" t="s">
        <v>131</v>
      </c>
      <c r="CL1581" t="str">
        <f>""</f>
        <v/>
      </c>
      <c r="CM1581" t="str">
        <f>""</f>
        <v/>
      </c>
      <c r="CN1581" t="str">
        <f>""</f>
        <v/>
      </c>
      <c r="CO1581" t="str">
        <f>""</f>
        <v/>
      </c>
      <c r="CP1581" t="str">
        <f>"15-1132.00"</f>
        <v>15-1132.00</v>
      </c>
      <c r="CQ1581" t="s">
        <v>198</v>
      </c>
      <c r="CR1581" t="s">
        <v>849</v>
      </c>
      <c r="CS1581" t="s">
        <v>131</v>
      </c>
      <c r="CU1581" t="s">
        <v>7810</v>
      </c>
      <c r="CV1581" t="s">
        <v>7813</v>
      </c>
      <c r="CW1581" t="s">
        <v>6028</v>
      </c>
      <c r="CX1581" t="s">
        <v>276</v>
      </c>
      <c r="CZ1581" s="3" t="str">
        <f>"08830"</f>
        <v>08830</v>
      </c>
      <c r="DA1581" t="s">
        <v>131</v>
      </c>
      <c r="DB1581" t="str">
        <f>""</f>
        <v/>
      </c>
      <c r="DF1581" t="str">
        <f>""</f>
        <v/>
      </c>
    </row>
    <row r="1582" spans="1:110" ht="15" customHeight="1" x14ac:dyDescent="0.35">
      <c r="A1582" t="s">
        <v>12603</v>
      </c>
      <c r="B1582" t="s">
        <v>138</v>
      </c>
      <c r="C1582" s="1">
        <v>44335</v>
      </c>
      <c r="G1582" s="1">
        <v>44350</v>
      </c>
      <c r="H1582" t="s">
        <v>125</v>
      </c>
      <c r="I1582" t="s">
        <v>838</v>
      </c>
      <c r="J1582" t="s">
        <v>839</v>
      </c>
      <c r="K1582" t="s">
        <v>840</v>
      </c>
      <c r="L1582" t="s">
        <v>2565</v>
      </c>
      <c r="M1582" t="s">
        <v>841</v>
      </c>
      <c r="N1582" t="s">
        <v>842</v>
      </c>
      <c r="O1582" t="s">
        <v>843</v>
      </c>
      <c r="P1582" t="s">
        <v>273</v>
      </c>
      <c r="Q1582" s="3">
        <v>7080</v>
      </c>
      <c r="R1582" t="s">
        <v>128</v>
      </c>
      <c r="T1582" s="4">
        <v>17328327978</v>
      </c>
      <c r="V1582" t="s">
        <v>844</v>
      </c>
      <c r="W1582" t="s">
        <v>3324</v>
      </c>
      <c r="Y1582" t="s">
        <v>3325</v>
      </c>
      <c r="Z1582" t="s">
        <v>3326</v>
      </c>
      <c r="AA1582" t="s">
        <v>3327</v>
      </c>
      <c r="AB1582" t="s">
        <v>276</v>
      </c>
      <c r="AC1582" s="3" t="str">
        <f>"08091"</f>
        <v>08091</v>
      </c>
      <c r="AD1582" t="s">
        <v>128</v>
      </c>
      <c r="AF1582" s="4">
        <v>18568739950</v>
      </c>
      <c r="AH1582" t="str">
        <f>"5419"</f>
        <v>5419</v>
      </c>
      <c r="AI1582" t="s">
        <v>130</v>
      </c>
      <c r="AJ1582" t="s">
        <v>838</v>
      </c>
      <c r="AK1582" t="s">
        <v>839</v>
      </c>
      <c r="AL1582" t="s">
        <v>840</v>
      </c>
      <c r="AM1582" t="s">
        <v>841</v>
      </c>
      <c r="AN1582" t="s">
        <v>842</v>
      </c>
      <c r="AO1582" t="s">
        <v>843</v>
      </c>
      <c r="AP1582" t="s">
        <v>276</v>
      </c>
      <c r="AQ1582" s="5">
        <v>7080</v>
      </c>
      <c r="AR1582" t="s">
        <v>128</v>
      </c>
      <c r="AT1582" s="4">
        <v>17328327978</v>
      </c>
      <c r="AV1582" t="s">
        <v>844</v>
      </c>
      <c r="AW1582" t="s">
        <v>845</v>
      </c>
      <c r="AX1582" t="s">
        <v>131</v>
      </c>
      <c r="AY1582" t="s">
        <v>131</v>
      </c>
      <c r="AZ1582" t="s">
        <v>131</v>
      </c>
      <c r="BA1582" t="s">
        <v>131</v>
      </c>
      <c r="BB1582" t="s">
        <v>131</v>
      </c>
      <c r="BC1582" t="s">
        <v>131</v>
      </c>
      <c r="BD1582" t="s">
        <v>131</v>
      </c>
      <c r="BE1582" t="s">
        <v>132</v>
      </c>
      <c r="BH1582" t="s">
        <v>3291</v>
      </c>
      <c r="BI1582" t="s">
        <v>131</v>
      </c>
      <c r="BL1582" t="s">
        <v>188</v>
      </c>
      <c r="BN1582" t="s">
        <v>8441</v>
      </c>
      <c r="BO1582" t="s">
        <v>131</v>
      </c>
      <c r="BP1582" t="s">
        <v>134</v>
      </c>
      <c r="BQ1582" t="s">
        <v>131</v>
      </c>
      <c r="BS1582" t="str">
        <f t="shared" si="96"/>
        <v>N/A</v>
      </c>
      <c r="BT1582" t="s">
        <v>135</v>
      </c>
      <c r="BU1582">
        <v>12</v>
      </c>
      <c r="BV1582" t="str">
        <f t="shared" si="98"/>
        <v>JOB OFFERED OR RELATED OCCUPATION.</v>
      </c>
      <c r="BW1582" t="s">
        <v>135</v>
      </c>
      <c r="BX1582" t="str">
        <f>""</f>
        <v/>
      </c>
      <c r="BY1582" t="str">
        <f>""</f>
        <v/>
      </c>
      <c r="BZ1582" t="str">
        <f>""</f>
        <v/>
      </c>
      <c r="CA1582" t="s">
        <v>12604</v>
      </c>
      <c r="CB1582" t="s">
        <v>135</v>
      </c>
      <c r="CC1582" t="s">
        <v>133</v>
      </c>
      <c r="CE1582" t="s">
        <v>8441</v>
      </c>
      <c r="CF1582" t="s">
        <v>131</v>
      </c>
      <c r="CH1582" t="str">
        <f t="shared" si="99"/>
        <v>N/A</v>
      </c>
      <c r="CI1582" t="s">
        <v>135</v>
      </c>
      <c r="CJ1582">
        <v>60</v>
      </c>
      <c r="CK1582" t="s">
        <v>131</v>
      </c>
      <c r="CL1582" t="str">
        <f>""</f>
        <v/>
      </c>
      <c r="CM1582" t="str">
        <f>""</f>
        <v/>
      </c>
      <c r="CN1582" t="str">
        <f>""</f>
        <v/>
      </c>
      <c r="CO1582" t="str">
        <f>""</f>
        <v/>
      </c>
      <c r="CP1582" t="str">
        <f>"15-1121.00"</f>
        <v>15-1121.00</v>
      </c>
      <c r="CQ1582" t="s">
        <v>283</v>
      </c>
      <c r="CR1582" t="s">
        <v>849</v>
      </c>
      <c r="CS1582" t="s">
        <v>131</v>
      </c>
      <c r="CU1582" t="s">
        <v>3325</v>
      </c>
      <c r="CV1582" t="s">
        <v>8443</v>
      </c>
      <c r="CW1582" t="s">
        <v>3327</v>
      </c>
      <c r="CX1582" t="s">
        <v>276</v>
      </c>
      <c r="CZ1582" s="3" t="str">
        <f>"08091"</f>
        <v>08091</v>
      </c>
      <c r="DA1582" t="s">
        <v>131</v>
      </c>
      <c r="DB1582" t="str">
        <f>""</f>
        <v/>
      </c>
      <c r="DF1582" t="str">
        <f>""</f>
        <v/>
      </c>
    </row>
    <row r="1583" spans="1:110" ht="15" customHeight="1" x14ac:dyDescent="0.35">
      <c r="A1583" t="s">
        <v>19195</v>
      </c>
      <c r="B1583" t="s">
        <v>138</v>
      </c>
      <c r="C1583" s="1">
        <v>44335</v>
      </c>
      <c r="G1583" s="1">
        <v>44350</v>
      </c>
      <c r="H1583" t="s">
        <v>125</v>
      </c>
      <c r="I1583" t="s">
        <v>17956</v>
      </c>
      <c r="J1583" t="s">
        <v>15791</v>
      </c>
      <c r="L1583" t="s">
        <v>17957</v>
      </c>
      <c r="M1583" t="s">
        <v>19196</v>
      </c>
      <c r="N1583" t="s">
        <v>554</v>
      </c>
      <c r="O1583" t="s">
        <v>486</v>
      </c>
      <c r="P1583" t="s">
        <v>487</v>
      </c>
      <c r="Q1583" s="3">
        <v>19808</v>
      </c>
      <c r="R1583" t="s">
        <v>128</v>
      </c>
      <c r="T1583" s="4">
        <v>13022529168</v>
      </c>
      <c r="V1583" t="s">
        <v>17959</v>
      </c>
      <c r="W1583" t="s">
        <v>17960</v>
      </c>
      <c r="Y1583" t="s">
        <v>19196</v>
      </c>
      <c r="Z1583" t="s">
        <v>554</v>
      </c>
      <c r="AA1583" t="s">
        <v>486</v>
      </c>
      <c r="AB1583" t="s">
        <v>490</v>
      </c>
      <c r="AC1583" s="3" t="str">
        <f>"19808"</f>
        <v>19808</v>
      </c>
      <c r="AD1583" t="s">
        <v>128</v>
      </c>
      <c r="AF1583" s="4">
        <v>13022529128</v>
      </c>
      <c r="AH1583" t="str">
        <f>"333992"</f>
        <v>333992</v>
      </c>
      <c r="AI1583" t="s">
        <v>130</v>
      </c>
      <c r="AJ1583" t="s">
        <v>5174</v>
      </c>
      <c r="AK1583" t="s">
        <v>1623</v>
      </c>
      <c r="AM1583" t="s">
        <v>5175</v>
      </c>
      <c r="AN1583" t="s">
        <v>2750</v>
      </c>
      <c r="AO1583" t="s">
        <v>1040</v>
      </c>
      <c r="AP1583" t="s">
        <v>400</v>
      </c>
      <c r="AQ1583" s="5">
        <v>78746</v>
      </c>
      <c r="AR1583" t="s">
        <v>128</v>
      </c>
      <c r="AT1583" s="4">
        <v>15124826828</v>
      </c>
      <c r="AV1583" t="s">
        <v>8681</v>
      </c>
      <c r="AW1583" t="s">
        <v>19197</v>
      </c>
      <c r="AX1583" t="s">
        <v>131</v>
      </c>
      <c r="AY1583" t="s">
        <v>131</v>
      </c>
      <c r="AZ1583" t="s">
        <v>131</v>
      </c>
      <c r="BA1583" t="s">
        <v>131</v>
      </c>
      <c r="BB1583" t="s">
        <v>131</v>
      </c>
      <c r="BC1583" t="s">
        <v>131</v>
      </c>
      <c r="BD1583" t="s">
        <v>131</v>
      </c>
      <c r="BE1583" t="s">
        <v>132</v>
      </c>
      <c r="BH1583" t="s">
        <v>17961</v>
      </c>
      <c r="BI1583" t="s">
        <v>131</v>
      </c>
      <c r="BL1583" t="s">
        <v>188</v>
      </c>
      <c r="BN1583" t="s">
        <v>19198</v>
      </c>
      <c r="BO1583" t="s">
        <v>135</v>
      </c>
      <c r="BP1583" t="s">
        <v>19199</v>
      </c>
      <c r="BQ1583" t="s">
        <v>131</v>
      </c>
      <c r="BS1583" t="str">
        <f t="shared" si="96"/>
        <v>N/A</v>
      </c>
      <c r="BT1583" t="s">
        <v>135</v>
      </c>
      <c r="BU1583">
        <v>60</v>
      </c>
      <c r="BV1583" t="str">
        <f>"Direct treasury work experience including 3 years management experience"</f>
        <v>Direct treasury work experience including 3 years management experience</v>
      </c>
      <c r="BW1583" t="s">
        <v>135</v>
      </c>
      <c r="BX1583" t="str">
        <f>""</f>
        <v/>
      </c>
      <c r="BY1583" t="str">
        <f>""</f>
        <v/>
      </c>
      <c r="BZ1583" t="str">
        <f>""</f>
        <v/>
      </c>
      <c r="CA1583" s="2" t="s">
        <v>19200</v>
      </c>
      <c r="CB1583" t="s">
        <v>131</v>
      </c>
      <c r="CF1583" t="s">
        <v>131</v>
      </c>
      <c r="CH1583" t="str">
        <f>""</f>
        <v/>
      </c>
      <c r="CI1583" t="s">
        <v>131</v>
      </c>
      <c r="CK1583" t="s">
        <v>131</v>
      </c>
      <c r="CL1583" t="str">
        <f>""</f>
        <v/>
      </c>
      <c r="CM1583" t="str">
        <f>""</f>
        <v/>
      </c>
      <c r="CN1583" t="str">
        <f>""</f>
        <v/>
      </c>
      <c r="CO1583" t="str">
        <f>""</f>
        <v/>
      </c>
      <c r="CP1583" t="str">
        <f>"11-3031.01"</f>
        <v>11-3031.01</v>
      </c>
      <c r="CQ1583" t="s">
        <v>4600</v>
      </c>
      <c r="CR1583" t="s">
        <v>19201</v>
      </c>
      <c r="CS1583" t="s">
        <v>135</v>
      </c>
      <c r="CT1583" t="s">
        <v>19202</v>
      </c>
      <c r="CU1583" t="s">
        <v>17958</v>
      </c>
      <c r="CV1583" t="s">
        <v>554</v>
      </c>
      <c r="CW1583" t="s">
        <v>486</v>
      </c>
      <c r="CX1583" t="s">
        <v>490</v>
      </c>
      <c r="CZ1583" s="3" t="str">
        <f>"19808"</f>
        <v>19808</v>
      </c>
      <c r="DA1583" t="s">
        <v>131</v>
      </c>
      <c r="DB1583" t="str">
        <f>""</f>
        <v/>
      </c>
      <c r="DF1583" t="str">
        <f>""</f>
        <v/>
      </c>
    </row>
    <row r="1584" spans="1:110" ht="15" customHeight="1" x14ac:dyDescent="0.35">
      <c r="A1584" t="s">
        <v>10346</v>
      </c>
      <c r="B1584" t="s">
        <v>138</v>
      </c>
      <c r="C1584" s="1">
        <v>44335</v>
      </c>
      <c r="G1584" s="1">
        <v>44335</v>
      </c>
      <c r="H1584" t="s">
        <v>125</v>
      </c>
      <c r="I1584" t="s">
        <v>9170</v>
      </c>
      <c r="J1584" t="s">
        <v>2361</v>
      </c>
      <c r="L1584" t="s">
        <v>1793</v>
      </c>
      <c r="M1584" t="s">
        <v>3656</v>
      </c>
      <c r="O1584" t="s">
        <v>1720</v>
      </c>
      <c r="P1584" t="s">
        <v>857</v>
      </c>
      <c r="Q1584" s="3">
        <v>85034</v>
      </c>
      <c r="R1584" t="s">
        <v>128</v>
      </c>
      <c r="T1584" s="4">
        <v>16024702943</v>
      </c>
      <c r="V1584" t="s">
        <v>10347</v>
      </c>
      <c r="W1584" t="s">
        <v>3658</v>
      </c>
      <c r="Y1584" t="s">
        <v>3659</v>
      </c>
      <c r="AA1584" t="s">
        <v>1720</v>
      </c>
      <c r="AB1584" t="s">
        <v>808</v>
      </c>
      <c r="AC1584" s="3" t="str">
        <f>"85034"</f>
        <v>85034</v>
      </c>
      <c r="AD1584" t="s">
        <v>128</v>
      </c>
      <c r="AF1584" s="4">
        <v>16024702886</v>
      </c>
      <c r="AH1584" t="str">
        <f>"33324"</f>
        <v>33324</v>
      </c>
      <c r="AI1584" t="s">
        <v>130</v>
      </c>
      <c r="AJ1584" t="s">
        <v>802</v>
      </c>
      <c r="AK1584" t="s">
        <v>803</v>
      </c>
      <c r="AL1584" t="s">
        <v>655</v>
      </c>
      <c r="AM1584" t="s">
        <v>805</v>
      </c>
      <c r="AN1584" t="s">
        <v>806</v>
      </c>
      <c r="AO1584" t="s">
        <v>807</v>
      </c>
      <c r="AP1584" t="s">
        <v>808</v>
      </c>
      <c r="AQ1584" s="5">
        <v>85020</v>
      </c>
      <c r="AR1584" t="s">
        <v>128</v>
      </c>
      <c r="AT1584" s="4">
        <v>16022661825</v>
      </c>
      <c r="AV1584" t="s">
        <v>9171</v>
      </c>
      <c r="AW1584" t="s">
        <v>548</v>
      </c>
      <c r="AX1584" t="s">
        <v>131</v>
      </c>
      <c r="AY1584" t="s">
        <v>131</v>
      </c>
      <c r="AZ1584" t="s">
        <v>131</v>
      </c>
      <c r="BA1584" t="s">
        <v>131</v>
      </c>
      <c r="BB1584" t="s">
        <v>131</v>
      </c>
      <c r="BC1584" t="s">
        <v>131</v>
      </c>
      <c r="BD1584" t="s">
        <v>131</v>
      </c>
      <c r="BE1584" t="s">
        <v>160</v>
      </c>
      <c r="BF1584" t="s">
        <v>2346</v>
      </c>
      <c r="BG1584" s="1">
        <v>44075</v>
      </c>
      <c r="BH1584" t="s">
        <v>9173</v>
      </c>
      <c r="BI1584" t="s">
        <v>131</v>
      </c>
      <c r="BL1584" t="s">
        <v>133</v>
      </c>
      <c r="BN1584" t="s">
        <v>9458</v>
      </c>
      <c r="BO1584" t="s">
        <v>131</v>
      </c>
      <c r="BP1584" t="s">
        <v>134</v>
      </c>
      <c r="BQ1584" t="s">
        <v>131</v>
      </c>
      <c r="BS1584" t="str">
        <f t="shared" si="96"/>
        <v>N/A</v>
      </c>
      <c r="BT1584" t="s">
        <v>131</v>
      </c>
      <c r="BV1584" t="str">
        <f>""</f>
        <v/>
      </c>
      <c r="BW1584" t="s">
        <v>135</v>
      </c>
      <c r="BX1584" t="str">
        <f>""</f>
        <v/>
      </c>
      <c r="BY1584" t="str">
        <f>""</f>
        <v/>
      </c>
      <c r="BZ1584" t="str">
        <f>""</f>
        <v/>
      </c>
      <c r="CA1584" t="str">
        <f>"1.	Electrical Trouble Shooting
2.	Mechanical Trouble Shooting
3.	Working knowledge of Oscilloscope’s and DVM’s 
"</f>
        <v xml:space="preserve">1.	Electrical Trouble Shooting
2.	Mechanical Trouble Shooting
3.	Working knowledge of Oscilloscope’s and DVM’s 
</v>
      </c>
      <c r="CB1584" t="s">
        <v>131</v>
      </c>
      <c r="CF1584" t="s">
        <v>131</v>
      </c>
      <c r="CH1584" t="str">
        <f>""</f>
        <v/>
      </c>
      <c r="CI1584" t="s">
        <v>131</v>
      </c>
      <c r="CK1584" t="s">
        <v>131</v>
      </c>
      <c r="CL1584" t="str">
        <f>""</f>
        <v/>
      </c>
      <c r="CM1584" t="str">
        <f>""</f>
        <v/>
      </c>
      <c r="CN1584" t="str">
        <f>""</f>
        <v/>
      </c>
      <c r="CO1584" t="str">
        <f>""</f>
        <v/>
      </c>
      <c r="CP1584" t="str">
        <f>"17-2071.00"</f>
        <v>17-2071.00</v>
      </c>
      <c r="CQ1584" t="s">
        <v>649</v>
      </c>
      <c r="CR1584" t="s">
        <v>9175</v>
      </c>
      <c r="CS1584" t="s">
        <v>135</v>
      </c>
      <c r="CT1584" t="s">
        <v>10348</v>
      </c>
      <c r="CU1584" t="s">
        <v>9176</v>
      </c>
      <c r="CW1584" t="s">
        <v>807</v>
      </c>
      <c r="CX1584" t="s">
        <v>808</v>
      </c>
      <c r="CZ1584" s="3" t="str">
        <f>"85034"</f>
        <v>85034</v>
      </c>
      <c r="DA1584" t="s">
        <v>131</v>
      </c>
      <c r="DB1584" t="str">
        <f>""</f>
        <v/>
      </c>
      <c r="DF1584" t="str">
        <f>""</f>
        <v/>
      </c>
    </row>
    <row r="1585" spans="1:110" ht="15" customHeight="1" x14ac:dyDescent="0.35">
      <c r="A1585" t="s">
        <v>15075</v>
      </c>
      <c r="B1585" t="s">
        <v>138</v>
      </c>
      <c r="C1585" s="1">
        <v>44335</v>
      </c>
      <c r="G1585" s="1">
        <v>44335</v>
      </c>
      <c r="H1585" t="s">
        <v>125</v>
      </c>
      <c r="I1585" t="s">
        <v>7003</v>
      </c>
      <c r="J1585" t="s">
        <v>1623</v>
      </c>
      <c r="L1585" t="s">
        <v>6725</v>
      </c>
      <c r="M1585" t="s">
        <v>7004</v>
      </c>
      <c r="N1585" t="s">
        <v>7005</v>
      </c>
      <c r="O1585" t="s">
        <v>220</v>
      </c>
      <c r="P1585" t="s">
        <v>178</v>
      </c>
      <c r="Q1585" s="3">
        <v>94107</v>
      </c>
      <c r="R1585" t="s">
        <v>128</v>
      </c>
      <c r="T1585" s="4">
        <v>14154845589</v>
      </c>
      <c r="V1585" t="s">
        <v>7006</v>
      </c>
      <c r="W1585" t="s">
        <v>7007</v>
      </c>
      <c r="Y1585" t="s">
        <v>7004</v>
      </c>
      <c r="Z1585" t="s">
        <v>7005</v>
      </c>
      <c r="AA1585" t="s">
        <v>944</v>
      </c>
      <c r="AB1585" t="s">
        <v>172</v>
      </c>
      <c r="AC1585" s="3" t="str">
        <f>"94107"</f>
        <v>94107</v>
      </c>
      <c r="AD1585" t="s">
        <v>128</v>
      </c>
      <c r="AF1585" s="4">
        <v>14154845589</v>
      </c>
      <c r="AH1585" t="str">
        <f>"541511"</f>
        <v>541511</v>
      </c>
      <c r="AI1585" t="s">
        <v>130</v>
      </c>
      <c r="AJ1585" t="s">
        <v>4995</v>
      </c>
      <c r="AK1585" t="s">
        <v>394</v>
      </c>
      <c r="AL1585" t="s">
        <v>827</v>
      </c>
      <c r="AM1585" t="s">
        <v>9128</v>
      </c>
      <c r="AO1585" t="s">
        <v>791</v>
      </c>
      <c r="AP1585" t="s">
        <v>172</v>
      </c>
      <c r="AQ1585" s="5">
        <v>92101</v>
      </c>
      <c r="AR1585" t="s">
        <v>128</v>
      </c>
      <c r="AT1585" s="4">
        <v>16195954243</v>
      </c>
      <c r="AV1585" t="s">
        <v>4996</v>
      </c>
      <c r="AW1585" t="s">
        <v>9008</v>
      </c>
      <c r="AX1585" t="s">
        <v>131</v>
      </c>
      <c r="AY1585" t="s">
        <v>131</v>
      </c>
      <c r="AZ1585" t="s">
        <v>131</v>
      </c>
      <c r="BA1585" t="s">
        <v>131</v>
      </c>
      <c r="BB1585" t="s">
        <v>131</v>
      </c>
      <c r="BC1585" t="s">
        <v>131</v>
      </c>
      <c r="BD1585" t="s">
        <v>131</v>
      </c>
      <c r="BE1585" t="s">
        <v>132</v>
      </c>
      <c r="BH1585" t="s">
        <v>529</v>
      </c>
      <c r="BI1585" t="s">
        <v>131</v>
      </c>
      <c r="BL1585" t="s">
        <v>133</v>
      </c>
      <c r="BN1585" t="s">
        <v>15076</v>
      </c>
      <c r="BO1585" t="s">
        <v>131</v>
      </c>
      <c r="BP1585" t="s">
        <v>134</v>
      </c>
      <c r="BQ1585" t="s">
        <v>131</v>
      </c>
      <c r="BS1585" t="str">
        <f t="shared" si="96"/>
        <v>N/A</v>
      </c>
      <c r="BT1585" t="s">
        <v>135</v>
      </c>
      <c r="BU1585">
        <v>12</v>
      </c>
      <c r="BV1585" t="str">
        <f>"JOB OFFERED OR ANALYTICS"</f>
        <v>JOB OFFERED OR ANALYTICS</v>
      </c>
      <c r="BW1585" t="s">
        <v>135</v>
      </c>
      <c r="BX1585" t="str">
        <f>""</f>
        <v/>
      </c>
      <c r="BY1585" t="str">
        <f>""</f>
        <v/>
      </c>
      <c r="BZ1585" t="str">
        <f>""</f>
        <v/>
      </c>
      <c r="CA1585" t="s">
        <v>10264</v>
      </c>
      <c r="CB1585" t="s">
        <v>131</v>
      </c>
      <c r="CF1585" t="s">
        <v>131</v>
      </c>
      <c r="CH1585" t="str">
        <f>""</f>
        <v/>
      </c>
      <c r="CI1585" t="s">
        <v>131</v>
      </c>
      <c r="CK1585" t="s">
        <v>131</v>
      </c>
      <c r="CL1585" t="str">
        <f>""</f>
        <v/>
      </c>
      <c r="CM1585" t="str">
        <f>""</f>
        <v/>
      </c>
      <c r="CN1585" t="str">
        <f>""</f>
        <v/>
      </c>
      <c r="CO1585" t="str">
        <f>""</f>
        <v/>
      </c>
      <c r="CP1585" t="str">
        <f>"15-2041.00"</f>
        <v>15-2041.00</v>
      </c>
      <c r="CQ1585" t="s">
        <v>379</v>
      </c>
      <c r="CR1585" t="s">
        <v>529</v>
      </c>
      <c r="CS1585" t="s">
        <v>131</v>
      </c>
      <c r="CU1585" t="s">
        <v>7004</v>
      </c>
      <c r="CV1585" t="s">
        <v>7005</v>
      </c>
      <c r="CW1585" t="s">
        <v>220</v>
      </c>
      <c r="CX1585" t="s">
        <v>172</v>
      </c>
      <c r="CZ1585" s="3" t="str">
        <f>"94107"</f>
        <v>94107</v>
      </c>
      <c r="DA1585" t="s">
        <v>131</v>
      </c>
      <c r="DB1585" t="str">
        <f>""</f>
        <v/>
      </c>
      <c r="DF1585" t="str">
        <f>""</f>
        <v/>
      </c>
    </row>
    <row r="1586" spans="1:110" ht="15" customHeight="1" x14ac:dyDescent="0.35">
      <c r="A1586" t="s">
        <v>17050</v>
      </c>
      <c r="B1586" t="s">
        <v>138</v>
      </c>
      <c r="C1586" s="1">
        <v>44335</v>
      </c>
      <c r="G1586" s="1">
        <v>44342</v>
      </c>
      <c r="H1586" t="s">
        <v>125</v>
      </c>
      <c r="I1586" t="s">
        <v>9170</v>
      </c>
      <c r="J1586" t="s">
        <v>2361</v>
      </c>
      <c r="L1586" t="s">
        <v>1793</v>
      </c>
      <c r="M1586" t="s">
        <v>3656</v>
      </c>
      <c r="O1586" t="s">
        <v>1720</v>
      </c>
      <c r="P1586" t="s">
        <v>857</v>
      </c>
      <c r="Q1586" s="3">
        <v>85034</v>
      </c>
      <c r="R1586" t="s">
        <v>128</v>
      </c>
      <c r="T1586" s="4">
        <v>16024702943</v>
      </c>
      <c r="V1586" t="s">
        <v>3657</v>
      </c>
      <c r="W1586" t="s">
        <v>3658</v>
      </c>
      <c r="Y1586" t="s">
        <v>3659</v>
      </c>
      <c r="AA1586" t="s">
        <v>1720</v>
      </c>
      <c r="AB1586" t="s">
        <v>808</v>
      </c>
      <c r="AC1586" s="3" t="str">
        <f>"85034"</f>
        <v>85034</v>
      </c>
      <c r="AD1586" t="s">
        <v>128</v>
      </c>
      <c r="AF1586" s="4">
        <v>16024702886</v>
      </c>
      <c r="AH1586" t="str">
        <f>"33324"</f>
        <v>33324</v>
      </c>
      <c r="AI1586" t="s">
        <v>130</v>
      </c>
      <c r="AJ1586" t="s">
        <v>802</v>
      </c>
      <c r="AK1586" t="s">
        <v>803</v>
      </c>
      <c r="AL1586" t="s">
        <v>655</v>
      </c>
      <c r="AM1586" t="s">
        <v>805</v>
      </c>
      <c r="AN1586" t="s">
        <v>806</v>
      </c>
      <c r="AO1586" t="s">
        <v>807</v>
      </c>
      <c r="AP1586" t="s">
        <v>808</v>
      </c>
      <c r="AQ1586" s="5">
        <v>85020</v>
      </c>
      <c r="AR1586" t="s">
        <v>128</v>
      </c>
      <c r="AT1586" s="4">
        <v>16022661825</v>
      </c>
      <c r="AV1586" t="s">
        <v>9171</v>
      </c>
      <c r="AW1586" t="s">
        <v>548</v>
      </c>
      <c r="AX1586" t="s">
        <v>131</v>
      </c>
      <c r="AY1586" t="s">
        <v>131</v>
      </c>
      <c r="AZ1586" t="s">
        <v>131</v>
      </c>
      <c r="BA1586" t="s">
        <v>131</v>
      </c>
      <c r="BB1586" t="s">
        <v>131</v>
      </c>
      <c r="BC1586" t="s">
        <v>131</v>
      </c>
      <c r="BD1586" t="s">
        <v>131</v>
      </c>
      <c r="BE1586" t="s">
        <v>160</v>
      </c>
      <c r="BF1586" t="s">
        <v>9172</v>
      </c>
      <c r="BG1586" s="1">
        <v>44075</v>
      </c>
      <c r="BH1586" t="s">
        <v>9173</v>
      </c>
      <c r="BI1586" t="s">
        <v>131</v>
      </c>
      <c r="BL1586" t="s">
        <v>133</v>
      </c>
      <c r="BN1586" t="s">
        <v>9458</v>
      </c>
      <c r="BO1586" t="s">
        <v>131</v>
      </c>
      <c r="BP1586" t="s">
        <v>134</v>
      </c>
      <c r="BQ1586" t="s">
        <v>131</v>
      </c>
      <c r="BS1586" t="str">
        <f t="shared" si="96"/>
        <v>N/A</v>
      </c>
      <c r="BT1586" t="s">
        <v>131</v>
      </c>
      <c r="BV1586" t="str">
        <f>""</f>
        <v/>
      </c>
      <c r="BW1586" t="s">
        <v>135</v>
      </c>
      <c r="BX1586" t="str">
        <f>""</f>
        <v/>
      </c>
      <c r="BY1586" t="str">
        <f>""</f>
        <v/>
      </c>
      <c r="BZ1586" t="str">
        <f>""</f>
        <v/>
      </c>
      <c r="CA1586" t="str">
        <f>"1.	Electrical Trouble Shooting
2.	Mechanical Trouble Shooting
3.	Working knowledge of Oscilloscope’s and DVM’s 
"</f>
        <v xml:space="preserve">1.	Electrical Trouble Shooting
2.	Mechanical Trouble Shooting
3.	Working knowledge of Oscilloscope’s and DVM’s 
</v>
      </c>
      <c r="CB1586" t="s">
        <v>131</v>
      </c>
      <c r="CF1586" t="s">
        <v>131</v>
      </c>
      <c r="CH1586" t="str">
        <f>""</f>
        <v/>
      </c>
      <c r="CI1586" t="s">
        <v>131</v>
      </c>
      <c r="CK1586" t="s">
        <v>131</v>
      </c>
      <c r="CL1586" t="str">
        <f>""</f>
        <v/>
      </c>
      <c r="CM1586" t="str">
        <f>""</f>
        <v/>
      </c>
      <c r="CN1586" t="str">
        <f>""</f>
        <v/>
      </c>
      <c r="CO1586" t="str">
        <f>""</f>
        <v/>
      </c>
      <c r="CP1586" t="str">
        <f>"17-2071.00"</f>
        <v>17-2071.00</v>
      </c>
      <c r="CQ1586" t="s">
        <v>649</v>
      </c>
      <c r="CR1586" t="s">
        <v>9175</v>
      </c>
      <c r="CS1586" t="s">
        <v>135</v>
      </c>
      <c r="CT1586" t="s">
        <v>10348</v>
      </c>
      <c r="CU1586" t="s">
        <v>9176</v>
      </c>
      <c r="CW1586" t="s">
        <v>807</v>
      </c>
      <c r="CX1586" t="s">
        <v>808</v>
      </c>
      <c r="CZ1586" s="3" t="str">
        <f>"85034"</f>
        <v>85034</v>
      </c>
      <c r="DA1586" t="s">
        <v>131</v>
      </c>
      <c r="DB1586" t="str">
        <f>""</f>
        <v/>
      </c>
      <c r="DF1586" t="str">
        <f>""</f>
        <v/>
      </c>
    </row>
    <row r="1587" spans="1:110" ht="15" customHeight="1" x14ac:dyDescent="0.35">
      <c r="A1587" t="s">
        <v>13765</v>
      </c>
      <c r="B1587" t="s">
        <v>138</v>
      </c>
      <c r="C1587" s="1">
        <v>44335</v>
      </c>
      <c r="G1587" s="1">
        <v>44369</v>
      </c>
      <c r="H1587" t="s">
        <v>125</v>
      </c>
      <c r="I1587" t="s">
        <v>7291</v>
      </c>
      <c r="J1587" t="s">
        <v>7292</v>
      </c>
      <c r="L1587" t="s">
        <v>7293</v>
      </c>
      <c r="M1587" t="s">
        <v>517</v>
      </c>
      <c r="N1587" t="s">
        <v>7294</v>
      </c>
      <c r="O1587" t="s">
        <v>2145</v>
      </c>
      <c r="P1587" t="s">
        <v>127</v>
      </c>
      <c r="Q1587" s="3">
        <v>10018</v>
      </c>
      <c r="R1587" t="s">
        <v>128</v>
      </c>
      <c r="T1587" s="4">
        <v>16468616942</v>
      </c>
      <c r="V1587" t="s">
        <v>7295</v>
      </c>
      <c r="W1587" t="s">
        <v>13766</v>
      </c>
      <c r="Y1587" t="s">
        <v>9205</v>
      </c>
      <c r="Z1587" t="s">
        <v>13767</v>
      </c>
      <c r="AA1587" t="s">
        <v>494</v>
      </c>
      <c r="AB1587" t="s">
        <v>129</v>
      </c>
      <c r="AC1587" s="3" t="str">
        <f>"10167"</f>
        <v>10167</v>
      </c>
      <c r="AD1587" t="s">
        <v>128</v>
      </c>
      <c r="AF1587" s="4">
        <v>12125615000</v>
      </c>
      <c r="AH1587" t="str">
        <f>"523110"</f>
        <v>523110</v>
      </c>
      <c r="AI1587" t="s">
        <v>130</v>
      </c>
      <c r="AJ1587" t="s">
        <v>7291</v>
      </c>
      <c r="AK1587" t="s">
        <v>7292</v>
      </c>
      <c r="AM1587" t="s">
        <v>514</v>
      </c>
      <c r="AN1587" t="s">
        <v>515</v>
      </c>
      <c r="AO1587" t="s">
        <v>3883</v>
      </c>
      <c r="AP1587" t="s">
        <v>129</v>
      </c>
      <c r="AQ1587" s="5">
        <v>10018</v>
      </c>
      <c r="AR1587" t="s">
        <v>128</v>
      </c>
      <c r="AT1587" s="4">
        <v>16468616942</v>
      </c>
      <c r="AV1587" t="s">
        <v>7295</v>
      </c>
      <c r="AW1587" t="s">
        <v>517</v>
      </c>
      <c r="AX1587" t="s">
        <v>131</v>
      </c>
      <c r="AY1587" t="s">
        <v>131</v>
      </c>
      <c r="AZ1587" t="s">
        <v>131</v>
      </c>
      <c r="BA1587" t="s">
        <v>131</v>
      </c>
      <c r="BB1587" t="s">
        <v>131</v>
      </c>
      <c r="BC1587" t="s">
        <v>131</v>
      </c>
      <c r="BD1587" t="s">
        <v>131</v>
      </c>
      <c r="BE1587" t="s">
        <v>132</v>
      </c>
      <c r="BH1587" t="s">
        <v>9206</v>
      </c>
      <c r="BI1587" t="s">
        <v>135</v>
      </c>
      <c r="BJ1587" t="s">
        <v>9207</v>
      </c>
      <c r="BK1587" t="s">
        <v>9208</v>
      </c>
      <c r="BL1587" t="s">
        <v>133</v>
      </c>
      <c r="BN1587" t="s">
        <v>9209</v>
      </c>
      <c r="BO1587" t="s">
        <v>131</v>
      </c>
      <c r="BP1587" t="s">
        <v>134</v>
      </c>
      <c r="BQ1587" t="s">
        <v>131</v>
      </c>
      <c r="BS1587" t="str">
        <f t="shared" si="96"/>
        <v>N/A</v>
      </c>
      <c r="BT1587" t="s">
        <v>135</v>
      </c>
      <c r="BU1587">
        <v>60</v>
      </c>
      <c r="BV1587" t="str">
        <f>"See section F.B.5.A"</f>
        <v>See section F.B.5.A</v>
      </c>
      <c r="BW1587" t="s">
        <v>135</v>
      </c>
      <c r="BX1587" t="str">
        <f>""</f>
        <v/>
      </c>
      <c r="BY1587" t="str">
        <f>""</f>
        <v/>
      </c>
      <c r="BZ1587" t="str">
        <f>""</f>
        <v/>
      </c>
      <c r="CA1587" t="s">
        <v>13768</v>
      </c>
      <c r="CB1587" t="s">
        <v>131</v>
      </c>
      <c r="CF1587" t="s">
        <v>131</v>
      </c>
      <c r="CH1587" t="str">
        <f>""</f>
        <v/>
      </c>
      <c r="CI1587" t="s">
        <v>131</v>
      </c>
      <c r="CK1587" t="s">
        <v>131</v>
      </c>
      <c r="CL1587" t="str">
        <f>""</f>
        <v/>
      </c>
      <c r="CM1587" t="str">
        <f>""</f>
        <v/>
      </c>
      <c r="CN1587" t="str">
        <f>""</f>
        <v/>
      </c>
      <c r="CO1587" t="str">
        <f>""</f>
        <v/>
      </c>
      <c r="CP1587" t="str">
        <f>"15-1133.00"</f>
        <v>15-1133.00</v>
      </c>
      <c r="CQ1587" t="s">
        <v>648</v>
      </c>
      <c r="CR1587" t="s">
        <v>1285</v>
      </c>
      <c r="CS1587" t="s">
        <v>131</v>
      </c>
      <c r="CU1587" t="s">
        <v>13766</v>
      </c>
      <c r="CV1587" t="s">
        <v>13769</v>
      </c>
      <c r="CW1587" t="s">
        <v>3883</v>
      </c>
      <c r="CX1587" t="s">
        <v>129</v>
      </c>
      <c r="CZ1587" s="3" t="str">
        <f>"10167"</f>
        <v>10167</v>
      </c>
      <c r="DA1587" t="s">
        <v>131</v>
      </c>
      <c r="DB1587" t="str">
        <f>""</f>
        <v/>
      </c>
      <c r="DF1587" t="str">
        <f>""</f>
        <v/>
      </c>
    </row>
    <row r="1588" spans="1:110" ht="15" customHeight="1" x14ac:dyDescent="0.35">
      <c r="A1588" t="s">
        <v>9960</v>
      </c>
      <c r="B1588" t="s">
        <v>138</v>
      </c>
      <c r="C1588" s="1">
        <v>44335</v>
      </c>
      <c r="G1588" s="1">
        <v>44335</v>
      </c>
      <c r="H1588" t="s">
        <v>125</v>
      </c>
      <c r="I1588" t="s">
        <v>7691</v>
      </c>
      <c r="J1588" t="s">
        <v>9535</v>
      </c>
      <c r="L1588" t="s">
        <v>1089</v>
      </c>
      <c r="M1588" t="s">
        <v>9961</v>
      </c>
      <c r="N1588" t="s">
        <v>2489</v>
      </c>
      <c r="O1588" t="s">
        <v>494</v>
      </c>
      <c r="P1588" t="s">
        <v>127</v>
      </c>
      <c r="Q1588" s="3">
        <v>10175</v>
      </c>
      <c r="R1588" t="s">
        <v>128</v>
      </c>
      <c r="T1588" s="4">
        <v>12013434300</v>
      </c>
      <c r="V1588" t="s">
        <v>9962</v>
      </c>
      <c r="W1588" t="s">
        <v>9963</v>
      </c>
      <c r="X1588" t="s">
        <v>9964</v>
      </c>
      <c r="Y1588" t="s">
        <v>9961</v>
      </c>
      <c r="Z1588" t="s">
        <v>2489</v>
      </c>
      <c r="AA1588" t="s">
        <v>494</v>
      </c>
      <c r="AB1588" t="s">
        <v>129</v>
      </c>
      <c r="AC1588" s="3" t="str">
        <f>"10175"</f>
        <v>10175</v>
      </c>
      <c r="AD1588" t="s">
        <v>128</v>
      </c>
      <c r="AF1588" s="4">
        <v>12122331250</v>
      </c>
      <c r="AH1588" t="str">
        <f>"541511"</f>
        <v>541511</v>
      </c>
      <c r="AI1588" t="s">
        <v>130</v>
      </c>
      <c r="AJ1588" t="s">
        <v>1518</v>
      </c>
      <c r="AK1588" t="s">
        <v>9965</v>
      </c>
      <c r="AL1588" t="s">
        <v>9966</v>
      </c>
      <c r="AM1588" t="s">
        <v>9967</v>
      </c>
      <c r="AN1588" t="s">
        <v>1699</v>
      </c>
      <c r="AO1588" t="s">
        <v>644</v>
      </c>
      <c r="AP1588" t="s">
        <v>276</v>
      </c>
      <c r="AQ1588" s="5">
        <v>7601</v>
      </c>
      <c r="AR1588" t="s">
        <v>128</v>
      </c>
      <c r="AT1588" s="4">
        <v>12013434300</v>
      </c>
      <c r="AV1588" t="s">
        <v>9962</v>
      </c>
      <c r="AW1588" t="s">
        <v>9968</v>
      </c>
      <c r="AX1588" t="s">
        <v>131</v>
      </c>
      <c r="AY1588" t="s">
        <v>131</v>
      </c>
      <c r="AZ1588" t="s">
        <v>131</v>
      </c>
      <c r="BA1588" t="s">
        <v>131</v>
      </c>
      <c r="BB1588" t="s">
        <v>131</v>
      </c>
      <c r="BC1588" t="s">
        <v>131</v>
      </c>
      <c r="BD1588" t="s">
        <v>131</v>
      </c>
      <c r="BE1588" t="s">
        <v>132</v>
      </c>
      <c r="BH1588" t="s">
        <v>7228</v>
      </c>
      <c r="BI1588" t="s">
        <v>131</v>
      </c>
      <c r="BL1588" t="s">
        <v>188</v>
      </c>
      <c r="BN1588" t="s">
        <v>9969</v>
      </c>
      <c r="BO1588" t="s">
        <v>131</v>
      </c>
      <c r="BP1588" t="s">
        <v>134</v>
      </c>
      <c r="BQ1588" t="s">
        <v>131</v>
      </c>
      <c r="BS1588" t="str">
        <f t="shared" si="96"/>
        <v>N/A</v>
      </c>
      <c r="BT1588" t="s">
        <v>135</v>
      </c>
      <c r="BU1588">
        <v>12</v>
      </c>
      <c r="BV1588" t="str">
        <f>"Systems Engineer, Systems Administrator"</f>
        <v>Systems Engineer, Systems Administrator</v>
      </c>
      <c r="BW1588" t="s">
        <v>131</v>
      </c>
      <c r="BX1588" t="str">
        <f>""</f>
        <v/>
      </c>
      <c r="BY1588" t="str">
        <f>""</f>
        <v/>
      </c>
      <c r="BZ1588" t="str">
        <f>""</f>
        <v/>
      </c>
      <c r="CA1588" t="str">
        <f>""</f>
        <v/>
      </c>
      <c r="CB1588" t="s">
        <v>131</v>
      </c>
      <c r="CF1588" t="s">
        <v>131</v>
      </c>
      <c r="CH1588" t="str">
        <f>""</f>
        <v/>
      </c>
      <c r="CI1588" t="s">
        <v>131</v>
      </c>
      <c r="CK1588" t="s">
        <v>131</v>
      </c>
      <c r="CL1588" t="str">
        <f>""</f>
        <v/>
      </c>
      <c r="CM1588" t="str">
        <f>""</f>
        <v/>
      </c>
      <c r="CN1588" t="str">
        <f>""</f>
        <v/>
      </c>
      <c r="CO1588" t="str">
        <f>""</f>
        <v/>
      </c>
      <c r="CP1588" t="str">
        <f>"15-1199.02"</f>
        <v>15-1199.02</v>
      </c>
      <c r="CQ1588" t="s">
        <v>2269</v>
      </c>
      <c r="CR1588" t="s">
        <v>9970</v>
      </c>
      <c r="CS1588" t="s">
        <v>131</v>
      </c>
      <c r="CU1588" t="s">
        <v>9961</v>
      </c>
      <c r="CV1588" t="s">
        <v>2489</v>
      </c>
      <c r="CW1588" t="s">
        <v>494</v>
      </c>
      <c r="CX1588" t="s">
        <v>129</v>
      </c>
      <c r="CZ1588" s="3" t="str">
        <f>"10175"</f>
        <v>10175</v>
      </c>
      <c r="DA1588" t="s">
        <v>131</v>
      </c>
      <c r="DB1588" t="str">
        <f>""</f>
        <v/>
      </c>
      <c r="DF1588" t="str">
        <f>""</f>
        <v/>
      </c>
    </row>
    <row r="1589" spans="1:110" ht="15" customHeight="1" x14ac:dyDescent="0.35">
      <c r="A1589" t="s">
        <v>19071</v>
      </c>
      <c r="B1589" t="s">
        <v>138</v>
      </c>
      <c r="C1589" s="1">
        <v>44335</v>
      </c>
      <c r="G1589" s="1">
        <v>44335</v>
      </c>
      <c r="H1589" t="s">
        <v>125</v>
      </c>
      <c r="I1589" t="s">
        <v>4520</v>
      </c>
      <c r="J1589" t="s">
        <v>3392</v>
      </c>
      <c r="L1589" t="s">
        <v>4521</v>
      </c>
      <c r="M1589" t="s">
        <v>4522</v>
      </c>
      <c r="O1589" t="s">
        <v>1173</v>
      </c>
      <c r="P1589" t="s">
        <v>1174</v>
      </c>
      <c r="Q1589" s="3">
        <v>97005</v>
      </c>
      <c r="R1589" t="s">
        <v>128</v>
      </c>
      <c r="T1589" s="4">
        <v>15036716228</v>
      </c>
      <c r="V1589" t="s">
        <v>4523</v>
      </c>
      <c r="W1589" t="s">
        <v>4524</v>
      </c>
      <c r="Y1589" t="s">
        <v>4525</v>
      </c>
      <c r="AA1589" t="s">
        <v>1173</v>
      </c>
      <c r="AB1589" t="s">
        <v>1512</v>
      </c>
      <c r="AC1589" s="3" t="str">
        <f>"97005"</f>
        <v>97005</v>
      </c>
      <c r="AD1589" t="s">
        <v>128</v>
      </c>
      <c r="AF1589" s="4">
        <v>15036716228</v>
      </c>
      <c r="AH1589" t="str">
        <f>"31621"</f>
        <v>31621</v>
      </c>
      <c r="AI1589" t="s">
        <v>130</v>
      </c>
      <c r="AJ1589" t="s">
        <v>1309</v>
      </c>
      <c r="AK1589" t="s">
        <v>473</v>
      </c>
      <c r="AM1589" t="s">
        <v>456</v>
      </c>
      <c r="AN1589" t="s">
        <v>4526</v>
      </c>
      <c r="AO1589" t="s">
        <v>458</v>
      </c>
      <c r="AP1589" t="s">
        <v>400</v>
      </c>
      <c r="AQ1589" s="5">
        <v>75082</v>
      </c>
      <c r="AR1589" t="s">
        <v>128</v>
      </c>
      <c r="AT1589" s="4">
        <v>14695052498</v>
      </c>
      <c r="AV1589" t="s">
        <v>4527</v>
      </c>
      <c r="AW1589" t="s">
        <v>367</v>
      </c>
      <c r="AX1589" t="s">
        <v>131</v>
      </c>
      <c r="AY1589" t="s">
        <v>131</v>
      </c>
      <c r="AZ1589" t="s">
        <v>131</v>
      </c>
      <c r="BA1589" t="s">
        <v>131</v>
      </c>
      <c r="BB1589" t="s">
        <v>131</v>
      </c>
      <c r="BC1589" t="s">
        <v>131</v>
      </c>
      <c r="BD1589" t="s">
        <v>131</v>
      </c>
      <c r="BE1589" t="s">
        <v>132</v>
      </c>
      <c r="BH1589" t="s">
        <v>19072</v>
      </c>
      <c r="BI1589" t="s">
        <v>131</v>
      </c>
      <c r="BL1589" t="s">
        <v>133</v>
      </c>
      <c r="BN1589" t="s">
        <v>5837</v>
      </c>
      <c r="BO1589" t="s">
        <v>131</v>
      </c>
      <c r="BP1589" t="s">
        <v>134</v>
      </c>
      <c r="BQ1589" t="s">
        <v>131</v>
      </c>
      <c r="BS1589" t="str">
        <f t="shared" si="96"/>
        <v>N/A</v>
      </c>
      <c r="BT1589" t="s">
        <v>135</v>
      </c>
      <c r="BU1589">
        <v>60</v>
      </c>
      <c r="BV1589" t="str">
        <f>"Please see job description. "</f>
        <v xml:space="preserve">Please see job description. </v>
      </c>
      <c r="BW1589" t="s">
        <v>135</v>
      </c>
      <c r="BX1589" t="str">
        <f>""</f>
        <v/>
      </c>
      <c r="BY1589" t="str">
        <f>""</f>
        <v/>
      </c>
      <c r="BZ1589" t="str">
        <f>""</f>
        <v/>
      </c>
      <c r="CA1589" t="s">
        <v>19073</v>
      </c>
      <c r="CB1589" t="s">
        <v>131</v>
      </c>
      <c r="CF1589" t="s">
        <v>131</v>
      </c>
      <c r="CH1589" t="str">
        <f>""</f>
        <v/>
      </c>
      <c r="CI1589" t="s">
        <v>131</v>
      </c>
      <c r="CK1589" t="s">
        <v>131</v>
      </c>
      <c r="CL1589" t="str">
        <f>""</f>
        <v/>
      </c>
      <c r="CM1589" t="str">
        <f>""</f>
        <v/>
      </c>
      <c r="CN1589" t="str">
        <f>""</f>
        <v/>
      </c>
      <c r="CO1589" t="str">
        <f>""</f>
        <v/>
      </c>
      <c r="CP1589" t="str">
        <f>"41-9031.00"</f>
        <v>41-9031.00</v>
      </c>
      <c r="CQ1589" t="s">
        <v>1818</v>
      </c>
      <c r="CR1589" t="s">
        <v>460</v>
      </c>
      <c r="CS1589" t="s">
        <v>131</v>
      </c>
      <c r="CU1589" t="s">
        <v>4522</v>
      </c>
      <c r="CW1589" t="s">
        <v>1173</v>
      </c>
      <c r="CX1589" t="s">
        <v>1512</v>
      </c>
      <c r="CZ1589" s="3" t="str">
        <f>"97005"</f>
        <v>97005</v>
      </c>
      <c r="DA1589" t="s">
        <v>131</v>
      </c>
      <c r="DB1589" t="str">
        <f>""</f>
        <v/>
      </c>
      <c r="DF1589" t="str">
        <f>""</f>
        <v/>
      </c>
    </row>
    <row r="1590" spans="1:110" ht="15" customHeight="1" x14ac:dyDescent="0.35">
      <c r="A1590" t="s">
        <v>15394</v>
      </c>
      <c r="B1590" t="s">
        <v>138</v>
      </c>
      <c r="C1590" s="1">
        <v>44335</v>
      </c>
      <c r="G1590" s="1">
        <v>44342</v>
      </c>
      <c r="H1590" t="s">
        <v>125</v>
      </c>
      <c r="I1590" t="s">
        <v>10962</v>
      </c>
      <c r="J1590" t="s">
        <v>522</v>
      </c>
      <c r="L1590" t="s">
        <v>3200</v>
      </c>
      <c r="M1590" t="s">
        <v>10963</v>
      </c>
      <c r="O1590" t="s">
        <v>2840</v>
      </c>
      <c r="P1590" t="s">
        <v>467</v>
      </c>
      <c r="Q1590" s="3">
        <v>80634</v>
      </c>
      <c r="R1590" t="s">
        <v>128</v>
      </c>
      <c r="T1590" s="4">
        <v>19703475492</v>
      </c>
      <c r="V1590" t="s">
        <v>10964</v>
      </c>
      <c r="W1590" t="s">
        <v>14994</v>
      </c>
      <c r="Y1590" t="s">
        <v>10965</v>
      </c>
      <c r="AA1590" t="s">
        <v>2840</v>
      </c>
      <c r="AB1590" t="s">
        <v>471</v>
      </c>
      <c r="AC1590" s="3" t="str">
        <f>"80634"</f>
        <v>80634</v>
      </c>
      <c r="AD1590" t="s">
        <v>128</v>
      </c>
      <c r="AF1590" s="4">
        <v>19703475492</v>
      </c>
      <c r="AH1590" t="str">
        <f>"311615"</f>
        <v>311615</v>
      </c>
      <c r="AI1590" t="s">
        <v>130</v>
      </c>
      <c r="AJ1590" t="s">
        <v>2821</v>
      </c>
      <c r="AK1590" t="s">
        <v>10966</v>
      </c>
      <c r="AM1590" t="s">
        <v>10967</v>
      </c>
      <c r="AN1590" t="s">
        <v>1262</v>
      </c>
      <c r="AO1590" t="s">
        <v>3577</v>
      </c>
      <c r="AP1590" t="s">
        <v>471</v>
      </c>
      <c r="AQ1590" s="5">
        <v>80203</v>
      </c>
      <c r="AR1590" t="s">
        <v>128</v>
      </c>
      <c r="AT1590" s="4">
        <v>13032183676</v>
      </c>
      <c r="AV1590" t="s">
        <v>10968</v>
      </c>
      <c r="AW1590" t="s">
        <v>9608</v>
      </c>
      <c r="AX1590" t="s">
        <v>131</v>
      </c>
      <c r="AY1590" t="s">
        <v>131</v>
      </c>
      <c r="AZ1590" t="s">
        <v>131</v>
      </c>
      <c r="BA1590" t="s">
        <v>131</v>
      </c>
      <c r="BB1590" t="s">
        <v>131</v>
      </c>
      <c r="BC1590" t="s">
        <v>131</v>
      </c>
      <c r="BD1590" t="s">
        <v>131</v>
      </c>
      <c r="BE1590" t="s">
        <v>132</v>
      </c>
      <c r="BH1590" t="s">
        <v>15395</v>
      </c>
      <c r="BI1590" t="s">
        <v>131</v>
      </c>
      <c r="BL1590" t="s">
        <v>133</v>
      </c>
      <c r="BN1590" t="s">
        <v>15396</v>
      </c>
      <c r="BO1590" t="s">
        <v>131</v>
      </c>
      <c r="BP1590" t="s">
        <v>134</v>
      </c>
      <c r="BQ1590" t="s">
        <v>131</v>
      </c>
      <c r="BS1590" t="str">
        <f t="shared" si="96"/>
        <v>N/A</v>
      </c>
      <c r="BT1590" t="s">
        <v>135</v>
      </c>
      <c r="BU1590">
        <v>12</v>
      </c>
      <c r="BV1590" t="str">
        <f>"Production superintendent, process supervisor, or related."</f>
        <v>Production superintendent, process supervisor, or related.</v>
      </c>
      <c r="BW1590" t="s">
        <v>135</v>
      </c>
      <c r="BX1590" t="str">
        <f>""</f>
        <v/>
      </c>
      <c r="BY1590" t="str">
        <f>""</f>
        <v/>
      </c>
      <c r="BZ1590" t="str">
        <f>""</f>
        <v/>
      </c>
      <c r="CA1590" t="s">
        <v>14995</v>
      </c>
      <c r="CB1590" t="s">
        <v>131</v>
      </c>
      <c r="CF1590" t="s">
        <v>131</v>
      </c>
      <c r="CH1590" t="str">
        <f>""</f>
        <v/>
      </c>
      <c r="CI1590" t="s">
        <v>131</v>
      </c>
      <c r="CK1590" t="s">
        <v>131</v>
      </c>
      <c r="CL1590" t="str">
        <f>""</f>
        <v/>
      </c>
      <c r="CM1590" t="str">
        <f>""</f>
        <v/>
      </c>
      <c r="CN1590" t="str">
        <f>""</f>
        <v/>
      </c>
      <c r="CO1590" t="str">
        <f>""</f>
        <v/>
      </c>
      <c r="CP1590" t="str">
        <f>"13-1199.00"</f>
        <v>13-1199.00</v>
      </c>
      <c r="CQ1590" t="s">
        <v>5417</v>
      </c>
      <c r="CR1590" t="s">
        <v>15395</v>
      </c>
      <c r="CS1590" t="s">
        <v>131</v>
      </c>
      <c r="CU1590" t="s">
        <v>15397</v>
      </c>
      <c r="CW1590" t="s">
        <v>14597</v>
      </c>
      <c r="CX1590" t="s">
        <v>400</v>
      </c>
      <c r="CZ1590" s="3" t="str">
        <f>"75901"</f>
        <v>75901</v>
      </c>
      <c r="DA1590" t="s">
        <v>131</v>
      </c>
      <c r="DB1590" t="str">
        <f>""</f>
        <v/>
      </c>
      <c r="DF1590" t="str">
        <f>""</f>
        <v/>
      </c>
    </row>
    <row r="1591" spans="1:110" ht="15" customHeight="1" x14ac:dyDescent="0.35">
      <c r="A1591" t="s">
        <v>16757</v>
      </c>
      <c r="B1591" t="s">
        <v>138</v>
      </c>
      <c r="C1591" s="1">
        <v>44335</v>
      </c>
      <c r="G1591" s="1">
        <v>44336</v>
      </c>
      <c r="H1591" t="s">
        <v>125</v>
      </c>
      <c r="I1591" t="s">
        <v>9142</v>
      </c>
      <c r="J1591" t="s">
        <v>9143</v>
      </c>
      <c r="L1591" t="s">
        <v>3782</v>
      </c>
      <c r="M1591" t="s">
        <v>9144</v>
      </c>
      <c r="O1591" t="s">
        <v>664</v>
      </c>
      <c r="P1591" t="s">
        <v>178</v>
      </c>
      <c r="Q1591" s="3">
        <v>95126</v>
      </c>
      <c r="R1591" t="s">
        <v>128</v>
      </c>
      <c r="T1591" s="4">
        <v>14082796699</v>
      </c>
      <c r="V1591" t="s">
        <v>9145</v>
      </c>
      <c r="W1591" t="s">
        <v>4042</v>
      </c>
      <c r="Y1591" t="s">
        <v>9141</v>
      </c>
      <c r="AA1591" t="s">
        <v>220</v>
      </c>
      <c r="AB1591" t="s">
        <v>172</v>
      </c>
      <c r="AC1591" s="3" t="str">
        <f>"94105"</f>
        <v>94105</v>
      </c>
      <c r="AD1591" t="s">
        <v>128</v>
      </c>
      <c r="AF1591" s="4">
        <v>18663300121</v>
      </c>
      <c r="AH1591" t="str">
        <f>"541511"</f>
        <v>541511</v>
      </c>
      <c r="AI1591" t="s">
        <v>130</v>
      </c>
      <c r="AJ1591" t="s">
        <v>9142</v>
      </c>
      <c r="AK1591" t="s">
        <v>9143</v>
      </c>
      <c r="AM1591" t="s">
        <v>9144</v>
      </c>
      <c r="AO1591" t="s">
        <v>664</v>
      </c>
      <c r="AP1591" t="s">
        <v>172</v>
      </c>
      <c r="AQ1591" s="5">
        <v>95126</v>
      </c>
      <c r="AR1591" t="s">
        <v>128</v>
      </c>
      <c r="AT1591" s="4">
        <v>14082796699</v>
      </c>
      <c r="AV1591" t="s">
        <v>9145</v>
      </c>
      <c r="AW1591" t="s">
        <v>9146</v>
      </c>
      <c r="AX1591" t="s">
        <v>131</v>
      </c>
      <c r="AY1591" t="s">
        <v>131</v>
      </c>
      <c r="AZ1591" t="s">
        <v>131</v>
      </c>
      <c r="BA1591" t="s">
        <v>131</v>
      </c>
      <c r="BB1591" t="s">
        <v>131</v>
      </c>
      <c r="BC1591" t="s">
        <v>131</v>
      </c>
      <c r="BD1591" t="s">
        <v>131</v>
      </c>
      <c r="BE1591" t="s">
        <v>132</v>
      </c>
      <c r="BH1591" t="s">
        <v>9147</v>
      </c>
      <c r="BI1591" t="s">
        <v>131</v>
      </c>
      <c r="BL1591" t="s">
        <v>133</v>
      </c>
      <c r="BN1591" t="s">
        <v>9148</v>
      </c>
      <c r="BO1591" t="s">
        <v>131</v>
      </c>
      <c r="BP1591" t="s">
        <v>134</v>
      </c>
      <c r="BQ1591" t="s">
        <v>131</v>
      </c>
      <c r="BS1591" t="str">
        <f t="shared" si="96"/>
        <v>N/A</v>
      </c>
      <c r="BT1591" t="s">
        <v>135</v>
      </c>
      <c r="BU1591">
        <v>60</v>
      </c>
      <c r="BV1591" t="str">
        <f>"experience in the job offered"</f>
        <v>experience in the job offered</v>
      </c>
      <c r="BW1591" t="s">
        <v>135</v>
      </c>
      <c r="BX1591" t="str">
        <f>""</f>
        <v/>
      </c>
      <c r="BY1591" t="str">
        <f>""</f>
        <v/>
      </c>
      <c r="BZ1591" t="str">
        <f>""</f>
        <v/>
      </c>
      <c r="CA1591" t="s">
        <v>16758</v>
      </c>
      <c r="CB1591" t="s">
        <v>135</v>
      </c>
      <c r="CC1591" t="s">
        <v>188</v>
      </c>
      <c r="CE1591" t="s">
        <v>9148</v>
      </c>
      <c r="CF1591" t="s">
        <v>131</v>
      </c>
      <c r="CH1591" t="str">
        <f>"N/A"</f>
        <v>N/A</v>
      </c>
      <c r="CI1591" t="s">
        <v>135</v>
      </c>
      <c r="CJ1591">
        <v>36</v>
      </c>
      <c r="CK1591" t="s">
        <v>131</v>
      </c>
      <c r="CL1591" t="str">
        <f>""</f>
        <v/>
      </c>
      <c r="CM1591" t="str">
        <f>""</f>
        <v/>
      </c>
      <c r="CN1591" t="str">
        <f>""</f>
        <v/>
      </c>
      <c r="CO1591" t="str">
        <f>""</f>
        <v/>
      </c>
      <c r="CP1591" t="str">
        <f>"15-1199.08"</f>
        <v>15-1199.08</v>
      </c>
      <c r="CQ1591" t="s">
        <v>265</v>
      </c>
      <c r="CR1591" t="s">
        <v>286</v>
      </c>
      <c r="CS1591" t="s">
        <v>131</v>
      </c>
      <c r="CU1591" t="s">
        <v>9141</v>
      </c>
      <c r="CW1591" t="s">
        <v>220</v>
      </c>
      <c r="CX1591" t="s">
        <v>172</v>
      </c>
      <c r="CZ1591" s="3" t="str">
        <f>"94105"</f>
        <v>94105</v>
      </c>
      <c r="DA1591" t="s">
        <v>131</v>
      </c>
      <c r="DB1591" t="str">
        <f>""</f>
        <v/>
      </c>
      <c r="DF1591" t="str">
        <f>""</f>
        <v/>
      </c>
    </row>
    <row r="1592" spans="1:110" ht="15" customHeight="1" x14ac:dyDescent="0.35">
      <c r="A1592" t="s">
        <v>20125</v>
      </c>
      <c r="B1592" t="s">
        <v>138</v>
      </c>
      <c r="C1592" s="1">
        <v>44335</v>
      </c>
      <c r="G1592" s="1">
        <v>44335</v>
      </c>
      <c r="H1592" t="s">
        <v>125</v>
      </c>
      <c r="I1592" t="s">
        <v>9142</v>
      </c>
      <c r="J1592" t="s">
        <v>9143</v>
      </c>
      <c r="L1592" t="s">
        <v>3782</v>
      </c>
      <c r="M1592" t="s">
        <v>9144</v>
      </c>
      <c r="O1592" t="s">
        <v>664</v>
      </c>
      <c r="P1592" t="s">
        <v>178</v>
      </c>
      <c r="Q1592" s="3">
        <v>95126</v>
      </c>
      <c r="R1592" t="s">
        <v>128</v>
      </c>
      <c r="T1592" s="4">
        <v>14082796699</v>
      </c>
      <c r="V1592" t="s">
        <v>9145</v>
      </c>
      <c r="W1592" t="s">
        <v>4042</v>
      </c>
      <c r="Y1592" t="s">
        <v>9141</v>
      </c>
      <c r="AA1592" t="s">
        <v>220</v>
      </c>
      <c r="AB1592" t="s">
        <v>172</v>
      </c>
      <c r="AC1592" s="3" t="str">
        <f>"94105"</f>
        <v>94105</v>
      </c>
      <c r="AD1592" t="s">
        <v>128</v>
      </c>
      <c r="AF1592" s="4">
        <v>18663300121</v>
      </c>
      <c r="AH1592" t="str">
        <f>"541511"</f>
        <v>541511</v>
      </c>
      <c r="AI1592" t="s">
        <v>130</v>
      </c>
      <c r="AJ1592" t="s">
        <v>9142</v>
      </c>
      <c r="AK1592" t="s">
        <v>9143</v>
      </c>
      <c r="AM1592" t="s">
        <v>9144</v>
      </c>
      <c r="AO1592" t="s">
        <v>664</v>
      </c>
      <c r="AP1592" t="s">
        <v>172</v>
      </c>
      <c r="AQ1592" s="5">
        <v>95126</v>
      </c>
      <c r="AR1592" t="s">
        <v>128</v>
      </c>
      <c r="AT1592" s="4">
        <v>14082796699</v>
      </c>
      <c r="AV1592" t="s">
        <v>9145</v>
      </c>
      <c r="AW1592" t="s">
        <v>9146</v>
      </c>
      <c r="AX1592" t="s">
        <v>131</v>
      </c>
      <c r="AY1592" t="s">
        <v>131</v>
      </c>
      <c r="AZ1592" t="s">
        <v>131</v>
      </c>
      <c r="BA1592" t="s">
        <v>131</v>
      </c>
      <c r="BB1592" t="s">
        <v>131</v>
      </c>
      <c r="BC1592" t="s">
        <v>131</v>
      </c>
      <c r="BD1592" t="s">
        <v>131</v>
      </c>
      <c r="BE1592" t="s">
        <v>132</v>
      </c>
      <c r="BH1592" t="s">
        <v>19615</v>
      </c>
      <c r="BI1592" t="s">
        <v>131</v>
      </c>
      <c r="BL1592" t="s">
        <v>133</v>
      </c>
      <c r="BN1592" t="s">
        <v>5248</v>
      </c>
      <c r="BO1592" t="s">
        <v>131</v>
      </c>
      <c r="BP1592" t="s">
        <v>134</v>
      </c>
      <c r="BQ1592" t="s">
        <v>131</v>
      </c>
      <c r="BS1592" t="str">
        <f t="shared" si="96"/>
        <v>N/A</v>
      </c>
      <c r="BT1592" t="s">
        <v>135</v>
      </c>
      <c r="BU1592">
        <v>60</v>
      </c>
      <c r="BV1592" t="str">
        <f>"Experience in the job offered"</f>
        <v>Experience in the job offered</v>
      </c>
      <c r="BW1592" t="s">
        <v>135</v>
      </c>
      <c r="BX1592" t="str">
        <f>""</f>
        <v/>
      </c>
      <c r="BY1592" t="str">
        <f>""</f>
        <v/>
      </c>
      <c r="BZ1592" t="str">
        <f>""</f>
        <v/>
      </c>
      <c r="CA1592" t="s">
        <v>20126</v>
      </c>
      <c r="CB1592" t="s">
        <v>135</v>
      </c>
      <c r="CC1592" t="s">
        <v>188</v>
      </c>
      <c r="CE1592" t="s">
        <v>4216</v>
      </c>
      <c r="CF1592" t="s">
        <v>131</v>
      </c>
      <c r="CH1592" t="str">
        <f>"N/A"</f>
        <v>N/A</v>
      </c>
      <c r="CI1592" t="s">
        <v>135</v>
      </c>
      <c r="CJ1592">
        <v>36</v>
      </c>
      <c r="CK1592" t="s">
        <v>135</v>
      </c>
      <c r="CL1592" t="str">
        <f>""</f>
        <v/>
      </c>
      <c r="CM1592" t="str">
        <f>""</f>
        <v/>
      </c>
      <c r="CN1592" t="str">
        <f>""</f>
        <v/>
      </c>
      <c r="CO1592" t="s">
        <v>20127</v>
      </c>
      <c r="CP1592" t="str">
        <f>"15-1133.00"</f>
        <v>15-1133.00</v>
      </c>
      <c r="CQ1592" t="s">
        <v>648</v>
      </c>
      <c r="CR1592" t="s">
        <v>460</v>
      </c>
      <c r="CS1592" t="s">
        <v>131</v>
      </c>
      <c r="CU1592" t="s">
        <v>9141</v>
      </c>
      <c r="CW1592" t="s">
        <v>220</v>
      </c>
      <c r="CX1592" t="s">
        <v>172</v>
      </c>
      <c r="CZ1592" s="3" t="str">
        <f>"94105"</f>
        <v>94105</v>
      </c>
      <c r="DA1592" t="s">
        <v>131</v>
      </c>
      <c r="DB1592" t="str">
        <f>""</f>
        <v/>
      </c>
      <c r="DF1592" t="str">
        <f>""</f>
        <v/>
      </c>
    </row>
    <row r="1593" spans="1:110" ht="15" customHeight="1" x14ac:dyDescent="0.35">
      <c r="A1593" t="s">
        <v>16110</v>
      </c>
      <c r="B1593" t="s">
        <v>138</v>
      </c>
      <c r="C1593" s="1">
        <v>44335</v>
      </c>
      <c r="G1593" s="1">
        <v>44357</v>
      </c>
      <c r="H1593" t="s">
        <v>125</v>
      </c>
      <c r="I1593" t="s">
        <v>4040</v>
      </c>
      <c r="J1593" t="s">
        <v>9140</v>
      </c>
      <c r="L1593" t="s">
        <v>2125</v>
      </c>
      <c r="M1593" t="s">
        <v>16111</v>
      </c>
      <c r="N1593" t="s">
        <v>16112</v>
      </c>
      <c r="O1593" t="s">
        <v>944</v>
      </c>
      <c r="P1593" t="s">
        <v>178</v>
      </c>
      <c r="Q1593" s="3" t="s">
        <v>16113</v>
      </c>
      <c r="R1593" t="s">
        <v>128</v>
      </c>
      <c r="T1593" s="4">
        <v>18663300121</v>
      </c>
      <c r="V1593" t="s">
        <v>4041</v>
      </c>
      <c r="W1593" t="s">
        <v>4042</v>
      </c>
      <c r="Y1593" t="s">
        <v>9141</v>
      </c>
      <c r="AA1593" t="s">
        <v>220</v>
      </c>
      <c r="AB1593" t="s">
        <v>172</v>
      </c>
      <c r="AC1593" s="3" t="str">
        <f>"94107"</f>
        <v>94107</v>
      </c>
      <c r="AD1593" t="s">
        <v>128</v>
      </c>
      <c r="AF1593" s="4">
        <v>18663300121</v>
      </c>
      <c r="AH1593" t="str">
        <f>"541511"</f>
        <v>541511</v>
      </c>
      <c r="AI1593" t="s">
        <v>130</v>
      </c>
      <c r="AJ1593" t="s">
        <v>9142</v>
      </c>
      <c r="AK1593" t="s">
        <v>9143</v>
      </c>
      <c r="AM1593" t="s">
        <v>9144</v>
      </c>
      <c r="AO1593" t="s">
        <v>664</v>
      </c>
      <c r="AP1593" t="s">
        <v>172</v>
      </c>
      <c r="AQ1593" s="5">
        <v>95126</v>
      </c>
      <c r="AR1593" t="s">
        <v>128</v>
      </c>
      <c r="AT1593" s="4">
        <v>14082796699</v>
      </c>
      <c r="AV1593" t="s">
        <v>9145</v>
      </c>
      <c r="AW1593" t="s">
        <v>9146</v>
      </c>
      <c r="AX1593" t="s">
        <v>131</v>
      </c>
      <c r="AY1593" t="s">
        <v>131</v>
      </c>
      <c r="AZ1593" t="s">
        <v>131</v>
      </c>
      <c r="BA1593" t="s">
        <v>131</v>
      </c>
      <c r="BB1593" t="s">
        <v>131</v>
      </c>
      <c r="BC1593" t="s">
        <v>131</v>
      </c>
      <c r="BD1593" t="s">
        <v>131</v>
      </c>
      <c r="BE1593" t="s">
        <v>132</v>
      </c>
      <c r="BH1593" t="s">
        <v>1501</v>
      </c>
      <c r="BI1593" t="s">
        <v>131</v>
      </c>
      <c r="BL1593" t="s">
        <v>188</v>
      </c>
      <c r="BN1593" t="s">
        <v>5248</v>
      </c>
      <c r="BO1593" t="s">
        <v>131</v>
      </c>
      <c r="BP1593" t="s">
        <v>134</v>
      </c>
      <c r="BQ1593" t="s">
        <v>131</v>
      </c>
      <c r="BS1593" t="str">
        <f t="shared" si="96"/>
        <v>N/A</v>
      </c>
      <c r="BT1593" t="s">
        <v>135</v>
      </c>
      <c r="BU1593">
        <v>36</v>
      </c>
      <c r="BV1593" t="str">
        <f>"Same as Job Description"</f>
        <v>Same as Job Description</v>
      </c>
      <c r="BW1593" t="s">
        <v>135</v>
      </c>
      <c r="BX1593" t="str">
        <f>""</f>
        <v/>
      </c>
      <c r="BY1593" t="str">
        <f>""</f>
        <v/>
      </c>
      <c r="BZ1593" t="str">
        <f>""</f>
        <v/>
      </c>
      <c r="CA1593" t="s">
        <v>16114</v>
      </c>
      <c r="CB1593" t="s">
        <v>131</v>
      </c>
      <c r="CF1593" t="s">
        <v>131</v>
      </c>
      <c r="CH1593" t="str">
        <f>""</f>
        <v/>
      </c>
      <c r="CI1593" t="s">
        <v>131</v>
      </c>
      <c r="CK1593" t="s">
        <v>131</v>
      </c>
      <c r="CL1593" t="str">
        <f>""</f>
        <v/>
      </c>
      <c r="CM1593" t="str">
        <f>""</f>
        <v/>
      </c>
      <c r="CN1593" t="str">
        <f>""</f>
        <v/>
      </c>
      <c r="CO1593" t="str">
        <f>""</f>
        <v/>
      </c>
      <c r="CP1593" t="str">
        <f>"15-1133.00"</f>
        <v>15-1133.00</v>
      </c>
      <c r="CQ1593" t="s">
        <v>648</v>
      </c>
      <c r="CS1593" t="s">
        <v>131</v>
      </c>
      <c r="CU1593" t="s">
        <v>9141</v>
      </c>
      <c r="CW1593" t="s">
        <v>220</v>
      </c>
      <c r="CX1593" t="s">
        <v>172</v>
      </c>
      <c r="CZ1593" s="3" t="str">
        <f>"94105"</f>
        <v>94105</v>
      </c>
      <c r="DA1593" t="s">
        <v>131</v>
      </c>
      <c r="DB1593" t="str">
        <f>""</f>
        <v/>
      </c>
      <c r="DF1593" t="str">
        <f>""</f>
        <v/>
      </c>
    </row>
    <row r="1594" spans="1:110" ht="15" customHeight="1" x14ac:dyDescent="0.35">
      <c r="A1594" t="s">
        <v>17845</v>
      </c>
      <c r="B1594" t="s">
        <v>138</v>
      </c>
      <c r="C1594" s="1">
        <v>44336</v>
      </c>
      <c r="G1594" s="1">
        <v>44340</v>
      </c>
      <c r="H1594" t="s">
        <v>125</v>
      </c>
      <c r="I1594" t="s">
        <v>1826</v>
      </c>
      <c r="J1594" t="s">
        <v>1827</v>
      </c>
      <c r="K1594" t="s">
        <v>387</v>
      </c>
      <c r="L1594" t="s">
        <v>1828</v>
      </c>
      <c r="M1594" t="s">
        <v>1829</v>
      </c>
      <c r="O1594" t="s">
        <v>1830</v>
      </c>
      <c r="P1594" t="s">
        <v>396</v>
      </c>
      <c r="Q1594" s="3">
        <v>72712</v>
      </c>
      <c r="R1594" t="s">
        <v>128</v>
      </c>
      <c r="T1594" s="4">
        <v>14792047224</v>
      </c>
      <c r="V1594" t="s">
        <v>1831</v>
      </c>
      <c r="W1594" t="s">
        <v>1832</v>
      </c>
      <c r="Y1594" t="s">
        <v>1833</v>
      </c>
      <c r="Z1594" t="s">
        <v>1834</v>
      </c>
      <c r="AA1594" t="s">
        <v>1835</v>
      </c>
      <c r="AB1594" t="s">
        <v>397</v>
      </c>
      <c r="AC1594" s="3" t="str">
        <f>"72716"</f>
        <v>72716</v>
      </c>
      <c r="AD1594" t="s">
        <v>128</v>
      </c>
      <c r="AF1594" s="4">
        <v>14792731993</v>
      </c>
      <c r="AH1594" t="str">
        <f>"452210"</f>
        <v>452210</v>
      </c>
      <c r="AI1594" t="s">
        <v>130</v>
      </c>
      <c r="AJ1594" t="s">
        <v>3478</v>
      </c>
      <c r="AK1594" t="s">
        <v>789</v>
      </c>
      <c r="AM1594" t="s">
        <v>1838</v>
      </c>
      <c r="AN1594" t="s">
        <v>517</v>
      </c>
      <c r="AO1594" t="s">
        <v>129</v>
      </c>
      <c r="AP1594" t="s">
        <v>129</v>
      </c>
      <c r="AQ1594" s="5">
        <v>10018</v>
      </c>
      <c r="AR1594" t="s">
        <v>128</v>
      </c>
      <c r="AT1594" s="4">
        <v>12126888555</v>
      </c>
      <c r="AV1594" t="s">
        <v>3479</v>
      </c>
      <c r="AW1594" t="s">
        <v>1840</v>
      </c>
      <c r="AX1594" t="s">
        <v>131</v>
      </c>
      <c r="AY1594" t="s">
        <v>131</v>
      </c>
      <c r="AZ1594" t="s">
        <v>131</v>
      </c>
      <c r="BA1594" t="s">
        <v>131</v>
      </c>
      <c r="BB1594" t="s">
        <v>131</v>
      </c>
      <c r="BC1594" t="s">
        <v>131</v>
      </c>
      <c r="BD1594" t="s">
        <v>131</v>
      </c>
      <c r="BE1594" t="s">
        <v>132</v>
      </c>
      <c r="BH1594" t="s">
        <v>2478</v>
      </c>
      <c r="BI1594" t="s">
        <v>131</v>
      </c>
      <c r="BL1594" t="s">
        <v>188</v>
      </c>
      <c r="BN1594" t="s">
        <v>7110</v>
      </c>
      <c r="BO1594" t="s">
        <v>131</v>
      </c>
      <c r="BP1594" t="s">
        <v>134</v>
      </c>
      <c r="BQ1594" t="s">
        <v>131</v>
      </c>
      <c r="BS1594" t="str">
        <f t="shared" si="96"/>
        <v>N/A</v>
      </c>
      <c r="BT1594" t="s">
        <v>131</v>
      </c>
      <c r="BV1594" t="str">
        <f>""</f>
        <v/>
      </c>
      <c r="BW1594" t="s">
        <v>135</v>
      </c>
      <c r="BX1594" t="str">
        <f>""</f>
        <v/>
      </c>
      <c r="BY1594" t="str">
        <f>""</f>
        <v/>
      </c>
      <c r="BZ1594" t="str">
        <f>""</f>
        <v/>
      </c>
      <c r="CA1594" t="s">
        <v>16680</v>
      </c>
      <c r="CB1594" t="s">
        <v>131</v>
      </c>
      <c r="CF1594" t="s">
        <v>131</v>
      </c>
      <c r="CH1594" t="str">
        <f>""</f>
        <v/>
      </c>
      <c r="CI1594" t="s">
        <v>131</v>
      </c>
      <c r="CK1594" t="s">
        <v>131</v>
      </c>
      <c r="CL1594" t="str">
        <f>""</f>
        <v/>
      </c>
      <c r="CM1594" t="str">
        <f>""</f>
        <v/>
      </c>
      <c r="CN1594" t="str">
        <f>""</f>
        <v/>
      </c>
      <c r="CO1594" t="str">
        <f>""</f>
        <v/>
      </c>
      <c r="CP1594" t="str">
        <f>"15-1133.00"</f>
        <v>15-1133.00</v>
      </c>
      <c r="CQ1594" t="s">
        <v>648</v>
      </c>
      <c r="CR1594" t="s">
        <v>3319</v>
      </c>
      <c r="CS1594" t="s">
        <v>131</v>
      </c>
      <c r="CU1594" t="s">
        <v>3320</v>
      </c>
      <c r="CW1594" t="s">
        <v>1506</v>
      </c>
      <c r="CX1594" t="s">
        <v>172</v>
      </c>
      <c r="CZ1594" s="3" t="str">
        <f>"94086"</f>
        <v>94086</v>
      </c>
      <c r="DA1594" t="s">
        <v>131</v>
      </c>
      <c r="DB1594" t="str">
        <f>""</f>
        <v/>
      </c>
      <c r="DF1594" t="str">
        <f>""</f>
        <v/>
      </c>
    </row>
    <row r="1595" spans="1:110" ht="15" customHeight="1" x14ac:dyDescent="0.35">
      <c r="A1595" t="s">
        <v>19413</v>
      </c>
      <c r="B1595" t="s">
        <v>138</v>
      </c>
      <c r="C1595" s="1">
        <v>44336</v>
      </c>
      <c r="G1595" s="1">
        <v>44342</v>
      </c>
      <c r="H1595" t="s">
        <v>125</v>
      </c>
      <c r="I1595" t="s">
        <v>2732</v>
      </c>
      <c r="J1595" t="s">
        <v>1437</v>
      </c>
      <c r="L1595" t="s">
        <v>7259</v>
      </c>
      <c r="M1595" t="s">
        <v>7260</v>
      </c>
      <c r="N1595" t="s">
        <v>2489</v>
      </c>
      <c r="O1595" t="s">
        <v>494</v>
      </c>
      <c r="P1595" t="s">
        <v>127</v>
      </c>
      <c r="Q1595" s="3">
        <v>10001</v>
      </c>
      <c r="R1595" t="s">
        <v>128</v>
      </c>
      <c r="T1595" s="4">
        <v>18666799129</v>
      </c>
      <c r="V1595" t="s">
        <v>7261</v>
      </c>
      <c r="W1595" t="s">
        <v>7262</v>
      </c>
      <c r="Y1595" t="s">
        <v>7260</v>
      </c>
      <c r="Z1595" t="s">
        <v>2489</v>
      </c>
      <c r="AA1595" t="s">
        <v>494</v>
      </c>
      <c r="AB1595" t="s">
        <v>129</v>
      </c>
      <c r="AC1595" s="3" t="str">
        <f>"10001"</f>
        <v>10001</v>
      </c>
      <c r="AD1595" t="s">
        <v>128</v>
      </c>
      <c r="AF1595" s="4">
        <v>18666799129</v>
      </c>
      <c r="AH1595" t="str">
        <f>"451110"</f>
        <v>451110</v>
      </c>
      <c r="AI1595" t="s">
        <v>130</v>
      </c>
      <c r="AJ1595" t="s">
        <v>1622</v>
      </c>
      <c r="AK1595" t="s">
        <v>1623</v>
      </c>
      <c r="AL1595" t="s">
        <v>1624</v>
      </c>
      <c r="AM1595" t="s">
        <v>1625</v>
      </c>
      <c r="AN1595" t="s">
        <v>4387</v>
      </c>
      <c r="AO1595" t="s">
        <v>719</v>
      </c>
      <c r="AP1595" t="s">
        <v>377</v>
      </c>
      <c r="AQ1595" s="5">
        <v>1701</v>
      </c>
      <c r="AR1595" t="s">
        <v>128</v>
      </c>
      <c r="AT1595" s="4">
        <v>15085323527</v>
      </c>
      <c r="AV1595" t="s">
        <v>4388</v>
      </c>
      <c r="AW1595" t="s">
        <v>4389</v>
      </c>
      <c r="AX1595" t="s">
        <v>131</v>
      </c>
      <c r="AY1595" t="s">
        <v>131</v>
      </c>
      <c r="AZ1595" t="s">
        <v>131</v>
      </c>
      <c r="BA1595" t="s">
        <v>131</v>
      </c>
      <c r="BB1595" t="s">
        <v>131</v>
      </c>
      <c r="BC1595" t="s">
        <v>131</v>
      </c>
      <c r="BD1595" t="s">
        <v>131</v>
      </c>
      <c r="BE1595" t="s">
        <v>132</v>
      </c>
      <c r="BH1595" t="s">
        <v>8607</v>
      </c>
      <c r="BI1595" t="s">
        <v>131</v>
      </c>
      <c r="BL1595" t="s">
        <v>188</v>
      </c>
      <c r="BN1595" t="s">
        <v>15279</v>
      </c>
      <c r="BO1595" t="s">
        <v>131</v>
      </c>
      <c r="BP1595" t="s">
        <v>134</v>
      </c>
      <c r="BQ1595" t="s">
        <v>131</v>
      </c>
      <c r="BS1595" t="str">
        <f t="shared" si="96"/>
        <v>N/A</v>
      </c>
      <c r="BT1595" t="s">
        <v>135</v>
      </c>
      <c r="BU1595">
        <v>12</v>
      </c>
      <c r="BV1595" t="str">
        <f>"Demonstrable knowledge of: SAP ERP; Tableau; Process Improvement; Supply Planning; Project Management; Lean Manufacturing; Scenario Modelling; Inventory Management; Procurement; and Vendor Management."</f>
        <v>Demonstrable knowledge of: SAP ERP; Tableau; Process Improvement; Supply Planning; Project Management; Lean Manufacturing; Scenario Modelling; Inventory Management; Procurement; and Vendor Management.</v>
      </c>
      <c r="BW1595" t="s">
        <v>131</v>
      </c>
      <c r="BX1595" t="str">
        <f>""</f>
        <v/>
      </c>
      <c r="BY1595" t="str">
        <f>""</f>
        <v/>
      </c>
      <c r="BZ1595" t="str">
        <f>""</f>
        <v/>
      </c>
      <c r="CA1595" t="str">
        <f>""</f>
        <v/>
      </c>
      <c r="CB1595" t="s">
        <v>131</v>
      </c>
      <c r="CF1595" t="s">
        <v>131</v>
      </c>
      <c r="CH1595" t="str">
        <f>""</f>
        <v/>
      </c>
      <c r="CI1595" t="s">
        <v>131</v>
      </c>
      <c r="CK1595" t="s">
        <v>131</v>
      </c>
      <c r="CL1595" t="str">
        <f>""</f>
        <v/>
      </c>
      <c r="CM1595" t="str">
        <f>""</f>
        <v/>
      </c>
      <c r="CN1595" t="str">
        <f>""</f>
        <v/>
      </c>
      <c r="CO1595" t="str">
        <f>""</f>
        <v/>
      </c>
      <c r="CP1595" t="str">
        <f>"13-1081.02"</f>
        <v>13-1081.02</v>
      </c>
      <c r="CQ1595" t="s">
        <v>4142</v>
      </c>
      <c r="CR1595" t="s">
        <v>15280</v>
      </c>
      <c r="CS1595" t="s">
        <v>131</v>
      </c>
      <c r="CU1595" t="s">
        <v>7260</v>
      </c>
      <c r="CV1595" t="s">
        <v>2489</v>
      </c>
      <c r="CW1595" t="s">
        <v>494</v>
      </c>
      <c r="CX1595" t="s">
        <v>129</v>
      </c>
      <c r="CZ1595" s="3" t="str">
        <f>"10001"</f>
        <v>10001</v>
      </c>
      <c r="DA1595" t="s">
        <v>131</v>
      </c>
      <c r="DB1595" t="str">
        <f>""</f>
        <v/>
      </c>
      <c r="DF1595" t="str">
        <f>""</f>
        <v/>
      </c>
    </row>
    <row r="1596" spans="1:110" ht="15" customHeight="1" x14ac:dyDescent="0.35">
      <c r="A1596" t="s">
        <v>10662</v>
      </c>
      <c r="B1596" t="s">
        <v>138</v>
      </c>
      <c r="C1596" s="1">
        <v>44336</v>
      </c>
      <c r="G1596" s="1">
        <v>44343</v>
      </c>
      <c r="H1596" t="s">
        <v>125</v>
      </c>
      <c r="I1596" t="s">
        <v>139</v>
      </c>
      <c r="J1596" t="s">
        <v>140</v>
      </c>
      <c r="K1596" t="s">
        <v>134</v>
      </c>
      <c r="L1596" t="s">
        <v>141</v>
      </c>
      <c r="M1596" t="s">
        <v>142</v>
      </c>
      <c r="O1596" t="s">
        <v>143</v>
      </c>
      <c r="P1596" t="s">
        <v>144</v>
      </c>
      <c r="Q1596" s="3">
        <v>98052</v>
      </c>
      <c r="R1596" t="s">
        <v>128</v>
      </c>
      <c r="T1596" s="4">
        <v>14255383872</v>
      </c>
      <c r="U1596">
        <v>8387</v>
      </c>
      <c r="V1596" t="s">
        <v>145</v>
      </c>
      <c r="W1596" t="s">
        <v>146</v>
      </c>
      <c r="X1596" t="s">
        <v>134</v>
      </c>
      <c r="Y1596" t="s">
        <v>147</v>
      </c>
      <c r="Z1596" t="s">
        <v>134</v>
      </c>
      <c r="AA1596" t="s">
        <v>148</v>
      </c>
      <c r="AB1596" t="s">
        <v>149</v>
      </c>
      <c r="AC1596" s="3" t="str">
        <f>"98052"</f>
        <v>98052</v>
      </c>
      <c r="AD1596" t="s">
        <v>128</v>
      </c>
      <c r="AE1596" t="s">
        <v>134</v>
      </c>
      <c r="AF1596" s="4">
        <v>14258828080</v>
      </c>
      <c r="AH1596" t="str">
        <f>"5112"</f>
        <v>5112</v>
      </c>
      <c r="AI1596" t="s">
        <v>130</v>
      </c>
      <c r="AJ1596" t="s">
        <v>150</v>
      </c>
      <c r="AK1596" t="s">
        <v>151</v>
      </c>
      <c r="AL1596" t="s">
        <v>134</v>
      </c>
      <c r="AM1596" t="s">
        <v>152</v>
      </c>
      <c r="AN1596" t="s">
        <v>153</v>
      </c>
      <c r="AO1596" t="s">
        <v>154</v>
      </c>
      <c r="AQ1596" s="5" t="s">
        <v>155</v>
      </c>
      <c r="AR1596" t="s">
        <v>156</v>
      </c>
      <c r="AS1596" t="s">
        <v>157</v>
      </c>
      <c r="AT1596" s="4">
        <v>16048918371</v>
      </c>
      <c r="AV1596" t="s">
        <v>158</v>
      </c>
      <c r="AW1596" t="s">
        <v>159</v>
      </c>
      <c r="AX1596" t="s">
        <v>131</v>
      </c>
      <c r="AY1596" t="s">
        <v>131</v>
      </c>
      <c r="AZ1596" t="s">
        <v>131</v>
      </c>
      <c r="BA1596" t="s">
        <v>131</v>
      </c>
      <c r="BB1596" t="s">
        <v>131</v>
      </c>
      <c r="BC1596" t="s">
        <v>131</v>
      </c>
      <c r="BD1596" t="s">
        <v>131</v>
      </c>
      <c r="BE1596" t="s">
        <v>160</v>
      </c>
      <c r="BF1596" t="s">
        <v>161</v>
      </c>
      <c r="BG1596" s="1">
        <v>44270</v>
      </c>
      <c r="BH1596" t="s">
        <v>162</v>
      </c>
      <c r="BI1596" t="s">
        <v>135</v>
      </c>
      <c r="BJ1596" t="s">
        <v>163</v>
      </c>
      <c r="BK1596" t="s">
        <v>164</v>
      </c>
      <c r="BL1596" t="s">
        <v>133</v>
      </c>
      <c r="BN1596" t="s">
        <v>165</v>
      </c>
      <c r="BO1596" t="s">
        <v>131</v>
      </c>
      <c r="BP1596" t="s">
        <v>134</v>
      </c>
      <c r="BQ1596" t="s">
        <v>131</v>
      </c>
      <c r="BS1596" t="str">
        <f t="shared" si="96"/>
        <v>N/A</v>
      </c>
      <c r="BT1596" t="s">
        <v>135</v>
      </c>
      <c r="BU1596">
        <v>24</v>
      </c>
      <c r="BV1596" t="str">
        <f>"Any related occupation"</f>
        <v>Any related occupation</v>
      </c>
      <c r="BW1596" t="s">
        <v>135</v>
      </c>
      <c r="BX1596" t="str">
        <f>""</f>
        <v/>
      </c>
      <c r="BY1596" t="str">
        <f>""</f>
        <v/>
      </c>
      <c r="BZ1596" t="str">
        <f>""</f>
        <v/>
      </c>
      <c r="CA1596" s="2" t="s">
        <v>166</v>
      </c>
      <c r="CB1596" t="s">
        <v>135</v>
      </c>
      <c r="CC1596" t="s">
        <v>167</v>
      </c>
      <c r="CF1596" t="s">
        <v>131</v>
      </c>
      <c r="CH1596" t="str">
        <f>"N/A"</f>
        <v>N/A</v>
      </c>
      <c r="CI1596" t="s">
        <v>135</v>
      </c>
      <c r="CJ1596">
        <v>48</v>
      </c>
      <c r="CK1596" t="s">
        <v>135</v>
      </c>
      <c r="CL1596" t="str">
        <f>""</f>
        <v/>
      </c>
      <c r="CM1596" t="str">
        <f>""</f>
        <v/>
      </c>
      <c r="CN1596" t="str">
        <f>""</f>
        <v/>
      </c>
      <c r="CO1596" s="2" t="s">
        <v>166</v>
      </c>
      <c r="CP1596" t="str">
        <f>"11-2022.00"</f>
        <v>11-2022.00</v>
      </c>
      <c r="CQ1596" t="s">
        <v>164</v>
      </c>
      <c r="CR1596" t="s">
        <v>168</v>
      </c>
      <c r="CS1596" t="s">
        <v>135</v>
      </c>
      <c r="CT1596" t="s">
        <v>169</v>
      </c>
      <c r="CU1596" t="s">
        <v>170</v>
      </c>
      <c r="CW1596" t="s">
        <v>171</v>
      </c>
      <c r="CX1596" t="s">
        <v>172</v>
      </c>
      <c r="CZ1596" s="3" t="str">
        <f>"92614"</f>
        <v>92614</v>
      </c>
      <c r="DA1596" t="s">
        <v>131</v>
      </c>
      <c r="DB1596" t="str">
        <f>""</f>
        <v/>
      </c>
      <c r="DF1596" t="str">
        <f>""</f>
        <v/>
      </c>
    </row>
    <row r="1597" spans="1:110" ht="15" customHeight="1" x14ac:dyDescent="0.35">
      <c r="A1597" t="s">
        <v>16413</v>
      </c>
      <c r="B1597" t="s">
        <v>138</v>
      </c>
      <c r="C1597" s="1">
        <v>44336</v>
      </c>
      <c r="G1597" s="1">
        <v>44351</v>
      </c>
      <c r="H1597" t="s">
        <v>125</v>
      </c>
      <c r="I1597" t="s">
        <v>838</v>
      </c>
      <c r="J1597" t="s">
        <v>839</v>
      </c>
      <c r="K1597" t="s">
        <v>840</v>
      </c>
      <c r="L1597" t="s">
        <v>2565</v>
      </c>
      <c r="M1597" t="s">
        <v>841</v>
      </c>
      <c r="N1597" t="s">
        <v>842</v>
      </c>
      <c r="O1597" t="s">
        <v>843</v>
      </c>
      <c r="P1597" t="s">
        <v>273</v>
      </c>
      <c r="Q1597" s="3">
        <v>7080</v>
      </c>
      <c r="R1597" t="s">
        <v>128</v>
      </c>
      <c r="T1597" s="4">
        <v>17328327978</v>
      </c>
      <c r="V1597" t="s">
        <v>844</v>
      </c>
      <c r="W1597" t="s">
        <v>6547</v>
      </c>
      <c r="Y1597" t="s">
        <v>6548</v>
      </c>
      <c r="Z1597" t="s">
        <v>3810</v>
      </c>
      <c r="AA1597" t="s">
        <v>2596</v>
      </c>
      <c r="AB1597" t="s">
        <v>276</v>
      </c>
      <c r="AC1597" s="3" t="str">
        <f>"08854"</f>
        <v>08854</v>
      </c>
      <c r="AD1597" t="s">
        <v>128</v>
      </c>
      <c r="AF1597" s="4">
        <v>12019051126</v>
      </c>
      <c r="AH1597" t="str">
        <f>"5415"</f>
        <v>5415</v>
      </c>
      <c r="AI1597" t="s">
        <v>130</v>
      </c>
      <c r="AJ1597" t="s">
        <v>838</v>
      </c>
      <c r="AK1597" t="s">
        <v>839</v>
      </c>
      <c r="AL1597" t="s">
        <v>840</v>
      </c>
      <c r="AM1597" t="s">
        <v>841</v>
      </c>
      <c r="AN1597" t="s">
        <v>842</v>
      </c>
      <c r="AO1597" t="s">
        <v>843</v>
      </c>
      <c r="AP1597" t="s">
        <v>276</v>
      </c>
      <c r="AQ1597" s="5">
        <v>7080</v>
      </c>
      <c r="AR1597" t="s">
        <v>128</v>
      </c>
      <c r="AT1597" s="4">
        <v>17328327978</v>
      </c>
      <c r="AV1597" t="s">
        <v>844</v>
      </c>
      <c r="AW1597" t="s">
        <v>2779</v>
      </c>
      <c r="AX1597" t="s">
        <v>131</v>
      </c>
      <c r="AY1597" t="s">
        <v>131</v>
      </c>
      <c r="AZ1597" t="s">
        <v>131</v>
      </c>
      <c r="BA1597" t="s">
        <v>131</v>
      </c>
      <c r="BB1597" t="s">
        <v>131</v>
      </c>
      <c r="BC1597" t="s">
        <v>131</v>
      </c>
      <c r="BD1597" t="s">
        <v>131</v>
      </c>
      <c r="BE1597" t="s">
        <v>132</v>
      </c>
      <c r="BH1597" t="s">
        <v>500</v>
      </c>
      <c r="BI1597" t="s">
        <v>131</v>
      </c>
      <c r="BL1597" t="s">
        <v>188</v>
      </c>
      <c r="BN1597" t="s">
        <v>847</v>
      </c>
      <c r="BO1597" t="s">
        <v>131</v>
      </c>
      <c r="BP1597" t="s">
        <v>134</v>
      </c>
      <c r="BQ1597" t="s">
        <v>131</v>
      </c>
      <c r="BS1597" t="str">
        <f t="shared" si="96"/>
        <v>N/A</v>
      </c>
      <c r="BT1597" t="s">
        <v>131</v>
      </c>
      <c r="BV1597" t="str">
        <f>""</f>
        <v/>
      </c>
      <c r="BW1597" t="s">
        <v>131</v>
      </c>
      <c r="BX1597" t="str">
        <f>""</f>
        <v/>
      </c>
      <c r="BY1597" t="str">
        <f>""</f>
        <v/>
      </c>
      <c r="BZ1597" t="str">
        <f>""</f>
        <v/>
      </c>
      <c r="CA1597" t="str">
        <f>""</f>
        <v/>
      </c>
      <c r="CB1597" t="s">
        <v>135</v>
      </c>
      <c r="CC1597" t="s">
        <v>133</v>
      </c>
      <c r="CE1597" t="s">
        <v>847</v>
      </c>
      <c r="CF1597" t="s">
        <v>131</v>
      </c>
      <c r="CH1597" t="str">
        <f>"N/A"</f>
        <v>N/A</v>
      </c>
      <c r="CI1597" t="s">
        <v>135</v>
      </c>
      <c r="CJ1597">
        <v>60</v>
      </c>
      <c r="CK1597" t="s">
        <v>135</v>
      </c>
      <c r="CL1597" t="str">
        <f>""</f>
        <v/>
      </c>
      <c r="CM1597" t="str">
        <f>""</f>
        <v/>
      </c>
      <c r="CN1597" t="str">
        <f>""</f>
        <v/>
      </c>
      <c r="CO1597" t="s">
        <v>9154</v>
      </c>
      <c r="CP1597" t="str">
        <f>"15-1132.00"</f>
        <v>15-1132.00</v>
      </c>
      <c r="CQ1597" t="s">
        <v>198</v>
      </c>
      <c r="CR1597" t="s">
        <v>849</v>
      </c>
      <c r="CS1597" t="s">
        <v>131</v>
      </c>
      <c r="CU1597" t="s">
        <v>6548</v>
      </c>
      <c r="CV1597" t="s">
        <v>9155</v>
      </c>
      <c r="CW1597" t="s">
        <v>2596</v>
      </c>
      <c r="CX1597" t="s">
        <v>276</v>
      </c>
      <c r="CZ1597" s="3" t="str">
        <f>"08854"</f>
        <v>08854</v>
      </c>
      <c r="DA1597" t="s">
        <v>131</v>
      </c>
      <c r="DB1597" t="str">
        <f>""</f>
        <v/>
      </c>
      <c r="DF1597" t="str">
        <f>""</f>
        <v/>
      </c>
    </row>
    <row r="1598" spans="1:110" ht="15" customHeight="1" x14ac:dyDescent="0.35">
      <c r="A1598" t="s">
        <v>16465</v>
      </c>
      <c r="B1598" t="s">
        <v>138</v>
      </c>
      <c r="C1598" s="1">
        <v>44336</v>
      </c>
      <c r="G1598" s="1">
        <v>44342</v>
      </c>
      <c r="H1598" t="s">
        <v>125</v>
      </c>
      <c r="I1598" t="s">
        <v>16466</v>
      </c>
      <c r="J1598" t="s">
        <v>1689</v>
      </c>
      <c r="L1598" t="s">
        <v>16467</v>
      </c>
      <c r="M1598" t="s">
        <v>16468</v>
      </c>
      <c r="O1598" t="s">
        <v>494</v>
      </c>
      <c r="P1598" t="s">
        <v>127</v>
      </c>
      <c r="Q1598" s="3">
        <v>10016</v>
      </c>
      <c r="R1598" t="s">
        <v>128</v>
      </c>
      <c r="T1598" s="4">
        <v>12127909700</v>
      </c>
      <c r="V1598" t="s">
        <v>16469</v>
      </c>
      <c r="W1598" t="s">
        <v>11973</v>
      </c>
      <c r="Y1598" t="s">
        <v>16470</v>
      </c>
      <c r="AA1598" t="s">
        <v>494</v>
      </c>
      <c r="AB1598" t="s">
        <v>129</v>
      </c>
      <c r="AC1598" s="3" t="str">
        <f>"10016"</f>
        <v>10016</v>
      </c>
      <c r="AD1598" t="s">
        <v>128</v>
      </c>
      <c r="AF1598" s="4">
        <v>12127909700</v>
      </c>
      <c r="AH1598" t="str">
        <f>"524126"</f>
        <v>524126</v>
      </c>
      <c r="AI1598" t="s">
        <v>130</v>
      </c>
      <c r="AJ1598" t="s">
        <v>3026</v>
      </c>
      <c r="AK1598" t="s">
        <v>3027</v>
      </c>
      <c r="AL1598" t="s">
        <v>14497</v>
      </c>
      <c r="AM1598" t="s">
        <v>9225</v>
      </c>
      <c r="AO1598" t="s">
        <v>523</v>
      </c>
      <c r="AP1598" t="s">
        <v>172</v>
      </c>
      <c r="AQ1598" s="5">
        <v>94111</v>
      </c>
      <c r="AR1598" t="s">
        <v>128</v>
      </c>
      <c r="AT1598" s="4">
        <v>14153983500</v>
      </c>
      <c r="AV1598" t="s">
        <v>10601</v>
      </c>
      <c r="AW1598" t="s">
        <v>9226</v>
      </c>
      <c r="AX1598" t="s">
        <v>131</v>
      </c>
      <c r="AY1598" t="s">
        <v>131</v>
      </c>
      <c r="AZ1598" t="s">
        <v>131</v>
      </c>
      <c r="BA1598" t="s">
        <v>131</v>
      </c>
      <c r="BB1598" t="s">
        <v>131</v>
      </c>
      <c r="BC1598" t="s">
        <v>131</v>
      </c>
      <c r="BD1598" t="s">
        <v>131</v>
      </c>
      <c r="BE1598" t="s">
        <v>132</v>
      </c>
      <c r="BH1598" t="s">
        <v>16471</v>
      </c>
      <c r="BI1598" t="s">
        <v>135</v>
      </c>
      <c r="BJ1598" t="s">
        <v>11975</v>
      </c>
      <c r="BK1598" t="s">
        <v>11976</v>
      </c>
      <c r="BL1598" t="s">
        <v>133</v>
      </c>
      <c r="BN1598" t="s">
        <v>14498</v>
      </c>
      <c r="BO1598" t="s">
        <v>131</v>
      </c>
      <c r="BP1598" t="s">
        <v>134</v>
      </c>
      <c r="BQ1598" t="s">
        <v>131</v>
      </c>
      <c r="BS1598" t="str">
        <f t="shared" si="96"/>
        <v>N/A</v>
      </c>
      <c r="BT1598" t="s">
        <v>135</v>
      </c>
      <c r="BU1598">
        <v>96</v>
      </c>
      <c r="BV1598" t="str">
        <f>"
Eight (8) of experience in the job offered or related occupation."</f>
        <v xml:space="preserve">
Eight (8) of experience in the job offered or related occupation.</v>
      </c>
      <c r="BW1598" t="s">
        <v>135</v>
      </c>
      <c r="BX1598" t="str">
        <f>"
Please see F.b.5.a (iv)."</f>
        <v xml:space="preserve">
Please see F.b.5.a (iv).</v>
      </c>
      <c r="BY1598" t="str">
        <f>""</f>
        <v/>
      </c>
      <c r="BZ1598" t="str">
        <f>""</f>
        <v/>
      </c>
      <c r="CA1598" t="s">
        <v>16472</v>
      </c>
      <c r="CB1598" t="s">
        <v>131</v>
      </c>
      <c r="CF1598" t="s">
        <v>131</v>
      </c>
      <c r="CH1598" t="str">
        <f>""</f>
        <v/>
      </c>
      <c r="CI1598" t="s">
        <v>131</v>
      </c>
      <c r="CK1598" t="s">
        <v>131</v>
      </c>
      <c r="CL1598" t="str">
        <f>""</f>
        <v/>
      </c>
      <c r="CM1598" t="str">
        <f>""</f>
        <v/>
      </c>
      <c r="CN1598" t="str">
        <f>""</f>
        <v/>
      </c>
      <c r="CO1598" t="str">
        <f>""</f>
        <v/>
      </c>
      <c r="CP1598" t="str">
        <f>"15-2041.00"</f>
        <v>15-2041.00</v>
      </c>
      <c r="CQ1598" t="s">
        <v>379</v>
      </c>
      <c r="CS1598" t="s">
        <v>135</v>
      </c>
      <c r="CT1598" t="s">
        <v>11978</v>
      </c>
      <c r="CU1598" t="s">
        <v>11979</v>
      </c>
      <c r="CW1598" t="s">
        <v>494</v>
      </c>
      <c r="CX1598" t="s">
        <v>129</v>
      </c>
      <c r="CZ1598" s="3" t="str">
        <f>"10016"</f>
        <v>10016</v>
      </c>
      <c r="DA1598" t="s">
        <v>131</v>
      </c>
      <c r="DB1598" t="str">
        <f>""</f>
        <v/>
      </c>
      <c r="DF1598" t="str">
        <f>""</f>
        <v/>
      </c>
    </row>
    <row r="1599" spans="1:110" ht="15" customHeight="1" x14ac:dyDescent="0.35">
      <c r="A1599" t="s">
        <v>14666</v>
      </c>
      <c r="B1599" t="s">
        <v>138</v>
      </c>
      <c r="C1599" s="1">
        <v>44336</v>
      </c>
      <c r="G1599" s="1">
        <v>44351</v>
      </c>
      <c r="H1599" t="s">
        <v>125</v>
      </c>
      <c r="I1599" t="s">
        <v>3377</v>
      </c>
      <c r="J1599" t="s">
        <v>140</v>
      </c>
      <c r="L1599" t="s">
        <v>3378</v>
      </c>
      <c r="M1599" t="s">
        <v>142</v>
      </c>
      <c r="O1599" t="s">
        <v>143</v>
      </c>
      <c r="P1599" t="s">
        <v>144</v>
      </c>
      <c r="Q1599" s="3">
        <v>98052</v>
      </c>
      <c r="R1599" t="s">
        <v>128</v>
      </c>
      <c r="T1599" s="4">
        <v>14255383872</v>
      </c>
      <c r="V1599" t="s">
        <v>145</v>
      </c>
      <c r="W1599" t="s">
        <v>1411</v>
      </c>
      <c r="Y1599" t="s">
        <v>142</v>
      </c>
      <c r="AA1599" t="s">
        <v>143</v>
      </c>
      <c r="AB1599" t="s">
        <v>149</v>
      </c>
      <c r="AC1599" s="3" t="str">
        <f>"98052"</f>
        <v>98052</v>
      </c>
      <c r="AD1599" t="s">
        <v>128</v>
      </c>
      <c r="AF1599" s="4">
        <v>14255383872</v>
      </c>
      <c r="AH1599" t="str">
        <f>"511210"</f>
        <v>511210</v>
      </c>
      <c r="AI1599" t="s">
        <v>130</v>
      </c>
      <c r="AJ1599" t="s">
        <v>2667</v>
      </c>
      <c r="AK1599" t="s">
        <v>3321</v>
      </c>
      <c r="AM1599" t="s">
        <v>1414</v>
      </c>
      <c r="AN1599" t="s">
        <v>698</v>
      </c>
      <c r="AO1599" t="s">
        <v>1415</v>
      </c>
      <c r="AP1599" t="s">
        <v>382</v>
      </c>
      <c r="AQ1599" s="5">
        <v>21117</v>
      </c>
      <c r="AR1599" t="s">
        <v>128</v>
      </c>
      <c r="AT1599" s="4">
        <v>14103565440</v>
      </c>
      <c r="AV1599" t="s">
        <v>3379</v>
      </c>
      <c r="AW1599" t="s">
        <v>1416</v>
      </c>
      <c r="AX1599" t="s">
        <v>131</v>
      </c>
      <c r="AY1599" t="s">
        <v>131</v>
      </c>
      <c r="AZ1599" t="s">
        <v>131</v>
      </c>
      <c r="BA1599" t="s">
        <v>131</v>
      </c>
      <c r="BB1599" t="s">
        <v>131</v>
      </c>
      <c r="BC1599" t="s">
        <v>131</v>
      </c>
      <c r="BD1599" t="s">
        <v>131</v>
      </c>
      <c r="BE1599" t="s">
        <v>132</v>
      </c>
      <c r="BH1599" t="s">
        <v>1814</v>
      </c>
      <c r="BI1599" t="s">
        <v>131</v>
      </c>
      <c r="BL1599" t="s">
        <v>133</v>
      </c>
      <c r="BN1599" t="s">
        <v>7231</v>
      </c>
      <c r="BO1599" t="s">
        <v>131</v>
      </c>
      <c r="BP1599" t="s">
        <v>134</v>
      </c>
      <c r="BQ1599" t="s">
        <v>131</v>
      </c>
      <c r="BS1599" t="str">
        <f t="shared" si="96"/>
        <v>N/A</v>
      </c>
      <c r="BT1599" t="s">
        <v>135</v>
      </c>
      <c r="BU1599">
        <v>60</v>
      </c>
      <c r="BV1599" t="str">
        <f>"Any computer-related occupation"</f>
        <v>Any computer-related occupation</v>
      </c>
      <c r="BW1599" t="s">
        <v>135</v>
      </c>
      <c r="BX1599" t="str">
        <f>""</f>
        <v/>
      </c>
      <c r="BY1599" t="str">
        <f>""</f>
        <v/>
      </c>
      <c r="BZ1599" t="str">
        <f>""</f>
        <v/>
      </c>
      <c r="CA1599" t="str">
        <f>"Education or experience in Big Data; Hadoop; Big data modeling and analysis; Data Warehousing; Scala; SQL and/or T-SQL; and SDLC. "</f>
        <v xml:space="preserve">Education or experience in Big Data; Hadoop; Big data modeling and analysis; Data Warehousing; Scala; SQL and/or T-SQL; and SDLC. </v>
      </c>
      <c r="CB1599" t="s">
        <v>131</v>
      </c>
      <c r="CF1599" t="s">
        <v>131</v>
      </c>
      <c r="CH1599" t="str">
        <f>""</f>
        <v/>
      </c>
      <c r="CI1599" t="s">
        <v>131</v>
      </c>
      <c r="CK1599" t="s">
        <v>131</v>
      </c>
      <c r="CL1599" t="str">
        <f>""</f>
        <v/>
      </c>
      <c r="CM1599" t="str">
        <f>""</f>
        <v/>
      </c>
      <c r="CN1599" t="str">
        <f>""</f>
        <v/>
      </c>
      <c r="CO1599" t="str">
        <f>""</f>
        <v/>
      </c>
      <c r="CP1599" t="str">
        <f>"15-1132.00"</f>
        <v>15-1132.00</v>
      </c>
      <c r="CQ1599" t="s">
        <v>198</v>
      </c>
      <c r="CR1599" t="s">
        <v>3380</v>
      </c>
      <c r="CS1599" t="s">
        <v>131</v>
      </c>
      <c r="CU1599" t="s">
        <v>142</v>
      </c>
      <c r="CW1599" t="s">
        <v>143</v>
      </c>
      <c r="CX1599" t="s">
        <v>149</v>
      </c>
      <c r="CZ1599" s="3" t="str">
        <f>"98052"</f>
        <v>98052</v>
      </c>
      <c r="DA1599" t="s">
        <v>131</v>
      </c>
      <c r="DB1599" t="str">
        <f>""</f>
        <v/>
      </c>
      <c r="DF1599" t="str">
        <f>""</f>
        <v/>
      </c>
    </row>
    <row r="1600" spans="1:110" ht="15" customHeight="1" x14ac:dyDescent="0.35">
      <c r="A1600" t="s">
        <v>19960</v>
      </c>
      <c r="B1600" t="s">
        <v>138</v>
      </c>
      <c r="C1600" s="1">
        <v>44336</v>
      </c>
      <c r="G1600" s="1">
        <v>44351</v>
      </c>
      <c r="H1600" t="s">
        <v>125</v>
      </c>
      <c r="I1600" t="s">
        <v>838</v>
      </c>
      <c r="J1600" t="s">
        <v>839</v>
      </c>
      <c r="K1600" t="s">
        <v>840</v>
      </c>
      <c r="L1600" t="s">
        <v>2565</v>
      </c>
      <c r="M1600" t="s">
        <v>841</v>
      </c>
      <c r="N1600" t="s">
        <v>842</v>
      </c>
      <c r="O1600" t="s">
        <v>843</v>
      </c>
      <c r="P1600" t="s">
        <v>273</v>
      </c>
      <c r="Q1600" s="3">
        <v>7080</v>
      </c>
      <c r="R1600" t="s">
        <v>128</v>
      </c>
      <c r="T1600" s="4">
        <v>17328327978</v>
      </c>
      <c r="V1600" t="s">
        <v>844</v>
      </c>
      <c r="W1600" t="s">
        <v>11334</v>
      </c>
      <c r="Y1600" t="s">
        <v>11335</v>
      </c>
      <c r="Z1600" t="s">
        <v>9668</v>
      </c>
      <c r="AA1600" t="s">
        <v>2205</v>
      </c>
      <c r="AB1600" t="s">
        <v>643</v>
      </c>
      <c r="AC1600" s="3" t="str">
        <f>"30022"</f>
        <v>30022</v>
      </c>
      <c r="AD1600" t="s">
        <v>128</v>
      </c>
      <c r="AF1600" s="4">
        <v>16787998929</v>
      </c>
      <c r="AH1600" t="str">
        <f>"541511"</f>
        <v>541511</v>
      </c>
      <c r="AI1600" t="s">
        <v>130</v>
      </c>
      <c r="AJ1600" t="s">
        <v>838</v>
      </c>
      <c r="AK1600" t="s">
        <v>839</v>
      </c>
      <c r="AL1600" t="s">
        <v>840</v>
      </c>
      <c r="AM1600" t="s">
        <v>841</v>
      </c>
      <c r="AN1600" t="s">
        <v>842</v>
      </c>
      <c r="AO1600" t="s">
        <v>843</v>
      </c>
      <c r="AP1600" t="s">
        <v>276</v>
      </c>
      <c r="AQ1600" s="5">
        <v>7080</v>
      </c>
      <c r="AR1600" t="s">
        <v>128</v>
      </c>
      <c r="AT1600" s="4">
        <v>17328327978</v>
      </c>
      <c r="AV1600" t="s">
        <v>844</v>
      </c>
      <c r="AW1600" t="s">
        <v>2779</v>
      </c>
      <c r="AX1600" t="s">
        <v>131</v>
      </c>
      <c r="AY1600" t="s">
        <v>131</v>
      </c>
      <c r="AZ1600" t="s">
        <v>131</v>
      </c>
      <c r="BA1600" t="s">
        <v>131</v>
      </c>
      <c r="BB1600" t="s">
        <v>131</v>
      </c>
      <c r="BC1600" t="s">
        <v>131</v>
      </c>
      <c r="BD1600" t="s">
        <v>131</v>
      </c>
      <c r="BE1600" t="s">
        <v>132</v>
      </c>
      <c r="BH1600" t="s">
        <v>11337</v>
      </c>
      <c r="BI1600" t="s">
        <v>131</v>
      </c>
      <c r="BL1600" t="s">
        <v>188</v>
      </c>
      <c r="BN1600" t="s">
        <v>847</v>
      </c>
      <c r="BO1600" t="s">
        <v>131</v>
      </c>
      <c r="BP1600" t="s">
        <v>134</v>
      </c>
      <c r="BQ1600" t="s">
        <v>131</v>
      </c>
      <c r="BS1600" t="str">
        <f t="shared" si="96"/>
        <v>N/A</v>
      </c>
      <c r="BT1600" t="s">
        <v>131</v>
      </c>
      <c r="BV1600" t="str">
        <f>""</f>
        <v/>
      </c>
      <c r="BW1600" t="s">
        <v>131</v>
      </c>
      <c r="BX1600" t="str">
        <f>""</f>
        <v/>
      </c>
      <c r="BY1600" t="str">
        <f>""</f>
        <v/>
      </c>
      <c r="BZ1600" t="str">
        <f>""</f>
        <v/>
      </c>
      <c r="CA1600" t="str">
        <f>""</f>
        <v/>
      </c>
      <c r="CB1600" t="s">
        <v>135</v>
      </c>
      <c r="CC1600" t="s">
        <v>133</v>
      </c>
      <c r="CE1600" t="s">
        <v>847</v>
      </c>
      <c r="CF1600" t="s">
        <v>131</v>
      </c>
      <c r="CH1600" t="str">
        <f>"N/A"</f>
        <v>N/A</v>
      </c>
      <c r="CI1600" t="s">
        <v>135</v>
      </c>
      <c r="CJ1600">
        <v>60</v>
      </c>
      <c r="CK1600" t="s">
        <v>135</v>
      </c>
      <c r="CL1600" t="str">
        <f>""</f>
        <v/>
      </c>
      <c r="CM1600" t="str">
        <f>""</f>
        <v/>
      </c>
      <c r="CN1600" t="str">
        <f>""</f>
        <v/>
      </c>
      <c r="CO1600" t="s">
        <v>16450</v>
      </c>
      <c r="CP1600" t="str">
        <f>"15-1199.07"</f>
        <v>15-1199.07</v>
      </c>
      <c r="CQ1600" t="s">
        <v>996</v>
      </c>
      <c r="CR1600" t="s">
        <v>849</v>
      </c>
      <c r="CS1600" t="s">
        <v>131</v>
      </c>
      <c r="CU1600" t="s">
        <v>11335</v>
      </c>
      <c r="CV1600" t="s">
        <v>11340</v>
      </c>
      <c r="CW1600" t="s">
        <v>2205</v>
      </c>
      <c r="CX1600" t="s">
        <v>643</v>
      </c>
      <c r="CZ1600" s="3" t="str">
        <f>"30022"</f>
        <v>30022</v>
      </c>
      <c r="DA1600" t="s">
        <v>131</v>
      </c>
      <c r="DB1600" t="str">
        <f>""</f>
        <v/>
      </c>
      <c r="DF1600" t="str">
        <f>""</f>
        <v/>
      </c>
    </row>
    <row r="1601" spans="1:110" ht="15" customHeight="1" x14ac:dyDescent="0.35">
      <c r="A1601" t="s">
        <v>8353</v>
      </c>
      <c r="B1601" t="s">
        <v>138</v>
      </c>
      <c r="C1601" s="1">
        <v>44336</v>
      </c>
      <c r="G1601" s="1">
        <v>44336</v>
      </c>
      <c r="H1601" t="s">
        <v>125</v>
      </c>
      <c r="I1601" t="s">
        <v>8354</v>
      </c>
      <c r="J1601" t="s">
        <v>7352</v>
      </c>
      <c r="L1601" t="s">
        <v>223</v>
      </c>
      <c r="M1601" t="s">
        <v>8355</v>
      </c>
      <c r="O1601" t="s">
        <v>4862</v>
      </c>
      <c r="P1601" t="s">
        <v>273</v>
      </c>
      <c r="Q1601" s="3" t="s">
        <v>8356</v>
      </c>
      <c r="R1601" t="s">
        <v>128</v>
      </c>
      <c r="T1601" s="4">
        <v>18487022063</v>
      </c>
      <c r="V1601" t="s">
        <v>8357</v>
      </c>
      <c r="W1601" t="s">
        <v>8358</v>
      </c>
      <c r="Y1601" t="s">
        <v>8355</v>
      </c>
      <c r="AA1601" t="s">
        <v>4862</v>
      </c>
      <c r="AB1601" t="s">
        <v>276</v>
      </c>
      <c r="AC1601" s="3" t="str">
        <f>"08540-8708"</f>
        <v>08540-8708</v>
      </c>
      <c r="AD1601" t="s">
        <v>128</v>
      </c>
      <c r="AF1601" s="4">
        <v>18487022063</v>
      </c>
      <c r="AH1601" t="str">
        <f>"541511"</f>
        <v>541511</v>
      </c>
      <c r="AI1601" t="s">
        <v>167</v>
      </c>
      <c r="AX1601" t="s">
        <v>131</v>
      </c>
      <c r="AY1601" t="s">
        <v>131</v>
      </c>
      <c r="AZ1601" t="s">
        <v>131</v>
      </c>
      <c r="BA1601" t="s">
        <v>131</v>
      </c>
      <c r="BB1601" t="s">
        <v>131</v>
      </c>
      <c r="BC1601" t="s">
        <v>131</v>
      </c>
      <c r="BD1601" t="s">
        <v>131</v>
      </c>
      <c r="BE1601" t="s">
        <v>132</v>
      </c>
      <c r="BH1601" t="s">
        <v>8359</v>
      </c>
      <c r="BI1601" t="s">
        <v>131</v>
      </c>
      <c r="BL1601" t="s">
        <v>133</v>
      </c>
      <c r="BN1601" t="s">
        <v>8360</v>
      </c>
      <c r="BO1601" t="s">
        <v>131</v>
      </c>
      <c r="BP1601" t="s">
        <v>134</v>
      </c>
      <c r="BQ1601" t="s">
        <v>131</v>
      </c>
      <c r="BS1601" t="str">
        <f t="shared" si="96"/>
        <v>N/A</v>
      </c>
      <c r="BT1601" t="s">
        <v>135</v>
      </c>
      <c r="BU1601">
        <v>36</v>
      </c>
      <c r="BV1601" t="str">
        <f>"INFORMATION TECHNOLOGY/FINANCE/DATA SYSTEMS"</f>
        <v>INFORMATION TECHNOLOGY/FINANCE/DATA SYSTEMS</v>
      </c>
      <c r="BW1601" t="s">
        <v>135</v>
      </c>
      <c r="BX1601" t="str">
        <f>""</f>
        <v/>
      </c>
      <c r="BY1601" t="str">
        <f>""</f>
        <v/>
      </c>
      <c r="BZ1601" t="str">
        <f>""</f>
        <v/>
      </c>
      <c r="CA1601" t="str">
        <f>"EXCELLENT KNOWLEDGE AND SKILLS IN Oracle 8i,9i,10g,11g RAC,12c RAC, and 19C RAC  MS SQL Server, RMAN, SRDF replication. SQL, PL/SQL, ASMM, ADDM, ASH, AWR
"</f>
        <v xml:space="preserve">EXCELLENT KNOWLEDGE AND SKILLS IN Oracle 8i,9i,10g,11g RAC,12c RAC, and 19C RAC  MS SQL Server, RMAN, SRDF replication. SQL, PL/SQL, ASMM, ADDM, ASH, AWR
</v>
      </c>
      <c r="CB1601" t="s">
        <v>131</v>
      </c>
      <c r="CF1601" t="s">
        <v>131</v>
      </c>
      <c r="CH1601" t="str">
        <f>""</f>
        <v/>
      </c>
      <c r="CI1601" t="s">
        <v>131</v>
      </c>
      <c r="CK1601" t="s">
        <v>131</v>
      </c>
      <c r="CL1601" t="str">
        <f>""</f>
        <v/>
      </c>
      <c r="CM1601" t="str">
        <f>""</f>
        <v/>
      </c>
      <c r="CN1601" t="str">
        <f>""</f>
        <v/>
      </c>
      <c r="CO1601" t="str">
        <f>""</f>
        <v/>
      </c>
      <c r="CP1601" t="str">
        <f>"15-1141.00"</f>
        <v>15-1141.00</v>
      </c>
      <c r="CQ1601" t="s">
        <v>1576</v>
      </c>
      <c r="CR1601" t="s">
        <v>583</v>
      </c>
      <c r="CS1601" t="s">
        <v>135</v>
      </c>
      <c r="CT1601" t="s">
        <v>8361</v>
      </c>
      <c r="CU1601" t="s">
        <v>8355</v>
      </c>
      <c r="CW1601" t="s">
        <v>4862</v>
      </c>
      <c r="CX1601" t="s">
        <v>276</v>
      </c>
      <c r="CZ1601" s="3" t="str">
        <f>"08540-8708"</f>
        <v>08540-8708</v>
      </c>
      <c r="DA1601" t="s">
        <v>131</v>
      </c>
      <c r="DB1601" t="str">
        <f>""</f>
        <v/>
      </c>
      <c r="DF1601" t="str">
        <f>""</f>
        <v/>
      </c>
    </row>
    <row r="1602" spans="1:110" ht="15" customHeight="1" x14ac:dyDescent="0.35">
      <c r="A1602" t="s">
        <v>17833</v>
      </c>
      <c r="B1602" t="s">
        <v>138</v>
      </c>
      <c r="C1602" s="1">
        <v>44336</v>
      </c>
      <c r="G1602" s="1">
        <v>44343</v>
      </c>
      <c r="H1602" t="s">
        <v>125</v>
      </c>
      <c r="I1602" t="s">
        <v>139</v>
      </c>
      <c r="J1602" t="s">
        <v>140</v>
      </c>
      <c r="L1602" t="s">
        <v>141</v>
      </c>
      <c r="M1602" t="s">
        <v>142</v>
      </c>
      <c r="O1602" t="s">
        <v>143</v>
      </c>
      <c r="P1602" t="s">
        <v>144</v>
      </c>
      <c r="Q1602" s="3">
        <v>98052</v>
      </c>
      <c r="R1602" t="s">
        <v>128</v>
      </c>
      <c r="T1602" s="4">
        <v>14255383872</v>
      </c>
      <c r="U1602">
        <v>8387</v>
      </c>
      <c r="V1602" t="s">
        <v>145</v>
      </c>
      <c r="W1602" t="s">
        <v>146</v>
      </c>
      <c r="X1602" t="s">
        <v>134</v>
      </c>
      <c r="Y1602" t="s">
        <v>147</v>
      </c>
      <c r="Z1602" t="s">
        <v>134</v>
      </c>
      <c r="AA1602" t="s">
        <v>148</v>
      </c>
      <c r="AB1602" t="s">
        <v>149</v>
      </c>
      <c r="AC1602" s="3" t="str">
        <f>"98052"</f>
        <v>98052</v>
      </c>
      <c r="AD1602" t="s">
        <v>128</v>
      </c>
      <c r="AE1602" t="s">
        <v>134</v>
      </c>
      <c r="AF1602" s="4">
        <v>14258828080</v>
      </c>
      <c r="AH1602" t="str">
        <f>"5112"</f>
        <v>5112</v>
      </c>
      <c r="AI1602" t="s">
        <v>130</v>
      </c>
      <c r="AJ1602" t="s">
        <v>150</v>
      </c>
      <c r="AK1602" t="s">
        <v>151</v>
      </c>
      <c r="AM1602" t="s">
        <v>5354</v>
      </c>
      <c r="AN1602" t="s">
        <v>590</v>
      </c>
      <c r="AO1602" t="s">
        <v>241</v>
      </c>
      <c r="AQ1602" s="5" t="s">
        <v>155</v>
      </c>
      <c r="AR1602" t="s">
        <v>156</v>
      </c>
      <c r="AS1602" t="s">
        <v>243</v>
      </c>
      <c r="AT1602" s="4">
        <v>16048918371</v>
      </c>
      <c r="AV1602" t="s">
        <v>158</v>
      </c>
      <c r="AW1602" t="s">
        <v>159</v>
      </c>
      <c r="AX1602" t="s">
        <v>131</v>
      </c>
      <c r="AY1602" t="s">
        <v>131</v>
      </c>
      <c r="AZ1602" t="s">
        <v>131</v>
      </c>
      <c r="BA1602" t="s">
        <v>131</v>
      </c>
      <c r="BB1602" t="s">
        <v>131</v>
      </c>
      <c r="BC1602" t="s">
        <v>131</v>
      </c>
      <c r="BD1602" t="s">
        <v>131</v>
      </c>
      <c r="BE1602" t="s">
        <v>160</v>
      </c>
      <c r="BF1602" t="s">
        <v>1612</v>
      </c>
      <c r="BG1602" s="1">
        <v>44270</v>
      </c>
      <c r="BH1602" t="s">
        <v>11272</v>
      </c>
      <c r="BI1602" t="s">
        <v>131</v>
      </c>
      <c r="BL1602" t="s">
        <v>188</v>
      </c>
      <c r="BN1602" t="s">
        <v>11273</v>
      </c>
      <c r="BO1602" t="s">
        <v>131</v>
      </c>
      <c r="BP1602" t="s">
        <v>134</v>
      </c>
      <c r="BQ1602" t="s">
        <v>131</v>
      </c>
      <c r="BS1602" t="str">
        <f t="shared" si="96"/>
        <v>N/A</v>
      </c>
      <c r="BT1602" t="s">
        <v>135</v>
      </c>
      <c r="BU1602">
        <v>60</v>
      </c>
      <c r="BV1602" t="str">
        <f>"Any related occupation"</f>
        <v>Any related occupation</v>
      </c>
      <c r="BW1602" t="s">
        <v>135</v>
      </c>
      <c r="BX1602" t="str">
        <f>""</f>
        <v/>
      </c>
      <c r="BY1602" t="str">
        <f>""</f>
        <v/>
      </c>
      <c r="BZ1602" t="str">
        <f>""</f>
        <v/>
      </c>
      <c r="CA1602" s="2" t="s">
        <v>17834</v>
      </c>
      <c r="CB1602" t="s">
        <v>131</v>
      </c>
      <c r="CF1602" t="s">
        <v>131</v>
      </c>
      <c r="CH1602" t="str">
        <f>""</f>
        <v/>
      </c>
      <c r="CI1602" t="s">
        <v>131</v>
      </c>
      <c r="CK1602" t="s">
        <v>131</v>
      </c>
      <c r="CL1602" t="str">
        <f>""</f>
        <v/>
      </c>
      <c r="CM1602" t="str">
        <f>""</f>
        <v/>
      </c>
      <c r="CN1602" t="str">
        <f>""</f>
        <v/>
      </c>
      <c r="CO1602" t="str">
        <f>""</f>
        <v/>
      </c>
      <c r="CP1602" t="str">
        <f>"13-1161.00"</f>
        <v>13-1161.00</v>
      </c>
      <c r="CQ1602" t="s">
        <v>252</v>
      </c>
      <c r="CR1602" t="s">
        <v>11274</v>
      </c>
      <c r="CS1602" t="s">
        <v>131</v>
      </c>
      <c r="CU1602" t="s">
        <v>142</v>
      </c>
      <c r="CW1602" t="s">
        <v>143</v>
      </c>
      <c r="CX1602" t="s">
        <v>149</v>
      </c>
      <c r="CZ1602" s="3" t="str">
        <f>"98052"</f>
        <v>98052</v>
      </c>
      <c r="DA1602" t="s">
        <v>131</v>
      </c>
      <c r="DB1602" t="str">
        <f>""</f>
        <v/>
      </c>
      <c r="DF1602" t="str">
        <f>""</f>
        <v/>
      </c>
    </row>
    <row r="1603" spans="1:110" ht="15" customHeight="1" x14ac:dyDescent="0.35">
      <c r="A1603" t="s">
        <v>14378</v>
      </c>
      <c r="B1603" t="s">
        <v>138</v>
      </c>
      <c r="C1603" s="1">
        <v>44336</v>
      </c>
      <c r="G1603" s="1">
        <v>44340</v>
      </c>
      <c r="H1603" t="s">
        <v>125</v>
      </c>
      <c r="I1603" t="s">
        <v>7024</v>
      </c>
      <c r="J1603" t="s">
        <v>7025</v>
      </c>
      <c r="L1603" t="s">
        <v>14379</v>
      </c>
      <c r="M1603" t="s">
        <v>14380</v>
      </c>
      <c r="N1603" t="s">
        <v>14381</v>
      </c>
      <c r="O1603" t="s">
        <v>7026</v>
      </c>
      <c r="P1603" t="s">
        <v>127</v>
      </c>
      <c r="Q1603" s="3">
        <v>11354</v>
      </c>
      <c r="R1603" t="s">
        <v>128</v>
      </c>
      <c r="T1603" s="4">
        <v>19179924770</v>
      </c>
      <c r="V1603" t="s">
        <v>7027</v>
      </c>
      <c r="W1603" t="s">
        <v>14382</v>
      </c>
      <c r="Y1603" t="s">
        <v>14383</v>
      </c>
      <c r="AA1603" t="s">
        <v>14384</v>
      </c>
      <c r="AB1603" t="s">
        <v>129</v>
      </c>
      <c r="AC1603" s="3" t="str">
        <f>"11732"</f>
        <v>11732</v>
      </c>
      <c r="AD1603" t="s">
        <v>128</v>
      </c>
      <c r="AF1603" s="4">
        <v>15166266631</v>
      </c>
      <c r="AH1603" t="str">
        <f>"8141"</f>
        <v>8141</v>
      </c>
      <c r="AI1603" t="s">
        <v>130</v>
      </c>
      <c r="AJ1603" t="s">
        <v>7024</v>
      </c>
      <c r="AK1603" t="s">
        <v>7025</v>
      </c>
      <c r="AM1603" t="s">
        <v>14380</v>
      </c>
      <c r="AN1603" t="s">
        <v>14385</v>
      </c>
      <c r="AO1603" t="s">
        <v>7026</v>
      </c>
      <c r="AP1603" t="s">
        <v>129</v>
      </c>
      <c r="AQ1603" s="5">
        <v>11354</v>
      </c>
      <c r="AR1603" t="s">
        <v>128</v>
      </c>
      <c r="AT1603" s="4">
        <v>19179924770</v>
      </c>
      <c r="AV1603" t="s">
        <v>14386</v>
      </c>
      <c r="AW1603" t="s">
        <v>14387</v>
      </c>
      <c r="AX1603" t="s">
        <v>131</v>
      </c>
      <c r="AY1603" t="s">
        <v>131</v>
      </c>
      <c r="AZ1603" t="s">
        <v>131</v>
      </c>
      <c r="BA1603" t="s">
        <v>131</v>
      </c>
      <c r="BB1603" t="s">
        <v>131</v>
      </c>
      <c r="BC1603" t="s">
        <v>131</v>
      </c>
      <c r="BD1603" t="s">
        <v>131</v>
      </c>
      <c r="BE1603" t="s">
        <v>132</v>
      </c>
      <c r="BH1603" t="s">
        <v>7028</v>
      </c>
      <c r="BI1603" t="s">
        <v>131</v>
      </c>
      <c r="BL1603" t="s">
        <v>401</v>
      </c>
      <c r="BO1603" t="s">
        <v>131</v>
      </c>
      <c r="BP1603" t="s">
        <v>134</v>
      </c>
      <c r="BQ1603" t="s">
        <v>131</v>
      </c>
      <c r="BS1603" t="str">
        <f t="shared" si="96"/>
        <v>N/A</v>
      </c>
      <c r="BT1603" t="s">
        <v>135</v>
      </c>
      <c r="BU1603">
        <v>6</v>
      </c>
      <c r="BV1603" t="str">
        <f>"live-in housekeeper "</f>
        <v xml:space="preserve">live-in housekeeper </v>
      </c>
      <c r="BW1603" t="s">
        <v>131</v>
      </c>
      <c r="BX1603" t="str">
        <f>""</f>
        <v/>
      </c>
      <c r="BY1603" t="str">
        <f>""</f>
        <v/>
      </c>
      <c r="BZ1603" t="str">
        <f>""</f>
        <v/>
      </c>
      <c r="CA1603" t="str">
        <f>""</f>
        <v/>
      </c>
      <c r="CB1603" t="s">
        <v>131</v>
      </c>
      <c r="CF1603" t="s">
        <v>131</v>
      </c>
      <c r="CH1603" t="str">
        <f>""</f>
        <v/>
      </c>
      <c r="CI1603" t="s">
        <v>131</v>
      </c>
      <c r="CK1603" t="s">
        <v>131</v>
      </c>
      <c r="CL1603" t="str">
        <f>""</f>
        <v/>
      </c>
      <c r="CM1603" t="str">
        <f>""</f>
        <v/>
      </c>
      <c r="CN1603" t="str">
        <f>""</f>
        <v/>
      </c>
      <c r="CO1603" t="str">
        <f>""</f>
        <v/>
      </c>
      <c r="CP1603" t="str">
        <f>"37-2012.00"</f>
        <v>37-2012.00</v>
      </c>
      <c r="CQ1603" t="s">
        <v>479</v>
      </c>
      <c r="CR1603" t="s">
        <v>14388</v>
      </c>
      <c r="CS1603" t="s">
        <v>131</v>
      </c>
      <c r="CU1603" t="s">
        <v>14383</v>
      </c>
      <c r="CW1603" t="s">
        <v>14389</v>
      </c>
      <c r="CX1603" t="s">
        <v>129</v>
      </c>
      <c r="CZ1603" s="3" t="str">
        <f>"11732"</f>
        <v>11732</v>
      </c>
      <c r="DA1603" t="s">
        <v>131</v>
      </c>
      <c r="DB1603" t="str">
        <f>""</f>
        <v/>
      </c>
      <c r="DF1603" t="str">
        <f>""</f>
        <v/>
      </c>
    </row>
    <row r="1604" spans="1:110" ht="15" customHeight="1" x14ac:dyDescent="0.35">
      <c r="A1604" t="s">
        <v>10832</v>
      </c>
      <c r="B1604" t="s">
        <v>138</v>
      </c>
      <c r="C1604" s="1">
        <v>44336</v>
      </c>
      <c r="G1604" s="1">
        <v>44351</v>
      </c>
      <c r="H1604" t="s">
        <v>125</v>
      </c>
      <c r="I1604" t="s">
        <v>838</v>
      </c>
      <c r="J1604" t="s">
        <v>839</v>
      </c>
      <c r="K1604" t="s">
        <v>840</v>
      </c>
      <c r="L1604" t="s">
        <v>2565</v>
      </c>
      <c r="M1604" t="s">
        <v>841</v>
      </c>
      <c r="N1604" t="s">
        <v>842</v>
      </c>
      <c r="O1604" t="s">
        <v>843</v>
      </c>
      <c r="P1604" t="s">
        <v>273</v>
      </c>
      <c r="Q1604" s="3">
        <v>7080</v>
      </c>
      <c r="R1604" t="s">
        <v>128</v>
      </c>
      <c r="T1604" s="4">
        <v>17328327978</v>
      </c>
      <c r="V1604" t="s">
        <v>844</v>
      </c>
      <c r="W1604" t="s">
        <v>2776</v>
      </c>
      <c r="Y1604" t="s">
        <v>2777</v>
      </c>
      <c r="Z1604" t="s">
        <v>2778</v>
      </c>
      <c r="AA1604" t="s">
        <v>843</v>
      </c>
      <c r="AB1604" t="s">
        <v>276</v>
      </c>
      <c r="AC1604" s="3" t="str">
        <f>"07080"</f>
        <v>07080</v>
      </c>
      <c r="AD1604" t="s">
        <v>128</v>
      </c>
      <c r="AF1604" s="4">
        <v>19087524669</v>
      </c>
      <c r="AH1604" t="str">
        <f>"541519"</f>
        <v>541519</v>
      </c>
      <c r="AI1604" t="s">
        <v>130</v>
      </c>
      <c r="AJ1604" t="s">
        <v>838</v>
      </c>
      <c r="AK1604" t="s">
        <v>839</v>
      </c>
      <c r="AL1604" t="s">
        <v>840</v>
      </c>
      <c r="AM1604" t="s">
        <v>841</v>
      </c>
      <c r="AN1604" t="s">
        <v>842</v>
      </c>
      <c r="AO1604" t="s">
        <v>843</v>
      </c>
      <c r="AP1604" t="s">
        <v>276</v>
      </c>
      <c r="AQ1604" s="5">
        <v>7080</v>
      </c>
      <c r="AR1604" t="s">
        <v>128</v>
      </c>
      <c r="AT1604" s="4">
        <v>17328327978</v>
      </c>
      <c r="AV1604" t="s">
        <v>844</v>
      </c>
      <c r="AW1604" t="s">
        <v>2779</v>
      </c>
      <c r="AX1604" t="s">
        <v>131</v>
      </c>
      <c r="AY1604" t="s">
        <v>131</v>
      </c>
      <c r="AZ1604" t="s">
        <v>131</v>
      </c>
      <c r="BA1604" t="s">
        <v>131</v>
      </c>
      <c r="BB1604" t="s">
        <v>131</v>
      </c>
      <c r="BC1604" t="s">
        <v>131</v>
      </c>
      <c r="BD1604" t="s">
        <v>131</v>
      </c>
      <c r="BE1604" t="s">
        <v>132</v>
      </c>
      <c r="BH1604" t="s">
        <v>1634</v>
      </c>
      <c r="BI1604" t="s">
        <v>131</v>
      </c>
      <c r="BL1604" t="s">
        <v>188</v>
      </c>
      <c r="BN1604" t="s">
        <v>847</v>
      </c>
      <c r="BO1604" t="s">
        <v>131</v>
      </c>
      <c r="BP1604" t="s">
        <v>134</v>
      </c>
      <c r="BQ1604" t="s">
        <v>131</v>
      </c>
      <c r="BS1604" t="str">
        <f t="shared" si="96"/>
        <v>N/A</v>
      </c>
      <c r="BT1604" t="s">
        <v>135</v>
      </c>
      <c r="BU1604">
        <v>6</v>
      </c>
      <c r="BV1604" t="str">
        <f>"JOB OFFERED OR RELATED OCCUPATION."</f>
        <v>JOB OFFERED OR RELATED OCCUPATION.</v>
      </c>
      <c r="BW1604" t="s">
        <v>135</v>
      </c>
      <c r="BX1604" t="str">
        <f>""</f>
        <v/>
      </c>
      <c r="BY1604" t="str">
        <f>""</f>
        <v/>
      </c>
      <c r="BZ1604" t="str">
        <f>""</f>
        <v/>
      </c>
      <c r="CA1604" t="s">
        <v>10833</v>
      </c>
      <c r="CB1604" t="s">
        <v>135</v>
      </c>
      <c r="CC1604" t="s">
        <v>133</v>
      </c>
      <c r="CE1604" t="s">
        <v>847</v>
      </c>
      <c r="CF1604" t="s">
        <v>131</v>
      </c>
      <c r="CH1604" t="str">
        <f>"N/A"</f>
        <v>N/A</v>
      </c>
      <c r="CI1604" t="s">
        <v>135</v>
      </c>
      <c r="CJ1604">
        <v>60</v>
      </c>
      <c r="CK1604" t="s">
        <v>131</v>
      </c>
      <c r="CL1604" t="str">
        <f>""</f>
        <v/>
      </c>
      <c r="CM1604" t="str">
        <f>""</f>
        <v/>
      </c>
      <c r="CN1604" t="str">
        <f>""</f>
        <v/>
      </c>
      <c r="CO1604" t="str">
        <f>""</f>
        <v/>
      </c>
      <c r="CP1604" t="str">
        <f>"15-1131.00"</f>
        <v>15-1131.00</v>
      </c>
      <c r="CQ1604" t="s">
        <v>2782</v>
      </c>
      <c r="CR1604" t="s">
        <v>849</v>
      </c>
      <c r="CS1604" t="s">
        <v>131</v>
      </c>
      <c r="CU1604" t="s">
        <v>2777</v>
      </c>
      <c r="CV1604" t="s">
        <v>2783</v>
      </c>
      <c r="CW1604" t="s">
        <v>843</v>
      </c>
      <c r="CX1604" t="s">
        <v>276</v>
      </c>
      <c r="CZ1604" s="3" t="str">
        <f>"07080"</f>
        <v>07080</v>
      </c>
      <c r="DA1604" t="s">
        <v>131</v>
      </c>
      <c r="DB1604" t="str">
        <f>""</f>
        <v/>
      </c>
      <c r="DF1604" t="str">
        <f>""</f>
        <v/>
      </c>
    </row>
    <row r="1605" spans="1:110" ht="15" customHeight="1" x14ac:dyDescent="0.35">
      <c r="A1605" t="s">
        <v>18526</v>
      </c>
      <c r="B1605" t="s">
        <v>138</v>
      </c>
      <c r="C1605" s="1">
        <v>44336</v>
      </c>
      <c r="G1605" s="1">
        <v>44336</v>
      </c>
      <c r="H1605" t="s">
        <v>125</v>
      </c>
      <c r="I1605" t="s">
        <v>12380</v>
      </c>
      <c r="J1605" t="s">
        <v>12381</v>
      </c>
      <c r="L1605" t="s">
        <v>8658</v>
      </c>
      <c r="M1605" t="s">
        <v>4594</v>
      </c>
      <c r="N1605" t="s">
        <v>6673</v>
      </c>
      <c r="O1605" t="s">
        <v>2035</v>
      </c>
      <c r="P1605" t="s">
        <v>588</v>
      </c>
      <c r="Q1605" s="3">
        <v>20171</v>
      </c>
      <c r="R1605" t="s">
        <v>128</v>
      </c>
      <c r="T1605" s="4">
        <v>15713987296</v>
      </c>
      <c r="V1605" t="s">
        <v>12382</v>
      </c>
      <c r="W1605" t="s">
        <v>14457</v>
      </c>
      <c r="Y1605" t="s">
        <v>4593</v>
      </c>
      <c r="Z1605" t="s">
        <v>6673</v>
      </c>
      <c r="AA1605" t="s">
        <v>2035</v>
      </c>
      <c r="AB1605" t="s">
        <v>306</v>
      </c>
      <c r="AC1605" s="3" t="str">
        <f>"20171"</f>
        <v>20171</v>
      </c>
      <c r="AD1605" t="s">
        <v>128</v>
      </c>
      <c r="AF1605" s="4">
        <v>15713987296</v>
      </c>
      <c r="AH1605" t="str">
        <f>"561320"</f>
        <v>561320</v>
      </c>
      <c r="AI1605" t="s">
        <v>130</v>
      </c>
      <c r="AJ1605" t="s">
        <v>4595</v>
      </c>
      <c r="AK1605" t="s">
        <v>1668</v>
      </c>
      <c r="AM1605" t="s">
        <v>4596</v>
      </c>
      <c r="AN1605" t="s">
        <v>1817</v>
      </c>
      <c r="AO1605" t="s">
        <v>742</v>
      </c>
      <c r="AP1605" t="s">
        <v>306</v>
      </c>
      <c r="AQ1605" s="5">
        <v>23226</v>
      </c>
      <c r="AR1605" t="s">
        <v>128</v>
      </c>
      <c r="AT1605" s="4">
        <v>18043963412</v>
      </c>
      <c r="AV1605" t="s">
        <v>12384</v>
      </c>
      <c r="AW1605" t="s">
        <v>4598</v>
      </c>
      <c r="AX1605" t="s">
        <v>131</v>
      </c>
      <c r="AY1605" t="s">
        <v>131</v>
      </c>
      <c r="AZ1605" t="s">
        <v>131</v>
      </c>
      <c r="BA1605" t="s">
        <v>131</v>
      </c>
      <c r="BB1605" t="s">
        <v>131</v>
      </c>
      <c r="BC1605" t="s">
        <v>131</v>
      </c>
      <c r="BD1605" t="s">
        <v>131</v>
      </c>
      <c r="BE1605" t="s">
        <v>132</v>
      </c>
      <c r="BH1605" t="s">
        <v>5839</v>
      </c>
      <c r="BI1605" t="s">
        <v>131</v>
      </c>
      <c r="BL1605" t="s">
        <v>188</v>
      </c>
      <c r="BN1605" t="s">
        <v>18527</v>
      </c>
      <c r="BO1605" t="s">
        <v>131</v>
      </c>
      <c r="BP1605" t="s">
        <v>134</v>
      </c>
      <c r="BQ1605" t="s">
        <v>131</v>
      </c>
      <c r="BS1605" t="str">
        <f t="shared" si="96"/>
        <v>N/A</v>
      </c>
      <c r="BT1605" t="s">
        <v>135</v>
      </c>
      <c r="BU1605">
        <v>24</v>
      </c>
      <c r="BV1605" t="str">
        <f>"ETL Developer/Programmer Analyst/Software Developer/related "</f>
        <v xml:space="preserve">ETL Developer/Programmer Analyst/Software Developer/related </v>
      </c>
      <c r="BW1605" t="s">
        <v>131</v>
      </c>
      <c r="BX1605" t="str">
        <f>""</f>
        <v/>
      </c>
      <c r="BY1605" t="str">
        <f>""</f>
        <v/>
      </c>
      <c r="BZ1605" t="str">
        <f>""</f>
        <v/>
      </c>
      <c r="CA1605" t="str">
        <f>""</f>
        <v/>
      </c>
      <c r="CB1605" t="s">
        <v>135</v>
      </c>
      <c r="CC1605" t="s">
        <v>133</v>
      </c>
      <c r="CE1605" t="s">
        <v>18527</v>
      </c>
      <c r="CF1605" t="s">
        <v>131</v>
      </c>
      <c r="CH1605" t="str">
        <f>"N/A"</f>
        <v>N/A</v>
      </c>
      <c r="CI1605" t="s">
        <v>135</v>
      </c>
      <c r="CJ1605">
        <v>60</v>
      </c>
      <c r="CK1605" t="s">
        <v>131</v>
      </c>
      <c r="CL1605" t="str">
        <f>""</f>
        <v/>
      </c>
      <c r="CM1605" t="str">
        <f>""</f>
        <v/>
      </c>
      <c r="CN1605" t="str">
        <f>""</f>
        <v/>
      </c>
      <c r="CO1605" t="str">
        <f>""</f>
        <v/>
      </c>
      <c r="CP1605" t="str">
        <f>"15-1132.00"</f>
        <v>15-1132.00</v>
      </c>
      <c r="CQ1605" t="s">
        <v>198</v>
      </c>
      <c r="CR1605" t="s">
        <v>5839</v>
      </c>
      <c r="CS1605" t="s">
        <v>131</v>
      </c>
      <c r="CU1605" t="s">
        <v>4593</v>
      </c>
      <c r="CV1605" t="s">
        <v>6673</v>
      </c>
      <c r="CW1605" t="s">
        <v>2035</v>
      </c>
      <c r="CX1605" t="s">
        <v>306</v>
      </c>
      <c r="CZ1605" s="3" t="str">
        <f>"20171"</f>
        <v>20171</v>
      </c>
      <c r="DA1605" t="s">
        <v>135</v>
      </c>
      <c r="DB1605" t="str">
        <f>""</f>
        <v/>
      </c>
      <c r="DF1605" t="str">
        <f>""</f>
        <v/>
      </c>
    </row>
    <row r="1606" spans="1:110" ht="15" customHeight="1" x14ac:dyDescent="0.35">
      <c r="A1606" t="s">
        <v>18755</v>
      </c>
      <c r="B1606" t="s">
        <v>138</v>
      </c>
      <c r="C1606" s="1">
        <v>44336</v>
      </c>
      <c r="G1606" s="1">
        <v>44341</v>
      </c>
      <c r="H1606" t="s">
        <v>125</v>
      </c>
      <c r="I1606" t="s">
        <v>6800</v>
      </c>
      <c r="J1606" t="s">
        <v>5494</v>
      </c>
      <c r="L1606" t="s">
        <v>223</v>
      </c>
      <c r="M1606" t="s">
        <v>6801</v>
      </c>
      <c r="N1606" t="s">
        <v>6802</v>
      </c>
      <c r="O1606" t="s">
        <v>1815</v>
      </c>
      <c r="P1606" t="s">
        <v>412</v>
      </c>
      <c r="Q1606" s="3">
        <v>75024</v>
      </c>
      <c r="R1606" t="s">
        <v>128</v>
      </c>
      <c r="T1606" s="4">
        <v>19728531511</v>
      </c>
      <c r="V1606" t="s">
        <v>6803</v>
      </c>
      <c r="W1606" t="s">
        <v>6804</v>
      </c>
      <c r="Y1606" t="s">
        <v>6801</v>
      </c>
      <c r="Z1606" t="s">
        <v>6802</v>
      </c>
      <c r="AA1606" t="s">
        <v>1815</v>
      </c>
      <c r="AB1606" t="s">
        <v>400</v>
      </c>
      <c r="AC1606" s="3" t="str">
        <f>"75024"</f>
        <v>75024</v>
      </c>
      <c r="AD1606" t="s">
        <v>128</v>
      </c>
      <c r="AF1606" s="4">
        <v>19728531511</v>
      </c>
      <c r="AH1606" t="str">
        <f>"541512"</f>
        <v>541512</v>
      </c>
      <c r="AI1606" t="s">
        <v>130</v>
      </c>
      <c r="AJ1606" t="s">
        <v>3588</v>
      </c>
      <c r="AK1606" t="s">
        <v>250</v>
      </c>
      <c r="AL1606" t="s">
        <v>3589</v>
      </c>
      <c r="AM1606" t="s">
        <v>3590</v>
      </c>
      <c r="AN1606" t="s">
        <v>3591</v>
      </c>
      <c r="AO1606" t="s">
        <v>399</v>
      </c>
      <c r="AP1606" t="s">
        <v>400</v>
      </c>
      <c r="AQ1606" s="5">
        <v>75287</v>
      </c>
      <c r="AR1606" t="s">
        <v>128</v>
      </c>
      <c r="AT1606" s="4">
        <v>19722414698</v>
      </c>
      <c r="AV1606" t="s">
        <v>3592</v>
      </c>
      <c r="AW1606" t="s">
        <v>3593</v>
      </c>
      <c r="AX1606" t="s">
        <v>131</v>
      </c>
      <c r="AY1606" t="s">
        <v>131</v>
      </c>
      <c r="AZ1606" t="s">
        <v>131</v>
      </c>
      <c r="BA1606" t="s">
        <v>131</v>
      </c>
      <c r="BB1606" t="s">
        <v>131</v>
      </c>
      <c r="BC1606" t="s">
        <v>131</v>
      </c>
      <c r="BD1606" t="s">
        <v>131</v>
      </c>
      <c r="BE1606" t="s">
        <v>132</v>
      </c>
      <c r="BH1606" t="s">
        <v>14887</v>
      </c>
      <c r="BI1606" t="s">
        <v>131</v>
      </c>
      <c r="BL1606" t="s">
        <v>188</v>
      </c>
      <c r="BN1606" t="s">
        <v>14888</v>
      </c>
      <c r="BO1606" t="s">
        <v>131</v>
      </c>
      <c r="BP1606" t="s">
        <v>134</v>
      </c>
      <c r="BQ1606" t="s">
        <v>131</v>
      </c>
      <c r="BS1606" t="str">
        <f t="shared" si="96"/>
        <v>N/A</v>
      </c>
      <c r="BT1606" t="s">
        <v>135</v>
      </c>
      <c r="BU1606">
        <v>12</v>
      </c>
      <c r="BV1606" t="str">
        <f>"N/A"</f>
        <v>N/A</v>
      </c>
      <c r="BW1606" t="s">
        <v>135</v>
      </c>
      <c r="BX1606" t="str">
        <f>""</f>
        <v/>
      </c>
      <c r="BY1606" t="str">
        <f>""</f>
        <v/>
      </c>
      <c r="BZ1606" t="str">
        <f>""</f>
        <v/>
      </c>
      <c r="CA1606" t="str">
        <f>"Experience in SAP ECC, SAP, SAP MM."</f>
        <v>Experience in SAP ECC, SAP, SAP MM.</v>
      </c>
      <c r="CB1606" t="s">
        <v>131</v>
      </c>
      <c r="CF1606" t="s">
        <v>131</v>
      </c>
      <c r="CH1606" t="str">
        <f>""</f>
        <v/>
      </c>
      <c r="CI1606" t="s">
        <v>131</v>
      </c>
      <c r="CK1606" t="s">
        <v>131</v>
      </c>
      <c r="CL1606" t="str">
        <f>""</f>
        <v/>
      </c>
      <c r="CM1606" t="str">
        <f>""</f>
        <v/>
      </c>
      <c r="CN1606" t="str">
        <f>""</f>
        <v/>
      </c>
      <c r="CO1606" t="str">
        <f>""</f>
        <v/>
      </c>
      <c r="CP1606" t="str">
        <f>"15-1132.00"</f>
        <v>15-1132.00</v>
      </c>
      <c r="CQ1606" t="s">
        <v>198</v>
      </c>
      <c r="CS1606" t="s">
        <v>135</v>
      </c>
      <c r="CT1606" t="s">
        <v>3595</v>
      </c>
      <c r="CU1606" t="s">
        <v>6805</v>
      </c>
      <c r="CV1606" t="s">
        <v>3595</v>
      </c>
      <c r="CW1606" t="s">
        <v>1447</v>
      </c>
      <c r="CX1606" t="s">
        <v>400</v>
      </c>
      <c r="CZ1606" s="3" t="str">
        <f>"75024"</f>
        <v>75024</v>
      </c>
      <c r="DA1606" t="s">
        <v>131</v>
      </c>
      <c r="DB1606" t="str">
        <f>""</f>
        <v/>
      </c>
      <c r="DF1606" t="str">
        <f>""</f>
        <v/>
      </c>
    </row>
    <row r="1607" spans="1:110" ht="15" customHeight="1" x14ac:dyDescent="0.35">
      <c r="A1607" t="s">
        <v>19731</v>
      </c>
      <c r="B1607" t="s">
        <v>138</v>
      </c>
      <c r="C1607" s="1">
        <v>44336</v>
      </c>
      <c r="G1607" s="1">
        <v>44344</v>
      </c>
      <c r="H1607" t="s">
        <v>125</v>
      </c>
      <c r="I1607" t="s">
        <v>7825</v>
      </c>
      <c r="J1607" t="s">
        <v>913</v>
      </c>
      <c r="K1607" t="s">
        <v>355</v>
      </c>
      <c r="L1607" t="s">
        <v>19732</v>
      </c>
      <c r="M1607" t="s">
        <v>19733</v>
      </c>
      <c r="O1607" t="s">
        <v>3781</v>
      </c>
      <c r="P1607" t="s">
        <v>818</v>
      </c>
      <c r="Q1607" s="3">
        <v>30260</v>
      </c>
      <c r="R1607" t="s">
        <v>128</v>
      </c>
      <c r="T1607" s="4">
        <v>16783643806</v>
      </c>
      <c r="V1607" t="s">
        <v>19734</v>
      </c>
      <c r="W1607" t="s">
        <v>19735</v>
      </c>
      <c r="Y1607" t="s">
        <v>19736</v>
      </c>
      <c r="Z1607" t="s">
        <v>19737</v>
      </c>
      <c r="AA1607" t="s">
        <v>642</v>
      </c>
      <c r="AB1607" t="s">
        <v>643</v>
      </c>
      <c r="AC1607" s="3" t="str">
        <f>"30334"</f>
        <v>30334</v>
      </c>
      <c r="AD1607" t="s">
        <v>128</v>
      </c>
      <c r="AF1607" s="4">
        <v>16783643806</v>
      </c>
      <c r="AH1607" t="str">
        <f>"923110"</f>
        <v>923110</v>
      </c>
      <c r="AI1607" t="s">
        <v>130</v>
      </c>
      <c r="AJ1607" t="s">
        <v>7860</v>
      </c>
      <c r="AK1607" t="s">
        <v>14991</v>
      </c>
      <c r="AL1607" t="s">
        <v>332</v>
      </c>
      <c r="AM1607" t="s">
        <v>19738</v>
      </c>
      <c r="AN1607" t="s">
        <v>2560</v>
      </c>
      <c r="AO1607" t="s">
        <v>1216</v>
      </c>
      <c r="AP1607" t="s">
        <v>643</v>
      </c>
      <c r="AQ1607" s="5">
        <v>30030</v>
      </c>
      <c r="AR1607" t="s">
        <v>128</v>
      </c>
      <c r="AT1607" s="4">
        <v>14043711835</v>
      </c>
      <c r="AU1607">
        <v>4</v>
      </c>
      <c r="AV1607" t="s">
        <v>19739</v>
      </c>
      <c r="AW1607" t="s">
        <v>19740</v>
      </c>
      <c r="AX1607" t="s">
        <v>135</v>
      </c>
      <c r="AY1607" t="s">
        <v>131</v>
      </c>
      <c r="AZ1607" t="s">
        <v>135</v>
      </c>
      <c r="BA1607" t="s">
        <v>131</v>
      </c>
      <c r="BB1607" t="s">
        <v>134</v>
      </c>
      <c r="BC1607" t="s">
        <v>131</v>
      </c>
      <c r="BD1607" t="s">
        <v>131</v>
      </c>
      <c r="BE1607" t="s">
        <v>132</v>
      </c>
      <c r="BH1607" t="s">
        <v>19741</v>
      </c>
      <c r="BI1607" t="s">
        <v>135</v>
      </c>
      <c r="BJ1607" t="s">
        <v>19742</v>
      </c>
      <c r="BK1607" t="s">
        <v>19743</v>
      </c>
      <c r="BL1607" t="s">
        <v>188</v>
      </c>
      <c r="BN1607" t="s">
        <v>19744</v>
      </c>
      <c r="BO1607" t="s">
        <v>131</v>
      </c>
      <c r="BP1607" t="s">
        <v>134</v>
      </c>
      <c r="BQ1607" t="s">
        <v>131</v>
      </c>
      <c r="BS1607" t="str">
        <f t="shared" si="96"/>
        <v>N/A</v>
      </c>
      <c r="BT1607" t="s">
        <v>135</v>
      </c>
      <c r="BU1607">
        <v>60</v>
      </c>
      <c r="BV1607" t="str">
        <f>"Any occupation in which the required experience can be gained in the complex treatment of book and paper-based collections  "</f>
        <v xml:space="preserve">Any occupation in which the required experience can be gained in the complex treatment of book and paper-based collections  </v>
      </c>
      <c r="BW1607" t="s">
        <v>135</v>
      </c>
      <c r="BX1607" t="str">
        <f>""</f>
        <v/>
      </c>
      <c r="BY1607" t="str">
        <f>""</f>
        <v/>
      </c>
      <c r="BZ1607" t="str">
        <f>""</f>
        <v/>
      </c>
      <c r="CA1607" t="s">
        <v>19745</v>
      </c>
      <c r="CB1607" t="s">
        <v>131</v>
      </c>
      <c r="CF1607" t="s">
        <v>131</v>
      </c>
      <c r="CH1607" t="str">
        <f>""</f>
        <v/>
      </c>
      <c r="CI1607" t="s">
        <v>131</v>
      </c>
      <c r="CK1607" t="s">
        <v>131</v>
      </c>
      <c r="CL1607" t="str">
        <f>""</f>
        <v/>
      </c>
      <c r="CM1607" t="str">
        <f>""</f>
        <v/>
      </c>
      <c r="CN1607" t="str">
        <f>""</f>
        <v/>
      </c>
      <c r="CO1607" t="str">
        <f>""</f>
        <v/>
      </c>
      <c r="CP1607" t="str">
        <f>"25-4013.00"</f>
        <v>25-4013.00</v>
      </c>
      <c r="CQ1607" t="s">
        <v>19746</v>
      </c>
      <c r="CR1607" t="s">
        <v>19747</v>
      </c>
      <c r="CS1607" t="s">
        <v>131</v>
      </c>
      <c r="CU1607" t="s">
        <v>19733</v>
      </c>
      <c r="CW1607" t="s">
        <v>3781</v>
      </c>
      <c r="CX1607" t="s">
        <v>643</v>
      </c>
      <c r="CZ1607" s="3" t="str">
        <f>"30260"</f>
        <v>30260</v>
      </c>
      <c r="DA1607" t="s">
        <v>131</v>
      </c>
      <c r="DB1607" t="str">
        <f>""</f>
        <v/>
      </c>
      <c r="DF1607" t="str">
        <f>""</f>
        <v/>
      </c>
    </row>
    <row r="1608" spans="1:110" ht="15" customHeight="1" x14ac:dyDescent="0.35">
      <c r="A1608" t="s">
        <v>15409</v>
      </c>
      <c r="B1608" t="s">
        <v>138</v>
      </c>
      <c r="C1608" s="1">
        <v>44336</v>
      </c>
      <c r="G1608" s="1">
        <v>44337</v>
      </c>
      <c r="H1608" t="s">
        <v>125</v>
      </c>
      <c r="I1608" t="s">
        <v>15410</v>
      </c>
      <c r="J1608" t="s">
        <v>2427</v>
      </c>
      <c r="L1608" t="s">
        <v>587</v>
      </c>
      <c r="M1608" t="s">
        <v>15411</v>
      </c>
      <c r="O1608" t="s">
        <v>612</v>
      </c>
      <c r="P1608" t="s">
        <v>588</v>
      </c>
      <c r="Q1608" s="3">
        <v>20191</v>
      </c>
      <c r="R1608" t="s">
        <v>128</v>
      </c>
      <c r="T1608" s="4">
        <v>17038842580</v>
      </c>
      <c r="V1608" t="s">
        <v>15412</v>
      </c>
      <c r="W1608" t="s">
        <v>15413</v>
      </c>
      <c r="Y1608" t="s">
        <v>15411</v>
      </c>
      <c r="AA1608" t="s">
        <v>612</v>
      </c>
      <c r="AB1608" t="s">
        <v>306</v>
      </c>
      <c r="AC1608" s="3" t="str">
        <f>"20191"</f>
        <v>20191</v>
      </c>
      <c r="AD1608" t="s">
        <v>128</v>
      </c>
      <c r="AF1608" s="4">
        <v>17038842580</v>
      </c>
      <c r="AH1608" t="str">
        <f>"541511"</f>
        <v>541511</v>
      </c>
      <c r="AI1608" t="s">
        <v>130</v>
      </c>
      <c r="AJ1608" t="s">
        <v>6605</v>
      </c>
      <c r="AK1608" t="s">
        <v>5952</v>
      </c>
      <c r="AM1608" t="s">
        <v>9727</v>
      </c>
      <c r="AN1608" t="s">
        <v>15414</v>
      </c>
      <c r="AO1608" t="s">
        <v>14593</v>
      </c>
      <c r="AP1608" t="s">
        <v>172</v>
      </c>
      <c r="AQ1608" s="5">
        <v>91301</v>
      </c>
      <c r="AR1608" t="s">
        <v>128</v>
      </c>
      <c r="AT1608" s="4">
        <v>18189146482</v>
      </c>
      <c r="AV1608" t="s">
        <v>6607</v>
      </c>
      <c r="AW1608" t="s">
        <v>6608</v>
      </c>
      <c r="AX1608" t="s">
        <v>131</v>
      </c>
      <c r="AY1608" t="s">
        <v>131</v>
      </c>
      <c r="AZ1608" t="s">
        <v>131</v>
      </c>
      <c r="BA1608" t="s">
        <v>131</v>
      </c>
      <c r="BB1608" t="s">
        <v>131</v>
      </c>
      <c r="BC1608" t="s">
        <v>131</v>
      </c>
      <c r="BD1608" t="s">
        <v>131</v>
      </c>
      <c r="BE1608" t="s">
        <v>132</v>
      </c>
      <c r="BH1608" t="s">
        <v>5410</v>
      </c>
      <c r="BI1608" t="s">
        <v>131</v>
      </c>
      <c r="BL1608" t="s">
        <v>188</v>
      </c>
      <c r="BN1608" t="s">
        <v>4589</v>
      </c>
      <c r="BO1608" t="s">
        <v>131</v>
      </c>
      <c r="BP1608" t="s">
        <v>134</v>
      </c>
      <c r="BQ1608" t="s">
        <v>131</v>
      </c>
      <c r="BS1608" t="str">
        <f t="shared" si="96"/>
        <v>N/A</v>
      </c>
      <c r="BT1608" t="s">
        <v>135</v>
      </c>
      <c r="BU1608">
        <v>6</v>
      </c>
      <c r="BV1608" t="str">
        <f>"SEE F.A.2"</f>
        <v>SEE F.A.2</v>
      </c>
      <c r="BW1608" t="s">
        <v>131</v>
      </c>
      <c r="BX1608" t="str">
        <f>""</f>
        <v/>
      </c>
      <c r="BY1608" t="str">
        <f>""</f>
        <v/>
      </c>
      <c r="BZ1608" t="str">
        <f>""</f>
        <v/>
      </c>
      <c r="CA1608" t="str">
        <f>""</f>
        <v/>
      </c>
      <c r="CB1608" t="s">
        <v>131</v>
      </c>
      <c r="CF1608" t="s">
        <v>131</v>
      </c>
      <c r="CH1608" t="str">
        <f>""</f>
        <v/>
      </c>
      <c r="CI1608" t="s">
        <v>131</v>
      </c>
      <c r="CK1608" t="s">
        <v>131</v>
      </c>
      <c r="CL1608" t="str">
        <f>""</f>
        <v/>
      </c>
      <c r="CM1608" t="str">
        <f>""</f>
        <v/>
      </c>
      <c r="CN1608" t="str">
        <f>""</f>
        <v/>
      </c>
      <c r="CO1608" t="str">
        <f>""</f>
        <v/>
      </c>
      <c r="CP1608" t="str">
        <f>"15-1132.00"</f>
        <v>15-1132.00</v>
      </c>
      <c r="CQ1608" t="s">
        <v>198</v>
      </c>
      <c r="CR1608" t="s">
        <v>15415</v>
      </c>
      <c r="CS1608" t="s">
        <v>131</v>
      </c>
      <c r="CU1608" t="s">
        <v>15416</v>
      </c>
      <c r="CW1608" t="s">
        <v>15417</v>
      </c>
      <c r="CX1608" t="s">
        <v>306</v>
      </c>
      <c r="CZ1608" s="3" t="str">
        <f>"20191"</f>
        <v>20191</v>
      </c>
      <c r="DA1608" t="s">
        <v>131</v>
      </c>
      <c r="DB1608" t="str">
        <f>""</f>
        <v/>
      </c>
      <c r="DF1608" t="str">
        <f>""</f>
        <v/>
      </c>
    </row>
    <row r="1609" spans="1:110" ht="15" customHeight="1" x14ac:dyDescent="0.35">
      <c r="A1609" t="s">
        <v>18287</v>
      </c>
      <c r="B1609" t="s">
        <v>138</v>
      </c>
      <c r="C1609" s="1">
        <v>44336</v>
      </c>
      <c r="G1609" s="1">
        <v>44340</v>
      </c>
      <c r="H1609" t="s">
        <v>125</v>
      </c>
      <c r="I1609" t="s">
        <v>18288</v>
      </c>
      <c r="J1609" t="s">
        <v>18289</v>
      </c>
      <c r="L1609" t="s">
        <v>2223</v>
      </c>
      <c r="M1609" t="s">
        <v>18290</v>
      </c>
      <c r="O1609" t="s">
        <v>11822</v>
      </c>
      <c r="P1609" t="s">
        <v>412</v>
      </c>
      <c r="Q1609" s="3">
        <v>75033</v>
      </c>
      <c r="R1609" t="s">
        <v>128</v>
      </c>
      <c r="T1609" s="4">
        <v>19728483729</v>
      </c>
      <c r="V1609" t="s">
        <v>18291</v>
      </c>
      <c r="W1609" t="s">
        <v>18292</v>
      </c>
      <c r="Y1609" t="s">
        <v>18290</v>
      </c>
      <c r="AA1609" t="s">
        <v>11822</v>
      </c>
      <c r="AB1609" t="s">
        <v>400</v>
      </c>
      <c r="AC1609" s="3" t="str">
        <f>"75033"</f>
        <v>75033</v>
      </c>
      <c r="AD1609" t="s">
        <v>128</v>
      </c>
      <c r="AF1609" s="4">
        <v>19728483729</v>
      </c>
      <c r="AH1609" t="str">
        <f>"541511"</f>
        <v>541511</v>
      </c>
      <c r="AI1609" t="s">
        <v>130</v>
      </c>
      <c r="AJ1609" t="s">
        <v>3954</v>
      </c>
      <c r="AK1609" t="s">
        <v>3955</v>
      </c>
      <c r="AL1609" t="s">
        <v>254</v>
      </c>
      <c r="AM1609" t="s">
        <v>3956</v>
      </c>
      <c r="AO1609" t="s">
        <v>2832</v>
      </c>
      <c r="AP1609" t="s">
        <v>400</v>
      </c>
      <c r="AQ1609" s="5">
        <v>77242</v>
      </c>
      <c r="AR1609" t="s">
        <v>128</v>
      </c>
      <c r="AT1609" s="4">
        <v>17134575703</v>
      </c>
      <c r="AV1609" t="s">
        <v>3957</v>
      </c>
      <c r="AW1609" t="s">
        <v>3958</v>
      </c>
      <c r="AX1609" t="s">
        <v>131</v>
      </c>
      <c r="AY1609" t="s">
        <v>131</v>
      </c>
      <c r="AZ1609" t="s">
        <v>131</v>
      </c>
      <c r="BA1609" t="s">
        <v>131</v>
      </c>
      <c r="BB1609" t="s">
        <v>131</v>
      </c>
      <c r="BC1609" t="s">
        <v>131</v>
      </c>
      <c r="BD1609" t="s">
        <v>131</v>
      </c>
      <c r="BE1609" t="s">
        <v>132</v>
      </c>
      <c r="BH1609" t="s">
        <v>18293</v>
      </c>
      <c r="BI1609" t="s">
        <v>131</v>
      </c>
      <c r="BL1609" t="s">
        <v>188</v>
      </c>
      <c r="BN1609" t="s">
        <v>18294</v>
      </c>
      <c r="BO1609" t="s">
        <v>131</v>
      </c>
      <c r="BP1609" t="s">
        <v>134</v>
      </c>
      <c r="BQ1609" t="s">
        <v>131</v>
      </c>
      <c r="BS1609" t="str">
        <f t="shared" ref="BS1609:BS1672" si="100">"N/A"</f>
        <v>N/A</v>
      </c>
      <c r="BT1609" t="s">
        <v>135</v>
      </c>
      <c r="BU1609">
        <v>12</v>
      </c>
      <c r="BV1609" t="str">
        <f>"In the job offered, or in any position involving data visualization."</f>
        <v>In the job offered, or in any position involving data visualization.</v>
      </c>
      <c r="BW1609" t="s">
        <v>135</v>
      </c>
      <c r="BX1609" t="str">
        <f>""</f>
        <v/>
      </c>
      <c r="BY1609" t="str">
        <f>""</f>
        <v/>
      </c>
      <c r="BZ1609" t="str">
        <f>""</f>
        <v/>
      </c>
      <c r="CA1609" t="str">
        <f>"1 year must include experience with data visualization and interpretation using one of the following: Tableau, Spotfire, or R-Shiny."</f>
        <v>1 year must include experience with data visualization and interpretation using one of the following: Tableau, Spotfire, or R-Shiny.</v>
      </c>
      <c r="CB1609" t="s">
        <v>131</v>
      </c>
      <c r="CF1609" t="s">
        <v>131</v>
      </c>
      <c r="CH1609" t="str">
        <f>""</f>
        <v/>
      </c>
      <c r="CI1609" t="s">
        <v>131</v>
      </c>
      <c r="CK1609" t="s">
        <v>131</v>
      </c>
      <c r="CL1609" t="str">
        <f>""</f>
        <v/>
      </c>
      <c r="CM1609" t="str">
        <f>""</f>
        <v/>
      </c>
      <c r="CN1609" t="str">
        <f>""</f>
        <v/>
      </c>
      <c r="CO1609" t="str">
        <f>""</f>
        <v/>
      </c>
      <c r="CP1609" t="str">
        <f>"15-1132.00"</f>
        <v>15-1132.00</v>
      </c>
      <c r="CQ1609" t="s">
        <v>198</v>
      </c>
      <c r="CS1609" t="s">
        <v>135</v>
      </c>
      <c r="CT1609" t="s">
        <v>3959</v>
      </c>
      <c r="CU1609" t="s">
        <v>18290</v>
      </c>
      <c r="CV1609" t="s">
        <v>3959</v>
      </c>
      <c r="CW1609" t="s">
        <v>11822</v>
      </c>
      <c r="CX1609" t="s">
        <v>400</v>
      </c>
      <c r="CZ1609" s="3" t="str">
        <f>"75033"</f>
        <v>75033</v>
      </c>
      <c r="DA1609" t="s">
        <v>135</v>
      </c>
      <c r="DB1609" t="str">
        <f>""</f>
        <v/>
      </c>
      <c r="DF1609" t="str">
        <f>""</f>
        <v/>
      </c>
    </row>
    <row r="1610" spans="1:110" ht="15" customHeight="1" x14ac:dyDescent="0.35">
      <c r="A1610" t="s">
        <v>20031</v>
      </c>
      <c r="B1610" t="s">
        <v>138</v>
      </c>
      <c r="C1610" s="1">
        <v>44336</v>
      </c>
      <c r="G1610" s="1">
        <v>44370</v>
      </c>
      <c r="H1610" t="s">
        <v>125</v>
      </c>
      <c r="I1610" t="s">
        <v>20032</v>
      </c>
      <c r="J1610" t="s">
        <v>6701</v>
      </c>
      <c r="L1610" t="s">
        <v>1031</v>
      </c>
      <c r="M1610" t="s">
        <v>13059</v>
      </c>
      <c r="O1610" t="s">
        <v>2832</v>
      </c>
      <c r="P1610" t="s">
        <v>412</v>
      </c>
      <c r="Q1610" s="3">
        <v>77024</v>
      </c>
      <c r="R1610" t="s">
        <v>128</v>
      </c>
      <c r="T1610" s="4">
        <v>12812294359</v>
      </c>
      <c r="V1610" t="s">
        <v>13060</v>
      </c>
      <c r="W1610" t="s">
        <v>20033</v>
      </c>
      <c r="Y1610" t="s">
        <v>13059</v>
      </c>
      <c r="AA1610" t="s">
        <v>2832</v>
      </c>
      <c r="AB1610" t="s">
        <v>400</v>
      </c>
      <c r="AC1610" s="3" t="str">
        <f>"77024"</f>
        <v>77024</v>
      </c>
      <c r="AD1610" t="s">
        <v>128</v>
      </c>
      <c r="AF1610" s="4">
        <v>12812294359</v>
      </c>
      <c r="AH1610" t="str">
        <f>"8141"</f>
        <v>8141</v>
      </c>
      <c r="AI1610" t="s">
        <v>130</v>
      </c>
      <c r="AJ1610" t="s">
        <v>14935</v>
      </c>
      <c r="AK1610" t="s">
        <v>2019</v>
      </c>
      <c r="AL1610" t="s">
        <v>13223</v>
      </c>
      <c r="AM1610" t="s">
        <v>13220</v>
      </c>
      <c r="AO1610" t="s">
        <v>13061</v>
      </c>
      <c r="AP1610" t="s">
        <v>172</v>
      </c>
      <c r="AQ1610" s="5">
        <v>92705</v>
      </c>
      <c r="AR1610" t="s">
        <v>128</v>
      </c>
      <c r="AT1610" s="4">
        <v>17149722530</v>
      </c>
      <c r="AV1610" t="s">
        <v>13062</v>
      </c>
      <c r="AW1610" t="s">
        <v>20034</v>
      </c>
      <c r="AX1610" t="s">
        <v>131</v>
      </c>
      <c r="AY1610" t="s">
        <v>131</v>
      </c>
      <c r="AZ1610" t="s">
        <v>131</v>
      </c>
      <c r="BA1610" t="s">
        <v>131</v>
      </c>
      <c r="BB1610" t="s">
        <v>131</v>
      </c>
      <c r="BC1610" t="s">
        <v>131</v>
      </c>
      <c r="BD1610" t="s">
        <v>131</v>
      </c>
      <c r="BE1610" t="s">
        <v>498</v>
      </c>
      <c r="BH1610" t="s">
        <v>4277</v>
      </c>
      <c r="BI1610" t="s">
        <v>131</v>
      </c>
      <c r="BL1610" t="s">
        <v>167</v>
      </c>
      <c r="BO1610" t="s">
        <v>131</v>
      </c>
      <c r="BP1610" t="s">
        <v>134</v>
      </c>
      <c r="BQ1610" t="s">
        <v>131</v>
      </c>
      <c r="BS1610" t="str">
        <f t="shared" si="100"/>
        <v>N/A</v>
      </c>
      <c r="BT1610" t="s">
        <v>131</v>
      </c>
      <c r="BV1610" t="str">
        <f>""</f>
        <v/>
      </c>
      <c r="BW1610" t="s">
        <v>131</v>
      </c>
      <c r="BX1610" t="str">
        <f>""</f>
        <v/>
      </c>
      <c r="BY1610" t="str">
        <f>""</f>
        <v/>
      </c>
      <c r="BZ1610" t="str">
        <f>""</f>
        <v/>
      </c>
      <c r="CA1610" t="str">
        <f>""</f>
        <v/>
      </c>
      <c r="CB1610" t="s">
        <v>131</v>
      </c>
      <c r="CF1610" t="s">
        <v>131</v>
      </c>
      <c r="CH1610" t="str">
        <f>""</f>
        <v/>
      </c>
      <c r="CI1610" t="s">
        <v>131</v>
      </c>
      <c r="CK1610" t="s">
        <v>131</v>
      </c>
      <c r="CL1610" t="str">
        <f>""</f>
        <v/>
      </c>
      <c r="CM1610" t="str">
        <f>""</f>
        <v/>
      </c>
      <c r="CN1610" t="str">
        <f>""</f>
        <v/>
      </c>
      <c r="CO1610" t="str">
        <f>""</f>
        <v/>
      </c>
      <c r="CP1610" t="str">
        <f>"37-2012.00"</f>
        <v>37-2012.00</v>
      </c>
      <c r="CQ1610" t="s">
        <v>479</v>
      </c>
      <c r="CR1610" t="s">
        <v>1031</v>
      </c>
      <c r="CS1610" t="s">
        <v>131</v>
      </c>
      <c r="CU1610" t="s">
        <v>13059</v>
      </c>
      <c r="CW1610" t="s">
        <v>2832</v>
      </c>
      <c r="CX1610" t="s">
        <v>400</v>
      </c>
      <c r="CZ1610" s="3" t="str">
        <f>"77024"</f>
        <v>77024</v>
      </c>
      <c r="DA1610" t="s">
        <v>131</v>
      </c>
      <c r="DB1610" t="str">
        <f>""</f>
        <v/>
      </c>
      <c r="DF1610" t="str">
        <f>""</f>
        <v/>
      </c>
    </row>
    <row r="1611" spans="1:110" ht="15" customHeight="1" x14ac:dyDescent="0.35">
      <c r="A1611" t="s">
        <v>18666</v>
      </c>
      <c r="B1611" t="s">
        <v>138</v>
      </c>
      <c r="C1611" s="1">
        <v>44336</v>
      </c>
      <c r="G1611" s="1">
        <v>44337</v>
      </c>
      <c r="H1611" t="s">
        <v>125</v>
      </c>
      <c r="I1611" t="s">
        <v>12493</v>
      </c>
      <c r="J1611" t="s">
        <v>12494</v>
      </c>
      <c r="L1611" t="s">
        <v>832</v>
      </c>
      <c r="M1611" t="s">
        <v>18115</v>
      </c>
      <c r="O1611" t="s">
        <v>797</v>
      </c>
      <c r="P1611" t="s">
        <v>588</v>
      </c>
      <c r="Q1611" s="3">
        <v>20191</v>
      </c>
      <c r="R1611" t="s">
        <v>128</v>
      </c>
      <c r="T1611" s="4">
        <v>17038842580</v>
      </c>
      <c r="V1611" t="s">
        <v>15412</v>
      </c>
      <c r="W1611" t="s">
        <v>18116</v>
      </c>
      <c r="Y1611" t="s">
        <v>18115</v>
      </c>
      <c r="AA1611" t="s">
        <v>797</v>
      </c>
      <c r="AB1611" t="s">
        <v>306</v>
      </c>
      <c r="AC1611" s="3" t="str">
        <f>"20191"</f>
        <v>20191</v>
      </c>
      <c r="AD1611" t="s">
        <v>128</v>
      </c>
      <c r="AF1611" s="4">
        <v>17038842580</v>
      </c>
      <c r="AH1611" t="str">
        <f>"541511"</f>
        <v>541511</v>
      </c>
      <c r="AI1611" t="s">
        <v>130</v>
      </c>
      <c r="AJ1611" t="s">
        <v>6605</v>
      </c>
      <c r="AK1611" t="s">
        <v>5952</v>
      </c>
      <c r="AM1611" t="s">
        <v>18667</v>
      </c>
      <c r="AN1611" t="s">
        <v>18117</v>
      </c>
      <c r="AO1611" t="s">
        <v>14593</v>
      </c>
      <c r="AP1611" t="s">
        <v>172</v>
      </c>
      <c r="AQ1611" s="5">
        <v>91301</v>
      </c>
      <c r="AR1611" t="s">
        <v>128</v>
      </c>
      <c r="AT1611" s="4">
        <v>18189146482</v>
      </c>
      <c r="AV1611" t="s">
        <v>6607</v>
      </c>
      <c r="AW1611" t="s">
        <v>6608</v>
      </c>
      <c r="AX1611" t="s">
        <v>131</v>
      </c>
      <c r="AY1611" t="s">
        <v>131</v>
      </c>
      <c r="AZ1611" t="s">
        <v>131</v>
      </c>
      <c r="BA1611" t="s">
        <v>131</v>
      </c>
      <c r="BB1611" t="s">
        <v>131</v>
      </c>
      <c r="BC1611" t="s">
        <v>131</v>
      </c>
      <c r="BD1611" t="s">
        <v>131</v>
      </c>
      <c r="BE1611" t="s">
        <v>132</v>
      </c>
      <c r="BH1611" t="s">
        <v>5410</v>
      </c>
      <c r="BI1611" t="s">
        <v>131</v>
      </c>
      <c r="BL1611" t="s">
        <v>188</v>
      </c>
      <c r="BN1611" t="s">
        <v>4589</v>
      </c>
      <c r="BO1611" t="s">
        <v>131</v>
      </c>
      <c r="BP1611" t="s">
        <v>134</v>
      </c>
      <c r="BQ1611" t="s">
        <v>131</v>
      </c>
      <c r="BS1611" t="str">
        <f t="shared" si="100"/>
        <v>N/A</v>
      </c>
      <c r="BT1611" t="s">
        <v>135</v>
      </c>
      <c r="BU1611">
        <v>6</v>
      </c>
      <c r="BV1611" t="str">
        <f>"SEE F.A.2"</f>
        <v>SEE F.A.2</v>
      </c>
      <c r="BW1611" t="s">
        <v>135</v>
      </c>
      <c r="BX1611" t="str">
        <f>""</f>
        <v/>
      </c>
      <c r="BY1611" t="str">
        <f>""</f>
        <v/>
      </c>
      <c r="BZ1611" t="str">
        <f>""</f>
        <v/>
      </c>
      <c r="CA1611" s="2" t="s">
        <v>18118</v>
      </c>
      <c r="CB1611" t="s">
        <v>131</v>
      </c>
      <c r="CF1611" t="s">
        <v>131</v>
      </c>
      <c r="CH1611" t="str">
        <f>""</f>
        <v/>
      </c>
      <c r="CI1611" t="s">
        <v>131</v>
      </c>
      <c r="CK1611" t="s">
        <v>131</v>
      </c>
      <c r="CL1611" t="str">
        <f>""</f>
        <v/>
      </c>
      <c r="CM1611" t="str">
        <f>""</f>
        <v/>
      </c>
      <c r="CN1611" t="str">
        <f>""</f>
        <v/>
      </c>
      <c r="CO1611" t="str">
        <f>""</f>
        <v/>
      </c>
      <c r="CP1611" t="str">
        <f>"15-1132.00"</f>
        <v>15-1132.00</v>
      </c>
      <c r="CQ1611" t="s">
        <v>198</v>
      </c>
      <c r="CR1611" t="s">
        <v>15415</v>
      </c>
      <c r="CS1611" t="s">
        <v>131</v>
      </c>
      <c r="CU1611" t="s">
        <v>18115</v>
      </c>
      <c r="CW1611" t="s">
        <v>797</v>
      </c>
      <c r="CX1611" t="s">
        <v>306</v>
      </c>
      <c r="CZ1611" s="3" t="str">
        <f>"20191"</f>
        <v>20191</v>
      </c>
      <c r="DA1611" t="s">
        <v>131</v>
      </c>
      <c r="DB1611" t="str">
        <f>""</f>
        <v/>
      </c>
      <c r="DF1611" t="str">
        <f>""</f>
        <v/>
      </c>
    </row>
    <row r="1612" spans="1:110" ht="15" customHeight="1" x14ac:dyDescent="0.35">
      <c r="A1612" t="s">
        <v>17323</v>
      </c>
      <c r="B1612" t="s">
        <v>138</v>
      </c>
      <c r="C1612" s="1">
        <v>44336</v>
      </c>
      <c r="G1612" s="1">
        <v>44336</v>
      </c>
      <c r="H1612" t="s">
        <v>125</v>
      </c>
      <c r="I1612" t="s">
        <v>6252</v>
      </c>
      <c r="J1612" t="s">
        <v>6253</v>
      </c>
      <c r="K1612" t="s">
        <v>1036</v>
      </c>
      <c r="L1612" t="s">
        <v>3782</v>
      </c>
      <c r="M1612" t="s">
        <v>6254</v>
      </c>
      <c r="N1612" t="s">
        <v>6255</v>
      </c>
      <c r="O1612" t="s">
        <v>2482</v>
      </c>
      <c r="P1612" t="s">
        <v>194</v>
      </c>
      <c r="Q1612" s="3">
        <v>32807</v>
      </c>
      <c r="R1612" t="s">
        <v>128</v>
      </c>
      <c r="T1612" s="4">
        <v>14072061973</v>
      </c>
      <c r="V1612" t="s">
        <v>6256</v>
      </c>
      <c r="W1612" t="s">
        <v>14861</v>
      </c>
      <c r="Y1612" t="s">
        <v>14860</v>
      </c>
      <c r="Z1612" t="s">
        <v>3645</v>
      </c>
      <c r="AA1612" t="s">
        <v>2482</v>
      </c>
      <c r="AB1612" t="s">
        <v>195</v>
      </c>
      <c r="AC1612" s="3" t="str">
        <f>"32817"</f>
        <v>32817</v>
      </c>
      <c r="AD1612" t="s">
        <v>128</v>
      </c>
      <c r="AF1612" s="4">
        <v>14075456599</v>
      </c>
      <c r="AH1612" t="str">
        <f>"541519"</f>
        <v>541519</v>
      </c>
      <c r="AI1612" t="s">
        <v>130</v>
      </c>
      <c r="AJ1612" t="s">
        <v>6252</v>
      </c>
      <c r="AK1612" t="s">
        <v>6253</v>
      </c>
      <c r="AL1612" t="s">
        <v>1036</v>
      </c>
      <c r="AM1612" t="s">
        <v>6254</v>
      </c>
      <c r="AN1612" t="s">
        <v>5131</v>
      </c>
      <c r="AO1612" t="s">
        <v>2482</v>
      </c>
      <c r="AP1612" t="s">
        <v>195</v>
      </c>
      <c r="AQ1612" s="5">
        <v>32807</v>
      </c>
      <c r="AR1612" t="s">
        <v>128</v>
      </c>
      <c r="AT1612" s="4">
        <v>14072061973</v>
      </c>
      <c r="AV1612" t="s">
        <v>6256</v>
      </c>
      <c r="AW1612" t="s">
        <v>6257</v>
      </c>
      <c r="AX1612" t="s">
        <v>131</v>
      </c>
      <c r="AY1612" t="s">
        <v>131</v>
      </c>
      <c r="AZ1612" t="s">
        <v>131</v>
      </c>
      <c r="BA1612" t="s">
        <v>131</v>
      </c>
      <c r="BB1612" t="s">
        <v>131</v>
      </c>
      <c r="BC1612" t="s">
        <v>131</v>
      </c>
      <c r="BD1612" t="s">
        <v>131</v>
      </c>
      <c r="BE1612" t="s">
        <v>132</v>
      </c>
      <c r="BH1612" t="s">
        <v>8256</v>
      </c>
      <c r="BI1612" t="s">
        <v>131</v>
      </c>
      <c r="BL1612" t="s">
        <v>133</v>
      </c>
      <c r="BN1612" t="s">
        <v>5445</v>
      </c>
      <c r="BO1612" t="s">
        <v>131</v>
      </c>
      <c r="BP1612" t="s">
        <v>134</v>
      </c>
      <c r="BQ1612" t="s">
        <v>131</v>
      </c>
      <c r="BS1612" t="str">
        <f t="shared" si="100"/>
        <v>N/A</v>
      </c>
      <c r="BT1612" t="s">
        <v>135</v>
      </c>
      <c r="BU1612">
        <v>6</v>
      </c>
      <c r="BV1612" t="str">
        <f>"Computer Programmer"</f>
        <v>Computer Programmer</v>
      </c>
      <c r="BW1612" t="s">
        <v>135</v>
      </c>
      <c r="BX1612" t="str">
        <f>""</f>
        <v/>
      </c>
      <c r="BY1612" t="str">
        <f>""</f>
        <v/>
      </c>
      <c r="BZ1612" t="str">
        <f>""</f>
        <v/>
      </c>
      <c r="CA1612" t="str">
        <f>"Experience must be with law enforcement technology using SQL, NoSQL &amp; Microsoft Developer Tools. Must pass background check."</f>
        <v>Experience must be with law enforcement technology using SQL, NoSQL &amp; Microsoft Developer Tools. Must pass background check.</v>
      </c>
      <c r="CB1612" t="s">
        <v>131</v>
      </c>
      <c r="CF1612" t="s">
        <v>131</v>
      </c>
      <c r="CH1612" t="str">
        <f>""</f>
        <v/>
      </c>
      <c r="CI1612" t="s">
        <v>131</v>
      </c>
      <c r="CK1612" t="s">
        <v>131</v>
      </c>
      <c r="CL1612" t="str">
        <f>""</f>
        <v/>
      </c>
      <c r="CM1612" t="str">
        <f>""</f>
        <v/>
      </c>
      <c r="CN1612" t="str">
        <f>""</f>
        <v/>
      </c>
      <c r="CO1612" t="str">
        <f>""</f>
        <v/>
      </c>
      <c r="CP1612" t="str">
        <f>"15-1131.00"</f>
        <v>15-1131.00</v>
      </c>
      <c r="CQ1612" t="s">
        <v>2782</v>
      </c>
      <c r="CR1612" t="s">
        <v>1721</v>
      </c>
      <c r="CS1612" t="s">
        <v>131</v>
      </c>
      <c r="CU1612" t="s">
        <v>17324</v>
      </c>
      <c r="CV1612" t="s">
        <v>11570</v>
      </c>
      <c r="CW1612" t="s">
        <v>2482</v>
      </c>
      <c r="CX1612" t="s">
        <v>195</v>
      </c>
      <c r="CZ1612" s="3" t="str">
        <f>"32817"</f>
        <v>32817</v>
      </c>
      <c r="DA1612" t="s">
        <v>131</v>
      </c>
      <c r="DB1612" t="str">
        <f>""</f>
        <v/>
      </c>
      <c r="DF1612" t="str">
        <f>""</f>
        <v/>
      </c>
    </row>
    <row r="1613" spans="1:110" ht="15" customHeight="1" x14ac:dyDescent="0.35">
      <c r="A1613" t="s">
        <v>13345</v>
      </c>
      <c r="B1613" t="s">
        <v>138</v>
      </c>
      <c r="C1613" s="1">
        <v>44336</v>
      </c>
      <c r="G1613" s="1">
        <v>44342</v>
      </c>
      <c r="H1613" t="s">
        <v>125</v>
      </c>
      <c r="I1613" t="s">
        <v>1319</v>
      </c>
      <c r="J1613" t="s">
        <v>1320</v>
      </c>
      <c r="L1613" t="s">
        <v>349</v>
      </c>
      <c r="M1613" t="s">
        <v>1321</v>
      </c>
      <c r="O1613" t="s">
        <v>1322</v>
      </c>
      <c r="P1613" t="s">
        <v>178</v>
      </c>
      <c r="Q1613" s="3">
        <v>94063</v>
      </c>
      <c r="R1613" t="s">
        <v>128</v>
      </c>
      <c r="T1613" s="4">
        <v>16504741450</v>
      </c>
      <c r="V1613" t="s">
        <v>1323</v>
      </c>
      <c r="W1613" t="s">
        <v>1324</v>
      </c>
      <c r="X1613" t="s">
        <v>1325</v>
      </c>
      <c r="Y1613" t="s">
        <v>1321</v>
      </c>
      <c r="AA1613" t="s">
        <v>1322</v>
      </c>
      <c r="AB1613" t="s">
        <v>172</v>
      </c>
      <c r="AC1613" s="3" t="str">
        <f>"94063"</f>
        <v>94063</v>
      </c>
      <c r="AD1613" t="s">
        <v>128</v>
      </c>
      <c r="AF1613" s="4">
        <v>16504741450</v>
      </c>
      <c r="AH1613" t="str">
        <f>"236220"</f>
        <v>236220</v>
      </c>
      <c r="AI1613" t="s">
        <v>130</v>
      </c>
      <c r="AJ1613" t="s">
        <v>1326</v>
      </c>
      <c r="AK1613" t="s">
        <v>1327</v>
      </c>
      <c r="AL1613" t="s">
        <v>560</v>
      </c>
      <c r="AM1613" t="s">
        <v>1328</v>
      </c>
      <c r="AN1613" t="s">
        <v>439</v>
      </c>
      <c r="AO1613" t="s">
        <v>220</v>
      </c>
      <c r="AP1613" t="s">
        <v>172</v>
      </c>
      <c r="AQ1613" s="5">
        <v>94104</v>
      </c>
      <c r="AR1613" t="s">
        <v>128</v>
      </c>
      <c r="AT1613" s="4">
        <v>14159813000</v>
      </c>
      <c r="AV1613" t="s">
        <v>1329</v>
      </c>
      <c r="AW1613" t="s">
        <v>1330</v>
      </c>
      <c r="AX1613" t="s">
        <v>131</v>
      </c>
      <c r="AY1613" t="s">
        <v>131</v>
      </c>
      <c r="AZ1613" t="s">
        <v>131</v>
      </c>
      <c r="BA1613" t="s">
        <v>131</v>
      </c>
      <c r="BB1613" t="s">
        <v>131</v>
      </c>
      <c r="BC1613" t="s">
        <v>131</v>
      </c>
      <c r="BD1613" t="s">
        <v>131</v>
      </c>
      <c r="BE1613" t="s">
        <v>132</v>
      </c>
      <c r="BH1613" t="s">
        <v>1279</v>
      </c>
      <c r="BI1613" t="s">
        <v>131</v>
      </c>
      <c r="BL1613" t="s">
        <v>188</v>
      </c>
      <c r="BN1613" t="s">
        <v>13346</v>
      </c>
      <c r="BO1613" t="s">
        <v>131</v>
      </c>
      <c r="BP1613" t="s">
        <v>134</v>
      </c>
      <c r="BQ1613" t="s">
        <v>131</v>
      </c>
      <c r="BS1613" t="str">
        <f t="shared" si="100"/>
        <v>N/A</v>
      </c>
      <c r="BT1613" t="s">
        <v>135</v>
      </c>
      <c r="BU1613">
        <v>12</v>
      </c>
      <c r="BV1613" t="str">
        <f>"A project engineer in the commercial construction industry."</f>
        <v>A project engineer in the commercial construction industry.</v>
      </c>
      <c r="BW1613" t="s">
        <v>135</v>
      </c>
      <c r="BX1613" t="str">
        <f>""</f>
        <v/>
      </c>
      <c r="BY1613" t="str">
        <f>""</f>
        <v/>
      </c>
      <c r="BZ1613" t="str">
        <f>""</f>
        <v/>
      </c>
      <c r="CA1613" t="str">
        <f>"One (1) year of experience with:
Microsoft Office Suite;
project management software (CMiC, Prolog or similar); 
scheduling software (Primavera or similar); 
BIM software (AutoCAD, Revit, Navisworks or similar).
Multiple Openings"</f>
        <v>One (1) year of experience with:
Microsoft Office Suite;
project management software (CMiC, Prolog or similar); 
scheduling software (Primavera or similar); 
BIM software (AutoCAD, Revit, Navisworks or similar).
Multiple Openings</v>
      </c>
      <c r="CB1613" t="s">
        <v>135</v>
      </c>
      <c r="CC1613" t="s">
        <v>133</v>
      </c>
      <c r="CE1613" t="s">
        <v>13346</v>
      </c>
      <c r="CF1613" t="s">
        <v>131</v>
      </c>
      <c r="CH1613" t="str">
        <f>"N/A"</f>
        <v>N/A</v>
      </c>
      <c r="CI1613" t="s">
        <v>135</v>
      </c>
      <c r="CJ1613">
        <v>36</v>
      </c>
      <c r="CK1613" t="s">
        <v>135</v>
      </c>
      <c r="CL1613" t="str">
        <f>""</f>
        <v/>
      </c>
      <c r="CM1613" t="str">
        <f>""</f>
        <v/>
      </c>
      <c r="CN1613" t="str">
        <f>""</f>
        <v/>
      </c>
      <c r="CO1613" t="str">
        <f>"One (1) year of experience with:
Microsoft Office Suite;
project management software (CMiC, Prolog or similar); 
scheduling software (Primavera or similar); 
BIM software (AutoCAD, Revit, Navisworks or similar).
Multiple Openings"</f>
        <v>One (1) year of experience with:
Microsoft Office Suite;
project management software (CMiC, Prolog or similar); 
scheduling software (Primavera or similar); 
BIM software (AutoCAD, Revit, Navisworks or similar).
Multiple Openings</v>
      </c>
      <c r="CP1613" t="str">
        <f>"17-2051.00"</f>
        <v>17-2051.00</v>
      </c>
      <c r="CQ1613" t="s">
        <v>787</v>
      </c>
      <c r="CR1613" t="s">
        <v>13347</v>
      </c>
      <c r="CS1613" t="s">
        <v>131</v>
      </c>
      <c r="CU1613" t="s">
        <v>13348</v>
      </c>
      <c r="CV1613" t="s">
        <v>3705</v>
      </c>
      <c r="CW1613" t="s">
        <v>742</v>
      </c>
      <c r="CX1613" t="s">
        <v>306</v>
      </c>
      <c r="CZ1613" s="3" t="str">
        <f>"23060"</f>
        <v>23060</v>
      </c>
      <c r="DA1613" t="s">
        <v>131</v>
      </c>
      <c r="DB1613" t="str">
        <f>""</f>
        <v/>
      </c>
      <c r="DF1613" t="str">
        <f>""</f>
        <v/>
      </c>
    </row>
    <row r="1614" spans="1:110" ht="15" customHeight="1" x14ac:dyDescent="0.35">
      <c r="A1614" t="s">
        <v>14209</v>
      </c>
      <c r="B1614" t="s">
        <v>138</v>
      </c>
      <c r="C1614" s="1">
        <v>44336</v>
      </c>
      <c r="G1614" s="1">
        <v>44337</v>
      </c>
      <c r="H1614" t="s">
        <v>125</v>
      </c>
      <c r="I1614" t="s">
        <v>14210</v>
      </c>
      <c r="J1614" t="s">
        <v>14211</v>
      </c>
      <c r="L1614" t="s">
        <v>6740</v>
      </c>
      <c r="M1614" t="s">
        <v>8602</v>
      </c>
      <c r="N1614" t="s">
        <v>884</v>
      </c>
      <c r="O1614" t="s">
        <v>616</v>
      </c>
      <c r="P1614" t="s">
        <v>194</v>
      </c>
      <c r="Q1614" s="3">
        <v>33156</v>
      </c>
      <c r="R1614" t="s">
        <v>128</v>
      </c>
      <c r="T1614" s="4">
        <v>17868994122</v>
      </c>
      <c r="V1614" t="s">
        <v>14212</v>
      </c>
      <c r="W1614" t="s">
        <v>8603</v>
      </c>
      <c r="Y1614" t="s">
        <v>8602</v>
      </c>
      <c r="Z1614" t="s">
        <v>884</v>
      </c>
      <c r="AA1614" t="s">
        <v>616</v>
      </c>
      <c r="AB1614" t="s">
        <v>195</v>
      </c>
      <c r="AC1614" s="3" t="str">
        <f>"33156"</f>
        <v>33156</v>
      </c>
      <c r="AD1614" t="s">
        <v>128</v>
      </c>
      <c r="AF1614" s="4">
        <v>13056700041</v>
      </c>
      <c r="AH1614" t="str">
        <f>"541614"</f>
        <v>541614</v>
      </c>
      <c r="AI1614" t="s">
        <v>130</v>
      </c>
      <c r="AJ1614" t="s">
        <v>8604</v>
      </c>
      <c r="AK1614" t="s">
        <v>6721</v>
      </c>
      <c r="AL1614" t="s">
        <v>1060</v>
      </c>
      <c r="AM1614" t="s">
        <v>3665</v>
      </c>
      <c r="AN1614">
        <v>3200</v>
      </c>
      <c r="AO1614" t="s">
        <v>616</v>
      </c>
      <c r="AP1614" t="s">
        <v>195</v>
      </c>
      <c r="AQ1614" s="5">
        <v>33131</v>
      </c>
      <c r="AR1614" t="s">
        <v>128</v>
      </c>
      <c r="AT1614" s="4">
        <v>13054166880</v>
      </c>
      <c r="AV1614" t="s">
        <v>14213</v>
      </c>
      <c r="AW1614" t="s">
        <v>8606</v>
      </c>
      <c r="AX1614" t="s">
        <v>131</v>
      </c>
      <c r="AY1614" t="s">
        <v>131</v>
      </c>
      <c r="AZ1614" t="s">
        <v>131</v>
      </c>
      <c r="BA1614" t="s">
        <v>131</v>
      </c>
      <c r="BB1614" t="s">
        <v>131</v>
      </c>
      <c r="BC1614" t="s">
        <v>131</v>
      </c>
      <c r="BD1614" t="s">
        <v>131</v>
      </c>
      <c r="BE1614" t="s">
        <v>132</v>
      </c>
      <c r="BH1614" t="s">
        <v>8607</v>
      </c>
      <c r="BI1614" t="s">
        <v>131</v>
      </c>
      <c r="BL1614" t="s">
        <v>133</v>
      </c>
      <c r="BN1614" t="s">
        <v>14214</v>
      </c>
      <c r="BO1614" t="s">
        <v>131</v>
      </c>
      <c r="BP1614" t="s">
        <v>134</v>
      </c>
      <c r="BQ1614" t="s">
        <v>131</v>
      </c>
      <c r="BS1614" t="str">
        <f t="shared" si="100"/>
        <v>N/A</v>
      </c>
      <c r="BT1614" t="s">
        <v>135</v>
      </c>
      <c r="BU1614">
        <v>6</v>
      </c>
      <c r="BV1614" t="str">
        <f>"Supply Chain Planning Role"</f>
        <v>Supply Chain Planning Role</v>
      </c>
      <c r="BW1614" t="s">
        <v>131</v>
      </c>
      <c r="BX1614" t="str">
        <f>""</f>
        <v/>
      </c>
      <c r="BY1614" t="str">
        <f>""</f>
        <v/>
      </c>
      <c r="BZ1614" t="str">
        <f>""</f>
        <v/>
      </c>
      <c r="CA1614" t="str">
        <f>""</f>
        <v/>
      </c>
      <c r="CB1614" t="s">
        <v>131</v>
      </c>
      <c r="CF1614" t="s">
        <v>131</v>
      </c>
      <c r="CH1614" t="str">
        <f>""</f>
        <v/>
      </c>
      <c r="CI1614" t="s">
        <v>131</v>
      </c>
      <c r="CK1614" t="s">
        <v>131</v>
      </c>
      <c r="CL1614" t="str">
        <f>""</f>
        <v/>
      </c>
      <c r="CM1614" t="str">
        <f>""</f>
        <v/>
      </c>
      <c r="CN1614" t="str">
        <f>""</f>
        <v/>
      </c>
      <c r="CO1614" t="str">
        <f>""</f>
        <v/>
      </c>
      <c r="CP1614" t="str">
        <f>"13-1081.02"</f>
        <v>13-1081.02</v>
      </c>
      <c r="CQ1614" t="s">
        <v>4142</v>
      </c>
      <c r="CR1614" t="s">
        <v>8608</v>
      </c>
      <c r="CS1614" t="s">
        <v>135</v>
      </c>
      <c r="CT1614" t="s">
        <v>14215</v>
      </c>
      <c r="CU1614" t="s">
        <v>8602</v>
      </c>
      <c r="CV1614" t="s">
        <v>884</v>
      </c>
      <c r="CW1614" t="s">
        <v>616</v>
      </c>
      <c r="CX1614" t="s">
        <v>195</v>
      </c>
      <c r="CZ1614" s="3" t="str">
        <f>"33156"</f>
        <v>33156</v>
      </c>
      <c r="DA1614" t="s">
        <v>131</v>
      </c>
      <c r="DB1614" t="str">
        <f>""</f>
        <v/>
      </c>
      <c r="DF1614" t="str">
        <f>""</f>
        <v/>
      </c>
    </row>
    <row r="1615" spans="1:110" ht="15" customHeight="1" x14ac:dyDescent="0.35">
      <c r="A1615" t="s">
        <v>19302</v>
      </c>
      <c r="B1615" t="s">
        <v>138</v>
      </c>
      <c r="C1615" s="1">
        <v>44337</v>
      </c>
      <c r="G1615" s="1">
        <v>44341</v>
      </c>
      <c r="H1615" t="s">
        <v>125</v>
      </c>
      <c r="I1615" t="s">
        <v>11913</v>
      </c>
      <c r="J1615" t="s">
        <v>8655</v>
      </c>
      <c r="L1615" t="s">
        <v>1031</v>
      </c>
      <c r="M1615" t="s">
        <v>19011</v>
      </c>
      <c r="O1615" t="s">
        <v>799</v>
      </c>
      <c r="P1615" t="s">
        <v>3393</v>
      </c>
      <c r="Q1615" s="3">
        <v>20003</v>
      </c>
      <c r="R1615" t="s">
        <v>128</v>
      </c>
      <c r="T1615" s="4">
        <v>12025540931</v>
      </c>
      <c r="V1615" t="s">
        <v>19012</v>
      </c>
      <c r="W1615" t="s">
        <v>19013</v>
      </c>
      <c r="X1615" t="s">
        <v>19014</v>
      </c>
      <c r="Y1615" t="s">
        <v>19011</v>
      </c>
      <c r="AA1615" t="s">
        <v>149</v>
      </c>
      <c r="AB1615" t="s">
        <v>595</v>
      </c>
      <c r="AC1615" s="3" t="str">
        <f>"20003"</f>
        <v>20003</v>
      </c>
      <c r="AD1615" t="s">
        <v>128</v>
      </c>
      <c r="AF1615" s="4">
        <v>12025440931</v>
      </c>
      <c r="AH1615" t="str">
        <f>"722511"</f>
        <v>722511</v>
      </c>
      <c r="AI1615" t="s">
        <v>130</v>
      </c>
      <c r="AJ1615" t="s">
        <v>11924</v>
      </c>
      <c r="AK1615" t="s">
        <v>11925</v>
      </c>
      <c r="AL1615" t="s">
        <v>11926</v>
      </c>
      <c r="AM1615" t="s">
        <v>15640</v>
      </c>
      <c r="AN1615" t="s">
        <v>1641</v>
      </c>
      <c r="AO1615" t="s">
        <v>799</v>
      </c>
      <c r="AP1615" t="s">
        <v>595</v>
      </c>
      <c r="AQ1615" s="5">
        <v>20006</v>
      </c>
      <c r="AR1615" t="s">
        <v>128</v>
      </c>
      <c r="AT1615" s="4">
        <v>12022366670</v>
      </c>
      <c r="AV1615" t="s">
        <v>11927</v>
      </c>
      <c r="AW1615" t="s">
        <v>11928</v>
      </c>
      <c r="AX1615" t="s">
        <v>131</v>
      </c>
      <c r="AY1615" t="s">
        <v>131</v>
      </c>
      <c r="AZ1615" t="s">
        <v>131</v>
      </c>
      <c r="BA1615" t="s">
        <v>131</v>
      </c>
      <c r="BB1615" t="s">
        <v>131</v>
      </c>
      <c r="BC1615" t="s">
        <v>131</v>
      </c>
      <c r="BD1615" t="s">
        <v>131</v>
      </c>
      <c r="BE1615" t="s">
        <v>132</v>
      </c>
      <c r="BH1615" t="s">
        <v>6219</v>
      </c>
      <c r="BI1615" t="s">
        <v>131</v>
      </c>
      <c r="BL1615" t="s">
        <v>167</v>
      </c>
      <c r="BO1615" t="s">
        <v>131</v>
      </c>
      <c r="BP1615" t="s">
        <v>134</v>
      </c>
      <c r="BQ1615" t="s">
        <v>131</v>
      </c>
      <c r="BS1615" t="str">
        <f t="shared" si="100"/>
        <v>N/A</v>
      </c>
      <c r="BT1615" t="s">
        <v>135</v>
      </c>
      <c r="BU1615">
        <v>24</v>
      </c>
      <c r="BV1615" t="str">
        <f>"chef"</f>
        <v>chef</v>
      </c>
      <c r="BW1615" t="s">
        <v>131</v>
      </c>
      <c r="BX1615" t="str">
        <f>""</f>
        <v/>
      </c>
      <c r="BY1615" t="str">
        <f>""</f>
        <v/>
      </c>
      <c r="BZ1615" t="str">
        <f>""</f>
        <v/>
      </c>
      <c r="CA1615" t="str">
        <f>""</f>
        <v/>
      </c>
      <c r="CB1615" t="s">
        <v>131</v>
      </c>
      <c r="CF1615" t="s">
        <v>131</v>
      </c>
      <c r="CH1615" t="str">
        <f>""</f>
        <v/>
      </c>
      <c r="CI1615" t="s">
        <v>131</v>
      </c>
      <c r="CK1615" t="s">
        <v>131</v>
      </c>
      <c r="CL1615" t="str">
        <f>""</f>
        <v/>
      </c>
      <c r="CM1615" t="str">
        <f>""</f>
        <v/>
      </c>
      <c r="CN1615" t="str">
        <f>""</f>
        <v/>
      </c>
      <c r="CO1615" t="str">
        <f>""</f>
        <v/>
      </c>
      <c r="CP1615" t="str">
        <f>"35-1011.00"</f>
        <v>35-1011.00</v>
      </c>
      <c r="CQ1615" t="s">
        <v>1392</v>
      </c>
      <c r="CR1615" t="s">
        <v>1031</v>
      </c>
      <c r="CS1615" t="s">
        <v>131</v>
      </c>
      <c r="CU1615" t="s">
        <v>19011</v>
      </c>
      <c r="CW1615" t="s">
        <v>149</v>
      </c>
      <c r="CX1615" t="s">
        <v>595</v>
      </c>
      <c r="CZ1615" s="3" t="str">
        <f>"20003"</f>
        <v>20003</v>
      </c>
      <c r="DA1615" t="s">
        <v>131</v>
      </c>
      <c r="DB1615" t="str">
        <f>""</f>
        <v/>
      </c>
      <c r="DF1615" t="str">
        <f>""</f>
        <v/>
      </c>
    </row>
    <row r="1616" spans="1:110" ht="15" customHeight="1" x14ac:dyDescent="0.35">
      <c r="A1616" t="s">
        <v>10156</v>
      </c>
      <c r="B1616" t="s">
        <v>138</v>
      </c>
      <c r="C1616" s="1">
        <v>44337</v>
      </c>
      <c r="G1616" s="1">
        <v>44337</v>
      </c>
      <c r="H1616" t="s">
        <v>125</v>
      </c>
      <c r="I1616" t="s">
        <v>3264</v>
      </c>
      <c r="J1616" t="s">
        <v>3265</v>
      </c>
      <c r="K1616" t="s">
        <v>365</v>
      </c>
      <c r="L1616" t="s">
        <v>1545</v>
      </c>
      <c r="M1616" t="s">
        <v>3266</v>
      </c>
      <c r="N1616" t="s">
        <v>3267</v>
      </c>
      <c r="O1616" t="s">
        <v>733</v>
      </c>
      <c r="P1616" t="s">
        <v>818</v>
      </c>
      <c r="Q1616" s="3">
        <v>30328</v>
      </c>
      <c r="R1616" t="s">
        <v>128</v>
      </c>
      <c r="T1616" s="4">
        <v>17708592395</v>
      </c>
      <c r="U1616">
        <v>0</v>
      </c>
      <c r="V1616" t="s">
        <v>3268</v>
      </c>
      <c r="W1616" t="s">
        <v>10157</v>
      </c>
      <c r="Y1616" t="s">
        <v>3266</v>
      </c>
      <c r="Z1616" t="s">
        <v>3267</v>
      </c>
      <c r="AA1616" t="s">
        <v>733</v>
      </c>
      <c r="AB1616" t="s">
        <v>643</v>
      </c>
      <c r="AC1616" s="3" t="str">
        <f>"30328"</f>
        <v>30328</v>
      </c>
      <c r="AD1616" t="s">
        <v>128</v>
      </c>
      <c r="AE1616" t="s">
        <v>818</v>
      </c>
      <c r="AF1616" s="4">
        <v>17708592395</v>
      </c>
      <c r="AG1616">
        <v>0</v>
      </c>
      <c r="AH1616" t="str">
        <f>"523930"</f>
        <v>523930</v>
      </c>
      <c r="AI1616" t="s">
        <v>130</v>
      </c>
      <c r="AJ1616" t="s">
        <v>1098</v>
      </c>
      <c r="AK1616" t="s">
        <v>913</v>
      </c>
      <c r="AM1616" t="s">
        <v>493</v>
      </c>
      <c r="AO1616" t="s">
        <v>494</v>
      </c>
      <c r="AP1616" t="s">
        <v>129</v>
      </c>
      <c r="AQ1616" s="5">
        <v>10018</v>
      </c>
      <c r="AR1616" t="s">
        <v>128</v>
      </c>
      <c r="AT1616" s="4">
        <v>12126888555</v>
      </c>
      <c r="AV1616" t="s">
        <v>3269</v>
      </c>
      <c r="AW1616" t="s">
        <v>386</v>
      </c>
      <c r="AX1616" t="s">
        <v>131</v>
      </c>
      <c r="AY1616" t="s">
        <v>131</v>
      </c>
      <c r="AZ1616" t="s">
        <v>131</v>
      </c>
      <c r="BA1616" t="s">
        <v>131</v>
      </c>
      <c r="BB1616" t="s">
        <v>131</v>
      </c>
      <c r="BC1616" t="s">
        <v>131</v>
      </c>
      <c r="BD1616" t="s">
        <v>131</v>
      </c>
      <c r="BE1616" t="s">
        <v>132</v>
      </c>
      <c r="BH1616" t="s">
        <v>3270</v>
      </c>
      <c r="BI1616" t="s">
        <v>135</v>
      </c>
      <c r="BJ1616" t="s">
        <v>282</v>
      </c>
      <c r="BK1616" t="s">
        <v>283</v>
      </c>
      <c r="BL1616" t="s">
        <v>133</v>
      </c>
      <c r="BN1616" t="s">
        <v>3271</v>
      </c>
      <c r="BO1616" t="s">
        <v>131</v>
      </c>
      <c r="BP1616" t="s">
        <v>134</v>
      </c>
      <c r="BQ1616" t="s">
        <v>131</v>
      </c>
      <c r="BS1616" t="str">
        <f t="shared" si="100"/>
        <v>N/A</v>
      </c>
      <c r="BT1616" t="s">
        <v>135</v>
      </c>
      <c r="BU1616">
        <v>60</v>
      </c>
      <c r="BV1616" t="str">
        <f>"Business Analyst III; Business Analyst or related."</f>
        <v>Business Analyst III; Business Analyst or related.</v>
      </c>
      <c r="BW1616" t="s">
        <v>135</v>
      </c>
      <c r="BX1616" t="str">
        <f>""</f>
        <v/>
      </c>
      <c r="BY1616" t="str">
        <f>""</f>
        <v/>
      </c>
      <c r="BZ1616" t="str">
        <f>""</f>
        <v/>
      </c>
      <c r="CA1616" t="s">
        <v>3272</v>
      </c>
      <c r="CB1616" t="s">
        <v>131</v>
      </c>
      <c r="CF1616" t="s">
        <v>131</v>
      </c>
      <c r="CH1616" t="str">
        <f>""</f>
        <v/>
      </c>
      <c r="CI1616" t="s">
        <v>131</v>
      </c>
      <c r="CK1616" t="s">
        <v>131</v>
      </c>
      <c r="CL1616" t="str">
        <f>""</f>
        <v/>
      </c>
      <c r="CM1616" t="str">
        <f>""</f>
        <v/>
      </c>
      <c r="CN1616" t="str">
        <f>""</f>
        <v/>
      </c>
      <c r="CO1616" t="str">
        <f>""</f>
        <v/>
      </c>
      <c r="CP1616" t="str">
        <f>"15-1121.00"</f>
        <v>15-1121.00</v>
      </c>
      <c r="CQ1616" t="s">
        <v>283</v>
      </c>
      <c r="CR1616" t="s">
        <v>1099</v>
      </c>
      <c r="CS1616" t="s">
        <v>131</v>
      </c>
      <c r="CU1616" t="s">
        <v>3266</v>
      </c>
      <c r="CW1616" t="s">
        <v>642</v>
      </c>
      <c r="CX1616" t="s">
        <v>643</v>
      </c>
      <c r="CZ1616" s="3" t="str">
        <f>"30328"</f>
        <v>30328</v>
      </c>
      <c r="DA1616" t="s">
        <v>131</v>
      </c>
      <c r="DB1616" t="str">
        <f>""</f>
        <v/>
      </c>
      <c r="DF1616" t="str">
        <f>""</f>
        <v/>
      </c>
    </row>
    <row r="1617" spans="1:110" ht="15" customHeight="1" x14ac:dyDescent="0.35">
      <c r="A1617" t="s">
        <v>15853</v>
      </c>
      <c r="B1617" t="s">
        <v>138</v>
      </c>
      <c r="C1617" s="1">
        <v>44337</v>
      </c>
      <c r="G1617" s="1">
        <v>44337</v>
      </c>
      <c r="H1617" t="s">
        <v>125</v>
      </c>
      <c r="I1617" t="s">
        <v>368</v>
      </c>
      <c r="J1617" t="s">
        <v>369</v>
      </c>
      <c r="K1617" t="s">
        <v>134</v>
      </c>
      <c r="L1617" t="s">
        <v>722</v>
      </c>
      <c r="M1617" t="s">
        <v>370</v>
      </c>
      <c r="N1617" t="s">
        <v>134</v>
      </c>
      <c r="O1617" t="s">
        <v>371</v>
      </c>
      <c r="P1617" t="s">
        <v>144</v>
      </c>
      <c r="Q1617" s="3">
        <v>98121</v>
      </c>
      <c r="R1617" t="s">
        <v>128</v>
      </c>
      <c r="S1617" t="s">
        <v>134</v>
      </c>
      <c r="T1617" s="4">
        <v>12062661000</v>
      </c>
      <c r="V1617" t="s">
        <v>372</v>
      </c>
      <c r="W1617" t="s">
        <v>2873</v>
      </c>
      <c r="X1617" t="s">
        <v>15854</v>
      </c>
      <c r="Y1617" t="s">
        <v>370</v>
      </c>
      <c r="Z1617" t="s">
        <v>134</v>
      </c>
      <c r="AA1617" t="s">
        <v>964</v>
      </c>
      <c r="AB1617" t="s">
        <v>149</v>
      </c>
      <c r="AC1617" s="3" t="str">
        <f>"98121"</f>
        <v>98121</v>
      </c>
      <c r="AD1617" t="s">
        <v>128</v>
      </c>
      <c r="AE1617" t="s">
        <v>134</v>
      </c>
      <c r="AF1617" s="4">
        <v>12062661000</v>
      </c>
      <c r="AH1617" t="str">
        <f>"45411"</f>
        <v>45411</v>
      </c>
      <c r="AI1617" t="s">
        <v>130</v>
      </c>
      <c r="AJ1617" t="s">
        <v>373</v>
      </c>
      <c r="AK1617" t="s">
        <v>2874</v>
      </c>
      <c r="AM1617" t="s">
        <v>374</v>
      </c>
      <c r="AN1617" t="s">
        <v>375</v>
      </c>
      <c r="AO1617" t="s">
        <v>376</v>
      </c>
      <c r="AP1617" t="s">
        <v>377</v>
      </c>
      <c r="AQ1617" s="5">
        <v>2110</v>
      </c>
      <c r="AR1617" t="s">
        <v>128</v>
      </c>
      <c r="AT1617" s="4">
        <v>16175740400</v>
      </c>
      <c r="AV1617" t="s">
        <v>372</v>
      </c>
      <c r="AW1617" t="s">
        <v>378</v>
      </c>
      <c r="AX1617" t="s">
        <v>131</v>
      </c>
      <c r="AY1617" t="s">
        <v>131</v>
      </c>
      <c r="AZ1617" t="s">
        <v>131</v>
      </c>
      <c r="BA1617" t="s">
        <v>131</v>
      </c>
      <c r="BB1617" t="s">
        <v>131</v>
      </c>
      <c r="BC1617" t="s">
        <v>131</v>
      </c>
      <c r="BD1617" t="s">
        <v>131</v>
      </c>
      <c r="BE1617" t="s">
        <v>132</v>
      </c>
      <c r="BH1617" t="s">
        <v>2876</v>
      </c>
      <c r="BI1617" t="s">
        <v>131</v>
      </c>
      <c r="BL1617" t="s">
        <v>133</v>
      </c>
      <c r="BN1617" t="s">
        <v>724</v>
      </c>
      <c r="BO1617" t="s">
        <v>131</v>
      </c>
      <c r="BP1617" t="s">
        <v>134</v>
      </c>
      <c r="BQ1617" t="s">
        <v>131</v>
      </c>
      <c r="BS1617" t="str">
        <f t="shared" si="100"/>
        <v>N/A</v>
      </c>
      <c r="BT1617" t="s">
        <v>135</v>
      </c>
      <c r="BU1617">
        <v>36</v>
      </c>
      <c r="BV1617" t="str">
        <f>"See F.b.5.a(IV)"</f>
        <v>See F.b.5.a(IV)</v>
      </c>
      <c r="BW1617" t="s">
        <v>131</v>
      </c>
      <c r="BX1617" t="str">
        <f>""</f>
        <v/>
      </c>
      <c r="BY1617" t="str">
        <f>""</f>
        <v/>
      </c>
      <c r="BZ1617" t="str">
        <f>""</f>
        <v/>
      </c>
      <c r="CA1617" t="str">
        <f>""</f>
        <v/>
      </c>
      <c r="CB1617" t="s">
        <v>131</v>
      </c>
      <c r="CF1617" t="s">
        <v>131</v>
      </c>
      <c r="CH1617" t="str">
        <f>""</f>
        <v/>
      </c>
      <c r="CI1617" t="s">
        <v>131</v>
      </c>
      <c r="CK1617" t="s">
        <v>131</v>
      </c>
      <c r="CL1617" t="str">
        <f>""</f>
        <v/>
      </c>
      <c r="CM1617" t="str">
        <f>""</f>
        <v/>
      </c>
      <c r="CN1617" t="str">
        <f>""</f>
        <v/>
      </c>
      <c r="CO1617" t="str">
        <f>""</f>
        <v/>
      </c>
      <c r="CP1617" t="str">
        <f>"15-1111.00"</f>
        <v>15-1111.00</v>
      </c>
      <c r="CQ1617" t="s">
        <v>726</v>
      </c>
      <c r="CR1617" t="s">
        <v>2876</v>
      </c>
      <c r="CS1617" t="s">
        <v>135</v>
      </c>
      <c r="CT1617" t="s">
        <v>2877</v>
      </c>
      <c r="CU1617" t="s">
        <v>5965</v>
      </c>
      <c r="CV1617" t="s">
        <v>134</v>
      </c>
      <c r="CW1617" t="s">
        <v>494</v>
      </c>
      <c r="CX1617" t="s">
        <v>129</v>
      </c>
      <c r="CZ1617" s="3" t="str">
        <f>"10001"</f>
        <v>10001</v>
      </c>
      <c r="DA1617" t="s">
        <v>131</v>
      </c>
      <c r="DB1617" t="str">
        <f>""</f>
        <v/>
      </c>
      <c r="DF1617" t="str">
        <f>""</f>
        <v/>
      </c>
    </row>
    <row r="1618" spans="1:110" ht="15" customHeight="1" x14ac:dyDescent="0.35">
      <c r="A1618" t="s">
        <v>14791</v>
      </c>
      <c r="B1618" t="s">
        <v>138</v>
      </c>
      <c r="C1618" s="1">
        <v>44337</v>
      </c>
      <c r="G1618" s="1">
        <v>44337</v>
      </c>
      <c r="H1618" t="s">
        <v>125</v>
      </c>
      <c r="I1618" t="s">
        <v>4077</v>
      </c>
      <c r="J1618" t="s">
        <v>4078</v>
      </c>
      <c r="L1618" t="s">
        <v>2291</v>
      </c>
      <c r="M1618" t="s">
        <v>4079</v>
      </c>
      <c r="O1618" t="s">
        <v>600</v>
      </c>
      <c r="P1618" t="s">
        <v>593</v>
      </c>
      <c r="Q1618" s="3">
        <v>28217</v>
      </c>
      <c r="R1618" t="s">
        <v>128</v>
      </c>
      <c r="T1618" s="4">
        <v>17043282149</v>
      </c>
      <c r="V1618" t="s">
        <v>4080</v>
      </c>
      <c r="W1618" t="s">
        <v>4081</v>
      </c>
      <c r="Y1618" t="s">
        <v>4079</v>
      </c>
      <c r="AA1618" t="s">
        <v>600</v>
      </c>
      <c r="AB1618" t="s">
        <v>594</v>
      </c>
      <c r="AC1618" s="3" t="str">
        <f>"28217"</f>
        <v>28217</v>
      </c>
      <c r="AD1618" t="s">
        <v>128</v>
      </c>
      <c r="AF1618" s="4">
        <v>17043282149</v>
      </c>
      <c r="AH1618" t="str">
        <f>"722310"</f>
        <v>722310</v>
      </c>
      <c r="AI1618" t="s">
        <v>130</v>
      </c>
      <c r="AJ1618" t="s">
        <v>4082</v>
      </c>
      <c r="AK1618" t="s">
        <v>313</v>
      </c>
      <c r="AL1618" t="s">
        <v>610</v>
      </c>
      <c r="AM1618" t="s">
        <v>4060</v>
      </c>
      <c r="AN1618" t="s">
        <v>4083</v>
      </c>
      <c r="AO1618" t="s">
        <v>600</v>
      </c>
      <c r="AP1618" t="s">
        <v>594</v>
      </c>
      <c r="AQ1618" s="5">
        <v>28210</v>
      </c>
      <c r="AR1618" t="s">
        <v>128</v>
      </c>
      <c r="AT1618" s="4">
        <v>17044428000</v>
      </c>
      <c r="AV1618" t="s">
        <v>14792</v>
      </c>
      <c r="AW1618" t="s">
        <v>4061</v>
      </c>
      <c r="AX1618" t="s">
        <v>131</v>
      </c>
      <c r="AY1618" t="s">
        <v>131</v>
      </c>
      <c r="AZ1618" t="s">
        <v>131</v>
      </c>
      <c r="BA1618" t="s">
        <v>131</v>
      </c>
      <c r="BB1618" t="s">
        <v>131</v>
      </c>
      <c r="BC1618" t="s">
        <v>131</v>
      </c>
      <c r="BD1618" t="s">
        <v>131</v>
      </c>
      <c r="BE1618" t="s">
        <v>132</v>
      </c>
      <c r="BH1618" t="s">
        <v>12943</v>
      </c>
      <c r="BI1618" t="s">
        <v>131</v>
      </c>
      <c r="BL1618" t="s">
        <v>133</v>
      </c>
      <c r="BN1618" t="s">
        <v>14793</v>
      </c>
      <c r="BO1618" t="s">
        <v>131</v>
      </c>
      <c r="BP1618" t="s">
        <v>134</v>
      </c>
      <c r="BQ1618" t="s">
        <v>131</v>
      </c>
      <c r="BS1618" t="str">
        <f t="shared" si="100"/>
        <v>N/A</v>
      </c>
      <c r="BT1618" t="s">
        <v>135</v>
      </c>
      <c r="BU1618">
        <v>36</v>
      </c>
      <c r="BV1618" t="str">
        <f>"Same or related"</f>
        <v>Same or related</v>
      </c>
      <c r="BW1618" t="s">
        <v>135</v>
      </c>
      <c r="BX1618" t="str">
        <f>""</f>
        <v/>
      </c>
      <c r="BY1618" t="str">
        <f>""</f>
        <v/>
      </c>
      <c r="BZ1618" t="str">
        <f>""</f>
        <v/>
      </c>
      <c r="CA1618" t="s">
        <v>14794</v>
      </c>
      <c r="CB1618" t="s">
        <v>131</v>
      </c>
      <c r="CF1618" t="s">
        <v>131</v>
      </c>
      <c r="CH1618" t="str">
        <f>""</f>
        <v/>
      </c>
      <c r="CI1618" t="s">
        <v>131</v>
      </c>
      <c r="CK1618" t="s">
        <v>131</v>
      </c>
      <c r="CL1618" t="str">
        <f>""</f>
        <v/>
      </c>
      <c r="CM1618" t="str">
        <f>""</f>
        <v/>
      </c>
      <c r="CN1618" t="str">
        <f>""</f>
        <v/>
      </c>
      <c r="CO1618" t="str">
        <f>""</f>
        <v/>
      </c>
      <c r="CP1618" t="str">
        <f>"13-2051.00"</f>
        <v>13-2051.00</v>
      </c>
      <c r="CQ1618" t="s">
        <v>245</v>
      </c>
      <c r="CR1618" t="s">
        <v>14585</v>
      </c>
      <c r="CS1618" t="s">
        <v>131</v>
      </c>
      <c r="CU1618" t="s">
        <v>14586</v>
      </c>
      <c r="CW1618" t="s">
        <v>1506</v>
      </c>
      <c r="CX1618" t="s">
        <v>172</v>
      </c>
      <c r="CZ1618" s="3" t="str">
        <f>"94089"</f>
        <v>94089</v>
      </c>
      <c r="DA1618" t="s">
        <v>131</v>
      </c>
      <c r="DB1618" t="str">
        <f>""</f>
        <v/>
      </c>
      <c r="DF1618" t="str">
        <f>""</f>
        <v/>
      </c>
    </row>
    <row r="1619" spans="1:110" ht="15" customHeight="1" x14ac:dyDescent="0.35">
      <c r="A1619" t="s">
        <v>7529</v>
      </c>
      <c r="B1619" t="s">
        <v>138</v>
      </c>
      <c r="C1619" s="1">
        <v>44337</v>
      </c>
      <c r="G1619" s="1">
        <v>44351</v>
      </c>
      <c r="H1619" t="s">
        <v>125</v>
      </c>
      <c r="I1619" t="s">
        <v>838</v>
      </c>
      <c r="J1619" t="s">
        <v>839</v>
      </c>
      <c r="K1619" t="s">
        <v>840</v>
      </c>
      <c r="L1619" t="s">
        <v>2565</v>
      </c>
      <c r="M1619" t="s">
        <v>841</v>
      </c>
      <c r="N1619" t="s">
        <v>842</v>
      </c>
      <c r="O1619" t="s">
        <v>843</v>
      </c>
      <c r="P1619" t="s">
        <v>273</v>
      </c>
      <c r="Q1619" s="3">
        <v>7080</v>
      </c>
      <c r="R1619" t="s">
        <v>128</v>
      </c>
      <c r="T1619" s="4">
        <v>17328327978</v>
      </c>
      <c r="V1619" t="s">
        <v>844</v>
      </c>
      <c r="W1619" t="s">
        <v>6945</v>
      </c>
      <c r="Y1619" t="s">
        <v>6946</v>
      </c>
      <c r="Z1619" t="s">
        <v>3384</v>
      </c>
      <c r="AA1619" t="s">
        <v>2596</v>
      </c>
      <c r="AB1619" t="s">
        <v>276</v>
      </c>
      <c r="AC1619" s="3" t="str">
        <f>"08854"</f>
        <v>08854</v>
      </c>
      <c r="AD1619" t="s">
        <v>128</v>
      </c>
      <c r="AF1619" s="4">
        <v>17327902934</v>
      </c>
      <c r="AH1619" t="str">
        <f>"541511"</f>
        <v>541511</v>
      </c>
      <c r="AI1619" t="s">
        <v>130</v>
      </c>
      <c r="AJ1619" t="s">
        <v>838</v>
      </c>
      <c r="AK1619" t="s">
        <v>839</v>
      </c>
      <c r="AL1619" t="s">
        <v>840</v>
      </c>
      <c r="AM1619" t="s">
        <v>841</v>
      </c>
      <c r="AN1619" t="s">
        <v>842</v>
      </c>
      <c r="AO1619" t="s">
        <v>843</v>
      </c>
      <c r="AP1619" t="s">
        <v>276</v>
      </c>
      <c r="AQ1619" s="5">
        <v>7080</v>
      </c>
      <c r="AR1619" t="s">
        <v>128</v>
      </c>
      <c r="AT1619" s="4">
        <v>17328327978</v>
      </c>
      <c r="AV1619" t="s">
        <v>844</v>
      </c>
      <c r="AW1619" t="s">
        <v>2779</v>
      </c>
      <c r="AX1619" t="s">
        <v>131</v>
      </c>
      <c r="AY1619" t="s">
        <v>131</v>
      </c>
      <c r="AZ1619" t="s">
        <v>131</v>
      </c>
      <c r="BA1619" t="s">
        <v>131</v>
      </c>
      <c r="BB1619" t="s">
        <v>131</v>
      </c>
      <c r="BC1619" t="s">
        <v>131</v>
      </c>
      <c r="BD1619" t="s">
        <v>131</v>
      </c>
      <c r="BE1619" t="s">
        <v>132</v>
      </c>
      <c r="BH1619" t="s">
        <v>846</v>
      </c>
      <c r="BI1619" t="s">
        <v>131</v>
      </c>
      <c r="BL1619" t="s">
        <v>133</v>
      </c>
      <c r="BN1619" t="s">
        <v>847</v>
      </c>
      <c r="BO1619" t="s">
        <v>131</v>
      </c>
      <c r="BP1619" t="s">
        <v>134</v>
      </c>
      <c r="BQ1619" t="s">
        <v>131</v>
      </c>
      <c r="BS1619" t="str">
        <f t="shared" si="100"/>
        <v>N/A</v>
      </c>
      <c r="BT1619" t="s">
        <v>135</v>
      </c>
      <c r="BU1619">
        <v>24</v>
      </c>
      <c r="BV1619" t="str">
        <f>"JOB OFFERED OR RELATED OCCUPATION."</f>
        <v>JOB OFFERED OR RELATED OCCUPATION.</v>
      </c>
      <c r="BW1619" t="s">
        <v>131</v>
      </c>
      <c r="BX1619" t="str">
        <f>""</f>
        <v/>
      </c>
      <c r="BY1619" t="str">
        <f>""</f>
        <v/>
      </c>
      <c r="BZ1619" t="str">
        <f>""</f>
        <v/>
      </c>
      <c r="CA1619" t="str">
        <f>""</f>
        <v/>
      </c>
      <c r="CB1619" t="s">
        <v>131</v>
      </c>
      <c r="CF1619" t="s">
        <v>131</v>
      </c>
      <c r="CH1619" t="str">
        <f>""</f>
        <v/>
      </c>
      <c r="CI1619" t="s">
        <v>131</v>
      </c>
      <c r="CK1619" t="s">
        <v>131</v>
      </c>
      <c r="CL1619" t="str">
        <f>""</f>
        <v/>
      </c>
      <c r="CM1619" t="str">
        <f>""</f>
        <v/>
      </c>
      <c r="CN1619" t="str">
        <f>""</f>
        <v/>
      </c>
      <c r="CO1619" t="str">
        <f>""</f>
        <v/>
      </c>
      <c r="CP1619" t="str">
        <f>"15-1132.00"</f>
        <v>15-1132.00</v>
      </c>
      <c r="CQ1619" t="s">
        <v>198</v>
      </c>
      <c r="CR1619" t="s">
        <v>849</v>
      </c>
      <c r="CS1619" t="s">
        <v>131</v>
      </c>
      <c r="CU1619" t="s">
        <v>6946</v>
      </c>
      <c r="CV1619" t="s">
        <v>6949</v>
      </c>
      <c r="CW1619" t="s">
        <v>2596</v>
      </c>
      <c r="CX1619" t="s">
        <v>276</v>
      </c>
      <c r="CZ1619" s="3" t="str">
        <f>"08854"</f>
        <v>08854</v>
      </c>
      <c r="DA1619" t="s">
        <v>131</v>
      </c>
      <c r="DB1619" t="str">
        <f>""</f>
        <v/>
      </c>
      <c r="DF1619" t="str">
        <f>""</f>
        <v/>
      </c>
    </row>
    <row r="1620" spans="1:110" ht="15" customHeight="1" x14ac:dyDescent="0.35">
      <c r="A1620" t="s">
        <v>16843</v>
      </c>
      <c r="B1620" t="s">
        <v>138</v>
      </c>
      <c r="C1620" s="1">
        <v>44337</v>
      </c>
      <c r="G1620" s="1">
        <v>44348</v>
      </c>
      <c r="H1620" t="s">
        <v>125</v>
      </c>
      <c r="I1620" t="s">
        <v>838</v>
      </c>
      <c r="J1620" t="s">
        <v>839</v>
      </c>
      <c r="K1620" t="s">
        <v>840</v>
      </c>
      <c r="L1620" t="s">
        <v>2565</v>
      </c>
      <c r="M1620" t="s">
        <v>841</v>
      </c>
      <c r="N1620" t="s">
        <v>842</v>
      </c>
      <c r="O1620" t="s">
        <v>843</v>
      </c>
      <c r="P1620" t="s">
        <v>273</v>
      </c>
      <c r="Q1620" s="3">
        <v>7080</v>
      </c>
      <c r="R1620" t="s">
        <v>128</v>
      </c>
      <c r="T1620" s="4">
        <v>17328327978</v>
      </c>
      <c r="V1620" t="s">
        <v>844</v>
      </c>
      <c r="W1620" t="s">
        <v>16844</v>
      </c>
      <c r="Y1620" t="s">
        <v>16845</v>
      </c>
      <c r="Z1620" t="s">
        <v>834</v>
      </c>
      <c r="AA1620" t="s">
        <v>835</v>
      </c>
      <c r="AB1620" t="s">
        <v>276</v>
      </c>
      <c r="AC1620" s="3" t="str">
        <f>"07095"</f>
        <v>07095</v>
      </c>
      <c r="AD1620" t="s">
        <v>128</v>
      </c>
      <c r="AF1620" s="4">
        <v>17328101013</v>
      </c>
      <c r="AH1620" t="str">
        <f>"541511"</f>
        <v>541511</v>
      </c>
      <c r="AI1620" t="s">
        <v>130</v>
      </c>
      <c r="AJ1620" t="s">
        <v>838</v>
      </c>
      <c r="AK1620" t="s">
        <v>839</v>
      </c>
      <c r="AL1620" t="s">
        <v>840</v>
      </c>
      <c r="AM1620" t="s">
        <v>841</v>
      </c>
      <c r="AN1620" t="s">
        <v>842</v>
      </c>
      <c r="AO1620" t="s">
        <v>843</v>
      </c>
      <c r="AP1620" t="s">
        <v>276</v>
      </c>
      <c r="AQ1620" s="5">
        <v>7080</v>
      </c>
      <c r="AR1620" t="s">
        <v>128</v>
      </c>
      <c r="AT1620" s="4">
        <v>17328327978</v>
      </c>
      <c r="AV1620" t="s">
        <v>844</v>
      </c>
      <c r="AW1620" t="s">
        <v>845</v>
      </c>
      <c r="AX1620" t="s">
        <v>131</v>
      </c>
      <c r="AY1620" t="s">
        <v>131</v>
      </c>
      <c r="AZ1620" t="s">
        <v>131</v>
      </c>
      <c r="BA1620" t="s">
        <v>131</v>
      </c>
      <c r="BB1620" t="s">
        <v>131</v>
      </c>
      <c r="BC1620" t="s">
        <v>131</v>
      </c>
      <c r="BD1620" t="s">
        <v>131</v>
      </c>
      <c r="BE1620" t="s">
        <v>132</v>
      </c>
      <c r="BH1620" t="s">
        <v>846</v>
      </c>
      <c r="BI1620" t="s">
        <v>131</v>
      </c>
      <c r="BL1620" t="s">
        <v>188</v>
      </c>
      <c r="BN1620" s="2" t="s">
        <v>16846</v>
      </c>
      <c r="BO1620" t="s">
        <v>131</v>
      </c>
      <c r="BP1620" t="s">
        <v>134</v>
      </c>
      <c r="BQ1620" t="s">
        <v>131</v>
      </c>
      <c r="BS1620" t="str">
        <f t="shared" si="100"/>
        <v>N/A</v>
      </c>
      <c r="BT1620" t="s">
        <v>135</v>
      </c>
      <c r="BU1620">
        <v>12</v>
      </c>
      <c r="BV1620" t="str">
        <f>"JOB OFFERED OR RELATED OCCUPATION."</f>
        <v>JOB OFFERED OR RELATED OCCUPATION.</v>
      </c>
      <c r="BW1620" t="s">
        <v>131</v>
      </c>
      <c r="BX1620" t="str">
        <f>""</f>
        <v/>
      </c>
      <c r="BY1620" t="str">
        <f>""</f>
        <v/>
      </c>
      <c r="BZ1620" t="str">
        <f>""</f>
        <v/>
      </c>
      <c r="CA1620" t="str">
        <f>""</f>
        <v/>
      </c>
      <c r="CB1620" t="s">
        <v>135</v>
      </c>
      <c r="CC1620" t="s">
        <v>133</v>
      </c>
      <c r="CE1620" t="s">
        <v>847</v>
      </c>
      <c r="CF1620" t="s">
        <v>131</v>
      </c>
      <c r="CH1620" t="str">
        <f>"N/A"</f>
        <v>N/A</v>
      </c>
      <c r="CI1620" t="s">
        <v>135</v>
      </c>
      <c r="CJ1620">
        <v>60</v>
      </c>
      <c r="CK1620" t="s">
        <v>135</v>
      </c>
      <c r="CL1620" t="str">
        <f>""</f>
        <v/>
      </c>
      <c r="CM1620" t="str">
        <f>""</f>
        <v/>
      </c>
      <c r="CN1620" t="str">
        <f>""</f>
        <v/>
      </c>
      <c r="CO1620" t="s">
        <v>16847</v>
      </c>
      <c r="CP1620" t="str">
        <f>"15-1132.00"</f>
        <v>15-1132.00</v>
      </c>
      <c r="CQ1620" t="s">
        <v>198</v>
      </c>
      <c r="CR1620" t="s">
        <v>849</v>
      </c>
      <c r="CS1620" t="s">
        <v>131</v>
      </c>
      <c r="CU1620" t="s">
        <v>16845</v>
      </c>
      <c r="CV1620" t="s">
        <v>850</v>
      </c>
      <c r="CW1620" t="s">
        <v>835</v>
      </c>
      <c r="CX1620" t="s">
        <v>276</v>
      </c>
      <c r="CZ1620" s="3" t="str">
        <f>"07095"</f>
        <v>07095</v>
      </c>
      <c r="DA1620" t="s">
        <v>131</v>
      </c>
      <c r="DB1620" t="str">
        <f>""</f>
        <v/>
      </c>
      <c r="DF1620" t="str">
        <f>""</f>
        <v/>
      </c>
    </row>
    <row r="1621" spans="1:110" ht="15" customHeight="1" x14ac:dyDescent="0.35">
      <c r="A1621" t="s">
        <v>5015</v>
      </c>
      <c r="B1621" t="s">
        <v>138</v>
      </c>
      <c r="C1621" s="1">
        <v>44337</v>
      </c>
      <c r="G1621" s="1">
        <v>44364</v>
      </c>
      <c r="H1621" t="s">
        <v>125</v>
      </c>
      <c r="I1621" t="s">
        <v>2659</v>
      </c>
      <c r="J1621" t="s">
        <v>2660</v>
      </c>
      <c r="K1621" t="s">
        <v>2661</v>
      </c>
      <c r="L1621" t="s">
        <v>2110</v>
      </c>
      <c r="M1621" t="s">
        <v>2662</v>
      </c>
      <c r="O1621" t="s">
        <v>1872</v>
      </c>
      <c r="P1621" t="s">
        <v>273</v>
      </c>
      <c r="Q1621" s="3">
        <v>7302</v>
      </c>
      <c r="R1621" t="s">
        <v>128</v>
      </c>
      <c r="T1621" s="4">
        <v>12129021000</v>
      </c>
      <c r="V1621" t="s">
        <v>1054</v>
      </c>
      <c r="W1621" t="s">
        <v>2663</v>
      </c>
      <c r="Y1621" t="s">
        <v>1052</v>
      </c>
      <c r="AA1621" t="s">
        <v>1053</v>
      </c>
      <c r="AB1621" t="s">
        <v>276</v>
      </c>
      <c r="AC1621" s="3" t="str">
        <f>"07302"</f>
        <v>07302</v>
      </c>
      <c r="AD1621" t="s">
        <v>128</v>
      </c>
      <c r="AF1621" s="4">
        <v>12129021000</v>
      </c>
      <c r="AH1621" t="str">
        <f>"52311"</f>
        <v>52311</v>
      </c>
      <c r="AI1621" t="s">
        <v>130</v>
      </c>
      <c r="AJ1621" t="s">
        <v>5016</v>
      </c>
      <c r="AK1621" t="s">
        <v>5017</v>
      </c>
      <c r="AM1621" t="s">
        <v>493</v>
      </c>
      <c r="AO1621" t="s">
        <v>494</v>
      </c>
      <c r="AP1621" t="s">
        <v>129</v>
      </c>
      <c r="AQ1621" s="5">
        <v>10018</v>
      </c>
      <c r="AR1621" t="s">
        <v>128</v>
      </c>
      <c r="AS1621" t="s">
        <v>129</v>
      </c>
      <c r="AT1621" s="4">
        <v>12126888555</v>
      </c>
      <c r="AV1621" t="s">
        <v>2664</v>
      </c>
      <c r="AW1621" t="s">
        <v>386</v>
      </c>
      <c r="AX1621" t="s">
        <v>131</v>
      </c>
      <c r="AY1621" t="s">
        <v>131</v>
      </c>
      <c r="AZ1621" t="s">
        <v>131</v>
      </c>
      <c r="BA1621" t="s">
        <v>131</v>
      </c>
      <c r="BB1621" t="s">
        <v>131</v>
      </c>
      <c r="BC1621" t="s">
        <v>131</v>
      </c>
      <c r="BD1621" t="s">
        <v>131</v>
      </c>
      <c r="BE1621" t="s">
        <v>160</v>
      </c>
      <c r="BF1621" t="s">
        <v>5018</v>
      </c>
      <c r="BG1621" s="1">
        <v>44044</v>
      </c>
      <c r="BH1621" t="s">
        <v>303</v>
      </c>
      <c r="BI1621" t="s">
        <v>131</v>
      </c>
      <c r="BL1621" t="s">
        <v>133</v>
      </c>
      <c r="BN1621" t="s">
        <v>5019</v>
      </c>
      <c r="BO1621" t="s">
        <v>131</v>
      </c>
      <c r="BP1621" t="s">
        <v>134</v>
      </c>
      <c r="BQ1621" t="s">
        <v>131</v>
      </c>
      <c r="BS1621" t="str">
        <f t="shared" si="100"/>
        <v>N/A</v>
      </c>
      <c r="BT1621" t="s">
        <v>135</v>
      </c>
      <c r="BU1621">
        <v>48</v>
      </c>
      <c r="BV1621" t="str">
        <f>"SEE FIELD F.5.B.A"</f>
        <v>SEE FIELD F.5.B.A</v>
      </c>
      <c r="BW1621" t="s">
        <v>135</v>
      </c>
      <c r="BX1621" t="str">
        <f>""</f>
        <v/>
      </c>
      <c r="BY1621" t="str">
        <f>""</f>
        <v/>
      </c>
      <c r="BZ1621" t="str">
        <f>""</f>
        <v/>
      </c>
      <c r="CA1621" s="2" t="s">
        <v>5020</v>
      </c>
      <c r="CB1621" t="s">
        <v>131</v>
      </c>
      <c r="CF1621" t="s">
        <v>131</v>
      </c>
      <c r="CH1621" t="str">
        <f>""</f>
        <v/>
      </c>
      <c r="CI1621" t="s">
        <v>131</v>
      </c>
      <c r="CK1621" t="s">
        <v>131</v>
      </c>
      <c r="CL1621" t="str">
        <f>""</f>
        <v/>
      </c>
      <c r="CM1621" t="str">
        <f>""</f>
        <v/>
      </c>
      <c r="CN1621" t="str">
        <f>""</f>
        <v/>
      </c>
      <c r="CO1621" t="str">
        <f>""</f>
        <v/>
      </c>
      <c r="CP1621" t="str">
        <f>"15-1132.00"</f>
        <v>15-1132.00</v>
      </c>
      <c r="CQ1621" t="s">
        <v>198</v>
      </c>
      <c r="CR1621" t="s">
        <v>303</v>
      </c>
      <c r="CS1621" t="s">
        <v>131</v>
      </c>
      <c r="CU1621" t="s">
        <v>1056</v>
      </c>
      <c r="CW1621" t="s">
        <v>494</v>
      </c>
      <c r="CX1621" t="s">
        <v>129</v>
      </c>
      <c r="CZ1621" s="3" t="str">
        <f>"10282"</f>
        <v>10282</v>
      </c>
      <c r="DA1621" t="s">
        <v>131</v>
      </c>
      <c r="DB1621" t="str">
        <f>""</f>
        <v/>
      </c>
      <c r="DF1621" t="str">
        <f>""</f>
        <v/>
      </c>
    </row>
    <row r="1622" spans="1:110" ht="15" customHeight="1" x14ac:dyDescent="0.35">
      <c r="A1622" t="s">
        <v>11720</v>
      </c>
      <c r="B1622" t="s">
        <v>138</v>
      </c>
      <c r="C1622" s="1">
        <v>44337</v>
      </c>
      <c r="G1622" s="1">
        <v>44337</v>
      </c>
      <c r="H1622" t="s">
        <v>125</v>
      </c>
      <c r="I1622" t="s">
        <v>11721</v>
      </c>
      <c r="J1622" t="s">
        <v>2289</v>
      </c>
      <c r="L1622" t="s">
        <v>2700</v>
      </c>
      <c r="M1622" t="s">
        <v>11722</v>
      </c>
      <c r="O1622" t="s">
        <v>735</v>
      </c>
      <c r="P1622" t="s">
        <v>818</v>
      </c>
      <c r="Q1622" s="3">
        <v>30022</v>
      </c>
      <c r="R1622" t="s">
        <v>128</v>
      </c>
      <c r="T1622" s="4">
        <v>16783931545</v>
      </c>
      <c r="V1622" t="s">
        <v>11723</v>
      </c>
      <c r="W1622" t="s">
        <v>11724</v>
      </c>
      <c r="Y1622" t="s">
        <v>11722</v>
      </c>
      <c r="AA1622" t="s">
        <v>735</v>
      </c>
      <c r="AB1622" t="s">
        <v>643</v>
      </c>
      <c r="AC1622" s="3" t="str">
        <f>"30022"</f>
        <v>30022</v>
      </c>
      <c r="AD1622" t="s">
        <v>128</v>
      </c>
      <c r="AF1622" s="4">
        <v>16783931545</v>
      </c>
      <c r="AH1622" t="str">
        <f>"541511"</f>
        <v>541511</v>
      </c>
      <c r="AI1622" t="s">
        <v>130</v>
      </c>
      <c r="AJ1622" t="s">
        <v>3037</v>
      </c>
      <c r="AK1622" t="s">
        <v>3038</v>
      </c>
      <c r="AM1622" t="s">
        <v>3039</v>
      </c>
      <c r="AN1622" t="s">
        <v>3040</v>
      </c>
      <c r="AO1622" t="s">
        <v>735</v>
      </c>
      <c r="AP1622" t="s">
        <v>643</v>
      </c>
      <c r="AQ1622" s="5">
        <v>30022</v>
      </c>
      <c r="AR1622" t="s">
        <v>128</v>
      </c>
      <c r="AT1622" s="4">
        <v>17706192884</v>
      </c>
      <c r="AV1622" t="s">
        <v>3041</v>
      </c>
      <c r="AW1622" t="s">
        <v>3042</v>
      </c>
      <c r="AX1622" t="s">
        <v>131</v>
      </c>
      <c r="AY1622" t="s">
        <v>131</v>
      </c>
      <c r="AZ1622" t="s">
        <v>131</v>
      </c>
      <c r="BA1622" t="s">
        <v>131</v>
      </c>
      <c r="BB1622" t="s">
        <v>131</v>
      </c>
      <c r="BC1622" t="s">
        <v>131</v>
      </c>
      <c r="BD1622" t="s">
        <v>131</v>
      </c>
      <c r="BE1622" t="s">
        <v>132</v>
      </c>
      <c r="BH1622" t="s">
        <v>11725</v>
      </c>
      <c r="BI1622" t="s">
        <v>131</v>
      </c>
      <c r="BL1622" t="s">
        <v>188</v>
      </c>
      <c r="BN1622" t="s">
        <v>11726</v>
      </c>
      <c r="BO1622" t="s">
        <v>131</v>
      </c>
      <c r="BP1622" t="s">
        <v>134</v>
      </c>
      <c r="BQ1622" t="s">
        <v>131</v>
      </c>
      <c r="BS1622" t="str">
        <f t="shared" si="100"/>
        <v>N/A</v>
      </c>
      <c r="BT1622" t="s">
        <v>135</v>
      </c>
      <c r="BU1622">
        <v>12</v>
      </c>
      <c r="BV1622" t="str">
        <f>"Programmer/Analyst/Similar. 1 year experience in Oracle, SQL Server, and AWS"</f>
        <v>Programmer/Analyst/Similar. 1 year experience in Oracle, SQL Server, and AWS</v>
      </c>
      <c r="BW1622" t="s">
        <v>131</v>
      </c>
      <c r="BX1622" t="str">
        <f>""</f>
        <v/>
      </c>
      <c r="BY1622" t="str">
        <f>""</f>
        <v/>
      </c>
      <c r="BZ1622" t="str">
        <f>""</f>
        <v/>
      </c>
      <c r="CA1622" t="str">
        <f>""</f>
        <v/>
      </c>
      <c r="CB1622" t="s">
        <v>131</v>
      </c>
      <c r="CF1622" t="s">
        <v>131</v>
      </c>
      <c r="CH1622" t="str">
        <f>""</f>
        <v/>
      </c>
      <c r="CI1622" t="s">
        <v>131</v>
      </c>
      <c r="CK1622" t="s">
        <v>131</v>
      </c>
      <c r="CL1622" t="str">
        <f>""</f>
        <v/>
      </c>
      <c r="CM1622" t="str">
        <f>""</f>
        <v/>
      </c>
      <c r="CN1622" t="str">
        <f>""</f>
        <v/>
      </c>
      <c r="CO1622" t="str">
        <f>""</f>
        <v/>
      </c>
      <c r="CP1622" t="str">
        <f>"15-1121.00"</f>
        <v>15-1121.00</v>
      </c>
      <c r="CQ1622" t="s">
        <v>283</v>
      </c>
      <c r="CR1622" t="s">
        <v>1158</v>
      </c>
      <c r="CS1622" t="s">
        <v>135</v>
      </c>
      <c r="CT1622" t="s">
        <v>3043</v>
      </c>
      <c r="CU1622" t="s">
        <v>11722</v>
      </c>
      <c r="CV1622" t="s">
        <v>3044</v>
      </c>
      <c r="CW1622" t="s">
        <v>735</v>
      </c>
      <c r="CX1622" t="s">
        <v>643</v>
      </c>
      <c r="CZ1622" s="3" t="str">
        <f>"30022"</f>
        <v>30022</v>
      </c>
      <c r="DA1622" t="s">
        <v>131</v>
      </c>
      <c r="DB1622" t="str">
        <f>""</f>
        <v/>
      </c>
      <c r="DF1622" t="str">
        <f>""</f>
        <v/>
      </c>
    </row>
    <row r="1623" spans="1:110" ht="15" customHeight="1" x14ac:dyDescent="0.35">
      <c r="A1623" t="s">
        <v>12468</v>
      </c>
      <c r="B1623" t="s">
        <v>138</v>
      </c>
      <c r="C1623" s="1">
        <v>44337</v>
      </c>
      <c r="G1623" s="1">
        <v>44351</v>
      </c>
      <c r="H1623" t="s">
        <v>125</v>
      </c>
      <c r="I1623" t="s">
        <v>838</v>
      </c>
      <c r="J1623" t="s">
        <v>839</v>
      </c>
      <c r="K1623" t="s">
        <v>840</v>
      </c>
      <c r="L1623" t="s">
        <v>2565</v>
      </c>
      <c r="M1623" t="s">
        <v>841</v>
      </c>
      <c r="N1623" t="s">
        <v>842</v>
      </c>
      <c r="O1623" t="s">
        <v>843</v>
      </c>
      <c r="P1623" t="s">
        <v>273</v>
      </c>
      <c r="Q1623" s="3">
        <v>7080</v>
      </c>
      <c r="R1623" t="s">
        <v>128</v>
      </c>
      <c r="T1623" s="4">
        <v>17328327978</v>
      </c>
      <c r="V1623" t="s">
        <v>844</v>
      </c>
      <c r="W1623" t="s">
        <v>6945</v>
      </c>
      <c r="Y1623" t="s">
        <v>6946</v>
      </c>
      <c r="Z1623" t="s">
        <v>3384</v>
      </c>
      <c r="AA1623" t="s">
        <v>2596</v>
      </c>
      <c r="AB1623" t="s">
        <v>276</v>
      </c>
      <c r="AC1623" s="3" t="str">
        <f>"08854"</f>
        <v>08854</v>
      </c>
      <c r="AD1623" t="s">
        <v>128</v>
      </c>
      <c r="AF1623" s="4">
        <v>17327902934</v>
      </c>
      <c r="AH1623" t="str">
        <f>"541511"</f>
        <v>541511</v>
      </c>
      <c r="AI1623" t="s">
        <v>130</v>
      </c>
      <c r="AJ1623" t="s">
        <v>838</v>
      </c>
      <c r="AK1623" t="s">
        <v>839</v>
      </c>
      <c r="AL1623" t="s">
        <v>840</v>
      </c>
      <c r="AM1623" t="s">
        <v>841</v>
      </c>
      <c r="AN1623" t="s">
        <v>842</v>
      </c>
      <c r="AO1623" t="s">
        <v>843</v>
      </c>
      <c r="AP1623" t="s">
        <v>276</v>
      </c>
      <c r="AQ1623" s="5">
        <v>7080</v>
      </c>
      <c r="AR1623" t="s">
        <v>128</v>
      </c>
      <c r="AT1623" s="4">
        <v>17328327978</v>
      </c>
      <c r="AV1623" t="s">
        <v>844</v>
      </c>
      <c r="AW1623" t="s">
        <v>2779</v>
      </c>
      <c r="AX1623" t="s">
        <v>131</v>
      </c>
      <c r="AY1623" t="s">
        <v>131</v>
      </c>
      <c r="AZ1623" t="s">
        <v>131</v>
      </c>
      <c r="BA1623" t="s">
        <v>131</v>
      </c>
      <c r="BB1623" t="s">
        <v>131</v>
      </c>
      <c r="BC1623" t="s">
        <v>131</v>
      </c>
      <c r="BD1623" t="s">
        <v>131</v>
      </c>
      <c r="BE1623" t="s">
        <v>132</v>
      </c>
      <c r="BH1623" t="s">
        <v>846</v>
      </c>
      <c r="BI1623" t="s">
        <v>131</v>
      </c>
      <c r="BL1623" t="s">
        <v>133</v>
      </c>
      <c r="BN1623" t="s">
        <v>847</v>
      </c>
      <c r="BO1623" t="s">
        <v>131</v>
      </c>
      <c r="BP1623" t="s">
        <v>134</v>
      </c>
      <c r="BQ1623" t="s">
        <v>131</v>
      </c>
      <c r="BS1623" t="str">
        <f t="shared" si="100"/>
        <v>N/A</v>
      </c>
      <c r="BT1623" t="s">
        <v>135</v>
      </c>
      <c r="BU1623">
        <v>24</v>
      </c>
      <c r="BV1623" t="str">
        <f>"JOB OFFERED OR RELATED OCCUPATION."</f>
        <v>JOB OFFERED OR RELATED OCCUPATION.</v>
      </c>
      <c r="BW1623" t="s">
        <v>135</v>
      </c>
      <c r="BX1623" t="str">
        <f>""</f>
        <v/>
      </c>
      <c r="BY1623" t="str">
        <f>""</f>
        <v/>
      </c>
      <c r="BZ1623" t="str">
        <f>""</f>
        <v/>
      </c>
      <c r="CA1623" t="str">
        <f>"Skills required: JavaScript, Angular JS, Redhat, Ubuntu, Fedora, HTML, CSS, UNIX and Linux."</f>
        <v>Skills required: JavaScript, Angular JS, Redhat, Ubuntu, Fedora, HTML, CSS, UNIX and Linux.</v>
      </c>
      <c r="CB1623" t="s">
        <v>131</v>
      </c>
      <c r="CF1623" t="s">
        <v>131</v>
      </c>
      <c r="CH1623" t="str">
        <f>""</f>
        <v/>
      </c>
      <c r="CI1623" t="s">
        <v>131</v>
      </c>
      <c r="CK1623" t="s">
        <v>131</v>
      </c>
      <c r="CL1623" t="str">
        <f>""</f>
        <v/>
      </c>
      <c r="CM1623" t="str">
        <f>""</f>
        <v/>
      </c>
      <c r="CN1623" t="str">
        <f>""</f>
        <v/>
      </c>
      <c r="CO1623" t="str">
        <f>""</f>
        <v/>
      </c>
      <c r="CP1623" t="str">
        <f>"15-1132.00"</f>
        <v>15-1132.00</v>
      </c>
      <c r="CQ1623" t="s">
        <v>198</v>
      </c>
      <c r="CR1623" t="s">
        <v>849</v>
      </c>
      <c r="CS1623" t="s">
        <v>131</v>
      </c>
      <c r="CU1623" t="s">
        <v>6946</v>
      </c>
      <c r="CV1623" t="s">
        <v>6949</v>
      </c>
      <c r="CW1623" t="s">
        <v>2596</v>
      </c>
      <c r="CX1623" t="s">
        <v>276</v>
      </c>
      <c r="CZ1623" s="3" t="str">
        <f>"08854"</f>
        <v>08854</v>
      </c>
      <c r="DA1623" t="s">
        <v>131</v>
      </c>
      <c r="DB1623" t="str">
        <f>""</f>
        <v/>
      </c>
      <c r="DF1623" t="str">
        <f>""</f>
        <v/>
      </c>
    </row>
    <row r="1624" spans="1:110" ht="15" customHeight="1" x14ac:dyDescent="0.35">
      <c r="A1624" t="s">
        <v>16313</v>
      </c>
      <c r="B1624" t="s">
        <v>138</v>
      </c>
      <c r="C1624" s="1">
        <v>44337</v>
      </c>
      <c r="G1624" s="1">
        <v>44337</v>
      </c>
      <c r="H1624" t="s">
        <v>125</v>
      </c>
      <c r="I1624" t="s">
        <v>12380</v>
      </c>
      <c r="J1624" t="s">
        <v>12381</v>
      </c>
      <c r="L1624" t="s">
        <v>361</v>
      </c>
      <c r="M1624" t="s">
        <v>4593</v>
      </c>
      <c r="N1624" t="s">
        <v>6673</v>
      </c>
      <c r="O1624" t="s">
        <v>2035</v>
      </c>
      <c r="P1624" t="s">
        <v>588</v>
      </c>
      <c r="Q1624" s="3">
        <v>20171</v>
      </c>
      <c r="R1624" t="s">
        <v>128</v>
      </c>
      <c r="T1624" s="4">
        <v>15713987296</v>
      </c>
      <c r="V1624" t="s">
        <v>12382</v>
      </c>
      <c r="W1624" t="s">
        <v>14457</v>
      </c>
      <c r="X1624" t="s">
        <v>12572</v>
      </c>
      <c r="Y1624" t="s">
        <v>4593</v>
      </c>
      <c r="Z1624" t="s">
        <v>6673</v>
      </c>
      <c r="AA1624" t="s">
        <v>2035</v>
      </c>
      <c r="AB1624" t="s">
        <v>306</v>
      </c>
      <c r="AC1624" s="3" t="str">
        <f>"20171"</f>
        <v>20171</v>
      </c>
      <c r="AD1624" t="s">
        <v>128</v>
      </c>
      <c r="AF1624" s="4">
        <v>15713987296</v>
      </c>
      <c r="AH1624" t="str">
        <f>"561320"</f>
        <v>561320</v>
      </c>
      <c r="AI1624" t="s">
        <v>130</v>
      </c>
      <c r="AJ1624" t="s">
        <v>4595</v>
      </c>
      <c r="AK1624" t="s">
        <v>1668</v>
      </c>
      <c r="AM1624" t="s">
        <v>4596</v>
      </c>
      <c r="AN1624" t="s">
        <v>1817</v>
      </c>
      <c r="AO1624" t="s">
        <v>742</v>
      </c>
      <c r="AP1624" t="s">
        <v>306</v>
      </c>
      <c r="AQ1624" s="5">
        <v>23226</v>
      </c>
      <c r="AR1624" t="s">
        <v>128</v>
      </c>
      <c r="AT1624" s="4">
        <v>18043963412</v>
      </c>
      <c r="AV1624" t="s">
        <v>12384</v>
      </c>
      <c r="AW1624" t="s">
        <v>4598</v>
      </c>
      <c r="AX1624" t="s">
        <v>131</v>
      </c>
      <c r="AY1624" t="s">
        <v>131</v>
      </c>
      <c r="AZ1624" t="s">
        <v>131</v>
      </c>
      <c r="BA1624" t="s">
        <v>131</v>
      </c>
      <c r="BB1624" t="s">
        <v>131</v>
      </c>
      <c r="BC1624" t="s">
        <v>131</v>
      </c>
      <c r="BD1624" t="s">
        <v>131</v>
      </c>
      <c r="BE1624" t="s">
        <v>132</v>
      </c>
      <c r="BH1624" t="s">
        <v>10155</v>
      </c>
      <c r="BI1624" t="s">
        <v>131</v>
      </c>
      <c r="BL1624" t="s">
        <v>188</v>
      </c>
      <c r="BN1624" t="s">
        <v>1603</v>
      </c>
      <c r="BO1624" t="s">
        <v>131</v>
      </c>
      <c r="BP1624" t="s">
        <v>134</v>
      </c>
      <c r="BQ1624" t="s">
        <v>131</v>
      </c>
      <c r="BS1624" t="str">
        <f t="shared" si="100"/>
        <v>N/A</v>
      </c>
      <c r="BT1624" t="s">
        <v>135</v>
      </c>
      <c r="BU1624">
        <v>12</v>
      </c>
      <c r="BV1624" t="str">
        <f>"Validation Engineer or related"</f>
        <v>Validation Engineer or related</v>
      </c>
      <c r="BW1624" t="s">
        <v>131</v>
      </c>
      <c r="BX1624" t="str">
        <f>""</f>
        <v/>
      </c>
      <c r="BY1624" t="str">
        <f>""</f>
        <v/>
      </c>
      <c r="BZ1624" t="str">
        <f>""</f>
        <v/>
      </c>
      <c r="CA1624" t="str">
        <f>""</f>
        <v/>
      </c>
      <c r="CB1624" t="s">
        <v>131</v>
      </c>
      <c r="CF1624" t="s">
        <v>131</v>
      </c>
      <c r="CH1624" t="str">
        <f>""</f>
        <v/>
      </c>
      <c r="CI1624" t="s">
        <v>131</v>
      </c>
      <c r="CK1624" t="s">
        <v>131</v>
      </c>
      <c r="CL1624" t="str">
        <f>""</f>
        <v/>
      </c>
      <c r="CM1624" t="str">
        <f>""</f>
        <v/>
      </c>
      <c r="CN1624" t="str">
        <f>""</f>
        <v/>
      </c>
      <c r="CO1624" t="str">
        <f>""</f>
        <v/>
      </c>
      <c r="CP1624" t="str">
        <f>"17-2199.02"</f>
        <v>17-2199.02</v>
      </c>
      <c r="CQ1624" t="s">
        <v>4712</v>
      </c>
      <c r="CR1624" t="s">
        <v>10155</v>
      </c>
      <c r="CS1624" t="s">
        <v>131</v>
      </c>
      <c r="CU1624" t="s">
        <v>4593</v>
      </c>
      <c r="CV1624" t="s">
        <v>6673</v>
      </c>
      <c r="CW1624" t="s">
        <v>2035</v>
      </c>
      <c r="CX1624" t="s">
        <v>306</v>
      </c>
      <c r="CZ1624" s="3" t="str">
        <f>"20171"</f>
        <v>20171</v>
      </c>
      <c r="DA1624" t="s">
        <v>135</v>
      </c>
      <c r="DB1624" t="str">
        <f>""</f>
        <v/>
      </c>
      <c r="DF1624" t="str">
        <f>""</f>
        <v/>
      </c>
    </row>
    <row r="1625" spans="1:110" ht="15" customHeight="1" x14ac:dyDescent="0.35">
      <c r="A1625" t="s">
        <v>6337</v>
      </c>
      <c r="B1625" t="s">
        <v>138</v>
      </c>
      <c r="C1625" s="1">
        <v>44337</v>
      </c>
      <c r="G1625" s="1">
        <v>44350</v>
      </c>
      <c r="H1625" t="s">
        <v>125</v>
      </c>
      <c r="I1625" t="s">
        <v>838</v>
      </c>
      <c r="J1625" t="s">
        <v>839</v>
      </c>
      <c r="K1625" t="s">
        <v>1933</v>
      </c>
      <c r="L1625" t="s">
        <v>2565</v>
      </c>
      <c r="M1625" t="s">
        <v>841</v>
      </c>
      <c r="N1625" t="s">
        <v>842</v>
      </c>
      <c r="O1625" t="s">
        <v>843</v>
      </c>
      <c r="P1625" t="s">
        <v>273</v>
      </c>
      <c r="Q1625" s="3">
        <v>7080</v>
      </c>
      <c r="R1625" t="s">
        <v>128</v>
      </c>
      <c r="T1625" s="4">
        <v>17328327978</v>
      </c>
      <c r="V1625" t="s">
        <v>844</v>
      </c>
      <c r="W1625" t="s">
        <v>6338</v>
      </c>
      <c r="Y1625" t="s">
        <v>6339</v>
      </c>
      <c r="Z1625" t="s">
        <v>6340</v>
      </c>
      <c r="AA1625" t="s">
        <v>3387</v>
      </c>
      <c r="AB1625" t="s">
        <v>276</v>
      </c>
      <c r="AC1625" s="3" t="str">
        <f>"08619"</f>
        <v>08619</v>
      </c>
      <c r="AD1625" t="s">
        <v>128</v>
      </c>
      <c r="AF1625" s="4">
        <v>16092285701</v>
      </c>
      <c r="AH1625" t="str">
        <f>"541511"</f>
        <v>541511</v>
      </c>
      <c r="AI1625" t="s">
        <v>130</v>
      </c>
      <c r="AJ1625" t="s">
        <v>838</v>
      </c>
      <c r="AK1625" t="s">
        <v>839</v>
      </c>
      <c r="AL1625" t="s">
        <v>1933</v>
      </c>
      <c r="AM1625" t="s">
        <v>841</v>
      </c>
      <c r="AN1625" t="s">
        <v>842</v>
      </c>
      <c r="AO1625" t="s">
        <v>843</v>
      </c>
      <c r="AP1625" t="s">
        <v>276</v>
      </c>
      <c r="AQ1625" s="5">
        <v>7080</v>
      </c>
      <c r="AR1625" t="s">
        <v>128</v>
      </c>
      <c r="AT1625" s="4">
        <v>17328327978</v>
      </c>
      <c r="AV1625" t="s">
        <v>844</v>
      </c>
      <c r="AW1625" t="s">
        <v>3328</v>
      </c>
      <c r="AX1625" t="s">
        <v>131</v>
      </c>
      <c r="AY1625" t="s">
        <v>131</v>
      </c>
      <c r="AZ1625" t="s">
        <v>131</v>
      </c>
      <c r="BA1625" t="s">
        <v>131</v>
      </c>
      <c r="BB1625" t="s">
        <v>131</v>
      </c>
      <c r="BC1625" t="s">
        <v>131</v>
      </c>
      <c r="BD1625" t="s">
        <v>131</v>
      </c>
      <c r="BE1625" t="s">
        <v>132</v>
      </c>
      <c r="BH1625" t="s">
        <v>6341</v>
      </c>
      <c r="BI1625" t="s">
        <v>131</v>
      </c>
      <c r="BL1625" t="s">
        <v>188</v>
      </c>
      <c r="BN1625" t="s">
        <v>2786</v>
      </c>
      <c r="BO1625" t="s">
        <v>131</v>
      </c>
      <c r="BP1625" t="s">
        <v>134</v>
      </c>
      <c r="BQ1625" t="s">
        <v>131</v>
      </c>
      <c r="BS1625" t="str">
        <f t="shared" si="100"/>
        <v>N/A</v>
      </c>
      <c r="BT1625" t="s">
        <v>131</v>
      </c>
      <c r="BV1625" t="str">
        <f>""</f>
        <v/>
      </c>
      <c r="BW1625" t="s">
        <v>135</v>
      </c>
      <c r="BX1625" t="str">
        <f>""</f>
        <v/>
      </c>
      <c r="BY1625" t="str">
        <f>""</f>
        <v/>
      </c>
      <c r="BZ1625" t="str">
        <f>""</f>
        <v/>
      </c>
      <c r="CA1625" t="s">
        <v>2572</v>
      </c>
      <c r="CB1625" t="s">
        <v>135</v>
      </c>
      <c r="CC1625" t="s">
        <v>133</v>
      </c>
      <c r="CE1625" t="s">
        <v>2786</v>
      </c>
      <c r="CF1625" t="s">
        <v>131</v>
      </c>
      <c r="CH1625" t="str">
        <f>"N/A"</f>
        <v>N/A</v>
      </c>
      <c r="CI1625" t="s">
        <v>135</v>
      </c>
      <c r="CJ1625">
        <v>60</v>
      </c>
      <c r="CK1625" t="s">
        <v>131</v>
      </c>
      <c r="CL1625" t="str">
        <f>""</f>
        <v/>
      </c>
      <c r="CM1625" t="str">
        <f>""</f>
        <v/>
      </c>
      <c r="CN1625" t="str">
        <f>""</f>
        <v/>
      </c>
      <c r="CO1625" t="str">
        <f>""</f>
        <v/>
      </c>
      <c r="CP1625" t="str">
        <f>"15-1132.00"</f>
        <v>15-1132.00</v>
      </c>
      <c r="CQ1625" t="s">
        <v>198</v>
      </c>
      <c r="CR1625" t="s">
        <v>849</v>
      </c>
      <c r="CS1625" t="s">
        <v>131</v>
      </c>
      <c r="CU1625" t="s">
        <v>6339</v>
      </c>
      <c r="CV1625" t="s">
        <v>6342</v>
      </c>
      <c r="CW1625" t="s">
        <v>3387</v>
      </c>
      <c r="CX1625" t="s">
        <v>276</v>
      </c>
      <c r="CZ1625" s="3" t="str">
        <f>"08619"</f>
        <v>08619</v>
      </c>
      <c r="DA1625" t="s">
        <v>131</v>
      </c>
      <c r="DB1625" t="str">
        <f>""</f>
        <v/>
      </c>
      <c r="DF1625" t="str">
        <f>""</f>
        <v/>
      </c>
    </row>
    <row r="1626" spans="1:110" ht="15" customHeight="1" x14ac:dyDescent="0.35">
      <c r="A1626" t="s">
        <v>15274</v>
      </c>
      <c r="B1626" t="s">
        <v>138</v>
      </c>
      <c r="C1626" s="1">
        <v>44337</v>
      </c>
      <c r="G1626" s="1">
        <v>44341</v>
      </c>
      <c r="H1626" t="s">
        <v>125</v>
      </c>
      <c r="I1626" t="s">
        <v>12362</v>
      </c>
      <c r="J1626" t="s">
        <v>12363</v>
      </c>
      <c r="L1626" t="s">
        <v>12364</v>
      </c>
      <c r="M1626" t="s">
        <v>12365</v>
      </c>
      <c r="N1626" t="s">
        <v>12366</v>
      </c>
      <c r="O1626" t="s">
        <v>1513</v>
      </c>
      <c r="P1626" t="s">
        <v>412</v>
      </c>
      <c r="Q1626" s="3">
        <v>75234</v>
      </c>
      <c r="R1626" t="s">
        <v>128</v>
      </c>
      <c r="T1626" s="4">
        <v>19722433233</v>
      </c>
      <c r="V1626" t="s">
        <v>12367</v>
      </c>
      <c r="W1626" t="s">
        <v>12368</v>
      </c>
      <c r="Y1626" t="s">
        <v>12365</v>
      </c>
      <c r="Z1626" t="s">
        <v>12366</v>
      </c>
      <c r="AA1626" t="s">
        <v>1513</v>
      </c>
      <c r="AB1626" t="s">
        <v>400</v>
      </c>
      <c r="AC1626" s="3" t="str">
        <f>"75234"</f>
        <v>75234</v>
      </c>
      <c r="AD1626" t="s">
        <v>128</v>
      </c>
      <c r="AF1626" s="4">
        <v>19722433233</v>
      </c>
      <c r="AH1626" t="str">
        <f>"54151"</f>
        <v>54151</v>
      </c>
      <c r="AI1626" t="s">
        <v>130</v>
      </c>
      <c r="AJ1626" t="s">
        <v>12369</v>
      </c>
      <c r="AK1626" t="s">
        <v>15275</v>
      </c>
      <c r="AL1626" t="s">
        <v>655</v>
      </c>
      <c r="AM1626" t="s">
        <v>9955</v>
      </c>
      <c r="AO1626" t="s">
        <v>2358</v>
      </c>
      <c r="AP1626" t="s">
        <v>172</v>
      </c>
      <c r="AQ1626" s="5">
        <v>95054</v>
      </c>
      <c r="AR1626" t="s">
        <v>128</v>
      </c>
      <c r="AT1626" s="4">
        <v>14089700100</v>
      </c>
      <c r="AV1626" t="s">
        <v>15276</v>
      </c>
      <c r="AW1626" t="s">
        <v>15277</v>
      </c>
      <c r="AX1626" t="s">
        <v>131</v>
      </c>
      <c r="AY1626" t="s">
        <v>131</v>
      </c>
      <c r="AZ1626" t="s">
        <v>131</v>
      </c>
      <c r="BA1626" t="s">
        <v>131</v>
      </c>
      <c r="BB1626" t="s">
        <v>131</v>
      </c>
      <c r="BC1626" t="s">
        <v>131</v>
      </c>
      <c r="BD1626" t="s">
        <v>131</v>
      </c>
      <c r="BE1626" t="s">
        <v>132</v>
      </c>
      <c r="BH1626" t="s">
        <v>15278</v>
      </c>
      <c r="BI1626" t="s">
        <v>131</v>
      </c>
      <c r="BL1626" t="s">
        <v>188</v>
      </c>
      <c r="BN1626" t="s">
        <v>12370</v>
      </c>
      <c r="BO1626" t="s">
        <v>131</v>
      </c>
      <c r="BP1626" t="s">
        <v>134</v>
      </c>
      <c r="BQ1626" t="s">
        <v>131</v>
      </c>
      <c r="BS1626" t="str">
        <f t="shared" si="100"/>
        <v>N/A</v>
      </c>
      <c r="BT1626" t="s">
        <v>131</v>
      </c>
      <c r="BV1626" t="str">
        <f>""</f>
        <v/>
      </c>
      <c r="BW1626" t="s">
        <v>131</v>
      </c>
      <c r="BX1626" t="str">
        <f>""</f>
        <v/>
      </c>
      <c r="BY1626" t="str">
        <f>""</f>
        <v/>
      </c>
      <c r="BZ1626" t="str">
        <f>""</f>
        <v/>
      </c>
      <c r="CA1626" t="str">
        <f>""</f>
        <v/>
      </c>
      <c r="CB1626" t="s">
        <v>131</v>
      </c>
      <c r="CF1626" t="s">
        <v>131</v>
      </c>
      <c r="CH1626" t="str">
        <f>""</f>
        <v/>
      </c>
      <c r="CI1626" t="s">
        <v>131</v>
      </c>
      <c r="CK1626" t="s">
        <v>131</v>
      </c>
      <c r="CL1626" t="str">
        <f>""</f>
        <v/>
      </c>
      <c r="CM1626" t="str">
        <f>""</f>
        <v/>
      </c>
      <c r="CN1626" t="str">
        <f>""</f>
        <v/>
      </c>
      <c r="CO1626" t="str">
        <f>""</f>
        <v/>
      </c>
      <c r="CP1626" t="str">
        <f>"15-1132.00"</f>
        <v>15-1132.00</v>
      </c>
      <c r="CQ1626" t="s">
        <v>198</v>
      </c>
      <c r="CR1626" t="s">
        <v>12371</v>
      </c>
      <c r="CS1626" t="s">
        <v>131</v>
      </c>
      <c r="CU1626" t="s">
        <v>12372</v>
      </c>
      <c r="CV1626" t="s">
        <v>12373</v>
      </c>
      <c r="CW1626" t="s">
        <v>1999</v>
      </c>
      <c r="CX1626" t="s">
        <v>400</v>
      </c>
      <c r="CZ1626" s="3" t="str">
        <f>"75234"</f>
        <v>75234</v>
      </c>
      <c r="DA1626" t="s">
        <v>131</v>
      </c>
      <c r="DB1626" t="str">
        <f>""</f>
        <v/>
      </c>
      <c r="DF1626" t="str">
        <f>""</f>
        <v/>
      </c>
    </row>
    <row r="1627" spans="1:110" ht="15" customHeight="1" x14ac:dyDescent="0.35">
      <c r="A1627" t="s">
        <v>19779</v>
      </c>
      <c r="B1627" t="s">
        <v>138</v>
      </c>
      <c r="C1627" s="1">
        <v>44337</v>
      </c>
      <c r="G1627" s="1">
        <v>44343</v>
      </c>
      <c r="H1627" t="s">
        <v>125</v>
      </c>
      <c r="I1627" t="s">
        <v>19780</v>
      </c>
      <c r="J1627" t="s">
        <v>3350</v>
      </c>
      <c r="L1627" t="s">
        <v>1248</v>
      </c>
      <c r="M1627" t="s">
        <v>2833</v>
      </c>
      <c r="N1627" t="s">
        <v>380</v>
      </c>
      <c r="O1627" t="s">
        <v>885</v>
      </c>
      <c r="P1627" t="s">
        <v>412</v>
      </c>
      <c r="Q1627" s="3">
        <v>77043</v>
      </c>
      <c r="R1627" t="s">
        <v>128</v>
      </c>
      <c r="T1627" s="4">
        <v>14695052764</v>
      </c>
      <c r="V1627" t="s">
        <v>3351</v>
      </c>
      <c r="W1627" t="s">
        <v>4748</v>
      </c>
      <c r="Y1627" t="s">
        <v>3353</v>
      </c>
      <c r="AA1627" t="s">
        <v>661</v>
      </c>
      <c r="AB1627" t="s">
        <v>172</v>
      </c>
      <c r="AC1627" s="3" t="str">
        <f>"94404"</f>
        <v>94404</v>
      </c>
      <c r="AD1627" t="s">
        <v>128</v>
      </c>
      <c r="AE1627" t="s">
        <v>172</v>
      </c>
      <c r="AF1627" s="4">
        <v>16504328837</v>
      </c>
      <c r="AH1627" t="str">
        <f>"52232"</f>
        <v>52232</v>
      </c>
      <c r="AI1627" t="s">
        <v>130</v>
      </c>
      <c r="AJ1627" t="s">
        <v>3354</v>
      </c>
      <c r="AK1627" t="s">
        <v>3350</v>
      </c>
      <c r="AM1627" t="s">
        <v>2833</v>
      </c>
      <c r="AN1627" t="s">
        <v>380</v>
      </c>
      <c r="AO1627" t="s">
        <v>885</v>
      </c>
      <c r="AP1627" t="s">
        <v>400</v>
      </c>
      <c r="AQ1627" s="5">
        <v>77043</v>
      </c>
      <c r="AR1627" t="s">
        <v>128</v>
      </c>
      <c r="AT1627" s="4">
        <v>14695052764</v>
      </c>
      <c r="AV1627" t="s">
        <v>3351</v>
      </c>
      <c r="AW1627" t="s">
        <v>367</v>
      </c>
      <c r="AX1627" t="s">
        <v>131</v>
      </c>
      <c r="AY1627" t="s">
        <v>131</v>
      </c>
      <c r="AZ1627" t="s">
        <v>131</v>
      </c>
      <c r="BA1627" t="s">
        <v>131</v>
      </c>
      <c r="BB1627" t="s">
        <v>131</v>
      </c>
      <c r="BC1627" t="s">
        <v>131</v>
      </c>
      <c r="BD1627" t="s">
        <v>131</v>
      </c>
      <c r="BE1627" t="s">
        <v>132</v>
      </c>
      <c r="BH1627" t="s">
        <v>12174</v>
      </c>
      <c r="BI1627" t="s">
        <v>131</v>
      </c>
      <c r="BL1627" t="s">
        <v>188</v>
      </c>
      <c r="BN1627" t="s">
        <v>4750</v>
      </c>
      <c r="BO1627" t="s">
        <v>131</v>
      </c>
      <c r="BP1627" t="s">
        <v>134</v>
      </c>
      <c r="BQ1627" t="s">
        <v>131</v>
      </c>
      <c r="BS1627" t="str">
        <f t="shared" si="100"/>
        <v>N/A</v>
      </c>
      <c r="BT1627" t="s">
        <v>135</v>
      </c>
      <c r="BU1627">
        <v>24</v>
      </c>
      <c r="BV1627" t="str">
        <f>"See F.b.5.a(iv)"</f>
        <v>See F.b.5.a(iv)</v>
      </c>
      <c r="BW1627" t="s">
        <v>135</v>
      </c>
      <c r="BX1627" t="str">
        <f>""</f>
        <v/>
      </c>
      <c r="BY1627" t="str">
        <f>""</f>
        <v/>
      </c>
      <c r="BZ1627" t="str">
        <f>""</f>
        <v/>
      </c>
      <c r="CA1627" s="2" t="s">
        <v>19781</v>
      </c>
      <c r="CB1627" t="s">
        <v>131</v>
      </c>
      <c r="CF1627" t="s">
        <v>131</v>
      </c>
      <c r="CH1627" t="str">
        <f>""</f>
        <v/>
      </c>
      <c r="CI1627" t="s">
        <v>131</v>
      </c>
      <c r="CK1627" t="s">
        <v>131</v>
      </c>
      <c r="CL1627" t="str">
        <f>""</f>
        <v/>
      </c>
      <c r="CM1627" t="str">
        <f>""</f>
        <v/>
      </c>
      <c r="CN1627" t="str">
        <f>""</f>
        <v/>
      </c>
      <c r="CO1627" t="str">
        <f>""</f>
        <v/>
      </c>
      <c r="CP1627" t="str">
        <f>"15-1133.00"</f>
        <v>15-1133.00</v>
      </c>
      <c r="CQ1627" t="s">
        <v>648</v>
      </c>
      <c r="CS1627" t="s">
        <v>131</v>
      </c>
      <c r="CU1627" t="s">
        <v>15399</v>
      </c>
      <c r="CV1627" t="s">
        <v>698</v>
      </c>
      <c r="CW1627" t="s">
        <v>5208</v>
      </c>
      <c r="CX1627" t="s">
        <v>444</v>
      </c>
      <c r="CZ1627" s="3" t="str">
        <f>"44060"</f>
        <v>44060</v>
      </c>
      <c r="DA1627" t="s">
        <v>131</v>
      </c>
      <c r="DB1627" t="str">
        <f>""</f>
        <v/>
      </c>
      <c r="DF1627" t="str">
        <f>""</f>
        <v/>
      </c>
    </row>
    <row r="1628" spans="1:110" ht="15" customHeight="1" x14ac:dyDescent="0.35">
      <c r="A1628" t="s">
        <v>6767</v>
      </c>
      <c r="B1628" t="s">
        <v>138</v>
      </c>
      <c r="C1628" s="1">
        <v>44337</v>
      </c>
      <c r="G1628" s="1">
        <v>44341</v>
      </c>
      <c r="H1628" t="s">
        <v>125</v>
      </c>
      <c r="I1628" t="s">
        <v>6768</v>
      </c>
      <c r="J1628" t="s">
        <v>6769</v>
      </c>
      <c r="K1628" t="s">
        <v>134</v>
      </c>
      <c r="L1628" t="s">
        <v>6770</v>
      </c>
      <c r="M1628" t="s">
        <v>6771</v>
      </c>
      <c r="N1628" t="s">
        <v>554</v>
      </c>
      <c r="O1628" t="s">
        <v>1447</v>
      </c>
      <c r="P1628" t="s">
        <v>412</v>
      </c>
      <c r="Q1628" s="3">
        <v>75024</v>
      </c>
      <c r="R1628" t="s">
        <v>128</v>
      </c>
      <c r="S1628" t="s">
        <v>134</v>
      </c>
      <c r="T1628" s="4">
        <v>13128033669</v>
      </c>
      <c r="V1628" t="s">
        <v>6772</v>
      </c>
      <c r="W1628" t="s">
        <v>6773</v>
      </c>
      <c r="X1628" t="s">
        <v>134</v>
      </c>
      <c r="Y1628" t="s">
        <v>6771</v>
      </c>
      <c r="Z1628" t="s">
        <v>554</v>
      </c>
      <c r="AA1628" t="s">
        <v>1447</v>
      </c>
      <c r="AB1628" t="s">
        <v>400</v>
      </c>
      <c r="AC1628" s="3" t="str">
        <f>"75024"</f>
        <v>75024</v>
      </c>
      <c r="AD1628" t="s">
        <v>128</v>
      </c>
      <c r="AE1628" t="s">
        <v>134</v>
      </c>
      <c r="AF1628" s="4">
        <v>13128033669</v>
      </c>
      <c r="AG1628" t="s">
        <v>134</v>
      </c>
      <c r="AH1628" t="str">
        <f>"541614"</f>
        <v>541614</v>
      </c>
      <c r="AI1628" t="s">
        <v>130</v>
      </c>
      <c r="AJ1628" t="s">
        <v>6774</v>
      </c>
      <c r="AK1628" t="s">
        <v>6775</v>
      </c>
      <c r="AL1628" t="s">
        <v>6776</v>
      </c>
      <c r="AM1628" t="s">
        <v>6777</v>
      </c>
      <c r="AN1628" t="s">
        <v>134</v>
      </c>
      <c r="AO1628" t="s">
        <v>2832</v>
      </c>
      <c r="AP1628" t="s">
        <v>400</v>
      </c>
      <c r="AQ1628" s="5">
        <v>77222</v>
      </c>
      <c r="AR1628" t="s">
        <v>128</v>
      </c>
      <c r="AT1628" s="4">
        <v>12814935529</v>
      </c>
      <c r="AV1628" t="s">
        <v>5205</v>
      </c>
      <c r="AW1628" t="s">
        <v>6778</v>
      </c>
      <c r="AX1628" t="s">
        <v>131</v>
      </c>
      <c r="AY1628" t="s">
        <v>131</v>
      </c>
      <c r="AZ1628" t="s">
        <v>131</v>
      </c>
      <c r="BA1628" t="s">
        <v>131</v>
      </c>
      <c r="BB1628" t="s">
        <v>131</v>
      </c>
      <c r="BC1628" t="s">
        <v>131</v>
      </c>
      <c r="BD1628" t="s">
        <v>131</v>
      </c>
      <c r="BE1628" t="s">
        <v>132</v>
      </c>
      <c r="BH1628" t="s">
        <v>6779</v>
      </c>
      <c r="BI1628" t="s">
        <v>135</v>
      </c>
      <c r="BJ1628" t="s">
        <v>282</v>
      </c>
      <c r="BK1628" t="s">
        <v>283</v>
      </c>
      <c r="BL1628" t="s">
        <v>133</v>
      </c>
      <c r="BN1628" t="s">
        <v>6780</v>
      </c>
      <c r="BO1628" t="s">
        <v>131</v>
      </c>
      <c r="BP1628" t="s">
        <v>134</v>
      </c>
      <c r="BQ1628" t="s">
        <v>131</v>
      </c>
      <c r="BS1628" t="str">
        <f t="shared" si="100"/>
        <v>N/A</v>
      </c>
      <c r="BT1628" t="s">
        <v>135</v>
      </c>
      <c r="BU1628">
        <v>84</v>
      </c>
      <c r="BV1628" t="str">
        <f>"Experience in a Supply Chain, Export, Import, &amp; Domestic Execution related occupation in the following industry verticals: Agriculture, Horticulture, Meat, Wine/Beer/Spirits."</f>
        <v>Experience in a Supply Chain, Export, Import, &amp; Domestic Execution related occupation in the following industry verticals: Agriculture, Horticulture, Meat, Wine/Beer/Spirits.</v>
      </c>
      <c r="BW1628" t="s">
        <v>135</v>
      </c>
      <c r="BX1628" t="str">
        <f>""</f>
        <v/>
      </c>
      <c r="BY1628" t="str">
        <f>""</f>
        <v/>
      </c>
      <c r="BZ1628" t="str">
        <f>""</f>
        <v/>
      </c>
      <c r="CA1628" s="2" t="s">
        <v>6781</v>
      </c>
      <c r="CB1628" t="s">
        <v>131</v>
      </c>
      <c r="CF1628" t="s">
        <v>131</v>
      </c>
      <c r="CH1628" t="str">
        <f>""</f>
        <v/>
      </c>
      <c r="CI1628" t="s">
        <v>131</v>
      </c>
      <c r="CK1628" t="s">
        <v>131</v>
      </c>
      <c r="CL1628" t="str">
        <f>""</f>
        <v/>
      </c>
      <c r="CM1628" t="str">
        <f>""</f>
        <v/>
      </c>
      <c r="CN1628" t="str">
        <f>""</f>
        <v/>
      </c>
      <c r="CO1628" t="str">
        <f>""</f>
        <v/>
      </c>
      <c r="CP1628" t="str">
        <f>"11-1021.00"</f>
        <v>11-1021.00</v>
      </c>
      <c r="CQ1628" t="s">
        <v>1296</v>
      </c>
      <c r="CR1628" t="s">
        <v>6770</v>
      </c>
      <c r="CS1628" t="s">
        <v>135</v>
      </c>
      <c r="CT1628" t="s">
        <v>6782</v>
      </c>
      <c r="CU1628" t="s">
        <v>6771</v>
      </c>
      <c r="CV1628" t="s">
        <v>554</v>
      </c>
      <c r="CW1628" t="s">
        <v>1447</v>
      </c>
      <c r="CX1628" t="s">
        <v>400</v>
      </c>
      <c r="CZ1628" s="3" t="str">
        <f>"75024"</f>
        <v>75024</v>
      </c>
      <c r="DA1628" t="s">
        <v>131</v>
      </c>
      <c r="DB1628" t="str">
        <f>""</f>
        <v/>
      </c>
      <c r="DF1628" t="str">
        <f>""</f>
        <v/>
      </c>
    </row>
    <row r="1629" spans="1:110" ht="15" customHeight="1" x14ac:dyDescent="0.35">
      <c r="A1629" t="s">
        <v>12571</v>
      </c>
      <c r="B1629" t="s">
        <v>138</v>
      </c>
      <c r="C1629" s="1">
        <v>44337</v>
      </c>
      <c r="G1629" s="1">
        <v>44337</v>
      </c>
      <c r="H1629" t="s">
        <v>125</v>
      </c>
      <c r="I1629" t="s">
        <v>12380</v>
      </c>
      <c r="J1629" t="s">
        <v>12381</v>
      </c>
      <c r="L1629" t="s">
        <v>361</v>
      </c>
      <c r="M1629" t="s">
        <v>4593</v>
      </c>
      <c r="N1629" t="s">
        <v>6673</v>
      </c>
      <c r="O1629" t="s">
        <v>2035</v>
      </c>
      <c r="P1629" t="s">
        <v>588</v>
      </c>
      <c r="Q1629" s="3">
        <v>20171</v>
      </c>
      <c r="R1629" t="s">
        <v>128</v>
      </c>
      <c r="T1629" s="4">
        <v>15713987296</v>
      </c>
      <c r="V1629" t="s">
        <v>12382</v>
      </c>
      <c r="W1629" t="s">
        <v>12383</v>
      </c>
      <c r="X1629" t="s">
        <v>12572</v>
      </c>
      <c r="Y1629" t="s">
        <v>4593</v>
      </c>
      <c r="Z1629" t="s">
        <v>6673</v>
      </c>
      <c r="AA1629" t="s">
        <v>2035</v>
      </c>
      <c r="AB1629" t="s">
        <v>306</v>
      </c>
      <c r="AC1629" s="3" t="str">
        <f>"20171"</f>
        <v>20171</v>
      </c>
      <c r="AD1629" t="s">
        <v>128</v>
      </c>
      <c r="AF1629" s="4">
        <v>15713987296</v>
      </c>
      <c r="AH1629" t="str">
        <f>"561320"</f>
        <v>561320</v>
      </c>
      <c r="AI1629" t="s">
        <v>130</v>
      </c>
      <c r="AJ1629" t="s">
        <v>4595</v>
      </c>
      <c r="AK1629" t="s">
        <v>1668</v>
      </c>
      <c r="AM1629" t="s">
        <v>4596</v>
      </c>
      <c r="AN1629" t="s">
        <v>1817</v>
      </c>
      <c r="AO1629" t="s">
        <v>742</v>
      </c>
      <c r="AP1629" t="s">
        <v>306</v>
      </c>
      <c r="AQ1629" s="5">
        <v>23226</v>
      </c>
      <c r="AR1629" t="s">
        <v>128</v>
      </c>
      <c r="AT1629" s="4">
        <v>18043963412</v>
      </c>
      <c r="AV1629" t="s">
        <v>12384</v>
      </c>
      <c r="AW1629" t="s">
        <v>4598</v>
      </c>
      <c r="AX1629" t="s">
        <v>131</v>
      </c>
      <c r="AY1629" t="s">
        <v>131</v>
      </c>
      <c r="AZ1629" t="s">
        <v>131</v>
      </c>
      <c r="BA1629" t="s">
        <v>131</v>
      </c>
      <c r="BB1629" t="s">
        <v>131</v>
      </c>
      <c r="BC1629" t="s">
        <v>131</v>
      </c>
      <c r="BD1629" t="s">
        <v>131</v>
      </c>
      <c r="BE1629" t="s">
        <v>132</v>
      </c>
      <c r="BH1629" t="s">
        <v>1635</v>
      </c>
      <c r="BI1629" t="s">
        <v>131</v>
      </c>
      <c r="BL1629" t="s">
        <v>188</v>
      </c>
      <c r="BN1629" t="s">
        <v>12385</v>
      </c>
      <c r="BO1629" t="s">
        <v>131</v>
      </c>
      <c r="BP1629" t="s">
        <v>134</v>
      </c>
      <c r="BQ1629" t="s">
        <v>131</v>
      </c>
      <c r="BS1629" t="str">
        <f t="shared" si="100"/>
        <v>N/A</v>
      </c>
      <c r="BT1629" t="s">
        <v>135</v>
      </c>
      <c r="BU1629">
        <v>24</v>
      </c>
      <c r="BV1629" t="str">
        <f>"ETL Developer, Software Developer or related"</f>
        <v>ETL Developer, Software Developer or related</v>
      </c>
      <c r="BW1629" t="s">
        <v>131</v>
      </c>
      <c r="BX1629" t="str">
        <f>""</f>
        <v/>
      </c>
      <c r="BY1629" t="str">
        <f>""</f>
        <v/>
      </c>
      <c r="BZ1629" t="str">
        <f>""</f>
        <v/>
      </c>
      <c r="CA1629" t="str">
        <f>""</f>
        <v/>
      </c>
      <c r="CB1629" t="s">
        <v>135</v>
      </c>
      <c r="CC1629" t="s">
        <v>133</v>
      </c>
      <c r="CE1629" t="s">
        <v>12385</v>
      </c>
      <c r="CF1629" t="s">
        <v>131</v>
      </c>
      <c r="CH1629" t="str">
        <f>"N/A"</f>
        <v>N/A</v>
      </c>
      <c r="CI1629" t="s">
        <v>135</v>
      </c>
      <c r="CJ1629">
        <v>60</v>
      </c>
      <c r="CK1629" t="s">
        <v>131</v>
      </c>
      <c r="CL1629" t="str">
        <f>""</f>
        <v/>
      </c>
      <c r="CM1629" t="str">
        <f>""</f>
        <v/>
      </c>
      <c r="CN1629" t="str">
        <f>""</f>
        <v/>
      </c>
      <c r="CO1629" t="str">
        <f>""</f>
        <v/>
      </c>
      <c r="CP1629" t="str">
        <f>"15-1121.00"</f>
        <v>15-1121.00</v>
      </c>
      <c r="CQ1629" t="s">
        <v>283</v>
      </c>
      <c r="CS1629" t="s">
        <v>131</v>
      </c>
      <c r="CU1629" t="s">
        <v>4593</v>
      </c>
      <c r="CV1629" t="s">
        <v>6673</v>
      </c>
      <c r="CW1629" t="s">
        <v>2035</v>
      </c>
      <c r="CX1629" t="s">
        <v>306</v>
      </c>
      <c r="CZ1629" s="3" t="str">
        <f>"20171"</f>
        <v>20171</v>
      </c>
      <c r="DA1629" t="s">
        <v>135</v>
      </c>
      <c r="DB1629" t="str">
        <f>""</f>
        <v/>
      </c>
      <c r="DF1629" t="str">
        <f>""</f>
        <v/>
      </c>
    </row>
    <row r="1630" spans="1:110" ht="15" customHeight="1" x14ac:dyDescent="0.35">
      <c r="A1630" t="s">
        <v>14712</v>
      </c>
      <c r="B1630" t="s">
        <v>138</v>
      </c>
      <c r="C1630" s="1">
        <v>44337</v>
      </c>
      <c r="G1630" s="1">
        <v>44337</v>
      </c>
      <c r="H1630" t="s">
        <v>125</v>
      </c>
      <c r="I1630" t="s">
        <v>1286</v>
      </c>
      <c r="J1630" t="s">
        <v>1290</v>
      </c>
      <c r="L1630" t="s">
        <v>3089</v>
      </c>
      <c r="M1630" t="s">
        <v>1288</v>
      </c>
      <c r="N1630" t="s">
        <v>1291</v>
      </c>
      <c r="O1630" t="s">
        <v>1196</v>
      </c>
      <c r="P1630" t="s">
        <v>539</v>
      </c>
      <c r="Q1630" s="3">
        <v>60173</v>
      </c>
      <c r="R1630" t="s">
        <v>128</v>
      </c>
      <c r="T1630" s="4">
        <v>18479951515</v>
      </c>
      <c r="U1630">
        <v>222</v>
      </c>
      <c r="V1630" t="s">
        <v>1289</v>
      </c>
      <c r="W1630" t="s">
        <v>6349</v>
      </c>
      <c r="Y1630" t="s">
        <v>6350</v>
      </c>
      <c r="Z1630" t="s">
        <v>6351</v>
      </c>
      <c r="AA1630" t="s">
        <v>6352</v>
      </c>
      <c r="AB1630" t="s">
        <v>400</v>
      </c>
      <c r="AC1630" s="3" t="str">
        <f>"78613"</f>
        <v>78613</v>
      </c>
      <c r="AD1630" t="s">
        <v>128</v>
      </c>
      <c r="AF1630" s="4">
        <v>15123332477</v>
      </c>
      <c r="AH1630" t="str">
        <f>"541511"</f>
        <v>541511</v>
      </c>
      <c r="AI1630" t="s">
        <v>287</v>
      </c>
      <c r="AJ1630" t="s">
        <v>1286</v>
      </c>
      <c r="AK1630" t="s">
        <v>1290</v>
      </c>
      <c r="AM1630" t="s">
        <v>1288</v>
      </c>
      <c r="AN1630" t="s">
        <v>1291</v>
      </c>
      <c r="AO1630" t="s">
        <v>1196</v>
      </c>
      <c r="AP1630" t="s">
        <v>400</v>
      </c>
      <c r="AQ1630" s="5">
        <v>60173</v>
      </c>
      <c r="AR1630" t="s">
        <v>128</v>
      </c>
      <c r="AT1630" s="4">
        <v>18479951515</v>
      </c>
      <c r="AU1630">
        <v>222</v>
      </c>
      <c r="AV1630" t="s">
        <v>1289</v>
      </c>
      <c r="AW1630" t="s">
        <v>3090</v>
      </c>
      <c r="AX1630" t="s">
        <v>131</v>
      </c>
      <c r="AY1630" t="s">
        <v>131</v>
      </c>
      <c r="AZ1630" t="s">
        <v>131</v>
      </c>
      <c r="BA1630" t="s">
        <v>131</v>
      </c>
      <c r="BB1630" t="s">
        <v>131</v>
      </c>
      <c r="BC1630" t="s">
        <v>131</v>
      </c>
      <c r="BD1630" t="s">
        <v>131</v>
      </c>
      <c r="BE1630" t="s">
        <v>132</v>
      </c>
      <c r="BH1630" t="s">
        <v>3560</v>
      </c>
      <c r="BI1630" t="s">
        <v>131</v>
      </c>
      <c r="BL1630" t="s">
        <v>188</v>
      </c>
      <c r="BN1630" t="s">
        <v>14713</v>
      </c>
      <c r="BO1630" t="s">
        <v>131</v>
      </c>
      <c r="BP1630" t="s">
        <v>134</v>
      </c>
      <c r="BQ1630" t="s">
        <v>131</v>
      </c>
      <c r="BS1630" t="str">
        <f t="shared" si="100"/>
        <v>N/A</v>
      </c>
      <c r="BT1630" t="s">
        <v>131</v>
      </c>
      <c r="BV1630" t="str">
        <f>""</f>
        <v/>
      </c>
      <c r="BW1630" t="s">
        <v>135</v>
      </c>
      <c r="BX1630" t="str">
        <f>""</f>
        <v/>
      </c>
      <c r="BY1630" t="str">
        <f>""</f>
        <v/>
      </c>
      <c r="BZ1630" t="str">
        <f>""</f>
        <v/>
      </c>
      <c r="CA1630" t="str">
        <f>"Any suitable combination of education, training or experience is acceptable."</f>
        <v>Any suitable combination of education, training or experience is acceptable.</v>
      </c>
      <c r="CB1630" t="s">
        <v>131</v>
      </c>
      <c r="CF1630" t="s">
        <v>131</v>
      </c>
      <c r="CH1630" t="str">
        <f>""</f>
        <v/>
      </c>
      <c r="CI1630" t="s">
        <v>131</v>
      </c>
      <c r="CK1630" t="s">
        <v>131</v>
      </c>
      <c r="CL1630" t="str">
        <f>""</f>
        <v/>
      </c>
      <c r="CM1630" t="str">
        <f>""</f>
        <v/>
      </c>
      <c r="CN1630" t="str">
        <f>""</f>
        <v/>
      </c>
      <c r="CO1630" t="str">
        <f>""</f>
        <v/>
      </c>
      <c r="CP1630" t="str">
        <f>"15-1142.00"</f>
        <v>15-1142.00</v>
      </c>
      <c r="CQ1630" t="s">
        <v>960</v>
      </c>
      <c r="CR1630" t="s">
        <v>460</v>
      </c>
      <c r="CS1630" t="s">
        <v>135</v>
      </c>
      <c r="CT1630" t="s">
        <v>11587</v>
      </c>
      <c r="CU1630" t="s">
        <v>14714</v>
      </c>
      <c r="CV1630" t="s">
        <v>14715</v>
      </c>
      <c r="CW1630" t="s">
        <v>6352</v>
      </c>
      <c r="CX1630" t="s">
        <v>400</v>
      </c>
      <c r="CZ1630" s="3" t="str">
        <f>"78613"</f>
        <v>78613</v>
      </c>
      <c r="DA1630" t="s">
        <v>131</v>
      </c>
      <c r="DB1630" t="str">
        <f>""</f>
        <v/>
      </c>
      <c r="DF1630" t="str">
        <f>""</f>
        <v/>
      </c>
    </row>
    <row r="1631" spans="1:110" ht="15" customHeight="1" x14ac:dyDescent="0.35">
      <c r="A1631" t="s">
        <v>10453</v>
      </c>
      <c r="B1631" t="s">
        <v>138</v>
      </c>
      <c r="C1631" s="1">
        <v>44337</v>
      </c>
      <c r="G1631" s="1">
        <v>44350</v>
      </c>
      <c r="H1631" t="s">
        <v>125</v>
      </c>
      <c r="I1631" t="s">
        <v>838</v>
      </c>
      <c r="J1631" t="s">
        <v>839</v>
      </c>
      <c r="K1631" t="s">
        <v>1933</v>
      </c>
      <c r="L1631" t="s">
        <v>2565</v>
      </c>
      <c r="M1631" t="s">
        <v>841</v>
      </c>
      <c r="N1631" t="s">
        <v>842</v>
      </c>
      <c r="O1631" t="s">
        <v>843</v>
      </c>
      <c r="P1631" t="s">
        <v>273</v>
      </c>
      <c r="Q1631" s="3">
        <v>7080</v>
      </c>
      <c r="R1631" t="s">
        <v>128</v>
      </c>
      <c r="T1631" s="4">
        <v>17328327978</v>
      </c>
      <c r="V1631" t="s">
        <v>844</v>
      </c>
      <c r="W1631" t="s">
        <v>8923</v>
      </c>
      <c r="Y1631" t="s">
        <v>841</v>
      </c>
      <c r="Z1631" t="s">
        <v>8922</v>
      </c>
      <c r="AA1631" t="s">
        <v>843</v>
      </c>
      <c r="AB1631" t="s">
        <v>276</v>
      </c>
      <c r="AC1631" s="3" t="str">
        <f>"07080"</f>
        <v>07080</v>
      </c>
      <c r="AD1631" t="s">
        <v>128</v>
      </c>
      <c r="AF1631" s="4">
        <v>17324381906</v>
      </c>
      <c r="AH1631" t="str">
        <f>"541512"</f>
        <v>541512</v>
      </c>
      <c r="AI1631" t="s">
        <v>130</v>
      </c>
      <c r="AJ1631" t="s">
        <v>838</v>
      </c>
      <c r="AK1631" t="s">
        <v>839</v>
      </c>
      <c r="AL1631" t="s">
        <v>1933</v>
      </c>
      <c r="AM1631" t="s">
        <v>841</v>
      </c>
      <c r="AN1631" t="s">
        <v>842</v>
      </c>
      <c r="AO1631" t="s">
        <v>843</v>
      </c>
      <c r="AP1631" t="s">
        <v>276</v>
      </c>
      <c r="AQ1631" s="5">
        <v>7080</v>
      </c>
      <c r="AR1631" t="s">
        <v>128</v>
      </c>
      <c r="AT1631" s="4">
        <v>17328327978</v>
      </c>
      <c r="AV1631" t="s">
        <v>844</v>
      </c>
      <c r="AW1631" t="s">
        <v>3328</v>
      </c>
      <c r="AX1631" t="s">
        <v>131</v>
      </c>
      <c r="AY1631" t="s">
        <v>131</v>
      </c>
      <c r="AZ1631" t="s">
        <v>131</v>
      </c>
      <c r="BA1631" t="s">
        <v>131</v>
      </c>
      <c r="BB1631" t="s">
        <v>131</v>
      </c>
      <c r="BC1631" t="s">
        <v>131</v>
      </c>
      <c r="BD1631" t="s">
        <v>131</v>
      </c>
      <c r="BE1631" t="s">
        <v>132</v>
      </c>
      <c r="BH1631" t="s">
        <v>10454</v>
      </c>
      <c r="BI1631" t="s">
        <v>131</v>
      </c>
      <c r="BL1631" t="s">
        <v>133</v>
      </c>
      <c r="BN1631" t="s">
        <v>10455</v>
      </c>
      <c r="BO1631" t="s">
        <v>131</v>
      </c>
      <c r="BP1631" t="s">
        <v>134</v>
      </c>
      <c r="BQ1631" t="s">
        <v>131</v>
      </c>
      <c r="BS1631" t="str">
        <f t="shared" si="100"/>
        <v>N/A</v>
      </c>
      <c r="BT1631" t="s">
        <v>135</v>
      </c>
      <c r="BU1631">
        <v>24</v>
      </c>
      <c r="BV1631" t="str">
        <f>" job offered or related occupation"</f>
        <v xml:space="preserve"> job offered or related occupation</v>
      </c>
      <c r="BW1631" t="s">
        <v>135</v>
      </c>
      <c r="BX1631" t="str">
        <f>""</f>
        <v/>
      </c>
      <c r="BY1631" t="str">
        <f>""</f>
        <v/>
      </c>
      <c r="BZ1631" t="str">
        <f>""</f>
        <v/>
      </c>
      <c r="CA1631" t="str">
        <f>"Skills Required: Reporting Tools: QlikView or Qlik Sense or Tableau, Databases: SQL or Oracle or HANA, and  Agile, SCRUM."</f>
        <v>Skills Required: Reporting Tools: QlikView or Qlik Sense or Tableau, Databases: SQL or Oracle or HANA, and  Agile, SCRUM.</v>
      </c>
      <c r="CB1631" t="s">
        <v>131</v>
      </c>
      <c r="CF1631" t="s">
        <v>131</v>
      </c>
      <c r="CH1631" t="str">
        <f>""</f>
        <v/>
      </c>
      <c r="CI1631" t="s">
        <v>131</v>
      </c>
      <c r="CK1631" t="s">
        <v>131</v>
      </c>
      <c r="CL1631" t="str">
        <f>""</f>
        <v/>
      </c>
      <c r="CM1631" t="str">
        <f>""</f>
        <v/>
      </c>
      <c r="CN1631" t="str">
        <f>""</f>
        <v/>
      </c>
      <c r="CO1631" t="str">
        <f>""</f>
        <v/>
      </c>
      <c r="CP1631" t="str">
        <f>"15-1121.00"</f>
        <v>15-1121.00</v>
      </c>
      <c r="CQ1631" t="s">
        <v>283</v>
      </c>
      <c r="CR1631" t="s">
        <v>849</v>
      </c>
      <c r="CS1631" t="s">
        <v>131</v>
      </c>
      <c r="CU1631" t="s">
        <v>841</v>
      </c>
      <c r="CV1631" t="s">
        <v>8924</v>
      </c>
      <c r="CW1631" t="s">
        <v>843</v>
      </c>
      <c r="CX1631" t="s">
        <v>276</v>
      </c>
      <c r="CZ1631" s="3" t="str">
        <f>"07080"</f>
        <v>07080</v>
      </c>
      <c r="DA1631" t="s">
        <v>131</v>
      </c>
      <c r="DB1631" t="str">
        <f>""</f>
        <v/>
      </c>
      <c r="DF1631" t="str">
        <f>""</f>
        <v/>
      </c>
    </row>
    <row r="1632" spans="1:110" ht="15" customHeight="1" x14ac:dyDescent="0.35">
      <c r="A1632" t="s">
        <v>19895</v>
      </c>
      <c r="B1632" t="s">
        <v>138</v>
      </c>
      <c r="C1632" s="1">
        <v>44337</v>
      </c>
      <c r="G1632" s="1">
        <v>44337</v>
      </c>
      <c r="H1632" t="s">
        <v>125</v>
      </c>
      <c r="I1632" t="s">
        <v>6885</v>
      </c>
      <c r="J1632" t="s">
        <v>9945</v>
      </c>
      <c r="L1632" t="s">
        <v>17242</v>
      </c>
      <c r="M1632" t="s">
        <v>17243</v>
      </c>
      <c r="O1632" t="s">
        <v>405</v>
      </c>
      <c r="P1632" t="s">
        <v>194</v>
      </c>
      <c r="Q1632" s="3">
        <v>32835</v>
      </c>
      <c r="R1632" t="s">
        <v>128</v>
      </c>
      <c r="T1632" s="4">
        <v>14075099836</v>
      </c>
      <c r="V1632" t="s">
        <v>17244</v>
      </c>
      <c r="W1632" t="s">
        <v>17245</v>
      </c>
      <c r="Y1632" t="s">
        <v>17243</v>
      </c>
      <c r="AA1632" t="s">
        <v>405</v>
      </c>
      <c r="AB1632" t="s">
        <v>195</v>
      </c>
      <c r="AC1632" s="3" t="str">
        <f>"32835"</f>
        <v>32835</v>
      </c>
      <c r="AD1632" t="s">
        <v>128</v>
      </c>
      <c r="AF1632" s="4">
        <v>14075099836</v>
      </c>
      <c r="AH1632" t="str">
        <f>"2389"</f>
        <v>2389</v>
      </c>
      <c r="AI1632" t="s">
        <v>130</v>
      </c>
      <c r="AJ1632" t="s">
        <v>15296</v>
      </c>
      <c r="AK1632" t="s">
        <v>15297</v>
      </c>
      <c r="AM1632" t="s">
        <v>15511</v>
      </c>
      <c r="AN1632" t="s">
        <v>7937</v>
      </c>
      <c r="AO1632" t="s">
        <v>405</v>
      </c>
      <c r="AP1632" t="s">
        <v>195</v>
      </c>
      <c r="AQ1632" s="5">
        <v>32835</v>
      </c>
      <c r="AR1632" t="s">
        <v>128</v>
      </c>
      <c r="AT1632" s="4">
        <v>13212098282</v>
      </c>
      <c r="AV1632" t="s">
        <v>17246</v>
      </c>
      <c r="AW1632" t="s">
        <v>17247</v>
      </c>
      <c r="AX1632" t="s">
        <v>131</v>
      </c>
      <c r="AY1632" t="s">
        <v>131</v>
      </c>
      <c r="AZ1632" t="s">
        <v>131</v>
      </c>
      <c r="BA1632" t="s">
        <v>131</v>
      </c>
      <c r="BB1632" t="s">
        <v>131</v>
      </c>
      <c r="BC1632" t="s">
        <v>131</v>
      </c>
      <c r="BD1632" t="s">
        <v>131</v>
      </c>
      <c r="BE1632" t="s">
        <v>132</v>
      </c>
      <c r="BH1632" t="s">
        <v>5132</v>
      </c>
      <c r="BI1632" t="s">
        <v>131</v>
      </c>
      <c r="BL1632" t="s">
        <v>133</v>
      </c>
      <c r="BN1632" t="s">
        <v>19896</v>
      </c>
      <c r="BO1632" t="s">
        <v>131</v>
      </c>
      <c r="BP1632" t="s">
        <v>134</v>
      </c>
      <c r="BQ1632" t="s">
        <v>131</v>
      </c>
      <c r="BS1632" t="str">
        <f t="shared" si="100"/>
        <v>N/A</v>
      </c>
      <c r="BT1632" t="s">
        <v>135</v>
      </c>
      <c r="BU1632">
        <v>36</v>
      </c>
      <c r="BV1632" t="str">
        <f>"On the job offered or Business Advisor, Business Coordinator, Sales and Business Development or related field"</f>
        <v>On the job offered or Business Advisor, Business Coordinator, Sales and Business Development or related field</v>
      </c>
      <c r="BW1632" t="s">
        <v>131</v>
      </c>
      <c r="BX1632" t="str">
        <f>""</f>
        <v/>
      </c>
      <c r="BY1632" t="str">
        <f>""</f>
        <v/>
      </c>
      <c r="BZ1632" t="str">
        <f>""</f>
        <v/>
      </c>
      <c r="CA1632" t="str">
        <f>""</f>
        <v/>
      </c>
      <c r="CB1632" t="s">
        <v>131</v>
      </c>
      <c r="CF1632" t="s">
        <v>131</v>
      </c>
      <c r="CH1632" t="str">
        <f>""</f>
        <v/>
      </c>
      <c r="CI1632" t="s">
        <v>131</v>
      </c>
      <c r="CK1632" t="s">
        <v>131</v>
      </c>
      <c r="CL1632" t="str">
        <f>""</f>
        <v/>
      </c>
      <c r="CM1632" t="str">
        <f>""</f>
        <v/>
      </c>
      <c r="CN1632" t="str">
        <f>""</f>
        <v/>
      </c>
      <c r="CO1632" t="str">
        <f>""</f>
        <v/>
      </c>
      <c r="CP1632" t="str">
        <f>"13-1161.00"</f>
        <v>13-1161.00</v>
      </c>
      <c r="CQ1632" t="s">
        <v>252</v>
      </c>
      <c r="CR1632" t="s">
        <v>286</v>
      </c>
      <c r="CS1632" t="s">
        <v>131</v>
      </c>
      <c r="CU1632" t="s">
        <v>17248</v>
      </c>
      <c r="CW1632" t="s">
        <v>2482</v>
      </c>
      <c r="CX1632" t="s">
        <v>195</v>
      </c>
      <c r="CZ1632" s="3" t="str">
        <f>"32805"</f>
        <v>32805</v>
      </c>
      <c r="DA1632" t="s">
        <v>131</v>
      </c>
      <c r="DB1632" t="str">
        <f>""</f>
        <v/>
      </c>
      <c r="DF1632" t="str">
        <f>""</f>
        <v/>
      </c>
    </row>
    <row r="1633" spans="1:110" ht="15" customHeight="1" x14ac:dyDescent="0.35">
      <c r="A1633" t="s">
        <v>17919</v>
      </c>
      <c r="B1633" t="s">
        <v>138</v>
      </c>
      <c r="C1633" s="1">
        <v>44337</v>
      </c>
      <c r="G1633" s="1">
        <v>44350</v>
      </c>
      <c r="H1633" t="s">
        <v>125</v>
      </c>
      <c r="I1633" t="s">
        <v>838</v>
      </c>
      <c r="J1633" t="s">
        <v>839</v>
      </c>
      <c r="K1633" t="s">
        <v>1933</v>
      </c>
      <c r="L1633" t="s">
        <v>2565</v>
      </c>
      <c r="M1633" t="s">
        <v>841</v>
      </c>
      <c r="N1633" t="s">
        <v>842</v>
      </c>
      <c r="O1633" t="s">
        <v>843</v>
      </c>
      <c r="P1633" t="s">
        <v>273</v>
      </c>
      <c r="Q1633" s="3">
        <v>7080</v>
      </c>
      <c r="R1633" t="s">
        <v>128</v>
      </c>
      <c r="T1633" s="4">
        <v>17328327978</v>
      </c>
      <c r="V1633" t="s">
        <v>844</v>
      </c>
      <c r="W1633" t="s">
        <v>6338</v>
      </c>
      <c r="Y1633" t="s">
        <v>6339</v>
      </c>
      <c r="Z1633" t="s">
        <v>6340</v>
      </c>
      <c r="AA1633" t="s">
        <v>3387</v>
      </c>
      <c r="AB1633" t="s">
        <v>276</v>
      </c>
      <c r="AC1633" s="3" t="str">
        <f>"08619"</f>
        <v>08619</v>
      </c>
      <c r="AD1633" t="s">
        <v>128</v>
      </c>
      <c r="AF1633" s="4">
        <v>16092285701</v>
      </c>
      <c r="AH1633" t="str">
        <f>"541511"</f>
        <v>541511</v>
      </c>
      <c r="AI1633" t="s">
        <v>130</v>
      </c>
      <c r="AJ1633" t="s">
        <v>838</v>
      </c>
      <c r="AK1633" t="s">
        <v>839</v>
      </c>
      <c r="AL1633" t="s">
        <v>1933</v>
      </c>
      <c r="AM1633" t="s">
        <v>841</v>
      </c>
      <c r="AN1633" t="s">
        <v>842</v>
      </c>
      <c r="AO1633" t="s">
        <v>843</v>
      </c>
      <c r="AP1633" t="s">
        <v>276</v>
      </c>
      <c r="AQ1633" s="5">
        <v>7080</v>
      </c>
      <c r="AR1633" t="s">
        <v>128</v>
      </c>
      <c r="AT1633" s="4">
        <v>17328327978</v>
      </c>
      <c r="AV1633" t="s">
        <v>844</v>
      </c>
      <c r="AW1633" t="s">
        <v>3328</v>
      </c>
      <c r="AX1633" t="s">
        <v>131</v>
      </c>
      <c r="AY1633" t="s">
        <v>131</v>
      </c>
      <c r="AZ1633" t="s">
        <v>131</v>
      </c>
      <c r="BA1633" t="s">
        <v>131</v>
      </c>
      <c r="BB1633" t="s">
        <v>131</v>
      </c>
      <c r="BC1633" t="s">
        <v>131</v>
      </c>
      <c r="BD1633" t="s">
        <v>131</v>
      </c>
      <c r="BE1633" t="s">
        <v>132</v>
      </c>
      <c r="BH1633" t="s">
        <v>17920</v>
      </c>
      <c r="BI1633" t="s">
        <v>131</v>
      </c>
      <c r="BL1633" t="s">
        <v>188</v>
      </c>
      <c r="BN1633" t="s">
        <v>2786</v>
      </c>
      <c r="BO1633" t="s">
        <v>131</v>
      </c>
      <c r="BP1633" t="s">
        <v>134</v>
      </c>
      <c r="BQ1633" t="s">
        <v>131</v>
      </c>
      <c r="BS1633" t="str">
        <f t="shared" si="100"/>
        <v>N/A</v>
      </c>
      <c r="BT1633" t="s">
        <v>131</v>
      </c>
      <c r="BV1633" t="str">
        <f>""</f>
        <v/>
      </c>
      <c r="BW1633" t="s">
        <v>131</v>
      </c>
      <c r="BX1633" t="str">
        <f>""</f>
        <v/>
      </c>
      <c r="BY1633" t="str">
        <f>""</f>
        <v/>
      </c>
      <c r="BZ1633" t="str">
        <f>""</f>
        <v/>
      </c>
      <c r="CA1633" t="str">
        <f>""</f>
        <v/>
      </c>
      <c r="CB1633" t="s">
        <v>135</v>
      </c>
      <c r="CC1633" t="s">
        <v>133</v>
      </c>
      <c r="CE1633" t="s">
        <v>2786</v>
      </c>
      <c r="CF1633" t="s">
        <v>131</v>
      </c>
      <c r="CH1633" t="str">
        <f>"N/A"</f>
        <v>N/A</v>
      </c>
      <c r="CI1633" t="s">
        <v>135</v>
      </c>
      <c r="CJ1633">
        <v>60</v>
      </c>
      <c r="CK1633" t="s">
        <v>135</v>
      </c>
      <c r="CL1633" t="str">
        <f>""</f>
        <v/>
      </c>
      <c r="CM1633" t="str">
        <f>""</f>
        <v/>
      </c>
      <c r="CN1633" t="str">
        <f>""</f>
        <v/>
      </c>
      <c r="CO1633" t="s">
        <v>2572</v>
      </c>
      <c r="CP1633" t="str">
        <f>"15-1132.00"</f>
        <v>15-1132.00</v>
      </c>
      <c r="CQ1633" t="s">
        <v>198</v>
      </c>
      <c r="CR1633" t="s">
        <v>849</v>
      </c>
      <c r="CS1633" t="s">
        <v>131</v>
      </c>
      <c r="CU1633" t="s">
        <v>6339</v>
      </c>
      <c r="CV1633" t="s">
        <v>6342</v>
      </c>
      <c r="CW1633" t="s">
        <v>3387</v>
      </c>
      <c r="CX1633" t="s">
        <v>276</v>
      </c>
      <c r="CZ1633" s="3" t="str">
        <f>"08619"</f>
        <v>08619</v>
      </c>
      <c r="DA1633" t="s">
        <v>131</v>
      </c>
      <c r="DB1633" t="str">
        <f>""</f>
        <v/>
      </c>
      <c r="DF1633" t="str">
        <f>""</f>
        <v/>
      </c>
    </row>
    <row r="1634" spans="1:110" ht="15" customHeight="1" x14ac:dyDescent="0.35">
      <c r="A1634" t="s">
        <v>19717</v>
      </c>
      <c r="B1634" t="s">
        <v>138</v>
      </c>
      <c r="C1634" s="1">
        <v>44337</v>
      </c>
      <c r="G1634" s="1">
        <v>44337</v>
      </c>
      <c r="H1634" t="s">
        <v>125</v>
      </c>
      <c r="I1634" t="s">
        <v>609</v>
      </c>
      <c r="J1634" t="s">
        <v>9635</v>
      </c>
      <c r="K1634" t="s">
        <v>827</v>
      </c>
      <c r="L1634" t="s">
        <v>223</v>
      </c>
      <c r="M1634" t="s">
        <v>9636</v>
      </c>
      <c r="N1634" t="s">
        <v>9637</v>
      </c>
      <c r="O1634" t="s">
        <v>6069</v>
      </c>
      <c r="P1634" t="s">
        <v>412</v>
      </c>
      <c r="Q1634" s="3">
        <v>75070</v>
      </c>
      <c r="R1634" t="s">
        <v>128</v>
      </c>
      <c r="T1634" s="4">
        <v>12142958800</v>
      </c>
      <c r="V1634" t="s">
        <v>19718</v>
      </c>
      <c r="W1634" t="s">
        <v>19719</v>
      </c>
      <c r="X1634" t="s">
        <v>19720</v>
      </c>
      <c r="Y1634" t="s">
        <v>9636</v>
      </c>
      <c r="Z1634" t="s">
        <v>9637</v>
      </c>
      <c r="AA1634" t="s">
        <v>6069</v>
      </c>
      <c r="AB1634" t="s">
        <v>400</v>
      </c>
      <c r="AC1634" s="3" t="str">
        <f>"75070"</f>
        <v>75070</v>
      </c>
      <c r="AD1634" t="s">
        <v>128</v>
      </c>
      <c r="AF1634" s="4">
        <v>12142958800</v>
      </c>
      <c r="AH1634" t="str">
        <f>"541511"</f>
        <v>541511</v>
      </c>
      <c r="AI1634" t="s">
        <v>167</v>
      </c>
      <c r="AX1634" t="s">
        <v>131</v>
      </c>
      <c r="AY1634" t="s">
        <v>131</v>
      </c>
      <c r="AZ1634" t="s">
        <v>131</v>
      </c>
      <c r="BA1634" t="s">
        <v>131</v>
      </c>
      <c r="BB1634" t="s">
        <v>131</v>
      </c>
      <c r="BC1634" t="s">
        <v>131</v>
      </c>
      <c r="BD1634" t="s">
        <v>131</v>
      </c>
      <c r="BE1634" t="s">
        <v>132</v>
      </c>
      <c r="BH1634" t="s">
        <v>9638</v>
      </c>
      <c r="BI1634" t="s">
        <v>131</v>
      </c>
      <c r="BL1634" t="s">
        <v>133</v>
      </c>
      <c r="BN1634" t="s">
        <v>9639</v>
      </c>
      <c r="BO1634" t="s">
        <v>131</v>
      </c>
      <c r="BP1634" t="s">
        <v>134</v>
      </c>
      <c r="BQ1634" t="s">
        <v>131</v>
      </c>
      <c r="BS1634" t="str">
        <f t="shared" si="100"/>
        <v>N/A</v>
      </c>
      <c r="BT1634" t="s">
        <v>135</v>
      </c>
      <c r="BU1634">
        <v>60</v>
      </c>
      <c r="BV1634" t="str">
        <f>"COMPUTER SOFTWARE PROFESSIONAL"</f>
        <v>COMPUTER SOFTWARE PROFESSIONAL</v>
      </c>
      <c r="BW1634" t="s">
        <v>131</v>
      </c>
      <c r="BX1634" t="str">
        <f>""</f>
        <v/>
      </c>
      <c r="BY1634" t="str">
        <f>""</f>
        <v/>
      </c>
      <c r="BZ1634" t="str">
        <f>""</f>
        <v/>
      </c>
      <c r="CA1634" t="str">
        <f>""</f>
        <v/>
      </c>
      <c r="CB1634" t="s">
        <v>131</v>
      </c>
      <c r="CF1634" t="s">
        <v>131</v>
      </c>
      <c r="CH1634" t="str">
        <f>""</f>
        <v/>
      </c>
      <c r="CI1634" t="s">
        <v>131</v>
      </c>
      <c r="CK1634" t="s">
        <v>131</v>
      </c>
      <c r="CL1634" t="str">
        <f>""</f>
        <v/>
      </c>
      <c r="CM1634" t="str">
        <f>""</f>
        <v/>
      </c>
      <c r="CN1634" t="str">
        <f>""</f>
        <v/>
      </c>
      <c r="CO1634" t="str">
        <f>""</f>
        <v/>
      </c>
      <c r="CP1634" t="str">
        <f>"15-1132.00"</f>
        <v>15-1132.00</v>
      </c>
      <c r="CQ1634" t="s">
        <v>198</v>
      </c>
      <c r="CR1634" t="s">
        <v>9638</v>
      </c>
      <c r="CS1634" t="s">
        <v>135</v>
      </c>
      <c r="CT1634" s="2" t="s">
        <v>19721</v>
      </c>
      <c r="CU1634" t="s">
        <v>9636</v>
      </c>
      <c r="CV1634" t="s">
        <v>9637</v>
      </c>
      <c r="CW1634" t="s">
        <v>6069</v>
      </c>
      <c r="CX1634" t="s">
        <v>400</v>
      </c>
      <c r="CZ1634" s="3" t="str">
        <f>"75070"</f>
        <v>75070</v>
      </c>
      <c r="DA1634" t="s">
        <v>131</v>
      </c>
      <c r="DB1634" t="str">
        <f>""</f>
        <v/>
      </c>
      <c r="DF1634" t="str">
        <f>""</f>
        <v/>
      </c>
    </row>
    <row r="1635" spans="1:110" ht="15" customHeight="1" x14ac:dyDescent="0.35">
      <c r="A1635" t="s">
        <v>13277</v>
      </c>
      <c r="B1635" t="s">
        <v>138</v>
      </c>
      <c r="C1635" s="1">
        <v>44337</v>
      </c>
      <c r="G1635" s="1">
        <v>44337</v>
      </c>
      <c r="H1635" t="s">
        <v>125</v>
      </c>
      <c r="I1635" t="s">
        <v>2821</v>
      </c>
      <c r="J1635" t="s">
        <v>7873</v>
      </c>
      <c r="L1635" t="s">
        <v>583</v>
      </c>
      <c r="M1635" t="s">
        <v>7878</v>
      </c>
      <c r="O1635" t="s">
        <v>7874</v>
      </c>
      <c r="P1635" t="s">
        <v>273</v>
      </c>
      <c r="Q1635" s="3">
        <v>7647</v>
      </c>
      <c r="R1635" t="s">
        <v>128</v>
      </c>
      <c r="T1635" s="4">
        <v>12015802683</v>
      </c>
      <c r="V1635" t="s">
        <v>7875</v>
      </c>
      <c r="W1635" t="s">
        <v>7876</v>
      </c>
      <c r="X1635" t="s">
        <v>7877</v>
      </c>
      <c r="Y1635" t="s">
        <v>7878</v>
      </c>
      <c r="AA1635" t="s">
        <v>7874</v>
      </c>
      <c r="AB1635" t="s">
        <v>276</v>
      </c>
      <c r="AC1635" s="3" t="str">
        <f>"07647"</f>
        <v>07647</v>
      </c>
      <c r="AD1635" t="s">
        <v>128</v>
      </c>
      <c r="AF1635" s="4">
        <v>12015802683</v>
      </c>
      <c r="AH1635" t="str">
        <f>"42399"</f>
        <v>42399</v>
      </c>
      <c r="AI1635" t="s">
        <v>130</v>
      </c>
      <c r="AJ1635" t="s">
        <v>3210</v>
      </c>
      <c r="AK1635" t="s">
        <v>7879</v>
      </c>
      <c r="AM1635" t="s">
        <v>7880</v>
      </c>
      <c r="AO1635" t="s">
        <v>7881</v>
      </c>
      <c r="AP1635" t="s">
        <v>276</v>
      </c>
      <c r="AQ1635" s="5">
        <v>7632</v>
      </c>
      <c r="AR1635" t="s">
        <v>128</v>
      </c>
      <c r="AT1635" s="4">
        <v>12018712461</v>
      </c>
      <c r="AV1635" t="s">
        <v>7882</v>
      </c>
      <c r="AW1635" t="s">
        <v>7883</v>
      </c>
      <c r="AX1635" t="s">
        <v>131</v>
      </c>
      <c r="AY1635" t="s">
        <v>131</v>
      </c>
      <c r="AZ1635" t="s">
        <v>131</v>
      </c>
      <c r="BA1635" t="s">
        <v>131</v>
      </c>
      <c r="BB1635" t="s">
        <v>131</v>
      </c>
      <c r="BC1635" t="s">
        <v>131</v>
      </c>
      <c r="BD1635" t="s">
        <v>131</v>
      </c>
      <c r="BE1635" t="s">
        <v>132</v>
      </c>
      <c r="BH1635" t="s">
        <v>13278</v>
      </c>
      <c r="BI1635" t="s">
        <v>131</v>
      </c>
      <c r="BL1635" t="s">
        <v>133</v>
      </c>
      <c r="BN1635" t="s">
        <v>13279</v>
      </c>
      <c r="BO1635" t="s">
        <v>131</v>
      </c>
      <c r="BP1635" t="s">
        <v>134</v>
      </c>
      <c r="BQ1635" t="s">
        <v>131</v>
      </c>
      <c r="BS1635" t="str">
        <f t="shared" si="100"/>
        <v>N/A</v>
      </c>
      <c r="BT1635" t="s">
        <v>131</v>
      </c>
      <c r="BV1635" t="str">
        <f>""</f>
        <v/>
      </c>
      <c r="BW1635" t="s">
        <v>131</v>
      </c>
      <c r="BX1635" t="str">
        <f>""</f>
        <v/>
      </c>
      <c r="BY1635" t="str">
        <f>""</f>
        <v/>
      </c>
      <c r="BZ1635" t="str">
        <f>""</f>
        <v/>
      </c>
      <c r="CA1635" t="str">
        <f>""</f>
        <v/>
      </c>
      <c r="CB1635" t="s">
        <v>135</v>
      </c>
      <c r="CC1635" t="s">
        <v>401</v>
      </c>
      <c r="CF1635" t="s">
        <v>131</v>
      </c>
      <c r="CH1635" t="str">
        <f>"N/A"</f>
        <v>N/A</v>
      </c>
      <c r="CI1635" t="s">
        <v>135</v>
      </c>
      <c r="CJ1635">
        <v>48</v>
      </c>
      <c r="CK1635" t="s">
        <v>131</v>
      </c>
      <c r="CL1635" t="str">
        <f>""</f>
        <v/>
      </c>
      <c r="CM1635" t="str">
        <f>""</f>
        <v/>
      </c>
      <c r="CN1635" t="str">
        <f>""</f>
        <v/>
      </c>
      <c r="CO1635" t="str">
        <f>""</f>
        <v/>
      </c>
      <c r="CP1635" t="str">
        <f>"27-1011.00"</f>
        <v>27-1011.00</v>
      </c>
      <c r="CQ1635" t="s">
        <v>4531</v>
      </c>
      <c r="CR1635" t="s">
        <v>583</v>
      </c>
      <c r="CS1635" t="s">
        <v>131</v>
      </c>
      <c r="CU1635" t="s">
        <v>7878</v>
      </c>
      <c r="CW1635" t="s">
        <v>11683</v>
      </c>
      <c r="CX1635" t="s">
        <v>276</v>
      </c>
      <c r="CZ1635" s="3" t="str">
        <f>"07647"</f>
        <v>07647</v>
      </c>
      <c r="DA1635" t="s">
        <v>131</v>
      </c>
      <c r="DB1635" t="str">
        <f>""</f>
        <v/>
      </c>
      <c r="DF1635" t="str">
        <f>""</f>
        <v/>
      </c>
    </row>
    <row r="1636" spans="1:110" ht="15" customHeight="1" x14ac:dyDescent="0.35">
      <c r="A1636" t="s">
        <v>6026</v>
      </c>
      <c r="B1636" t="s">
        <v>138</v>
      </c>
      <c r="C1636" s="1">
        <v>44337</v>
      </c>
      <c r="G1636" s="1">
        <v>44350</v>
      </c>
      <c r="H1636" t="s">
        <v>125</v>
      </c>
      <c r="I1636" t="s">
        <v>838</v>
      </c>
      <c r="J1636" t="s">
        <v>839</v>
      </c>
      <c r="K1636" t="s">
        <v>840</v>
      </c>
      <c r="L1636" t="s">
        <v>2565</v>
      </c>
      <c r="M1636" t="s">
        <v>841</v>
      </c>
      <c r="N1636" t="s">
        <v>842</v>
      </c>
      <c r="O1636" t="s">
        <v>843</v>
      </c>
      <c r="P1636" t="s">
        <v>273</v>
      </c>
      <c r="Q1636" s="3">
        <v>7080</v>
      </c>
      <c r="R1636" t="s">
        <v>128</v>
      </c>
      <c r="T1636" s="4">
        <v>17328327978</v>
      </c>
      <c r="V1636" t="s">
        <v>844</v>
      </c>
      <c r="W1636" t="s">
        <v>2503</v>
      </c>
      <c r="Y1636" t="s">
        <v>4861</v>
      </c>
      <c r="Z1636" t="s">
        <v>2502</v>
      </c>
      <c r="AA1636" t="s">
        <v>4862</v>
      </c>
      <c r="AB1636" t="s">
        <v>276</v>
      </c>
      <c r="AC1636" s="3" t="str">
        <f>"08540"</f>
        <v>08540</v>
      </c>
      <c r="AD1636" t="s">
        <v>128</v>
      </c>
      <c r="AF1636" s="4">
        <v>19727527312</v>
      </c>
      <c r="AH1636" t="str">
        <f>"5416"</f>
        <v>5416</v>
      </c>
      <c r="AI1636" t="s">
        <v>130</v>
      </c>
      <c r="AJ1636" t="s">
        <v>838</v>
      </c>
      <c r="AK1636" t="s">
        <v>839</v>
      </c>
      <c r="AL1636" t="s">
        <v>840</v>
      </c>
      <c r="AM1636" t="s">
        <v>841</v>
      </c>
      <c r="AN1636" t="s">
        <v>842</v>
      </c>
      <c r="AO1636" t="s">
        <v>843</v>
      </c>
      <c r="AP1636" t="s">
        <v>276</v>
      </c>
      <c r="AQ1636" s="5">
        <v>7080</v>
      </c>
      <c r="AR1636" t="s">
        <v>128</v>
      </c>
      <c r="AT1636" s="4">
        <v>17328327978</v>
      </c>
      <c r="AV1636" t="s">
        <v>844</v>
      </c>
      <c r="AW1636" t="s">
        <v>2570</v>
      </c>
      <c r="AX1636" t="s">
        <v>131</v>
      </c>
      <c r="AY1636" t="s">
        <v>131</v>
      </c>
      <c r="AZ1636" t="s">
        <v>131</v>
      </c>
      <c r="BA1636" t="s">
        <v>131</v>
      </c>
      <c r="BB1636" t="s">
        <v>131</v>
      </c>
      <c r="BC1636" t="s">
        <v>131</v>
      </c>
      <c r="BD1636" t="s">
        <v>131</v>
      </c>
      <c r="BE1636" t="s">
        <v>132</v>
      </c>
      <c r="BH1636" t="s">
        <v>1133</v>
      </c>
      <c r="BI1636" t="s">
        <v>131</v>
      </c>
      <c r="BL1636" t="s">
        <v>188</v>
      </c>
      <c r="BN1636" t="s">
        <v>5390</v>
      </c>
      <c r="BO1636" t="s">
        <v>131</v>
      </c>
      <c r="BP1636" t="s">
        <v>134</v>
      </c>
      <c r="BQ1636" t="s">
        <v>131</v>
      </c>
      <c r="BS1636" t="str">
        <f t="shared" si="100"/>
        <v>N/A</v>
      </c>
      <c r="BT1636" t="s">
        <v>135</v>
      </c>
      <c r="BU1636">
        <v>12</v>
      </c>
      <c r="BV1636" t="str">
        <f>"JOB OFFERED OR RELATED OCCUPATION"</f>
        <v>JOB OFFERED OR RELATED OCCUPATION</v>
      </c>
      <c r="BW1636" t="s">
        <v>135</v>
      </c>
      <c r="BX1636" t="str">
        <f>""</f>
        <v/>
      </c>
      <c r="BY1636" t="str">
        <f>""</f>
        <v/>
      </c>
      <c r="BZ1636" t="str">
        <f>""</f>
        <v/>
      </c>
      <c r="CA1636" t="s">
        <v>6027</v>
      </c>
      <c r="CB1636" t="s">
        <v>135</v>
      </c>
      <c r="CC1636" t="s">
        <v>133</v>
      </c>
      <c r="CE1636" t="s">
        <v>5390</v>
      </c>
      <c r="CF1636" t="s">
        <v>131</v>
      </c>
      <c r="CH1636" t="str">
        <f>"N/A"</f>
        <v>N/A</v>
      </c>
      <c r="CI1636" t="s">
        <v>135</v>
      </c>
      <c r="CJ1636">
        <v>60</v>
      </c>
      <c r="CK1636" t="s">
        <v>131</v>
      </c>
      <c r="CL1636" t="str">
        <f>""</f>
        <v/>
      </c>
      <c r="CM1636" t="str">
        <f>""</f>
        <v/>
      </c>
      <c r="CN1636" t="str">
        <f>""</f>
        <v/>
      </c>
      <c r="CO1636" t="str">
        <f>""</f>
        <v/>
      </c>
      <c r="CP1636" t="str">
        <f>"15-1132.00"</f>
        <v>15-1132.00</v>
      </c>
      <c r="CQ1636" t="s">
        <v>198</v>
      </c>
      <c r="CR1636" t="s">
        <v>2509</v>
      </c>
      <c r="CS1636" t="s">
        <v>131</v>
      </c>
      <c r="CU1636" t="s">
        <v>4861</v>
      </c>
      <c r="CV1636" t="s">
        <v>4866</v>
      </c>
      <c r="CW1636" t="s">
        <v>4862</v>
      </c>
      <c r="CX1636" t="s">
        <v>276</v>
      </c>
      <c r="CZ1636" s="3" t="str">
        <f>"08540"</f>
        <v>08540</v>
      </c>
      <c r="DA1636" t="s">
        <v>131</v>
      </c>
      <c r="DB1636" t="str">
        <f>""</f>
        <v/>
      </c>
      <c r="DF1636" t="str">
        <f>""</f>
        <v/>
      </c>
    </row>
    <row r="1637" spans="1:110" ht="15" customHeight="1" x14ac:dyDescent="0.35">
      <c r="A1637" t="s">
        <v>14494</v>
      </c>
      <c r="B1637" t="s">
        <v>138</v>
      </c>
      <c r="C1637" s="1">
        <v>44337</v>
      </c>
      <c r="G1637" s="1">
        <v>44342</v>
      </c>
      <c r="H1637" t="s">
        <v>125</v>
      </c>
      <c r="I1637" t="s">
        <v>14495</v>
      </c>
      <c r="J1637" t="s">
        <v>1689</v>
      </c>
      <c r="L1637" t="s">
        <v>11971</v>
      </c>
      <c r="M1637" t="s">
        <v>11979</v>
      </c>
      <c r="O1637" t="s">
        <v>494</v>
      </c>
      <c r="P1637" t="s">
        <v>127</v>
      </c>
      <c r="Q1637" s="3">
        <v>10016</v>
      </c>
      <c r="R1637" t="s">
        <v>128</v>
      </c>
      <c r="T1637" s="4">
        <v>12127909700</v>
      </c>
      <c r="V1637" t="s">
        <v>11972</v>
      </c>
      <c r="W1637" t="s">
        <v>11973</v>
      </c>
      <c r="Y1637" t="s">
        <v>14496</v>
      </c>
      <c r="AA1637" t="s">
        <v>494</v>
      </c>
      <c r="AB1637" t="s">
        <v>129</v>
      </c>
      <c r="AC1637" s="3" t="str">
        <f>"10016"</f>
        <v>10016</v>
      </c>
      <c r="AD1637" t="s">
        <v>128</v>
      </c>
      <c r="AF1637" s="4">
        <v>12127909700</v>
      </c>
      <c r="AH1637" t="str">
        <f>"524126"</f>
        <v>524126</v>
      </c>
      <c r="AI1637" t="s">
        <v>130</v>
      </c>
      <c r="AJ1637" t="s">
        <v>3026</v>
      </c>
      <c r="AK1637" t="s">
        <v>3027</v>
      </c>
      <c r="AL1637" t="s">
        <v>14497</v>
      </c>
      <c r="AM1637" t="s">
        <v>9225</v>
      </c>
      <c r="AO1637" t="s">
        <v>523</v>
      </c>
      <c r="AP1637" t="s">
        <v>172</v>
      </c>
      <c r="AQ1637" s="5">
        <v>94111</v>
      </c>
      <c r="AR1637" t="s">
        <v>128</v>
      </c>
      <c r="AT1637" s="4">
        <v>14153983500</v>
      </c>
      <c r="AV1637" t="s">
        <v>10601</v>
      </c>
      <c r="AW1637" t="s">
        <v>9226</v>
      </c>
      <c r="AX1637" t="s">
        <v>131</v>
      </c>
      <c r="AY1637" t="s">
        <v>131</v>
      </c>
      <c r="AZ1637" t="s">
        <v>131</v>
      </c>
      <c r="BA1637" t="s">
        <v>131</v>
      </c>
      <c r="BB1637" t="s">
        <v>131</v>
      </c>
      <c r="BC1637" t="s">
        <v>131</v>
      </c>
      <c r="BD1637" t="s">
        <v>131</v>
      </c>
      <c r="BE1637" t="s">
        <v>132</v>
      </c>
      <c r="BH1637" t="s">
        <v>11974</v>
      </c>
      <c r="BI1637" t="s">
        <v>135</v>
      </c>
      <c r="BJ1637" t="s">
        <v>11975</v>
      </c>
      <c r="BK1637" t="s">
        <v>11976</v>
      </c>
      <c r="BL1637" t="s">
        <v>133</v>
      </c>
      <c r="BN1637" t="s">
        <v>14498</v>
      </c>
      <c r="BO1637" t="s">
        <v>131</v>
      </c>
      <c r="BP1637" t="s">
        <v>134</v>
      </c>
      <c r="BQ1637" t="s">
        <v>131</v>
      </c>
      <c r="BS1637" t="str">
        <f t="shared" si="100"/>
        <v>N/A</v>
      </c>
      <c r="BT1637" t="s">
        <v>135</v>
      </c>
      <c r="BU1637">
        <v>96</v>
      </c>
      <c r="BV1637" t="str">
        <f>"Eight (8) of experience in the job offered or related occupation. 
"</f>
        <v xml:space="preserve">Eight (8) of experience in the job offered or related occupation. 
</v>
      </c>
      <c r="BW1637" t="s">
        <v>135</v>
      </c>
      <c r="BX1637" t="str">
        <f>"Please see F.b.5.a (iv)."</f>
        <v>Please see F.b.5.a (iv).</v>
      </c>
      <c r="BY1637" t="str">
        <f>""</f>
        <v/>
      </c>
      <c r="BZ1637" t="str">
        <f>""</f>
        <v/>
      </c>
      <c r="CA1637" s="2" t="s">
        <v>11977</v>
      </c>
      <c r="CB1637" t="s">
        <v>131</v>
      </c>
      <c r="CF1637" t="s">
        <v>131</v>
      </c>
      <c r="CH1637" t="str">
        <f>""</f>
        <v/>
      </c>
      <c r="CI1637" t="s">
        <v>131</v>
      </c>
      <c r="CK1637" t="s">
        <v>131</v>
      </c>
      <c r="CL1637" t="str">
        <f>""</f>
        <v/>
      </c>
      <c r="CM1637" t="str">
        <f>""</f>
        <v/>
      </c>
      <c r="CN1637" t="str">
        <f>""</f>
        <v/>
      </c>
      <c r="CO1637" t="str">
        <f>""</f>
        <v/>
      </c>
      <c r="CP1637" t="str">
        <f>"11-1021.00"</f>
        <v>11-1021.00</v>
      </c>
      <c r="CQ1637" t="s">
        <v>1296</v>
      </c>
      <c r="CS1637" t="s">
        <v>135</v>
      </c>
      <c r="CT1637" t="s">
        <v>11978</v>
      </c>
      <c r="CU1637" t="s">
        <v>11979</v>
      </c>
      <c r="CW1637" t="s">
        <v>494</v>
      </c>
      <c r="CX1637" t="s">
        <v>129</v>
      </c>
      <c r="CZ1637" s="3" t="str">
        <f>"10016"</f>
        <v>10016</v>
      </c>
      <c r="DA1637" t="s">
        <v>131</v>
      </c>
      <c r="DB1637" t="str">
        <f>""</f>
        <v/>
      </c>
      <c r="DF1637" t="str">
        <f>""</f>
        <v/>
      </c>
    </row>
    <row r="1638" spans="1:110" ht="15" customHeight="1" x14ac:dyDescent="0.35">
      <c r="A1638" t="s">
        <v>16090</v>
      </c>
      <c r="B1638" t="s">
        <v>138</v>
      </c>
      <c r="C1638" s="1">
        <v>44337</v>
      </c>
      <c r="G1638" s="1">
        <v>44350</v>
      </c>
      <c r="H1638" t="s">
        <v>125</v>
      </c>
      <c r="I1638" t="s">
        <v>838</v>
      </c>
      <c r="J1638" t="s">
        <v>839</v>
      </c>
      <c r="K1638" t="s">
        <v>1933</v>
      </c>
      <c r="L1638" t="s">
        <v>2565</v>
      </c>
      <c r="M1638" t="s">
        <v>841</v>
      </c>
      <c r="N1638" t="s">
        <v>842</v>
      </c>
      <c r="O1638" t="s">
        <v>843</v>
      </c>
      <c r="P1638" t="s">
        <v>273</v>
      </c>
      <c r="Q1638" s="3">
        <v>7080</v>
      </c>
      <c r="R1638" t="s">
        <v>128</v>
      </c>
      <c r="T1638" s="4">
        <v>17328327978</v>
      </c>
      <c r="V1638" t="s">
        <v>844</v>
      </c>
      <c r="W1638" t="s">
        <v>7492</v>
      </c>
      <c r="Y1638" t="s">
        <v>7490</v>
      </c>
      <c r="Z1638" t="s">
        <v>227</v>
      </c>
      <c r="AA1638" t="s">
        <v>7491</v>
      </c>
      <c r="AB1638" t="s">
        <v>812</v>
      </c>
      <c r="AC1638" s="3" t="str">
        <f>"29642"</f>
        <v>29642</v>
      </c>
      <c r="AD1638" t="s">
        <v>128</v>
      </c>
      <c r="AF1638" s="4">
        <v>18647129290</v>
      </c>
      <c r="AH1638" t="str">
        <f>"541511"</f>
        <v>541511</v>
      </c>
      <c r="AI1638" t="s">
        <v>130</v>
      </c>
      <c r="AJ1638" t="s">
        <v>838</v>
      </c>
      <c r="AK1638" t="s">
        <v>839</v>
      </c>
      <c r="AL1638" t="s">
        <v>1933</v>
      </c>
      <c r="AM1638" t="s">
        <v>841</v>
      </c>
      <c r="AN1638" t="s">
        <v>842</v>
      </c>
      <c r="AO1638" t="s">
        <v>843</v>
      </c>
      <c r="AP1638" t="s">
        <v>276</v>
      </c>
      <c r="AQ1638" s="5">
        <v>7080</v>
      </c>
      <c r="AR1638" t="s">
        <v>128</v>
      </c>
      <c r="AT1638" s="4">
        <v>17328327978</v>
      </c>
      <c r="AV1638" t="s">
        <v>844</v>
      </c>
      <c r="AW1638" t="s">
        <v>3328</v>
      </c>
      <c r="AX1638" t="s">
        <v>131</v>
      </c>
      <c r="AY1638" t="s">
        <v>131</v>
      </c>
      <c r="AZ1638" t="s">
        <v>131</v>
      </c>
      <c r="BA1638" t="s">
        <v>131</v>
      </c>
      <c r="BB1638" t="s">
        <v>131</v>
      </c>
      <c r="BC1638" t="s">
        <v>131</v>
      </c>
      <c r="BD1638" t="s">
        <v>131</v>
      </c>
      <c r="BE1638" t="s">
        <v>132</v>
      </c>
      <c r="BH1638" t="s">
        <v>9673</v>
      </c>
      <c r="BI1638" t="s">
        <v>131</v>
      </c>
      <c r="BL1638" t="s">
        <v>188</v>
      </c>
      <c r="BN1638" t="s">
        <v>7493</v>
      </c>
      <c r="BO1638" t="s">
        <v>131</v>
      </c>
      <c r="BP1638" t="s">
        <v>134</v>
      </c>
      <c r="BQ1638" t="s">
        <v>131</v>
      </c>
      <c r="BS1638" t="str">
        <f t="shared" si="100"/>
        <v>N/A</v>
      </c>
      <c r="BT1638" t="s">
        <v>135</v>
      </c>
      <c r="BU1638">
        <v>12</v>
      </c>
      <c r="BV1638" t="str">
        <f>"job offered or related occupation"</f>
        <v>job offered or related occupation</v>
      </c>
      <c r="BW1638" t="s">
        <v>135</v>
      </c>
      <c r="BX1638" t="str">
        <f>""</f>
        <v/>
      </c>
      <c r="BY1638" t="str">
        <f>""</f>
        <v/>
      </c>
      <c r="BZ1638" t="str">
        <f>""</f>
        <v/>
      </c>
      <c r="CA1638" t="s">
        <v>16091</v>
      </c>
      <c r="CB1638" t="s">
        <v>135</v>
      </c>
      <c r="CC1638" t="s">
        <v>133</v>
      </c>
      <c r="CE1638" t="s">
        <v>7493</v>
      </c>
      <c r="CF1638" t="s">
        <v>131</v>
      </c>
      <c r="CH1638" t="str">
        <f>"N/A"</f>
        <v>N/A</v>
      </c>
      <c r="CI1638" t="s">
        <v>135</v>
      </c>
      <c r="CJ1638">
        <v>60</v>
      </c>
      <c r="CK1638" t="s">
        <v>131</v>
      </c>
      <c r="CL1638" t="str">
        <f>""</f>
        <v/>
      </c>
      <c r="CM1638" t="str">
        <f>""</f>
        <v/>
      </c>
      <c r="CN1638" t="str">
        <f>""</f>
        <v/>
      </c>
      <c r="CO1638" t="str">
        <f>""</f>
        <v/>
      </c>
      <c r="CP1638" t="str">
        <f>"15-1199.02"</f>
        <v>15-1199.02</v>
      </c>
      <c r="CQ1638" t="s">
        <v>2269</v>
      </c>
      <c r="CS1638" t="s">
        <v>131</v>
      </c>
      <c r="CU1638" t="s">
        <v>7490</v>
      </c>
      <c r="CV1638" t="s">
        <v>16092</v>
      </c>
      <c r="CW1638" t="s">
        <v>7491</v>
      </c>
      <c r="CX1638" t="s">
        <v>812</v>
      </c>
      <c r="CZ1638" s="3" t="str">
        <f>"29642"</f>
        <v>29642</v>
      </c>
      <c r="DA1638" t="s">
        <v>131</v>
      </c>
      <c r="DB1638" t="str">
        <f>""</f>
        <v/>
      </c>
      <c r="DF1638" t="str">
        <f>""</f>
        <v/>
      </c>
    </row>
    <row r="1639" spans="1:110" ht="15" customHeight="1" x14ac:dyDescent="0.35">
      <c r="A1639" t="s">
        <v>17883</v>
      </c>
      <c r="B1639" t="s">
        <v>138</v>
      </c>
      <c r="C1639" s="1">
        <v>44337</v>
      </c>
      <c r="G1639" s="1">
        <v>44357</v>
      </c>
      <c r="H1639" t="s">
        <v>125</v>
      </c>
      <c r="I1639" t="s">
        <v>1595</v>
      </c>
      <c r="J1639" t="s">
        <v>2975</v>
      </c>
      <c r="L1639" t="s">
        <v>9077</v>
      </c>
      <c r="M1639" t="s">
        <v>17884</v>
      </c>
      <c r="O1639" t="s">
        <v>899</v>
      </c>
      <c r="P1639" t="s">
        <v>588</v>
      </c>
      <c r="Q1639" s="3">
        <v>22203</v>
      </c>
      <c r="R1639" t="s">
        <v>128</v>
      </c>
      <c r="T1639" s="4">
        <v>17032368724</v>
      </c>
      <c r="V1639" t="s">
        <v>2001</v>
      </c>
      <c r="W1639" t="s">
        <v>9078</v>
      </c>
      <c r="Y1639" t="s">
        <v>17884</v>
      </c>
      <c r="AA1639" t="s">
        <v>899</v>
      </c>
      <c r="AB1639" t="s">
        <v>306</v>
      </c>
      <c r="AC1639" s="3" t="str">
        <f>"22203"</f>
        <v>22203</v>
      </c>
      <c r="AD1639" t="s">
        <v>128</v>
      </c>
      <c r="AF1639" s="4">
        <v>17032368724</v>
      </c>
      <c r="AH1639" t="str">
        <f>"523110"</f>
        <v>523110</v>
      </c>
      <c r="AI1639" t="s">
        <v>130</v>
      </c>
      <c r="AJ1639" t="s">
        <v>2976</v>
      </c>
      <c r="AK1639" t="s">
        <v>2977</v>
      </c>
      <c r="AM1639" t="s">
        <v>4258</v>
      </c>
      <c r="AO1639" t="s">
        <v>975</v>
      </c>
      <c r="AP1639" t="s">
        <v>594</v>
      </c>
      <c r="AQ1639" s="5">
        <v>27615</v>
      </c>
      <c r="AR1639" t="s">
        <v>128</v>
      </c>
      <c r="AT1639" s="4">
        <v>19197879700</v>
      </c>
      <c r="AV1639" t="s">
        <v>4259</v>
      </c>
      <c r="AW1639" t="s">
        <v>4260</v>
      </c>
      <c r="AX1639" t="s">
        <v>131</v>
      </c>
      <c r="AY1639" t="s">
        <v>131</v>
      </c>
      <c r="AZ1639" t="s">
        <v>131</v>
      </c>
      <c r="BA1639" t="s">
        <v>131</v>
      </c>
      <c r="BB1639" t="s">
        <v>131</v>
      </c>
      <c r="BC1639" t="s">
        <v>131</v>
      </c>
      <c r="BD1639" t="s">
        <v>131</v>
      </c>
      <c r="BE1639" t="s">
        <v>132</v>
      </c>
      <c r="BH1639" t="s">
        <v>17885</v>
      </c>
      <c r="BI1639" t="s">
        <v>131</v>
      </c>
      <c r="BL1639" t="s">
        <v>133</v>
      </c>
      <c r="BN1639" t="s">
        <v>17886</v>
      </c>
      <c r="BO1639" t="s">
        <v>131</v>
      </c>
      <c r="BP1639" t="s">
        <v>134</v>
      </c>
      <c r="BQ1639" t="s">
        <v>131</v>
      </c>
      <c r="BS1639" t="str">
        <f t="shared" si="100"/>
        <v>N/A</v>
      </c>
      <c r="BT1639" t="s">
        <v>135</v>
      </c>
      <c r="BU1639">
        <v>96</v>
      </c>
      <c r="BV1639" t="str">
        <f>" IT Analyst, Security Engineer, or a related occupation in the technology field"</f>
        <v xml:space="preserve"> IT Analyst, Security Engineer, or a related occupation in the technology field</v>
      </c>
      <c r="BW1639" t="s">
        <v>135</v>
      </c>
      <c r="BX1639" t="str">
        <f>""</f>
        <v/>
      </c>
      <c r="BY1639" t="str">
        <f>""</f>
        <v/>
      </c>
      <c r="BZ1639" t="str">
        <f>""</f>
        <v/>
      </c>
      <c r="CA1639" t="s">
        <v>17887</v>
      </c>
      <c r="CB1639" t="s">
        <v>131</v>
      </c>
      <c r="CF1639" t="s">
        <v>131</v>
      </c>
      <c r="CH1639" t="str">
        <f>""</f>
        <v/>
      </c>
      <c r="CI1639" t="s">
        <v>131</v>
      </c>
      <c r="CK1639" t="s">
        <v>131</v>
      </c>
      <c r="CL1639" t="str">
        <f>""</f>
        <v/>
      </c>
      <c r="CM1639" t="str">
        <f>""</f>
        <v/>
      </c>
      <c r="CN1639" t="str">
        <f>""</f>
        <v/>
      </c>
      <c r="CO1639" t="str">
        <f>""</f>
        <v/>
      </c>
      <c r="CP1639" t="str">
        <f>"15-1122.00"</f>
        <v>15-1122.00</v>
      </c>
      <c r="CQ1639" t="s">
        <v>711</v>
      </c>
      <c r="CS1639" t="s">
        <v>131</v>
      </c>
      <c r="CU1639" t="s">
        <v>17888</v>
      </c>
      <c r="CW1639" t="s">
        <v>899</v>
      </c>
      <c r="CX1639" t="s">
        <v>306</v>
      </c>
      <c r="CZ1639" s="3" t="str">
        <f>"22203"</f>
        <v>22203</v>
      </c>
      <c r="DA1639" t="s">
        <v>131</v>
      </c>
      <c r="DB1639" t="str">
        <f>""</f>
        <v/>
      </c>
      <c r="DF1639" t="str">
        <f>""</f>
        <v/>
      </c>
    </row>
    <row r="1640" spans="1:110" ht="15" customHeight="1" x14ac:dyDescent="0.35">
      <c r="A1640" t="s">
        <v>19478</v>
      </c>
      <c r="B1640" t="s">
        <v>138</v>
      </c>
      <c r="C1640" s="1">
        <v>44337</v>
      </c>
      <c r="G1640" s="1">
        <v>44337</v>
      </c>
      <c r="H1640" t="s">
        <v>125</v>
      </c>
      <c r="I1640" t="s">
        <v>6067</v>
      </c>
      <c r="J1640" t="s">
        <v>4396</v>
      </c>
      <c r="L1640" t="s">
        <v>3805</v>
      </c>
      <c r="M1640" t="s">
        <v>3601</v>
      </c>
      <c r="O1640" t="s">
        <v>3602</v>
      </c>
      <c r="P1640" t="s">
        <v>311</v>
      </c>
      <c r="Q1640" s="3">
        <v>19073</v>
      </c>
      <c r="R1640" t="s">
        <v>128</v>
      </c>
      <c r="T1640" s="4">
        <v>16106618413</v>
      </c>
      <c r="V1640" t="s">
        <v>3600</v>
      </c>
      <c r="W1640" t="s">
        <v>4397</v>
      </c>
      <c r="Y1640" t="s">
        <v>3601</v>
      </c>
      <c r="AA1640" t="s">
        <v>3602</v>
      </c>
      <c r="AB1640" t="s">
        <v>312</v>
      </c>
      <c r="AC1640" s="3" t="str">
        <f>"19073"</f>
        <v>19073</v>
      </c>
      <c r="AD1640" t="s">
        <v>128</v>
      </c>
      <c r="AF1640" s="4">
        <v>16106618413</v>
      </c>
      <c r="AH1640" t="str">
        <f>"54151"</f>
        <v>54151</v>
      </c>
      <c r="AI1640" t="s">
        <v>130</v>
      </c>
      <c r="AJ1640" t="s">
        <v>13917</v>
      </c>
      <c r="AK1640" t="s">
        <v>1278</v>
      </c>
      <c r="AL1640" t="s">
        <v>415</v>
      </c>
      <c r="AM1640" t="s">
        <v>2476</v>
      </c>
      <c r="AN1640" t="s">
        <v>997</v>
      </c>
      <c r="AO1640" t="s">
        <v>2477</v>
      </c>
      <c r="AP1640" t="s">
        <v>276</v>
      </c>
      <c r="AQ1640" s="5">
        <v>7747</v>
      </c>
      <c r="AR1640" t="s">
        <v>128</v>
      </c>
      <c r="AT1640" s="4">
        <v>17328625000</v>
      </c>
      <c r="AV1640" t="s">
        <v>3806</v>
      </c>
      <c r="AW1640" t="s">
        <v>386</v>
      </c>
      <c r="AX1640" t="s">
        <v>131</v>
      </c>
      <c r="AY1640" t="s">
        <v>131</v>
      </c>
      <c r="AZ1640" t="s">
        <v>131</v>
      </c>
      <c r="BA1640" t="s">
        <v>131</v>
      </c>
      <c r="BB1640" t="s">
        <v>131</v>
      </c>
      <c r="BC1640" t="s">
        <v>131</v>
      </c>
      <c r="BD1640" t="s">
        <v>131</v>
      </c>
      <c r="BE1640" t="s">
        <v>160</v>
      </c>
      <c r="BF1640" t="s">
        <v>19479</v>
      </c>
      <c r="BG1640" s="1">
        <v>44044</v>
      </c>
      <c r="BH1640" t="s">
        <v>11431</v>
      </c>
      <c r="BI1640" t="s">
        <v>131</v>
      </c>
      <c r="BL1640" t="s">
        <v>133</v>
      </c>
      <c r="BN1640" t="s">
        <v>6068</v>
      </c>
      <c r="BO1640" t="s">
        <v>131</v>
      </c>
      <c r="BP1640" t="s">
        <v>134</v>
      </c>
      <c r="BQ1640" t="s">
        <v>131</v>
      </c>
      <c r="BS1640" t="str">
        <f t="shared" si="100"/>
        <v>N/A</v>
      </c>
      <c r="BT1640" t="s">
        <v>135</v>
      </c>
      <c r="BU1640">
        <v>60</v>
      </c>
      <c r="BV1640" t="str">
        <f>"Will accept any suitable combination of education, training, or experience."</f>
        <v>Will accept any suitable combination of education, training, or experience.</v>
      </c>
      <c r="BW1640" t="s">
        <v>135</v>
      </c>
      <c r="BX1640" t="str">
        <f>""</f>
        <v/>
      </c>
      <c r="BY1640" t="str">
        <f>""</f>
        <v/>
      </c>
      <c r="BZ1640" t="str">
        <f>""</f>
        <v/>
      </c>
      <c r="CA1640" s="2" t="s">
        <v>13918</v>
      </c>
      <c r="CB1640" t="s">
        <v>135</v>
      </c>
      <c r="CC1640" t="s">
        <v>188</v>
      </c>
      <c r="CE1640" t="s">
        <v>6068</v>
      </c>
      <c r="CF1640" t="s">
        <v>131</v>
      </c>
      <c r="CH1640" t="str">
        <f>"N/A"</f>
        <v>N/A</v>
      </c>
      <c r="CI1640" t="s">
        <v>135</v>
      </c>
      <c r="CJ1640">
        <v>36</v>
      </c>
      <c r="CK1640" t="s">
        <v>135</v>
      </c>
      <c r="CL1640" t="str">
        <f>""</f>
        <v/>
      </c>
      <c r="CM1640" t="str">
        <f>""</f>
        <v/>
      </c>
      <c r="CN1640" t="str">
        <f>""</f>
        <v/>
      </c>
      <c r="CO1640" t="str">
        <f>"Please refer to F.b/c.b.5.a (IV)"</f>
        <v>Please refer to F.b/c.b.5.a (IV)</v>
      </c>
      <c r="CP1640" t="str">
        <f>"15-1121.00"</f>
        <v>15-1121.00</v>
      </c>
      <c r="CQ1640" t="s">
        <v>283</v>
      </c>
      <c r="CR1640" t="s">
        <v>460</v>
      </c>
      <c r="CS1640" t="s">
        <v>135</v>
      </c>
      <c r="CT1640" t="s">
        <v>13919</v>
      </c>
      <c r="CU1640" t="s">
        <v>13920</v>
      </c>
      <c r="CW1640" t="s">
        <v>1597</v>
      </c>
      <c r="CX1640" t="s">
        <v>312</v>
      </c>
      <c r="CZ1640" s="3" t="str">
        <f>"15212"</f>
        <v>15212</v>
      </c>
      <c r="DA1640" t="s">
        <v>135</v>
      </c>
      <c r="DB1640" t="str">
        <f>""</f>
        <v/>
      </c>
      <c r="DF1640" t="str">
        <f>""</f>
        <v/>
      </c>
    </row>
    <row r="1641" spans="1:110" ht="15" customHeight="1" x14ac:dyDescent="0.35">
      <c r="A1641" t="s">
        <v>19480</v>
      </c>
      <c r="B1641" t="s">
        <v>138</v>
      </c>
      <c r="C1641" s="1">
        <v>44337</v>
      </c>
      <c r="G1641" s="1">
        <v>44350</v>
      </c>
      <c r="H1641" t="s">
        <v>125</v>
      </c>
      <c r="I1641" t="s">
        <v>838</v>
      </c>
      <c r="J1641" t="s">
        <v>839</v>
      </c>
      <c r="K1641" t="s">
        <v>1933</v>
      </c>
      <c r="L1641" t="s">
        <v>2565</v>
      </c>
      <c r="M1641" t="s">
        <v>841</v>
      </c>
      <c r="N1641" t="s">
        <v>842</v>
      </c>
      <c r="O1641" t="s">
        <v>843</v>
      </c>
      <c r="P1641" t="s">
        <v>273</v>
      </c>
      <c r="Q1641" s="3">
        <v>7080</v>
      </c>
      <c r="R1641" t="s">
        <v>128</v>
      </c>
      <c r="T1641" s="4">
        <v>17328327978</v>
      </c>
      <c r="V1641" t="s">
        <v>844</v>
      </c>
      <c r="W1641" t="s">
        <v>7492</v>
      </c>
      <c r="Y1641" t="s">
        <v>7490</v>
      </c>
      <c r="Z1641" t="s">
        <v>227</v>
      </c>
      <c r="AA1641" t="s">
        <v>7491</v>
      </c>
      <c r="AB1641" t="s">
        <v>812</v>
      </c>
      <c r="AC1641" s="3" t="str">
        <f>"29642"</f>
        <v>29642</v>
      </c>
      <c r="AD1641" t="s">
        <v>128</v>
      </c>
      <c r="AF1641" s="4">
        <v>18647129290</v>
      </c>
      <c r="AH1641" t="str">
        <f>"541511"</f>
        <v>541511</v>
      </c>
      <c r="AI1641" t="s">
        <v>130</v>
      </c>
      <c r="AJ1641" t="s">
        <v>838</v>
      </c>
      <c r="AK1641" t="s">
        <v>839</v>
      </c>
      <c r="AL1641" t="s">
        <v>1933</v>
      </c>
      <c r="AM1641" t="s">
        <v>841</v>
      </c>
      <c r="AN1641" t="s">
        <v>842</v>
      </c>
      <c r="AO1641" t="s">
        <v>843</v>
      </c>
      <c r="AP1641" t="s">
        <v>276</v>
      </c>
      <c r="AQ1641" s="5">
        <v>7080</v>
      </c>
      <c r="AR1641" t="s">
        <v>128</v>
      </c>
      <c r="AT1641" s="4">
        <v>17328327978</v>
      </c>
      <c r="AV1641" t="s">
        <v>844</v>
      </c>
      <c r="AW1641" t="s">
        <v>3328</v>
      </c>
      <c r="AX1641" t="s">
        <v>131</v>
      </c>
      <c r="AY1641" t="s">
        <v>131</v>
      </c>
      <c r="AZ1641" t="s">
        <v>131</v>
      </c>
      <c r="BA1641" t="s">
        <v>131</v>
      </c>
      <c r="BB1641" t="s">
        <v>131</v>
      </c>
      <c r="BC1641" t="s">
        <v>131</v>
      </c>
      <c r="BD1641" t="s">
        <v>131</v>
      </c>
      <c r="BE1641" t="s">
        <v>132</v>
      </c>
      <c r="BH1641" t="s">
        <v>9673</v>
      </c>
      <c r="BI1641" t="s">
        <v>131</v>
      </c>
      <c r="BL1641" t="s">
        <v>188</v>
      </c>
      <c r="BN1641" t="s">
        <v>7493</v>
      </c>
      <c r="BO1641" t="s">
        <v>131</v>
      </c>
      <c r="BP1641" t="s">
        <v>134</v>
      </c>
      <c r="BQ1641" t="s">
        <v>131</v>
      </c>
      <c r="BS1641" t="str">
        <f t="shared" si="100"/>
        <v>N/A</v>
      </c>
      <c r="BT1641" t="s">
        <v>135</v>
      </c>
      <c r="BU1641">
        <v>12</v>
      </c>
      <c r="BV1641" t="str">
        <f>"job offered or related occupation"</f>
        <v>job offered or related occupation</v>
      </c>
      <c r="BW1641" t="s">
        <v>131</v>
      </c>
      <c r="BX1641" t="str">
        <f>""</f>
        <v/>
      </c>
      <c r="BY1641" t="str">
        <f>""</f>
        <v/>
      </c>
      <c r="BZ1641" t="str">
        <f>""</f>
        <v/>
      </c>
      <c r="CA1641" t="str">
        <f>""</f>
        <v/>
      </c>
      <c r="CB1641" t="s">
        <v>135</v>
      </c>
      <c r="CC1641" t="s">
        <v>133</v>
      </c>
      <c r="CE1641" t="s">
        <v>7493</v>
      </c>
      <c r="CF1641" t="s">
        <v>131</v>
      </c>
      <c r="CH1641" t="str">
        <f>"N/A"</f>
        <v>N/A</v>
      </c>
      <c r="CI1641" t="s">
        <v>135</v>
      </c>
      <c r="CJ1641">
        <v>60</v>
      </c>
      <c r="CK1641" t="s">
        <v>135</v>
      </c>
      <c r="CL1641" t="str">
        <f>""</f>
        <v/>
      </c>
      <c r="CM1641" t="str">
        <f>""</f>
        <v/>
      </c>
      <c r="CN1641" t="str">
        <f>""</f>
        <v/>
      </c>
      <c r="CO1641" t="s">
        <v>7494</v>
      </c>
      <c r="CP1641" t="str">
        <f>"15-1199.02"</f>
        <v>15-1199.02</v>
      </c>
      <c r="CQ1641" t="s">
        <v>2269</v>
      </c>
      <c r="CS1641" t="s">
        <v>131</v>
      </c>
      <c r="CU1641" t="s">
        <v>7490</v>
      </c>
      <c r="CV1641" t="s">
        <v>16092</v>
      </c>
      <c r="CW1641" t="s">
        <v>7491</v>
      </c>
      <c r="CX1641" t="s">
        <v>812</v>
      </c>
      <c r="CZ1641" s="3" t="str">
        <f>"29642"</f>
        <v>29642</v>
      </c>
      <c r="DA1641" t="s">
        <v>131</v>
      </c>
      <c r="DB1641" t="str">
        <f>""</f>
        <v/>
      </c>
      <c r="DF1641" t="str">
        <f>""</f>
        <v/>
      </c>
    </row>
    <row r="1642" spans="1:110" ht="15" customHeight="1" x14ac:dyDescent="0.35">
      <c r="A1642" t="s">
        <v>11732</v>
      </c>
      <c r="B1642" t="s">
        <v>138</v>
      </c>
      <c r="C1642" s="1">
        <v>44337</v>
      </c>
      <c r="G1642" s="1">
        <v>44350</v>
      </c>
      <c r="H1642" t="s">
        <v>125</v>
      </c>
      <c r="I1642" t="s">
        <v>838</v>
      </c>
      <c r="J1642" t="s">
        <v>839</v>
      </c>
      <c r="K1642" t="s">
        <v>1933</v>
      </c>
      <c r="L1642" t="s">
        <v>2565</v>
      </c>
      <c r="M1642" t="s">
        <v>841</v>
      </c>
      <c r="N1642" t="s">
        <v>842</v>
      </c>
      <c r="O1642" t="s">
        <v>843</v>
      </c>
      <c r="P1642" t="s">
        <v>273</v>
      </c>
      <c r="Q1642" s="3">
        <v>7080</v>
      </c>
      <c r="R1642" t="s">
        <v>128</v>
      </c>
      <c r="T1642" s="4">
        <v>17328327978</v>
      </c>
      <c r="V1642" t="s">
        <v>844</v>
      </c>
      <c r="W1642" t="s">
        <v>8923</v>
      </c>
      <c r="Y1642" t="s">
        <v>841</v>
      </c>
      <c r="Z1642" t="s">
        <v>8922</v>
      </c>
      <c r="AA1642" t="s">
        <v>843</v>
      </c>
      <c r="AB1642" t="s">
        <v>276</v>
      </c>
      <c r="AC1642" s="3" t="str">
        <f>"07080"</f>
        <v>07080</v>
      </c>
      <c r="AD1642" t="s">
        <v>128</v>
      </c>
      <c r="AF1642" s="4">
        <v>17324381906</v>
      </c>
      <c r="AH1642" t="str">
        <f>"541512"</f>
        <v>541512</v>
      </c>
      <c r="AI1642" t="s">
        <v>130</v>
      </c>
      <c r="AJ1642" t="s">
        <v>838</v>
      </c>
      <c r="AK1642" t="s">
        <v>839</v>
      </c>
      <c r="AL1642" t="s">
        <v>1933</v>
      </c>
      <c r="AM1642" t="s">
        <v>841</v>
      </c>
      <c r="AN1642" t="s">
        <v>842</v>
      </c>
      <c r="AO1642" t="s">
        <v>843</v>
      </c>
      <c r="AP1642" t="s">
        <v>276</v>
      </c>
      <c r="AQ1642" s="5">
        <v>7080</v>
      </c>
      <c r="AR1642" t="s">
        <v>128</v>
      </c>
      <c r="AT1642" s="4">
        <v>17328327978</v>
      </c>
      <c r="AV1642" t="s">
        <v>844</v>
      </c>
      <c r="AW1642" t="s">
        <v>3328</v>
      </c>
      <c r="AX1642" t="s">
        <v>131</v>
      </c>
      <c r="AY1642" t="s">
        <v>131</v>
      </c>
      <c r="AZ1642" t="s">
        <v>131</v>
      </c>
      <c r="BA1642" t="s">
        <v>131</v>
      </c>
      <c r="BB1642" t="s">
        <v>131</v>
      </c>
      <c r="BC1642" t="s">
        <v>131</v>
      </c>
      <c r="BD1642" t="s">
        <v>131</v>
      </c>
      <c r="BE1642" t="s">
        <v>132</v>
      </c>
      <c r="BH1642" t="s">
        <v>10454</v>
      </c>
      <c r="BI1642" t="s">
        <v>131</v>
      </c>
      <c r="BL1642" t="s">
        <v>133</v>
      </c>
      <c r="BN1642" t="s">
        <v>7493</v>
      </c>
      <c r="BO1642" t="s">
        <v>131</v>
      </c>
      <c r="BP1642" t="s">
        <v>134</v>
      </c>
      <c r="BQ1642" t="s">
        <v>131</v>
      </c>
      <c r="BS1642" t="str">
        <f t="shared" si="100"/>
        <v>N/A</v>
      </c>
      <c r="BT1642" t="s">
        <v>135</v>
      </c>
      <c r="BU1642">
        <v>24</v>
      </c>
      <c r="BV1642" t="str">
        <f>" job offered or related occupation"</f>
        <v xml:space="preserve"> job offered or related occupation</v>
      </c>
      <c r="BW1642" t="s">
        <v>131</v>
      </c>
      <c r="BX1642" t="str">
        <f>""</f>
        <v/>
      </c>
      <c r="BY1642" t="str">
        <f>""</f>
        <v/>
      </c>
      <c r="BZ1642" t="str">
        <f>""</f>
        <v/>
      </c>
      <c r="CA1642" t="str">
        <f>""</f>
        <v/>
      </c>
      <c r="CB1642" t="s">
        <v>131</v>
      </c>
      <c r="CF1642" t="s">
        <v>131</v>
      </c>
      <c r="CH1642" t="str">
        <f>""</f>
        <v/>
      </c>
      <c r="CI1642" t="s">
        <v>131</v>
      </c>
      <c r="CK1642" t="s">
        <v>131</v>
      </c>
      <c r="CL1642" t="str">
        <f>""</f>
        <v/>
      </c>
      <c r="CM1642" t="str">
        <f>""</f>
        <v/>
      </c>
      <c r="CN1642" t="str">
        <f>""</f>
        <v/>
      </c>
      <c r="CO1642" t="str">
        <f>""</f>
        <v/>
      </c>
      <c r="CP1642" t="str">
        <f>"15-1121.00"</f>
        <v>15-1121.00</v>
      </c>
      <c r="CQ1642" t="s">
        <v>283</v>
      </c>
      <c r="CR1642" t="s">
        <v>849</v>
      </c>
      <c r="CS1642" t="s">
        <v>131</v>
      </c>
      <c r="CU1642" t="s">
        <v>841</v>
      </c>
      <c r="CV1642" t="s">
        <v>8924</v>
      </c>
      <c r="CW1642" t="s">
        <v>843</v>
      </c>
      <c r="CX1642" t="s">
        <v>276</v>
      </c>
      <c r="CZ1642" s="3" t="str">
        <f>"07080"</f>
        <v>07080</v>
      </c>
      <c r="DA1642" t="s">
        <v>131</v>
      </c>
      <c r="DB1642" t="str">
        <f>""</f>
        <v/>
      </c>
      <c r="DF1642" t="str">
        <f>""</f>
        <v/>
      </c>
    </row>
    <row r="1643" spans="1:110" ht="15" customHeight="1" x14ac:dyDescent="0.35">
      <c r="A1643" t="s">
        <v>16995</v>
      </c>
      <c r="B1643" t="s">
        <v>138</v>
      </c>
      <c r="C1643" s="1">
        <v>44337</v>
      </c>
      <c r="G1643" s="1">
        <v>44348</v>
      </c>
      <c r="H1643" t="s">
        <v>125</v>
      </c>
      <c r="I1643" t="s">
        <v>838</v>
      </c>
      <c r="J1643" t="s">
        <v>839</v>
      </c>
      <c r="K1643" t="s">
        <v>840</v>
      </c>
      <c r="L1643" t="s">
        <v>2565</v>
      </c>
      <c r="M1643" t="s">
        <v>841</v>
      </c>
      <c r="N1643" t="s">
        <v>842</v>
      </c>
      <c r="O1643" t="s">
        <v>843</v>
      </c>
      <c r="P1643" t="s">
        <v>273</v>
      </c>
      <c r="Q1643" s="3">
        <v>7080</v>
      </c>
      <c r="R1643" t="s">
        <v>128</v>
      </c>
      <c r="T1643" s="4">
        <v>17328327978</v>
      </c>
      <c r="V1643" t="s">
        <v>844</v>
      </c>
      <c r="W1643" t="s">
        <v>16844</v>
      </c>
      <c r="Y1643" t="s">
        <v>16845</v>
      </c>
      <c r="Z1643" t="s">
        <v>834</v>
      </c>
      <c r="AA1643" t="s">
        <v>835</v>
      </c>
      <c r="AB1643" t="s">
        <v>276</v>
      </c>
      <c r="AC1643" s="3" t="str">
        <f>"07095"</f>
        <v>07095</v>
      </c>
      <c r="AD1643" t="s">
        <v>128</v>
      </c>
      <c r="AF1643" s="4">
        <v>17328101013</v>
      </c>
      <c r="AH1643" t="str">
        <f>"541511"</f>
        <v>541511</v>
      </c>
      <c r="AI1643" t="s">
        <v>130</v>
      </c>
      <c r="AJ1643" t="s">
        <v>838</v>
      </c>
      <c r="AK1643" t="s">
        <v>839</v>
      </c>
      <c r="AL1643" t="s">
        <v>840</v>
      </c>
      <c r="AM1643" t="s">
        <v>841</v>
      </c>
      <c r="AN1643" t="s">
        <v>842</v>
      </c>
      <c r="AO1643" t="s">
        <v>843</v>
      </c>
      <c r="AP1643" t="s">
        <v>276</v>
      </c>
      <c r="AQ1643" s="5">
        <v>7080</v>
      </c>
      <c r="AR1643" t="s">
        <v>128</v>
      </c>
      <c r="AT1643" s="4">
        <v>17328327978</v>
      </c>
      <c r="AV1643" t="s">
        <v>844</v>
      </c>
      <c r="AW1643" t="s">
        <v>845</v>
      </c>
      <c r="AX1643" t="s">
        <v>131</v>
      </c>
      <c r="AY1643" t="s">
        <v>131</v>
      </c>
      <c r="AZ1643" t="s">
        <v>131</v>
      </c>
      <c r="BA1643" t="s">
        <v>131</v>
      </c>
      <c r="BB1643" t="s">
        <v>131</v>
      </c>
      <c r="BC1643" t="s">
        <v>131</v>
      </c>
      <c r="BD1643" t="s">
        <v>131</v>
      </c>
      <c r="BE1643" t="s">
        <v>132</v>
      </c>
      <c r="BH1643" t="s">
        <v>846</v>
      </c>
      <c r="BI1643" t="s">
        <v>131</v>
      </c>
      <c r="BL1643" t="s">
        <v>188</v>
      </c>
      <c r="BN1643" t="s">
        <v>9789</v>
      </c>
      <c r="BO1643" t="s">
        <v>131</v>
      </c>
      <c r="BP1643" t="s">
        <v>134</v>
      </c>
      <c r="BQ1643" t="s">
        <v>131</v>
      </c>
      <c r="BS1643" t="str">
        <f t="shared" si="100"/>
        <v>N/A</v>
      </c>
      <c r="BT1643" t="s">
        <v>135</v>
      </c>
      <c r="BU1643">
        <v>12</v>
      </c>
      <c r="BV1643" t="str">
        <f>"JOB OFFERED OR RELATED OCCUPATION."</f>
        <v>JOB OFFERED OR RELATED OCCUPATION.</v>
      </c>
      <c r="BW1643" t="s">
        <v>135</v>
      </c>
      <c r="BX1643" t="str">
        <f>""</f>
        <v/>
      </c>
      <c r="BY1643" t="str">
        <f>""</f>
        <v/>
      </c>
      <c r="BZ1643" t="str">
        <f>""</f>
        <v/>
      </c>
      <c r="CA1643" t="s">
        <v>16996</v>
      </c>
      <c r="CB1643" t="s">
        <v>135</v>
      </c>
      <c r="CC1643" t="s">
        <v>133</v>
      </c>
      <c r="CE1643" t="s">
        <v>9789</v>
      </c>
      <c r="CF1643" t="s">
        <v>131</v>
      </c>
      <c r="CH1643" t="str">
        <f>"N/A"</f>
        <v>N/A</v>
      </c>
      <c r="CI1643" t="s">
        <v>135</v>
      </c>
      <c r="CJ1643">
        <v>60</v>
      </c>
      <c r="CK1643" t="s">
        <v>131</v>
      </c>
      <c r="CL1643" t="str">
        <f>""</f>
        <v/>
      </c>
      <c r="CM1643" t="str">
        <f>""</f>
        <v/>
      </c>
      <c r="CN1643" t="str">
        <f>""</f>
        <v/>
      </c>
      <c r="CO1643" t="str">
        <f>""</f>
        <v/>
      </c>
      <c r="CP1643" t="str">
        <f>"15-1132.00"</f>
        <v>15-1132.00</v>
      </c>
      <c r="CQ1643" t="s">
        <v>198</v>
      </c>
      <c r="CR1643" t="s">
        <v>849</v>
      </c>
      <c r="CS1643" t="s">
        <v>131</v>
      </c>
      <c r="CU1643" t="s">
        <v>16845</v>
      </c>
      <c r="CV1643" t="s">
        <v>850</v>
      </c>
      <c r="CW1643" t="s">
        <v>835</v>
      </c>
      <c r="CX1643" t="s">
        <v>276</v>
      </c>
      <c r="CZ1643" s="3" t="str">
        <f>"07095"</f>
        <v>07095</v>
      </c>
      <c r="DA1643" t="s">
        <v>131</v>
      </c>
      <c r="DB1643" t="str">
        <f>""</f>
        <v/>
      </c>
      <c r="DF1643" t="str">
        <f>""</f>
        <v/>
      </c>
    </row>
    <row r="1644" spans="1:110" ht="15" customHeight="1" x14ac:dyDescent="0.35">
      <c r="A1644" t="s">
        <v>5603</v>
      </c>
      <c r="B1644" t="s">
        <v>138</v>
      </c>
      <c r="C1644" s="1">
        <v>44337</v>
      </c>
      <c r="G1644" s="1">
        <v>44344</v>
      </c>
      <c r="H1644" t="s">
        <v>125</v>
      </c>
      <c r="I1644" t="s">
        <v>5604</v>
      </c>
      <c r="J1644" t="s">
        <v>5605</v>
      </c>
      <c r="L1644" t="s">
        <v>774</v>
      </c>
      <c r="M1644" t="s">
        <v>5606</v>
      </c>
      <c r="O1644" t="s">
        <v>1125</v>
      </c>
      <c r="P1644" t="s">
        <v>273</v>
      </c>
      <c r="Q1644" s="3">
        <v>8002</v>
      </c>
      <c r="R1644" t="s">
        <v>128</v>
      </c>
      <c r="T1644" s="4">
        <v>16092651666</v>
      </c>
      <c r="V1644" t="s">
        <v>5607</v>
      </c>
      <c r="W1644" t="s">
        <v>5608</v>
      </c>
      <c r="Y1644" t="s">
        <v>5609</v>
      </c>
      <c r="Z1644" t="s">
        <v>5610</v>
      </c>
      <c r="AA1644" t="s">
        <v>1125</v>
      </c>
      <c r="AB1644" t="s">
        <v>276</v>
      </c>
      <c r="AC1644" s="3" t="str">
        <f>"08002"</f>
        <v>08002</v>
      </c>
      <c r="AD1644" t="s">
        <v>128</v>
      </c>
      <c r="AF1644" s="4">
        <v>16092651666</v>
      </c>
      <c r="AH1644" t="str">
        <f>"541511"</f>
        <v>541511</v>
      </c>
      <c r="AI1644" t="s">
        <v>130</v>
      </c>
      <c r="AJ1644" t="s">
        <v>5611</v>
      </c>
      <c r="AK1644" t="s">
        <v>5612</v>
      </c>
      <c r="AL1644" t="s">
        <v>5613</v>
      </c>
      <c r="AM1644" t="s">
        <v>5614</v>
      </c>
      <c r="AO1644" t="s">
        <v>958</v>
      </c>
      <c r="AP1644" t="s">
        <v>276</v>
      </c>
      <c r="AQ1644" s="5">
        <v>8543</v>
      </c>
      <c r="AR1644" t="s">
        <v>128</v>
      </c>
      <c r="AT1644" s="4">
        <v>16094095434</v>
      </c>
      <c r="AV1644" t="s">
        <v>5615</v>
      </c>
      <c r="AW1644" t="s">
        <v>5616</v>
      </c>
      <c r="AX1644" t="s">
        <v>131</v>
      </c>
      <c r="AY1644" t="s">
        <v>131</v>
      </c>
      <c r="AZ1644" t="s">
        <v>131</v>
      </c>
      <c r="BA1644" t="s">
        <v>131</v>
      </c>
      <c r="BB1644" t="s">
        <v>131</v>
      </c>
      <c r="BC1644" t="s">
        <v>131</v>
      </c>
      <c r="BD1644" t="s">
        <v>131</v>
      </c>
      <c r="BE1644" t="s">
        <v>132</v>
      </c>
      <c r="BH1644" t="s">
        <v>5617</v>
      </c>
      <c r="BI1644" t="s">
        <v>131</v>
      </c>
      <c r="BL1644" t="s">
        <v>188</v>
      </c>
      <c r="BN1644" t="s">
        <v>5618</v>
      </c>
      <c r="BO1644" t="s">
        <v>131</v>
      </c>
      <c r="BP1644" t="s">
        <v>134</v>
      </c>
      <c r="BQ1644" t="s">
        <v>131</v>
      </c>
      <c r="BS1644" t="str">
        <f t="shared" si="100"/>
        <v>N/A</v>
      </c>
      <c r="BT1644" t="s">
        <v>131</v>
      </c>
      <c r="BV1644" t="str">
        <f>""</f>
        <v/>
      </c>
      <c r="BW1644" t="s">
        <v>131</v>
      </c>
      <c r="BX1644" t="str">
        <f>""</f>
        <v/>
      </c>
      <c r="BY1644" t="str">
        <f>""</f>
        <v/>
      </c>
      <c r="BZ1644" t="str">
        <f>""</f>
        <v/>
      </c>
      <c r="CA1644" t="str">
        <f>""</f>
        <v/>
      </c>
      <c r="CB1644" t="s">
        <v>135</v>
      </c>
      <c r="CC1644" t="s">
        <v>133</v>
      </c>
      <c r="CE1644" t="s">
        <v>5618</v>
      </c>
      <c r="CF1644" t="s">
        <v>131</v>
      </c>
      <c r="CH1644" t="str">
        <f>"N/A"</f>
        <v>N/A</v>
      </c>
      <c r="CI1644" t="s">
        <v>135</v>
      </c>
      <c r="CJ1644">
        <v>60</v>
      </c>
      <c r="CK1644" t="s">
        <v>131</v>
      </c>
      <c r="CL1644" t="str">
        <f>""</f>
        <v/>
      </c>
      <c r="CM1644" t="str">
        <f>""</f>
        <v/>
      </c>
      <c r="CN1644" t="str">
        <f>""</f>
        <v/>
      </c>
      <c r="CO1644" t="str">
        <f>""</f>
        <v/>
      </c>
      <c r="CP1644" t="str">
        <f>"15-1199.01"</f>
        <v>15-1199.01</v>
      </c>
      <c r="CQ1644" t="s">
        <v>308</v>
      </c>
      <c r="CS1644" t="s">
        <v>131</v>
      </c>
      <c r="CU1644" t="s">
        <v>5606</v>
      </c>
      <c r="CW1644" t="s">
        <v>1125</v>
      </c>
      <c r="CX1644" t="s">
        <v>276</v>
      </c>
      <c r="CZ1644" s="3" t="str">
        <f>"08002"</f>
        <v>08002</v>
      </c>
      <c r="DA1644" t="s">
        <v>131</v>
      </c>
      <c r="DB1644" t="str">
        <f>""</f>
        <v/>
      </c>
      <c r="DF1644" t="str">
        <f>""</f>
        <v/>
      </c>
    </row>
    <row r="1645" spans="1:110" ht="15" customHeight="1" x14ac:dyDescent="0.35">
      <c r="A1645" t="s">
        <v>16335</v>
      </c>
      <c r="B1645" t="s">
        <v>138</v>
      </c>
      <c r="C1645" s="1">
        <v>44337</v>
      </c>
      <c r="G1645" s="1">
        <v>44340</v>
      </c>
      <c r="H1645" t="s">
        <v>125</v>
      </c>
      <c r="I1645" t="s">
        <v>16336</v>
      </c>
      <c r="J1645" t="s">
        <v>10541</v>
      </c>
      <c r="L1645" t="s">
        <v>395</v>
      </c>
      <c r="M1645" t="s">
        <v>16337</v>
      </c>
      <c r="O1645" t="s">
        <v>16338</v>
      </c>
      <c r="P1645" t="s">
        <v>178</v>
      </c>
      <c r="Q1645" s="3">
        <v>93463</v>
      </c>
      <c r="R1645" t="s">
        <v>128</v>
      </c>
      <c r="T1645" s="4">
        <v>18056880717</v>
      </c>
      <c r="V1645" t="s">
        <v>16339</v>
      </c>
      <c r="W1645" t="s">
        <v>16340</v>
      </c>
      <c r="Y1645" t="s">
        <v>16341</v>
      </c>
      <c r="AA1645" t="s">
        <v>16338</v>
      </c>
      <c r="AB1645" t="s">
        <v>172</v>
      </c>
      <c r="AC1645" s="3" t="str">
        <f>"93463"</f>
        <v>93463</v>
      </c>
      <c r="AD1645" t="s">
        <v>128</v>
      </c>
      <c r="AF1645" s="4">
        <v>18056880717</v>
      </c>
      <c r="AH1645" t="str">
        <f>"312130"</f>
        <v>312130</v>
      </c>
      <c r="AI1645" t="s">
        <v>130</v>
      </c>
      <c r="AJ1645" t="s">
        <v>16342</v>
      </c>
      <c r="AK1645" t="s">
        <v>5653</v>
      </c>
      <c r="AL1645" t="s">
        <v>192</v>
      </c>
      <c r="AM1645" t="s">
        <v>663</v>
      </c>
      <c r="AO1645" t="s">
        <v>664</v>
      </c>
      <c r="AP1645" t="s">
        <v>172</v>
      </c>
      <c r="AQ1645" s="5">
        <v>95134</v>
      </c>
      <c r="AR1645" t="s">
        <v>128</v>
      </c>
      <c r="AT1645" s="4">
        <v>14089190600</v>
      </c>
      <c r="AV1645" t="s">
        <v>16343</v>
      </c>
      <c r="AW1645" t="s">
        <v>386</v>
      </c>
      <c r="AX1645" t="s">
        <v>131</v>
      </c>
      <c r="AY1645" t="s">
        <v>131</v>
      </c>
      <c r="AZ1645" t="s">
        <v>131</v>
      </c>
      <c r="BA1645" t="s">
        <v>131</v>
      </c>
      <c r="BB1645" t="s">
        <v>131</v>
      </c>
      <c r="BC1645" t="s">
        <v>131</v>
      </c>
      <c r="BD1645" t="s">
        <v>131</v>
      </c>
      <c r="BE1645" t="s">
        <v>132</v>
      </c>
      <c r="BH1645" t="s">
        <v>16344</v>
      </c>
      <c r="BI1645" t="s">
        <v>131</v>
      </c>
      <c r="BL1645" t="s">
        <v>658</v>
      </c>
      <c r="BM1645" t="s">
        <v>1844</v>
      </c>
      <c r="BN1645" t="s">
        <v>16345</v>
      </c>
      <c r="BO1645" t="s">
        <v>131</v>
      </c>
      <c r="BP1645" t="s">
        <v>134</v>
      </c>
      <c r="BQ1645" t="s">
        <v>131</v>
      </c>
      <c r="BS1645" t="str">
        <f t="shared" si="100"/>
        <v>N/A</v>
      </c>
      <c r="BT1645" t="s">
        <v>135</v>
      </c>
      <c r="BU1645">
        <v>36</v>
      </c>
      <c r="BV1645" t="str">
        <f>"See Box F.a.2"</f>
        <v>See Box F.a.2</v>
      </c>
      <c r="BW1645" t="s">
        <v>135</v>
      </c>
      <c r="BX1645" t="str">
        <f>"Sommelier Certification"</f>
        <v>Sommelier Certification</v>
      </c>
      <c r="BY1645" t="str">
        <f>""</f>
        <v/>
      </c>
      <c r="BZ1645" t="str">
        <f>""</f>
        <v/>
      </c>
      <c r="CA1645" t="str">
        <f>""</f>
        <v/>
      </c>
      <c r="CB1645" t="s">
        <v>131</v>
      </c>
      <c r="CF1645" t="s">
        <v>131</v>
      </c>
      <c r="CH1645" t="str">
        <f>""</f>
        <v/>
      </c>
      <c r="CI1645" t="s">
        <v>131</v>
      </c>
      <c r="CK1645" t="s">
        <v>131</v>
      </c>
      <c r="CL1645" t="str">
        <f>""</f>
        <v/>
      </c>
      <c r="CM1645" t="str">
        <f>""</f>
        <v/>
      </c>
      <c r="CN1645" t="str">
        <f>""</f>
        <v/>
      </c>
      <c r="CO1645" t="str">
        <f>""</f>
        <v/>
      </c>
      <c r="CP1645" t="str">
        <f>"35-1011.00"</f>
        <v>35-1011.00</v>
      </c>
      <c r="CQ1645" t="s">
        <v>1392</v>
      </c>
      <c r="CR1645" t="s">
        <v>16346</v>
      </c>
      <c r="CS1645" t="s">
        <v>131</v>
      </c>
      <c r="CU1645" t="s">
        <v>16347</v>
      </c>
      <c r="CW1645" t="s">
        <v>16338</v>
      </c>
      <c r="CX1645" t="s">
        <v>172</v>
      </c>
      <c r="CZ1645" s="3" t="str">
        <f>"93463"</f>
        <v>93463</v>
      </c>
      <c r="DA1645" t="s">
        <v>131</v>
      </c>
      <c r="DB1645" t="str">
        <f>""</f>
        <v/>
      </c>
      <c r="DF1645" t="str">
        <f>""</f>
        <v/>
      </c>
    </row>
    <row r="1646" spans="1:110" ht="15" customHeight="1" x14ac:dyDescent="0.35">
      <c r="A1646" t="s">
        <v>11765</v>
      </c>
      <c r="B1646" t="s">
        <v>138</v>
      </c>
      <c r="C1646" s="1">
        <v>44337</v>
      </c>
      <c r="G1646" s="1">
        <v>44365</v>
      </c>
      <c r="H1646" t="s">
        <v>125</v>
      </c>
      <c r="I1646" t="s">
        <v>449</v>
      </c>
      <c r="J1646" t="s">
        <v>450</v>
      </c>
      <c r="L1646" t="s">
        <v>451</v>
      </c>
      <c r="M1646" t="s">
        <v>452</v>
      </c>
      <c r="O1646" t="s">
        <v>453</v>
      </c>
      <c r="P1646" t="s">
        <v>178</v>
      </c>
      <c r="Q1646" s="3">
        <v>94025</v>
      </c>
      <c r="R1646" t="s">
        <v>128</v>
      </c>
      <c r="T1646" s="4">
        <v>16505434800</v>
      </c>
      <c r="V1646" t="s">
        <v>454</v>
      </c>
      <c r="W1646" t="s">
        <v>455</v>
      </c>
      <c r="Y1646" t="s">
        <v>452</v>
      </c>
      <c r="AA1646" t="s">
        <v>453</v>
      </c>
      <c r="AB1646" t="s">
        <v>172</v>
      </c>
      <c r="AC1646" s="3" t="str">
        <f>"94025"</f>
        <v>94025</v>
      </c>
      <c r="AD1646" t="s">
        <v>128</v>
      </c>
      <c r="AF1646" s="4">
        <v>16505434800</v>
      </c>
      <c r="AH1646" t="str">
        <f>"51913"</f>
        <v>51913</v>
      </c>
      <c r="AI1646" t="s">
        <v>130</v>
      </c>
      <c r="AJ1646" t="s">
        <v>1616</v>
      </c>
      <c r="AK1646" t="s">
        <v>5825</v>
      </c>
      <c r="AM1646" t="s">
        <v>11684</v>
      </c>
      <c r="AN1646" t="s">
        <v>5826</v>
      </c>
      <c r="AO1646" t="s">
        <v>458</v>
      </c>
      <c r="AP1646" t="s">
        <v>400</v>
      </c>
      <c r="AQ1646" s="5">
        <v>75082</v>
      </c>
      <c r="AR1646" t="s">
        <v>128</v>
      </c>
      <c r="AT1646" s="4">
        <v>14692909913</v>
      </c>
      <c r="AV1646" t="s">
        <v>5827</v>
      </c>
      <c r="AW1646" t="s">
        <v>367</v>
      </c>
      <c r="AX1646" t="s">
        <v>131</v>
      </c>
      <c r="AY1646" t="s">
        <v>131</v>
      </c>
      <c r="AZ1646" t="s">
        <v>131</v>
      </c>
      <c r="BA1646" t="s">
        <v>131</v>
      </c>
      <c r="BB1646" t="s">
        <v>131</v>
      </c>
      <c r="BC1646" t="s">
        <v>131</v>
      </c>
      <c r="BD1646" t="s">
        <v>131</v>
      </c>
      <c r="BE1646" t="s">
        <v>132</v>
      </c>
      <c r="BH1646" t="s">
        <v>8630</v>
      </c>
      <c r="BI1646" t="s">
        <v>131</v>
      </c>
      <c r="BL1646" t="s">
        <v>188</v>
      </c>
      <c r="BN1646" t="s">
        <v>459</v>
      </c>
      <c r="BO1646" t="s">
        <v>131</v>
      </c>
      <c r="BP1646" t="s">
        <v>134</v>
      </c>
      <c r="BQ1646" t="s">
        <v>131</v>
      </c>
      <c r="BS1646" t="str">
        <f t="shared" si="100"/>
        <v>N/A</v>
      </c>
      <c r="BT1646" t="s">
        <v>135</v>
      </c>
      <c r="BU1646">
        <v>24</v>
      </c>
      <c r="BV1646" t="str">
        <f>"See F.a.2"</f>
        <v>See F.a.2</v>
      </c>
      <c r="BW1646" t="s">
        <v>135</v>
      </c>
      <c r="BX1646" t="str">
        <f>""</f>
        <v/>
      </c>
      <c r="BY1646" t="str">
        <f>""</f>
        <v/>
      </c>
      <c r="BZ1646" t="str">
        <f>""</f>
        <v/>
      </c>
      <c r="CA1646" t="str">
        <f>"See F.a.2"</f>
        <v>See F.a.2</v>
      </c>
      <c r="CB1646" t="s">
        <v>131</v>
      </c>
      <c r="CF1646" t="s">
        <v>131</v>
      </c>
      <c r="CH1646" t="str">
        <f>""</f>
        <v/>
      </c>
      <c r="CI1646" t="s">
        <v>131</v>
      </c>
      <c r="CK1646" t="s">
        <v>131</v>
      </c>
      <c r="CL1646" t="str">
        <f>""</f>
        <v/>
      </c>
      <c r="CM1646" t="str">
        <f>""</f>
        <v/>
      </c>
      <c r="CN1646" t="str">
        <f>""</f>
        <v/>
      </c>
      <c r="CO1646" t="str">
        <f>""</f>
        <v/>
      </c>
      <c r="CP1646" t="str">
        <f>"15-1111.00"</f>
        <v>15-1111.00</v>
      </c>
      <c r="CQ1646" t="s">
        <v>726</v>
      </c>
      <c r="CR1646" t="s">
        <v>460</v>
      </c>
      <c r="CS1646" t="s">
        <v>131</v>
      </c>
      <c r="CU1646" t="s">
        <v>452</v>
      </c>
      <c r="CW1646" t="s">
        <v>453</v>
      </c>
      <c r="CX1646" t="s">
        <v>172</v>
      </c>
      <c r="CZ1646" s="3" t="str">
        <f>"94025"</f>
        <v>94025</v>
      </c>
      <c r="DA1646" t="s">
        <v>131</v>
      </c>
      <c r="DB1646" t="str">
        <f>""</f>
        <v/>
      </c>
      <c r="DF1646" t="str">
        <f>""</f>
        <v/>
      </c>
    </row>
    <row r="1647" spans="1:110" ht="15" customHeight="1" x14ac:dyDescent="0.35">
      <c r="A1647" t="s">
        <v>17787</v>
      </c>
      <c r="B1647" t="s">
        <v>138</v>
      </c>
      <c r="C1647" s="1">
        <v>44340</v>
      </c>
      <c r="G1647" s="1">
        <v>44350</v>
      </c>
      <c r="H1647" t="s">
        <v>125</v>
      </c>
      <c r="I1647" t="s">
        <v>2504</v>
      </c>
      <c r="J1647" t="s">
        <v>839</v>
      </c>
      <c r="K1647" t="s">
        <v>840</v>
      </c>
      <c r="L1647" t="s">
        <v>2565</v>
      </c>
      <c r="M1647" t="s">
        <v>2505</v>
      </c>
      <c r="N1647" t="s">
        <v>842</v>
      </c>
      <c r="O1647" t="s">
        <v>4695</v>
      </c>
      <c r="P1647" t="s">
        <v>273</v>
      </c>
      <c r="Q1647" s="3">
        <v>7080</v>
      </c>
      <c r="R1647" t="s">
        <v>128</v>
      </c>
      <c r="T1647" s="4">
        <v>17328327978</v>
      </c>
      <c r="V1647" t="s">
        <v>844</v>
      </c>
      <c r="W1647" t="s">
        <v>9531</v>
      </c>
      <c r="Y1647" t="s">
        <v>14359</v>
      </c>
      <c r="Z1647" t="s">
        <v>9529</v>
      </c>
      <c r="AA1647" t="s">
        <v>9530</v>
      </c>
      <c r="AB1647" t="s">
        <v>276</v>
      </c>
      <c r="AC1647" s="3" t="str">
        <f>"08852"</f>
        <v>08852</v>
      </c>
      <c r="AD1647" t="s">
        <v>128</v>
      </c>
      <c r="AF1647" s="4">
        <v>12013557904</v>
      </c>
      <c r="AH1647" t="str">
        <f>"541511"</f>
        <v>541511</v>
      </c>
      <c r="AI1647" t="s">
        <v>130</v>
      </c>
      <c r="AJ1647" t="s">
        <v>838</v>
      </c>
      <c r="AK1647" t="s">
        <v>839</v>
      </c>
      <c r="AL1647" t="s">
        <v>840</v>
      </c>
      <c r="AM1647" t="s">
        <v>2505</v>
      </c>
      <c r="AN1647" t="s">
        <v>842</v>
      </c>
      <c r="AO1647" t="s">
        <v>4695</v>
      </c>
      <c r="AP1647" t="s">
        <v>276</v>
      </c>
      <c r="AQ1647" s="5">
        <v>7080</v>
      </c>
      <c r="AR1647" t="s">
        <v>128</v>
      </c>
      <c r="AT1647" s="4">
        <v>17328327978</v>
      </c>
      <c r="AV1647" t="s">
        <v>844</v>
      </c>
      <c r="AW1647" t="s">
        <v>2570</v>
      </c>
      <c r="AX1647" t="s">
        <v>131</v>
      </c>
      <c r="AY1647" t="s">
        <v>131</v>
      </c>
      <c r="AZ1647" t="s">
        <v>131</v>
      </c>
      <c r="BA1647" t="s">
        <v>131</v>
      </c>
      <c r="BB1647" t="s">
        <v>131</v>
      </c>
      <c r="BC1647" t="s">
        <v>131</v>
      </c>
      <c r="BD1647" t="s">
        <v>131</v>
      </c>
      <c r="BE1647" t="s">
        <v>132</v>
      </c>
      <c r="BH1647" t="s">
        <v>9532</v>
      </c>
      <c r="BI1647" t="s">
        <v>131</v>
      </c>
      <c r="BL1647" t="s">
        <v>188</v>
      </c>
      <c r="BN1647" t="s">
        <v>17788</v>
      </c>
      <c r="BO1647" t="s">
        <v>131</v>
      </c>
      <c r="BP1647" t="s">
        <v>134</v>
      </c>
      <c r="BQ1647" t="s">
        <v>131</v>
      </c>
      <c r="BS1647" t="str">
        <f t="shared" si="100"/>
        <v>N/A</v>
      </c>
      <c r="BT1647" t="s">
        <v>131</v>
      </c>
      <c r="BV1647" t="str">
        <f>""</f>
        <v/>
      </c>
      <c r="BW1647" t="s">
        <v>135</v>
      </c>
      <c r="BX1647" t="str">
        <f>""</f>
        <v/>
      </c>
      <c r="BY1647" t="str">
        <f>""</f>
        <v/>
      </c>
      <c r="BZ1647" t="str">
        <f>""</f>
        <v/>
      </c>
      <c r="CA1647" t="s">
        <v>17678</v>
      </c>
      <c r="CB1647" t="s">
        <v>135</v>
      </c>
      <c r="CC1647" t="s">
        <v>133</v>
      </c>
      <c r="CE1647" t="s">
        <v>2786</v>
      </c>
      <c r="CF1647" t="s">
        <v>131</v>
      </c>
      <c r="CH1647" t="str">
        <f t="shared" ref="CH1647:CH1657" si="101">"N/A"</f>
        <v>N/A</v>
      </c>
      <c r="CI1647" t="s">
        <v>135</v>
      </c>
      <c r="CJ1647">
        <v>60</v>
      </c>
      <c r="CK1647" t="s">
        <v>131</v>
      </c>
      <c r="CL1647" t="str">
        <f>""</f>
        <v/>
      </c>
      <c r="CM1647" t="str">
        <f>""</f>
        <v/>
      </c>
      <c r="CN1647" t="str">
        <f>""</f>
        <v/>
      </c>
      <c r="CO1647" t="str">
        <f>""</f>
        <v/>
      </c>
      <c r="CP1647" t="str">
        <f>"15-1121.00"</f>
        <v>15-1121.00</v>
      </c>
      <c r="CQ1647" t="s">
        <v>283</v>
      </c>
      <c r="CR1647" t="s">
        <v>2509</v>
      </c>
      <c r="CS1647" t="s">
        <v>131</v>
      </c>
      <c r="CU1647" t="s">
        <v>14359</v>
      </c>
      <c r="CV1647" t="s">
        <v>14360</v>
      </c>
      <c r="CW1647" t="s">
        <v>9530</v>
      </c>
      <c r="CX1647" t="s">
        <v>276</v>
      </c>
      <c r="CZ1647" s="3" t="str">
        <f>"08852"</f>
        <v>08852</v>
      </c>
      <c r="DA1647" t="s">
        <v>131</v>
      </c>
      <c r="DB1647" t="str">
        <f>""</f>
        <v/>
      </c>
      <c r="DF1647" t="str">
        <f>""</f>
        <v/>
      </c>
    </row>
    <row r="1648" spans="1:110" ht="15" customHeight="1" x14ac:dyDescent="0.35">
      <c r="A1648" t="s">
        <v>17943</v>
      </c>
      <c r="B1648" t="s">
        <v>138</v>
      </c>
      <c r="C1648" s="1">
        <v>44340</v>
      </c>
      <c r="G1648" s="1">
        <v>44350</v>
      </c>
      <c r="H1648" t="s">
        <v>125</v>
      </c>
      <c r="I1648" t="s">
        <v>838</v>
      </c>
      <c r="J1648" t="s">
        <v>839</v>
      </c>
      <c r="K1648" t="s">
        <v>840</v>
      </c>
      <c r="L1648" t="s">
        <v>2565</v>
      </c>
      <c r="M1648" t="s">
        <v>841</v>
      </c>
      <c r="N1648" t="s">
        <v>842</v>
      </c>
      <c r="O1648" t="s">
        <v>843</v>
      </c>
      <c r="P1648" t="s">
        <v>273</v>
      </c>
      <c r="Q1648" s="3">
        <v>7080</v>
      </c>
      <c r="R1648" t="s">
        <v>128</v>
      </c>
      <c r="T1648" s="4">
        <v>17328327978</v>
      </c>
      <c r="V1648" t="s">
        <v>844</v>
      </c>
      <c r="W1648" t="s">
        <v>10316</v>
      </c>
      <c r="Y1648" t="s">
        <v>5199</v>
      </c>
      <c r="Z1648" t="s">
        <v>5200</v>
      </c>
      <c r="AA1648" t="s">
        <v>3387</v>
      </c>
      <c r="AB1648" t="s">
        <v>276</v>
      </c>
      <c r="AC1648" s="3" t="str">
        <f>"08619"</f>
        <v>08619</v>
      </c>
      <c r="AD1648" t="s">
        <v>128</v>
      </c>
      <c r="AF1648" s="4">
        <v>16098485700</v>
      </c>
      <c r="AH1648" t="str">
        <f>"541511"</f>
        <v>541511</v>
      </c>
      <c r="AI1648" t="s">
        <v>130</v>
      </c>
      <c r="AJ1648" t="s">
        <v>838</v>
      </c>
      <c r="AK1648" t="s">
        <v>839</v>
      </c>
      <c r="AL1648" t="s">
        <v>840</v>
      </c>
      <c r="AM1648" t="s">
        <v>2505</v>
      </c>
      <c r="AN1648" t="s">
        <v>842</v>
      </c>
      <c r="AO1648" t="s">
        <v>4695</v>
      </c>
      <c r="AP1648" t="s">
        <v>276</v>
      </c>
      <c r="AQ1648" s="5">
        <v>7080</v>
      </c>
      <c r="AR1648" t="s">
        <v>128</v>
      </c>
      <c r="AT1648" s="4">
        <v>17328327978</v>
      </c>
      <c r="AV1648" t="s">
        <v>844</v>
      </c>
      <c r="AW1648" t="s">
        <v>2570</v>
      </c>
      <c r="AX1648" t="s">
        <v>131</v>
      </c>
      <c r="AY1648" t="s">
        <v>131</v>
      </c>
      <c r="AZ1648" t="s">
        <v>131</v>
      </c>
      <c r="BA1648" t="s">
        <v>131</v>
      </c>
      <c r="BB1648" t="s">
        <v>131</v>
      </c>
      <c r="BC1648" t="s">
        <v>131</v>
      </c>
      <c r="BD1648" t="s">
        <v>131</v>
      </c>
      <c r="BE1648" t="s">
        <v>132</v>
      </c>
      <c r="BH1648" t="s">
        <v>500</v>
      </c>
      <c r="BI1648" t="s">
        <v>131</v>
      </c>
      <c r="BL1648" t="s">
        <v>188</v>
      </c>
      <c r="BN1648" t="s">
        <v>13540</v>
      </c>
      <c r="BO1648" t="s">
        <v>131</v>
      </c>
      <c r="BP1648" t="s">
        <v>134</v>
      </c>
      <c r="BQ1648" t="s">
        <v>131</v>
      </c>
      <c r="BS1648" t="str">
        <f t="shared" si="100"/>
        <v>N/A</v>
      </c>
      <c r="BT1648" t="s">
        <v>135</v>
      </c>
      <c r="BU1648">
        <v>12</v>
      </c>
      <c r="BV1648" t="str">
        <f>"JOB OFFERED OR RELATED OCCUPATION"</f>
        <v>JOB OFFERED OR RELATED OCCUPATION</v>
      </c>
      <c r="BW1648" t="s">
        <v>135</v>
      </c>
      <c r="BX1648" t="str">
        <f>""</f>
        <v/>
      </c>
      <c r="BY1648" t="str">
        <f>""</f>
        <v/>
      </c>
      <c r="BZ1648" t="str">
        <f>""</f>
        <v/>
      </c>
      <c r="CA1648" s="2" t="s">
        <v>13764</v>
      </c>
      <c r="CB1648" t="s">
        <v>135</v>
      </c>
      <c r="CC1648" t="s">
        <v>133</v>
      </c>
      <c r="CE1648" t="s">
        <v>11450</v>
      </c>
      <c r="CF1648" t="s">
        <v>131</v>
      </c>
      <c r="CH1648" t="str">
        <f t="shared" si="101"/>
        <v>N/A</v>
      </c>
      <c r="CI1648" t="s">
        <v>135</v>
      </c>
      <c r="CJ1648">
        <v>60</v>
      </c>
      <c r="CK1648" t="s">
        <v>131</v>
      </c>
      <c r="CL1648" t="str">
        <f>""</f>
        <v/>
      </c>
      <c r="CM1648" t="str">
        <f>""</f>
        <v/>
      </c>
      <c r="CN1648" t="str">
        <f>""</f>
        <v/>
      </c>
      <c r="CO1648" t="str">
        <f>""</f>
        <v/>
      </c>
      <c r="CP1648" t="str">
        <f>"15-1132.00"</f>
        <v>15-1132.00</v>
      </c>
      <c r="CQ1648" t="s">
        <v>198</v>
      </c>
      <c r="CR1648" t="s">
        <v>849</v>
      </c>
      <c r="CS1648" t="s">
        <v>131</v>
      </c>
      <c r="CU1648" t="s">
        <v>5203</v>
      </c>
      <c r="CV1648" t="s">
        <v>5204</v>
      </c>
      <c r="CW1648" t="s">
        <v>2426</v>
      </c>
      <c r="CX1648" t="s">
        <v>276</v>
      </c>
      <c r="CZ1648" s="3" t="str">
        <f>"08619"</f>
        <v>08619</v>
      </c>
      <c r="DA1648" t="s">
        <v>131</v>
      </c>
      <c r="DB1648" t="str">
        <f>""</f>
        <v/>
      </c>
      <c r="DF1648" t="str">
        <f>""</f>
        <v/>
      </c>
    </row>
    <row r="1649" spans="1:110" ht="15" customHeight="1" x14ac:dyDescent="0.35">
      <c r="A1649" t="s">
        <v>9149</v>
      </c>
      <c r="B1649" t="s">
        <v>138</v>
      </c>
      <c r="C1649" s="1">
        <v>44340</v>
      </c>
      <c r="G1649" s="1">
        <v>44350</v>
      </c>
      <c r="H1649" t="s">
        <v>125</v>
      </c>
      <c r="I1649" t="s">
        <v>838</v>
      </c>
      <c r="J1649" t="s">
        <v>839</v>
      </c>
      <c r="K1649" t="s">
        <v>840</v>
      </c>
      <c r="L1649" t="s">
        <v>2565</v>
      </c>
      <c r="M1649" t="s">
        <v>841</v>
      </c>
      <c r="N1649" t="s">
        <v>842</v>
      </c>
      <c r="O1649" t="s">
        <v>843</v>
      </c>
      <c r="P1649" t="s">
        <v>273</v>
      </c>
      <c r="Q1649" s="3">
        <v>7080</v>
      </c>
      <c r="R1649" t="s">
        <v>128</v>
      </c>
      <c r="T1649" s="4">
        <v>17328327978</v>
      </c>
      <c r="V1649" t="s">
        <v>844</v>
      </c>
      <c r="W1649" t="s">
        <v>2503</v>
      </c>
      <c r="Y1649" t="s">
        <v>2501</v>
      </c>
      <c r="Z1649" t="s">
        <v>2502</v>
      </c>
      <c r="AA1649" t="s">
        <v>4862</v>
      </c>
      <c r="AB1649" t="s">
        <v>276</v>
      </c>
      <c r="AC1649" s="3" t="str">
        <f>"08540"</f>
        <v>08540</v>
      </c>
      <c r="AD1649" t="s">
        <v>128</v>
      </c>
      <c r="AF1649" s="4">
        <v>19727527312</v>
      </c>
      <c r="AH1649" t="str">
        <f>"5416"</f>
        <v>5416</v>
      </c>
      <c r="AI1649" t="s">
        <v>130</v>
      </c>
      <c r="AJ1649" t="s">
        <v>838</v>
      </c>
      <c r="AK1649" t="s">
        <v>839</v>
      </c>
      <c r="AL1649" t="s">
        <v>840</v>
      </c>
      <c r="AM1649" t="s">
        <v>841</v>
      </c>
      <c r="AN1649" t="s">
        <v>842</v>
      </c>
      <c r="AO1649" t="s">
        <v>843</v>
      </c>
      <c r="AP1649" t="s">
        <v>276</v>
      </c>
      <c r="AQ1649" s="5">
        <v>7080</v>
      </c>
      <c r="AR1649" t="s">
        <v>128</v>
      </c>
      <c r="AT1649" s="4">
        <v>17328327978</v>
      </c>
      <c r="AV1649" t="s">
        <v>844</v>
      </c>
      <c r="AW1649" t="s">
        <v>2570</v>
      </c>
      <c r="AX1649" t="s">
        <v>131</v>
      </c>
      <c r="AY1649" t="s">
        <v>131</v>
      </c>
      <c r="AZ1649" t="s">
        <v>131</v>
      </c>
      <c r="BA1649" t="s">
        <v>131</v>
      </c>
      <c r="BB1649" t="s">
        <v>131</v>
      </c>
      <c r="BC1649" t="s">
        <v>131</v>
      </c>
      <c r="BD1649" t="s">
        <v>131</v>
      </c>
      <c r="BE1649" t="s">
        <v>132</v>
      </c>
      <c r="BH1649" t="s">
        <v>7579</v>
      </c>
      <c r="BI1649" t="s">
        <v>131</v>
      </c>
      <c r="BL1649" t="s">
        <v>188</v>
      </c>
      <c r="BN1649" t="s">
        <v>2507</v>
      </c>
      <c r="BO1649" t="s">
        <v>131</v>
      </c>
      <c r="BP1649" t="s">
        <v>134</v>
      </c>
      <c r="BQ1649" t="s">
        <v>131</v>
      </c>
      <c r="BS1649" t="str">
        <f t="shared" si="100"/>
        <v>N/A</v>
      </c>
      <c r="BT1649" t="s">
        <v>135</v>
      </c>
      <c r="BU1649">
        <v>12</v>
      </c>
      <c r="BV1649" t="str">
        <f>"JOB OFFERED OR RELATED OCCUPATION"</f>
        <v>JOB OFFERED OR RELATED OCCUPATION</v>
      </c>
      <c r="BW1649" t="s">
        <v>135</v>
      </c>
      <c r="BX1649" t="str">
        <f>""</f>
        <v/>
      </c>
      <c r="BY1649" t="str">
        <f>""</f>
        <v/>
      </c>
      <c r="BZ1649" t="str">
        <f>""</f>
        <v/>
      </c>
      <c r="CA1649" t="s">
        <v>9150</v>
      </c>
      <c r="CB1649" t="s">
        <v>135</v>
      </c>
      <c r="CC1649" t="s">
        <v>133</v>
      </c>
      <c r="CE1649" t="s">
        <v>2507</v>
      </c>
      <c r="CF1649" t="s">
        <v>131</v>
      </c>
      <c r="CH1649" t="str">
        <f t="shared" si="101"/>
        <v>N/A</v>
      </c>
      <c r="CI1649" t="s">
        <v>135</v>
      </c>
      <c r="CJ1649">
        <v>60</v>
      </c>
      <c r="CK1649" t="s">
        <v>131</v>
      </c>
      <c r="CL1649" t="str">
        <f>""</f>
        <v/>
      </c>
      <c r="CM1649" t="str">
        <f>""</f>
        <v/>
      </c>
      <c r="CN1649" t="str">
        <f>""</f>
        <v/>
      </c>
      <c r="CO1649" t="str">
        <f>""</f>
        <v/>
      </c>
      <c r="CP1649" t="str">
        <f>"15-1121.00"</f>
        <v>15-1121.00</v>
      </c>
      <c r="CQ1649" t="s">
        <v>283</v>
      </c>
      <c r="CR1649" t="s">
        <v>849</v>
      </c>
      <c r="CS1649" t="s">
        <v>131</v>
      </c>
      <c r="CU1649" t="s">
        <v>2501</v>
      </c>
      <c r="CV1649" t="s">
        <v>4866</v>
      </c>
      <c r="CW1649" t="s">
        <v>4862</v>
      </c>
      <c r="CX1649" t="s">
        <v>276</v>
      </c>
      <c r="CZ1649" s="3" t="str">
        <f>"08540"</f>
        <v>08540</v>
      </c>
      <c r="DA1649" t="s">
        <v>131</v>
      </c>
      <c r="DB1649" t="str">
        <f>""</f>
        <v/>
      </c>
      <c r="DF1649" t="str">
        <f>""</f>
        <v/>
      </c>
    </row>
    <row r="1650" spans="1:110" ht="15" customHeight="1" x14ac:dyDescent="0.35">
      <c r="A1650" t="s">
        <v>13378</v>
      </c>
      <c r="B1650" t="s">
        <v>138</v>
      </c>
      <c r="C1650" s="1">
        <v>44340</v>
      </c>
      <c r="G1650" s="1">
        <v>44342</v>
      </c>
      <c r="H1650" t="s">
        <v>125</v>
      </c>
      <c r="I1650" t="s">
        <v>368</v>
      </c>
      <c r="J1650" t="s">
        <v>369</v>
      </c>
      <c r="K1650" t="s">
        <v>134</v>
      </c>
      <c r="L1650" t="s">
        <v>722</v>
      </c>
      <c r="M1650" t="s">
        <v>990</v>
      </c>
      <c r="O1650" t="s">
        <v>964</v>
      </c>
      <c r="P1650" t="s">
        <v>144</v>
      </c>
      <c r="Q1650" s="3">
        <v>98121</v>
      </c>
      <c r="R1650" t="s">
        <v>128</v>
      </c>
      <c r="T1650" s="4">
        <v>12062661000</v>
      </c>
      <c r="V1650" t="s">
        <v>372</v>
      </c>
      <c r="W1650" t="s">
        <v>963</v>
      </c>
      <c r="Y1650" t="s">
        <v>4608</v>
      </c>
      <c r="AA1650" t="s">
        <v>371</v>
      </c>
      <c r="AB1650" t="s">
        <v>149</v>
      </c>
      <c r="AC1650" s="3" t="str">
        <f>"98121"</f>
        <v>98121</v>
      </c>
      <c r="AD1650" t="s">
        <v>128</v>
      </c>
      <c r="AF1650" s="4">
        <v>12062661000</v>
      </c>
      <c r="AH1650" t="str">
        <f>"454110"</f>
        <v>454110</v>
      </c>
      <c r="AI1650" t="s">
        <v>130</v>
      </c>
      <c r="AJ1650" t="s">
        <v>4829</v>
      </c>
      <c r="AK1650" t="s">
        <v>4350</v>
      </c>
      <c r="AM1650" t="s">
        <v>374</v>
      </c>
      <c r="AN1650" t="s">
        <v>375</v>
      </c>
      <c r="AO1650" t="s">
        <v>376</v>
      </c>
      <c r="AP1650" t="s">
        <v>377</v>
      </c>
      <c r="AQ1650" s="5">
        <v>2110</v>
      </c>
      <c r="AR1650" t="s">
        <v>128</v>
      </c>
      <c r="AT1650" s="4">
        <v>16175740400</v>
      </c>
      <c r="AV1650" t="s">
        <v>372</v>
      </c>
      <c r="AW1650" t="s">
        <v>378</v>
      </c>
      <c r="AX1650" t="s">
        <v>131</v>
      </c>
      <c r="AY1650" t="s">
        <v>131</v>
      </c>
      <c r="AZ1650" t="s">
        <v>131</v>
      </c>
      <c r="BA1650" t="s">
        <v>131</v>
      </c>
      <c r="BB1650" t="s">
        <v>131</v>
      </c>
      <c r="BC1650" t="s">
        <v>131</v>
      </c>
      <c r="BD1650" t="s">
        <v>131</v>
      </c>
      <c r="BE1650" t="s">
        <v>132</v>
      </c>
      <c r="BH1650" t="s">
        <v>3885</v>
      </c>
      <c r="BI1650" t="s">
        <v>131</v>
      </c>
      <c r="BL1650" t="s">
        <v>188</v>
      </c>
      <c r="BN1650" t="s">
        <v>724</v>
      </c>
      <c r="BO1650" t="s">
        <v>131</v>
      </c>
      <c r="BP1650" t="s">
        <v>134</v>
      </c>
      <c r="BQ1650" t="s">
        <v>131</v>
      </c>
      <c r="BS1650" t="str">
        <f t="shared" si="100"/>
        <v>N/A</v>
      </c>
      <c r="BT1650" t="s">
        <v>135</v>
      </c>
      <c r="BU1650">
        <v>12</v>
      </c>
      <c r="BV1650" t="str">
        <f>"See F.b.5.a(IV)"</f>
        <v>See F.b.5.a(IV)</v>
      </c>
      <c r="BW1650" t="s">
        <v>135</v>
      </c>
      <c r="BX1650" t="str">
        <f>""</f>
        <v/>
      </c>
      <c r="BY1650" t="str">
        <f>""</f>
        <v/>
      </c>
      <c r="BZ1650" t="str">
        <f>""</f>
        <v/>
      </c>
      <c r="CA1650" t="str">
        <f>"Please See Addendum"</f>
        <v>Please See Addendum</v>
      </c>
      <c r="CB1650" t="s">
        <v>135</v>
      </c>
      <c r="CC1650" t="s">
        <v>188</v>
      </c>
      <c r="CE1650" t="s">
        <v>725</v>
      </c>
      <c r="CF1650" t="s">
        <v>131</v>
      </c>
      <c r="CH1650" t="str">
        <f t="shared" si="101"/>
        <v>N/A</v>
      </c>
      <c r="CI1650" t="s">
        <v>135</v>
      </c>
      <c r="CJ1650">
        <v>60</v>
      </c>
      <c r="CK1650" t="s">
        <v>135</v>
      </c>
      <c r="CL1650" t="str">
        <f>""</f>
        <v/>
      </c>
      <c r="CM1650" t="str">
        <f>""</f>
        <v/>
      </c>
      <c r="CN1650" t="str">
        <f>""</f>
        <v/>
      </c>
      <c r="CO1650" t="str">
        <f>"Please See Addendum"</f>
        <v>Please See Addendum</v>
      </c>
      <c r="CP1650" t="str">
        <f>"15-1111.00"</f>
        <v>15-1111.00</v>
      </c>
      <c r="CQ1650" t="s">
        <v>726</v>
      </c>
      <c r="CS1650" t="s">
        <v>131</v>
      </c>
      <c r="CU1650" t="s">
        <v>8842</v>
      </c>
      <c r="CV1650" t="s">
        <v>2200</v>
      </c>
      <c r="CW1650" t="s">
        <v>7353</v>
      </c>
      <c r="CX1650" t="s">
        <v>377</v>
      </c>
      <c r="CZ1650" s="3" t="str">
        <f>"02142"</f>
        <v>02142</v>
      </c>
      <c r="DA1650" t="s">
        <v>131</v>
      </c>
      <c r="DB1650" t="str">
        <f>""</f>
        <v/>
      </c>
      <c r="DF1650" t="str">
        <f>""</f>
        <v/>
      </c>
    </row>
    <row r="1651" spans="1:110" ht="15" customHeight="1" x14ac:dyDescent="0.35">
      <c r="A1651" t="s">
        <v>10521</v>
      </c>
      <c r="B1651" t="s">
        <v>138</v>
      </c>
      <c r="C1651" s="1">
        <v>44340</v>
      </c>
      <c r="G1651" s="1">
        <v>44350</v>
      </c>
      <c r="H1651" t="s">
        <v>125</v>
      </c>
      <c r="I1651" t="s">
        <v>2504</v>
      </c>
      <c r="J1651" t="s">
        <v>839</v>
      </c>
      <c r="K1651" t="s">
        <v>840</v>
      </c>
      <c r="L1651" t="s">
        <v>2565</v>
      </c>
      <c r="M1651" t="s">
        <v>841</v>
      </c>
      <c r="N1651" t="s">
        <v>842</v>
      </c>
      <c r="O1651" t="s">
        <v>843</v>
      </c>
      <c r="P1651" t="s">
        <v>273</v>
      </c>
      <c r="Q1651" s="3">
        <v>7080</v>
      </c>
      <c r="R1651" t="s">
        <v>128</v>
      </c>
      <c r="T1651" s="4">
        <v>17328327978</v>
      </c>
      <c r="V1651" t="s">
        <v>844</v>
      </c>
      <c r="W1651" t="s">
        <v>2566</v>
      </c>
      <c r="Y1651" t="s">
        <v>2567</v>
      </c>
      <c r="Z1651" t="s">
        <v>2568</v>
      </c>
      <c r="AA1651" t="s">
        <v>2569</v>
      </c>
      <c r="AB1651" t="s">
        <v>276</v>
      </c>
      <c r="AC1651" s="3" t="str">
        <f>"08536"</f>
        <v>08536</v>
      </c>
      <c r="AD1651" t="s">
        <v>128</v>
      </c>
      <c r="AF1651" s="4">
        <v>17324765277</v>
      </c>
      <c r="AH1651" t="str">
        <f>"541511"</f>
        <v>541511</v>
      </c>
      <c r="AI1651" t="s">
        <v>130</v>
      </c>
      <c r="AJ1651" t="s">
        <v>838</v>
      </c>
      <c r="AK1651" t="s">
        <v>839</v>
      </c>
      <c r="AL1651" t="s">
        <v>840</v>
      </c>
      <c r="AM1651" t="s">
        <v>2505</v>
      </c>
      <c r="AN1651" t="s">
        <v>842</v>
      </c>
      <c r="AO1651" t="s">
        <v>843</v>
      </c>
      <c r="AP1651" t="s">
        <v>276</v>
      </c>
      <c r="AQ1651" s="5">
        <v>7080</v>
      </c>
      <c r="AR1651" t="s">
        <v>128</v>
      </c>
      <c r="AT1651" s="4">
        <v>17328327978</v>
      </c>
      <c r="AV1651" t="s">
        <v>844</v>
      </c>
      <c r="AW1651" t="s">
        <v>2570</v>
      </c>
      <c r="AX1651" t="s">
        <v>131</v>
      </c>
      <c r="AY1651" t="s">
        <v>131</v>
      </c>
      <c r="AZ1651" t="s">
        <v>131</v>
      </c>
      <c r="BA1651" t="s">
        <v>131</v>
      </c>
      <c r="BB1651" t="s">
        <v>131</v>
      </c>
      <c r="BC1651" t="s">
        <v>131</v>
      </c>
      <c r="BD1651" t="s">
        <v>131</v>
      </c>
      <c r="BE1651" t="s">
        <v>132</v>
      </c>
      <c r="BH1651" t="s">
        <v>846</v>
      </c>
      <c r="BI1651" t="s">
        <v>131</v>
      </c>
      <c r="BL1651" t="s">
        <v>188</v>
      </c>
      <c r="BN1651" t="s">
        <v>2786</v>
      </c>
      <c r="BO1651" t="s">
        <v>131</v>
      </c>
      <c r="BP1651" t="s">
        <v>134</v>
      </c>
      <c r="BQ1651" t="s">
        <v>131</v>
      </c>
      <c r="BS1651" t="str">
        <f t="shared" si="100"/>
        <v>N/A</v>
      </c>
      <c r="BT1651" t="s">
        <v>131</v>
      </c>
      <c r="BV1651" t="str">
        <f>""</f>
        <v/>
      </c>
      <c r="BW1651" t="s">
        <v>135</v>
      </c>
      <c r="BX1651" t="str">
        <f>""</f>
        <v/>
      </c>
      <c r="BY1651" t="str">
        <f>""</f>
        <v/>
      </c>
      <c r="BZ1651" t="str">
        <f>""</f>
        <v/>
      </c>
      <c r="CA1651" t="s">
        <v>2572</v>
      </c>
      <c r="CB1651" t="s">
        <v>135</v>
      </c>
      <c r="CC1651" t="s">
        <v>133</v>
      </c>
      <c r="CE1651" t="s">
        <v>2786</v>
      </c>
      <c r="CF1651" t="s">
        <v>131</v>
      </c>
      <c r="CH1651" t="str">
        <f t="shared" si="101"/>
        <v>N/A</v>
      </c>
      <c r="CI1651" t="s">
        <v>135</v>
      </c>
      <c r="CJ1651">
        <v>60</v>
      </c>
      <c r="CK1651" t="s">
        <v>131</v>
      </c>
      <c r="CL1651" t="str">
        <f>""</f>
        <v/>
      </c>
      <c r="CM1651" t="str">
        <f>""</f>
        <v/>
      </c>
      <c r="CN1651" t="str">
        <f>""</f>
        <v/>
      </c>
      <c r="CO1651" t="str">
        <f>""</f>
        <v/>
      </c>
      <c r="CP1651" t="str">
        <f>"15-1132.00"</f>
        <v>15-1132.00</v>
      </c>
      <c r="CQ1651" t="s">
        <v>198</v>
      </c>
      <c r="CR1651" t="s">
        <v>849</v>
      </c>
      <c r="CS1651" t="s">
        <v>131</v>
      </c>
      <c r="CU1651" t="s">
        <v>2567</v>
      </c>
      <c r="CV1651" t="s">
        <v>2573</v>
      </c>
      <c r="CW1651" t="s">
        <v>2569</v>
      </c>
      <c r="CX1651" t="s">
        <v>276</v>
      </c>
      <c r="CZ1651" s="3" t="str">
        <f>"08536"</f>
        <v>08536</v>
      </c>
      <c r="DA1651" t="s">
        <v>131</v>
      </c>
      <c r="DB1651" t="str">
        <f>""</f>
        <v/>
      </c>
      <c r="DF1651" t="str">
        <f>""</f>
        <v/>
      </c>
    </row>
    <row r="1652" spans="1:110" ht="15" customHeight="1" x14ac:dyDescent="0.35">
      <c r="A1652" t="s">
        <v>16180</v>
      </c>
      <c r="B1652" t="s">
        <v>138</v>
      </c>
      <c r="C1652" s="1">
        <v>44340</v>
      </c>
      <c r="G1652" s="1">
        <v>44350</v>
      </c>
      <c r="H1652" t="s">
        <v>125</v>
      </c>
      <c r="I1652" t="s">
        <v>838</v>
      </c>
      <c r="J1652" t="s">
        <v>839</v>
      </c>
      <c r="K1652" t="s">
        <v>840</v>
      </c>
      <c r="L1652" t="s">
        <v>2565</v>
      </c>
      <c r="M1652" t="s">
        <v>2505</v>
      </c>
      <c r="N1652" t="s">
        <v>842</v>
      </c>
      <c r="O1652" t="s">
        <v>843</v>
      </c>
      <c r="P1652" t="s">
        <v>273</v>
      </c>
      <c r="Q1652" s="3">
        <v>7080</v>
      </c>
      <c r="R1652" t="s">
        <v>128</v>
      </c>
      <c r="T1652" s="4">
        <v>17322837978</v>
      </c>
      <c r="V1652" t="s">
        <v>844</v>
      </c>
      <c r="W1652" t="s">
        <v>13286</v>
      </c>
      <c r="Y1652" t="s">
        <v>12733</v>
      </c>
      <c r="Z1652" t="s">
        <v>6956</v>
      </c>
      <c r="AA1652" t="s">
        <v>5448</v>
      </c>
      <c r="AB1652" t="s">
        <v>511</v>
      </c>
      <c r="AC1652" s="3" t="str">
        <f>"48108"</f>
        <v>48108</v>
      </c>
      <c r="AD1652" t="s">
        <v>128</v>
      </c>
      <c r="AF1652" s="4">
        <v>17342592181</v>
      </c>
      <c r="AH1652" t="str">
        <f>"541519"</f>
        <v>541519</v>
      </c>
      <c r="AI1652" t="s">
        <v>130</v>
      </c>
      <c r="AJ1652" t="s">
        <v>838</v>
      </c>
      <c r="AK1652" t="s">
        <v>839</v>
      </c>
      <c r="AL1652" t="s">
        <v>840</v>
      </c>
      <c r="AM1652" t="s">
        <v>2505</v>
      </c>
      <c r="AN1652" t="s">
        <v>842</v>
      </c>
      <c r="AO1652" t="s">
        <v>843</v>
      </c>
      <c r="AP1652" t="s">
        <v>276</v>
      </c>
      <c r="AQ1652" s="5">
        <v>7080</v>
      </c>
      <c r="AR1652" t="s">
        <v>128</v>
      </c>
      <c r="AT1652" s="4">
        <v>17322837978</v>
      </c>
      <c r="AV1652" t="s">
        <v>844</v>
      </c>
      <c r="AW1652" t="s">
        <v>2570</v>
      </c>
      <c r="AX1652" t="s">
        <v>131</v>
      </c>
      <c r="AY1652" t="s">
        <v>131</v>
      </c>
      <c r="AZ1652" t="s">
        <v>131</v>
      </c>
      <c r="BA1652" t="s">
        <v>131</v>
      </c>
      <c r="BB1652" t="s">
        <v>131</v>
      </c>
      <c r="BC1652" t="s">
        <v>131</v>
      </c>
      <c r="BD1652" t="s">
        <v>131</v>
      </c>
      <c r="BE1652" t="s">
        <v>132</v>
      </c>
      <c r="BH1652" t="s">
        <v>11599</v>
      </c>
      <c r="BI1652" t="s">
        <v>131</v>
      </c>
      <c r="BL1652" t="s">
        <v>188</v>
      </c>
      <c r="BN1652" t="s">
        <v>5390</v>
      </c>
      <c r="BO1652" t="s">
        <v>131</v>
      </c>
      <c r="BP1652" t="s">
        <v>134</v>
      </c>
      <c r="BQ1652" t="s">
        <v>131</v>
      </c>
      <c r="BS1652" t="str">
        <f t="shared" si="100"/>
        <v>N/A</v>
      </c>
      <c r="BT1652" t="s">
        <v>135</v>
      </c>
      <c r="BU1652">
        <v>12</v>
      </c>
      <c r="BV1652" t="str">
        <f>"JOB OFFERED OR RELATED OCCUPATION"</f>
        <v>JOB OFFERED OR RELATED OCCUPATION</v>
      </c>
      <c r="BW1652" t="s">
        <v>135</v>
      </c>
      <c r="BX1652" t="str">
        <f>""</f>
        <v/>
      </c>
      <c r="BY1652" t="str">
        <f>""</f>
        <v/>
      </c>
      <c r="BZ1652" t="str">
        <f>""</f>
        <v/>
      </c>
      <c r="CA1652" t="s">
        <v>16181</v>
      </c>
      <c r="CB1652" t="s">
        <v>135</v>
      </c>
      <c r="CC1652" t="s">
        <v>133</v>
      </c>
      <c r="CE1652" t="s">
        <v>5390</v>
      </c>
      <c r="CF1652" t="s">
        <v>131</v>
      </c>
      <c r="CH1652" t="str">
        <f t="shared" si="101"/>
        <v>N/A</v>
      </c>
      <c r="CI1652" t="s">
        <v>135</v>
      </c>
      <c r="CJ1652">
        <v>60</v>
      </c>
      <c r="CK1652" t="s">
        <v>131</v>
      </c>
      <c r="CL1652" t="str">
        <f>""</f>
        <v/>
      </c>
      <c r="CM1652" t="str">
        <f>""</f>
        <v/>
      </c>
      <c r="CN1652" t="str">
        <f>""</f>
        <v/>
      </c>
      <c r="CO1652" t="str">
        <f>""</f>
        <v/>
      </c>
      <c r="CP1652" t="str">
        <f>"15-1199.01"</f>
        <v>15-1199.01</v>
      </c>
      <c r="CQ1652" t="s">
        <v>308</v>
      </c>
      <c r="CR1652" t="s">
        <v>849</v>
      </c>
      <c r="CS1652" t="s">
        <v>131</v>
      </c>
      <c r="CU1652" t="s">
        <v>12731</v>
      </c>
      <c r="CV1652" t="s">
        <v>16182</v>
      </c>
      <c r="CW1652" t="s">
        <v>5448</v>
      </c>
      <c r="CX1652" t="s">
        <v>511</v>
      </c>
      <c r="CZ1652" s="3" t="str">
        <f>"48108"</f>
        <v>48108</v>
      </c>
      <c r="DA1652" t="s">
        <v>131</v>
      </c>
      <c r="DB1652" t="str">
        <f>""</f>
        <v/>
      </c>
      <c r="DF1652" t="str">
        <f>""</f>
        <v/>
      </c>
    </row>
    <row r="1653" spans="1:110" ht="15" customHeight="1" x14ac:dyDescent="0.35">
      <c r="A1653" t="s">
        <v>15255</v>
      </c>
      <c r="B1653" t="s">
        <v>138</v>
      </c>
      <c r="C1653" s="1">
        <v>44340</v>
      </c>
      <c r="G1653" s="1">
        <v>44350</v>
      </c>
      <c r="H1653" t="s">
        <v>125</v>
      </c>
      <c r="I1653" t="s">
        <v>838</v>
      </c>
      <c r="J1653" t="s">
        <v>839</v>
      </c>
      <c r="K1653" t="s">
        <v>840</v>
      </c>
      <c r="L1653" t="s">
        <v>2565</v>
      </c>
      <c r="M1653" t="s">
        <v>841</v>
      </c>
      <c r="N1653" t="s">
        <v>842</v>
      </c>
      <c r="O1653" t="s">
        <v>843</v>
      </c>
      <c r="P1653" t="s">
        <v>273</v>
      </c>
      <c r="Q1653" s="3">
        <v>7080</v>
      </c>
      <c r="R1653" t="s">
        <v>128</v>
      </c>
      <c r="T1653" s="4">
        <v>17328327978</v>
      </c>
      <c r="V1653" t="s">
        <v>844</v>
      </c>
      <c r="W1653" t="s">
        <v>7083</v>
      </c>
      <c r="X1653" t="s">
        <v>7084</v>
      </c>
      <c r="Y1653" t="s">
        <v>7085</v>
      </c>
      <c r="Z1653" t="s">
        <v>4943</v>
      </c>
      <c r="AA1653" t="s">
        <v>2596</v>
      </c>
      <c r="AB1653" t="s">
        <v>276</v>
      </c>
      <c r="AC1653" s="3" t="str">
        <f>"08854"</f>
        <v>08854</v>
      </c>
      <c r="AD1653" t="s">
        <v>128</v>
      </c>
      <c r="AF1653" s="4">
        <v>18482199146</v>
      </c>
      <c r="AH1653" t="str">
        <f>"541990"</f>
        <v>541990</v>
      </c>
      <c r="AI1653" t="s">
        <v>130</v>
      </c>
      <c r="AJ1653" t="s">
        <v>838</v>
      </c>
      <c r="AK1653" t="s">
        <v>839</v>
      </c>
      <c r="AL1653" t="s">
        <v>840</v>
      </c>
      <c r="AM1653" t="s">
        <v>841</v>
      </c>
      <c r="AN1653" t="s">
        <v>842</v>
      </c>
      <c r="AO1653" t="s">
        <v>843</v>
      </c>
      <c r="AP1653" t="s">
        <v>276</v>
      </c>
      <c r="AQ1653" s="5">
        <v>7080</v>
      </c>
      <c r="AR1653" t="s">
        <v>128</v>
      </c>
      <c r="AT1653" s="4">
        <v>17328327978</v>
      </c>
      <c r="AV1653" t="s">
        <v>844</v>
      </c>
      <c r="AW1653" t="s">
        <v>2570</v>
      </c>
      <c r="AX1653" t="s">
        <v>131</v>
      </c>
      <c r="AY1653" t="s">
        <v>131</v>
      </c>
      <c r="AZ1653" t="s">
        <v>131</v>
      </c>
      <c r="BA1653" t="s">
        <v>131</v>
      </c>
      <c r="BB1653" t="s">
        <v>131</v>
      </c>
      <c r="BC1653" t="s">
        <v>131</v>
      </c>
      <c r="BD1653" t="s">
        <v>131</v>
      </c>
      <c r="BE1653" t="s">
        <v>132</v>
      </c>
      <c r="BH1653" t="s">
        <v>7086</v>
      </c>
      <c r="BI1653" t="s">
        <v>131</v>
      </c>
      <c r="BL1653" t="s">
        <v>188</v>
      </c>
      <c r="BN1653" t="s">
        <v>5390</v>
      </c>
      <c r="BO1653" t="s">
        <v>131</v>
      </c>
      <c r="BP1653" t="s">
        <v>134</v>
      </c>
      <c r="BQ1653" t="s">
        <v>131</v>
      </c>
      <c r="BS1653" t="str">
        <f t="shared" si="100"/>
        <v>N/A</v>
      </c>
      <c r="BT1653" t="s">
        <v>131</v>
      </c>
      <c r="BV1653" t="str">
        <f>""</f>
        <v/>
      </c>
      <c r="BW1653" t="s">
        <v>135</v>
      </c>
      <c r="BX1653" t="str">
        <f>""</f>
        <v/>
      </c>
      <c r="BY1653" t="str">
        <f>""</f>
        <v/>
      </c>
      <c r="BZ1653" t="str">
        <f>""</f>
        <v/>
      </c>
      <c r="CA1653" t="s">
        <v>8676</v>
      </c>
      <c r="CB1653" t="s">
        <v>135</v>
      </c>
      <c r="CC1653" t="s">
        <v>133</v>
      </c>
      <c r="CE1653" t="s">
        <v>5390</v>
      </c>
      <c r="CF1653" t="s">
        <v>131</v>
      </c>
      <c r="CH1653" t="str">
        <f t="shared" si="101"/>
        <v>N/A</v>
      </c>
      <c r="CI1653" t="s">
        <v>135</v>
      </c>
      <c r="CJ1653">
        <v>60</v>
      </c>
      <c r="CK1653" t="s">
        <v>131</v>
      </c>
      <c r="CL1653" t="str">
        <f>""</f>
        <v/>
      </c>
      <c r="CM1653" t="str">
        <f>""</f>
        <v/>
      </c>
      <c r="CN1653" t="str">
        <f>""</f>
        <v/>
      </c>
      <c r="CO1653" t="str">
        <f>""</f>
        <v/>
      </c>
      <c r="CP1653" t="str">
        <f>"15-1132.00"</f>
        <v>15-1132.00</v>
      </c>
      <c r="CQ1653" t="s">
        <v>198</v>
      </c>
      <c r="CR1653" t="s">
        <v>849</v>
      </c>
      <c r="CS1653" t="s">
        <v>131</v>
      </c>
      <c r="CU1653" t="s">
        <v>7085</v>
      </c>
      <c r="CV1653" t="s">
        <v>15256</v>
      </c>
      <c r="CW1653" t="s">
        <v>2596</v>
      </c>
      <c r="CX1653" t="s">
        <v>276</v>
      </c>
      <c r="CZ1653" s="3" t="str">
        <f>"08854"</f>
        <v>08854</v>
      </c>
      <c r="DA1653" t="s">
        <v>131</v>
      </c>
      <c r="DB1653" t="str">
        <f>""</f>
        <v/>
      </c>
      <c r="DF1653" t="str">
        <f>""</f>
        <v/>
      </c>
    </row>
    <row r="1654" spans="1:110" ht="15" customHeight="1" x14ac:dyDescent="0.35">
      <c r="A1654" t="s">
        <v>17660</v>
      </c>
      <c r="B1654" t="s">
        <v>138</v>
      </c>
      <c r="C1654" s="1">
        <v>44340</v>
      </c>
      <c r="G1654" s="1">
        <v>44350</v>
      </c>
      <c r="H1654" t="s">
        <v>125</v>
      </c>
      <c r="I1654" t="s">
        <v>838</v>
      </c>
      <c r="J1654" t="s">
        <v>839</v>
      </c>
      <c r="K1654" t="s">
        <v>840</v>
      </c>
      <c r="L1654" t="s">
        <v>2565</v>
      </c>
      <c r="M1654" t="s">
        <v>841</v>
      </c>
      <c r="N1654" t="s">
        <v>842</v>
      </c>
      <c r="O1654" t="s">
        <v>843</v>
      </c>
      <c r="P1654" t="s">
        <v>273</v>
      </c>
      <c r="Q1654" s="3">
        <v>7080</v>
      </c>
      <c r="R1654" t="s">
        <v>128</v>
      </c>
      <c r="T1654" s="4">
        <v>17328327978</v>
      </c>
      <c r="V1654" t="s">
        <v>844</v>
      </c>
      <c r="W1654" t="s">
        <v>10035</v>
      </c>
      <c r="Y1654" t="s">
        <v>10036</v>
      </c>
      <c r="Z1654" t="s">
        <v>10037</v>
      </c>
      <c r="AA1654" t="s">
        <v>2596</v>
      </c>
      <c r="AB1654" t="s">
        <v>276</v>
      </c>
      <c r="AC1654" s="3" t="str">
        <f>"08854"</f>
        <v>08854</v>
      </c>
      <c r="AD1654" t="s">
        <v>128</v>
      </c>
      <c r="AF1654" s="4">
        <v>17326405254</v>
      </c>
      <c r="AH1654" t="str">
        <f>"541511"</f>
        <v>541511</v>
      </c>
      <c r="AI1654" t="s">
        <v>130</v>
      </c>
      <c r="AJ1654" t="s">
        <v>838</v>
      </c>
      <c r="AK1654" t="s">
        <v>839</v>
      </c>
      <c r="AL1654" t="s">
        <v>840</v>
      </c>
      <c r="AM1654" t="s">
        <v>841</v>
      </c>
      <c r="AN1654" t="s">
        <v>842</v>
      </c>
      <c r="AO1654" t="s">
        <v>843</v>
      </c>
      <c r="AP1654" t="s">
        <v>276</v>
      </c>
      <c r="AQ1654" s="5">
        <v>7080</v>
      </c>
      <c r="AR1654" t="s">
        <v>128</v>
      </c>
      <c r="AT1654" s="4">
        <v>17328327978</v>
      </c>
      <c r="AV1654" t="s">
        <v>844</v>
      </c>
      <c r="AW1654" t="s">
        <v>2570</v>
      </c>
      <c r="AX1654" t="s">
        <v>131</v>
      </c>
      <c r="AY1654" t="s">
        <v>131</v>
      </c>
      <c r="AZ1654" t="s">
        <v>131</v>
      </c>
      <c r="BA1654" t="s">
        <v>131</v>
      </c>
      <c r="BB1654" t="s">
        <v>131</v>
      </c>
      <c r="BC1654" t="s">
        <v>131</v>
      </c>
      <c r="BD1654" t="s">
        <v>131</v>
      </c>
      <c r="BE1654" t="s">
        <v>132</v>
      </c>
      <c r="BH1654" t="s">
        <v>846</v>
      </c>
      <c r="BI1654" t="s">
        <v>131</v>
      </c>
      <c r="BL1654" t="s">
        <v>188</v>
      </c>
      <c r="BN1654" t="s">
        <v>4696</v>
      </c>
      <c r="BO1654" t="s">
        <v>131</v>
      </c>
      <c r="BP1654" t="s">
        <v>134</v>
      </c>
      <c r="BQ1654" t="s">
        <v>131</v>
      </c>
      <c r="BS1654" t="str">
        <f t="shared" si="100"/>
        <v>N/A</v>
      </c>
      <c r="BT1654" t="s">
        <v>131</v>
      </c>
      <c r="BV1654" t="str">
        <f>""</f>
        <v/>
      </c>
      <c r="BW1654" t="s">
        <v>135</v>
      </c>
      <c r="BX1654" t="str">
        <f>""</f>
        <v/>
      </c>
      <c r="BY1654" t="str">
        <f>""</f>
        <v/>
      </c>
      <c r="BZ1654" t="str">
        <f>""</f>
        <v/>
      </c>
      <c r="CA1654" t="s">
        <v>2572</v>
      </c>
      <c r="CB1654" t="s">
        <v>135</v>
      </c>
      <c r="CC1654" t="s">
        <v>133</v>
      </c>
      <c r="CE1654" t="s">
        <v>4696</v>
      </c>
      <c r="CF1654" t="s">
        <v>131</v>
      </c>
      <c r="CH1654" t="str">
        <f t="shared" si="101"/>
        <v>N/A</v>
      </c>
      <c r="CI1654" t="s">
        <v>135</v>
      </c>
      <c r="CJ1654">
        <v>60</v>
      </c>
      <c r="CK1654" t="s">
        <v>131</v>
      </c>
      <c r="CL1654" t="str">
        <f>""</f>
        <v/>
      </c>
      <c r="CM1654" t="str">
        <f>""</f>
        <v/>
      </c>
      <c r="CN1654" t="str">
        <f>""</f>
        <v/>
      </c>
      <c r="CO1654" t="str">
        <f>""</f>
        <v/>
      </c>
      <c r="CP1654" t="str">
        <f>"15-1132.00"</f>
        <v>15-1132.00</v>
      </c>
      <c r="CQ1654" t="s">
        <v>198</v>
      </c>
      <c r="CR1654" t="s">
        <v>849</v>
      </c>
      <c r="CS1654" t="s">
        <v>131</v>
      </c>
      <c r="CU1654" t="s">
        <v>10036</v>
      </c>
      <c r="CV1654" t="s">
        <v>17661</v>
      </c>
      <c r="CW1654" t="s">
        <v>2596</v>
      </c>
      <c r="CX1654" t="s">
        <v>276</v>
      </c>
      <c r="CZ1654" s="3" t="str">
        <f>"08854"</f>
        <v>08854</v>
      </c>
      <c r="DA1654" t="s">
        <v>131</v>
      </c>
      <c r="DB1654" t="str">
        <f>""</f>
        <v/>
      </c>
      <c r="DF1654" t="str">
        <f>""</f>
        <v/>
      </c>
    </row>
    <row r="1655" spans="1:110" ht="15" customHeight="1" x14ac:dyDescent="0.35">
      <c r="A1655" t="s">
        <v>17052</v>
      </c>
      <c r="B1655" t="s">
        <v>138</v>
      </c>
      <c r="C1655" s="1">
        <v>44340</v>
      </c>
      <c r="G1655" s="1">
        <v>44350</v>
      </c>
      <c r="H1655" t="s">
        <v>125</v>
      </c>
      <c r="I1655" t="s">
        <v>838</v>
      </c>
      <c r="J1655" t="s">
        <v>839</v>
      </c>
      <c r="K1655" t="s">
        <v>840</v>
      </c>
      <c r="L1655" t="s">
        <v>2565</v>
      </c>
      <c r="M1655" t="s">
        <v>841</v>
      </c>
      <c r="N1655" t="s">
        <v>842</v>
      </c>
      <c r="O1655" t="s">
        <v>843</v>
      </c>
      <c r="P1655" t="s">
        <v>273</v>
      </c>
      <c r="Q1655" s="3">
        <v>7080</v>
      </c>
      <c r="R1655" t="s">
        <v>128</v>
      </c>
      <c r="T1655" s="4">
        <v>17328327978</v>
      </c>
      <c r="V1655" t="s">
        <v>844</v>
      </c>
      <c r="W1655" t="s">
        <v>6589</v>
      </c>
      <c r="Y1655" t="s">
        <v>6590</v>
      </c>
      <c r="Z1655" t="s">
        <v>11467</v>
      </c>
      <c r="AA1655" t="s">
        <v>6592</v>
      </c>
      <c r="AB1655" t="s">
        <v>306</v>
      </c>
      <c r="AC1655" s="3" t="str">
        <f>"20166"</f>
        <v>20166</v>
      </c>
      <c r="AD1655" t="s">
        <v>128</v>
      </c>
      <c r="AF1655" s="4">
        <v>18452568585</v>
      </c>
      <c r="AH1655" t="str">
        <f>"541511"</f>
        <v>541511</v>
      </c>
      <c r="AI1655" t="s">
        <v>130</v>
      </c>
      <c r="AJ1655" t="s">
        <v>838</v>
      </c>
      <c r="AK1655" t="s">
        <v>839</v>
      </c>
      <c r="AL1655" t="s">
        <v>840</v>
      </c>
      <c r="AM1655" t="s">
        <v>841</v>
      </c>
      <c r="AN1655" t="s">
        <v>842</v>
      </c>
      <c r="AO1655" t="s">
        <v>843</v>
      </c>
      <c r="AP1655" t="s">
        <v>276</v>
      </c>
      <c r="AQ1655" s="5">
        <v>7080</v>
      </c>
      <c r="AR1655" t="s">
        <v>128</v>
      </c>
      <c r="AT1655" s="4">
        <v>17328327978</v>
      </c>
      <c r="AV1655" t="s">
        <v>844</v>
      </c>
      <c r="AW1655" t="s">
        <v>2570</v>
      </c>
      <c r="AX1655" t="s">
        <v>131</v>
      </c>
      <c r="AY1655" t="s">
        <v>131</v>
      </c>
      <c r="AZ1655" t="s">
        <v>131</v>
      </c>
      <c r="BA1655" t="s">
        <v>131</v>
      </c>
      <c r="BB1655" t="s">
        <v>131</v>
      </c>
      <c r="BC1655" t="s">
        <v>131</v>
      </c>
      <c r="BD1655" t="s">
        <v>131</v>
      </c>
      <c r="BE1655" t="s">
        <v>132</v>
      </c>
      <c r="BH1655" t="s">
        <v>846</v>
      </c>
      <c r="BI1655" t="s">
        <v>131</v>
      </c>
      <c r="BL1655" t="s">
        <v>188</v>
      </c>
      <c r="BN1655" t="s">
        <v>5390</v>
      </c>
      <c r="BO1655" t="s">
        <v>131</v>
      </c>
      <c r="BP1655" t="s">
        <v>134</v>
      </c>
      <c r="BQ1655" t="s">
        <v>131</v>
      </c>
      <c r="BS1655" t="str">
        <f t="shared" si="100"/>
        <v>N/A</v>
      </c>
      <c r="BT1655" t="s">
        <v>135</v>
      </c>
      <c r="BU1655">
        <v>12</v>
      </c>
      <c r="BV1655" t="str">
        <f>"JOB OFFERED OR RELATED OCCUPATION"</f>
        <v>JOB OFFERED OR RELATED OCCUPATION</v>
      </c>
      <c r="BW1655" t="s">
        <v>135</v>
      </c>
      <c r="BX1655" t="str">
        <f>""</f>
        <v/>
      </c>
      <c r="BY1655" t="str">
        <f>""</f>
        <v/>
      </c>
      <c r="BZ1655" t="str">
        <f>""</f>
        <v/>
      </c>
      <c r="CA1655" t="s">
        <v>17053</v>
      </c>
      <c r="CB1655" t="s">
        <v>135</v>
      </c>
      <c r="CC1655" t="s">
        <v>133</v>
      </c>
      <c r="CE1655" t="s">
        <v>5390</v>
      </c>
      <c r="CF1655" t="s">
        <v>131</v>
      </c>
      <c r="CH1655" t="str">
        <f t="shared" si="101"/>
        <v>N/A</v>
      </c>
      <c r="CI1655" t="s">
        <v>135</v>
      </c>
      <c r="CJ1655">
        <v>60</v>
      </c>
      <c r="CK1655" t="s">
        <v>131</v>
      </c>
      <c r="CL1655" t="str">
        <f>""</f>
        <v/>
      </c>
      <c r="CM1655" t="str">
        <f>""</f>
        <v/>
      </c>
      <c r="CN1655" t="str">
        <f>""</f>
        <v/>
      </c>
      <c r="CO1655" t="str">
        <f>""</f>
        <v/>
      </c>
      <c r="CP1655" t="str">
        <f>"15-1132.00"</f>
        <v>15-1132.00</v>
      </c>
      <c r="CQ1655" t="s">
        <v>198</v>
      </c>
      <c r="CR1655" t="s">
        <v>849</v>
      </c>
      <c r="CS1655" t="s">
        <v>131</v>
      </c>
      <c r="CU1655" t="s">
        <v>6590</v>
      </c>
      <c r="CV1655" t="s">
        <v>17054</v>
      </c>
      <c r="CW1655" t="s">
        <v>6592</v>
      </c>
      <c r="CX1655" t="s">
        <v>306</v>
      </c>
      <c r="CZ1655" s="3" t="str">
        <f>"20166"</f>
        <v>20166</v>
      </c>
      <c r="DA1655" t="s">
        <v>131</v>
      </c>
      <c r="DB1655" t="str">
        <f>""</f>
        <v/>
      </c>
      <c r="DF1655" t="str">
        <f>""</f>
        <v/>
      </c>
    </row>
    <row r="1656" spans="1:110" ht="15" customHeight="1" x14ac:dyDescent="0.35">
      <c r="A1656" t="s">
        <v>19668</v>
      </c>
      <c r="B1656" t="s">
        <v>138</v>
      </c>
      <c r="C1656" s="1">
        <v>44340</v>
      </c>
      <c r="G1656" s="1">
        <v>44350</v>
      </c>
      <c r="H1656" t="s">
        <v>125</v>
      </c>
      <c r="I1656" t="s">
        <v>838</v>
      </c>
      <c r="J1656" t="s">
        <v>839</v>
      </c>
      <c r="K1656" t="s">
        <v>840</v>
      </c>
      <c r="L1656" t="s">
        <v>2565</v>
      </c>
      <c r="M1656" t="s">
        <v>841</v>
      </c>
      <c r="N1656" t="s">
        <v>842</v>
      </c>
      <c r="O1656" t="s">
        <v>843</v>
      </c>
      <c r="P1656" t="s">
        <v>273</v>
      </c>
      <c r="Q1656" s="3">
        <v>7080</v>
      </c>
      <c r="R1656" t="s">
        <v>128</v>
      </c>
      <c r="T1656" s="4">
        <v>17328327978</v>
      </c>
      <c r="V1656" t="s">
        <v>844</v>
      </c>
      <c r="W1656" t="s">
        <v>2503</v>
      </c>
      <c r="Y1656" t="s">
        <v>4861</v>
      </c>
      <c r="Z1656" t="s">
        <v>2502</v>
      </c>
      <c r="AA1656" t="s">
        <v>4862</v>
      </c>
      <c r="AB1656" t="s">
        <v>276</v>
      </c>
      <c r="AC1656" s="3" t="str">
        <f>"08540"</f>
        <v>08540</v>
      </c>
      <c r="AD1656" t="s">
        <v>128</v>
      </c>
      <c r="AF1656" s="4">
        <v>19727527312</v>
      </c>
      <c r="AH1656" t="str">
        <f>"5416"</f>
        <v>5416</v>
      </c>
      <c r="AI1656" t="s">
        <v>130</v>
      </c>
      <c r="AJ1656" t="s">
        <v>838</v>
      </c>
      <c r="AK1656" t="s">
        <v>839</v>
      </c>
      <c r="AL1656" t="s">
        <v>840</v>
      </c>
      <c r="AM1656" t="s">
        <v>841</v>
      </c>
      <c r="AN1656" t="s">
        <v>842</v>
      </c>
      <c r="AO1656" t="s">
        <v>843</v>
      </c>
      <c r="AP1656" t="s">
        <v>276</v>
      </c>
      <c r="AQ1656" s="5">
        <v>7080</v>
      </c>
      <c r="AR1656" t="s">
        <v>128</v>
      </c>
      <c r="AT1656" s="4">
        <v>17328327978</v>
      </c>
      <c r="AV1656" t="s">
        <v>844</v>
      </c>
      <c r="AW1656" t="s">
        <v>2570</v>
      </c>
      <c r="AX1656" t="s">
        <v>131</v>
      </c>
      <c r="AY1656" t="s">
        <v>131</v>
      </c>
      <c r="AZ1656" t="s">
        <v>131</v>
      </c>
      <c r="BA1656" t="s">
        <v>131</v>
      </c>
      <c r="BB1656" t="s">
        <v>131</v>
      </c>
      <c r="BC1656" t="s">
        <v>131</v>
      </c>
      <c r="BD1656" t="s">
        <v>131</v>
      </c>
      <c r="BE1656" t="s">
        <v>132</v>
      </c>
      <c r="BH1656" t="s">
        <v>18397</v>
      </c>
      <c r="BI1656" t="s">
        <v>131</v>
      </c>
      <c r="BL1656" t="s">
        <v>188</v>
      </c>
      <c r="BN1656" t="s">
        <v>19669</v>
      </c>
      <c r="BO1656" t="s">
        <v>131</v>
      </c>
      <c r="BP1656" t="s">
        <v>134</v>
      </c>
      <c r="BQ1656" t="s">
        <v>131</v>
      </c>
      <c r="BS1656" t="str">
        <f t="shared" si="100"/>
        <v>N/A</v>
      </c>
      <c r="BT1656" t="s">
        <v>135</v>
      </c>
      <c r="BU1656">
        <v>12</v>
      </c>
      <c r="BV1656" t="str">
        <f>"JOB OFFERED OR RELATED OCCUPATION"</f>
        <v>JOB OFFERED OR RELATED OCCUPATION</v>
      </c>
      <c r="BW1656" t="s">
        <v>131</v>
      </c>
      <c r="BX1656" t="str">
        <f>""</f>
        <v/>
      </c>
      <c r="BY1656" t="str">
        <f>""</f>
        <v/>
      </c>
      <c r="BZ1656" t="str">
        <f>""</f>
        <v/>
      </c>
      <c r="CA1656" t="str">
        <f>""</f>
        <v/>
      </c>
      <c r="CB1656" t="s">
        <v>135</v>
      </c>
      <c r="CC1656" t="s">
        <v>133</v>
      </c>
      <c r="CE1656" t="s">
        <v>19669</v>
      </c>
      <c r="CF1656" t="s">
        <v>131</v>
      </c>
      <c r="CH1656" t="str">
        <f t="shared" si="101"/>
        <v>N/A</v>
      </c>
      <c r="CI1656" t="s">
        <v>135</v>
      </c>
      <c r="CJ1656">
        <v>60</v>
      </c>
      <c r="CK1656" t="s">
        <v>135</v>
      </c>
      <c r="CL1656" t="str">
        <f>""</f>
        <v/>
      </c>
      <c r="CM1656" t="str">
        <f>""</f>
        <v/>
      </c>
      <c r="CN1656" t="str">
        <f>""</f>
        <v/>
      </c>
      <c r="CO1656" t="s">
        <v>2508</v>
      </c>
      <c r="CP1656" t="str">
        <f>"15-1121.00"</f>
        <v>15-1121.00</v>
      </c>
      <c r="CQ1656" t="s">
        <v>283</v>
      </c>
      <c r="CR1656" t="s">
        <v>849</v>
      </c>
      <c r="CS1656" t="s">
        <v>131</v>
      </c>
      <c r="CU1656" t="s">
        <v>4861</v>
      </c>
      <c r="CV1656" t="s">
        <v>4866</v>
      </c>
      <c r="CW1656" t="s">
        <v>4862</v>
      </c>
      <c r="CX1656" t="s">
        <v>276</v>
      </c>
      <c r="CZ1656" s="3" t="str">
        <f>"08540"</f>
        <v>08540</v>
      </c>
      <c r="DA1656" t="s">
        <v>131</v>
      </c>
      <c r="DB1656" t="str">
        <f>""</f>
        <v/>
      </c>
      <c r="DF1656" t="str">
        <f>""</f>
        <v/>
      </c>
    </row>
    <row r="1657" spans="1:110" ht="15" customHeight="1" x14ac:dyDescent="0.35">
      <c r="A1657" t="s">
        <v>14926</v>
      </c>
      <c r="B1657" t="s">
        <v>138</v>
      </c>
      <c r="C1657" s="1">
        <v>44340</v>
      </c>
      <c r="G1657" s="1">
        <v>44340</v>
      </c>
      <c r="H1657" t="s">
        <v>125</v>
      </c>
      <c r="I1657" t="s">
        <v>3331</v>
      </c>
      <c r="J1657" t="s">
        <v>3332</v>
      </c>
      <c r="K1657" t="s">
        <v>655</v>
      </c>
      <c r="L1657" t="s">
        <v>3333</v>
      </c>
      <c r="M1657" t="s">
        <v>7046</v>
      </c>
      <c r="O1657" t="s">
        <v>3337</v>
      </c>
      <c r="P1657" t="s">
        <v>412</v>
      </c>
      <c r="Q1657" s="3">
        <v>76155</v>
      </c>
      <c r="R1657" t="s">
        <v>128</v>
      </c>
      <c r="T1657" s="4">
        <v>16822780639</v>
      </c>
      <c r="V1657" t="s">
        <v>3335</v>
      </c>
      <c r="W1657" t="s">
        <v>3336</v>
      </c>
      <c r="Y1657" t="s">
        <v>3334</v>
      </c>
      <c r="AA1657" t="s">
        <v>3337</v>
      </c>
      <c r="AB1657" t="s">
        <v>400</v>
      </c>
      <c r="AC1657" s="3" t="str">
        <f>"76155"</f>
        <v>76155</v>
      </c>
      <c r="AD1657" t="s">
        <v>128</v>
      </c>
      <c r="AF1657" s="4">
        <v>18179631234</v>
      </c>
      <c r="AH1657" t="str">
        <f>"481111"</f>
        <v>481111</v>
      </c>
      <c r="AI1657" t="s">
        <v>130</v>
      </c>
      <c r="AJ1657" t="s">
        <v>3338</v>
      </c>
      <c r="AK1657" t="s">
        <v>651</v>
      </c>
      <c r="AM1657" t="s">
        <v>5206</v>
      </c>
      <c r="AO1657" t="s">
        <v>2412</v>
      </c>
      <c r="AP1657" t="s">
        <v>812</v>
      </c>
      <c r="AQ1657" s="5">
        <v>29201</v>
      </c>
      <c r="AR1657" t="s">
        <v>128</v>
      </c>
      <c r="AS1657" t="s">
        <v>812</v>
      </c>
      <c r="AT1657" s="4">
        <v>18032521300</v>
      </c>
      <c r="AV1657" t="s">
        <v>3339</v>
      </c>
      <c r="AW1657" t="s">
        <v>3340</v>
      </c>
      <c r="AX1657" t="s">
        <v>131</v>
      </c>
      <c r="AY1657" t="s">
        <v>131</v>
      </c>
      <c r="AZ1657" t="s">
        <v>131</v>
      </c>
      <c r="BA1657" t="s">
        <v>131</v>
      </c>
      <c r="BB1657" t="s">
        <v>131</v>
      </c>
      <c r="BC1657" t="s">
        <v>131</v>
      </c>
      <c r="BD1657" t="s">
        <v>131</v>
      </c>
      <c r="BE1657" t="s">
        <v>132</v>
      </c>
      <c r="BH1657" t="s">
        <v>3341</v>
      </c>
      <c r="BI1657" t="s">
        <v>135</v>
      </c>
      <c r="BJ1657" t="s">
        <v>14927</v>
      </c>
      <c r="BK1657" t="s">
        <v>14928</v>
      </c>
      <c r="BL1657" t="s">
        <v>188</v>
      </c>
      <c r="BN1657" t="s">
        <v>7047</v>
      </c>
      <c r="BO1657" t="s">
        <v>131</v>
      </c>
      <c r="BP1657" t="s">
        <v>134</v>
      </c>
      <c r="BQ1657" t="s">
        <v>131</v>
      </c>
      <c r="BS1657" t="str">
        <f t="shared" si="100"/>
        <v>N/A</v>
      </c>
      <c r="BT1657" t="s">
        <v>135</v>
      </c>
      <c r="BU1657">
        <v>36</v>
      </c>
      <c r="BV1657" t="str">
        <f>"in IT project management"</f>
        <v>in IT project management</v>
      </c>
      <c r="BW1657" t="s">
        <v>135</v>
      </c>
      <c r="BX1657" t="str">
        <f>"PMP or Scrum Master Certification."</f>
        <v>PMP or Scrum Master Certification.</v>
      </c>
      <c r="BY1657" t="str">
        <f>""</f>
        <v/>
      </c>
      <c r="BZ1657" t="str">
        <f>""</f>
        <v/>
      </c>
      <c r="CA1657" t="s">
        <v>7048</v>
      </c>
      <c r="CB1657" t="s">
        <v>135</v>
      </c>
      <c r="CC1657" t="s">
        <v>133</v>
      </c>
      <c r="CE1657" t="s">
        <v>7047</v>
      </c>
      <c r="CF1657" t="s">
        <v>131</v>
      </c>
      <c r="CH1657" t="str">
        <f t="shared" si="101"/>
        <v>N/A</v>
      </c>
      <c r="CI1657" t="s">
        <v>135</v>
      </c>
      <c r="CJ1657">
        <v>60</v>
      </c>
      <c r="CK1657" t="s">
        <v>135</v>
      </c>
      <c r="CL1657" t="str">
        <f>"PMP or Scrum Master Certification."</f>
        <v>PMP or Scrum Master Certification.</v>
      </c>
      <c r="CM1657" t="str">
        <f>""</f>
        <v/>
      </c>
      <c r="CN1657" t="str">
        <f>""</f>
        <v/>
      </c>
      <c r="CO1657" t="s">
        <v>7048</v>
      </c>
      <c r="CP1657" t="str">
        <f>"15-1132.00"</f>
        <v>15-1132.00</v>
      </c>
      <c r="CQ1657" t="s">
        <v>198</v>
      </c>
      <c r="CR1657" t="s">
        <v>1079</v>
      </c>
      <c r="CS1657" t="s">
        <v>131</v>
      </c>
      <c r="CU1657" t="s">
        <v>7046</v>
      </c>
      <c r="CW1657" t="s">
        <v>3337</v>
      </c>
      <c r="CX1657" t="s">
        <v>400</v>
      </c>
      <c r="CZ1657" s="3" t="str">
        <f>"76155"</f>
        <v>76155</v>
      </c>
      <c r="DA1657" t="s">
        <v>131</v>
      </c>
      <c r="DB1657" t="str">
        <f>""</f>
        <v/>
      </c>
      <c r="DF1657" t="str">
        <f>""</f>
        <v/>
      </c>
    </row>
    <row r="1658" spans="1:110" ht="15" customHeight="1" x14ac:dyDescent="0.35">
      <c r="A1658" t="s">
        <v>13744</v>
      </c>
      <c r="B1658" t="s">
        <v>138</v>
      </c>
      <c r="C1658" s="1">
        <v>44340</v>
      </c>
      <c r="G1658" s="1">
        <v>44355</v>
      </c>
      <c r="H1658" t="s">
        <v>125</v>
      </c>
      <c r="I1658" t="s">
        <v>1427</v>
      </c>
      <c r="J1658" t="s">
        <v>1428</v>
      </c>
      <c r="L1658" t="s">
        <v>1429</v>
      </c>
      <c r="M1658" t="s">
        <v>1301</v>
      </c>
      <c r="O1658" t="s">
        <v>664</v>
      </c>
      <c r="P1658" t="s">
        <v>178</v>
      </c>
      <c r="Q1658" s="3">
        <v>95134</v>
      </c>
      <c r="R1658" t="s">
        <v>128</v>
      </c>
      <c r="T1658" s="4">
        <v>14085264000</v>
      </c>
      <c r="V1658" t="s">
        <v>1302</v>
      </c>
      <c r="W1658" t="s">
        <v>1303</v>
      </c>
      <c r="Y1658" t="s">
        <v>1301</v>
      </c>
      <c r="AA1658" t="s">
        <v>664</v>
      </c>
      <c r="AB1658" t="s">
        <v>172</v>
      </c>
      <c r="AC1658" s="3" t="str">
        <f>"95134"</f>
        <v>95134</v>
      </c>
      <c r="AD1658" t="s">
        <v>128</v>
      </c>
      <c r="AF1658" s="4">
        <v>14085264000</v>
      </c>
      <c r="AG1658">
        <v>0</v>
      </c>
      <c r="AH1658" t="str">
        <f>"334111"</f>
        <v>334111</v>
      </c>
      <c r="AI1658" t="s">
        <v>130</v>
      </c>
      <c r="AJ1658" t="s">
        <v>13745</v>
      </c>
      <c r="AK1658" t="s">
        <v>1304</v>
      </c>
      <c r="AL1658" t="s">
        <v>813</v>
      </c>
      <c r="AM1658" t="s">
        <v>663</v>
      </c>
      <c r="AO1658" t="s">
        <v>664</v>
      </c>
      <c r="AP1658" t="s">
        <v>172</v>
      </c>
      <c r="AQ1658" s="5">
        <v>95134</v>
      </c>
      <c r="AR1658" t="s">
        <v>128</v>
      </c>
      <c r="AT1658" s="4">
        <v>14089190600</v>
      </c>
      <c r="AU1658">
        <v>0</v>
      </c>
      <c r="AV1658" t="s">
        <v>1305</v>
      </c>
      <c r="AW1658" t="s">
        <v>386</v>
      </c>
      <c r="AX1658" t="s">
        <v>131</v>
      </c>
      <c r="AY1658" t="s">
        <v>131</v>
      </c>
      <c r="AZ1658" t="s">
        <v>131</v>
      </c>
      <c r="BA1658" t="s">
        <v>131</v>
      </c>
      <c r="BB1658" t="s">
        <v>131</v>
      </c>
      <c r="BC1658" t="s">
        <v>131</v>
      </c>
      <c r="BD1658" t="s">
        <v>131</v>
      </c>
      <c r="BE1658" t="s">
        <v>132</v>
      </c>
      <c r="BH1658" t="s">
        <v>599</v>
      </c>
      <c r="BI1658" t="s">
        <v>131</v>
      </c>
      <c r="BL1658" t="s">
        <v>133</v>
      </c>
      <c r="BN1658" t="s">
        <v>13746</v>
      </c>
      <c r="BO1658" t="s">
        <v>131</v>
      </c>
      <c r="BP1658" t="s">
        <v>134</v>
      </c>
      <c r="BQ1658" t="s">
        <v>131</v>
      </c>
      <c r="BS1658" t="str">
        <f t="shared" si="100"/>
        <v>N/A</v>
      </c>
      <c r="BT1658" t="s">
        <v>135</v>
      </c>
      <c r="BU1658">
        <v>240</v>
      </c>
      <c r="BV1658" t="str">
        <f>"Post-baccalaureate, progressive experience in job offered or related occupation. "</f>
        <v xml:space="preserve">Post-baccalaureate, progressive experience in job offered or related occupation. </v>
      </c>
      <c r="BW1658" t="s">
        <v>135</v>
      </c>
      <c r="BX1658" t="str">
        <f>""</f>
        <v/>
      </c>
      <c r="BY1658" t="str">
        <f>""</f>
        <v/>
      </c>
      <c r="BZ1658" t="str">
        <f>""</f>
        <v/>
      </c>
      <c r="CA1658" t="str">
        <f>"TCP or IP Routing protocols;  Model Driven Telemetry; Python;  OSS Architecture and Design;  BSS Architecture and Design;  Storage Systems Design;  Kubernetes API provisioning
"</f>
        <v xml:space="preserve">TCP or IP Routing protocols;  Model Driven Telemetry; Python;  OSS Architecture and Design;  BSS Architecture and Design;  Storage Systems Design;  Kubernetes API provisioning
</v>
      </c>
      <c r="CB1658" t="s">
        <v>131</v>
      </c>
      <c r="CF1658" t="s">
        <v>131</v>
      </c>
      <c r="CH1658" t="str">
        <f>""</f>
        <v/>
      </c>
      <c r="CI1658" t="s">
        <v>131</v>
      </c>
      <c r="CK1658" t="s">
        <v>131</v>
      </c>
      <c r="CL1658" t="str">
        <f>""</f>
        <v/>
      </c>
      <c r="CM1658" t="str">
        <f>""</f>
        <v/>
      </c>
      <c r="CN1658" t="str">
        <f>""</f>
        <v/>
      </c>
      <c r="CO1658" t="str">
        <f>""</f>
        <v/>
      </c>
      <c r="CP1658" t="str">
        <f>"11-3021.00"</f>
        <v>11-3021.00</v>
      </c>
      <c r="CQ1658" t="s">
        <v>598</v>
      </c>
      <c r="CR1658" t="s">
        <v>13747</v>
      </c>
      <c r="CS1658" t="s">
        <v>131</v>
      </c>
      <c r="CU1658" t="s">
        <v>1786</v>
      </c>
      <c r="CW1658" t="s">
        <v>664</v>
      </c>
      <c r="CX1658" t="s">
        <v>172</v>
      </c>
      <c r="CZ1658" s="3" t="str">
        <f>"95134"</f>
        <v>95134</v>
      </c>
      <c r="DA1658" t="s">
        <v>131</v>
      </c>
      <c r="DB1658" t="str">
        <f>""</f>
        <v/>
      </c>
      <c r="DF1658" t="str">
        <f>""</f>
        <v/>
      </c>
    </row>
    <row r="1659" spans="1:110" ht="15" customHeight="1" x14ac:dyDescent="0.35">
      <c r="A1659" t="s">
        <v>13507</v>
      </c>
      <c r="B1659" t="s">
        <v>138</v>
      </c>
      <c r="C1659" s="1">
        <v>44340</v>
      </c>
      <c r="G1659" s="1">
        <v>44341</v>
      </c>
      <c r="H1659" t="s">
        <v>125</v>
      </c>
      <c r="I1659" t="s">
        <v>7192</v>
      </c>
      <c r="J1659" t="s">
        <v>5364</v>
      </c>
      <c r="K1659" t="s">
        <v>301</v>
      </c>
      <c r="L1659" t="s">
        <v>130</v>
      </c>
      <c r="M1659" t="s">
        <v>7193</v>
      </c>
      <c r="O1659" t="s">
        <v>600</v>
      </c>
      <c r="P1659" t="s">
        <v>593</v>
      </c>
      <c r="Q1659" s="3">
        <v>28210</v>
      </c>
      <c r="R1659" t="s">
        <v>128</v>
      </c>
      <c r="T1659" s="4">
        <v>17043621106</v>
      </c>
      <c r="V1659" t="s">
        <v>7194</v>
      </c>
      <c r="W1659" t="s">
        <v>7190</v>
      </c>
      <c r="Y1659" t="s">
        <v>13508</v>
      </c>
      <c r="AA1659" t="s">
        <v>979</v>
      </c>
      <c r="AB1659" t="s">
        <v>129</v>
      </c>
      <c r="AC1659" s="3" t="str">
        <f>"11801"</f>
        <v>11801</v>
      </c>
      <c r="AD1659" t="s">
        <v>128</v>
      </c>
      <c r="AF1659" s="4">
        <v>15162999610</v>
      </c>
      <c r="AH1659" t="str">
        <f>"541511"</f>
        <v>541511</v>
      </c>
      <c r="AI1659" t="s">
        <v>130</v>
      </c>
      <c r="AJ1659" t="s">
        <v>7192</v>
      </c>
      <c r="AK1659" t="s">
        <v>5364</v>
      </c>
      <c r="AL1659" t="s">
        <v>301</v>
      </c>
      <c r="AM1659" t="s">
        <v>7193</v>
      </c>
      <c r="AO1659" t="s">
        <v>600</v>
      </c>
      <c r="AP1659" t="s">
        <v>594</v>
      </c>
      <c r="AQ1659" s="5">
        <v>28210</v>
      </c>
      <c r="AR1659" t="s">
        <v>128</v>
      </c>
      <c r="AT1659" s="4">
        <v>17043621106</v>
      </c>
      <c r="AV1659" t="s">
        <v>7194</v>
      </c>
      <c r="AW1659" t="s">
        <v>8915</v>
      </c>
      <c r="AX1659" t="s">
        <v>131</v>
      </c>
      <c r="AY1659" t="s">
        <v>131</v>
      </c>
      <c r="AZ1659" t="s">
        <v>131</v>
      </c>
      <c r="BA1659" t="s">
        <v>131</v>
      </c>
      <c r="BB1659" t="s">
        <v>131</v>
      </c>
      <c r="BC1659" t="s">
        <v>131</v>
      </c>
      <c r="BD1659" t="s">
        <v>131</v>
      </c>
      <c r="BE1659" t="s">
        <v>132</v>
      </c>
      <c r="BH1659" t="s">
        <v>13509</v>
      </c>
      <c r="BI1659" t="s">
        <v>131</v>
      </c>
      <c r="BL1659" t="s">
        <v>133</v>
      </c>
      <c r="BN1659" t="s">
        <v>13510</v>
      </c>
      <c r="BO1659" t="s">
        <v>131</v>
      </c>
      <c r="BP1659" t="s">
        <v>134</v>
      </c>
      <c r="BQ1659" t="s">
        <v>131</v>
      </c>
      <c r="BS1659" t="str">
        <f t="shared" si="100"/>
        <v>N/A</v>
      </c>
      <c r="BT1659" t="s">
        <v>135</v>
      </c>
      <c r="BU1659">
        <v>60</v>
      </c>
      <c r="BV1659" t="str">
        <f>"Software Engineer"</f>
        <v>Software Engineer</v>
      </c>
      <c r="BW1659" t="s">
        <v>131</v>
      </c>
      <c r="BX1659" t="str">
        <f>""</f>
        <v/>
      </c>
      <c r="BY1659" t="str">
        <f>""</f>
        <v/>
      </c>
      <c r="BZ1659" t="str">
        <f>""</f>
        <v/>
      </c>
      <c r="CA1659" t="str">
        <f>""</f>
        <v/>
      </c>
      <c r="CB1659" t="s">
        <v>131</v>
      </c>
      <c r="CF1659" t="s">
        <v>131</v>
      </c>
      <c r="CH1659" t="str">
        <f>""</f>
        <v/>
      </c>
      <c r="CI1659" t="s">
        <v>131</v>
      </c>
      <c r="CK1659" t="s">
        <v>131</v>
      </c>
      <c r="CL1659" t="str">
        <f>""</f>
        <v/>
      </c>
      <c r="CM1659" t="str">
        <f>""</f>
        <v/>
      </c>
      <c r="CN1659" t="str">
        <f>""</f>
        <v/>
      </c>
      <c r="CO1659" t="str">
        <f>""</f>
        <v/>
      </c>
      <c r="CP1659" t="str">
        <f>"15-1132.00"</f>
        <v>15-1132.00</v>
      </c>
      <c r="CQ1659" t="s">
        <v>198</v>
      </c>
      <c r="CS1659" t="s">
        <v>131</v>
      </c>
      <c r="CU1659" t="s">
        <v>13508</v>
      </c>
      <c r="CW1659" t="s">
        <v>979</v>
      </c>
      <c r="CX1659" t="s">
        <v>129</v>
      </c>
      <c r="CZ1659" s="3" t="str">
        <f>"11801"</f>
        <v>11801</v>
      </c>
      <c r="DA1659" t="s">
        <v>131</v>
      </c>
      <c r="DB1659" t="str">
        <f>""</f>
        <v/>
      </c>
      <c r="DF1659" t="str">
        <f>""</f>
        <v/>
      </c>
    </row>
    <row r="1660" spans="1:110" ht="15" customHeight="1" x14ac:dyDescent="0.35">
      <c r="A1660" t="s">
        <v>6807</v>
      </c>
      <c r="B1660" t="s">
        <v>138</v>
      </c>
      <c r="C1660" s="1">
        <v>44340</v>
      </c>
      <c r="G1660" s="1">
        <v>44341</v>
      </c>
      <c r="H1660" t="s">
        <v>125</v>
      </c>
      <c r="I1660" t="s">
        <v>6808</v>
      </c>
      <c r="J1660" t="s">
        <v>1157</v>
      </c>
      <c r="K1660" t="s">
        <v>655</v>
      </c>
      <c r="L1660" t="s">
        <v>130</v>
      </c>
      <c r="M1660" t="s">
        <v>6809</v>
      </c>
      <c r="N1660" t="s">
        <v>3032</v>
      </c>
      <c r="O1660" t="s">
        <v>975</v>
      </c>
      <c r="P1660" t="s">
        <v>593</v>
      </c>
      <c r="Q1660" s="3">
        <v>27615</v>
      </c>
      <c r="R1660" t="s">
        <v>128</v>
      </c>
      <c r="T1660" s="4">
        <v>19196474821</v>
      </c>
      <c r="V1660" t="s">
        <v>6810</v>
      </c>
      <c r="W1660" t="s">
        <v>6811</v>
      </c>
      <c r="Y1660" t="s">
        <v>6812</v>
      </c>
      <c r="Z1660" t="s">
        <v>375</v>
      </c>
      <c r="AA1660" t="s">
        <v>4970</v>
      </c>
      <c r="AB1660" t="s">
        <v>779</v>
      </c>
      <c r="AC1660" s="3" t="str">
        <f>"38017"</f>
        <v>38017</v>
      </c>
      <c r="AD1660" t="s">
        <v>128</v>
      </c>
      <c r="AF1660" s="4">
        <v>19012634909</v>
      </c>
      <c r="AH1660" t="str">
        <f>"49211"</f>
        <v>49211</v>
      </c>
      <c r="AI1660" t="s">
        <v>130</v>
      </c>
      <c r="AJ1660" t="s">
        <v>6808</v>
      </c>
      <c r="AK1660" t="s">
        <v>1157</v>
      </c>
      <c r="AL1660" t="s">
        <v>655</v>
      </c>
      <c r="AM1660" t="s">
        <v>6809</v>
      </c>
      <c r="AN1660" t="s">
        <v>3032</v>
      </c>
      <c r="AO1660" t="s">
        <v>975</v>
      </c>
      <c r="AP1660" t="s">
        <v>594</v>
      </c>
      <c r="AQ1660" s="5">
        <v>27615</v>
      </c>
      <c r="AR1660" t="s">
        <v>128</v>
      </c>
      <c r="AT1660" s="4">
        <v>19196474821</v>
      </c>
      <c r="AV1660" t="s">
        <v>6813</v>
      </c>
      <c r="AW1660" t="s">
        <v>6814</v>
      </c>
      <c r="AX1660" t="s">
        <v>131</v>
      </c>
      <c r="AY1660" t="s">
        <v>131</v>
      </c>
      <c r="AZ1660" t="s">
        <v>131</v>
      </c>
      <c r="BA1660" t="s">
        <v>131</v>
      </c>
      <c r="BB1660" t="s">
        <v>131</v>
      </c>
      <c r="BC1660" t="s">
        <v>131</v>
      </c>
      <c r="BD1660" t="s">
        <v>131</v>
      </c>
      <c r="BE1660" t="s">
        <v>132</v>
      </c>
      <c r="BH1660" t="s">
        <v>6815</v>
      </c>
      <c r="BI1660" t="s">
        <v>131</v>
      </c>
      <c r="BL1660" t="s">
        <v>188</v>
      </c>
      <c r="BN1660" t="s">
        <v>6816</v>
      </c>
      <c r="BO1660" t="s">
        <v>131</v>
      </c>
      <c r="BP1660" t="s">
        <v>134</v>
      </c>
      <c r="BQ1660" t="s">
        <v>131</v>
      </c>
      <c r="BS1660" t="str">
        <f t="shared" si="100"/>
        <v>N/A</v>
      </c>
      <c r="BT1660" t="s">
        <v>135</v>
      </c>
      <c r="BU1660">
        <v>24</v>
      </c>
      <c r="BV1660" t="str">
        <f>"Computer support or information technology environment."</f>
        <v>Computer support or information technology environment.</v>
      </c>
      <c r="BW1660" t="s">
        <v>135</v>
      </c>
      <c r="BX1660" t="str">
        <f>""</f>
        <v/>
      </c>
      <c r="BY1660" t="str">
        <f>""</f>
        <v/>
      </c>
      <c r="BZ1660" t="str">
        <f>""</f>
        <v/>
      </c>
      <c r="CA1660" t="s">
        <v>6817</v>
      </c>
      <c r="CB1660" t="s">
        <v>135</v>
      </c>
      <c r="CC1660" t="s">
        <v>133</v>
      </c>
      <c r="CE1660" t="s">
        <v>6818</v>
      </c>
      <c r="CF1660" t="s">
        <v>131</v>
      </c>
      <c r="CH1660" t="str">
        <f>"N/A"</f>
        <v>N/A</v>
      </c>
      <c r="CI1660" t="s">
        <v>135</v>
      </c>
      <c r="CJ1660">
        <v>48</v>
      </c>
      <c r="CK1660" t="s">
        <v>135</v>
      </c>
      <c r="CL1660" t="str">
        <f>""</f>
        <v/>
      </c>
      <c r="CM1660" t="str">
        <f>""</f>
        <v/>
      </c>
      <c r="CN1660" t="str">
        <f>""</f>
        <v/>
      </c>
      <c r="CO1660" t="s">
        <v>6817</v>
      </c>
      <c r="CP1660" t="str">
        <f>"15-1132.00"</f>
        <v>15-1132.00</v>
      </c>
      <c r="CQ1660" t="s">
        <v>198</v>
      </c>
      <c r="CR1660" t="s">
        <v>6819</v>
      </c>
      <c r="CS1660" t="s">
        <v>131</v>
      </c>
      <c r="CU1660" t="s">
        <v>6820</v>
      </c>
      <c r="CW1660" t="s">
        <v>6821</v>
      </c>
      <c r="CX1660" t="s">
        <v>312</v>
      </c>
      <c r="CZ1660" s="3" t="str">
        <f>"15108"</f>
        <v>15108</v>
      </c>
      <c r="DA1660" t="s">
        <v>131</v>
      </c>
      <c r="DB1660" t="str">
        <f>""</f>
        <v/>
      </c>
      <c r="DF1660" t="str">
        <f>""</f>
        <v/>
      </c>
    </row>
    <row r="1661" spans="1:110" ht="15" customHeight="1" x14ac:dyDescent="0.35">
      <c r="A1661" t="s">
        <v>11449</v>
      </c>
      <c r="B1661" t="s">
        <v>138</v>
      </c>
      <c r="C1661" s="1">
        <v>44340</v>
      </c>
      <c r="G1661" s="1">
        <v>44350</v>
      </c>
      <c r="H1661" t="s">
        <v>125</v>
      </c>
      <c r="I1661" t="s">
        <v>838</v>
      </c>
      <c r="J1661" t="s">
        <v>839</v>
      </c>
      <c r="K1661" t="s">
        <v>840</v>
      </c>
      <c r="L1661" t="s">
        <v>2565</v>
      </c>
      <c r="M1661" t="s">
        <v>2505</v>
      </c>
      <c r="N1661" t="s">
        <v>842</v>
      </c>
      <c r="O1661" t="s">
        <v>843</v>
      </c>
      <c r="P1661" t="s">
        <v>273</v>
      </c>
      <c r="Q1661" s="3">
        <v>7080</v>
      </c>
      <c r="R1661" t="s">
        <v>128</v>
      </c>
      <c r="T1661" s="4">
        <v>17328327978</v>
      </c>
      <c r="V1661" t="s">
        <v>844</v>
      </c>
      <c r="W1661" t="s">
        <v>10316</v>
      </c>
      <c r="Y1661" t="s">
        <v>5199</v>
      </c>
      <c r="Z1661" t="s">
        <v>5200</v>
      </c>
      <c r="AA1661" t="s">
        <v>3387</v>
      </c>
      <c r="AB1661" t="s">
        <v>276</v>
      </c>
      <c r="AC1661" s="3" t="str">
        <f>"08619"</f>
        <v>08619</v>
      </c>
      <c r="AD1661" t="s">
        <v>128</v>
      </c>
      <c r="AF1661" s="4">
        <v>16098485700</v>
      </c>
      <c r="AH1661" t="str">
        <f>"541511"</f>
        <v>541511</v>
      </c>
      <c r="AI1661" t="s">
        <v>130</v>
      </c>
      <c r="AJ1661" t="s">
        <v>838</v>
      </c>
      <c r="AK1661" t="s">
        <v>839</v>
      </c>
      <c r="AL1661" t="s">
        <v>840</v>
      </c>
      <c r="AM1661" t="s">
        <v>841</v>
      </c>
      <c r="AN1661" t="s">
        <v>842</v>
      </c>
      <c r="AO1661" t="s">
        <v>843</v>
      </c>
      <c r="AP1661" t="s">
        <v>276</v>
      </c>
      <c r="AQ1661" s="5">
        <v>7080</v>
      </c>
      <c r="AR1661" t="s">
        <v>128</v>
      </c>
      <c r="AT1661" s="4">
        <v>17328327978</v>
      </c>
      <c r="AV1661" t="s">
        <v>844</v>
      </c>
      <c r="AW1661" t="s">
        <v>2570</v>
      </c>
      <c r="AX1661" t="s">
        <v>131</v>
      </c>
      <c r="AY1661" t="s">
        <v>131</v>
      </c>
      <c r="AZ1661" t="s">
        <v>131</v>
      </c>
      <c r="BA1661" t="s">
        <v>131</v>
      </c>
      <c r="BB1661" t="s">
        <v>131</v>
      </c>
      <c r="BC1661" t="s">
        <v>131</v>
      </c>
      <c r="BD1661" t="s">
        <v>131</v>
      </c>
      <c r="BE1661" t="s">
        <v>132</v>
      </c>
      <c r="BH1661" t="s">
        <v>846</v>
      </c>
      <c r="BI1661" t="s">
        <v>131</v>
      </c>
      <c r="BL1661" t="s">
        <v>188</v>
      </c>
      <c r="BN1661" t="s">
        <v>11450</v>
      </c>
      <c r="BO1661" t="s">
        <v>131</v>
      </c>
      <c r="BP1661" t="s">
        <v>134</v>
      </c>
      <c r="BQ1661" t="s">
        <v>131</v>
      </c>
      <c r="BS1661" t="str">
        <f t="shared" si="100"/>
        <v>N/A</v>
      </c>
      <c r="BT1661" t="s">
        <v>135</v>
      </c>
      <c r="BU1661">
        <v>12</v>
      </c>
      <c r="BV1661" t="str">
        <f>"JOB OFFERED OR RELATED OCCUPATION"</f>
        <v>JOB OFFERED OR RELATED OCCUPATION</v>
      </c>
      <c r="BW1661" t="s">
        <v>135</v>
      </c>
      <c r="BX1661" t="str">
        <f>""</f>
        <v/>
      </c>
      <c r="BY1661" t="str">
        <f>""</f>
        <v/>
      </c>
      <c r="BZ1661" t="str">
        <f>""</f>
        <v/>
      </c>
      <c r="CA1661" t="s">
        <v>11451</v>
      </c>
      <c r="CB1661" t="s">
        <v>135</v>
      </c>
      <c r="CC1661" t="s">
        <v>133</v>
      </c>
      <c r="CE1661" t="s">
        <v>11450</v>
      </c>
      <c r="CF1661" t="s">
        <v>131</v>
      </c>
      <c r="CH1661" t="str">
        <f>"N/A"</f>
        <v>N/A</v>
      </c>
      <c r="CI1661" t="s">
        <v>135</v>
      </c>
      <c r="CJ1661">
        <v>60</v>
      </c>
      <c r="CK1661" t="s">
        <v>131</v>
      </c>
      <c r="CL1661" t="str">
        <f>""</f>
        <v/>
      </c>
      <c r="CM1661" t="str">
        <f>""</f>
        <v/>
      </c>
      <c r="CN1661" t="str">
        <f>""</f>
        <v/>
      </c>
      <c r="CO1661" t="str">
        <f>""</f>
        <v/>
      </c>
      <c r="CP1661" t="str">
        <f>"15-1132.00"</f>
        <v>15-1132.00</v>
      </c>
      <c r="CQ1661" t="s">
        <v>198</v>
      </c>
      <c r="CR1661" t="s">
        <v>849</v>
      </c>
      <c r="CS1661" t="s">
        <v>131</v>
      </c>
      <c r="CU1661" t="s">
        <v>5203</v>
      </c>
      <c r="CV1661" t="s">
        <v>5204</v>
      </c>
      <c r="CW1661" t="s">
        <v>2426</v>
      </c>
      <c r="CX1661" t="s">
        <v>276</v>
      </c>
      <c r="CZ1661" s="3" t="str">
        <f>"08619"</f>
        <v>08619</v>
      </c>
      <c r="DA1661" t="s">
        <v>131</v>
      </c>
      <c r="DB1661" t="str">
        <f>""</f>
        <v/>
      </c>
      <c r="DF1661" t="str">
        <f>""</f>
        <v/>
      </c>
    </row>
    <row r="1662" spans="1:110" ht="15" customHeight="1" x14ac:dyDescent="0.35">
      <c r="A1662" t="s">
        <v>14358</v>
      </c>
      <c r="B1662" t="s">
        <v>138</v>
      </c>
      <c r="C1662" s="1">
        <v>44340</v>
      </c>
      <c r="G1662" s="1">
        <v>44350</v>
      </c>
      <c r="H1662" t="s">
        <v>125</v>
      </c>
      <c r="I1662" t="s">
        <v>838</v>
      </c>
      <c r="J1662" t="s">
        <v>839</v>
      </c>
      <c r="K1662" t="s">
        <v>840</v>
      </c>
      <c r="L1662" t="s">
        <v>2565</v>
      </c>
      <c r="M1662" t="s">
        <v>841</v>
      </c>
      <c r="N1662" t="s">
        <v>842</v>
      </c>
      <c r="O1662" t="s">
        <v>843</v>
      </c>
      <c r="P1662" t="s">
        <v>273</v>
      </c>
      <c r="Q1662" s="3">
        <v>7080</v>
      </c>
      <c r="R1662" t="s">
        <v>128</v>
      </c>
      <c r="T1662" s="4">
        <v>17328327978</v>
      </c>
      <c r="V1662" t="s">
        <v>844</v>
      </c>
      <c r="W1662" t="s">
        <v>9531</v>
      </c>
      <c r="Y1662" t="s">
        <v>14359</v>
      </c>
      <c r="Z1662" t="s">
        <v>9529</v>
      </c>
      <c r="AA1662" t="s">
        <v>9530</v>
      </c>
      <c r="AB1662" t="s">
        <v>276</v>
      </c>
      <c r="AC1662" s="3" t="str">
        <f>"08852"</f>
        <v>08852</v>
      </c>
      <c r="AD1662" t="s">
        <v>128</v>
      </c>
      <c r="AF1662" s="4">
        <v>12013557904</v>
      </c>
      <c r="AH1662" t="str">
        <f>"541511"</f>
        <v>541511</v>
      </c>
      <c r="AI1662" t="s">
        <v>130</v>
      </c>
      <c r="AJ1662" t="s">
        <v>838</v>
      </c>
      <c r="AK1662" t="s">
        <v>839</v>
      </c>
      <c r="AL1662" t="s">
        <v>840</v>
      </c>
      <c r="AM1662" t="s">
        <v>841</v>
      </c>
      <c r="AN1662" t="s">
        <v>842</v>
      </c>
      <c r="AO1662" t="s">
        <v>843</v>
      </c>
      <c r="AP1662" t="s">
        <v>276</v>
      </c>
      <c r="AQ1662" s="5">
        <v>7080</v>
      </c>
      <c r="AR1662" t="s">
        <v>128</v>
      </c>
      <c r="AT1662" s="4">
        <v>17328327978</v>
      </c>
      <c r="AV1662" t="s">
        <v>844</v>
      </c>
      <c r="AW1662" t="s">
        <v>2570</v>
      </c>
      <c r="AX1662" t="s">
        <v>131</v>
      </c>
      <c r="AY1662" t="s">
        <v>131</v>
      </c>
      <c r="AZ1662" t="s">
        <v>131</v>
      </c>
      <c r="BA1662" t="s">
        <v>131</v>
      </c>
      <c r="BB1662" t="s">
        <v>131</v>
      </c>
      <c r="BC1662" t="s">
        <v>131</v>
      </c>
      <c r="BD1662" t="s">
        <v>131</v>
      </c>
      <c r="BE1662" t="s">
        <v>132</v>
      </c>
      <c r="BH1662" t="s">
        <v>9532</v>
      </c>
      <c r="BI1662" t="s">
        <v>131</v>
      </c>
      <c r="BL1662" t="s">
        <v>188</v>
      </c>
      <c r="BN1662" t="s">
        <v>2785</v>
      </c>
      <c r="BO1662" t="s">
        <v>131</v>
      </c>
      <c r="BP1662" t="s">
        <v>134</v>
      </c>
      <c r="BQ1662" t="s">
        <v>131</v>
      </c>
      <c r="BS1662" t="str">
        <f t="shared" si="100"/>
        <v>N/A</v>
      </c>
      <c r="BT1662" t="s">
        <v>131</v>
      </c>
      <c r="BV1662" t="str">
        <f>""</f>
        <v/>
      </c>
      <c r="BW1662" t="s">
        <v>131</v>
      </c>
      <c r="BX1662" t="str">
        <f>""</f>
        <v/>
      </c>
      <c r="BY1662" t="str">
        <f>""</f>
        <v/>
      </c>
      <c r="BZ1662" t="str">
        <f>""</f>
        <v/>
      </c>
      <c r="CA1662" t="str">
        <f>""</f>
        <v/>
      </c>
      <c r="CB1662" t="s">
        <v>135</v>
      </c>
      <c r="CC1662" t="s">
        <v>133</v>
      </c>
      <c r="CE1662" t="s">
        <v>2785</v>
      </c>
      <c r="CF1662" t="s">
        <v>131</v>
      </c>
      <c r="CH1662" t="str">
        <f>"N/A"</f>
        <v>N/A</v>
      </c>
      <c r="CI1662" t="s">
        <v>135</v>
      </c>
      <c r="CJ1662">
        <v>60</v>
      </c>
      <c r="CK1662" t="s">
        <v>135</v>
      </c>
      <c r="CL1662" t="str">
        <f>""</f>
        <v/>
      </c>
      <c r="CM1662" t="str">
        <f>""</f>
        <v/>
      </c>
      <c r="CN1662" t="str">
        <f>""</f>
        <v/>
      </c>
      <c r="CO1662" t="s">
        <v>9533</v>
      </c>
      <c r="CP1662" t="str">
        <f>"15-1121.00"</f>
        <v>15-1121.00</v>
      </c>
      <c r="CQ1662" t="s">
        <v>283</v>
      </c>
      <c r="CR1662" t="s">
        <v>849</v>
      </c>
      <c r="CS1662" t="s">
        <v>131</v>
      </c>
      <c r="CU1662" t="s">
        <v>9528</v>
      </c>
      <c r="CV1662" t="s">
        <v>14360</v>
      </c>
      <c r="CW1662" t="s">
        <v>9530</v>
      </c>
      <c r="CX1662" t="s">
        <v>276</v>
      </c>
      <c r="CZ1662" s="3" t="str">
        <f>"08852"</f>
        <v>08852</v>
      </c>
      <c r="DA1662" t="s">
        <v>131</v>
      </c>
      <c r="DB1662" t="str">
        <f>""</f>
        <v/>
      </c>
      <c r="DF1662" t="str">
        <f>""</f>
        <v/>
      </c>
    </row>
    <row r="1663" spans="1:110" ht="15" customHeight="1" x14ac:dyDescent="0.35">
      <c r="A1663" t="s">
        <v>2564</v>
      </c>
      <c r="B1663" t="s">
        <v>138</v>
      </c>
      <c r="C1663" s="1">
        <v>44340</v>
      </c>
      <c r="G1663" s="1">
        <v>44350</v>
      </c>
      <c r="H1663" t="s">
        <v>125</v>
      </c>
      <c r="I1663" t="s">
        <v>838</v>
      </c>
      <c r="J1663" t="s">
        <v>839</v>
      </c>
      <c r="K1663" t="s">
        <v>840</v>
      </c>
      <c r="L1663" t="s">
        <v>2565</v>
      </c>
      <c r="M1663" t="s">
        <v>841</v>
      </c>
      <c r="N1663" t="s">
        <v>842</v>
      </c>
      <c r="O1663" t="s">
        <v>843</v>
      </c>
      <c r="P1663" t="s">
        <v>273</v>
      </c>
      <c r="Q1663" s="3">
        <v>7080</v>
      </c>
      <c r="R1663" t="s">
        <v>128</v>
      </c>
      <c r="T1663" s="4">
        <v>17328327978</v>
      </c>
      <c r="V1663" t="s">
        <v>844</v>
      </c>
      <c r="W1663" t="s">
        <v>2566</v>
      </c>
      <c r="Y1663" t="s">
        <v>2567</v>
      </c>
      <c r="Z1663" t="s">
        <v>2568</v>
      </c>
      <c r="AA1663" t="s">
        <v>2569</v>
      </c>
      <c r="AB1663" t="s">
        <v>276</v>
      </c>
      <c r="AC1663" s="3" t="str">
        <f>"08536"</f>
        <v>08536</v>
      </c>
      <c r="AD1663" t="s">
        <v>128</v>
      </c>
      <c r="AF1663" s="4">
        <v>17324765277</v>
      </c>
      <c r="AH1663" t="str">
        <f>"541511"</f>
        <v>541511</v>
      </c>
      <c r="AI1663" t="s">
        <v>130</v>
      </c>
      <c r="AJ1663" t="s">
        <v>838</v>
      </c>
      <c r="AK1663" t="s">
        <v>839</v>
      </c>
      <c r="AL1663" t="s">
        <v>840</v>
      </c>
      <c r="AM1663" t="s">
        <v>841</v>
      </c>
      <c r="AN1663" t="s">
        <v>842</v>
      </c>
      <c r="AO1663" t="s">
        <v>843</v>
      </c>
      <c r="AP1663" t="s">
        <v>276</v>
      </c>
      <c r="AQ1663" s="5">
        <v>7080</v>
      </c>
      <c r="AR1663" t="s">
        <v>128</v>
      </c>
      <c r="AT1663" s="4">
        <v>17328327978</v>
      </c>
      <c r="AV1663" t="s">
        <v>844</v>
      </c>
      <c r="AW1663" t="s">
        <v>2570</v>
      </c>
      <c r="AX1663" t="s">
        <v>131</v>
      </c>
      <c r="AY1663" t="s">
        <v>131</v>
      </c>
      <c r="AZ1663" t="s">
        <v>131</v>
      </c>
      <c r="BA1663" t="s">
        <v>131</v>
      </c>
      <c r="BB1663" t="s">
        <v>131</v>
      </c>
      <c r="BC1663" t="s">
        <v>131</v>
      </c>
      <c r="BD1663" t="s">
        <v>131</v>
      </c>
      <c r="BE1663" t="s">
        <v>132</v>
      </c>
      <c r="BH1663" t="s">
        <v>1133</v>
      </c>
      <c r="BI1663" t="s">
        <v>131</v>
      </c>
      <c r="BL1663" t="s">
        <v>188</v>
      </c>
      <c r="BN1663" t="s">
        <v>2571</v>
      </c>
      <c r="BO1663" t="s">
        <v>131</v>
      </c>
      <c r="BP1663" t="s">
        <v>134</v>
      </c>
      <c r="BQ1663" t="s">
        <v>131</v>
      </c>
      <c r="BS1663" t="str">
        <f t="shared" si="100"/>
        <v>N/A</v>
      </c>
      <c r="BT1663" t="s">
        <v>131</v>
      </c>
      <c r="BV1663" t="str">
        <f>""</f>
        <v/>
      </c>
      <c r="BW1663" t="s">
        <v>131</v>
      </c>
      <c r="BX1663" t="str">
        <f>""</f>
        <v/>
      </c>
      <c r="BY1663" t="str">
        <f>""</f>
        <v/>
      </c>
      <c r="BZ1663" t="str">
        <f>""</f>
        <v/>
      </c>
      <c r="CA1663" t="str">
        <f>""</f>
        <v/>
      </c>
      <c r="CB1663" t="s">
        <v>135</v>
      </c>
      <c r="CC1663" t="s">
        <v>133</v>
      </c>
      <c r="CE1663" t="s">
        <v>2571</v>
      </c>
      <c r="CF1663" t="s">
        <v>131</v>
      </c>
      <c r="CH1663" t="str">
        <f>"N/A"</f>
        <v>N/A</v>
      </c>
      <c r="CI1663" t="s">
        <v>135</v>
      </c>
      <c r="CJ1663">
        <v>60</v>
      </c>
      <c r="CK1663" t="s">
        <v>135</v>
      </c>
      <c r="CL1663" t="str">
        <f>""</f>
        <v/>
      </c>
      <c r="CM1663" t="str">
        <f>""</f>
        <v/>
      </c>
      <c r="CN1663" t="str">
        <f>""</f>
        <v/>
      </c>
      <c r="CO1663" t="s">
        <v>2572</v>
      </c>
      <c r="CP1663" t="str">
        <f>"15-1132.00"</f>
        <v>15-1132.00</v>
      </c>
      <c r="CQ1663" t="s">
        <v>198</v>
      </c>
      <c r="CR1663" t="s">
        <v>849</v>
      </c>
      <c r="CS1663" t="s">
        <v>131</v>
      </c>
      <c r="CU1663" t="s">
        <v>2567</v>
      </c>
      <c r="CV1663" t="s">
        <v>2573</v>
      </c>
      <c r="CW1663" t="s">
        <v>2569</v>
      </c>
      <c r="CX1663" t="s">
        <v>276</v>
      </c>
      <c r="CZ1663" s="3" t="str">
        <f>"08536"</f>
        <v>08536</v>
      </c>
      <c r="DA1663" t="s">
        <v>131</v>
      </c>
      <c r="DB1663" t="str">
        <f>""</f>
        <v/>
      </c>
      <c r="DF1663" t="str">
        <f>""</f>
        <v/>
      </c>
    </row>
    <row r="1664" spans="1:110" ht="15" customHeight="1" x14ac:dyDescent="0.35">
      <c r="A1664" t="s">
        <v>4836</v>
      </c>
      <c r="B1664" t="s">
        <v>138</v>
      </c>
      <c r="C1664" s="1">
        <v>44340</v>
      </c>
      <c r="G1664" s="1">
        <v>44348</v>
      </c>
      <c r="H1664" t="s">
        <v>125</v>
      </c>
      <c r="I1664" t="s">
        <v>4837</v>
      </c>
      <c r="J1664" t="s">
        <v>4838</v>
      </c>
      <c r="L1664" t="s">
        <v>628</v>
      </c>
      <c r="M1664" t="s">
        <v>4839</v>
      </c>
      <c r="N1664" t="s">
        <v>4840</v>
      </c>
      <c r="O1664" t="s">
        <v>1200</v>
      </c>
      <c r="P1664" t="s">
        <v>178</v>
      </c>
      <c r="Q1664" s="3">
        <v>91301</v>
      </c>
      <c r="R1664" t="s">
        <v>128</v>
      </c>
      <c r="T1664" s="4">
        <v>13105846300</v>
      </c>
      <c r="V1664" t="s">
        <v>4841</v>
      </c>
      <c r="W1664" t="s">
        <v>4842</v>
      </c>
      <c r="Y1664" t="s">
        <v>4839</v>
      </c>
      <c r="Z1664" t="s">
        <v>4840</v>
      </c>
      <c r="AA1664" t="s">
        <v>1200</v>
      </c>
      <c r="AB1664" t="s">
        <v>172</v>
      </c>
      <c r="AC1664" s="3" t="str">
        <f>"91301"</f>
        <v>91301</v>
      </c>
      <c r="AD1664" t="s">
        <v>128</v>
      </c>
      <c r="AF1664" s="4">
        <v>13105846300</v>
      </c>
      <c r="AH1664" t="str">
        <f>"541511"</f>
        <v>541511</v>
      </c>
      <c r="AI1664" t="s">
        <v>130</v>
      </c>
      <c r="AJ1664" t="s">
        <v>1197</v>
      </c>
      <c r="AK1664" t="s">
        <v>254</v>
      </c>
      <c r="AL1664" t="s">
        <v>314</v>
      </c>
      <c r="AM1664" t="s">
        <v>4843</v>
      </c>
      <c r="AN1664" t="s">
        <v>4844</v>
      </c>
      <c r="AO1664" t="s">
        <v>1200</v>
      </c>
      <c r="AP1664" t="s">
        <v>172</v>
      </c>
      <c r="AQ1664" s="5">
        <v>91301</v>
      </c>
      <c r="AR1664" t="s">
        <v>128</v>
      </c>
      <c r="AT1664" s="4">
        <v>18189146482</v>
      </c>
      <c r="AV1664" t="s">
        <v>1201</v>
      </c>
      <c r="AW1664" t="s">
        <v>1777</v>
      </c>
      <c r="AX1664" t="s">
        <v>131</v>
      </c>
      <c r="AY1664" t="s">
        <v>131</v>
      </c>
      <c r="AZ1664" t="s">
        <v>131</v>
      </c>
      <c r="BA1664" t="s">
        <v>131</v>
      </c>
      <c r="BB1664" t="s">
        <v>131</v>
      </c>
      <c r="BC1664" t="s">
        <v>131</v>
      </c>
      <c r="BD1664" t="s">
        <v>131</v>
      </c>
      <c r="BE1664" t="s">
        <v>132</v>
      </c>
      <c r="BH1664" t="s">
        <v>1133</v>
      </c>
      <c r="BI1664" t="s">
        <v>131</v>
      </c>
      <c r="BL1664" t="s">
        <v>188</v>
      </c>
      <c r="BN1664" t="s">
        <v>459</v>
      </c>
      <c r="BO1664" t="s">
        <v>131</v>
      </c>
      <c r="BP1664" t="s">
        <v>134</v>
      </c>
      <c r="BQ1664" t="s">
        <v>131</v>
      </c>
      <c r="BS1664" t="str">
        <f t="shared" si="100"/>
        <v>N/A</v>
      </c>
      <c r="BT1664" t="s">
        <v>135</v>
      </c>
      <c r="BU1664">
        <v>12</v>
      </c>
      <c r="BV1664" t="str">
        <f>"See F.a.2"</f>
        <v>See F.a.2</v>
      </c>
      <c r="BW1664" t="s">
        <v>135</v>
      </c>
      <c r="BX1664" t="str">
        <f>""</f>
        <v/>
      </c>
      <c r="BY1664" t="str">
        <f>""</f>
        <v/>
      </c>
      <c r="BZ1664" t="str">
        <f>""</f>
        <v/>
      </c>
      <c r="CA1664" t="str">
        <f>"Qualified applicants must also have demonstrable proficiency and knowledge with the following:
1.	Java/J2EE
2.	SpringBoot, Spring Rest Services, JPA
3.	Database:  Oracle, Mongo
4.	Automation : Selenium, Cucumber
"</f>
        <v xml:space="preserve">Qualified applicants must also have demonstrable proficiency and knowledge with the following:
1.	Java/J2EE
2.	SpringBoot, Spring Rest Services, JPA
3.	Database:  Oracle, Mongo
4.	Automation : Selenium, Cucumber
</v>
      </c>
      <c r="CB1664" t="s">
        <v>131</v>
      </c>
      <c r="CF1664" t="s">
        <v>131</v>
      </c>
      <c r="CH1664" t="str">
        <f>""</f>
        <v/>
      </c>
      <c r="CI1664" t="s">
        <v>131</v>
      </c>
      <c r="CK1664" t="s">
        <v>131</v>
      </c>
      <c r="CL1664" t="str">
        <f>""</f>
        <v/>
      </c>
      <c r="CM1664" t="str">
        <f>""</f>
        <v/>
      </c>
      <c r="CN1664" t="str">
        <f>""</f>
        <v/>
      </c>
      <c r="CO1664" t="str">
        <f>""</f>
        <v/>
      </c>
      <c r="CP1664" t="str">
        <f>"15-1132.00"</f>
        <v>15-1132.00</v>
      </c>
      <c r="CQ1664" t="s">
        <v>198</v>
      </c>
      <c r="CR1664" t="s">
        <v>4845</v>
      </c>
      <c r="CS1664" t="s">
        <v>131</v>
      </c>
      <c r="CU1664" t="s">
        <v>4839</v>
      </c>
      <c r="CV1664" t="s">
        <v>4840</v>
      </c>
      <c r="CW1664" t="s">
        <v>1200</v>
      </c>
      <c r="CX1664" t="s">
        <v>172</v>
      </c>
      <c r="CZ1664" s="3" t="str">
        <f>"91301"</f>
        <v>91301</v>
      </c>
      <c r="DA1664" t="s">
        <v>131</v>
      </c>
      <c r="DB1664" t="str">
        <f>""</f>
        <v/>
      </c>
      <c r="DF1664" t="str">
        <f>""</f>
        <v/>
      </c>
    </row>
    <row r="1665" spans="1:110" ht="15" customHeight="1" x14ac:dyDescent="0.35">
      <c r="A1665" t="s">
        <v>13285</v>
      </c>
      <c r="B1665" t="s">
        <v>138</v>
      </c>
      <c r="C1665" s="1">
        <v>44340</v>
      </c>
      <c r="G1665" s="1">
        <v>44350</v>
      </c>
      <c r="H1665" t="s">
        <v>125</v>
      </c>
      <c r="I1665" t="s">
        <v>838</v>
      </c>
      <c r="J1665" t="s">
        <v>839</v>
      </c>
      <c r="K1665" t="s">
        <v>840</v>
      </c>
      <c r="L1665" t="s">
        <v>2565</v>
      </c>
      <c r="M1665" t="s">
        <v>841</v>
      </c>
      <c r="N1665" t="s">
        <v>842</v>
      </c>
      <c r="O1665" t="s">
        <v>843</v>
      </c>
      <c r="P1665" t="s">
        <v>273</v>
      </c>
      <c r="Q1665" s="3">
        <v>7080</v>
      </c>
      <c r="R1665" t="s">
        <v>128</v>
      </c>
      <c r="T1665" s="4">
        <v>17328327978</v>
      </c>
      <c r="V1665" t="s">
        <v>844</v>
      </c>
      <c r="W1665" t="s">
        <v>13286</v>
      </c>
      <c r="Y1665" t="s">
        <v>12733</v>
      </c>
      <c r="Z1665" t="s">
        <v>6956</v>
      </c>
      <c r="AA1665" t="s">
        <v>5448</v>
      </c>
      <c r="AB1665" t="s">
        <v>511</v>
      </c>
      <c r="AC1665" s="3" t="str">
        <f>"48108"</f>
        <v>48108</v>
      </c>
      <c r="AD1665" t="s">
        <v>128</v>
      </c>
      <c r="AF1665" s="4">
        <v>17342592181</v>
      </c>
      <c r="AH1665" t="str">
        <f>"541519"</f>
        <v>541519</v>
      </c>
      <c r="AI1665" t="s">
        <v>130</v>
      </c>
      <c r="AJ1665" t="s">
        <v>838</v>
      </c>
      <c r="AK1665" t="s">
        <v>839</v>
      </c>
      <c r="AL1665" t="s">
        <v>840</v>
      </c>
      <c r="AM1665" t="s">
        <v>841</v>
      </c>
      <c r="AN1665" t="s">
        <v>842</v>
      </c>
      <c r="AO1665" t="s">
        <v>843</v>
      </c>
      <c r="AP1665" t="s">
        <v>276</v>
      </c>
      <c r="AQ1665" s="5">
        <v>7080</v>
      </c>
      <c r="AR1665" t="s">
        <v>128</v>
      </c>
      <c r="AT1665" s="4">
        <v>17322837978</v>
      </c>
      <c r="AV1665" t="s">
        <v>844</v>
      </c>
      <c r="AW1665" t="s">
        <v>2570</v>
      </c>
      <c r="AX1665" t="s">
        <v>131</v>
      </c>
      <c r="AY1665" t="s">
        <v>131</v>
      </c>
      <c r="AZ1665" t="s">
        <v>131</v>
      </c>
      <c r="BA1665" t="s">
        <v>131</v>
      </c>
      <c r="BB1665" t="s">
        <v>131</v>
      </c>
      <c r="BC1665" t="s">
        <v>131</v>
      </c>
      <c r="BD1665" t="s">
        <v>131</v>
      </c>
      <c r="BE1665" t="s">
        <v>132</v>
      </c>
      <c r="BH1665" t="s">
        <v>7311</v>
      </c>
      <c r="BI1665" t="s">
        <v>131</v>
      </c>
      <c r="BL1665" t="s">
        <v>188</v>
      </c>
      <c r="BN1665" t="s">
        <v>2571</v>
      </c>
      <c r="BO1665" t="s">
        <v>131</v>
      </c>
      <c r="BP1665" t="s">
        <v>134</v>
      </c>
      <c r="BQ1665" t="s">
        <v>131</v>
      </c>
      <c r="BS1665" t="str">
        <f t="shared" si="100"/>
        <v>N/A</v>
      </c>
      <c r="BT1665" t="s">
        <v>135</v>
      </c>
      <c r="BU1665">
        <v>12</v>
      </c>
      <c r="BV1665" t="str">
        <f>"JOB OFFERED OR RELATED OCCUPATION"</f>
        <v>JOB OFFERED OR RELATED OCCUPATION</v>
      </c>
      <c r="BW1665" t="s">
        <v>131</v>
      </c>
      <c r="BX1665" t="str">
        <f>""</f>
        <v/>
      </c>
      <c r="BY1665" t="str">
        <f>""</f>
        <v/>
      </c>
      <c r="BZ1665" t="str">
        <f>""</f>
        <v/>
      </c>
      <c r="CA1665" t="str">
        <f>""</f>
        <v/>
      </c>
      <c r="CB1665" t="s">
        <v>135</v>
      </c>
      <c r="CC1665" t="s">
        <v>133</v>
      </c>
      <c r="CE1665" t="s">
        <v>2571</v>
      </c>
      <c r="CF1665" t="s">
        <v>131</v>
      </c>
      <c r="CH1665" t="str">
        <f t="shared" ref="CH1665:CH1672" si="102">"N/A"</f>
        <v>N/A</v>
      </c>
      <c r="CI1665" t="s">
        <v>135</v>
      </c>
      <c r="CJ1665">
        <v>60</v>
      </c>
      <c r="CK1665" t="s">
        <v>135</v>
      </c>
      <c r="CL1665" t="str">
        <f>""</f>
        <v/>
      </c>
      <c r="CM1665" t="str">
        <f>""</f>
        <v/>
      </c>
      <c r="CN1665" t="str">
        <f>""</f>
        <v/>
      </c>
      <c r="CO1665" t="s">
        <v>4347</v>
      </c>
      <c r="CP1665" t="str">
        <f>"15-1199.01"</f>
        <v>15-1199.01</v>
      </c>
      <c r="CQ1665" t="s">
        <v>308</v>
      </c>
      <c r="CR1665" t="s">
        <v>849</v>
      </c>
      <c r="CS1665" t="s">
        <v>131</v>
      </c>
      <c r="CU1665" t="s">
        <v>12731</v>
      </c>
      <c r="CV1665" t="s">
        <v>12734</v>
      </c>
      <c r="CW1665" t="s">
        <v>5448</v>
      </c>
      <c r="CX1665" t="s">
        <v>511</v>
      </c>
      <c r="CZ1665" s="3" t="str">
        <f>"48108"</f>
        <v>48108</v>
      </c>
      <c r="DA1665" t="s">
        <v>131</v>
      </c>
      <c r="DB1665" t="str">
        <f>""</f>
        <v/>
      </c>
      <c r="DF1665" t="str">
        <f>""</f>
        <v/>
      </c>
    </row>
    <row r="1666" spans="1:110" ht="15" customHeight="1" x14ac:dyDescent="0.35">
      <c r="A1666" t="s">
        <v>5197</v>
      </c>
      <c r="B1666" t="s">
        <v>138</v>
      </c>
      <c r="C1666" s="1">
        <v>44340</v>
      </c>
      <c r="G1666" s="1">
        <v>44350</v>
      </c>
      <c r="H1666" t="s">
        <v>125</v>
      </c>
      <c r="I1666" t="s">
        <v>838</v>
      </c>
      <c r="J1666" t="s">
        <v>839</v>
      </c>
      <c r="K1666" t="s">
        <v>840</v>
      </c>
      <c r="L1666" t="s">
        <v>2565</v>
      </c>
      <c r="M1666" t="s">
        <v>841</v>
      </c>
      <c r="N1666" t="s">
        <v>842</v>
      </c>
      <c r="O1666" t="s">
        <v>843</v>
      </c>
      <c r="P1666" t="s">
        <v>273</v>
      </c>
      <c r="Q1666" s="3">
        <v>7080</v>
      </c>
      <c r="R1666" t="s">
        <v>128</v>
      </c>
      <c r="T1666" s="4">
        <v>17328327978</v>
      </c>
      <c r="V1666" t="s">
        <v>844</v>
      </c>
      <c r="W1666" t="s">
        <v>5198</v>
      </c>
      <c r="Y1666" t="s">
        <v>5199</v>
      </c>
      <c r="Z1666" t="s">
        <v>5200</v>
      </c>
      <c r="AA1666" t="s">
        <v>3387</v>
      </c>
      <c r="AB1666" t="s">
        <v>276</v>
      </c>
      <c r="AC1666" s="3" t="str">
        <f>"08619"</f>
        <v>08619</v>
      </c>
      <c r="AD1666" t="s">
        <v>128</v>
      </c>
      <c r="AF1666" s="4">
        <v>16098485700</v>
      </c>
      <c r="AH1666" t="str">
        <f>"541511"</f>
        <v>541511</v>
      </c>
      <c r="AI1666" t="s">
        <v>130</v>
      </c>
      <c r="AJ1666" t="s">
        <v>838</v>
      </c>
      <c r="AK1666" t="s">
        <v>839</v>
      </c>
      <c r="AL1666" t="s">
        <v>840</v>
      </c>
      <c r="AM1666" t="s">
        <v>841</v>
      </c>
      <c r="AN1666" t="s">
        <v>842</v>
      </c>
      <c r="AO1666" t="s">
        <v>843</v>
      </c>
      <c r="AP1666" t="s">
        <v>276</v>
      </c>
      <c r="AQ1666" s="5">
        <v>7080</v>
      </c>
      <c r="AR1666" t="s">
        <v>128</v>
      </c>
      <c r="AT1666" s="4">
        <v>17328327978</v>
      </c>
      <c r="AV1666" t="s">
        <v>844</v>
      </c>
      <c r="AW1666" t="s">
        <v>2570</v>
      </c>
      <c r="AX1666" t="s">
        <v>131</v>
      </c>
      <c r="AY1666" t="s">
        <v>131</v>
      </c>
      <c r="AZ1666" t="s">
        <v>131</v>
      </c>
      <c r="BA1666" t="s">
        <v>131</v>
      </c>
      <c r="BB1666" t="s">
        <v>131</v>
      </c>
      <c r="BC1666" t="s">
        <v>131</v>
      </c>
      <c r="BD1666" t="s">
        <v>131</v>
      </c>
      <c r="BE1666" t="s">
        <v>132</v>
      </c>
      <c r="BH1666" t="s">
        <v>500</v>
      </c>
      <c r="BI1666" t="s">
        <v>131</v>
      </c>
      <c r="BL1666" t="s">
        <v>188</v>
      </c>
      <c r="BN1666" t="s">
        <v>5201</v>
      </c>
      <c r="BO1666" t="s">
        <v>131</v>
      </c>
      <c r="BP1666" t="s">
        <v>134</v>
      </c>
      <c r="BQ1666" t="s">
        <v>131</v>
      </c>
      <c r="BS1666" t="str">
        <f t="shared" si="100"/>
        <v>N/A</v>
      </c>
      <c r="BT1666" t="s">
        <v>135</v>
      </c>
      <c r="BU1666">
        <v>12</v>
      </c>
      <c r="BV1666" t="str">
        <f>"JOB OFFERED OR RELATED OCCUPATION"</f>
        <v>JOB OFFERED OR RELATED OCCUPATION</v>
      </c>
      <c r="BW1666" t="s">
        <v>131</v>
      </c>
      <c r="BX1666" t="str">
        <f>""</f>
        <v/>
      </c>
      <c r="BY1666" t="str">
        <f>""</f>
        <v/>
      </c>
      <c r="BZ1666" t="str">
        <f>""</f>
        <v/>
      </c>
      <c r="CA1666" t="str">
        <f>""</f>
        <v/>
      </c>
      <c r="CB1666" t="s">
        <v>135</v>
      </c>
      <c r="CC1666" t="s">
        <v>133</v>
      </c>
      <c r="CE1666" t="s">
        <v>5201</v>
      </c>
      <c r="CF1666" t="s">
        <v>131</v>
      </c>
      <c r="CH1666" t="str">
        <f t="shared" si="102"/>
        <v>N/A</v>
      </c>
      <c r="CI1666" t="s">
        <v>135</v>
      </c>
      <c r="CJ1666">
        <v>60</v>
      </c>
      <c r="CK1666" t="s">
        <v>135</v>
      </c>
      <c r="CL1666" t="str">
        <f>""</f>
        <v/>
      </c>
      <c r="CM1666" t="str">
        <f>""</f>
        <v/>
      </c>
      <c r="CN1666" t="str">
        <f>""</f>
        <v/>
      </c>
      <c r="CO1666" t="s">
        <v>5202</v>
      </c>
      <c r="CP1666" t="str">
        <f t="shared" ref="CP1666:CP1671" si="103">"15-1132.00"</f>
        <v>15-1132.00</v>
      </c>
      <c r="CQ1666" t="s">
        <v>198</v>
      </c>
      <c r="CR1666" t="s">
        <v>849</v>
      </c>
      <c r="CS1666" t="s">
        <v>131</v>
      </c>
      <c r="CU1666" t="s">
        <v>5203</v>
      </c>
      <c r="CV1666" t="s">
        <v>5204</v>
      </c>
      <c r="CW1666" t="s">
        <v>2426</v>
      </c>
      <c r="CX1666" t="s">
        <v>276</v>
      </c>
      <c r="CZ1666" s="3" t="str">
        <f>"08619"</f>
        <v>08619</v>
      </c>
      <c r="DA1666" t="s">
        <v>131</v>
      </c>
      <c r="DB1666" t="str">
        <f>""</f>
        <v/>
      </c>
      <c r="DF1666" t="str">
        <f>""</f>
        <v/>
      </c>
    </row>
    <row r="1667" spans="1:110" ht="15" customHeight="1" x14ac:dyDescent="0.35">
      <c r="A1667" t="s">
        <v>10034</v>
      </c>
      <c r="B1667" t="s">
        <v>138</v>
      </c>
      <c r="C1667" s="1">
        <v>44340</v>
      </c>
      <c r="G1667" s="1">
        <v>44350</v>
      </c>
      <c r="H1667" t="s">
        <v>125</v>
      </c>
      <c r="I1667" t="s">
        <v>838</v>
      </c>
      <c r="J1667" t="s">
        <v>839</v>
      </c>
      <c r="K1667" t="s">
        <v>840</v>
      </c>
      <c r="L1667" t="s">
        <v>2565</v>
      </c>
      <c r="M1667" t="s">
        <v>841</v>
      </c>
      <c r="N1667" t="s">
        <v>842</v>
      </c>
      <c r="O1667" t="s">
        <v>843</v>
      </c>
      <c r="P1667" t="s">
        <v>273</v>
      </c>
      <c r="Q1667" s="3">
        <v>7080</v>
      </c>
      <c r="R1667" t="s">
        <v>128</v>
      </c>
      <c r="T1667" s="4">
        <v>17328327978</v>
      </c>
      <c r="V1667" t="s">
        <v>844</v>
      </c>
      <c r="W1667" t="s">
        <v>10035</v>
      </c>
      <c r="Y1667" t="s">
        <v>10036</v>
      </c>
      <c r="Z1667" t="s">
        <v>10037</v>
      </c>
      <c r="AA1667" t="s">
        <v>2596</v>
      </c>
      <c r="AB1667" t="s">
        <v>276</v>
      </c>
      <c r="AC1667" s="3" t="str">
        <f>"08854"</f>
        <v>08854</v>
      </c>
      <c r="AD1667" t="s">
        <v>128</v>
      </c>
      <c r="AF1667" s="4">
        <v>17326405254</v>
      </c>
      <c r="AH1667" t="str">
        <f>"541511"</f>
        <v>541511</v>
      </c>
      <c r="AI1667" t="s">
        <v>130</v>
      </c>
      <c r="AJ1667" t="s">
        <v>838</v>
      </c>
      <c r="AK1667" t="s">
        <v>839</v>
      </c>
      <c r="AL1667" t="s">
        <v>840</v>
      </c>
      <c r="AM1667" t="s">
        <v>841</v>
      </c>
      <c r="AN1667" t="s">
        <v>842</v>
      </c>
      <c r="AO1667" t="s">
        <v>843</v>
      </c>
      <c r="AP1667" t="s">
        <v>276</v>
      </c>
      <c r="AQ1667" s="5">
        <v>7080</v>
      </c>
      <c r="AR1667" t="s">
        <v>128</v>
      </c>
      <c r="AT1667" s="4">
        <v>17328327978</v>
      </c>
      <c r="AV1667" t="s">
        <v>844</v>
      </c>
      <c r="AW1667" t="s">
        <v>2570</v>
      </c>
      <c r="AX1667" t="s">
        <v>131</v>
      </c>
      <c r="AY1667" t="s">
        <v>131</v>
      </c>
      <c r="AZ1667" t="s">
        <v>131</v>
      </c>
      <c r="BA1667" t="s">
        <v>131</v>
      </c>
      <c r="BB1667" t="s">
        <v>131</v>
      </c>
      <c r="BC1667" t="s">
        <v>131</v>
      </c>
      <c r="BD1667" t="s">
        <v>131</v>
      </c>
      <c r="BE1667" t="s">
        <v>132</v>
      </c>
      <c r="BH1667" t="s">
        <v>846</v>
      </c>
      <c r="BI1667" t="s">
        <v>131</v>
      </c>
      <c r="BL1667" t="s">
        <v>188</v>
      </c>
      <c r="BN1667" t="s">
        <v>5390</v>
      </c>
      <c r="BO1667" t="s">
        <v>131</v>
      </c>
      <c r="BP1667" t="s">
        <v>134</v>
      </c>
      <c r="BQ1667" t="s">
        <v>131</v>
      </c>
      <c r="BS1667" t="str">
        <f t="shared" si="100"/>
        <v>N/A</v>
      </c>
      <c r="BT1667" t="s">
        <v>131</v>
      </c>
      <c r="BV1667" t="str">
        <f>""</f>
        <v/>
      </c>
      <c r="BW1667" t="s">
        <v>131</v>
      </c>
      <c r="BX1667" t="str">
        <f>""</f>
        <v/>
      </c>
      <c r="BY1667" t="str">
        <f>""</f>
        <v/>
      </c>
      <c r="BZ1667" t="str">
        <f>""</f>
        <v/>
      </c>
      <c r="CA1667" t="str">
        <f>""</f>
        <v/>
      </c>
      <c r="CB1667" t="s">
        <v>135</v>
      </c>
      <c r="CC1667" t="s">
        <v>133</v>
      </c>
      <c r="CE1667" t="s">
        <v>5390</v>
      </c>
      <c r="CF1667" t="s">
        <v>131</v>
      </c>
      <c r="CH1667" t="str">
        <f t="shared" si="102"/>
        <v>N/A</v>
      </c>
      <c r="CI1667" t="s">
        <v>135</v>
      </c>
      <c r="CJ1667">
        <v>60</v>
      </c>
      <c r="CK1667" t="s">
        <v>135</v>
      </c>
      <c r="CL1667" t="str">
        <f>""</f>
        <v/>
      </c>
      <c r="CM1667" t="str">
        <f>""</f>
        <v/>
      </c>
      <c r="CN1667" t="str">
        <f>""</f>
        <v/>
      </c>
      <c r="CO1667" t="s">
        <v>2572</v>
      </c>
      <c r="CP1667" t="str">
        <f t="shared" si="103"/>
        <v>15-1132.00</v>
      </c>
      <c r="CQ1667" t="s">
        <v>198</v>
      </c>
      <c r="CR1667" t="s">
        <v>849</v>
      </c>
      <c r="CS1667" t="s">
        <v>131</v>
      </c>
      <c r="CU1667" t="s">
        <v>10036</v>
      </c>
      <c r="CV1667" t="s">
        <v>10038</v>
      </c>
      <c r="CW1667" t="s">
        <v>2596</v>
      </c>
      <c r="CX1667" t="s">
        <v>276</v>
      </c>
      <c r="CZ1667" s="3" t="str">
        <f>"08854"</f>
        <v>08854</v>
      </c>
      <c r="DA1667" t="s">
        <v>131</v>
      </c>
      <c r="DB1667" t="str">
        <f>""</f>
        <v/>
      </c>
      <c r="DF1667" t="str">
        <f>""</f>
        <v/>
      </c>
    </row>
    <row r="1668" spans="1:110" ht="15" customHeight="1" x14ac:dyDescent="0.35">
      <c r="A1668" t="s">
        <v>8674</v>
      </c>
      <c r="B1668" t="s">
        <v>138</v>
      </c>
      <c r="C1668" s="1">
        <v>44340</v>
      </c>
      <c r="G1668" s="1">
        <v>44350</v>
      </c>
      <c r="H1668" t="s">
        <v>125</v>
      </c>
      <c r="I1668" t="s">
        <v>2504</v>
      </c>
      <c r="J1668" t="s">
        <v>839</v>
      </c>
      <c r="K1668" t="s">
        <v>840</v>
      </c>
      <c r="L1668" t="s">
        <v>2565</v>
      </c>
      <c r="M1668" t="s">
        <v>841</v>
      </c>
      <c r="N1668" t="s">
        <v>842</v>
      </c>
      <c r="O1668" t="s">
        <v>843</v>
      </c>
      <c r="P1668" t="s">
        <v>273</v>
      </c>
      <c r="Q1668" s="3">
        <v>7080</v>
      </c>
      <c r="R1668" t="s">
        <v>128</v>
      </c>
      <c r="T1668" s="4">
        <v>17328327978</v>
      </c>
      <c r="V1668" t="s">
        <v>844</v>
      </c>
      <c r="W1668" t="s">
        <v>7083</v>
      </c>
      <c r="X1668" t="s">
        <v>8675</v>
      </c>
      <c r="Y1668" t="s">
        <v>7085</v>
      </c>
      <c r="Z1668" t="s">
        <v>4943</v>
      </c>
      <c r="AA1668" t="s">
        <v>2596</v>
      </c>
      <c r="AB1668" t="s">
        <v>276</v>
      </c>
      <c r="AC1668" s="3" t="str">
        <f>"08854"</f>
        <v>08854</v>
      </c>
      <c r="AD1668" t="s">
        <v>128</v>
      </c>
      <c r="AF1668" s="4">
        <v>18482199146</v>
      </c>
      <c r="AH1668" t="str">
        <f>"541990"</f>
        <v>541990</v>
      </c>
      <c r="AI1668" t="s">
        <v>130</v>
      </c>
      <c r="AJ1668" t="s">
        <v>838</v>
      </c>
      <c r="AK1668" t="s">
        <v>839</v>
      </c>
      <c r="AL1668" t="s">
        <v>840</v>
      </c>
      <c r="AM1668" t="s">
        <v>841</v>
      </c>
      <c r="AN1668" t="s">
        <v>842</v>
      </c>
      <c r="AO1668" t="s">
        <v>843</v>
      </c>
      <c r="AP1668" t="s">
        <v>276</v>
      </c>
      <c r="AQ1668" s="5">
        <v>7080</v>
      </c>
      <c r="AR1668" t="s">
        <v>128</v>
      </c>
      <c r="AT1668" s="4">
        <v>17328327978</v>
      </c>
      <c r="AV1668" t="s">
        <v>844</v>
      </c>
      <c r="AW1668" t="s">
        <v>2570</v>
      </c>
      <c r="AX1668" t="s">
        <v>131</v>
      </c>
      <c r="AY1668" t="s">
        <v>131</v>
      </c>
      <c r="AZ1668" t="s">
        <v>131</v>
      </c>
      <c r="BA1668" t="s">
        <v>131</v>
      </c>
      <c r="BB1668" t="s">
        <v>131</v>
      </c>
      <c r="BC1668" t="s">
        <v>131</v>
      </c>
      <c r="BD1668" t="s">
        <v>131</v>
      </c>
      <c r="BE1668" t="s">
        <v>132</v>
      </c>
      <c r="BH1668" t="s">
        <v>7086</v>
      </c>
      <c r="BI1668" t="s">
        <v>131</v>
      </c>
      <c r="BL1668" t="s">
        <v>188</v>
      </c>
      <c r="BN1668" t="s">
        <v>2571</v>
      </c>
      <c r="BO1668" t="s">
        <v>131</v>
      </c>
      <c r="BP1668" t="s">
        <v>134</v>
      </c>
      <c r="BQ1668" t="s">
        <v>131</v>
      </c>
      <c r="BS1668" t="str">
        <f t="shared" si="100"/>
        <v>N/A</v>
      </c>
      <c r="BT1668" t="s">
        <v>131</v>
      </c>
      <c r="BV1668" t="str">
        <f>""</f>
        <v/>
      </c>
      <c r="BW1668" t="s">
        <v>131</v>
      </c>
      <c r="BX1668" t="str">
        <f>""</f>
        <v/>
      </c>
      <c r="BY1668" t="str">
        <f>""</f>
        <v/>
      </c>
      <c r="BZ1668" t="str">
        <f>""</f>
        <v/>
      </c>
      <c r="CA1668" t="str">
        <f>""</f>
        <v/>
      </c>
      <c r="CB1668" t="s">
        <v>135</v>
      </c>
      <c r="CC1668" t="s">
        <v>133</v>
      </c>
      <c r="CE1668" t="s">
        <v>2571</v>
      </c>
      <c r="CF1668" t="s">
        <v>131</v>
      </c>
      <c r="CH1668" t="str">
        <f t="shared" si="102"/>
        <v>N/A</v>
      </c>
      <c r="CI1668" t="s">
        <v>135</v>
      </c>
      <c r="CJ1668">
        <v>60</v>
      </c>
      <c r="CK1668" t="s">
        <v>135</v>
      </c>
      <c r="CL1668" t="str">
        <f>""</f>
        <v/>
      </c>
      <c r="CM1668" t="str">
        <f>""</f>
        <v/>
      </c>
      <c r="CN1668" t="str">
        <f>""</f>
        <v/>
      </c>
      <c r="CO1668" t="s">
        <v>8676</v>
      </c>
      <c r="CP1668" t="str">
        <f t="shared" si="103"/>
        <v>15-1132.00</v>
      </c>
      <c r="CQ1668" t="s">
        <v>198</v>
      </c>
      <c r="CR1668" t="s">
        <v>849</v>
      </c>
      <c r="CS1668" t="s">
        <v>131</v>
      </c>
      <c r="CU1668" t="s">
        <v>7085</v>
      </c>
      <c r="CV1668" t="s">
        <v>8677</v>
      </c>
      <c r="CW1668" t="s">
        <v>2596</v>
      </c>
      <c r="CX1668" t="s">
        <v>276</v>
      </c>
      <c r="CZ1668" s="3" t="str">
        <f>"08854"</f>
        <v>08854</v>
      </c>
      <c r="DA1668" t="s">
        <v>131</v>
      </c>
      <c r="DB1668" t="str">
        <f>""</f>
        <v/>
      </c>
      <c r="DF1668" t="str">
        <f>""</f>
        <v/>
      </c>
    </row>
    <row r="1669" spans="1:110" ht="15" customHeight="1" x14ac:dyDescent="0.35">
      <c r="A1669" t="s">
        <v>11465</v>
      </c>
      <c r="B1669" t="s">
        <v>138</v>
      </c>
      <c r="C1669" s="1">
        <v>44340</v>
      </c>
      <c r="G1669" s="1">
        <v>44350</v>
      </c>
      <c r="H1669" t="s">
        <v>125</v>
      </c>
      <c r="I1669" t="s">
        <v>838</v>
      </c>
      <c r="J1669" t="s">
        <v>839</v>
      </c>
      <c r="K1669" t="s">
        <v>840</v>
      </c>
      <c r="L1669" t="s">
        <v>2565</v>
      </c>
      <c r="M1669" t="s">
        <v>841</v>
      </c>
      <c r="N1669" t="s">
        <v>842</v>
      </c>
      <c r="O1669" t="s">
        <v>843</v>
      </c>
      <c r="P1669" t="s">
        <v>273</v>
      </c>
      <c r="Q1669" s="3">
        <v>7080</v>
      </c>
      <c r="R1669" t="s">
        <v>128</v>
      </c>
      <c r="T1669" s="4">
        <v>17328327978</v>
      </c>
      <c r="V1669" t="s">
        <v>844</v>
      </c>
      <c r="W1669" t="s">
        <v>11466</v>
      </c>
      <c r="Y1669" t="s">
        <v>6590</v>
      </c>
      <c r="Z1669" t="s">
        <v>11467</v>
      </c>
      <c r="AA1669" t="s">
        <v>6592</v>
      </c>
      <c r="AB1669" t="s">
        <v>306</v>
      </c>
      <c r="AC1669" s="3" t="str">
        <f>"20166"</f>
        <v>20166</v>
      </c>
      <c r="AD1669" t="s">
        <v>128</v>
      </c>
      <c r="AF1669" s="4">
        <v>18452568585</v>
      </c>
      <c r="AH1669" t="str">
        <f>"541511"</f>
        <v>541511</v>
      </c>
      <c r="AI1669" t="s">
        <v>130</v>
      </c>
      <c r="AJ1669" t="s">
        <v>838</v>
      </c>
      <c r="AK1669" t="s">
        <v>839</v>
      </c>
      <c r="AL1669" t="s">
        <v>840</v>
      </c>
      <c r="AM1669" t="s">
        <v>841</v>
      </c>
      <c r="AN1669" t="s">
        <v>842</v>
      </c>
      <c r="AO1669" t="s">
        <v>843</v>
      </c>
      <c r="AP1669" t="s">
        <v>276</v>
      </c>
      <c r="AQ1669" s="5">
        <v>7080</v>
      </c>
      <c r="AR1669" t="s">
        <v>128</v>
      </c>
      <c r="AT1669" s="4">
        <v>17328327978</v>
      </c>
      <c r="AV1669" t="s">
        <v>844</v>
      </c>
      <c r="AW1669" t="s">
        <v>2570</v>
      </c>
      <c r="AX1669" t="s">
        <v>131</v>
      </c>
      <c r="AY1669" t="s">
        <v>131</v>
      </c>
      <c r="AZ1669" t="s">
        <v>131</v>
      </c>
      <c r="BA1669" t="s">
        <v>131</v>
      </c>
      <c r="BB1669" t="s">
        <v>131</v>
      </c>
      <c r="BC1669" t="s">
        <v>131</v>
      </c>
      <c r="BD1669" t="s">
        <v>131</v>
      </c>
      <c r="BE1669" t="s">
        <v>132</v>
      </c>
      <c r="BH1669" t="s">
        <v>846</v>
      </c>
      <c r="BI1669" t="s">
        <v>131</v>
      </c>
      <c r="BL1669" t="s">
        <v>188</v>
      </c>
      <c r="BN1669" t="s">
        <v>11468</v>
      </c>
      <c r="BO1669" t="s">
        <v>131</v>
      </c>
      <c r="BP1669" t="s">
        <v>134</v>
      </c>
      <c r="BQ1669" t="s">
        <v>131</v>
      </c>
      <c r="BS1669" t="str">
        <f t="shared" si="100"/>
        <v>N/A</v>
      </c>
      <c r="BT1669" t="s">
        <v>135</v>
      </c>
      <c r="BU1669">
        <v>12</v>
      </c>
      <c r="BV1669" t="str">
        <f>"JOB OFFERED OR RELATED OCCUPATION"</f>
        <v>JOB OFFERED OR RELATED OCCUPATION</v>
      </c>
      <c r="BW1669" t="s">
        <v>131</v>
      </c>
      <c r="BX1669" t="str">
        <f>""</f>
        <v/>
      </c>
      <c r="BY1669" t="str">
        <f>""</f>
        <v/>
      </c>
      <c r="BZ1669" t="str">
        <f>""</f>
        <v/>
      </c>
      <c r="CA1669" t="str">
        <f>""</f>
        <v/>
      </c>
      <c r="CB1669" t="s">
        <v>135</v>
      </c>
      <c r="CC1669" t="s">
        <v>133</v>
      </c>
      <c r="CE1669" t="s">
        <v>11468</v>
      </c>
      <c r="CF1669" t="s">
        <v>131</v>
      </c>
      <c r="CH1669" t="str">
        <f t="shared" si="102"/>
        <v>N/A</v>
      </c>
      <c r="CI1669" t="s">
        <v>135</v>
      </c>
      <c r="CJ1669">
        <v>60</v>
      </c>
      <c r="CK1669" t="s">
        <v>135</v>
      </c>
      <c r="CL1669" t="str">
        <f>""</f>
        <v/>
      </c>
      <c r="CM1669" t="str">
        <f>""</f>
        <v/>
      </c>
      <c r="CN1669" t="str">
        <f>""</f>
        <v/>
      </c>
      <c r="CO1669" t="s">
        <v>4347</v>
      </c>
      <c r="CP1669" t="str">
        <f t="shared" si="103"/>
        <v>15-1132.00</v>
      </c>
      <c r="CQ1669" t="s">
        <v>198</v>
      </c>
      <c r="CR1669" t="s">
        <v>849</v>
      </c>
      <c r="CS1669" t="s">
        <v>131</v>
      </c>
      <c r="CU1669" t="s">
        <v>6590</v>
      </c>
      <c r="CV1669" t="s">
        <v>11469</v>
      </c>
      <c r="CW1669" t="s">
        <v>6592</v>
      </c>
      <c r="CX1669" t="s">
        <v>306</v>
      </c>
      <c r="CZ1669" s="3" t="str">
        <f>"20166"</f>
        <v>20166</v>
      </c>
      <c r="DA1669" t="s">
        <v>131</v>
      </c>
      <c r="DB1669" t="str">
        <f>""</f>
        <v/>
      </c>
      <c r="DF1669" t="str">
        <f>""</f>
        <v/>
      </c>
    </row>
    <row r="1670" spans="1:110" ht="15" customHeight="1" x14ac:dyDescent="0.35">
      <c r="A1670" t="s">
        <v>5707</v>
      </c>
      <c r="B1670" t="s">
        <v>138</v>
      </c>
      <c r="C1670" s="1">
        <v>44340</v>
      </c>
      <c r="G1670" s="1">
        <v>44350</v>
      </c>
      <c r="H1670" t="s">
        <v>125</v>
      </c>
      <c r="I1670" t="s">
        <v>838</v>
      </c>
      <c r="J1670" t="s">
        <v>839</v>
      </c>
      <c r="K1670" t="s">
        <v>840</v>
      </c>
      <c r="L1670" t="s">
        <v>2565</v>
      </c>
      <c r="M1670" t="s">
        <v>2505</v>
      </c>
      <c r="N1670" t="s">
        <v>842</v>
      </c>
      <c r="O1670" t="s">
        <v>843</v>
      </c>
      <c r="P1670" t="s">
        <v>273</v>
      </c>
      <c r="Q1670" s="3">
        <v>7080</v>
      </c>
      <c r="R1670" t="s">
        <v>128</v>
      </c>
      <c r="T1670" s="4">
        <v>17328327978</v>
      </c>
      <c r="V1670" t="s">
        <v>844</v>
      </c>
      <c r="W1670" t="s">
        <v>5708</v>
      </c>
      <c r="Y1670" t="s">
        <v>2501</v>
      </c>
      <c r="Z1670" t="s">
        <v>2502</v>
      </c>
      <c r="AA1670" t="s">
        <v>4862</v>
      </c>
      <c r="AB1670" t="s">
        <v>276</v>
      </c>
      <c r="AC1670" s="3" t="str">
        <f>"08540"</f>
        <v>08540</v>
      </c>
      <c r="AD1670" t="s">
        <v>128</v>
      </c>
      <c r="AF1670" s="4">
        <v>19727527312</v>
      </c>
      <c r="AH1670" t="str">
        <f>"5416"</f>
        <v>5416</v>
      </c>
      <c r="AI1670" t="s">
        <v>130</v>
      </c>
      <c r="AJ1670" t="s">
        <v>838</v>
      </c>
      <c r="AK1670" t="s">
        <v>5709</v>
      </c>
      <c r="AL1670" t="s">
        <v>840</v>
      </c>
      <c r="AM1670" t="s">
        <v>841</v>
      </c>
      <c r="AN1670" t="s">
        <v>842</v>
      </c>
      <c r="AO1670" t="s">
        <v>843</v>
      </c>
      <c r="AP1670" t="s">
        <v>276</v>
      </c>
      <c r="AQ1670" s="5">
        <v>7080</v>
      </c>
      <c r="AR1670" t="s">
        <v>128</v>
      </c>
      <c r="AT1670" s="4">
        <v>17328327978</v>
      </c>
      <c r="AV1670" t="s">
        <v>844</v>
      </c>
      <c r="AW1670" t="s">
        <v>2570</v>
      </c>
      <c r="AX1670" t="s">
        <v>131</v>
      </c>
      <c r="AY1670" t="s">
        <v>131</v>
      </c>
      <c r="AZ1670" t="s">
        <v>131</v>
      </c>
      <c r="BA1670" t="s">
        <v>131</v>
      </c>
      <c r="BB1670" t="s">
        <v>131</v>
      </c>
      <c r="BC1670" t="s">
        <v>131</v>
      </c>
      <c r="BD1670" t="s">
        <v>131</v>
      </c>
      <c r="BE1670" t="s">
        <v>132</v>
      </c>
      <c r="BH1670" t="s">
        <v>846</v>
      </c>
      <c r="BI1670" t="s">
        <v>131</v>
      </c>
      <c r="BL1670" t="s">
        <v>188</v>
      </c>
      <c r="BN1670" t="s">
        <v>847</v>
      </c>
      <c r="BO1670" t="s">
        <v>131</v>
      </c>
      <c r="BP1670" t="s">
        <v>134</v>
      </c>
      <c r="BQ1670" t="s">
        <v>131</v>
      </c>
      <c r="BS1670" t="str">
        <f t="shared" si="100"/>
        <v>N/A</v>
      </c>
      <c r="BT1670" t="s">
        <v>135</v>
      </c>
      <c r="BU1670">
        <v>12</v>
      </c>
      <c r="BV1670" t="str">
        <f>"JOB OFFERED OR RELATED OCCUPATION"</f>
        <v>JOB OFFERED OR RELATED OCCUPATION</v>
      </c>
      <c r="BW1670" t="s">
        <v>131</v>
      </c>
      <c r="BX1670" t="str">
        <f>""</f>
        <v/>
      </c>
      <c r="BY1670" t="str">
        <f>""</f>
        <v/>
      </c>
      <c r="BZ1670" t="str">
        <f>""</f>
        <v/>
      </c>
      <c r="CA1670" t="str">
        <f>""</f>
        <v/>
      </c>
      <c r="CB1670" t="s">
        <v>135</v>
      </c>
      <c r="CC1670" t="s">
        <v>133</v>
      </c>
      <c r="CE1670" t="s">
        <v>847</v>
      </c>
      <c r="CF1670" t="s">
        <v>131</v>
      </c>
      <c r="CH1670" t="str">
        <f t="shared" si="102"/>
        <v>N/A</v>
      </c>
      <c r="CI1670" t="s">
        <v>135</v>
      </c>
      <c r="CJ1670">
        <v>60</v>
      </c>
      <c r="CK1670" t="s">
        <v>135</v>
      </c>
      <c r="CL1670" t="str">
        <f>""</f>
        <v/>
      </c>
      <c r="CM1670" t="str">
        <f>""</f>
        <v/>
      </c>
      <c r="CN1670" t="str">
        <f>""</f>
        <v/>
      </c>
      <c r="CO1670" t="s">
        <v>4347</v>
      </c>
      <c r="CP1670" t="str">
        <f t="shared" si="103"/>
        <v>15-1132.00</v>
      </c>
      <c r="CQ1670" t="s">
        <v>198</v>
      </c>
      <c r="CR1670" t="s">
        <v>849</v>
      </c>
      <c r="CS1670" t="s">
        <v>131</v>
      </c>
      <c r="CU1670" t="s">
        <v>4861</v>
      </c>
      <c r="CV1670" t="s">
        <v>4866</v>
      </c>
      <c r="CW1670" t="s">
        <v>4862</v>
      </c>
      <c r="CX1670" t="s">
        <v>276</v>
      </c>
      <c r="CZ1670" s="3" t="str">
        <f>"08540"</f>
        <v>08540</v>
      </c>
      <c r="DA1670" t="s">
        <v>131</v>
      </c>
      <c r="DB1670" t="str">
        <f>""</f>
        <v/>
      </c>
      <c r="DF1670" t="str">
        <f>""</f>
        <v/>
      </c>
    </row>
    <row r="1671" spans="1:110" ht="15" customHeight="1" x14ac:dyDescent="0.35">
      <c r="A1671" t="s">
        <v>18188</v>
      </c>
      <c r="B1671" t="s">
        <v>138</v>
      </c>
      <c r="C1671" s="1">
        <v>44340</v>
      </c>
      <c r="G1671" s="1">
        <v>44350</v>
      </c>
      <c r="H1671" t="s">
        <v>125</v>
      </c>
      <c r="I1671" t="s">
        <v>838</v>
      </c>
      <c r="J1671" t="s">
        <v>839</v>
      </c>
      <c r="K1671" t="s">
        <v>840</v>
      </c>
      <c r="L1671" t="s">
        <v>2565</v>
      </c>
      <c r="M1671" t="s">
        <v>841</v>
      </c>
      <c r="N1671" t="s">
        <v>842</v>
      </c>
      <c r="O1671" t="s">
        <v>843</v>
      </c>
      <c r="P1671" t="s">
        <v>273</v>
      </c>
      <c r="Q1671" s="3">
        <v>7080</v>
      </c>
      <c r="R1671" t="s">
        <v>128</v>
      </c>
      <c r="T1671" s="4">
        <v>17328327978</v>
      </c>
      <c r="V1671" t="s">
        <v>844</v>
      </c>
      <c r="W1671" t="s">
        <v>10316</v>
      </c>
      <c r="Y1671" t="s">
        <v>5199</v>
      </c>
      <c r="Z1671" t="s">
        <v>18189</v>
      </c>
      <c r="AA1671" t="s">
        <v>2426</v>
      </c>
      <c r="AB1671" t="s">
        <v>276</v>
      </c>
      <c r="AC1671" s="3" t="str">
        <f>"08619"</f>
        <v>08619</v>
      </c>
      <c r="AD1671" t="s">
        <v>128</v>
      </c>
      <c r="AF1671" s="4">
        <v>16098485700</v>
      </c>
      <c r="AH1671" t="str">
        <f>"541511"</f>
        <v>541511</v>
      </c>
      <c r="AI1671" t="s">
        <v>130</v>
      </c>
      <c r="AJ1671" t="s">
        <v>838</v>
      </c>
      <c r="AK1671" t="s">
        <v>839</v>
      </c>
      <c r="AL1671" t="s">
        <v>840</v>
      </c>
      <c r="AM1671" t="s">
        <v>841</v>
      </c>
      <c r="AN1671" t="s">
        <v>842</v>
      </c>
      <c r="AO1671" t="s">
        <v>843</v>
      </c>
      <c r="AP1671" t="s">
        <v>276</v>
      </c>
      <c r="AQ1671" s="5">
        <v>7080</v>
      </c>
      <c r="AR1671" t="s">
        <v>128</v>
      </c>
      <c r="AT1671" s="4">
        <v>17328327978</v>
      </c>
      <c r="AV1671" t="s">
        <v>844</v>
      </c>
      <c r="AW1671" t="s">
        <v>2570</v>
      </c>
      <c r="AX1671" t="s">
        <v>131</v>
      </c>
      <c r="AY1671" t="s">
        <v>131</v>
      </c>
      <c r="AZ1671" t="s">
        <v>131</v>
      </c>
      <c r="BA1671" t="s">
        <v>131</v>
      </c>
      <c r="BB1671" t="s">
        <v>131</v>
      </c>
      <c r="BC1671" t="s">
        <v>131</v>
      </c>
      <c r="BD1671" t="s">
        <v>131</v>
      </c>
      <c r="BE1671" t="s">
        <v>132</v>
      </c>
      <c r="BH1671" t="s">
        <v>1133</v>
      </c>
      <c r="BI1671" t="s">
        <v>131</v>
      </c>
      <c r="BL1671" t="s">
        <v>188</v>
      </c>
      <c r="BN1671" t="s">
        <v>5201</v>
      </c>
      <c r="BO1671" t="s">
        <v>131</v>
      </c>
      <c r="BP1671" t="s">
        <v>134</v>
      </c>
      <c r="BQ1671" t="s">
        <v>131</v>
      </c>
      <c r="BS1671" t="str">
        <f t="shared" si="100"/>
        <v>N/A</v>
      </c>
      <c r="BT1671" t="s">
        <v>135</v>
      </c>
      <c r="BU1671">
        <v>12</v>
      </c>
      <c r="BV1671" t="str">
        <f>"JOB OFFERED OR RELATED OCCUPATION"</f>
        <v>JOB OFFERED OR RELATED OCCUPATION</v>
      </c>
      <c r="BW1671" t="s">
        <v>131</v>
      </c>
      <c r="BX1671" t="str">
        <f>""</f>
        <v/>
      </c>
      <c r="BY1671" t="str">
        <f>""</f>
        <v/>
      </c>
      <c r="BZ1671" t="str">
        <f>""</f>
        <v/>
      </c>
      <c r="CA1671" t="str">
        <f>""</f>
        <v/>
      </c>
      <c r="CB1671" t="s">
        <v>135</v>
      </c>
      <c r="CC1671" t="s">
        <v>133</v>
      </c>
      <c r="CE1671" t="s">
        <v>5201</v>
      </c>
      <c r="CF1671" t="s">
        <v>131</v>
      </c>
      <c r="CH1671" t="str">
        <f t="shared" si="102"/>
        <v>N/A</v>
      </c>
      <c r="CI1671" t="s">
        <v>135</v>
      </c>
      <c r="CJ1671">
        <v>60</v>
      </c>
      <c r="CK1671" t="s">
        <v>135</v>
      </c>
      <c r="CL1671" t="str">
        <f>""</f>
        <v/>
      </c>
      <c r="CM1671" t="str">
        <f>""</f>
        <v/>
      </c>
      <c r="CN1671" t="str">
        <f>""</f>
        <v/>
      </c>
      <c r="CO1671" t="s">
        <v>5202</v>
      </c>
      <c r="CP1671" t="str">
        <f t="shared" si="103"/>
        <v>15-1132.00</v>
      </c>
      <c r="CQ1671" t="s">
        <v>198</v>
      </c>
      <c r="CR1671" t="s">
        <v>849</v>
      </c>
      <c r="CS1671" t="s">
        <v>131</v>
      </c>
      <c r="CU1671" t="s">
        <v>5203</v>
      </c>
      <c r="CV1671" t="s">
        <v>5204</v>
      </c>
      <c r="CW1671" t="s">
        <v>2426</v>
      </c>
      <c r="CX1671" t="s">
        <v>276</v>
      </c>
      <c r="CZ1671" s="3" t="str">
        <f>"08619"</f>
        <v>08619</v>
      </c>
      <c r="DA1671" t="s">
        <v>131</v>
      </c>
      <c r="DB1671" t="str">
        <f>""</f>
        <v/>
      </c>
      <c r="DF1671" t="str">
        <f>""</f>
        <v/>
      </c>
    </row>
    <row r="1672" spans="1:110" ht="15" customHeight="1" x14ac:dyDescent="0.35">
      <c r="A1672" t="s">
        <v>11964</v>
      </c>
      <c r="B1672" t="s">
        <v>138</v>
      </c>
      <c r="C1672" s="1">
        <v>44340</v>
      </c>
      <c r="G1672" s="1">
        <v>44350</v>
      </c>
      <c r="H1672" t="s">
        <v>125</v>
      </c>
      <c r="I1672" t="s">
        <v>838</v>
      </c>
      <c r="J1672" t="s">
        <v>839</v>
      </c>
      <c r="K1672" t="s">
        <v>1933</v>
      </c>
      <c r="L1672" t="s">
        <v>2565</v>
      </c>
      <c r="M1672" t="s">
        <v>841</v>
      </c>
      <c r="N1672" t="s">
        <v>842</v>
      </c>
      <c r="O1672" t="s">
        <v>843</v>
      </c>
      <c r="P1672" t="s">
        <v>273</v>
      </c>
      <c r="Q1672" s="3">
        <v>7080</v>
      </c>
      <c r="R1672" t="s">
        <v>128</v>
      </c>
      <c r="T1672" s="4">
        <v>17328327978</v>
      </c>
      <c r="V1672" t="s">
        <v>844</v>
      </c>
      <c r="W1672" t="s">
        <v>11965</v>
      </c>
      <c r="Y1672" t="s">
        <v>11966</v>
      </c>
      <c r="Z1672" t="s">
        <v>11967</v>
      </c>
      <c r="AA1672" t="s">
        <v>3818</v>
      </c>
      <c r="AB1672" t="s">
        <v>400</v>
      </c>
      <c r="AC1672" s="3" t="str">
        <f>"75038"</f>
        <v>75038</v>
      </c>
      <c r="AD1672" t="s">
        <v>128</v>
      </c>
      <c r="AF1672" s="4">
        <v>19727560714</v>
      </c>
      <c r="AH1672" t="str">
        <f>"541511"</f>
        <v>541511</v>
      </c>
      <c r="AI1672" t="s">
        <v>130</v>
      </c>
      <c r="AJ1672" t="s">
        <v>838</v>
      </c>
      <c r="AK1672" t="s">
        <v>839</v>
      </c>
      <c r="AL1672" t="s">
        <v>1933</v>
      </c>
      <c r="AM1672" t="s">
        <v>841</v>
      </c>
      <c r="AN1672" t="s">
        <v>842</v>
      </c>
      <c r="AO1672" t="s">
        <v>843</v>
      </c>
      <c r="AP1672" t="s">
        <v>276</v>
      </c>
      <c r="AQ1672" s="5">
        <v>7080</v>
      </c>
      <c r="AR1672" t="s">
        <v>128</v>
      </c>
      <c r="AT1672" s="4">
        <v>17328327978</v>
      </c>
      <c r="AV1672" t="s">
        <v>844</v>
      </c>
      <c r="AW1672" t="s">
        <v>3328</v>
      </c>
      <c r="AX1672" t="s">
        <v>131</v>
      </c>
      <c r="AY1672" t="s">
        <v>131</v>
      </c>
      <c r="AZ1672" t="s">
        <v>131</v>
      </c>
      <c r="BA1672" t="s">
        <v>131</v>
      </c>
      <c r="BB1672" t="s">
        <v>131</v>
      </c>
      <c r="BC1672" t="s">
        <v>131</v>
      </c>
      <c r="BD1672" t="s">
        <v>131</v>
      </c>
      <c r="BE1672" t="s">
        <v>132</v>
      </c>
      <c r="BH1672" t="s">
        <v>500</v>
      </c>
      <c r="BI1672" t="s">
        <v>131</v>
      </c>
      <c r="BL1672" t="s">
        <v>188</v>
      </c>
      <c r="BN1672" t="s">
        <v>10455</v>
      </c>
      <c r="BO1672" t="s">
        <v>131</v>
      </c>
      <c r="BP1672" t="s">
        <v>134</v>
      </c>
      <c r="BQ1672" t="s">
        <v>131</v>
      </c>
      <c r="BS1672" t="str">
        <f t="shared" si="100"/>
        <v>N/A</v>
      </c>
      <c r="BT1672" t="s">
        <v>135</v>
      </c>
      <c r="BU1672">
        <v>12</v>
      </c>
      <c r="BV1672" t="str">
        <f>"job offered or related occupation"</f>
        <v>job offered or related occupation</v>
      </c>
      <c r="BW1672" t="s">
        <v>135</v>
      </c>
      <c r="BX1672" t="str">
        <f>""</f>
        <v/>
      </c>
      <c r="BY1672" t="str">
        <f>""</f>
        <v/>
      </c>
      <c r="BZ1672" t="str">
        <f>""</f>
        <v/>
      </c>
      <c r="CA1672" t="s">
        <v>11968</v>
      </c>
      <c r="CB1672" t="s">
        <v>135</v>
      </c>
      <c r="CC1672" t="s">
        <v>133</v>
      </c>
      <c r="CE1672" t="s">
        <v>11969</v>
      </c>
      <c r="CF1672" t="s">
        <v>131</v>
      </c>
      <c r="CH1672" t="str">
        <f t="shared" si="102"/>
        <v>N/A</v>
      </c>
      <c r="CI1672" t="s">
        <v>135</v>
      </c>
      <c r="CJ1672">
        <v>60</v>
      </c>
      <c r="CK1672" t="s">
        <v>131</v>
      </c>
      <c r="CL1672" t="str">
        <f>""</f>
        <v/>
      </c>
      <c r="CM1672" t="str">
        <f>""</f>
        <v/>
      </c>
      <c r="CN1672" t="str">
        <f>""</f>
        <v/>
      </c>
      <c r="CO1672" t="str">
        <f>""</f>
        <v/>
      </c>
      <c r="CP1672" t="str">
        <f>"15-1199.02"</f>
        <v>15-1199.02</v>
      </c>
      <c r="CQ1672" t="s">
        <v>2269</v>
      </c>
      <c r="CR1672" t="s">
        <v>849</v>
      </c>
      <c r="CS1672" t="s">
        <v>131</v>
      </c>
      <c r="CU1672" t="s">
        <v>11966</v>
      </c>
      <c r="CV1672" t="s">
        <v>11970</v>
      </c>
      <c r="CW1672" t="s">
        <v>3818</v>
      </c>
      <c r="CX1672" t="s">
        <v>400</v>
      </c>
      <c r="CZ1672" s="3" t="str">
        <f>"75038"</f>
        <v>75038</v>
      </c>
      <c r="DA1672" t="s">
        <v>131</v>
      </c>
      <c r="DB1672" t="str">
        <f>""</f>
        <v/>
      </c>
      <c r="DF1672" t="str">
        <f>""</f>
        <v/>
      </c>
    </row>
    <row r="1673" spans="1:110" ht="15" customHeight="1" x14ac:dyDescent="0.35">
      <c r="A1673" t="s">
        <v>18854</v>
      </c>
      <c r="B1673" t="s">
        <v>138</v>
      </c>
      <c r="C1673" s="1">
        <v>44340</v>
      </c>
      <c r="G1673" s="1">
        <v>44342</v>
      </c>
      <c r="H1673" t="s">
        <v>125</v>
      </c>
      <c r="I1673" t="s">
        <v>6897</v>
      </c>
      <c r="J1673" t="s">
        <v>4810</v>
      </c>
      <c r="K1673" t="s">
        <v>734</v>
      </c>
      <c r="L1673" t="s">
        <v>286</v>
      </c>
      <c r="M1673" t="s">
        <v>6898</v>
      </c>
      <c r="N1673" t="s">
        <v>6899</v>
      </c>
      <c r="O1673" t="s">
        <v>1447</v>
      </c>
      <c r="P1673" t="s">
        <v>412</v>
      </c>
      <c r="Q1673" s="3">
        <v>75093</v>
      </c>
      <c r="R1673" t="s">
        <v>128</v>
      </c>
      <c r="T1673" s="4">
        <v>19723797181</v>
      </c>
      <c r="V1673" t="s">
        <v>6900</v>
      </c>
      <c r="W1673" t="s">
        <v>6901</v>
      </c>
      <c r="Y1673" t="s">
        <v>6898</v>
      </c>
      <c r="Z1673" t="s">
        <v>6899</v>
      </c>
      <c r="AA1673" t="s">
        <v>1447</v>
      </c>
      <c r="AB1673" t="s">
        <v>400</v>
      </c>
      <c r="AC1673" s="3" t="str">
        <f>"75093"</f>
        <v>75093</v>
      </c>
      <c r="AD1673" t="s">
        <v>128</v>
      </c>
      <c r="AF1673" s="4">
        <v>19723797181</v>
      </c>
      <c r="AH1673" t="str">
        <f>"541511"</f>
        <v>541511</v>
      </c>
      <c r="AI1673" t="s">
        <v>167</v>
      </c>
      <c r="AX1673" t="s">
        <v>131</v>
      </c>
      <c r="AY1673" t="s">
        <v>131</v>
      </c>
      <c r="AZ1673" t="s">
        <v>131</v>
      </c>
      <c r="BA1673" t="s">
        <v>131</v>
      </c>
      <c r="BB1673" t="s">
        <v>131</v>
      </c>
      <c r="BC1673" t="s">
        <v>131</v>
      </c>
      <c r="BD1673" t="s">
        <v>131</v>
      </c>
      <c r="BE1673" t="s">
        <v>132</v>
      </c>
      <c r="BH1673" t="s">
        <v>542</v>
      </c>
      <c r="BI1673" t="s">
        <v>131</v>
      </c>
      <c r="BL1673" t="s">
        <v>133</v>
      </c>
      <c r="BN1673" t="s">
        <v>18855</v>
      </c>
      <c r="BO1673" t="s">
        <v>131</v>
      </c>
      <c r="BP1673" t="s">
        <v>134</v>
      </c>
      <c r="BQ1673" t="s">
        <v>131</v>
      </c>
      <c r="BS1673" t="str">
        <f t="shared" ref="BS1673:BS1736" si="104">"N/A"</f>
        <v>N/A</v>
      </c>
      <c r="BT1673" t="s">
        <v>135</v>
      </c>
      <c r="BU1673">
        <v>84</v>
      </c>
      <c r="BV1673" t="str">
        <f>"Software Engineer or related"</f>
        <v>Software Engineer or related</v>
      </c>
      <c r="BW1673" t="s">
        <v>135</v>
      </c>
      <c r="BX1673" t="str">
        <f>""</f>
        <v/>
      </c>
      <c r="BY1673" t="str">
        <f>""</f>
        <v/>
      </c>
      <c r="BZ1673" t="str">
        <f>""</f>
        <v/>
      </c>
      <c r="CA1673" t="s">
        <v>18856</v>
      </c>
      <c r="CB1673" t="s">
        <v>131</v>
      </c>
      <c r="CF1673" t="s">
        <v>131</v>
      </c>
      <c r="CH1673" t="str">
        <f>""</f>
        <v/>
      </c>
      <c r="CI1673" t="s">
        <v>131</v>
      </c>
      <c r="CK1673" t="s">
        <v>131</v>
      </c>
      <c r="CL1673" t="str">
        <f>""</f>
        <v/>
      </c>
      <c r="CM1673" t="str">
        <f>""</f>
        <v/>
      </c>
      <c r="CN1673" t="str">
        <f>""</f>
        <v/>
      </c>
      <c r="CO1673" t="str">
        <f>""</f>
        <v/>
      </c>
      <c r="CP1673" t="str">
        <f>"15-1132.00"</f>
        <v>15-1132.00</v>
      </c>
      <c r="CQ1673" t="s">
        <v>198</v>
      </c>
      <c r="CR1673" t="s">
        <v>286</v>
      </c>
      <c r="CS1673" t="s">
        <v>131</v>
      </c>
      <c r="CU1673" t="s">
        <v>6898</v>
      </c>
      <c r="CV1673" t="s">
        <v>6899</v>
      </c>
      <c r="CW1673" t="s">
        <v>1447</v>
      </c>
      <c r="CX1673" t="s">
        <v>400</v>
      </c>
      <c r="CZ1673" s="3" t="str">
        <f>"75093"</f>
        <v>75093</v>
      </c>
      <c r="DA1673" t="s">
        <v>135</v>
      </c>
      <c r="DB1673" t="str">
        <f>""</f>
        <v/>
      </c>
      <c r="DF1673" t="str">
        <f>""</f>
        <v/>
      </c>
    </row>
    <row r="1674" spans="1:110" ht="15" customHeight="1" x14ac:dyDescent="0.35">
      <c r="A1674" t="s">
        <v>16823</v>
      </c>
      <c r="B1674" t="s">
        <v>138</v>
      </c>
      <c r="C1674" s="1">
        <v>44340</v>
      </c>
      <c r="G1674" s="1">
        <v>44351</v>
      </c>
      <c r="H1674" t="s">
        <v>125</v>
      </c>
      <c r="I1674" t="s">
        <v>838</v>
      </c>
      <c r="J1674" t="s">
        <v>839</v>
      </c>
      <c r="K1674" t="s">
        <v>840</v>
      </c>
      <c r="L1674" t="s">
        <v>2565</v>
      </c>
      <c r="M1674" t="s">
        <v>841</v>
      </c>
      <c r="N1674" t="s">
        <v>842</v>
      </c>
      <c r="O1674" t="s">
        <v>843</v>
      </c>
      <c r="P1674" t="s">
        <v>273</v>
      </c>
      <c r="Q1674" s="3">
        <v>7080</v>
      </c>
      <c r="R1674" t="s">
        <v>128</v>
      </c>
      <c r="T1674" s="4">
        <v>17328327978</v>
      </c>
      <c r="V1674" t="s">
        <v>844</v>
      </c>
      <c r="W1674" t="s">
        <v>6945</v>
      </c>
      <c r="Y1674" t="s">
        <v>6946</v>
      </c>
      <c r="Z1674" t="s">
        <v>3384</v>
      </c>
      <c r="AA1674" t="s">
        <v>2596</v>
      </c>
      <c r="AB1674" t="s">
        <v>276</v>
      </c>
      <c r="AC1674" s="3" t="str">
        <f>"08854"</f>
        <v>08854</v>
      </c>
      <c r="AD1674" t="s">
        <v>128</v>
      </c>
      <c r="AF1674" s="4">
        <v>17327902934</v>
      </c>
      <c r="AH1674" t="str">
        <f>"541511"</f>
        <v>541511</v>
      </c>
      <c r="AI1674" t="s">
        <v>130</v>
      </c>
      <c r="AJ1674" t="s">
        <v>838</v>
      </c>
      <c r="AK1674" t="s">
        <v>839</v>
      </c>
      <c r="AL1674" t="s">
        <v>840</v>
      </c>
      <c r="AM1674" t="s">
        <v>841</v>
      </c>
      <c r="AN1674" t="s">
        <v>842</v>
      </c>
      <c r="AO1674" t="s">
        <v>843</v>
      </c>
      <c r="AP1674" t="s">
        <v>276</v>
      </c>
      <c r="AQ1674" s="5">
        <v>7080</v>
      </c>
      <c r="AR1674" t="s">
        <v>128</v>
      </c>
      <c r="AT1674" s="4">
        <v>17328327978</v>
      </c>
      <c r="AV1674" t="s">
        <v>844</v>
      </c>
      <c r="AW1674" t="s">
        <v>2779</v>
      </c>
      <c r="AX1674" t="s">
        <v>131</v>
      </c>
      <c r="AY1674" t="s">
        <v>131</v>
      </c>
      <c r="AZ1674" t="s">
        <v>131</v>
      </c>
      <c r="BA1674" t="s">
        <v>131</v>
      </c>
      <c r="BB1674" t="s">
        <v>131</v>
      </c>
      <c r="BC1674" t="s">
        <v>131</v>
      </c>
      <c r="BD1674" t="s">
        <v>131</v>
      </c>
      <c r="BE1674" t="s">
        <v>132</v>
      </c>
      <c r="BH1674" t="s">
        <v>6947</v>
      </c>
      <c r="BI1674" t="s">
        <v>131</v>
      </c>
      <c r="BL1674" t="s">
        <v>188</v>
      </c>
      <c r="BN1674" t="s">
        <v>847</v>
      </c>
      <c r="BO1674" t="s">
        <v>131</v>
      </c>
      <c r="BP1674" t="s">
        <v>134</v>
      </c>
      <c r="BQ1674" t="s">
        <v>131</v>
      </c>
      <c r="BS1674" t="str">
        <f t="shared" si="104"/>
        <v>N/A</v>
      </c>
      <c r="BT1674" t="s">
        <v>135</v>
      </c>
      <c r="BU1674">
        <v>6</v>
      </c>
      <c r="BV1674" t="str">
        <f>"JOB OFFERED OR RELATED OCCUPATION."</f>
        <v>JOB OFFERED OR RELATED OCCUPATION.</v>
      </c>
      <c r="BW1674" t="s">
        <v>131</v>
      </c>
      <c r="BX1674" t="str">
        <f>""</f>
        <v/>
      </c>
      <c r="BY1674" t="str">
        <f>""</f>
        <v/>
      </c>
      <c r="BZ1674" t="str">
        <f>""</f>
        <v/>
      </c>
      <c r="CA1674" t="str">
        <f>""</f>
        <v/>
      </c>
      <c r="CB1674" t="s">
        <v>135</v>
      </c>
      <c r="CC1674" t="s">
        <v>133</v>
      </c>
      <c r="CE1674" t="s">
        <v>847</v>
      </c>
      <c r="CF1674" t="s">
        <v>131</v>
      </c>
      <c r="CH1674" t="str">
        <f>"N/A"</f>
        <v>N/A</v>
      </c>
      <c r="CI1674" t="s">
        <v>135</v>
      </c>
      <c r="CJ1674">
        <v>60</v>
      </c>
      <c r="CK1674" t="s">
        <v>135</v>
      </c>
      <c r="CL1674" t="str">
        <f>""</f>
        <v/>
      </c>
      <c r="CM1674" t="str">
        <f>""</f>
        <v/>
      </c>
      <c r="CN1674" t="str">
        <f>""</f>
        <v/>
      </c>
      <c r="CO1674" t="s">
        <v>16098</v>
      </c>
      <c r="CP1674" t="str">
        <f>"15-1199.01"</f>
        <v>15-1199.01</v>
      </c>
      <c r="CQ1674" t="s">
        <v>308</v>
      </c>
      <c r="CR1674" t="s">
        <v>849</v>
      </c>
      <c r="CS1674" t="s">
        <v>131</v>
      </c>
      <c r="CU1674" t="s">
        <v>6946</v>
      </c>
      <c r="CV1674" t="s">
        <v>6949</v>
      </c>
      <c r="CW1674" t="s">
        <v>2596</v>
      </c>
      <c r="CX1674" t="s">
        <v>276</v>
      </c>
      <c r="CZ1674" s="3" t="str">
        <f>"08854"</f>
        <v>08854</v>
      </c>
      <c r="DA1674" t="s">
        <v>131</v>
      </c>
      <c r="DB1674" t="str">
        <f>""</f>
        <v/>
      </c>
      <c r="DF1674" t="str">
        <f>""</f>
        <v/>
      </c>
    </row>
    <row r="1675" spans="1:110" ht="15" customHeight="1" x14ac:dyDescent="0.35">
      <c r="A1675" t="s">
        <v>18815</v>
      </c>
      <c r="B1675" t="s">
        <v>138</v>
      </c>
      <c r="C1675" s="1">
        <v>44340</v>
      </c>
      <c r="G1675" s="1">
        <v>44342</v>
      </c>
      <c r="H1675" t="s">
        <v>125</v>
      </c>
      <c r="I1675" t="s">
        <v>3198</v>
      </c>
      <c r="J1675" t="s">
        <v>3199</v>
      </c>
      <c r="L1675" t="s">
        <v>3200</v>
      </c>
      <c r="M1675" t="s">
        <v>3201</v>
      </c>
      <c r="O1675" t="s">
        <v>735</v>
      </c>
      <c r="Q1675" s="3">
        <v>30005</v>
      </c>
      <c r="R1675" t="s">
        <v>643</v>
      </c>
      <c r="T1675" s="4">
        <v>12489965664</v>
      </c>
      <c r="V1675" t="s">
        <v>3204</v>
      </c>
      <c r="W1675" t="s">
        <v>3202</v>
      </c>
      <c r="Y1675" t="s">
        <v>3201</v>
      </c>
      <c r="AA1675" t="s">
        <v>735</v>
      </c>
      <c r="AB1675" t="s">
        <v>643</v>
      </c>
      <c r="AC1675" s="3" t="str">
        <f>"30005"</f>
        <v>30005</v>
      </c>
      <c r="AD1675" t="s">
        <v>128</v>
      </c>
      <c r="AF1675" s="4">
        <v>12439965664</v>
      </c>
      <c r="AH1675" t="str">
        <f>"5419"</f>
        <v>5419</v>
      </c>
      <c r="AI1675" t="s">
        <v>130</v>
      </c>
      <c r="AJ1675" t="s">
        <v>3203</v>
      </c>
      <c r="AK1675" t="s">
        <v>1921</v>
      </c>
      <c r="AM1675" t="s">
        <v>2792</v>
      </c>
      <c r="AO1675" t="s">
        <v>975</v>
      </c>
      <c r="AP1675" t="s">
        <v>594</v>
      </c>
      <c r="AQ1675" s="5">
        <v>27622</v>
      </c>
      <c r="AR1675" t="s">
        <v>128</v>
      </c>
      <c r="AT1675" s="4">
        <v>12028870855</v>
      </c>
      <c r="AV1675" t="s">
        <v>3204</v>
      </c>
      <c r="AW1675" t="s">
        <v>976</v>
      </c>
      <c r="AX1675" t="s">
        <v>131</v>
      </c>
      <c r="AY1675" t="s">
        <v>131</v>
      </c>
      <c r="AZ1675" t="s">
        <v>131</v>
      </c>
      <c r="BA1675" t="s">
        <v>131</v>
      </c>
      <c r="BB1675" t="s">
        <v>131</v>
      </c>
      <c r="BC1675" t="s">
        <v>131</v>
      </c>
      <c r="BD1675" t="s">
        <v>131</v>
      </c>
      <c r="BE1675" t="s">
        <v>132</v>
      </c>
      <c r="BH1675" t="s">
        <v>3348</v>
      </c>
      <c r="BI1675" t="s">
        <v>131</v>
      </c>
      <c r="BL1675" t="s">
        <v>133</v>
      </c>
      <c r="BN1675" t="s">
        <v>18816</v>
      </c>
      <c r="BO1675" t="s">
        <v>131</v>
      </c>
      <c r="BP1675" t="s">
        <v>134</v>
      </c>
      <c r="BQ1675" t="s">
        <v>131</v>
      </c>
      <c r="BS1675" t="str">
        <f t="shared" si="104"/>
        <v>N/A</v>
      </c>
      <c r="BT1675" t="s">
        <v>135</v>
      </c>
      <c r="BU1675">
        <v>24</v>
      </c>
      <c r="BV1675" t="str">
        <f>"Experience in software engineering. "</f>
        <v xml:space="preserve">Experience in software engineering. </v>
      </c>
      <c r="BW1675" t="s">
        <v>135</v>
      </c>
      <c r="BX1675" t="str">
        <f>""</f>
        <v/>
      </c>
      <c r="BY1675" t="str">
        <f>""</f>
        <v/>
      </c>
      <c r="BZ1675" t="str">
        <f>""</f>
        <v/>
      </c>
      <c r="CA1675" s="2" t="s">
        <v>18817</v>
      </c>
      <c r="CB1675" t="s">
        <v>131</v>
      </c>
      <c r="CF1675" t="s">
        <v>131</v>
      </c>
      <c r="CH1675" t="str">
        <f>""</f>
        <v/>
      </c>
      <c r="CI1675" t="s">
        <v>131</v>
      </c>
      <c r="CK1675" t="s">
        <v>131</v>
      </c>
      <c r="CL1675" t="str">
        <f>""</f>
        <v/>
      </c>
      <c r="CM1675" t="str">
        <f>""</f>
        <v/>
      </c>
      <c r="CN1675" t="str">
        <f>""</f>
        <v/>
      </c>
      <c r="CO1675" t="str">
        <f>""</f>
        <v/>
      </c>
      <c r="CP1675" t="str">
        <f>"15-1132.00"</f>
        <v>15-1132.00</v>
      </c>
      <c r="CQ1675" t="s">
        <v>198</v>
      </c>
      <c r="CR1675" t="s">
        <v>16476</v>
      </c>
      <c r="CS1675" t="s">
        <v>131</v>
      </c>
      <c r="CU1675" t="s">
        <v>3599</v>
      </c>
      <c r="CV1675" t="s">
        <v>240</v>
      </c>
      <c r="CW1675" t="s">
        <v>2150</v>
      </c>
      <c r="CX1675" t="s">
        <v>779</v>
      </c>
      <c r="CZ1675" s="3" t="str">
        <f>"37219"</f>
        <v>37219</v>
      </c>
      <c r="DA1675" t="s">
        <v>131</v>
      </c>
      <c r="DB1675" t="str">
        <f>""</f>
        <v/>
      </c>
      <c r="DF1675" t="str">
        <f>""</f>
        <v/>
      </c>
    </row>
    <row r="1676" spans="1:110" ht="15" customHeight="1" x14ac:dyDescent="0.35">
      <c r="A1676" t="s">
        <v>19607</v>
      </c>
      <c r="B1676" t="s">
        <v>138</v>
      </c>
      <c r="C1676" s="1">
        <v>44340</v>
      </c>
      <c r="G1676" s="1">
        <v>44350</v>
      </c>
      <c r="H1676" t="s">
        <v>125</v>
      </c>
      <c r="I1676" t="s">
        <v>838</v>
      </c>
      <c r="J1676" t="s">
        <v>839</v>
      </c>
      <c r="K1676" t="s">
        <v>840</v>
      </c>
      <c r="L1676" t="s">
        <v>2565</v>
      </c>
      <c r="M1676" t="s">
        <v>841</v>
      </c>
      <c r="N1676" t="s">
        <v>842</v>
      </c>
      <c r="O1676" t="s">
        <v>843</v>
      </c>
      <c r="P1676" t="s">
        <v>273</v>
      </c>
      <c r="Q1676" s="3">
        <v>7080</v>
      </c>
      <c r="R1676" t="s">
        <v>128</v>
      </c>
      <c r="T1676" s="4">
        <v>17328327978</v>
      </c>
      <c r="V1676" t="s">
        <v>844</v>
      </c>
      <c r="W1676" t="s">
        <v>2503</v>
      </c>
      <c r="Y1676" t="s">
        <v>4861</v>
      </c>
      <c r="Z1676" t="s">
        <v>2502</v>
      </c>
      <c r="AA1676" t="s">
        <v>4862</v>
      </c>
      <c r="AB1676" t="s">
        <v>276</v>
      </c>
      <c r="AC1676" s="3" t="str">
        <f>"08540"</f>
        <v>08540</v>
      </c>
      <c r="AD1676" t="s">
        <v>128</v>
      </c>
      <c r="AF1676" s="4">
        <v>19727527312</v>
      </c>
      <c r="AH1676" t="str">
        <f>"5416"</f>
        <v>5416</v>
      </c>
      <c r="AI1676" t="s">
        <v>130</v>
      </c>
      <c r="AJ1676" t="s">
        <v>838</v>
      </c>
      <c r="AK1676" t="s">
        <v>839</v>
      </c>
      <c r="AL1676" t="s">
        <v>840</v>
      </c>
      <c r="AM1676" t="s">
        <v>841</v>
      </c>
      <c r="AN1676" t="s">
        <v>842</v>
      </c>
      <c r="AO1676" t="s">
        <v>843</v>
      </c>
      <c r="AP1676" t="s">
        <v>276</v>
      </c>
      <c r="AQ1676" s="5">
        <v>7080</v>
      </c>
      <c r="AR1676" t="s">
        <v>128</v>
      </c>
      <c r="AT1676" s="4">
        <v>17328327978</v>
      </c>
      <c r="AV1676" t="s">
        <v>844</v>
      </c>
      <c r="AW1676" t="s">
        <v>3328</v>
      </c>
      <c r="AX1676" t="s">
        <v>131</v>
      </c>
      <c r="AY1676" t="s">
        <v>131</v>
      </c>
      <c r="AZ1676" t="s">
        <v>131</v>
      </c>
      <c r="BA1676" t="s">
        <v>131</v>
      </c>
      <c r="BB1676" t="s">
        <v>131</v>
      </c>
      <c r="BC1676" t="s">
        <v>131</v>
      </c>
      <c r="BD1676" t="s">
        <v>131</v>
      </c>
      <c r="BE1676" t="s">
        <v>132</v>
      </c>
      <c r="BH1676" t="s">
        <v>846</v>
      </c>
      <c r="BI1676" t="s">
        <v>131</v>
      </c>
      <c r="BL1676" t="s">
        <v>188</v>
      </c>
      <c r="BN1676" t="s">
        <v>5390</v>
      </c>
      <c r="BO1676" t="s">
        <v>131</v>
      </c>
      <c r="BP1676" t="s">
        <v>134</v>
      </c>
      <c r="BQ1676" t="s">
        <v>131</v>
      </c>
      <c r="BS1676" t="str">
        <f t="shared" si="104"/>
        <v>N/A</v>
      </c>
      <c r="BT1676" t="s">
        <v>135</v>
      </c>
      <c r="BU1676">
        <v>12</v>
      </c>
      <c r="BV1676" t="str">
        <f>"JOB OFFERED OR RELATED OCCUPATION"</f>
        <v>JOB OFFERED OR RELATED OCCUPATION</v>
      </c>
      <c r="BW1676" t="s">
        <v>135</v>
      </c>
      <c r="BX1676" t="str">
        <f>""</f>
        <v/>
      </c>
      <c r="BY1676" t="str">
        <f>""</f>
        <v/>
      </c>
      <c r="BZ1676" t="str">
        <f>""</f>
        <v/>
      </c>
      <c r="CA1676" t="str">
        <f>"Skills required: Java, J2EE, CSS3, HTML, MySQl, SQL, Tableau, REST/SOAP, VPC, EC2, LAMBDA, AWS, Google Cloud Platform"</f>
        <v>Skills required: Java, J2EE, CSS3, HTML, MySQl, SQL, Tableau, REST/SOAP, VPC, EC2, LAMBDA, AWS, Google Cloud Platform</v>
      </c>
      <c r="CB1676" t="s">
        <v>135</v>
      </c>
      <c r="CC1676" t="s">
        <v>133</v>
      </c>
      <c r="CE1676" t="s">
        <v>5390</v>
      </c>
      <c r="CF1676" t="s">
        <v>131</v>
      </c>
      <c r="CH1676" t="str">
        <f>"N/A"</f>
        <v>N/A</v>
      </c>
      <c r="CI1676" t="s">
        <v>135</v>
      </c>
      <c r="CJ1676">
        <v>60</v>
      </c>
      <c r="CK1676" t="s">
        <v>135</v>
      </c>
      <c r="CL1676" t="str">
        <f>""</f>
        <v/>
      </c>
      <c r="CM1676" t="str">
        <f>""</f>
        <v/>
      </c>
      <c r="CN1676" t="str">
        <f>""</f>
        <v/>
      </c>
      <c r="CO1676" t="str">
        <f>"SAME AS F.b.5.a"</f>
        <v>SAME AS F.b.5.a</v>
      </c>
      <c r="CP1676" t="str">
        <f>"15-1132.00"</f>
        <v>15-1132.00</v>
      </c>
      <c r="CQ1676" t="s">
        <v>198</v>
      </c>
      <c r="CR1676" t="s">
        <v>849</v>
      </c>
      <c r="CS1676" t="s">
        <v>131</v>
      </c>
      <c r="CU1676" t="s">
        <v>4861</v>
      </c>
      <c r="CV1676" t="s">
        <v>4866</v>
      </c>
      <c r="CW1676" t="s">
        <v>4862</v>
      </c>
      <c r="CX1676" t="s">
        <v>276</v>
      </c>
      <c r="CZ1676" s="3" t="str">
        <f>"08540"</f>
        <v>08540</v>
      </c>
      <c r="DA1676" t="s">
        <v>131</v>
      </c>
      <c r="DB1676" t="str">
        <f>""</f>
        <v/>
      </c>
      <c r="DF1676" t="str">
        <f>""</f>
        <v/>
      </c>
    </row>
    <row r="1677" spans="1:110" ht="15" customHeight="1" x14ac:dyDescent="0.35">
      <c r="A1677" t="s">
        <v>8483</v>
      </c>
      <c r="B1677" t="s">
        <v>138</v>
      </c>
      <c r="C1677" s="1">
        <v>44340</v>
      </c>
      <c r="G1677" s="1">
        <v>44350</v>
      </c>
      <c r="H1677" t="s">
        <v>125</v>
      </c>
      <c r="I1677" t="s">
        <v>838</v>
      </c>
      <c r="J1677" t="s">
        <v>839</v>
      </c>
      <c r="K1677" t="s">
        <v>840</v>
      </c>
      <c r="L1677" t="s">
        <v>2565</v>
      </c>
      <c r="M1677" t="s">
        <v>841</v>
      </c>
      <c r="N1677" t="s">
        <v>842</v>
      </c>
      <c r="O1677" t="s">
        <v>843</v>
      </c>
      <c r="P1677" t="s">
        <v>273</v>
      </c>
      <c r="Q1677" s="3">
        <v>7080</v>
      </c>
      <c r="R1677" t="s">
        <v>128</v>
      </c>
      <c r="T1677" s="4">
        <v>17328327978</v>
      </c>
      <c r="V1677" t="s">
        <v>844</v>
      </c>
      <c r="W1677" t="s">
        <v>5198</v>
      </c>
      <c r="Y1677" t="s">
        <v>5199</v>
      </c>
      <c r="Z1677" t="s">
        <v>5200</v>
      </c>
      <c r="AA1677" t="s">
        <v>3387</v>
      </c>
      <c r="AB1677" t="s">
        <v>276</v>
      </c>
      <c r="AC1677" s="3" t="str">
        <f>"08619"</f>
        <v>08619</v>
      </c>
      <c r="AD1677" t="s">
        <v>128</v>
      </c>
      <c r="AF1677" s="4">
        <v>16098485700</v>
      </c>
      <c r="AH1677" t="str">
        <f>"541511"</f>
        <v>541511</v>
      </c>
      <c r="AI1677" t="s">
        <v>130</v>
      </c>
      <c r="AJ1677" t="s">
        <v>838</v>
      </c>
      <c r="AK1677" t="s">
        <v>839</v>
      </c>
      <c r="AL1677" t="s">
        <v>840</v>
      </c>
      <c r="AM1677" t="s">
        <v>841</v>
      </c>
      <c r="AN1677" t="s">
        <v>842</v>
      </c>
      <c r="AO1677" t="s">
        <v>843</v>
      </c>
      <c r="AP1677" t="s">
        <v>276</v>
      </c>
      <c r="AQ1677" s="5">
        <v>7080</v>
      </c>
      <c r="AR1677" t="s">
        <v>128</v>
      </c>
      <c r="AT1677" s="4">
        <v>17328327978</v>
      </c>
      <c r="AV1677" t="s">
        <v>844</v>
      </c>
      <c r="AW1677" t="s">
        <v>2570</v>
      </c>
      <c r="AX1677" t="s">
        <v>131</v>
      </c>
      <c r="AY1677" t="s">
        <v>131</v>
      </c>
      <c r="AZ1677" t="s">
        <v>131</v>
      </c>
      <c r="BA1677" t="s">
        <v>131</v>
      </c>
      <c r="BB1677" t="s">
        <v>131</v>
      </c>
      <c r="BC1677" t="s">
        <v>131</v>
      </c>
      <c r="BD1677" t="s">
        <v>131</v>
      </c>
      <c r="BE1677" t="s">
        <v>132</v>
      </c>
      <c r="BH1677" t="s">
        <v>846</v>
      </c>
      <c r="BI1677" t="s">
        <v>131</v>
      </c>
      <c r="BL1677" t="s">
        <v>188</v>
      </c>
      <c r="BN1677" t="s">
        <v>5201</v>
      </c>
      <c r="BO1677" t="s">
        <v>131</v>
      </c>
      <c r="BP1677" t="s">
        <v>134</v>
      </c>
      <c r="BQ1677" t="s">
        <v>131</v>
      </c>
      <c r="BS1677" t="str">
        <f t="shared" si="104"/>
        <v>N/A</v>
      </c>
      <c r="BT1677" t="s">
        <v>135</v>
      </c>
      <c r="BU1677">
        <v>12</v>
      </c>
      <c r="BV1677" t="str">
        <f>"JOB OFFERED OR RELATED OCCUPATION"</f>
        <v>JOB OFFERED OR RELATED OCCUPATION</v>
      </c>
      <c r="BW1677" t="s">
        <v>131</v>
      </c>
      <c r="BX1677" t="str">
        <f>""</f>
        <v/>
      </c>
      <c r="BY1677" t="str">
        <f>""</f>
        <v/>
      </c>
      <c r="BZ1677" t="str">
        <f>""</f>
        <v/>
      </c>
      <c r="CA1677" t="str">
        <f>""</f>
        <v/>
      </c>
      <c r="CB1677" t="s">
        <v>135</v>
      </c>
      <c r="CC1677" t="s">
        <v>133</v>
      </c>
      <c r="CE1677" t="s">
        <v>5201</v>
      </c>
      <c r="CF1677" t="s">
        <v>131</v>
      </c>
      <c r="CH1677" t="str">
        <f>"N/A"</f>
        <v>N/A</v>
      </c>
      <c r="CI1677" t="s">
        <v>135</v>
      </c>
      <c r="CJ1677">
        <v>60</v>
      </c>
      <c r="CK1677" t="s">
        <v>135</v>
      </c>
      <c r="CL1677" t="str">
        <f>""</f>
        <v/>
      </c>
      <c r="CM1677" t="str">
        <f>""</f>
        <v/>
      </c>
      <c r="CN1677" t="str">
        <f>""</f>
        <v/>
      </c>
      <c r="CO1677" t="s">
        <v>5202</v>
      </c>
      <c r="CP1677" t="str">
        <f>"15-1132.00"</f>
        <v>15-1132.00</v>
      </c>
      <c r="CQ1677" t="s">
        <v>198</v>
      </c>
      <c r="CR1677" t="s">
        <v>849</v>
      </c>
      <c r="CS1677" t="s">
        <v>131</v>
      </c>
      <c r="CU1677" t="s">
        <v>5203</v>
      </c>
      <c r="CV1677" t="s">
        <v>5204</v>
      </c>
      <c r="CW1677" t="s">
        <v>2426</v>
      </c>
      <c r="CX1677" t="s">
        <v>276</v>
      </c>
      <c r="CZ1677" s="3" t="str">
        <f>"08619"</f>
        <v>08619</v>
      </c>
      <c r="DA1677" t="s">
        <v>131</v>
      </c>
      <c r="DB1677" t="str">
        <f>""</f>
        <v/>
      </c>
      <c r="DF1677" t="str">
        <f>""</f>
        <v/>
      </c>
    </row>
    <row r="1678" spans="1:110" ht="15" customHeight="1" x14ac:dyDescent="0.35">
      <c r="A1678" t="s">
        <v>12729</v>
      </c>
      <c r="B1678" t="s">
        <v>138</v>
      </c>
      <c r="C1678" s="1">
        <v>44340</v>
      </c>
      <c r="G1678" s="1">
        <v>44350</v>
      </c>
      <c r="H1678" t="s">
        <v>125</v>
      </c>
      <c r="I1678" t="s">
        <v>838</v>
      </c>
      <c r="J1678" t="s">
        <v>839</v>
      </c>
      <c r="K1678" t="s">
        <v>840</v>
      </c>
      <c r="L1678" t="s">
        <v>2565</v>
      </c>
      <c r="M1678" t="s">
        <v>841</v>
      </c>
      <c r="N1678" t="s">
        <v>842</v>
      </c>
      <c r="O1678" t="s">
        <v>843</v>
      </c>
      <c r="P1678" t="s">
        <v>273</v>
      </c>
      <c r="Q1678" s="3">
        <v>7080</v>
      </c>
      <c r="R1678" t="s">
        <v>128</v>
      </c>
      <c r="T1678" s="4">
        <v>17328327978</v>
      </c>
      <c r="V1678" t="s">
        <v>844</v>
      </c>
      <c r="W1678" t="s">
        <v>12730</v>
      </c>
      <c r="Y1678" t="s">
        <v>12731</v>
      </c>
      <c r="Z1678" t="s">
        <v>6956</v>
      </c>
      <c r="AA1678" t="s">
        <v>5448</v>
      </c>
      <c r="AB1678" t="s">
        <v>511</v>
      </c>
      <c r="AC1678" s="3" t="str">
        <f>"48108"</f>
        <v>48108</v>
      </c>
      <c r="AD1678" t="s">
        <v>128</v>
      </c>
      <c r="AF1678" s="4">
        <v>17342592181</v>
      </c>
      <c r="AH1678" t="str">
        <f>"541519"</f>
        <v>541519</v>
      </c>
      <c r="AI1678" t="s">
        <v>130</v>
      </c>
      <c r="AJ1678" t="s">
        <v>838</v>
      </c>
      <c r="AK1678" t="s">
        <v>839</v>
      </c>
      <c r="AL1678" t="s">
        <v>840</v>
      </c>
      <c r="AM1678" t="s">
        <v>841</v>
      </c>
      <c r="AN1678" t="s">
        <v>842</v>
      </c>
      <c r="AO1678" t="s">
        <v>843</v>
      </c>
      <c r="AP1678" t="s">
        <v>276</v>
      </c>
      <c r="AQ1678" s="5">
        <v>7080</v>
      </c>
      <c r="AR1678" t="s">
        <v>128</v>
      </c>
      <c r="AT1678" s="4">
        <v>17328327978</v>
      </c>
      <c r="AV1678" t="s">
        <v>844</v>
      </c>
      <c r="AW1678" t="s">
        <v>12732</v>
      </c>
      <c r="AX1678" t="s">
        <v>131</v>
      </c>
      <c r="AY1678" t="s">
        <v>131</v>
      </c>
      <c r="AZ1678" t="s">
        <v>131</v>
      </c>
      <c r="BA1678" t="s">
        <v>131</v>
      </c>
      <c r="BB1678" t="s">
        <v>131</v>
      </c>
      <c r="BC1678" t="s">
        <v>131</v>
      </c>
      <c r="BD1678" t="s">
        <v>131</v>
      </c>
      <c r="BE1678" t="s">
        <v>132</v>
      </c>
      <c r="BH1678" t="s">
        <v>1133</v>
      </c>
      <c r="BI1678" t="s">
        <v>131</v>
      </c>
      <c r="BL1678" t="s">
        <v>188</v>
      </c>
      <c r="BN1678" t="s">
        <v>5390</v>
      </c>
      <c r="BO1678" t="s">
        <v>131</v>
      </c>
      <c r="BP1678" t="s">
        <v>134</v>
      </c>
      <c r="BQ1678" t="s">
        <v>131</v>
      </c>
      <c r="BS1678" t="str">
        <f t="shared" si="104"/>
        <v>N/A</v>
      </c>
      <c r="BT1678" t="s">
        <v>135</v>
      </c>
      <c r="BU1678">
        <v>12</v>
      </c>
      <c r="BV1678" t="str">
        <f>"JOB OFFERED OR RELATED OCCUPATION "</f>
        <v xml:space="preserve">JOB OFFERED OR RELATED OCCUPATION </v>
      </c>
      <c r="BW1678" t="s">
        <v>135</v>
      </c>
      <c r="BX1678" t="str">
        <f>""</f>
        <v/>
      </c>
      <c r="BY1678" t="str">
        <f>""</f>
        <v/>
      </c>
      <c r="BZ1678" t="str">
        <f>""</f>
        <v/>
      </c>
      <c r="CA1678" t="str">
        <f>"Skills required: Microsoft Windows, C, Visual Basic, Auto CAD, Mango DB, MS-Access, Informatica MDM, Altova XML Spy tool, QTP, SOAP UI,MTM, Opti-Trax, Tortoise SVN, SAP, ABAP."</f>
        <v>Skills required: Microsoft Windows, C, Visual Basic, Auto CAD, Mango DB, MS-Access, Informatica MDM, Altova XML Spy tool, QTP, SOAP UI,MTM, Opti-Trax, Tortoise SVN, SAP, ABAP.</v>
      </c>
      <c r="CB1678" t="s">
        <v>135</v>
      </c>
      <c r="CC1678" t="s">
        <v>133</v>
      </c>
      <c r="CE1678" t="s">
        <v>5390</v>
      </c>
      <c r="CF1678" t="s">
        <v>131</v>
      </c>
      <c r="CH1678" t="str">
        <f>"N/A"</f>
        <v>N/A</v>
      </c>
      <c r="CI1678" t="s">
        <v>135</v>
      </c>
      <c r="CJ1678">
        <v>60</v>
      </c>
      <c r="CK1678" t="s">
        <v>135</v>
      </c>
      <c r="CL1678" t="str">
        <f>""</f>
        <v/>
      </c>
      <c r="CM1678" t="str">
        <f>""</f>
        <v/>
      </c>
      <c r="CN1678" t="str">
        <f>""</f>
        <v/>
      </c>
      <c r="CO1678" t="str">
        <f>"SAME AS F.b.5.a"</f>
        <v>SAME AS F.b.5.a</v>
      </c>
      <c r="CP1678" t="str">
        <f>"15-1199.01"</f>
        <v>15-1199.01</v>
      </c>
      <c r="CQ1678" t="s">
        <v>308</v>
      </c>
      <c r="CR1678" t="s">
        <v>849</v>
      </c>
      <c r="CS1678" t="s">
        <v>131</v>
      </c>
      <c r="CU1678" t="s">
        <v>12733</v>
      </c>
      <c r="CV1678" t="s">
        <v>12734</v>
      </c>
      <c r="CW1678" t="s">
        <v>5448</v>
      </c>
      <c r="CX1678" t="s">
        <v>511</v>
      </c>
      <c r="CZ1678" s="3" t="str">
        <f>"48108"</f>
        <v>48108</v>
      </c>
      <c r="DA1678" t="s">
        <v>131</v>
      </c>
      <c r="DB1678" t="str">
        <f>""</f>
        <v/>
      </c>
      <c r="DF1678" t="str">
        <f>""</f>
        <v/>
      </c>
    </row>
    <row r="1679" spans="1:110" ht="15" customHeight="1" x14ac:dyDescent="0.35">
      <c r="A1679" t="s">
        <v>4860</v>
      </c>
      <c r="B1679" t="s">
        <v>138</v>
      </c>
      <c r="C1679" s="1">
        <v>44340</v>
      </c>
      <c r="G1679" s="1">
        <v>44350</v>
      </c>
      <c r="H1679" t="s">
        <v>125</v>
      </c>
      <c r="I1679" t="s">
        <v>838</v>
      </c>
      <c r="J1679" t="s">
        <v>839</v>
      </c>
      <c r="K1679" t="s">
        <v>840</v>
      </c>
      <c r="L1679" t="s">
        <v>2565</v>
      </c>
      <c r="M1679" t="s">
        <v>841</v>
      </c>
      <c r="N1679" t="s">
        <v>842</v>
      </c>
      <c r="O1679" t="s">
        <v>843</v>
      </c>
      <c r="P1679" t="s">
        <v>273</v>
      </c>
      <c r="Q1679" s="3">
        <v>7080</v>
      </c>
      <c r="R1679" t="s">
        <v>128</v>
      </c>
      <c r="T1679" s="4">
        <v>17328327978</v>
      </c>
      <c r="V1679" t="s">
        <v>844</v>
      </c>
      <c r="W1679" t="s">
        <v>2503</v>
      </c>
      <c r="Y1679" t="s">
        <v>4861</v>
      </c>
      <c r="Z1679" t="s">
        <v>2502</v>
      </c>
      <c r="AA1679" t="s">
        <v>4862</v>
      </c>
      <c r="AB1679" t="s">
        <v>276</v>
      </c>
      <c r="AC1679" s="3" t="str">
        <f>"08540"</f>
        <v>08540</v>
      </c>
      <c r="AD1679" t="s">
        <v>128</v>
      </c>
      <c r="AF1679" s="4">
        <v>19727527312</v>
      </c>
      <c r="AH1679" t="str">
        <f>"5416"</f>
        <v>5416</v>
      </c>
      <c r="AI1679" t="s">
        <v>130</v>
      </c>
      <c r="AJ1679" t="s">
        <v>838</v>
      </c>
      <c r="AK1679" t="s">
        <v>839</v>
      </c>
      <c r="AL1679" t="s">
        <v>840</v>
      </c>
      <c r="AM1679" t="s">
        <v>841</v>
      </c>
      <c r="AN1679" t="s">
        <v>842</v>
      </c>
      <c r="AO1679" t="s">
        <v>843</v>
      </c>
      <c r="AP1679" t="s">
        <v>276</v>
      </c>
      <c r="AQ1679" s="5">
        <v>7080</v>
      </c>
      <c r="AR1679" t="s">
        <v>128</v>
      </c>
      <c r="AT1679" s="4">
        <v>17328327978</v>
      </c>
      <c r="AV1679" t="s">
        <v>844</v>
      </c>
      <c r="AW1679" t="s">
        <v>4863</v>
      </c>
      <c r="AX1679" t="s">
        <v>131</v>
      </c>
      <c r="AY1679" t="s">
        <v>131</v>
      </c>
      <c r="AZ1679" t="s">
        <v>131</v>
      </c>
      <c r="BA1679" t="s">
        <v>131</v>
      </c>
      <c r="BB1679" t="s">
        <v>131</v>
      </c>
      <c r="BC1679" t="s">
        <v>131</v>
      </c>
      <c r="BD1679" t="s">
        <v>131</v>
      </c>
      <c r="BE1679" t="s">
        <v>132</v>
      </c>
      <c r="BH1679" t="s">
        <v>2506</v>
      </c>
      <c r="BI1679" t="s">
        <v>131</v>
      </c>
      <c r="BL1679" t="s">
        <v>188</v>
      </c>
      <c r="BN1679" t="s">
        <v>4864</v>
      </c>
      <c r="BO1679" t="s">
        <v>131</v>
      </c>
      <c r="BP1679" t="s">
        <v>134</v>
      </c>
      <c r="BQ1679" t="s">
        <v>131</v>
      </c>
      <c r="BS1679" t="str">
        <f t="shared" si="104"/>
        <v>N/A</v>
      </c>
      <c r="BT1679" t="s">
        <v>135</v>
      </c>
      <c r="BU1679">
        <v>12</v>
      </c>
      <c r="BV1679" t="str">
        <f>"JOB OFFERED OR RELATED OCCUPATION"</f>
        <v>JOB OFFERED OR RELATED OCCUPATION</v>
      </c>
      <c r="BW1679" t="s">
        <v>131</v>
      </c>
      <c r="BX1679" t="str">
        <f>""</f>
        <v/>
      </c>
      <c r="BY1679" t="str">
        <f>""</f>
        <v/>
      </c>
      <c r="BZ1679" t="str">
        <f>""</f>
        <v/>
      </c>
      <c r="CA1679" t="str">
        <f>""</f>
        <v/>
      </c>
      <c r="CB1679" t="s">
        <v>135</v>
      </c>
      <c r="CC1679" t="s">
        <v>133</v>
      </c>
      <c r="CE1679" t="s">
        <v>4864</v>
      </c>
      <c r="CF1679" t="s">
        <v>131</v>
      </c>
      <c r="CH1679" t="str">
        <f>"N/A"</f>
        <v>N/A</v>
      </c>
      <c r="CI1679" t="s">
        <v>135</v>
      </c>
      <c r="CJ1679">
        <v>60</v>
      </c>
      <c r="CK1679" t="s">
        <v>135</v>
      </c>
      <c r="CL1679" t="str">
        <f>""</f>
        <v/>
      </c>
      <c r="CM1679" t="str">
        <f>""</f>
        <v/>
      </c>
      <c r="CN1679" t="str">
        <f>""</f>
        <v/>
      </c>
      <c r="CO1679" t="s">
        <v>4865</v>
      </c>
      <c r="CP1679" t="str">
        <f>"15-1121.00"</f>
        <v>15-1121.00</v>
      </c>
      <c r="CQ1679" t="s">
        <v>283</v>
      </c>
      <c r="CR1679" t="s">
        <v>849</v>
      </c>
      <c r="CS1679" t="s">
        <v>131</v>
      </c>
      <c r="CU1679" t="s">
        <v>2501</v>
      </c>
      <c r="CV1679" t="s">
        <v>4866</v>
      </c>
      <c r="CW1679" t="s">
        <v>4862</v>
      </c>
      <c r="CX1679" t="s">
        <v>276</v>
      </c>
      <c r="CZ1679" s="3" t="str">
        <f>"08540"</f>
        <v>08540</v>
      </c>
      <c r="DA1679" t="s">
        <v>131</v>
      </c>
      <c r="DB1679" t="str">
        <f>""</f>
        <v/>
      </c>
      <c r="DF1679" t="str">
        <f>""</f>
        <v/>
      </c>
    </row>
    <row r="1680" spans="1:110" ht="15" customHeight="1" x14ac:dyDescent="0.35">
      <c r="A1680" t="s">
        <v>19868</v>
      </c>
      <c r="B1680" t="s">
        <v>138</v>
      </c>
      <c r="C1680" s="1">
        <v>44340</v>
      </c>
      <c r="G1680" s="1">
        <v>44350</v>
      </c>
      <c r="H1680" t="s">
        <v>125</v>
      </c>
      <c r="I1680" t="s">
        <v>838</v>
      </c>
      <c r="J1680" t="s">
        <v>839</v>
      </c>
      <c r="K1680" t="s">
        <v>840</v>
      </c>
      <c r="L1680" t="s">
        <v>2565</v>
      </c>
      <c r="M1680" t="s">
        <v>841</v>
      </c>
      <c r="N1680" t="s">
        <v>842</v>
      </c>
      <c r="O1680" t="s">
        <v>843</v>
      </c>
      <c r="P1680" t="s">
        <v>273</v>
      </c>
      <c r="Q1680" s="3">
        <v>7080</v>
      </c>
      <c r="R1680" t="s">
        <v>128</v>
      </c>
      <c r="T1680" s="4">
        <v>17328327978</v>
      </c>
      <c r="V1680" t="s">
        <v>844</v>
      </c>
      <c r="W1680" t="s">
        <v>10316</v>
      </c>
      <c r="Y1680" t="s">
        <v>5199</v>
      </c>
      <c r="Z1680" t="s">
        <v>5200</v>
      </c>
      <c r="AA1680" t="s">
        <v>3387</v>
      </c>
      <c r="AB1680" t="s">
        <v>276</v>
      </c>
      <c r="AC1680" s="3" t="str">
        <f>"08619"</f>
        <v>08619</v>
      </c>
      <c r="AD1680" t="s">
        <v>128</v>
      </c>
      <c r="AF1680" s="4">
        <v>16098485700</v>
      </c>
      <c r="AH1680" t="str">
        <f>"541511"</f>
        <v>541511</v>
      </c>
      <c r="AI1680" t="s">
        <v>130</v>
      </c>
      <c r="AJ1680" t="s">
        <v>838</v>
      </c>
      <c r="AK1680" t="s">
        <v>839</v>
      </c>
      <c r="AL1680" t="s">
        <v>840</v>
      </c>
      <c r="AM1680" t="s">
        <v>841</v>
      </c>
      <c r="AN1680" t="s">
        <v>842</v>
      </c>
      <c r="AO1680" t="s">
        <v>4695</v>
      </c>
      <c r="AP1680" t="s">
        <v>276</v>
      </c>
      <c r="AQ1680" s="5">
        <v>7080</v>
      </c>
      <c r="AR1680" t="s">
        <v>128</v>
      </c>
      <c r="AT1680" s="4">
        <v>17328327978</v>
      </c>
      <c r="AV1680" t="s">
        <v>844</v>
      </c>
      <c r="AW1680" t="s">
        <v>5865</v>
      </c>
      <c r="AX1680" t="s">
        <v>131</v>
      </c>
      <c r="AY1680" t="s">
        <v>131</v>
      </c>
      <c r="AZ1680" t="s">
        <v>131</v>
      </c>
      <c r="BA1680" t="s">
        <v>131</v>
      </c>
      <c r="BB1680" t="s">
        <v>131</v>
      </c>
      <c r="BC1680" t="s">
        <v>131</v>
      </c>
      <c r="BD1680" t="s">
        <v>131</v>
      </c>
      <c r="BE1680" t="s">
        <v>132</v>
      </c>
      <c r="BH1680" t="s">
        <v>4179</v>
      </c>
      <c r="BI1680" t="s">
        <v>131</v>
      </c>
      <c r="BL1680" t="s">
        <v>188</v>
      </c>
      <c r="BN1680" t="s">
        <v>5201</v>
      </c>
      <c r="BO1680" t="s">
        <v>131</v>
      </c>
      <c r="BP1680" t="s">
        <v>134</v>
      </c>
      <c r="BQ1680" t="s">
        <v>131</v>
      </c>
      <c r="BS1680" t="str">
        <f t="shared" si="104"/>
        <v>N/A</v>
      </c>
      <c r="BT1680" t="s">
        <v>135</v>
      </c>
      <c r="BU1680">
        <v>12</v>
      </c>
      <c r="BV1680" t="str">
        <f>"JOB OFFERED OR RELATED OCCUPATION"</f>
        <v>JOB OFFERED OR RELATED OCCUPATION</v>
      </c>
      <c r="BW1680" t="s">
        <v>135</v>
      </c>
      <c r="BX1680" t="str">
        <f>""</f>
        <v/>
      </c>
      <c r="BY1680" t="str">
        <f>""</f>
        <v/>
      </c>
      <c r="BZ1680" t="str">
        <f>""</f>
        <v/>
      </c>
      <c r="CA1680" t="str">
        <f>"SKILLS REQUIRED: JAVA/J2EE, Spring, SpringBoot, Rest API, Microservices, JavaScript, Angular, AWS, Oracle, Maven, Git, and JUnit. "</f>
        <v xml:space="preserve">SKILLS REQUIRED: JAVA/J2EE, Spring, SpringBoot, Rest API, Microservices, JavaScript, Angular, AWS, Oracle, Maven, Git, and JUnit. </v>
      </c>
      <c r="CB1680" t="s">
        <v>135</v>
      </c>
      <c r="CC1680" t="s">
        <v>133</v>
      </c>
      <c r="CE1680" t="s">
        <v>5201</v>
      </c>
      <c r="CF1680" t="s">
        <v>131</v>
      </c>
      <c r="CH1680" t="str">
        <f>"N/A"</f>
        <v>N/A</v>
      </c>
      <c r="CI1680" t="s">
        <v>135</v>
      </c>
      <c r="CJ1680">
        <v>60</v>
      </c>
      <c r="CK1680" t="s">
        <v>135</v>
      </c>
      <c r="CL1680" t="str">
        <f>""</f>
        <v/>
      </c>
      <c r="CM1680" t="str">
        <f>""</f>
        <v/>
      </c>
      <c r="CN1680" t="str">
        <f>""</f>
        <v/>
      </c>
      <c r="CO1680" t="str">
        <f>"SAME AS F.b.5.a"</f>
        <v>SAME AS F.b.5.a</v>
      </c>
      <c r="CP1680" t="str">
        <f>"15-1132.00"</f>
        <v>15-1132.00</v>
      </c>
      <c r="CQ1680" t="s">
        <v>198</v>
      </c>
      <c r="CR1680" t="s">
        <v>2509</v>
      </c>
      <c r="CS1680" t="s">
        <v>131</v>
      </c>
      <c r="CU1680" t="s">
        <v>5198</v>
      </c>
      <c r="CV1680" t="s">
        <v>5199</v>
      </c>
      <c r="CW1680" t="s">
        <v>19869</v>
      </c>
      <c r="CX1680" t="s">
        <v>276</v>
      </c>
      <c r="CZ1680" s="3" t="str">
        <f>"08619"</f>
        <v>08619</v>
      </c>
      <c r="DA1680" t="s">
        <v>131</v>
      </c>
      <c r="DB1680" t="str">
        <f>""</f>
        <v/>
      </c>
      <c r="DF1680" t="str">
        <f>""</f>
        <v/>
      </c>
    </row>
    <row r="1681" spans="1:110" ht="15" customHeight="1" x14ac:dyDescent="0.35">
      <c r="A1681" t="s">
        <v>11648</v>
      </c>
      <c r="B1681" t="s">
        <v>138</v>
      </c>
      <c r="C1681" s="1">
        <v>44340</v>
      </c>
      <c r="G1681" s="1">
        <v>44343</v>
      </c>
      <c r="H1681" t="s">
        <v>125</v>
      </c>
      <c r="I1681" t="s">
        <v>4382</v>
      </c>
      <c r="J1681" t="s">
        <v>11649</v>
      </c>
      <c r="L1681" t="s">
        <v>395</v>
      </c>
      <c r="M1681" t="s">
        <v>4383</v>
      </c>
      <c r="O1681" t="s">
        <v>616</v>
      </c>
      <c r="P1681" t="s">
        <v>194</v>
      </c>
      <c r="Q1681" s="3">
        <v>33155</v>
      </c>
      <c r="R1681" t="s">
        <v>128</v>
      </c>
      <c r="T1681" s="4">
        <v>13059515683</v>
      </c>
      <c r="V1681" t="s">
        <v>4384</v>
      </c>
      <c r="W1681" t="s">
        <v>4385</v>
      </c>
      <c r="Y1681" t="s">
        <v>4383</v>
      </c>
      <c r="AA1681" t="s">
        <v>616</v>
      </c>
      <c r="AB1681" t="s">
        <v>195</v>
      </c>
      <c r="AC1681" s="3" t="str">
        <f>"33155"</f>
        <v>33155</v>
      </c>
      <c r="AD1681" t="s">
        <v>128</v>
      </c>
      <c r="AF1681" s="4">
        <v>13052627630</v>
      </c>
      <c r="AG1681">
        <v>102</v>
      </c>
      <c r="AH1681" t="str">
        <f>"541330"</f>
        <v>541330</v>
      </c>
      <c r="AI1681" t="s">
        <v>130</v>
      </c>
      <c r="AJ1681" t="s">
        <v>1622</v>
      </c>
      <c r="AK1681" t="s">
        <v>1623</v>
      </c>
      <c r="AL1681" t="s">
        <v>1624</v>
      </c>
      <c r="AM1681" t="s">
        <v>4386</v>
      </c>
      <c r="AN1681" t="s">
        <v>4387</v>
      </c>
      <c r="AO1681" t="s">
        <v>719</v>
      </c>
      <c r="AP1681" t="s">
        <v>377</v>
      </c>
      <c r="AQ1681" s="5">
        <v>1701</v>
      </c>
      <c r="AR1681" t="s">
        <v>128</v>
      </c>
      <c r="AT1681" s="4">
        <v>15085323527</v>
      </c>
      <c r="AV1681" t="s">
        <v>10561</v>
      </c>
      <c r="AW1681" t="s">
        <v>4389</v>
      </c>
      <c r="AX1681" t="s">
        <v>131</v>
      </c>
      <c r="AY1681" t="s">
        <v>131</v>
      </c>
      <c r="AZ1681" t="s">
        <v>131</v>
      </c>
      <c r="BA1681" t="s">
        <v>131</v>
      </c>
      <c r="BB1681" t="s">
        <v>131</v>
      </c>
      <c r="BC1681" t="s">
        <v>131</v>
      </c>
      <c r="BD1681" t="s">
        <v>131</v>
      </c>
      <c r="BE1681" t="s">
        <v>132</v>
      </c>
      <c r="BH1681" t="s">
        <v>4390</v>
      </c>
      <c r="BI1681" t="s">
        <v>131</v>
      </c>
      <c r="BL1681" t="s">
        <v>188</v>
      </c>
      <c r="BN1681" t="s">
        <v>2702</v>
      </c>
      <c r="BO1681" t="s">
        <v>131</v>
      </c>
      <c r="BP1681" t="s">
        <v>134</v>
      </c>
      <c r="BQ1681" t="s">
        <v>131</v>
      </c>
      <c r="BS1681" t="str">
        <f t="shared" si="104"/>
        <v>N/A</v>
      </c>
      <c r="BT1681" t="s">
        <v>131</v>
      </c>
      <c r="BV1681" t="str">
        <f>"Demonstrable knowledge of: AutoCAD; ETAP, and; Easy Power software"</f>
        <v>Demonstrable knowledge of: AutoCAD; ETAP, and; Easy Power software</v>
      </c>
      <c r="BW1681" t="s">
        <v>135</v>
      </c>
      <c r="BX1681" t="str">
        <f>""</f>
        <v/>
      </c>
      <c r="BY1681" t="str">
        <f>""</f>
        <v/>
      </c>
      <c r="BZ1681" t="str">
        <f>""</f>
        <v/>
      </c>
      <c r="CA1681" t="str">
        <f>"Master’s degree (or foreign equivalent) in Electrical Engineering PLUS demonstrable knowledge of: AutoCAD; ETAP, and; Easy Power software. Required knowledge may be acquired prior to or concurrent with Master’s degree"</f>
        <v>Master’s degree (or foreign equivalent) in Electrical Engineering PLUS demonstrable knowledge of: AutoCAD; ETAP, and; Easy Power software. Required knowledge may be acquired prior to or concurrent with Master’s degree</v>
      </c>
      <c r="CB1681" t="s">
        <v>131</v>
      </c>
      <c r="CF1681" t="s">
        <v>131</v>
      </c>
      <c r="CH1681" t="str">
        <f>""</f>
        <v/>
      </c>
      <c r="CI1681" t="s">
        <v>131</v>
      </c>
      <c r="CK1681" t="s">
        <v>131</v>
      </c>
      <c r="CL1681" t="str">
        <f>""</f>
        <v/>
      </c>
      <c r="CM1681" t="str">
        <f>""</f>
        <v/>
      </c>
      <c r="CN1681" t="str">
        <f>""</f>
        <v/>
      </c>
      <c r="CO1681" t="str">
        <f>""</f>
        <v/>
      </c>
      <c r="CP1681" t="str">
        <f>"17-2071.00"</f>
        <v>17-2071.00</v>
      </c>
      <c r="CQ1681" t="s">
        <v>649</v>
      </c>
      <c r="CR1681" t="s">
        <v>395</v>
      </c>
      <c r="CS1681" t="s">
        <v>131</v>
      </c>
      <c r="CU1681" t="s">
        <v>4383</v>
      </c>
      <c r="CW1681" t="s">
        <v>616</v>
      </c>
      <c r="CX1681" t="s">
        <v>195</v>
      </c>
      <c r="CZ1681" s="3" t="str">
        <f>"33155"</f>
        <v>33155</v>
      </c>
      <c r="DA1681" t="s">
        <v>131</v>
      </c>
      <c r="DB1681" t="str">
        <f>""</f>
        <v/>
      </c>
      <c r="DF1681" t="str">
        <f>""</f>
        <v/>
      </c>
    </row>
    <row r="1682" spans="1:110" ht="15" customHeight="1" x14ac:dyDescent="0.35">
      <c r="A1682" t="s">
        <v>15400</v>
      </c>
      <c r="B1682" t="s">
        <v>138</v>
      </c>
      <c r="C1682" s="1">
        <v>44340</v>
      </c>
      <c r="G1682" s="1">
        <v>44350</v>
      </c>
      <c r="H1682" t="s">
        <v>125</v>
      </c>
      <c r="I1682" t="s">
        <v>838</v>
      </c>
      <c r="J1682" t="s">
        <v>839</v>
      </c>
      <c r="K1682" t="s">
        <v>840</v>
      </c>
      <c r="L1682" t="s">
        <v>2565</v>
      </c>
      <c r="M1682" t="s">
        <v>841</v>
      </c>
      <c r="N1682" t="s">
        <v>842</v>
      </c>
      <c r="O1682" t="s">
        <v>843</v>
      </c>
      <c r="P1682" t="s">
        <v>273</v>
      </c>
      <c r="Q1682" s="3">
        <v>7080</v>
      </c>
      <c r="R1682" t="s">
        <v>128</v>
      </c>
      <c r="T1682" s="4">
        <v>17328327978</v>
      </c>
      <c r="V1682" t="s">
        <v>844</v>
      </c>
      <c r="W1682" t="s">
        <v>6589</v>
      </c>
      <c r="Y1682" t="s">
        <v>6590</v>
      </c>
      <c r="Z1682" t="s">
        <v>11467</v>
      </c>
      <c r="AA1682" t="s">
        <v>6592</v>
      </c>
      <c r="AB1682" t="s">
        <v>306</v>
      </c>
      <c r="AC1682" s="3" t="str">
        <f>"20166"</f>
        <v>20166</v>
      </c>
      <c r="AD1682" t="s">
        <v>128</v>
      </c>
      <c r="AF1682" s="4">
        <v>18452568585</v>
      </c>
      <c r="AH1682" t="str">
        <f>"541511"</f>
        <v>541511</v>
      </c>
      <c r="AI1682" t="s">
        <v>130</v>
      </c>
      <c r="AJ1682" t="s">
        <v>838</v>
      </c>
      <c r="AK1682" t="s">
        <v>839</v>
      </c>
      <c r="AL1682" t="s">
        <v>840</v>
      </c>
      <c r="AM1682" t="s">
        <v>841</v>
      </c>
      <c r="AN1682" t="s">
        <v>842</v>
      </c>
      <c r="AO1682" t="s">
        <v>843</v>
      </c>
      <c r="AP1682" t="s">
        <v>276</v>
      </c>
      <c r="AQ1682" s="5">
        <v>7080</v>
      </c>
      <c r="AR1682" t="s">
        <v>128</v>
      </c>
      <c r="AT1682" s="4">
        <v>17328327978</v>
      </c>
      <c r="AV1682" t="s">
        <v>844</v>
      </c>
      <c r="AW1682" t="s">
        <v>4863</v>
      </c>
      <c r="AX1682" t="s">
        <v>131</v>
      </c>
      <c r="AY1682" t="s">
        <v>131</v>
      </c>
      <c r="AZ1682" t="s">
        <v>131</v>
      </c>
      <c r="BA1682" t="s">
        <v>131</v>
      </c>
      <c r="BB1682" t="s">
        <v>131</v>
      </c>
      <c r="BC1682" t="s">
        <v>131</v>
      </c>
      <c r="BD1682" t="s">
        <v>131</v>
      </c>
      <c r="BE1682" t="s">
        <v>132</v>
      </c>
      <c r="BH1682" t="s">
        <v>846</v>
      </c>
      <c r="BI1682" t="s">
        <v>131</v>
      </c>
      <c r="BL1682" t="s">
        <v>188</v>
      </c>
      <c r="BN1682" t="s">
        <v>5390</v>
      </c>
      <c r="BO1682" t="s">
        <v>131</v>
      </c>
      <c r="BP1682" t="s">
        <v>134</v>
      </c>
      <c r="BQ1682" t="s">
        <v>131</v>
      </c>
      <c r="BS1682" t="str">
        <f t="shared" si="104"/>
        <v>N/A</v>
      </c>
      <c r="BT1682" t="s">
        <v>135</v>
      </c>
      <c r="BU1682">
        <v>12</v>
      </c>
      <c r="BV1682" t="str">
        <f>"JOB OFFERED OR RELATED OCCUPATION"</f>
        <v>JOB OFFERED OR RELATED OCCUPATION</v>
      </c>
      <c r="BW1682" t="s">
        <v>135</v>
      </c>
      <c r="BX1682" t="str">
        <f>""</f>
        <v/>
      </c>
      <c r="BY1682" t="str">
        <f>""</f>
        <v/>
      </c>
      <c r="BZ1682" t="str">
        <f>""</f>
        <v/>
      </c>
      <c r="CA1682" t="str">
        <f>"Skills required: C, C++, SQL, ASP.NET, XML Wed Services, Azure PaaS, Data Warehouse, Tableau, Git, TFS, Agile Methodology ."</f>
        <v>Skills required: C, C++, SQL, ASP.NET, XML Wed Services, Azure PaaS, Data Warehouse, Tableau, Git, TFS, Agile Methodology .</v>
      </c>
      <c r="CB1682" t="s">
        <v>135</v>
      </c>
      <c r="CC1682" t="s">
        <v>133</v>
      </c>
      <c r="CE1682" t="s">
        <v>5390</v>
      </c>
      <c r="CF1682" t="s">
        <v>131</v>
      </c>
      <c r="CH1682" t="str">
        <f t="shared" ref="CH1682:CH1688" si="105">"N/A"</f>
        <v>N/A</v>
      </c>
      <c r="CI1682" t="s">
        <v>135</v>
      </c>
      <c r="CJ1682">
        <v>60</v>
      </c>
      <c r="CK1682" t="s">
        <v>135</v>
      </c>
      <c r="CL1682" t="str">
        <f>""</f>
        <v/>
      </c>
      <c r="CM1682" t="str">
        <f>""</f>
        <v/>
      </c>
      <c r="CN1682" t="str">
        <f>""</f>
        <v/>
      </c>
      <c r="CO1682" t="str">
        <f>"SAME AS F.b.5.a"</f>
        <v>SAME AS F.b.5.a</v>
      </c>
      <c r="CP1682" t="str">
        <f>"15-1132.00"</f>
        <v>15-1132.00</v>
      </c>
      <c r="CQ1682" t="s">
        <v>198</v>
      </c>
      <c r="CR1682" t="s">
        <v>849</v>
      </c>
      <c r="CS1682" t="s">
        <v>131</v>
      </c>
      <c r="CU1682" t="s">
        <v>6590</v>
      </c>
      <c r="CV1682" t="s">
        <v>15401</v>
      </c>
      <c r="CW1682" t="s">
        <v>15402</v>
      </c>
      <c r="CX1682" t="s">
        <v>306</v>
      </c>
      <c r="CZ1682" s="3" t="str">
        <f>"20166"</f>
        <v>20166</v>
      </c>
      <c r="DA1682" t="s">
        <v>131</v>
      </c>
      <c r="DB1682" t="str">
        <f>""</f>
        <v/>
      </c>
      <c r="DF1682" t="str">
        <f>""</f>
        <v/>
      </c>
    </row>
    <row r="1683" spans="1:110" ht="15" customHeight="1" x14ac:dyDescent="0.35">
      <c r="A1683" t="s">
        <v>18538</v>
      </c>
      <c r="B1683" t="s">
        <v>138</v>
      </c>
      <c r="C1683" s="1">
        <v>44340</v>
      </c>
      <c r="G1683" s="1">
        <v>44350</v>
      </c>
      <c r="H1683" t="s">
        <v>125</v>
      </c>
      <c r="I1683" t="s">
        <v>838</v>
      </c>
      <c r="J1683" t="s">
        <v>839</v>
      </c>
      <c r="K1683" t="s">
        <v>840</v>
      </c>
      <c r="L1683" t="s">
        <v>2565</v>
      </c>
      <c r="M1683" t="s">
        <v>841</v>
      </c>
      <c r="N1683" t="s">
        <v>842</v>
      </c>
      <c r="O1683" t="s">
        <v>843</v>
      </c>
      <c r="P1683" t="s">
        <v>273</v>
      </c>
      <c r="Q1683" s="3">
        <v>7080</v>
      </c>
      <c r="R1683" t="s">
        <v>128</v>
      </c>
      <c r="T1683" s="4">
        <v>17328327978</v>
      </c>
      <c r="V1683" t="s">
        <v>844</v>
      </c>
      <c r="W1683" t="s">
        <v>2503</v>
      </c>
      <c r="Y1683" t="s">
        <v>2501</v>
      </c>
      <c r="Z1683" t="s">
        <v>2502</v>
      </c>
      <c r="AA1683" t="s">
        <v>4862</v>
      </c>
      <c r="AB1683" t="s">
        <v>276</v>
      </c>
      <c r="AC1683" s="3" t="str">
        <f>"08540"</f>
        <v>08540</v>
      </c>
      <c r="AD1683" t="s">
        <v>128</v>
      </c>
      <c r="AF1683" s="4">
        <v>19727527312</v>
      </c>
      <c r="AH1683" t="str">
        <f>"5416"</f>
        <v>5416</v>
      </c>
      <c r="AI1683" t="s">
        <v>130</v>
      </c>
      <c r="AJ1683" t="s">
        <v>838</v>
      </c>
      <c r="AK1683" t="s">
        <v>839</v>
      </c>
      <c r="AL1683" t="s">
        <v>840</v>
      </c>
      <c r="AM1683" t="s">
        <v>841</v>
      </c>
      <c r="AN1683" t="s">
        <v>842</v>
      </c>
      <c r="AO1683" t="s">
        <v>843</v>
      </c>
      <c r="AP1683" t="s">
        <v>276</v>
      </c>
      <c r="AQ1683" s="5">
        <v>7080</v>
      </c>
      <c r="AR1683" t="s">
        <v>128</v>
      </c>
      <c r="AT1683" s="4">
        <v>17328327978</v>
      </c>
      <c r="AV1683" t="s">
        <v>844</v>
      </c>
      <c r="AW1683" t="s">
        <v>4863</v>
      </c>
      <c r="AX1683" t="s">
        <v>131</v>
      </c>
      <c r="AY1683" t="s">
        <v>131</v>
      </c>
      <c r="AZ1683" t="s">
        <v>131</v>
      </c>
      <c r="BA1683" t="s">
        <v>131</v>
      </c>
      <c r="BB1683" t="s">
        <v>131</v>
      </c>
      <c r="BC1683" t="s">
        <v>131</v>
      </c>
      <c r="BD1683" t="s">
        <v>131</v>
      </c>
      <c r="BE1683" t="s">
        <v>132</v>
      </c>
      <c r="BH1683" t="s">
        <v>846</v>
      </c>
      <c r="BI1683" t="s">
        <v>131</v>
      </c>
      <c r="BL1683" t="s">
        <v>188</v>
      </c>
      <c r="BN1683" t="s">
        <v>5390</v>
      </c>
      <c r="BO1683" t="s">
        <v>131</v>
      </c>
      <c r="BP1683" t="s">
        <v>134</v>
      </c>
      <c r="BQ1683" t="s">
        <v>131</v>
      </c>
      <c r="BS1683" t="str">
        <f t="shared" si="104"/>
        <v>N/A</v>
      </c>
      <c r="BT1683" t="s">
        <v>135</v>
      </c>
      <c r="BU1683">
        <v>12</v>
      </c>
      <c r="BV1683" t="str">
        <f>"JOB OFFERED OR RELATED OCCUPATION"</f>
        <v>JOB OFFERED OR RELATED OCCUPATION</v>
      </c>
      <c r="BW1683" t="s">
        <v>131</v>
      </c>
      <c r="BX1683" t="str">
        <f>""</f>
        <v/>
      </c>
      <c r="BY1683" t="str">
        <f>""</f>
        <v/>
      </c>
      <c r="BZ1683" t="str">
        <f>""</f>
        <v/>
      </c>
      <c r="CA1683" t="str">
        <f>""</f>
        <v/>
      </c>
      <c r="CB1683" t="s">
        <v>135</v>
      </c>
      <c r="CC1683" t="s">
        <v>133</v>
      </c>
      <c r="CE1683" t="s">
        <v>5390</v>
      </c>
      <c r="CF1683" t="s">
        <v>131</v>
      </c>
      <c r="CH1683" t="str">
        <f t="shared" si="105"/>
        <v>N/A</v>
      </c>
      <c r="CI1683" t="s">
        <v>135</v>
      </c>
      <c r="CJ1683">
        <v>60</v>
      </c>
      <c r="CK1683" t="s">
        <v>131</v>
      </c>
      <c r="CL1683" t="str">
        <f>""</f>
        <v/>
      </c>
      <c r="CM1683" t="str">
        <f>""</f>
        <v/>
      </c>
      <c r="CN1683" t="str">
        <f>""</f>
        <v/>
      </c>
      <c r="CO1683" t="str">
        <f>""</f>
        <v/>
      </c>
      <c r="CP1683" t="str">
        <f>"15-1132.00"</f>
        <v>15-1132.00</v>
      </c>
      <c r="CQ1683" t="s">
        <v>198</v>
      </c>
      <c r="CR1683" t="s">
        <v>849</v>
      </c>
      <c r="CS1683" t="s">
        <v>131</v>
      </c>
      <c r="CU1683" t="s">
        <v>2501</v>
      </c>
      <c r="CV1683" t="s">
        <v>4866</v>
      </c>
      <c r="CW1683" t="s">
        <v>4862</v>
      </c>
      <c r="CX1683" t="s">
        <v>276</v>
      </c>
      <c r="CZ1683" s="3" t="str">
        <f>"08540"</f>
        <v>08540</v>
      </c>
      <c r="DA1683" t="s">
        <v>131</v>
      </c>
      <c r="DB1683" t="str">
        <f>""</f>
        <v/>
      </c>
      <c r="DF1683" t="str">
        <f>""</f>
        <v/>
      </c>
    </row>
    <row r="1684" spans="1:110" ht="15" customHeight="1" x14ac:dyDescent="0.35">
      <c r="A1684" t="s">
        <v>13538</v>
      </c>
      <c r="B1684" t="s">
        <v>138</v>
      </c>
      <c r="C1684" s="1">
        <v>44340</v>
      </c>
      <c r="G1684" s="1">
        <v>44350</v>
      </c>
      <c r="H1684" t="s">
        <v>125</v>
      </c>
      <c r="I1684" t="s">
        <v>838</v>
      </c>
      <c r="J1684" t="s">
        <v>839</v>
      </c>
      <c r="K1684" t="s">
        <v>840</v>
      </c>
      <c r="L1684" t="s">
        <v>2565</v>
      </c>
      <c r="M1684" t="s">
        <v>841</v>
      </c>
      <c r="N1684" t="s">
        <v>842</v>
      </c>
      <c r="O1684" t="s">
        <v>843</v>
      </c>
      <c r="P1684" t="s">
        <v>273</v>
      </c>
      <c r="Q1684" s="3">
        <v>7080</v>
      </c>
      <c r="R1684" t="s">
        <v>128</v>
      </c>
      <c r="T1684" s="4">
        <v>17328327978</v>
      </c>
      <c r="V1684" t="s">
        <v>844</v>
      </c>
      <c r="W1684" t="s">
        <v>10316</v>
      </c>
      <c r="Y1684" t="s">
        <v>5199</v>
      </c>
      <c r="Z1684" t="s">
        <v>13539</v>
      </c>
      <c r="AA1684" t="s">
        <v>3387</v>
      </c>
      <c r="AB1684" t="s">
        <v>276</v>
      </c>
      <c r="AC1684" s="3" t="str">
        <f>"08619"</f>
        <v>08619</v>
      </c>
      <c r="AD1684" t="s">
        <v>128</v>
      </c>
      <c r="AF1684" s="4">
        <v>16098485700</v>
      </c>
      <c r="AH1684" t="str">
        <f>"541511"</f>
        <v>541511</v>
      </c>
      <c r="AI1684" t="s">
        <v>130</v>
      </c>
      <c r="AJ1684" t="s">
        <v>2504</v>
      </c>
      <c r="AK1684" t="s">
        <v>5709</v>
      </c>
      <c r="AL1684" t="s">
        <v>840</v>
      </c>
      <c r="AM1684" t="s">
        <v>841</v>
      </c>
      <c r="AN1684" t="s">
        <v>842</v>
      </c>
      <c r="AO1684" t="s">
        <v>843</v>
      </c>
      <c r="AP1684" t="s">
        <v>276</v>
      </c>
      <c r="AQ1684" s="5">
        <v>7080</v>
      </c>
      <c r="AR1684" t="s">
        <v>128</v>
      </c>
      <c r="AT1684" s="4">
        <v>17328327978</v>
      </c>
      <c r="AV1684" t="s">
        <v>844</v>
      </c>
      <c r="AW1684" t="s">
        <v>2570</v>
      </c>
      <c r="AX1684" t="s">
        <v>131</v>
      </c>
      <c r="AY1684" t="s">
        <v>131</v>
      </c>
      <c r="AZ1684" t="s">
        <v>131</v>
      </c>
      <c r="BA1684" t="s">
        <v>131</v>
      </c>
      <c r="BB1684" t="s">
        <v>131</v>
      </c>
      <c r="BC1684" t="s">
        <v>131</v>
      </c>
      <c r="BD1684" t="s">
        <v>131</v>
      </c>
      <c r="BE1684" t="s">
        <v>132</v>
      </c>
      <c r="BH1684" t="s">
        <v>846</v>
      </c>
      <c r="BI1684" t="s">
        <v>131</v>
      </c>
      <c r="BL1684" t="s">
        <v>188</v>
      </c>
      <c r="BN1684" t="s">
        <v>13540</v>
      </c>
      <c r="BO1684" t="s">
        <v>131</v>
      </c>
      <c r="BP1684" t="s">
        <v>134</v>
      </c>
      <c r="BQ1684" t="s">
        <v>131</v>
      </c>
      <c r="BS1684" t="str">
        <f t="shared" si="104"/>
        <v>N/A</v>
      </c>
      <c r="BT1684" t="s">
        <v>135</v>
      </c>
      <c r="BU1684">
        <v>12</v>
      </c>
      <c r="BV1684" t="str">
        <f>"JOB OFFERED OR RELATED OCCUPATION"</f>
        <v>JOB OFFERED OR RELATED OCCUPATION</v>
      </c>
      <c r="BW1684" t="s">
        <v>135</v>
      </c>
      <c r="BX1684" t="str">
        <f>""</f>
        <v/>
      </c>
      <c r="BY1684" t="str">
        <f>""</f>
        <v/>
      </c>
      <c r="BZ1684" t="str">
        <f>""</f>
        <v/>
      </c>
      <c r="CA1684" t="s">
        <v>13541</v>
      </c>
      <c r="CB1684" t="s">
        <v>135</v>
      </c>
      <c r="CC1684" t="s">
        <v>133</v>
      </c>
      <c r="CE1684" t="s">
        <v>13540</v>
      </c>
      <c r="CF1684" t="s">
        <v>131</v>
      </c>
      <c r="CH1684" t="str">
        <f t="shared" si="105"/>
        <v>N/A</v>
      </c>
      <c r="CI1684" t="s">
        <v>135</v>
      </c>
      <c r="CJ1684">
        <v>60</v>
      </c>
      <c r="CK1684" t="s">
        <v>131</v>
      </c>
      <c r="CL1684" t="str">
        <f>""</f>
        <v/>
      </c>
      <c r="CM1684" t="str">
        <f>""</f>
        <v/>
      </c>
      <c r="CN1684" t="str">
        <f>""</f>
        <v/>
      </c>
      <c r="CO1684" t="str">
        <f>""</f>
        <v/>
      </c>
      <c r="CP1684" t="str">
        <f>"15-1132.00"</f>
        <v>15-1132.00</v>
      </c>
      <c r="CQ1684" t="s">
        <v>198</v>
      </c>
      <c r="CR1684" t="s">
        <v>849</v>
      </c>
      <c r="CS1684" t="s">
        <v>131</v>
      </c>
      <c r="CU1684" t="s">
        <v>5203</v>
      </c>
      <c r="CV1684" t="s">
        <v>5204</v>
      </c>
      <c r="CW1684" t="s">
        <v>2426</v>
      </c>
      <c r="CX1684" t="s">
        <v>276</v>
      </c>
      <c r="CZ1684" s="3" t="str">
        <f>"08619"</f>
        <v>08619</v>
      </c>
      <c r="DA1684" t="s">
        <v>131</v>
      </c>
      <c r="DB1684" t="str">
        <f>""</f>
        <v/>
      </c>
      <c r="DF1684" t="str">
        <f>""</f>
        <v/>
      </c>
    </row>
    <row r="1685" spans="1:110" ht="15" customHeight="1" x14ac:dyDescent="0.35">
      <c r="A1685" t="s">
        <v>11159</v>
      </c>
      <c r="B1685" t="s">
        <v>138</v>
      </c>
      <c r="C1685" s="1">
        <v>44340</v>
      </c>
      <c r="G1685" s="1">
        <v>44350</v>
      </c>
      <c r="H1685" t="s">
        <v>125</v>
      </c>
      <c r="I1685" t="s">
        <v>838</v>
      </c>
      <c r="J1685" t="s">
        <v>839</v>
      </c>
      <c r="K1685" t="s">
        <v>840</v>
      </c>
      <c r="L1685" t="s">
        <v>2565</v>
      </c>
      <c r="M1685" t="s">
        <v>841</v>
      </c>
      <c r="N1685" t="s">
        <v>842</v>
      </c>
      <c r="O1685" t="s">
        <v>843</v>
      </c>
      <c r="P1685" t="s">
        <v>273</v>
      </c>
      <c r="Q1685" s="3">
        <v>7080</v>
      </c>
      <c r="R1685" t="s">
        <v>128</v>
      </c>
      <c r="T1685" s="4">
        <v>17328327978</v>
      </c>
      <c r="V1685" t="s">
        <v>844</v>
      </c>
      <c r="W1685" t="s">
        <v>10316</v>
      </c>
      <c r="Y1685" t="s">
        <v>5199</v>
      </c>
      <c r="Z1685" t="s">
        <v>5200</v>
      </c>
      <c r="AA1685" t="s">
        <v>3387</v>
      </c>
      <c r="AB1685" t="s">
        <v>276</v>
      </c>
      <c r="AC1685" s="3" t="str">
        <f>"08619"</f>
        <v>08619</v>
      </c>
      <c r="AD1685" t="s">
        <v>128</v>
      </c>
      <c r="AF1685" s="4">
        <v>16098485700</v>
      </c>
      <c r="AH1685" t="str">
        <f>"541511"</f>
        <v>541511</v>
      </c>
      <c r="AI1685" t="s">
        <v>130</v>
      </c>
      <c r="AJ1685" t="s">
        <v>838</v>
      </c>
      <c r="AK1685" t="s">
        <v>839</v>
      </c>
      <c r="AL1685" t="s">
        <v>840</v>
      </c>
      <c r="AM1685" t="s">
        <v>841</v>
      </c>
      <c r="AN1685" t="s">
        <v>842</v>
      </c>
      <c r="AO1685" t="s">
        <v>843</v>
      </c>
      <c r="AP1685" t="s">
        <v>276</v>
      </c>
      <c r="AQ1685" s="5">
        <v>7080</v>
      </c>
      <c r="AR1685" t="s">
        <v>128</v>
      </c>
      <c r="AT1685" s="4">
        <v>17328327978</v>
      </c>
      <c r="AV1685" t="s">
        <v>844</v>
      </c>
      <c r="AW1685" t="s">
        <v>2570</v>
      </c>
      <c r="AX1685" t="s">
        <v>131</v>
      </c>
      <c r="AY1685" t="s">
        <v>131</v>
      </c>
      <c r="AZ1685" t="s">
        <v>131</v>
      </c>
      <c r="BA1685" t="s">
        <v>131</v>
      </c>
      <c r="BB1685" t="s">
        <v>131</v>
      </c>
      <c r="BC1685" t="s">
        <v>131</v>
      </c>
      <c r="BD1685" t="s">
        <v>131</v>
      </c>
      <c r="BE1685" t="s">
        <v>132</v>
      </c>
      <c r="BH1685" t="s">
        <v>4179</v>
      </c>
      <c r="BI1685" t="s">
        <v>131</v>
      </c>
      <c r="BL1685" t="s">
        <v>188</v>
      </c>
      <c r="BN1685" t="s">
        <v>5201</v>
      </c>
      <c r="BO1685" t="s">
        <v>131</v>
      </c>
      <c r="BP1685" t="s">
        <v>134</v>
      </c>
      <c r="BQ1685" t="s">
        <v>131</v>
      </c>
      <c r="BS1685" t="str">
        <f t="shared" si="104"/>
        <v>N/A</v>
      </c>
      <c r="BT1685" t="s">
        <v>135</v>
      </c>
      <c r="BU1685">
        <v>12</v>
      </c>
      <c r="BV1685" t="str">
        <f>"JOB OFFERED OR RELATED OCCUPATION"</f>
        <v>JOB OFFERED OR RELATED OCCUPATION</v>
      </c>
      <c r="BW1685" t="s">
        <v>135</v>
      </c>
      <c r="BX1685" t="str">
        <f>""</f>
        <v/>
      </c>
      <c r="BY1685" t="str">
        <f>""</f>
        <v/>
      </c>
      <c r="BZ1685" t="str">
        <f>""</f>
        <v/>
      </c>
      <c r="CA1685" t="str">
        <f>"SKILLS REQUIRED: JAVA/J2EE, Spring, SpringBoot, Rest API, Microservices, JavaScript, Angular, AWS, Oracle, Maven, Git, and JUnit. "</f>
        <v xml:space="preserve">SKILLS REQUIRED: JAVA/J2EE, Spring, SpringBoot, Rest API, Microservices, JavaScript, Angular, AWS, Oracle, Maven, Git, and JUnit. </v>
      </c>
      <c r="CB1685" t="s">
        <v>135</v>
      </c>
      <c r="CC1685" t="s">
        <v>133</v>
      </c>
      <c r="CE1685" t="s">
        <v>5201</v>
      </c>
      <c r="CF1685" t="s">
        <v>131</v>
      </c>
      <c r="CH1685" t="str">
        <f t="shared" si="105"/>
        <v>N/A</v>
      </c>
      <c r="CI1685" t="s">
        <v>135</v>
      </c>
      <c r="CJ1685">
        <v>60</v>
      </c>
      <c r="CK1685" t="s">
        <v>135</v>
      </c>
      <c r="CL1685" t="str">
        <f>""</f>
        <v/>
      </c>
      <c r="CM1685" t="str">
        <f>""</f>
        <v/>
      </c>
      <c r="CN1685" t="str">
        <f>""</f>
        <v/>
      </c>
      <c r="CO1685" t="str">
        <f>"SAME AS F.b.5.a"</f>
        <v>SAME AS F.b.5.a</v>
      </c>
      <c r="CP1685" t="str">
        <f>"15-1132.00"</f>
        <v>15-1132.00</v>
      </c>
      <c r="CQ1685" t="s">
        <v>198</v>
      </c>
      <c r="CR1685" t="s">
        <v>849</v>
      </c>
      <c r="CS1685" t="s">
        <v>131</v>
      </c>
      <c r="CU1685" t="s">
        <v>5199</v>
      </c>
      <c r="CV1685" t="s">
        <v>11160</v>
      </c>
      <c r="CW1685" t="s">
        <v>3387</v>
      </c>
      <c r="CX1685" t="s">
        <v>276</v>
      </c>
      <c r="CZ1685" s="3" t="str">
        <f>"08619"</f>
        <v>08619</v>
      </c>
      <c r="DA1685" t="s">
        <v>131</v>
      </c>
      <c r="DB1685" t="str">
        <f>""</f>
        <v/>
      </c>
      <c r="DF1685" t="str">
        <f>""</f>
        <v/>
      </c>
    </row>
    <row r="1686" spans="1:110" ht="15" customHeight="1" x14ac:dyDescent="0.35">
      <c r="A1686" t="s">
        <v>6944</v>
      </c>
      <c r="B1686" t="s">
        <v>138</v>
      </c>
      <c r="C1686" s="1">
        <v>44340</v>
      </c>
      <c r="G1686" s="1">
        <v>44351</v>
      </c>
      <c r="H1686" t="s">
        <v>125</v>
      </c>
      <c r="I1686" t="s">
        <v>838</v>
      </c>
      <c r="J1686" t="s">
        <v>839</v>
      </c>
      <c r="K1686" t="s">
        <v>840</v>
      </c>
      <c r="L1686" t="s">
        <v>2565</v>
      </c>
      <c r="M1686" t="s">
        <v>841</v>
      </c>
      <c r="N1686" t="s">
        <v>842</v>
      </c>
      <c r="O1686" t="s">
        <v>843</v>
      </c>
      <c r="P1686" t="s">
        <v>273</v>
      </c>
      <c r="Q1686" s="3">
        <v>7080</v>
      </c>
      <c r="R1686" t="s">
        <v>128</v>
      </c>
      <c r="T1686" s="4">
        <v>17328327978</v>
      </c>
      <c r="V1686" t="s">
        <v>844</v>
      </c>
      <c r="W1686" t="s">
        <v>6945</v>
      </c>
      <c r="Y1686" t="s">
        <v>6946</v>
      </c>
      <c r="Z1686" t="s">
        <v>3384</v>
      </c>
      <c r="AA1686" t="s">
        <v>2596</v>
      </c>
      <c r="AB1686" t="s">
        <v>276</v>
      </c>
      <c r="AC1686" s="3" t="str">
        <f>"08854"</f>
        <v>08854</v>
      </c>
      <c r="AD1686" t="s">
        <v>128</v>
      </c>
      <c r="AF1686" s="4">
        <v>17327902934</v>
      </c>
      <c r="AH1686" t="str">
        <f>"541511"</f>
        <v>541511</v>
      </c>
      <c r="AI1686" t="s">
        <v>130</v>
      </c>
      <c r="AJ1686" t="s">
        <v>838</v>
      </c>
      <c r="AK1686" t="s">
        <v>839</v>
      </c>
      <c r="AL1686" t="s">
        <v>840</v>
      </c>
      <c r="AM1686" t="s">
        <v>841</v>
      </c>
      <c r="AN1686" t="s">
        <v>842</v>
      </c>
      <c r="AO1686" t="s">
        <v>843</v>
      </c>
      <c r="AP1686" t="s">
        <v>276</v>
      </c>
      <c r="AQ1686" s="5">
        <v>7080</v>
      </c>
      <c r="AR1686" t="s">
        <v>128</v>
      </c>
      <c r="AT1686" s="4">
        <v>17328327978</v>
      </c>
      <c r="AV1686" t="s">
        <v>844</v>
      </c>
      <c r="AW1686" t="s">
        <v>2779</v>
      </c>
      <c r="AX1686" t="s">
        <v>131</v>
      </c>
      <c r="AY1686" t="s">
        <v>131</v>
      </c>
      <c r="AZ1686" t="s">
        <v>131</v>
      </c>
      <c r="BA1686" t="s">
        <v>131</v>
      </c>
      <c r="BB1686" t="s">
        <v>131</v>
      </c>
      <c r="BC1686" t="s">
        <v>131</v>
      </c>
      <c r="BD1686" t="s">
        <v>131</v>
      </c>
      <c r="BE1686" t="s">
        <v>132</v>
      </c>
      <c r="BH1686" t="s">
        <v>6947</v>
      </c>
      <c r="BI1686" t="s">
        <v>131</v>
      </c>
      <c r="BL1686" t="s">
        <v>188</v>
      </c>
      <c r="BN1686" t="s">
        <v>847</v>
      </c>
      <c r="BO1686" t="s">
        <v>131</v>
      </c>
      <c r="BP1686" t="s">
        <v>134</v>
      </c>
      <c r="BQ1686" t="s">
        <v>131</v>
      </c>
      <c r="BS1686" t="str">
        <f t="shared" si="104"/>
        <v>N/A</v>
      </c>
      <c r="BT1686" t="s">
        <v>135</v>
      </c>
      <c r="BU1686">
        <v>6</v>
      </c>
      <c r="BV1686" t="str">
        <f>"JOB OFFERED OR RELATED OCCUPATION."</f>
        <v>JOB OFFERED OR RELATED OCCUPATION.</v>
      </c>
      <c r="BW1686" t="s">
        <v>135</v>
      </c>
      <c r="BX1686" t="str">
        <f>""</f>
        <v/>
      </c>
      <c r="BY1686" t="str">
        <f>""</f>
        <v/>
      </c>
      <c r="BZ1686" t="str">
        <f>""</f>
        <v/>
      </c>
      <c r="CA1686" t="s">
        <v>6948</v>
      </c>
      <c r="CB1686" t="s">
        <v>135</v>
      </c>
      <c r="CC1686" t="s">
        <v>133</v>
      </c>
      <c r="CE1686" t="s">
        <v>847</v>
      </c>
      <c r="CF1686" t="s">
        <v>131</v>
      </c>
      <c r="CH1686" t="str">
        <f t="shared" si="105"/>
        <v>N/A</v>
      </c>
      <c r="CI1686" t="s">
        <v>135</v>
      </c>
      <c r="CJ1686">
        <v>60</v>
      </c>
      <c r="CK1686" t="s">
        <v>131</v>
      </c>
      <c r="CL1686" t="str">
        <f>""</f>
        <v/>
      </c>
      <c r="CM1686" t="str">
        <f>""</f>
        <v/>
      </c>
      <c r="CN1686" t="str">
        <f>""</f>
        <v/>
      </c>
      <c r="CO1686" t="str">
        <f>""</f>
        <v/>
      </c>
      <c r="CP1686" t="str">
        <f>"15-1199.01"</f>
        <v>15-1199.01</v>
      </c>
      <c r="CQ1686" t="s">
        <v>308</v>
      </c>
      <c r="CR1686" t="s">
        <v>849</v>
      </c>
      <c r="CS1686" t="s">
        <v>131</v>
      </c>
      <c r="CU1686" t="s">
        <v>6946</v>
      </c>
      <c r="CV1686" t="s">
        <v>6949</v>
      </c>
      <c r="CW1686" t="s">
        <v>2596</v>
      </c>
      <c r="CX1686" t="s">
        <v>276</v>
      </c>
      <c r="CZ1686" s="3" t="str">
        <f>"08854"</f>
        <v>08854</v>
      </c>
      <c r="DA1686" t="s">
        <v>131</v>
      </c>
      <c r="DB1686" t="str">
        <f>""</f>
        <v/>
      </c>
      <c r="DF1686" t="str">
        <f>""</f>
        <v/>
      </c>
    </row>
    <row r="1687" spans="1:110" ht="15" customHeight="1" x14ac:dyDescent="0.35">
      <c r="A1687" t="s">
        <v>16569</v>
      </c>
      <c r="B1687" t="s">
        <v>138</v>
      </c>
      <c r="C1687" s="1">
        <v>44340</v>
      </c>
      <c r="G1687" s="1">
        <v>44350</v>
      </c>
      <c r="H1687" t="s">
        <v>125</v>
      </c>
      <c r="I1687" t="s">
        <v>838</v>
      </c>
      <c r="J1687" t="s">
        <v>839</v>
      </c>
      <c r="K1687" t="s">
        <v>1933</v>
      </c>
      <c r="L1687" t="s">
        <v>2565</v>
      </c>
      <c r="M1687" t="s">
        <v>841</v>
      </c>
      <c r="N1687" t="s">
        <v>842</v>
      </c>
      <c r="O1687" t="s">
        <v>843</v>
      </c>
      <c r="P1687" t="s">
        <v>273</v>
      </c>
      <c r="Q1687" s="3">
        <v>7080</v>
      </c>
      <c r="R1687" t="s">
        <v>128</v>
      </c>
      <c r="T1687" s="4">
        <v>17328327978</v>
      </c>
      <c r="V1687" t="s">
        <v>844</v>
      </c>
      <c r="W1687" t="s">
        <v>11965</v>
      </c>
      <c r="Y1687" t="s">
        <v>11966</v>
      </c>
      <c r="Z1687" t="s">
        <v>11967</v>
      </c>
      <c r="AA1687" t="s">
        <v>3818</v>
      </c>
      <c r="AB1687" t="s">
        <v>400</v>
      </c>
      <c r="AC1687" s="3" t="str">
        <f>"75038"</f>
        <v>75038</v>
      </c>
      <c r="AD1687" t="s">
        <v>128</v>
      </c>
      <c r="AF1687" s="4">
        <v>19727560714</v>
      </c>
      <c r="AH1687" t="str">
        <f>"541511"</f>
        <v>541511</v>
      </c>
      <c r="AI1687" t="s">
        <v>130</v>
      </c>
      <c r="AJ1687" t="s">
        <v>838</v>
      </c>
      <c r="AK1687" t="s">
        <v>839</v>
      </c>
      <c r="AL1687" t="s">
        <v>1933</v>
      </c>
      <c r="AM1687" t="s">
        <v>841</v>
      </c>
      <c r="AN1687" t="s">
        <v>842</v>
      </c>
      <c r="AO1687" t="s">
        <v>843</v>
      </c>
      <c r="AP1687" t="s">
        <v>276</v>
      </c>
      <c r="AQ1687" s="5">
        <v>7080</v>
      </c>
      <c r="AR1687" t="s">
        <v>128</v>
      </c>
      <c r="AT1687" s="4">
        <v>17328327978</v>
      </c>
      <c r="AV1687" t="s">
        <v>844</v>
      </c>
      <c r="AW1687" t="s">
        <v>3328</v>
      </c>
      <c r="AX1687" t="s">
        <v>131</v>
      </c>
      <c r="AY1687" t="s">
        <v>131</v>
      </c>
      <c r="AZ1687" t="s">
        <v>131</v>
      </c>
      <c r="BA1687" t="s">
        <v>131</v>
      </c>
      <c r="BB1687" t="s">
        <v>131</v>
      </c>
      <c r="BC1687" t="s">
        <v>131</v>
      </c>
      <c r="BD1687" t="s">
        <v>131</v>
      </c>
      <c r="BE1687" t="s">
        <v>132</v>
      </c>
      <c r="BH1687" t="s">
        <v>500</v>
      </c>
      <c r="BI1687" t="s">
        <v>131</v>
      </c>
      <c r="BL1687" t="s">
        <v>188</v>
      </c>
      <c r="BN1687" t="s">
        <v>7493</v>
      </c>
      <c r="BO1687" t="s">
        <v>131</v>
      </c>
      <c r="BP1687" t="s">
        <v>134</v>
      </c>
      <c r="BQ1687" t="s">
        <v>131</v>
      </c>
      <c r="BS1687" t="str">
        <f t="shared" si="104"/>
        <v>N/A</v>
      </c>
      <c r="BT1687" t="s">
        <v>135</v>
      </c>
      <c r="BU1687">
        <v>12</v>
      </c>
      <c r="BV1687" t="str">
        <f>"job offered or related occupation"</f>
        <v>job offered or related occupation</v>
      </c>
      <c r="BW1687" t="s">
        <v>131</v>
      </c>
      <c r="BX1687" t="str">
        <f>""</f>
        <v/>
      </c>
      <c r="BY1687" t="str">
        <f>""</f>
        <v/>
      </c>
      <c r="BZ1687" t="str">
        <f>""</f>
        <v/>
      </c>
      <c r="CA1687" t="str">
        <f>""</f>
        <v/>
      </c>
      <c r="CB1687" t="s">
        <v>135</v>
      </c>
      <c r="CC1687" t="s">
        <v>133</v>
      </c>
      <c r="CE1687" t="s">
        <v>11969</v>
      </c>
      <c r="CF1687" t="s">
        <v>131</v>
      </c>
      <c r="CH1687" t="str">
        <f t="shared" si="105"/>
        <v>N/A</v>
      </c>
      <c r="CI1687" t="s">
        <v>135</v>
      </c>
      <c r="CJ1687">
        <v>60</v>
      </c>
      <c r="CK1687" t="s">
        <v>135</v>
      </c>
      <c r="CL1687" t="str">
        <f>""</f>
        <v/>
      </c>
      <c r="CM1687" t="str">
        <f>""</f>
        <v/>
      </c>
      <c r="CN1687" t="str">
        <f>""</f>
        <v/>
      </c>
      <c r="CO1687" t="s">
        <v>16570</v>
      </c>
      <c r="CP1687" t="str">
        <f>"15-1199.02"</f>
        <v>15-1199.02</v>
      </c>
      <c r="CQ1687" t="s">
        <v>2269</v>
      </c>
      <c r="CR1687" t="s">
        <v>849</v>
      </c>
      <c r="CS1687" t="s">
        <v>131</v>
      </c>
      <c r="CU1687" t="s">
        <v>11966</v>
      </c>
      <c r="CV1687" t="s">
        <v>11970</v>
      </c>
      <c r="CW1687" t="s">
        <v>3818</v>
      </c>
      <c r="CX1687" t="s">
        <v>400</v>
      </c>
      <c r="CZ1687" s="3" t="str">
        <f>"75038"</f>
        <v>75038</v>
      </c>
      <c r="DA1687" t="s">
        <v>131</v>
      </c>
      <c r="DB1687" t="str">
        <f>""</f>
        <v/>
      </c>
      <c r="DF1687" t="str">
        <f>""</f>
        <v/>
      </c>
    </row>
    <row r="1688" spans="1:110" ht="15" customHeight="1" x14ac:dyDescent="0.35">
      <c r="A1688" t="s">
        <v>13616</v>
      </c>
      <c r="B1688" t="s">
        <v>138</v>
      </c>
      <c r="C1688" s="1">
        <v>44340</v>
      </c>
      <c r="G1688" s="1">
        <v>44350</v>
      </c>
      <c r="H1688" t="s">
        <v>125</v>
      </c>
      <c r="I1688" t="s">
        <v>838</v>
      </c>
      <c r="J1688" t="s">
        <v>839</v>
      </c>
      <c r="K1688" t="s">
        <v>840</v>
      </c>
      <c r="L1688" t="s">
        <v>2565</v>
      </c>
      <c r="M1688" t="s">
        <v>841</v>
      </c>
      <c r="N1688" t="s">
        <v>842</v>
      </c>
      <c r="O1688" t="s">
        <v>843</v>
      </c>
      <c r="P1688" t="s">
        <v>273</v>
      </c>
      <c r="Q1688" s="3">
        <v>7080</v>
      </c>
      <c r="R1688" t="s">
        <v>128</v>
      </c>
      <c r="T1688" s="4">
        <v>17328327978</v>
      </c>
      <c r="V1688" t="s">
        <v>844</v>
      </c>
      <c r="W1688" t="s">
        <v>5198</v>
      </c>
      <c r="Y1688" t="s">
        <v>5199</v>
      </c>
      <c r="Z1688" t="s">
        <v>5200</v>
      </c>
      <c r="AA1688" t="s">
        <v>3387</v>
      </c>
      <c r="AB1688" t="s">
        <v>276</v>
      </c>
      <c r="AC1688" s="3" t="str">
        <f>"08619"</f>
        <v>08619</v>
      </c>
      <c r="AD1688" t="s">
        <v>128</v>
      </c>
      <c r="AF1688" s="4">
        <v>16098485700</v>
      </c>
      <c r="AH1688" t="str">
        <f>"541511"</f>
        <v>541511</v>
      </c>
      <c r="AI1688" t="s">
        <v>130</v>
      </c>
      <c r="AJ1688" t="s">
        <v>838</v>
      </c>
      <c r="AK1688" t="s">
        <v>839</v>
      </c>
      <c r="AL1688" t="s">
        <v>840</v>
      </c>
      <c r="AM1688" t="s">
        <v>841</v>
      </c>
      <c r="AN1688" t="s">
        <v>842</v>
      </c>
      <c r="AO1688" t="s">
        <v>843</v>
      </c>
      <c r="AP1688" t="s">
        <v>276</v>
      </c>
      <c r="AQ1688" s="5">
        <v>7080</v>
      </c>
      <c r="AR1688" t="s">
        <v>128</v>
      </c>
      <c r="AT1688" s="4">
        <v>17328327978</v>
      </c>
      <c r="AV1688" t="s">
        <v>844</v>
      </c>
      <c r="AW1688" t="s">
        <v>12732</v>
      </c>
      <c r="AX1688" t="s">
        <v>131</v>
      </c>
      <c r="AY1688" t="s">
        <v>131</v>
      </c>
      <c r="AZ1688" t="s">
        <v>131</v>
      </c>
      <c r="BA1688" t="s">
        <v>131</v>
      </c>
      <c r="BB1688" t="s">
        <v>131</v>
      </c>
      <c r="BC1688" t="s">
        <v>131</v>
      </c>
      <c r="BD1688" t="s">
        <v>131</v>
      </c>
      <c r="BE1688" t="s">
        <v>132</v>
      </c>
      <c r="BH1688" t="s">
        <v>500</v>
      </c>
      <c r="BI1688" t="s">
        <v>131</v>
      </c>
      <c r="BL1688" t="s">
        <v>188</v>
      </c>
      <c r="BN1688" t="s">
        <v>5201</v>
      </c>
      <c r="BO1688" t="s">
        <v>131</v>
      </c>
      <c r="BP1688" t="s">
        <v>134</v>
      </c>
      <c r="BQ1688" t="s">
        <v>131</v>
      </c>
      <c r="BS1688" t="str">
        <f t="shared" si="104"/>
        <v>N/A</v>
      </c>
      <c r="BT1688" t="s">
        <v>135</v>
      </c>
      <c r="BU1688">
        <v>12</v>
      </c>
      <c r="BV1688" t="str">
        <f>"JOB OFFERED OR RELATED OCCUPATION"</f>
        <v>JOB OFFERED OR RELATED OCCUPATION</v>
      </c>
      <c r="BW1688" t="s">
        <v>135</v>
      </c>
      <c r="BX1688" t="str">
        <f>""</f>
        <v/>
      </c>
      <c r="BY1688" t="str">
        <f>""</f>
        <v/>
      </c>
      <c r="BZ1688" t="str">
        <f>""</f>
        <v/>
      </c>
      <c r="CA1688" t="str">
        <f>"SKILLS REQUIRED: ORACLE, SQL SERVER, JAVA, GIT, JENKINS, PYTHON, UNIX, GROOVY AND AWS."</f>
        <v>SKILLS REQUIRED: ORACLE, SQL SERVER, JAVA, GIT, JENKINS, PYTHON, UNIX, GROOVY AND AWS.</v>
      </c>
      <c r="CB1688" t="s">
        <v>135</v>
      </c>
      <c r="CC1688" t="s">
        <v>133</v>
      </c>
      <c r="CE1688" t="s">
        <v>5201</v>
      </c>
      <c r="CF1688" t="s">
        <v>131</v>
      </c>
      <c r="CH1688" t="str">
        <f t="shared" si="105"/>
        <v>N/A</v>
      </c>
      <c r="CI1688" t="s">
        <v>135</v>
      </c>
      <c r="CJ1688">
        <v>60</v>
      </c>
      <c r="CK1688" t="s">
        <v>135</v>
      </c>
      <c r="CL1688" t="str">
        <f>""</f>
        <v/>
      </c>
      <c r="CM1688" t="str">
        <f>""</f>
        <v/>
      </c>
      <c r="CN1688" t="str">
        <f>""</f>
        <v/>
      </c>
      <c r="CO1688" t="str">
        <f>"SAME AS F.b.5.a"</f>
        <v>SAME AS F.b.5.a</v>
      </c>
      <c r="CP1688" t="str">
        <f>"15-1132.00"</f>
        <v>15-1132.00</v>
      </c>
      <c r="CQ1688" t="s">
        <v>198</v>
      </c>
      <c r="CR1688" t="s">
        <v>849</v>
      </c>
      <c r="CS1688" t="s">
        <v>131</v>
      </c>
      <c r="CU1688" t="s">
        <v>5203</v>
      </c>
      <c r="CV1688" t="s">
        <v>5204</v>
      </c>
      <c r="CW1688" t="s">
        <v>3387</v>
      </c>
      <c r="CX1688" t="s">
        <v>276</v>
      </c>
      <c r="CZ1688" s="3" t="str">
        <f>"08619"</f>
        <v>08619</v>
      </c>
      <c r="DA1688" t="s">
        <v>131</v>
      </c>
      <c r="DB1688" t="str">
        <f>""</f>
        <v/>
      </c>
      <c r="DF1688" t="str">
        <f>""</f>
        <v/>
      </c>
    </row>
    <row r="1689" spans="1:110" ht="15" customHeight="1" x14ac:dyDescent="0.35">
      <c r="A1689" t="s">
        <v>5998</v>
      </c>
      <c r="B1689" t="s">
        <v>138</v>
      </c>
      <c r="C1689" s="1">
        <v>44340</v>
      </c>
      <c r="G1689" s="1">
        <v>44340</v>
      </c>
      <c r="H1689" t="s">
        <v>125</v>
      </c>
      <c r="I1689" t="s">
        <v>1937</v>
      </c>
      <c r="J1689" t="s">
        <v>2410</v>
      </c>
      <c r="K1689" t="s">
        <v>5999</v>
      </c>
      <c r="L1689" t="s">
        <v>6000</v>
      </c>
      <c r="M1689" t="s">
        <v>6001</v>
      </c>
      <c r="N1689" t="s">
        <v>6002</v>
      </c>
      <c r="O1689" t="s">
        <v>476</v>
      </c>
      <c r="P1689" t="s">
        <v>178</v>
      </c>
      <c r="Q1689" s="3">
        <v>90071</v>
      </c>
      <c r="R1689" t="s">
        <v>128</v>
      </c>
      <c r="T1689" s="4">
        <v>13108203322</v>
      </c>
      <c r="V1689" t="s">
        <v>2112</v>
      </c>
      <c r="W1689" t="s">
        <v>6003</v>
      </c>
      <c r="Y1689" t="s">
        <v>6004</v>
      </c>
      <c r="Z1689" t="s">
        <v>565</v>
      </c>
      <c r="AA1689" t="s">
        <v>729</v>
      </c>
      <c r="AB1689" t="s">
        <v>172</v>
      </c>
      <c r="AC1689" s="3" t="str">
        <f>"91105"</f>
        <v>91105</v>
      </c>
      <c r="AD1689" t="s">
        <v>128</v>
      </c>
      <c r="AF1689" s="4">
        <v>16267884590</v>
      </c>
      <c r="AH1689" t="str">
        <f>"541714"</f>
        <v>541714</v>
      </c>
      <c r="AI1689" t="s">
        <v>130</v>
      </c>
      <c r="AJ1689" t="s">
        <v>2149</v>
      </c>
      <c r="AK1689" t="s">
        <v>560</v>
      </c>
      <c r="AM1689" t="s">
        <v>475</v>
      </c>
      <c r="AN1689" t="s">
        <v>439</v>
      </c>
      <c r="AO1689" t="s">
        <v>476</v>
      </c>
      <c r="AP1689" t="s">
        <v>172</v>
      </c>
      <c r="AQ1689" s="5">
        <v>90071</v>
      </c>
      <c r="AR1689" t="s">
        <v>128</v>
      </c>
      <c r="AT1689" s="4">
        <v>13108203322</v>
      </c>
      <c r="AV1689" t="s">
        <v>6005</v>
      </c>
      <c r="AW1689" t="s">
        <v>386</v>
      </c>
      <c r="AX1689" t="s">
        <v>131</v>
      </c>
      <c r="AY1689" t="s">
        <v>131</v>
      </c>
      <c r="AZ1689" t="s">
        <v>131</v>
      </c>
      <c r="BA1689" t="s">
        <v>131</v>
      </c>
      <c r="BB1689" t="s">
        <v>131</v>
      </c>
      <c r="BC1689" t="s">
        <v>131</v>
      </c>
      <c r="BD1689" t="s">
        <v>131</v>
      </c>
      <c r="BE1689" t="s">
        <v>132</v>
      </c>
      <c r="BH1689" t="s">
        <v>6006</v>
      </c>
      <c r="BI1689" t="s">
        <v>131</v>
      </c>
      <c r="BL1689" t="s">
        <v>188</v>
      </c>
      <c r="BN1689" t="s">
        <v>6007</v>
      </c>
      <c r="BO1689" t="s">
        <v>131</v>
      </c>
      <c r="BP1689" t="s">
        <v>134</v>
      </c>
      <c r="BQ1689" t="s">
        <v>131</v>
      </c>
      <c r="BS1689" t="str">
        <f t="shared" si="104"/>
        <v>N/A</v>
      </c>
      <c r="BT1689" t="s">
        <v>135</v>
      </c>
      <c r="BU1689">
        <v>24</v>
      </c>
      <c r="BV1689" t="str">
        <f>"Regulatory Affairs Manager or related occupation."</f>
        <v>Regulatory Affairs Manager or related occupation.</v>
      </c>
      <c r="BW1689" t="s">
        <v>135</v>
      </c>
      <c r="BX1689" t="str">
        <f>""</f>
        <v/>
      </c>
      <c r="BY1689" t="str">
        <f>""</f>
        <v/>
      </c>
      <c r="BZ1689" t="str">
        <f>""</f>
        <v/>
      </c>
      <c r="CA1689" t="s">
        <v>6008</v>
      </c>
      <c r="CB1689" t="s">
        <v>131</v>
      </c>
      <c r="CF1689" t="s">
        <v>131</v>
      </c>
      <c r="CH1689" t="str">
        <f>""</f>
        <v/>
      </c>
      <c r="CI1689" t="s">
        <v>131</v>
      </c>
      <c r="CK1689" t="s">
        <v>131</v>
      </c>
      <c r="CL1689" t="str">
        <f>""</f>
        <v/>
      </c>
      <c r="CM1689" t="str">
        <f>""</f>
        <v/>
      </c>
      <c r="CN1689" t="str">
        <f>""</f>
        <v/>
      </c>
      <c r="CO1689" t="str">
        <f>""</f>
        <v/>
      </c>
      <c r="CP1689" t="str">
        <f>"11-9199.01"</f>
        <v>11-9199.01</v>
      </c>
      <c r="CQ1689" t="s">
        <v>6009</v>
      </c>
      <c r="CR1689" t="s">
        <v>6010</v>
      </c>
      <c r="CS1689" t="s">
        <v>135</v>
      </c>
      <c r="CT1689" t="s">
        <v>6011</v>
      </c>
      <c r="CU1689" t="s">
        <v>6004</v>
      </c>
      <c r="CV1689" t="s">
        <v>565</v>
      </c>
      <c r="CW1689" t="s">
        <v>729</v>
      </c>
      <c r="CX1689" t="s">
        <v>172</v>
      </c>
      <c r="CZ1689" s="3" t="str">
        <f>"91105"</f>
        <v>91105</v>
      </c>
      <c r="DA1689" t="s">
        <v>131</v>
      </c>
      <c r="DB1689" t="str">
        <f>""</f>
        <v/>
      </c>
      <c r="DF1689" t="str">
        <f>""</f>
        <v/>
      </c>
    </row>
    <row r="1690" spans="1:110" ht="15" customHeight="1" x14ac:dyDescent="0.35">
      <c r="A1690" t="s">
        <v>9283</v>
      </c>
      <c r="B1690" t="s">
        <v>138</v>
      </c>
      <c r="C1690" s="1">
        <v>44340</v>
      </c>
      <c r="G1690" s="1">
        <v>44340</v>
      </c>
      <c r="H1690" t="s">
        <v>125</v>
      </c>
      <c r="I1690" t="s">
        <v>491</v>
      </c>
      <c r="J1690" t="s">
        <v>1493</v>
      </c>
      <c r="K1690" t="s">
        <v>840</v>
      </c>
      <c r="L1690" t="s">
        <v>3089</v>
      </c>
      <c r="M1690" t="s">
        <v>304</v>
      </c>
      <c r="O1690" t="s">
        <v>305</v>
      </c>
      <c r="P1690" t="s">
        <v>273</v>
      </c>
      <c r="Q1690" s="3">
        <v>7080</v>
      </c>
      <c r="R1690" t="s">
        <v>128</v>
      </c>
      <c r="T1690" s="4">
        <v>17328327978</v>
      </c>
      <c r="V1690" t="s">
        <v>9284</v>
      </c>
      <c r="W1690" t="s">
        <v>9285</v>
      </c>
      <c r="Y1690" t="s">
        <v>304</v>
      </c>
      <c r="Z1690" t="s">
        <v>698</v>
      </c>
      <c r="AA1690" t="s">
        <v>305</v>
      </c>
      <c r="AB1690" t="s">
        <v>276</v>
      </c>
      <c r="AC1690" s="3" t="str">
        <f>"07080"</f>
        <v>07080</v>
      </c>
      <c r="AD1690" t="s">
        <v>128</v>
      </c>
      <c r="AF1690" s="4">
        <v>17328327978</v>
      </c>
      <c r="AH1690" t="str">
        <f>"5411"</f>
        <v>5411</v>
      </c>
      <c r="AI1690" t="s">
        <v>130</v>
      </c>
      <c r="AJ1690" t="s">
        <v>491</v>
      </c>
      <c r="AK1690" t="s">
        <v>745</v>
      </c>
      <c r="AM1690" t="s">
        <v>304</v>
      </c>
      <c r="AN1690" t="s">
        <v>9286</v>
      </c>
      <c r="AO1690" t="s">
        <v>305</v>
      </c>
      <c r="AP1690" t="s">
        <v>276</v>
      </c>
      <c r="AQ1690" s="5">
        <v>7080</v>
      </c>
      <c r="AR1690" t="s">
        <v>128</v>
      </c>
      <c r="AT1690" s="4">
        <v>17328327978</v>
      </c>
      <c r="AV1690" t="s">
        <v>9287</v>
      </c>
      <c r="AW1690" t="s">
        <v>9285</v>
      </c>
      <c r="AX1690" t="s">
        <v>131</v>
      </c>
      <c r="AY1690" t="s">
        <v>131</v>
      </c>
      <c r="AZ1690" t="s">
        <v>131</v>
      </c>
      <c r="BA1690" t="s">
        <v>131</v>
      </c>
      <c r="BB1690" t="s">
        <v>131</v>
      </c>
      <c r="BC1690" t="s">
        <v>131</v>
      </c>
      <c r="BD1690" t="s">
        <v>131</v>
      </c>
      <c r="BE1690" t="s">
        <v>132</v>
      </c>
      <c r="BH1690" t="s">
        <v>2375</v>
      </c>
      <c r="BI1690" t="s">
        <v>131</v>
      </c>
      <c r="BL1690" t="s">
        <v>188</v>
      </c>
      <c r="BN1690" t="s">
        <v>9288</v>
      </c>
      <c r="BO1690" t="s">
        <v>131</v>
      </c>
      <c r="BP1690" t="s">
        <v>134</v>
      </c>
      <c r="BQ1690" t="s">
        <v>131</v>
      </c>
      <c r="BS1690" t="str">
        <f t="shared" si="104"/>
        <v>N/A</v>
      </c>
      <c r="BT1690" t="s">
        <v>131</v>
      </c>
      <c r="BV1690" t="str">
        <f>""</f>
        <v/>
      </c>
      <c r="BW1690" t="s">
        <v>131</v>
      </c>
      <c r="BX1690" t="str">
        <f>""</f>
        <v/>
      </c>
      <c r="BY1690" t="str">
        <f>""</f>
        <v/>
      </c>
      <c r="BZ1690" t="str">
        <f>""</f>
        <v/>
      </c>
      <c r="CA1690" t="str">
        <f>""</f>
        <v/>
      </c>
      <c r="CB1690" t="s">
        <v>131</v>
      </c>
      <c r="CF1690" t="s">
        <v>131</v>
      </c>
      <c r="CH1690" t="str">
        <f>""</f>
        <v/>
      </c>
      <c r="CI1690" t="s">
        <v>131</v>
      </c>
      <c r="CK1690" t="s">
        <v>131</v>
      </c>
      <c r="CL1690" t="str">
        <f>""</f>
        <v/>
      </c>
      <c r="CM1690" t="str">
        <f>""</f>
        <v/>
      </c>
      <c r="CN1690" t="str">
        <f>""</f>
        <v/>
      </c>
      <c r="CO1690" t="str">
        <f>""</f>
        <v/>
      </c>
      <c r="CP1690" t="str">
        <f>"23-2011.00"</f>
        <v>23-2011.00</v>
      </c>
      <c r="CQ1690" t="s">
        <v>4632</v>
      </c>
      <c r="CR1690" t="s">
        <v>130</v>
      </c>
      <c r="CS1690" t="s">
        <v>131</v>
      </c>
      <c r="CU1690" t="s">
        <v>304</v>
      </c>
      <c r="CV1690" t="s">
        <v>9286</v>
      </c>
      <c r="CW1690" t="s">
        <v>305</v>
      </c>
      <c r="CX1690" t="s">
        <v>276</v>
      </c>
      <c r="CZ1690" s="3" t="str">
        <f>"07080"</f>
        <v>07080</v>
      </c>
      <c r="DA1690" t="s">
        <v>131</v>
      </c>
      <c r="DB1690" t="str">
        <f>""</f>
        <v/>
      </c>
      <c r="DF1690" t="str">
        <f>""</f>
        <v/>
      </c>
    </row>
    <row r="1691" spans="1:110" ht="15" customHeight="1" x14ac:dyDescent="0.35">
      <c r="A1691" t="s">
        <v>11703</v>
      </c>
      <c r="B1691" t="s">
        <v>138</v>
      </c>
      <c r="C1691" s="1">
        <v>44340</v>
      </c>
      <c r="G1691" s="1">
        <v>44343</v>
      </c>
      <c r="H1691" t="s">
        <v>125</v>
      </c>
      <c r="I1691" t="s">
        <v>11704</v>
      </c>
      <c r="J1691" t="s">
        <v>11705</v>
      </c>
      <c r="K1691" t="s">
        <v>2429</v>
      </c>
      <c r="L1691" t="s">
        <v>7505</v>
      </c>
      <c r="M1691" t="s">
        <v>11706</v>
      </c>
      <c r="O1691" t="s">
        <v>600</v>
      </c>
      <c r="P1691" t="s">
        <v>593</v>
      </c>
      <c r="Q1691" s="3">
        <v>28277</v>
      </c>
      <c r="R1691" t="s">
        <v>128</v>
      </c>
      <c r="T1691" s="4">
        <v>19808198771</v>
      </c>
      <c r="V1691" t="s">
        <v>11707</v>
      </c>
      <c r="W1691" t="s">
        <v>11708</v>
      </c>
      <c r="X1691" t="s">
        <v>11709</v>
      </c>
      <c r="Y1691" t="s">
        <v>11706</v>
      </c>
      <c r="AA1691" t="s">
        <v>600</v>
      </c>
      <c r="AB1691" t="s">
        <v>594</v>
      </c>
      <c r="AC1691" s="3" t="str">
        <f>"28277"</f>
        <v>28277</v>
      </c>
      <c r="AD1691" t="s">
        <v>128</v>
      </c>
      <c r="AF1691" s="4">
        <v>19808198771</v>
      </c>
      <c r="AH1691" t="str">
        <f>"722513"</f>
        <v>722513</v>
      </c>
      <c r="AI1691" t="s">
        <v>130</v>
      </c>
      <c r="AJ1691" t="s">
        <v>11710</v>
      </c>
      <c r="AK1691" t="s">
        <v>10797</v>
      </c>
      <c r="AL1691" t="s">
        <v>11711</v>
      </c>
      <c r="AM1691" t="s">
        <v>11712</v>
      </c>
      <c r="AN1691" t="s">
        <v>2686</v>
      </c>
      <c r="AO1691" t="s">
        <v>4722</v>
      </c>
      <c r="AP1691" t="s">
        <v>172</v>
      </c>
      <c r="AQ1691" s="5">
        <v>90802</v>
      </c>
      <c r="AR1691" t="s">
        <v>128</v>
      </c>
      <c r="AT1691" s="4">
        <v>19492610144</v>
      </c>
      <c r="AV1691" t="s">
        <v>11713</v>
      </c>
      <c r="AW1691" t="s">
        <v>11714</v>
      </c>
      <c r="AX1691" t="s">
        <v>131</v>
      </c>
      <c r="AY1691" t="s">
        <v>131</v>
      </c>
      <c r="AZ1691" t="s">
        <v>131</v>
      </c>
      <c r="BA1691" t="s">
        <v>131</v>
      </c>
      <c r="BB1691" t="s">
        <v>131</v>
      </c>
      <c r="BC1691" t="s">
        <v>131</v>
      </c>
      <c r="BD1691" t="s">
        <v>131</v>
      </c>
      <c r="BE1691" t="s">
        <v>132</v>
      </c>
      <c r="BH1691" t="s">
        <v>11715</v>
      </c>
      <c r="BI1691" t="s">
        <v>135</v>
      </c>
      <c r="BJ1691" t="s">
        <v>11716</v>
      </c>
      <c r="BK1691" t="s">
        <v>1940</v>
      </c>
      <c r="BL1691" t="s">
        <v>167</v>
      </c>
      <c r="BO1691" t="s">
        <v>131</v>
      </c>
      <c r="BP1691" t="s">
        <v>134</v>
      </c>
      <c r="BQ1691" t="s">
        <v>131</v>
      </c>
      <c r="BS1691" t="str">
        <f t="shared" si="104"/>
        <v>N/A</v>
      </c>
      <c r="BT1691" t="s">
        <v>135</v>
      </c>
      <c r="BU1691">
        <v>60</v>
      </c>
      <c r="BV1691" t="str">
        <f>"Pastry chef and baker.  "</f>
        <v xml:space="preserve">Pastry chef and baker.  </v>
      </c>
      <c r="BW1691" t="s">
        <v>131</v>
      </c>
      <c r="BX1691" t="str">
        <f>""</f>
        <v/>
      </c>
      <c r="BY1691" t="str">
        <f>""</f>
        <v/>
      </c>
      <c r="BZ1691" t="str">
        <f>""</f>
        <v/>
      </c>
      <c r="CA1691" t="str">
        <f>""</f>
        <v/>
      </c>
      <c r="CB1691" t="s">
        <v>131</v>
      </c>
      <c r="CF1691" t="s">
        <v>131</v>
      </c>
      <c r="CH1691" t="str">
        <f>""</f>
        <v/>
      </c>
      <c r="CI1691" t="s">
        <v>131</v>
      </c>
      <c r="CK1691" t="s">
        <v>131</v>
      </c>
      <c r="CL1691" t="str">
        <f>""</f>
        <v/>
      </c>
      <c r="CM1691" t="str">
        <f>""</f>
        <v/>
      </c>
      <c r="CN1691" t="str">
        <f>""</f>
        <v/>
      </c>
      <c r="CO1691" t="str">
        <f>""</f>
        <v/>
      </c>
      <c r="CP1691" t="str">
        <f>"51-3011.00"</f>
        <v>51-3011.00</v>
      </c>
      <c r="CQ1691" t="s">
        <v>1940</v>
      </c>
      <c r="CR1691" t="s">
        <v>11717</v>
      </c>
      <c r="CS1691" t="s">
        <v>131</v>
      </c>
      <c r="CU1691" t="s">
        <v>11718</v>
      </c>
      <c r="CV1691" t="s">
        <v>11719</v>
      </c>
      <c r="CW1691" t="s">
        <v>600</v>
      </c>
      <c r="CX1691" t="s">
        <v>594</v>
      </c>
      <c r="CZ1691" s="3" t="str">
        <f>"28211"</f>
        <v>28211</v>
      </c>
      <c r="DA1691" t="s">
        <v>131</v>
      </c>
      <c r="DB1691" t="str">
        <f>""</f>
        <v/>
      </c>
      <c r="DF1691" t="str">
        <f>""</f>
        <v/>
      </c>
    </row>
    <row r="1692" spans="1:110" ht="15" customHeight="1" x14ac:dyDescent="0.35">
      <c r="A1692" t="s">
        <v>19533</v>
      </c>
      <c r="B1692" t="s">
        <v>138</v>
      </c>
      <c r="C1692" s="1">
        <v>44340</v>
      </c>
      <c r="G1692" s="1">
        <v>44342</v>
      </c>
      <c r="H1692" t="s">
        <v>125</v>
      </c>
      <c r="I1692" t="s">
        <v>2131</v>
      </c>
      <c r="J1692" t="s">
        <v>2132</v>
      </c>
      <c r="L1692" t="s">
        <v>9452</v>
      </c>
      <c r="M1692" t="s">
        <v>2133</v>
      </c>
      <c r="O1692" t="s">
        <v>642</v>
      </c>
      <c r="P1692" t="s">
        <v>818</v>
      </c>
      <c r="Q1692" s="3">
        <v>30318</v>
      </c>
      <c r="R1692" t="s">
        <v>128</v>
      </c>
      <c r="T1692" s="4">
        <v>16784339903</v>
      </c>
      <c r="V1692" t="s">
        <v>2134</v>
      </c>
      <c r="W1692" t="s">
        <v>2135</v>
      </c>
      <c r="Y1692" t="s">
        <v>2133</v>
      </c>
      <c r="Z1692" t="s">
        <v>2136</v>
      </c>
      <c r="AA1692" t="s">
        <v>642</v>
      </c>
      <c r="AB1692" t="s">
        <v>643</v>
      </c>
      <c r="AC1692" s="3" t="str">
        <f>"30318"</f>
        <v>30318</v>
      </c>
      <c r="AD1692" t="s">
        <v>128</v>
      </c>
      <c r="AF1692" s="4">
        <v>16784339903</v>
      </c>
      <c r="AH1692" t="str">
        <f>"2381"</f>
        <v>2381</v>
      </c>
      <c r="AI1692" t="s">
        <v>287</v>
      </c>
      <c r="AJ1692" t="s">
        <v>1448</v>
      </c>
      <c r="AK1692" t="s">
        <v>2137</v>
      </c>
      <c r="AM1692" t="s">
        <v>2138</v>
      </c>
      <c r="AN1692" t="s">
        <v>698</v>
      </c>
      <c r="AO1692" t="s">
        <v>2139</v>
      </c>
      <c r="AP1692" t="s">
        <v>643</v>
      </c>
      <c r="AQ1692" s="5">
        <v>30102</v>
      </c>
      <c r="AR1692" t="s">
        <v>128</v>
      </c>
      <c r="AT1692" s="4">
        <v>16784339903</v>
      </c>
      <c r="AV1692" t="s">
        <v>9451</v>
      </c>
      <c r="AW1692" t="s">
        <v>2140</v>
      </c>
      <c r="AX1692" t="s">
        <v>131</v>
      </c>
      <c r="AY1692" t="s">
        <v>131</v>
      </c>
      <c r="AZ1692" t="s">
        <v>131</v>
      </c>
      <c r="BA1692" t="s">
        <v>131</v>
      </c>
      <c r="BB1692" t="s">
        <v>131</v>
      </c>
      <c r="BC1692" t="s">
        <v>131</v>
      </c>
      <c r="BD1692" t="s">
        <v>131</v>
      </c>
      <c r="BE1692" t="s">
        <v>132</v>
      </c>
      <c r="BH1692" t="s">
        <v>9452</v>
      </c>
      <c r="BI1692" t="s">
        <v>131</v>
      </c>
      <c r="BL1692" t="s">
        <v>401</v>
      </c>
      <c r="BO1692" t="s">
        <v>131</v>
      </c>
      <c r="BP1692" t="s">
        <v>134</v>
      </c>
      <c r="BQ1692" t="s">
        <v>131</v>
      </c>
      <c r="BS1692" t="str">
        <f t="shared" si="104"/>
        <v>N/A</v>
      </c>
      <c r="BT1692" t="s">
        <v>135</v>
      </c>
      <c r="BU1692">
        <v>24</v>
      </c>
      <c r="BV1692" t="str">
        <f>"
2 years of fabrication in countertops(required) 
2 years of countertop installation(required)
2 years of construction(required)
2 years of carpentry(required)"</f>
        <v xml:space="preserve">
2 years of fabrication in countertops(required) 
2 years of countertop installation(required)
2 years of construction(required)
2 years of carpentry(required)</v>
      </c>
      <c r="BW1692" t="s">
        <v>135</v>
      </c>
      <c r="BX1692" t="str">
        <f>"Valid Driver License"</f>
        <v>Valid Driver License</v>
      </c>
      <c r="BY1692" t="str">
        <f>"Portuguese and spanish"</f>
        <v>Portuguese and spanish</v>
      </c>
      <c r="BZ1692" t="str">
        <f>""</f>
        <v/>
      </c>
      <c r="CA1692" t="str">
        <f>""</f>
        <v/>
      </c>
      <c r="CB1692" t="s">
        <v>131</v>
      </c>
      <c r="CF1692" t="s">
        <v>131</v>
      </c>
      <c r="CH1692" t="str">
        <f>""</f>
        <v/>
      </c>
      <c r="CI1692" t="s">
        <v>131</v>
      </c>
      <c r="CK1692" t="s">
        <v>131</v>
      </c>
      <c r="CL1692" t="str">
        <f>""</f>
        <v/>
      </c>
      <c r="CM1692" t="str">
        <f>""</f>
        <v/>
      </c>
      <c r="CN1692" t="str">
        <f>""</f>
        <v/>
      </c>
      <c r="CO1692" t="str">
        <f>""</f>
        <v/>
      </c>
      <c r="CP1692" t="str">
        <f>"47-2044.00"</f>
        <v>47-2044.00</v>
      </c>
      <c r="CQ1692" t="s">
        <v>9453</v>
      </c>
      <c r="CR1692" t="s">
        <v>918</v>
      </c>
      <c r="CS1692" t="s">
        <v>135</v>
      </c>
      <c r="CT1692" t="s">
        <v>19534</v>
      </c>
      <c r="CU1692" t="s">
        <v>2133</v>
      </c>
      <c r="CV1692" t="s">
        <v>2136</v>
      </c>
      <c r="CW1692" t="s">
        <v>642</v>
      </c>
      <c r="CX1692" t="s">
        <v>643</v>
      </c>
      <c r="CZ1692" s="3" t="str">
        <f>"30318"</f>
        <v>30318</v>
      </c>
      <c r="DA1692" t="s">
        <v>131</v>
      </c>
      <c r="DB1692" t="str">
        <f>""</f>
        <v/>
      </c>
      <c r="DF1692" t="str">
        <f>""</f>
        <v/>
      </c>
    </row>
    <row r="1693" spans="1:110" ht="15" customHeight="1" x14ac:dyDescent="0.35">
      <c r="A1693" t="s">
        <v>18135</v>
      </c>
      <c r="B1693" t="s">
        <v>138</v>
      </c>
      <c r="C1693" s="1">
        <v>44340</v>
      </c>
      <c r="G1693" s="1">
        <v>44342</v>
      </c>
      <c r="H1693" t="s">
        <v>125</v>
      </c>
      <c r="I1693" t="s">
        <v>2131</v>
      </c>
      <c r="J1693" t="s">
        <v>2132</v>
      </c>
      <c r="L1693" t="s">
        <v>1105</v>
      </c>
      <c r="M1693" t="s">
        <v>10294</v>
      </c>
      <c r="N1693" t="s">
        <v>2136</v>
      </c>
      <c r="O1693" t="s">
        <v>642</v>
      </c>
      <c r="P1693" t="s">
        <v>818</v>
      </c>
      <c r="Q1693" s="3">
        <v>30318</v>
      </c>
      <c r="R1693" t="s">
        <v>128</v>
      </c>
      <c r="T1693" s="4">
        <v>16784339903</v>
      </c>
      <c r="V1693" t="s">
        <v>2134</v>
      </c>
      <c r="W1693" t="s">
        <v>2135</v>
      </c>
      <c r="Y1693" t="s">
        <v>18136</v>
      </c>
      <c r="AA1693" t="s">
        <v>642</v>
      </c>
      <c r="AB1693" t="s">
        <v>643</v>
      </c>
      <c r="AC1693" s="3" t="str">
        <f>"30318"</f>
        <v>30318</v>
      </c>
      <c r="AD1693" t="s">
        <v>128</v>
      </c>
      <c r="AF1693" s="4">
        <v>16784339903</v>
      </c>
      <c r="AH1693" t="str">
        <f>"2381"</f>
        <v>2381</v>
      </c>
      <c r="AI1693" t="s">
        <v>287</v>
      </c>
      <c r="AJ1693" t="s">
        <v>1448</v>
      </c>
      <c r="AK1693" t="s">
        <v>2137</v>
      </c>
      <c r="AM1693" t="s">
        <v>2138</v>
      </c>
      <c r="AN1693" t="s">
        <v>698</v>
      </c>
      <c r="AO1693" t="s">
        <v>2139</v>
      </c>
      <c r="AP1693" t="s">
        <v>643</v>
      </c>
      <c r="AQ1693" s="5">
        <v>30102</v>
      </c>
      <c r="AR1693" t="s">
        <v>128</v>
      </c>
      <c r="AS1693" t="s">
        <v>818</v>
      </c>
      <c r="AT1693" s="4">
        <v>16784339903</v>
      </c>
      <c r="AV1693" t="s">
        <v>9451</v>
      </c>
      <c r="AW1693" t="s">
        <v>2140</v>
      </c>
      <c r="AX1693" t="s">
        <v>131</v>
      </c>
      <c r="AY1693" t="s">
        <v>131</v>
      </c>
      <c r="AZ1693" t="s">
        <v>131</v>
      </c>
      <c r="BA1693" t="s">
        <v>131</v>
      </c>
      <c r="BB1693" t="s">
        <v>131</v>
      </c>
      <c r="BC1693" t="s">
        <v>131</v>
      </c>
      <c r="BD1693" t="s">
        <v>131</v>
      </c>
      <c r="BE1693" t="s">
        <v>132</v>
      </c>
      <c r="BH1693" t="s">
        <v>10295</v>
      </c>
      <c r="BI1693" t="s">
        <v>131</v>
      </c>
      <c r="BL1693" t="s">
        <v>401</v>
      </c>
      <c r="BO1693" t="s">
        <v>131</v>
      </c>
      <c r="BP1693" t="s">
        <v>134</v>
      </c>
      <c r="BQ1693" t="s">
        <v>131</v>
      </c>
      <c r="BS1693" t="str">
        <f t="shared" si="104"/>
        <v>N/A</v>
      </c>
      <c r="BT1693" t="s">
        <v>135</v>
      </c>
      <c r="BU1693">
        <v>24</v>
      </c>
      <c r="BV1693" t="str">
        <f>"Stone and solid surfaces fabrication"</f>
        <v>Stone and solid surfaces fabrication</v>
      </c>
      <c r="BW1693" t="s">
        <v>135</v>
      </c>
      <c r="BX1693" t="str">
        <f>"Valid driver license"</f>
        <v>Valid driver license</v>
      </c>
      <c r="BY1693" t="str">
        <f>"Portuguese and spanish"</f>
        <v>Portuguese and spanish</v>
      </c>
      <c r="BZ1693" t="str">
        <f>""</f>
        <v/>
      </c>
      <c r="CA1693" t="str">
        <f>""</f>
        <v/>
      </c>
      <c r="CB1693" t="s">
        <v>131</v>
      </c>
      <c r="CF1693" t="s">
        <v>131</v>
      </c>
      <c r="CH1693" t="str">
        <f>""</f>
        <v/>
      </c>
      <c r="CI1693" t="s">
        <v>131</v>
      </c>
      <c r="CK1693" t="s">
        <v>131</v>
      </c>
      <c r="CL1693" t="str">
        <f>""</f>
        <v/>
      </c>
      <c r="CM1693" t="str">
        <f>""</f>
        <v/>
      </c>
      <c r="CN1693" t="str">
        <f>""</f>
        <v/>
      </c>
      <c r="CO1693" t="str">
        <f>""</f>
        <v/>
      </c>
      <c r="CP1693" t="str">
        <f>"47-2044.00"</f>
        <v>47-2044.00</v>
      </c>
      <c r="CQ1693" t="s">
        <v>9453</v>
      </c>
      <c r="CR1693" t="s">
        <v>918</v>
      </c>
      <c r="CS1693" t="s">
        <v>135</v>
      </c>
      <c r="CT1693" t="s">
        <v>10296</v>
      </c>
      <c r="CU1693" t="s">
        <v>2133</v>
      </c>
      <c r="CV1693" t="s">
        <v>2136</v>
      </c>
      <c r="CW1693" t="s">
        <v>642</v>
      </c>
      <c r="CX1693" t="s">
        <v>643</v>
      </c>
      <c r="CZ1693" s="3" t="str">
        <f>"30318"</f>
        <v>30318</v>
      </c>
      <c r="DA1693" t="s">
        <v>131</v>
      </c>
      <c r="DB1693" t="str">
        <f>""</f>
        <v/>
      </c>
      <c r="DF1693" t="str">
        <f>""</f>
        <v/>
      </c>
    </row>
    <row r="1694" spans="1:110" ht="15" customHeight="1" x14ac:dyDescent="0.35">
      <c r="A1694" t="s">
        <v>4973</v>
      </c>
      <c r="B1694" t="s">
        <v>138</v>
      </c>
      <c r="C1694" s="1">
        <v>44341</v>
      </c>
      <c r="G1694" s="1">
        <v>44350</v>
      </c>
      <c r="H1694" t="s">
        <v>125</v>
      </c>
      <c r="I1694" t="s">
        <v>4873</v>
      </c>
      <c r="J1694" t="s">
        <v>4874</v>
      </c>
      <c r="L1694" t="s">
        <v>4875</v>
      </c>
      <c r="M1694" t="s">
        <v>4876</v>
      </c>
      <c r="O1694" t="s">
        <v>2072</v>
      </c>
      <c r="P1694" t="s">
        <v>178</v>
      </c>
      <c r="Q1694" s="3">
        <v>94568</v>
      </c>
      <c r="R1694" t="s">
        <v>128</v>
      </c>
      <c r="T1694" s="4">
        <v>15103525000</v>
      </c>
      <c r="V1694" t="s">
        <v>4877</v>
      </c>
      <c r="W1694" t="s">
        <v>4974</v>
      </c>
      <c r="Y1694" t="s">
        <v>4876</v>
      </c>
      <c r="AA1694" t="s">
        <v>2072</v>
      </c>
      <c r="AB1694" t="s">
        <v>172</v>
      </c>
      <c r="AC1694" s="3" t="str">
        <f>"94568"</f>
        <v>94568</v>
      </c>
      <c r="AD1694" t="s">
        <v>128</v>
      </c>
      <c r="AF1694" s="4">
        <v>15103525000</v>
      </c>
      <c r="AH1694" t="str">
        <f>"56133"</f>
        <v>56133</v>
      </c>
      <c r="AI1694" t="s">
        <v>130</v>
      </c>
      <c r="AJ1694" t="s">
        <v>1915</v>
      </c>
      <c r="AK1694" t="s">
        <v>522</v>
      </c>
      <c r="AL1694" t="s">
        <v>1254</v>
      </c>
      <c r="AM1694" t="s">
        <v>4879</v>
      </c>
      <c r="AN1694" t="s">
        <v>4880</v>
      </c>
      <c r="AO1694" t="s">
        <v>1200</v>
      </c>
      <c r="AP1694" t="s">
        <v>172</v>
      </c>
      <c r="AQ1694" s="5">
        <v>91301</v>
      </c>
      <c r="AR1694" t="s">
        <v>128</v>
      </c>
      <c r="AT1694" s="4">
        <v>18189146482</v>
      </c>
      <c r="AV1694" t="s">
        <v>1201</v>
      </c>
      <c r="AW1694" t="s">
        <v>1202</v>
      </c>
      <c r="AX1694" t="s">
        <v>131</v>
      </c>
      <c r="AY1694" t="s">
        <v>131</v>
      </c>
      <c r="AZ1694" t="s">
        <v>131</v>
      </c>
      <c r="BA1694" t="s">
        <v>131</v>
      </c>
      <c r="BB1694" t="s">
        <v>131</v>
      </c>
      <c r="BC1694" t="s">
        <v>131</v>
      </c>
      <c r="BD1694" t="s">
        <v>131</v>
      </c>
      <c r="BE1694" t="s">
        <v>132</v>
      </c>
      <c r="BH1694" t="s">
        <v>4881</v>
      </c>
      <c r="BI1694" t="s">
        <v>131</v>
      </c>
      <c r="BL1694" t="s">
        <v>188</v>
      </c>
      <c r="BN1694" t="s">
        <v>459</v>
      </c>
      <c r="BO1694" t="s">
        <v>131</v>
      </c>
      <c r="BP1694" t="s">
        <v>134</v>
      </c>
      <c r="BQ1694" t="s">
        <v>131</v>
      </c>
      <c r="BS1694" t="str">
        <f t="shared" si="104"/>
        <v>N/A</v>
      </c>
      <c r="BT1694" t="s">
        <v>135</v>
      </c>
      <c r="BU1694">
        <v>36</v>
      </c>
      <c r="BV1694" t="str">
        <f>"See F.a.2"</f>
        <v>See F.a.2</v>
      </c>
      <c r="BW1694" t="s">
        <v>135</v>
      </c>
      <c r="BX1694" t="str">
        <f>""</f>
        <v/>
      </c>
      <c r="BY1694" t="str">
        <f>""</f>
        <v/>
      </c>
      <c r="BZ1694" t="str">
        <f>""</f>
        <v/>
      </c>
      <c r="CA1694" s="2" t="s">
        <v>4975</v>
      </c>
      <c r="CB1694" t="s">
        <v>135</v>
      </c>
      <c r="CC1694" t="s">
        <v>133</v>
      </c>
      <c r="CE1694" t="s">
        <v>459</v>
      </c>
      <c r="CF1694" t="s">
        <v>131</v>
      </c>
      <c r="CH1694" t="str">
        <f>"N/A"</f>
        <v>N/A</v>
      </c>
      <c r="CI1694" t="s">
        <v>135</v>
      </c>
      <c r="CJ1694">
        <v>60</v>
      </c>
      <c r="CK1694" t="s">
        <v>135</v>
      </c>
      <c r="CL1694" t="str">
        <f>""</f>
        <v/>
      </c>
      <c r="CM1694" t="str">
        <f>""</f>
        <v/>
      </c>
      <c r="CN1694" t="str">
        <f>""</f>
        <v/>
      </c>
      <c r="CO1694" s="2" t="s">
        <v>4975</v>
      </c>
      <c r="CP1694" t="str">
        <f>"15-1132.00"</f>
        <v>15-1132.00</v>
      </c>
      <c r="CQ1694" t="s">
        <v>198</v>
      </c>
      <c r="CR1694" t="s">
        <v>4884</v>
      </c>
      <c r="CS1694" t="s">
        <v>135</v>
      </c>
      <c r="CT1694" t="s">
        <v>4976</v>
      </c>
      <c r="CU1694" t="s">
        <v>4886</v>
      </c>
      <c r="CW1694" t="s">
        <v>1040</v>
      </c>
      <c r="CX1694" t="s">
        <v>400</v>
      </c>
      <c r="CZ1694" s="3" t="str">
        <f>"78727"</f>
        <v>78727</v>
      </c>
      <c r="DA1694" t="s">
        <v>131</v>
      </c>
      <c r="DB1694" t="str">
        <f>""</f>
        <v/>
      </c>
      <c r="DF1694" t="str">
        <f>""</f>
        <v/>
      </c>
    </row>
    <row r="1695" spans="1:110" ht="15" customHeight="1" x14ac:dyDescent="0.35">
      <c r="A1695" t="s">
        <v>10748</v>
      </c>
      <c r="B1695" t="s">
        <v>138</v>
      </c>
      <c r="C1695" s="1">
        <v>44341</v>
      </c>
      <c r="G1695" s="1">
        <v>44341</v>
      </c>
      <c r="H1695" t="s">
        <v>125</v>
      </c>
      <c r="I1695" t="s">
        <v>6132</v>
      </c>
      <c r="J1695" t="s">
        <v>6133</v>
      </c>
      <c r="L1695" t="s">
        <v>6221</v>
      </c>
      <c r="M1695" t="s">
        <v>6134</v>
      </c>
      <c r="N1695" t="s">
        <v>6135</v>
      </c>
      <c r="O1695" t="s">
        <v>616</v>
      </c>
      <c r="P1695" t="s">
        <v>194</v>
      </c>
      <c r="Q1695" s="3">
        <v>33129</v>
      </c>
      <c r="R1695" t="s">
        <v>128</v>
      </c>
      <c r="T1695" s="4">
        <v>13056439600</v>
      </c>
      <c r="U1695">
        <v>216</v>
      </c>
      <c r="V1695" t="s">
        <v>2376</v>
      </c>
      <c r="W1695" t="s">
        <v>6136</v>
      </c>
      <c r="Y1695" t="s">
        <v>6137</v>
      </c>
      <c r="Z1695" t="s">
        <v>6138</v>
      </c>
      <c r="AA1695" t="s">
        <v>1210</v>
      </c>
      <c r="AB1695" t="s">
        <v>195</v>
      </c>
      <c r="AC1695" s="3" t="str">
        <f>"33141"</f>
        <v>33141</v>
      </c>
      <c r="AD1695" t="s">
        <v>128</v>
      </c>
      <c r="AF1695" s="4">
        <v>13057586262</v>
      </c>
      <c r="AH1695" t="str">
        <f>"44512"</f>
        <v>44512</v>
      </c>
      <c r="AI1695" t="s">
        <v>130</v>
      </c>
      <c r="AJ1695" t="s">
        <v>10263</v>
      </c>
      <c r="AK1695" t="s">
        <v>5285</v>
      </c>
      <c r="AL1695" t="s">
        <v>655</v>
      </c>
      <c r="AM1695" t="s">
        <v>6134</v>
      </c>
      <c r="AN1695" t="s">
        <v>6135</v>
      </c>
      <c r="AO1695" t="s">
        <v>616</v>
      </c>
      <c r="AP1695" t="s">
        <v>195</v>
      </c>
      <c r="AQ1695" s="5">
        <v>33129</v>
      </c>
      <c r="AR1695" t="s">
        <v>128</v>
      </c>
      <c r="AT1695" s="4">
        <v>13056439600</v>
      </c>
      <c r="AV1695" t="s">
        <v>2376</v>
      </c>
      <c r="AW1695" t="s">
        <v>10749</v>
      </c>
      <c r="AX1695" t="s">
        <v>131</v>
      </c>
      <c r="AY1695" t="s">
        <v>131</v>
      </c>
      <c r="AZ1695" t="s">
        <v>131</v>
      </c>
      <c r="BA1695" t="s">
        <v>131</v>
      </c>
      <c r="BB1695" t="s">
        <v>131</v>
      </c>
      <c r="BC1695" t="s">
        <v>131</v>
      </c>
      <c r="BD1695" t="s">
        <v>131</v>
      </c>
      <c r="BE1695" t="s">
        <v>132</v>
      </c>
      <c r="BH1695" t="s">
        <v>6433</v>
      </c>
      <c r="BI1695" t="s">
        <v>131</v>
      </c>
      <c r="BL1695" t="s">
        <v>167</v>
      </c>
      <c r="BO1695" t="s">
        <v>131</v>
      </c>
      <c r="BP1695" t="s">
        <v>134</v>
      </c>
      <c r="BQ1695" t="s">
        <v>131</v>
      </c>
      <c r="BS1695" t="str">
        <f t="shared" si="104"/>
        <v>N/A</v>
      </c>
      <c r="BT1695" t="s">
        <v>135</v>
      </c>
      <c r="BU1695">
        <v>12</v>
      </c>
      <c r="BV1695" t="str">
        <f>"See F.a.2"</f>
        <v>See F.a.2</v>
      </c>
      <c r="BW1695" t="s">
        <v>131</v>
      </c>
      <c r="BX1695" t="str">
        <f>""</f>
        <v/>
      </c>
      <c r="BY1695" t="str">
        <f>""</f>
        <v/>
      </c>
      <c r="BZ1695" t="str">
        <f>""</f>
        <v/>
      </c>
      <c r="CA1695" t="str">
        <f>""</f>
        <v/>
      </c>
      <c r="CB1695" t="s">
        <v>131</v>
      </c>
      <c r="CF1695" t="s">
        <v>131</v>
      </c>
      <c r="CH1695" t="str">
        <f>""</f>
        <v/>
      </c>
      <c r="CI1695" t="s">
        <v>131</v>
      </c>
      <c r="CK1695" t="s">
        <v>131</v>
      </c>
      <c r="CL1695" t="str">
        <f>""</f>
        <v/>
      </c>
      <c r="CM1695" t="str">
        <f>""</f>
        <v/>
      </c>
      <c r="CN1695" t="str">
        <f>""</f>
        <v/>
      </c>
      <c r="CO1695" t="str">
        <f>""</f>
        <v/>
      </c>
      <c r="CP1695" t="str">
        <f>"41-2011.00"</f>
        <v>41-2011.00</v>
      </c>
      <c r="CQ1695" t="s">
        <v>5621</v>
      </c>
      <c r="CR1695" t="s">
        <v>395</v>
      </c>
      <c r="CS1695" t="s">
        <v>131</v>
      </c>
      <c r="CU1695" t="s">
        <v>6137</v>
      </c>
      <c r="CV1695" t="s">
        <v>6138</v>
      </c>
      <c r="CW1695" t="s">
        <v>1210</v>
      </c>
      <c r="CX1695" t="s">
        <v>195</v>
      </c>
      <c r="CZ1695" s="3" t="str">
        <f>"33141"</f>
        <v>33141</v>
      </c>
      <c r="DA1695" t="s">
        <v>131</v>
      </c>
      <c r="DB1695" t="str">
        <f>""</f>
        <v/>
      </c>
      <c r="DF1695" t="str">
        <f>""</f>
        <v/>
      </c>
    </row>
    <row r="1696" spans="1:110" ht="15" customHeight="1" x14ac:dyDescent="0.35">
      <c r="A1696" t="s">
        <v>16801</v>
      </c>
      <c r="B1696" t="s">
        <v>138</v>
      </c>
      <c r="C1696" s="1">
        <v>44341</v>
      </c>
      <c r="G1696" s="1">
        <v>44341</v>
      </c>
      <c r="H1696" t="s">
        <v>125</v>
      </c>
      <c r="I1696" t="s">
        <v>6800</v>
      </c>
      <c r="J1696" t="s">
        <v>5494</v>
      </c>
      <c r="L1696" t="s">
        <v>223</v>
      </c>
      <c r="M1696" t="s">
        <v>6801</v>
      </c>
      <c r="N1696" t="s">
        <v>6802</v>
      </c>
      <c r="O1696" t="s">
        <v>1815</v>
      </c>
      <c r="P1696" t="s">
        <v>412</v>
      </c>
      <c r="Q1696" s="3">
        <v>75024</v>
      </c>
      <c r="R1696" t="s">
        <v>128</v>
      </c>
      <c r="T1696" s="4">
        <v>19728531511</v>
      </c>
      <c r="V1696" t="s">
        <v>6803</v>
      </c>
      <c r="W1696" t="s">
        <v>6804</v>
      </c>
      <c r="Y1696" t="s">
        <v>6801</v>
      </c>
      <c r="Z1696" t="s">
        <v>6802</v>
      </c>
      <c r="AA1696" t="s">
        <v>1815</v>
      </c>
      <c r="AB1696" t="s">
        <v>400</v>
      </c>
      <c r="AC1696" s="3" t="str">
        <f>"75024"</f>
        <v>75024</v>
      </c>
      <c r="AD1696" t="s">
        <v>128</v>
      </c>
      <c r="AF1696" s="4">
        <v>19728531511</v>
      </c>
      <c r="AH1696" t="str">
        <f>"541512"</f>
        <v>541512</v>
      </c>
      <c r="AI1696" t="s">
        <v>130</v>
      </c>
      <c r="AJ1696" t="s">
        <v>3588</v>
      </c>
      <c r="AK1696" t="s">
        <v>250</v>
      </c>
      <c r="AL1696" t="s">
        <v>3589</v>
      </c>
      <c r="AM1696" t="s">
        <v>3590</v>
      </c>
      <c r="AN1696" t="s">
        <v>3591</v>
      </c>
      <c r="AO1696" t="s">
        <v>399</v>
      </c>
      <c r="AP1696" t="s">
        <v>400</v>
      </c>
      <c r="AQ1696" s="5">
        <v>75287</v>
      </c>
      <c r="AR1696" t="s">
        <v>128</v>
      </c>
      <c r="AT1696" s="4">
        <v>19722414698</v>
      </c>
      <c r="AV1696" t="s">
        <v>3592</v>
      </c>
      <c r="AW1696" t="s">
        <v>3593</v>
      </c>
      <c r="AX1696" t="s">
        <v>131</v>
      </c>
      <c r="AY1696" t="s">
        <v>131</v>
      </c>
      <c r="AZ1696" t="s">
        <v>131</v>
      </c>
      <c r="BA1696" t="s">
        <v>131</v>
      </c>
      <c r="BB1696" t="s">
        <v>131</v>
      </c>
      <c r="BC1696" t="s">
        <v>131</v>
      </c>
      <c r="BD1696" t="s">
        <v>131</v>
      </c>
      <c r="BE1696" t="s">
        <v>132</v>
      </c>
      <c r="BH1696" t="s">
        <v>14887</v>
      </c>
      <c r="BI1696" t="s">
        <v>131</v>
      </c>
      <c r="BL1696" t="s">
        <v>188</v>
      </c>
      <c r="BN1696" t="s">
        <v>14888</v>
      </c>
      <c r="BO1696" t="s">
        <v>131</v>
      </c>
      <c r="BP1696" t="s">
        <v>134</v>
      </c>
      <c r="BQ1696" t="s">
        <v>131</v>
      </c>
      <c r="BS1696" t="str">
        <f t="shared" si="104"/>
        <v>N/A</v>
      </c>
      <c r="BT1696" t="s">
        <v>135</v>
      </c>
      <c r="BU1696">
        <v>12</v>
      </c>
      <c r="BV1696" t="str">
        <f>"N/A"</f>
        <v>N/A</v>
      </c>
      <c r="BW1696" t="s">
        <v>135</v>
      </c>
      <c r="BX1696" t="str">
        <f>""</f>
        <v/>
      </c>
      <c r="BY1696" t="str">
        <f>""</f>
        <v/>
      </c>
      <c r="BZ1696" t="str">
        <f>""</f>
        <v/>
      </c>
      <c r="CA1696" t="str">
        <f>"Experience in SAP ECC, SAP, SAP MM."</f>
        <v>Experience in SAP ECC, SAP, SAP MM.</v>
      </c>
      <c r="CB1696" t="s">
        <v>131</v>
      </c>
      <c r="CF1696" t="s">
        <v>131</v>
      </c>
      <c r="CH1696" t="str">
        <f>""</f>
        <v/>
      </c>
      <c r="CI1696" t="s">
        <v>131</v>
      </c>
      <c r="CK1696" t="s">
        <v>131</v>
      </c>
      <c r="CL1696" t="str">
        <f>""</f>
        <v/>
      </c>
      <c r="CM1696" t="str">
        <f>""</f>
        <v/>
      </c>
      <c r="CN1696" t="str">
        <f>""</f>
        <v/>
      </c>
      <c r="CO1696" t="str">
        <f>""</f>
        <v/>
      </c>
      <c r="CP1696" t="str">
        <f>"15-1133.00"</f>
        <v>15-1133.00</v>
      </c>
      <c r="CQ1696" t="s">
        <v>648</v>
      </c>
      <c r="CS1696" t="s">
        <v>135</v>
      </c>
      <c r="CT1696" t="s">
        <v>3595</v>
      </c>
      <c r="CU1696" t="s">
        <v>6805</v>
      </c>
      <c r="CV1696" t="s">
        <v>3595</v>
      </c>
      <c r="CW1696" t="s">
        <v>1447</v>
      </c>
      <c r="CX1696" t="s">
        <v>400</v>
      </c>
      <c r="CZ1696" s="3" t="str">
        <f>"75024"</f>
        <v>75024</v>
      </c>
      <c r="DA1696" t="s">
        <v>131</v>
      </c>
      <c r="DB1696" t="str">
        <f>""</f>
        <v/>
      </c>
      <c r="DF1696" t="str">
        <f>""</f>
        <v/>
      </c>
    </row>
    <row r="1697" spans="1:110" ht="15" customHeight="1" x14ac:dyDescent="0.35">
      <c r="A1697" t="s">
        <v>17076</v>
      </c>
      <c r="B1697" t="s">
        <v>138</v>
      </c>
      <c r="C1697" s="1">
        <v>44341</v>
      </c>
      <c r="G1697" s="1">
        <v>44341</v>
      </c>
      <c r="H1697" t="s">
        <v>125</v>
      </c>
      <c r="I1697" t="s">
        <v>449</v>
      </c>
      <c r="J1697" t="s">
        <v>450</v>
      </c>
      <c r="L1697" t="s">
        <v>451</v>
      </c>
      <c r="M1697" t="s">
        <v>452</v>
      </c>
      <c r="O1697" t="s">
        <v>453</v>
      </c>
      <c r="P1697" t="s">
        <v>178</v>
      </c>
      <c r="Q1697" s="3">
        <v>94025</v>
      </c>
      <c r="R1697" t="s">
        <v>128</v>
      </c>
      <c r="T1697" s="4">
        <v>16505434800</v>
      </c>
      <c r="V1697" t="s">
        <v>454</v>
      </c>
      <c r="W1697" t="s">
        <v>455</v>
      </c>
      <c r="Y1697" t="s">
        <v>452</v>
      </c>
      <c r="AA1697" t="s">
        <v>453</v>
      </c>
      <c r="AB1697" t="s">
        <v>172</v>
      </c>
      <c r="AC1697" s="3" t="str">
        <f>"94025"</f>
        <v>94025</v>
      </c>
      <c r="AD1697" t="s">
        <v>128</v>
      </c>
      <c r="AF1697" s="4">
        <v>16505434800</v>
      </c>
      <c r="AH1697" t="str">
        <f>"5191"</f>
        <v>5191</v>
      </c>
      <c r="AI1697" t="s">
        <v>130</v>
      </c>
      <c r="AJ1697" t="s">
        <v>1616</v>
      </c>
      <c r="AK1697" t="s">
        <v>5825</v>
      </c>
      <c r="AM1697" t="s">
        <v>5237</v>
      </c>
      <c r="AN1697" t="s">
        <v>5826</v>
      </c>
      <c r="AO1697" t="s">
        <v>458</v>
      </c>
      <c r="AP1697" t="s">
        <v>400</v>
      </c>
      <c r="AQ1697" s="5">
        <v>75082</v>
      </c>
      <c r="AR1697" t="s">
        <v>128</v>
      </c>
      <c r="AT1697" s="4">
        <v>14692909913</v>
      </c>
      <c r="AV1697" t="s">
        <v>5827</v>
      </c>
      <c r="AW1697" t="s">
        <v>367</v>
      </c>
      <c r="AX1697" t="s">
        <v>131</v>
      </c>
      <c r="AY1697" t="s">
        <v>131</v>
      </c>
      <c r="AZ1697" t="s">
        <v>131</v>
      </c>
      <c r="BA1697" t="s">
        <v>131</v>
      </c>
      <c r="BB1697" t="s">
        <v>131</v>
      </c>
      <c r="BC1697" t="s">
        <v>131</v>
      </c>
      <c r="BD1697" t="s">
        <v>131</v>
      </c>
      <c r="BE1697" t="s">
        <v>132</v>
      </c>
      <c r="BH1697" t="s">
        <v>17077</v>
      </c>
      <c r="BI1697" t="s">
        <v>131</v>
      </c>
      <c r="BL1697" t="s">
        <v>133</v>
      </c>
      <c r="BN1697" t="s">
        <v>459</v>
      </c>
      <c r="BO1697" t="s">
        <v>131</v>
      </c>
      <c r="BP1697" t="s">
        <v>134</v>
      </c>
      <c r="BQ1697" t="s">
        <v>131</v>
      </c>
      <c r="BS1697" t="str">
        <f t="shared" si="104"/>
        <v>N/A</v>
      </c>
      <c r="BT1697" t="s">
        <v>135</v>
      </c>
      <c r="BU1697">
        <v>24</v>
      </c>
      <c r="BV1697" t="str">
        <f>"See F.a.2"</f>
        <v>See F.a.2</v>
      </c>
      <c r="BW1697" t="s">
        <v>135</v>
      </c>
      <c r="BX1697" t="str">
        <f>""</f>
        <v/>
      </c>
      <c r="BY1697" t="str">
        <f>""</f>
        <v/>
      </c>
      <c r="BZ1697" t="str">
        <f>""</f>
        <v/>
      </c>
      <c r="CA1697" t="str">
        <f>"See F.a.2"</f>
        <v>See F.a.2</v>
      </c>
      <c r="CB1697" t="s">
        <v>131</v>
      </c>
      <c r="CF1697" t="s">
        <v>131</v>
      </c>
      <c r="CH1697" t="str">
        <f>""</f>
        <v/>
      </c>
      <c r="CI1697" t="s">
        <v>131</v>
      </c>
      <c r="CK1697" t="s">
        <v>131</v>
      </c>
      <c r="CL1697" t="str">
        <f>""</f>
        <v/>
      </c>
      <c r="CM1697" t="str">
        <f>""</f>
        <v/>
      </c>
      <c r="CN1697" t="str">
        <f>""</f>
        <v/>
      </c>
      <c r="CO1697" t="str">
        <f>""</f>
        <v/>
      </c>
      <c r="CP1697" t="str">
        <f>"19-3022.00"</f>
        <v>19-3022.00</v>
      </c>
      <c r="CQ1697" t="s">
        <v>6762</v>
      </c>
      <c r="CR1697" t="s">
        <v>460</v>
      </c>
      <c r="CS1697" t="s">
        <v>131</v>
      </c>
      <c r="CU1697" t="s">
        <v>452</v>
      </c>
      <c r="CW1697" t="s">
        <v>453</v>
      </c>
      <c r="CX1697" t="s">
        <v>172</v>
      </c>
      <c r="CZ1697" s="3" t="str">
        <f>"94025"</f>
        <v>94025</v>
      </c>
      <c r="DA1697" t="s">
        <v>131</v>
      </c>
      <c r="DB1697" t="str">
        <f>""</f>
        <v/>
      </c>
      <c r="DF1697" t="str">
        <f>""</f>
        <v/>
      </c>
    </row>
    <row r="1698" spans="1:110" ht="15" customHeight="1" x14ac:dyDescent="0.35">
      <c r="A1698" t="s">
        <v>8767</v>
      </c>
      <c r="B1698" t="s">
        <v>138</v>
      </c>
      <c r="C1698" s="1">
        <v>44341</v>
      </c>
      <c r="G1698" s="1">
        <v>44342</v>
      </c>
      <c r="H1698" t="s">
        <v>125</v>
      </c>
      <c r="I1698" t="s">
        <v>3995</v>
      </c>
      <c r="J1698" t="s">
        <v>2115</v>
      </c>
      <c r="L1698" t="s">
        <v>3996</v>
      </c>
      <c r="M1698" t="s">
        <v>3997</v>
      </c>
      <c r="O1698" t="s">
        <v>3998</v>
      </c>
      <c r="P1698" t="s">
        <v>539</v>
      </c>
      <c r="Q1698" s="3">
        <v>61265</v>
      </c>
      <c r="R1698" t="s">
        <v>128</v>
      </c>
      <c r="T1698" s="4">
        <v>18449014762</v>
      </c>
      <c r="V1698" t="s">
        <v>3999</v>
      </c>
      <c r="W1698" t="s">
        <v>4000</v>
      </c>
      <c r="Y1698" t="s">
        <v>4001</v>
      </c>
      <c r="AA1698" t="s">
        <v>3998</v>
      </c>
      <c r="AB1698" t="s">
        <v>263</v>
      </c>
      <c r="AC1698" s="3" t="str">
        <f>"61265"</f>
        <v>61265</v>
      </c>
      <c r="AD1698" t="s">
        <v>128</v>
      </c>
      <c r="AF1698" s="4">
        <v>13097654160</v>
      </c>
      <c r="AH1698" t="str">
        <f>"3331"</f>
        <v>3331</v>
      </c>
      <c r="AI1698" t="s">
        <v>130</v>
      </c>
      <c r="AJ1698" t="s">
        <v>1598</v>
      </c>
      <c r="AK1698" t="s">
        <v>4002</v>
      </c>
      <c r="AM1698" t="s">
        <v>4003</v>
      </c>
      <c r="AN1698">
        <v>3425</v>
      </c>
      <c r="AO1698" t="s">
        <v>262</v>
      </c>
      <c r="AP1698" t="s">
        <v>263</v>
      </c>
      <c r="AQ1698" s="5">
        <v>60603</v>
      </c>
      <c r="AR1698" t="s">
        <v>128</v>
      </c>
      <c r="AS1698" t="s">
        <v>539</v>
      </c>
      <c r="AT1698" s="4">
        <v>13128312127</v>
      </c>
      <c r="AV1698" t="s">
        <v>4004</v>
      </c>
      <c r="AW1698" t="s">
        <v>4005</v>
      </c>
      <c r="AX1698" t="s">
        <v>131</v>
      </c>
      <c r="AY1698" t="s">
        <v>131</v>
      </c>
      <c r="AZ1698" t="s">
        <v>131</v>
      </c>
      <c r="BA1698" t="s">
        <v>131</v>
      </c>
      <c r="BB1698" t="s">
        <v>131</v>
      </c>
      <c r="BC1698" t="s">
        <v>131</v>
      </c>
      <c r="BD1698" t="s">
        <v>131</v>
      </c>
      <c r="BE1698" t="s">
        <v>132</v>
      </c>
      <c r="BH1698" t="s">
        <v>542</v>
      </c>
      <c r="BI1698" t="s">
        <v>131</v>
      </c>
      <c r="BL1698" t="s">
        <v>133</v>
      </c>
      <c r="BN1698" t="s">
        <v>3892</v>
      </c>
      <c r="BO1698" t="s">
        <v>131</v>
      </c>
      <c r="BP1698" t="s">
        <v>134</v>
      </c>
      <c r="BQ1698" t="s">
        <v>131</v>
      </c>
      <c r="BS1698" t="str">
        <f t="shared" si="104"/>
        <v>N/A</v>
      </c>
      <c r="BT1698" t="s">
        <v>135</v>
      </c>
      <c r="BU1698">
        <v>60</v>
      </c>
      <c r="BV1698" t="str">
        <f>"Technical Lead or related position"</f>
        <v>Technical Lead or related position</v>
      </c>
      <c r="BW1698" t="s">
        <v>135</v>
      </c>
      <c r="BX1698" t="str">
        <f>""</f>
        <v/>
      </c>
      <c r="BY1698" t="str">
        <f>""</f>
        <v/>
      </c>
      <c r="BZ1698" t="str">
        <f>""</f>
        <v/>
      </c>
      <c r="CA1698" t="s">
        <v>8768</v>
      </c>
      <c r="CB1698" t="s">
        <v>131</v>
      </c>
      <c r="CF1698" t="s">
        <v>131</v>
      </c>
      <c r="CH1698" t="str">
        <f>""</f>
        <v/>
      </c>
      <c r="CI1698" t="s">
        <v>131</v>
      </c>
      <c r="CK1698" t="s">
        <v>131</v>
      </c>
      <c r="CL1698" t="str">
        <f>""</f>
        <v/>
      </c>
      <c r="CM1698" t="str">
        <f>""</f>
        <v/>
      </c>
      <c r="CN1698" t="str">
        <f>""</f>
        <v/>
      </c>
      <c r="CO1698" t="str">
        <f>""</f>
        <v/>
      </c>
      <c r="CP1698" t="str">
        <f>"15-1132.00"</f>
        <v>15-1132.00</v>
      </c>
      <c r="CQ1698" t="s">
        <v>198</v>
      </c>
      <c r="CR1698" t="s">
        <v>136</v>
      </c>
      <c r="CS1698" t="s">
        <v>131</v>
      </c>
      <c r="CU1698" t="s">
        <v>8769</v>
      </c>
      <c r="CW1698" t="s">
        <v>3998</v>
      </c>
      <c r="CX1698" t="s">
        <v>263</v>
      </c>
      <c r="CZ1698" s="3" t="str">
        <f>"61265"</f>
        <v>61265</v>
      </c>
      <c r="DA1698" t="s">
        <v>131</v>
      </c>
      <c r="DB1698" t="str">
        <f>""</f>
        <v/>
      </c>
      <c r="DF1698" t="str">
        <f>""</f>
        <v/>
      </c>
    </row>
    <row r="1699" spans="1:110" ht="15" customHeight="1" x14ac:dyDescent="0.35">
      <c r="A1699" t="s">
        <v>14884</v>
      </c>
      <c r="B1699" t="s">
        <v>138</v>
      </c>
      <c r="C1699" s="1">
        <v>44341</v>
      </c>
      <c r="G1699" s="1">
        <v>44365</v>
      </c>
      <c r="H1699" t="s">
        <v>125</v>
      </c>
      <c r="I1699" t="s">
        <v>7186</v>
      </c>
      <c r="J1699" t="s">
        <v>7010</v>
      </c>
      <c r="L1699" t="s">
        <v>14885</v>
      </c>
      <c r="M1699" t="s">
        <v>13508</v>
      </c>
      <c r="O1699" t="s">
        <v>979</v>
      </c>
      <c r="P1699" t="s">
        <v>127</v>
      </c>
      <c r="Q1699" s="3">
        <v>11801</v>
      </c>
      <c r="R1699" t="s">
        <v>128</v>
      </c>
      <c r="T1699" s="4">
        <v>15122999610</v>
      </c>
      <c r="V1699" t="s">
        <v>14886</v>
      </c>
      <c r="W1699" t="s">
        <v>7190</v>
      </c>
      <c r="Y1699" t="s">
        <v>13508</v>
      </c>
      <c r="AA1699" t="s">
        <v>979</v>
      </c>
      <c r="AB1699" t="s">
        <v>129</v>
      </c>
      <c r="AC1699" s="3" t="str">
        <f>"11801"</f>
        <v>11801</v>
      </c>
      <c r="AD1699" t="s">
        <v>128</v>
      </c>
      <c r="AF1699" s="4">
        <v>15162999610</v>
      </c>
      <c r="AH1699" t="str">
        <f>"541511"</f>
        <v>541511</v>
      </c>
      <c r="AI1699" t="s">
        <v>130</v>
      </c>
      <c r="AJ1699" t="s">
        <v>7192</v>
      </c>
      <c r="AK1699" t="s">
        <v>5364</v>
      </c>
      <c r="AL1699" t="s">
        <v>301</v>
      </c>
      <c r="AM1699" t="s">
        <v>7193</v>
      </c>
      <c r="AO1699" t="s">
        <v>600</v>
      </c>
      <c r="AP1699" t="s">
        <v>594</v>
      </c>
      <c r="AQ1699" s="5">
        <v>28210</v>
      </c>
      <c r="AR1699" t="s">
        <v>128</v>
      </c>
      <c r="AT1699" s="4">
        <v>17043621106</v>
      </c>
      <c r="AV1699" t="s">
        <v>7194</v>
      </c>
      <c r="AW1699" t="s">
        <v>8915</v>
      </c>
      <c r="AX1699" t="s">
        <v>131</v>
      </c>
      <c r="AY1699" t="s">
        <v>131</v>
      </c>
      <c r="AZ1699" t="s">
        <v>131</v>
      </c>
      <c r="BA1699" t="s">
        <v>131</v>
      </c>
      <c r="BB1699" t="s">
        <v>131</v>
      </c>
      <c r="BC1699" t="s">
        <v>131</v>
      </c>
      <c r="BD1699" t="s">
        <v>131</v>
      </c>
      <c r="BE1699" t="s">
        <v>132</v>
      </c>
      <c r="BH1699" t="s">
        <v>13509</v>
      </c>
      <c r="BI1699" t="s">
        <v>131</v>
      </c>
      <c r="BL1699" t="s">
        <v>133</v>
      </c>
      <c r="BN1699" t="s">
        <v>7197</v>
      </c>
      <c r="BO1699" t="s">
        <v>131</v>
      </c>
      <c r="BP1699" t="s">
        <v>134</v>
      </c>
      <c r="BQ1699" t="s">
        <v>131</v>
      </c>
      <c r="BS1699" t="str">
        <f t="shared" si="104"/>
        <v>N/A</v>
      </c>
      <c r="BT1699" t="s">
        <v>135</v>
      </c>
      <c r="BU1699">
        <v>60</v>
      </c>
      <c r="BV1699" t="str">
        <f>"Software Engineer"</f>
        <v>Software Engineer</v>
      </c>
      <c r="BW1699" t="s">
        <v>135</v>
      </c>
      <c r="BX1699" t="str">
        <f>""</f>
        <v/>
      </c>
      <c r="BY1699" t="str">
        <f>""</f>
        <v/>
      </c>
      <c r="BZ1699" t="str">
        <f>""</f>
        <v/>
      </c>
      <c r="CA1699" t="str">
        <f>"Experience with Powerup AMS
Experience with Linux Based Set Top Boxes (STB)
Knowledge of transmission control protocol (TCP)
Cable infrastructure and network experience
Experience in software development and architecture"</f>
        <v>Experience with Powerup AMS
Experience with Linux Based Set Top Boxes (STB)
Knowledge of transmission control protocol (TCP)
Cable infrastructure and network experience
Experience in software development and architecture</v>
      </c>
      <c r="CB1699" t="s">
        <v>131</v>
      </c>
      <c r="CF1699" t="s">
        <v>131</v>
      </c>
      <c r="CH1699" t="str">
        <f>""</f>
        <v/>
      </c>
      <c r="CI1699" t="s">
        <v>131</v>
      </c>
      <c r="CK1699" t="s">
        <v>131</v>
      </c>
      <c r="CL1699" t="str">
        <f>""</f>
        <v/>
      </c>
      <c r="CM1699" t="str">
        <f>""</f>
        <v/>
      </c>
      <c r="CN1699" t="str">
        <f>""</f>
        <v/>
      </c>
      <c r="CO1699" t="str">
        <f>""</f>
        <v/>
      </c>
      <c r="CP1699" t="str">
        <f>"15-1132.00"</f>
        <v>15-1132.00</v>
      </c>
      <c r="CQ1699" t="s">
        <v>198</v>
      </c>
      <c r="CS1699" t="s">
        <v>131</v>
      </c>
      <c r="CU1699" t="s">
        <v>13508</v>
      </c>
      <c r="CW1699" t="s">
        <v>979</v>
      </c>
      <c r="CX1699" t="s">
        <v>129</v>
      </c>
      <c r="CZ1699" s="3" t="str">
        <f>"11801"</f>
        <v>11801</v>
      </c>
      <c r="DA1699" t="s">
        <v>131</v>
      </c>
      <c r="DB1699" t="str">
        <f>""</f>
        <v/>
      </c>
      <c r="DF1699" t="str">
        <f>""</f>
        <v/>
      </c>
    </row>
    <row r="1700" spans="1:110" ht="15" customHeight="1" x14ac:dyDescent="0.35">
      <c r="A1700" t="s">
        <v>946</v>
      </c>
      <c r="B1700" t="s">
        <v>138</v>
      </c>
      <c r="C1700" s="1">
        <v>44341</v>
      </c>
      <c r="G1700" s="1">
        <v>44341</v>
      </c>
      <c r="H1700" t="s">
        <v>125</v>
      </c>
      <c r="I1700" t="s">
        <v>947</v>
      </c>
      <c r="J1700" t="s">
        <v>948</v>
      </c>
      <c r="L1700" t="s">
        <v>949</v>
      </c>
      <c r="M1700" t="s">
        <v>950</v>
      </c>
      <c r="O1700" t="s">
        <v>951</v>
      </c>
      <c r="P1700" t="s">
        <v>311</v>
      </c>
      <c r="Q1700" s="3">
        <v>16509</v>
      </c>
      <c r="R1700" t="s">
        <v>128</v>
      </c>
      <c r="T1700" s="4">
        <v>18148683802</v>
      </c>
      <c r="V1700" t="s">
        <v>952</v>
      </c>
      <c r="W1700" t="s">
        <v>953</v>
      </c>
      <c r="X1700" t="s">
        <v>954</v>
      </c>
      <c r="Y1700" t="s">
        <v>955</v>
      </c>
      <c r="AA1700" t="s">
        <v>951</v>
      </c>
      <c r="AB1700" t="s">
        <v>312</v>
      </c>
      <c r="AC1700" s="3" t="str">
        <f>"16508"</f>
        <v>16508</v>
      </c>
      <c r="AD1700" t="s">
        <v>128</v>
      </c>
      <c r="AF1700" s="4">
        <v>18148680831</v>
      </c>
      <c r="AH1700" t="str">
        <f>"623110"</f>
        <v>623110</v>
      </c>
      <c r="AI1700" t="s">
        <v>130</v>
      </c>
      <c r="AJ1700" t="s">
        <v>820</v>
      </c>
      <c r="AK1700" t="s">
        <v>821</v>
      </c>
      <c r="AL1700" t="s">
        <v>822</v>
      </c>
      <c r="AM1700" t="s">
        <v>685</v>
      </c>
      <c r="AN1700" t="s">
        <v>686</v>
      </c>
      <c r="AO1700" t="s">
        <v>687</v>
      </c>
      <c r="AP1700" t="s">
        <v>444</v>
      </c>
      <c r="AQ1700" s="5">
        <v>45202</v>
      </c>
      <c r="AR1700" t="s">
        <v>128</v>
      </c>
      <c r="AT1700" s="4">
        <v>15132878010</v>
      </c>
      <c r="AV1700" t="s">
        <v>823</v>
      </c>
      <c r="AW1700" t="s">
        <v>824</v>
      </c>
      <c r="AX1700" t="s">
        <v>131</v>
      </c>
      <c r="AY1700" t="s">
        <v>131</v>
      </c>
      <c r="AZ1700" t="s">
        <v>131</v>
      </c>
      <c r="BA1700" t="s">
        <v>131</v>
      </c>
      <c r="BB1700" t="s">
        <v>131</v>
      </c>
      <c r="BC1700" t="s">
        <v>131</v>
      </c>
      <c r="BD1700" t="s">
        <v>131</v>
      </c>
      <c r="BE1700" t="s">
        <v>132</v>
      </c>
      <c r="BH1700" t="s">
        <v>230</v>
      </c>
      <c r="BI1700" t="s">
        <v>131</v>
      </c>
      <c r="BL1700" t="s">
        <v>307</v>
      </c>
      <c r="BN1700" t="s">
        <v>604</v>
      </c>
      <c r="BO1700" t="s">
        <v>131</v>
      </c>
      <c r="BP1700" t="s">
        <v>134</v>
      </c>
      <c r="BQ1700" t="s">
        <v>131</v>
      </c>
      <c r="BS1700" t="str">
        <f t="shared" si="104"/>
        <v>N/A</v>
      </c>
      <c r="BT1700" t="s">
        <v>131</v>
      </c>
      <c r="BV1700" t="str">
        <f>""</f>
        <v/>
      </c>
      <c r="BW1700" t="s">
        <v>135</v>
      </c>
      <c r="BX1700" t="str">
        <f>"Requires a two-year diploma or degree in nursing or equivalent, U.S. state nursing license or eligible for licensure."</f>
        <v>Requires a two-year diploma or degree in nursing or equivalent, U.S. state nursing license or eligible for licensure.</v>
      </c>
      <c r="BY1700" t="str">
        <f>""</f>
        <v/>
      </c>
      <c r="BZ1700" t="str">
        <f>""</f>
        <v/>
      </c>
      <c r="CA1700" t="str">
        <f>""</f>
        <v/>
      </c>
      <c r="CB1700" t="s">
        <v>131</v>
      </c>
      <c r="CF1700" t="s">
        <v>131</v>
      </c>
      <c r="CH1700" t="str">
        <f>""</f>
        <v/>
      </c>
      <c r="CI1700" t="s">
        <v>131</v>
      </c>
      <c r="CK1700" t="s">
        <v>131</v>
      </c>
      <c r="CL1700" t="str">
        <f>""</f>
        <v/>
      </c>
      <c r="CM1700" t="str">
        <f>""</f>
        <v/>
      </c>
      <c r="CN1700" t="str">
        <f>""</f>
        <v/>
      </c>
      <c r="CO1700" t="str">
        <f>""</f>
        <v/>
      </c>
      <c r="CP1700" t="str">
        <f>"29-1141.00"</f>
        <v>29-1141.00</v>
      </c>
      <c r="CQ1700" t="s">
        <v>232</v>
      </c>
      <c r="CS1700" t="s">
        <v>131</v>
      </c>
      <c r="CU1700" t="s">
        <v>955</v>
      </c>
      <c r="CW1700" t="s">
        <v>951</v>
      </c>
      <c r="CX1700" t="s">
        <v>312</v>
      </c>
      <c r="CZ1700" s="3" t="str">
        <f>"16508"</f>
        <v>16508</v>
      </c>
      <c r="DA1700" t="s">
        <v>131</v>
      </c>
      <c r="DB1700" t="str">
        <f>""</f>
        <v/>
      </c>
      <c r="DF1700" t="str">
        <f>""</f>
        <v/>
      </c>
    </row>
    <row r="1701" spans="1:110" ht="15" customHeight="1" x14ac:dyDescent="0.35">
      <c r="A1701" t="s">
        <v>4436</v>
      </c>
      <c r="B1701" t="s">
        <v>138</v>
      </c>
      <c r="C1701" s="1">
        <v>44341</v>
      </c>
      <c r="G1701" s="1">
        <v>44341</v>
      </c>
      <c r="H1701" t="s">
        <v>125</v>
      </c>
      <c r="I1701" t="s">
        <v>967</v>
      </c>
      <c r="J1701" t="s">
        <v>246</v>
      </c>
      <c r="K1701" t="s">
        <v>387</v>
      </c>
      <c r="L1701" t="s">
        <v>968</v>
      </c>
      <c r="M1701" t="s">
        <v>969</v>
      </c>
      <c r="N1701" t="s">
        <v>970</v>
      </c>
      <c r="O1701" t="s">
        <v>262</v>
      </c>
      <c r="P1701" t="s">
        <v>539</v>
      </c>
      <c r="Q1701" s="3">
        <v>60603</v>
      </c>
      <c r="R1701" t="s">
        <v>128</v>
      </c>
      <c r="T1701" s="4">
        <v>13127322655</v>
      </c>
      <c r="V1701" t="s">
        <v>134</v>
      </c>
      <c r="W1701" t="s">
        <v>971</v>
      </c>
      <c r="Y1701" t="s">
        <v>969</v>
      </c>
      <c r="Z1701" t="s">
        <v>970</v>
      </c>
      <c r="AA1701" t="s">
        <v>262</v>
      </c>
      <c r="AB1701" t="s">
        <v>263</v>
      </c>
      <c r="AC1701" s="3" t="str">
        <f>"60603"</f>
        <v>60603</v>
      </c>
      <c r="AD1701" t="s">
        <v>128</v>
      </c>
      <c r="AF1701" s="4">
        <v>13127322655</v>
      </c>
      <c r="AH1701" t="str">
        <f>"551112"</f>
        <v>551112</v>
      </c>
      <c r="AI1701" t="s">
        <v>130</v>
      </c>
      <c r="AJ1701" t="s">
        <v>1493</v>
      </c>
      <c r="AK1701" t="s">
        <v>654</v>
      </c>
      <c r="AL1701" t="s">
        <v>3683</v>
      </c>
      <c r="AM1701" t="s">
        <v>973</v>
      </c>
      <c r="AN1701" t="s">
        <v>974</v>
      </c>
      <c r="AO1701" t="s">
        <v>975</v>
      </c>
      <c r="AP1701" t="s">
        <v>594</v>
      </c>
      <c r="AQ1701" s="5">
        <v>27615</v>
      </c>
      <c r="AR1701" t="s">
        <v>128</v>
      </c>
      <c r="AT1701" s="4">
        <v>19197879700</v>
      </c>
      <c r="AV1701" t="s">
        <v>3684</v>
      </c>
      <c r="AW1701" t="s">
        <v>976</v>
      </c>
      <c r="AX1701" t="s">
        <v>131</v>
      </c>
      <c r="AY1701" t="s">
        <v>131</v>
      </c>
      <c r="AZ1701" t="s">
        <v>131</v>
      </c>
      <c r="BA1701" t="s">
        <v>131</v>
      </c>
      <c r="BB1701" t="s">
        <v>131</v>
      </c>
      <c r="BC1701" t="s">
        <v>131</v>
      </c>
      <c r="BD1701" t="s">
        <v>131</v>
      </c>
      <c r="BE1701" t="s">
        <v>160</v>
      </c>
      <c r="BF1701" t="s">
        <v>4437</v>
      </c>
      <c r="BG1701" s="1">
        <v>43891</v>
      </c>
      <c r="BH1701" t="s">
        <v>4438</v>
      </c>
      <c r="BI1701" t="s">
        <v>131</v>
      </c>
      <c r="BL1701" t="s">
        <v>188</v>
      </c>
      <c r="BN1701" t="s">
        <v>4439</v>
      </c>
      <c r="BO1701" t="s">
        <v>131</v>
      </c>
      <c r="BP1701" t="s">
        <v>134</v>
      </c>
      <c r="BQ1701" t="s">
        <v>131</v>
      </c>
      <c r="BS1701" t="str">
        <f t="shared" si="104"/>
        <v>N/A</v>
      </c>
      <c r="BT1701" t="s">
        <v>135</v>
      </c>
      <c r="BU1701">
        <v>24</v>
      </c>
      <c r="BV1701" t="str">
        <f>"NETWORK ENGINEER, TELECOMMUNICATIONS ENGINEER, OR RELATED OCCUPATION"</f>
        <v>NETWORK ENGINEER, TELECOMMUNICATIONS ENGINEER, OR RELATED OCCUPATION</v>
      </c>
      <c r="BW1701" t="s">
        <v>135</v>
      </c>
      <c r="BX1701" t="str">
        <f>""</f>
        <v/>
      </c>
      <c r="BY1701" t="str">
        <f>""</f>
        <v/>
      </c>
      <c r="BZ1701" t="str">
        <f>""</f>
        <v/>
      </c>
      <c r="CA1701" t="s">
        <v>4440</v>
      </c>
      <c r="CB1701" t="s">
        <v>131</v>
      </c>
      <c r="CF1701" t="s">
        <v>131</v>
      </c>
      <c r="CH1701" t="str">
        <f>""</f>
        <v/>
      </c>
      <c r="CI1701" t="s">
        <v>131</v>
      </c>
      <c r="CK1701" t="s">
        <v>131</v>
      </c>
      <c r="CL1701" t="str">
        <f>""</f>
        <v/>
      </c>
      <c r="CM1701" t="str">
        <f>""</f>
        <v/>
      </c>
      <c r="CN1701" t="str">
        <f>""</f>
        <v/>
      </c>
      <c r="CO1701" t="str">
        <f>""</f>
        <v/>
      </c>
      <c r="CP1701" t="str">
        <f>"15-1143.00"</f>
        <v>15-1143.00</v>
      </c>
      <c r="CQ1701" t="s">
        <v>1065</v>
      </c>
      <c r="CS1701" t="s">
        <v>131</v>
      </c>
      <c r="CU1701" t="s">
        <v>4441</v>
      </c>
      <c r="CW1701" t="s">
        <v>1872</v>
      </c>
      <c r="CX1701" t="s">
        <v>276</v>
      </c>
      <c r="CZ1701" s="3" t="str">
        <f>"07310"</f>
        <v>07310</v>
      </c>
      <c r="DA1701" t="s">
        <v>131</v>
      </c>
      <c r="DB1701" t="str">
        <f>""</f>
        <v/>
      </c>
      <c r="DF1701" t="str">
        <f>""</f>
        <v/>
      </c>
    </row>
    <row r="1702" spans="1:110" ht="15" customHeight="1" x14ac:dyDescent="0.35">
      <c r="A1702" t="s">
        <v>18316</v>
      </c>
      <c r="B1702" t="s">
        <v>138</v>
      </c>
      <c r="C1702" s="1">
        <v>44341</v>
      </c>
      <c r="G1702" s="1">
        <v>44341</v>
      </c>
      <c r="H1702" t="s">
        <v>125</v>
      </c>
      <c r="I1702" t="s">
        <v>3625</v>
      </c>
      <c r="J1702" t="s">
        <v>301</v>
      </c>
      <c r="K1702" t="s">
        <v>1624</v>
      </c>
      <c r="L1702" t="s">
        <v>7444</v>
      </c>
      <c r="M1702" t="s">
        <v>7445</v>
      </c>
      <c r="O1702" t="s">
        <v>2067</v>
      </c>
      <c r="P1702" t="s">
        <v>311</v>
      </c>
      <c r="Q1702" s="3">
        <v>19406</v>
      </c>
      <c r="R1702" t="s">
        <v>128</v>
      </c>
      <c r="T1702" s="4">
        <v>16105423193</v>
      </c>
      <c r="V1702" t="s">
        <v>7446</v>
      </c>
      <c r="W1702" t="s">
        <v>7447</v>
      </c>
      <c r="Y1702" t="s">
        <v>7445</v>
      </c>
      <c r="AA1702" t="s">
        <v>2067</v>
      </c>
      <c r="AB1702" t="s">
        <v>312</v>
      </c>
      <c r="AC1702" s="3" t="str">
        <f>"19406"</f>
        <v>19406</v>
      </c>
      <c r="AD1702" t="s">
        <v>128</v>
      </c>
      <c r="AF1702" s="4">
        <v>16104318119</v>
      </c>
      <c r="AH1702" t="str">
        <f>"624310"</f>
        <v>624310</v>
      </c>
      <c r="AI1702" t="s">
        <v>130</v>
      </c>
      <c r="AJ1702" t="s">
        <v>5659</v>
      </c>
      <c r="AK1702" t="s">
        <v>1060</v>
      </c>
      <c r="AL1702" t="s">
        <v>1050</v>
      </c>
      <c r="AM1702" t="s">
        <v>5660</v>
      </c>
      <c r="AN1702" t="s">
        <v>611</v>
      </c>
      <c r="AO1702" t="s">
        <v>1812</v>
      </c>
      <c r="AP1702" t="s">
        <v>195</v>
      </c>
      <c r="AQ1702" s="5">
        <v>33431</v>
      </c>
      <c r="AR1702" t="s">
        <v>128</v>
      </c>
      <c r="AT1702" s="4">
        <v>15619622114</v>
      </c>
      <c r="AV1702" t="s">
        <v>5661</v>
      </c>
      <c r="AW1702" t="s">
        <v>5071</v>
      </c>
      <c r="AX1702" t="s">
        <v>131</v>
      </c>
      <c r="AY1702" t="s">
        <v>131</v>
      </c>
      <c r="AZ1702" t="s">
        <v>131</v>
      </c>
      <c r="BA1702" t="s">
        <v>131</v>
      </c>
      <c r="BB1702" t="s">
        <v>131</v>
      </c>
      <c r="BC1702" t="s">
        <v>131</v>
      </c>
      <c r="BD1702" t="s">
        <v>131</v>
      </c>
      <c r="BE1702" t="s">
        <v>132</v>
      </c>
      <c r="BH1702" t="s">
        <v>7448</v>
      </c>
      <c r="BI1702" t="s">
        <v>131</v>
      </c>
      <c r="BL1702" t="s">
        <v>188</v>
      </c>
      <c r="BN1702" t="s">
        <v>5662</v>
      </c>
      <c r="BO1702" t="s">
        <v>131</v>
      </c>
      <c r="BP1702" t="s">
        <v>134</v>
      </c>
      <c r="BQ1702" t="s">
        <v>131</v>
      </c>
      <c r="BS1702" t="str">
        <f t="shared" si="104"/>
        <v>N/A</v>
      </c>
      <c r="BT1702" t="s">
        <v>135</v>
      </c>
      <c r="BU1702">
        <v>12</v>
      </c>
      <c r="BV1702" t="str">
        <f>"Job offered or working with children with intellectual disabilities, socio-emotional problems and/or special needs."</f>
        <v>Job offered or working with children with intellectual disabilities, socio-emotional problems and/or special needs.</v>
      </c>
      <c r="BW1702" t="s">
        <v>135</v>
      </c>
      <c r="BX1702" t="str">
        <f>""</f>
        <v/>
      </c>
      <c r="BY1702" t="str">
        <f>""</f>
        <v/>
      </c>
      <c r="BZ1702" t="str">
        <f>""</f>
        <v/>
      </c>
      <c r="CA1702" t="s">
        <v>18317</v>
      </c>
      <c r="CB1702" t="s">
        <v>131</v>
      </c>
      <c r="CF1702" t="s">
        <v>131</v>
      </c>
      <c r="CH1702" t="str">
        <f>""</f>
        <v/>
      </c>
      <c r="CI1702" t="s">
        <v>131</v>
      </c>
      <c r="CK1702" t="s">
        <v>131</v>
      </c>
      <c r="CL1702" t="str">
        <f>""</f>
        <v/>
      </c>
      <c r="CM1702" t="str">
        <f>""</f>
        <v/>
      </c>
      <c r="CN1702" t="str">
        <f>""</f>
        <v/>
      </c>
      <c r="CO1702" t="str">
        <f>""</f>
        <v/>
      </c>
      <c r="CP1702" t="str">
        <f>"25-9031.00"</f>
        <v>25-9031.00</v>
      </c>
      <c r="CQ1702" t="s">
        <v>5639</v>
      </c>
      <c r="CR1702" t="s">
        <v>7449</v>
      </c>
      <c r="CS1702" t="s">
        <v>131</v>
      </c>
      <c r="CU1702" t="s">
        <v>18318</v>
      </c>
      <c r="CV1702" t="s">
        <v>7450</v>
      </c>
      <c r="CW1702" t="s">
        <v>791</v>
      </c>
      <c r="CX1702" t="s">
        <v>172</v>
      </c>
      <c r="CZ1702" s="3" t="str">
        <f>"92122"</f>
        <v>92122</v>
      </c>
      <c r="DA1702" t="s">
        <v>131</v>
      </c>
      <c r="DB1702" t="str">
        <f>""</f>
        <v/>
      </c>
      <c r="DF1702" t="str">
        <f>""</f>
        <v/>
      </c>
    </row>
    <row r="1703" spans="1:110" ht="15" customHeight="1" x14ac:dyDescent="0.35">
      <c r="A1703" t="s">
        <v>6115</v>
      </c>
      <c r="B1703" t="s">
        <v>138</v>
      </c>
      <c r="C1703" s="1">
        <v>44341</v>
      </c>
      <c r="G1703" s="1">
        <v>44348</v>
      </c>
      <c r="H1703" t="s">
        <v>125</v>
      </c>
      <c r="I1703" t="s">
        <v>201</v>
      </c>
      <c r="J1703" t="s">
        <v>202</v>
      </c>
      <c r="L1703" t="s">
        <v>203</v>
      </c>
      <c r="M1703" t="s">
        <v>204</v>
      </c>
      <c r="O1703" t="s">
        <v>205</v>
      </c>
      <c r="P1703" t="s">
        <v>194</v>
      </c>
      <c r="Q1703" s="3">
        <v>33607</v>
      </c>
      <c r="R1703" t="s">
        <v>128</v>
      </c>
      <c r="T1703" s="4">
        <v>1813348700</v>
      </c>
      <c r="V1703" t="s">
        <v>217</v>
      </c>
      <c r="W1703" t="s">
        <v>2265</v>
      </c>
      <c r="Y1703" t="s">
        <v>208</v>
      </c>
      <c r="AA1703" t="s">
        <v>205</v>
      </c>
      <c r="AB1703" t="s">
        <v>195</v>
      </c>
      <c r="AC1703" s="3" t="str">
        <f>"33607"</f>
        <v>33607</v>
      </c>
      <c r="AD1703" t="s">
        <v>128</v>
      </c>
      <c r="AF1703" s="4">
        <v>18133487000</v>
      </c>
      <c r="AH1703" t="str">
        <f>"541611"</f>
        <v>541611</v>
      </c>
      <c r="AI1703" t="s">
        <v>130</v>
      </c>
      <c r="AJ1703" t="s">
        <v>209</v>
      </c>
      <c r="AK1703" t="s">
        <v>210</v>
      </c>
      <c r="AL1703" t="s">
        <v>211</v>
      </c>
      <c r="AM1703" t="s">
        <v>212</v>
      </c>
      <c r="AN1703" t="s">
        <v>213</v>
      </c>
      <c r="AO1703" t="s">
        <v>214</v>
      </c>
      <c r="AQ1703" s="5" t="s">
        <v>215</v>
      </c>
      <c r="AR1703" t="s">
        <v>156</v>
      </c>
      <c r="AS1703" t="s">
        <v>216</v>
      </c>
      <c r="AT1703" s="4">
        <v>14169418383</v>
      </c>
      <c r="AV1703" t="s">
        <v>217</v>
      </c>
      <c r="AW1703" t="s">
        <v>218</v>
      </c>
      <c r="AX1703" t="s">
        <v>131</v>
      </c>
      <c r="AY1703" t="s">
        <v>131</v>
      </c>
      <c r="AZ1703" t="s">
        <v>131</v>
      </c>
      <c r="BA1703" t="s">
        <v>131</v>
      </c>
      <c r="BB1703" t="s">
        <v>131</v>
      </c>
      <c r="BC1703" t="s">
        <v>131</v>
      </c>
      <c r="BD1703" t="s">
        <v>131</v>
      </c>
      <c r="BE1703" t="s">
        <v>132</v>
      </c>
      <c r="BH1703" t="s">
        <v>6116</v>
      </c>
      <c r="BI1703" t="s">
        <v>135</v>
      </c>
      <c r="BJ1703" t="s">
        <v>5160</v>
      </c>
      <c r="BK1703" t="s">
        <v>711</v>
      </c>
      <c r="BL1703" t="s">
        <v>133</v>
      </c>
      <c r="BN1703" t="s">
        <v>6117</v>
      </c>
      <c r="BO1703" t="s">
        <v>131</v>
      </c>
      <c r="BP1703" t="s">
        <v>134</v>
      </c>
      <c r="BQ1703" t="s">
        <v>131</v>
      </c>
      <c r="BS1703" t="str">
        <f t="shared" si="104"/>
        <v>N/A</v>
      </c>
      <c r="BT1703" t="s">
        <v>135</v>
      </c>
      <c r="BU1703">
        <v>60</v>
      </c>
      <c r="BV1703" t="str">
        <f>"Information Security Analysts or related occupation."</f>
        <v>Information Security Analysts or related occupation.</v>
      </c>
      <c r="BW1703" t="s">
        <v>135</v>
      </c>
      <c r="BX1703" t="str">
        <f>""</f>
        <v/>
      </c>
      <c r="BY1703" t="str">
        <f>""</f>
        <v/>
      </c>
      <c r="BZ1703" t="str">
        <f>""</f>
        <v/>
      </c>
      <c r="CA1703" s="2" t="s">
        <v>6118</v>
      </c>
      <c r="CB1703" t="s">
        <v>135</v>
      </c>
      <c r="CC1703" t="s">
        <v>188</v>
      </c>
      <c r="CE1703" t="s">
        <v>6117</v>
      </c>
      <c r="CF1703" t="s">
        <v>131</v>
      </c>
      <c r="CH1703" t="str">
        <f>"N/A"</f>
        <v>N/A</v>
      </c>
      <c r="CI1703" t="s">
        <v>135</v>
      </c>
      <c r="CJ1703">
        <v>36</v>
      </c>
      <c r="CK1703" t="s">
        <v>135</v>
      </c>
      <c r="CL1703" t="str">
        <f>""</f>
        <v/>
      </c>
      <c r="CM1703" t="str">
        <f>""</f>
        <v/>
      </c>
      <c r="CN1703" t="str">
        <f>""</f>
        <v/>
      </c>
      <c r="CO1703" s="2" t="s">
        <v>6118</v>
      </c>
      <c r="CP1703" t="str">
        <f>"15-1122.00"</f>
        <v>15-1122.00</v>
      </c>
      <c r="CQ1703" t="s">
        <v>711</v>
      </c>
      <c r="CS1703" t="s">
        <v>135</v>
      </c>
      <c r="CT1703" t="s">
        <v>2266</v>
      </c>
      <c r="CU1703" t="s">
        <v>6119</v>
      </c>
      <c r="CW1703" t="s">
        <v>799</v>
      </c>
      <c r="CX1703" t="s">
        <v>595</v>
      </c>
      <c r="CZ1703" s="3" t="str">
        <f>"20001"</f>
        <v>20001</v>
      </c>
      <c r="DA1703" t="s">
        <v>131</v>
      </c>
      <c r="DB1703" t="str">
        <f>""</f>
        <v/>
      </c>
      <c r="DF1703" t="str">
        <f>""</f>
        <v/>
      </c>
    </row>
    <row r="1704" spans="1:110" ht="15" customHeight="1" x14ac:dyDescent="0.35">
      <c r="A1704" t="s">
        <v>7792</v>
      </c>
      <c r="B1704" t="s">
        <v>138</v>
      </c>
      <c r="C1704" s="1">
        <v>44341</v>
      </c>
      <c r="G1704" s="1">
        <v>44342</v>
      </c>
      <c r="H1704" t="s">
        <v>125</v>
      </c>
      <c r="I1704" t="s">
        <v>7793</v>
      </c>
      <c r="J1704" t="s">
        <v>1252</v>
      </c>
      <c r="L1704" t="s">
        <v>587</v>
      </c>
      <c r="M1704" t="s">
        <v>7794</v>
      </c>
      <c r="O1704" t="s">
        <v>2868</v>
      </c>
      <c r="P1704" t="s">
        <v>539</v>
      </c>
      <c r="Q1704" s="3">
        <v>60123</v>
      </c>
      <c r="R1704" t="s">
        <v>128</v>
      </c>
      <c r="T1704" s="4">
        <v>16306262079</v>
      </c>
      <c r="V1704" t="s">
        <v>7795</v>
      </c>
      <c r="W1704" t="s">
        <v>7796</v>
      </c>
      <c r="Y1704" t="s">
        <v>7797</v>
      </c>
      <c r="Z1704" t="s">
        <v>5552</v>
      </c>
      <c r="AA1704" t="s">
        <v>7798</v>
      </c>
      <c r="AB1704" t="s">
        <v>444</v>
      </c>
      <c r="AC1704" s="3" t="str">
        <f>"44141"</f>
        <v>44141</v>
      </c>
      <c r="AD1704" t="s">
        <v>128</v>
      </c>
      <c r="AF1704" s="4">
        <v>14404269631</v>
      </c>
      <c r="AH1704" t="str">
        <f>"56111"</f>
        <v>56111</v>
      </c>
      <c r="AI1704" t="s">
        <v>130</v>
      </c>
      <c r="AJ1704" t="s">
        <v>7799</v>
      </c>
      <c r="AK1704" t="s">
        <v>7800</v>
      </c>
      <c r="AL1704" t="s">
        <v>1036</v>
      </c>
      <c r="AM1704" t="s">
        <v>7801</v>
      </c>
      <c r="AN1704" t="s">
        <v>3345</v>
      </c>
      <c r="AO1704" t="s">
        <v>7802</v>
      </c>
      <c r="AP1704" t="s">
        <v>263</v>
      </c>
      <c r="AQ1704" s="5">
        <v>61107</v>
      </c>
      <c r="AR1704" t="s">
        <v>128</v>
      </c>
      <c r="AT1704" s="4">
        <v>17792102940</v>
      </c>
      <c r="AU1704">
        <v>2</v>
      </c>
      <c r="AV1704" t="s">
        <v>7803</v>
      </c>
      <c r="AW1704" t="s">
        <v>7804</v>
      </c>
      <c r="AX1704" t="s">
        <v>131</v>
      </c>
      <c r="AY1704" t="s">
        <v>131</v>
      </c>
      <c r="AZ1704" t="s">
        <v>131</v>
      </c>
      <c r="BA1704" t="s">
        <v>131</v>
      </c>
      <c r="BB1704" t="s">
        <v>131</v>
      </c>
      <c r="BC1704" t="s">
        <v>131</v>
      </c>
      <c r="BD1704" t="s">
        <v>131</v>
      </c>
      <c r="BE1704" t="s">
        <v>132</v>
      </c>
      <c r="BH1704" t="s">
        <v>7805</v>
      </c>
      <c r="BI1704" t="s">
        <v>131</v>
      </c>
      <c r="BL1704" t="s">
        <v>133</v>
      </c>
      <c r="BN1704" t="s">
        <v>7806</v>
      </c>
      <c r="BO1704" t="s">
        <v>131</v>
      </c>
      <c r="BP1704" t="s">
        <v>134</v>
      </c>
      <c r="BQ1704" t="s">
        <v>131</v>
      </c>
      <c r="BS1704" t="str">
        <f t="shared" si="104"/>
        <v>N/A</v>
      </c>
      <c r="BT1704" t="s">
        <v>135</v>
      </c>
      <c r="BU1704">
        <v>36</v>
      </c>
      <c r="BV1704" t="str">
        <f>"¿	3 years experience in data modeling design, architecture, administration, and development experience"</f>
        <v>¿	3 years experience in data modeling design, architecture, administration, and development experience</v>
      </c>
      <c r="BW1704" t="s">
        <v>135</v>
      </c>
      <c r="BX1704" t="str">
        <f>""</f>
        <v/>
      </c>
      <c r="BY1704" t="str">
        <f>""</f>
        <v/>
      </c>
      <c r="BZ1704" t="str">
        <f>""</f>
        <v/>
      </c>
      <c r="CA1704" t="str">
        <f>"¿	Intermediate SQL scripting skills and experience parsing and manipulating file data as confirmed by [sample test]
¿	Permanent U.S. work authorization"</f>
        <v>¿	Intermediate SQL scripting skills and experience parsing and manipulating file data as confirmed by [sample test]
¿	Permanent U.S. work authorization</v>
      </c>
      <c r="CB1704" t="s">
        <v>131</v>
      </c>
      <c r="CF1704" t="s">
        <v>131</v>
      </c>
      <c r="CH1704" t="str">
        <f>""</f>
        <v/>
      </c>
      <c r="CI1704" t="s">
        <v>131</v>
      </c>
      <c r="CK1704" t="s">
        <v>131</v>
      </c>
      <c r="CL1704" t="str">
        <f>""</f>
        <v/>
      </c>
      <c r="CM1704" t="str">
        <f>""</f>
        <v/>
      </c>
      <c r="CN1704" t="str">
        <f>""</f>
        <v/>
      </c>
      <c r="CO1704" t="str">
        <f>""</f>
        <v/>
      </c>
      <c r="CP1704" t="str">
        <f>"15-1141.00"</f>
        <v>15-1141.00</v>
      </c>
      <c r="CQ1704" t="s">
        <v>1576</v>
      </c>
      <c r="CS1704" t="s">
        <v>131</v>
      </c>
      <c r="CU1704" t="s">
        <v>7807</v>
      </c>
      <c r="CW1704" t="s">
        <v>2868</v>
      </c>
      <c r="CX1704" t="s">
        <v>263</v>
      </c>
      <c r="CZ1704" s="3" t="str">
        <f>"60123"</f>
        <v>60123</v>
      </c>
      <c r="DA1704" t="s">
        <v>131</v>
      </c>
      <c r="DB1704" t="str">
        <f>""</f>
        <v/>
      </c>
      <c r="DF1704" t="str">
        <f>""</f>
        <v/>
      </c>
    </row>
    <row r="1705" spans="1:110" ht="15" customHeight="1" x14ac:dyDescent="0.35">
      <c r="A1705" t="s">
        <v>137</v>
      </c>
      <c r="B1705" t="s">
        <v>138</v>
      </c>
      <c r="C1705" s="1">
        <v>44341</v>
      </c>
      <c r="G1705" s="1">
        <v>44343</v>
      </c>
      <c r="H1705" t="s">
        <v>125</v>
      </c>
      <c r="I1705" t="s">
        <v>139</v>
      </c>
      <c r="J1705" t="s">
        <v>140</v>
      </c>
      <c r="L1705" t="s">
        <v>141</v>
      </c>
      <c r="M1705" t="s">
        <v>142</v>
      </c>
      <c r="O1705" t="s">
        <v>143</v>
      </c>
      <c r="P1705" t="s">
        <v>144</v>
      </c>
      <c r="Q1705" s="3">
        <v>98052</v>
      </c>
      <c r="R1705" t="s">
        <v>128</v>
      </c>
      <c r="T1705" s="4">
        <v>14255383872</v>
      </c>
      <c r="U1705">
        <v>8387</v>
      </c>
      <c r="V1705" t="s">
        <v>145</v>
      </c>
      <c r="W1705" t="s">
        <v>146</v>
      </c>
      <c r="X1705" t="s">
        <v>134</v>
      </c>
      <c r="Y1705" t="s">
        <v>147</v>
      </c>
      <c r="Z1705" t="s">
        <v>134</v>
      </c>
      <c r="AA1705" t="s">
        <v>148</v>
      </c>
      <c r="AB1705" t="s">
        <v>149</v>
      </c>
      <c r="AC1705" s="3" t="str">
        <f>"98052"</f>
        <v>98052</v>
      </c>
      <c r="AD1705" t="s">
        <v>128</v>
      </c>
      <c r="AE1705" t="s">
        <v>134</v>
      </c>
      <c r="AF1705" s="4">
        <v>14258828080</v>
      </c>
      <c r="AH1705" t="str">
        <f>"5112"</f>
        <v>5112</v>
      </c>
      <c r="AI1705" t="s">
        <v>130</v>
      </c>
      <c r="AJ1705" t="s">
        <v>150</v>
      </c>
      <c r="AK1705" t="s">
        <v>151</v>
      </c>
      <c r="AM1705" t="s">
        <v>152</v>
      </c>
      <c r="AN1705" t="s">
        <v>153</v>
      </c>
      <c r="AO1705" t="s">
        <v>154</v>
      </c>
      <c r="AQ1705" s="5" t="s">
        <v>155</v>
      </c>
      <c r="AR1705" t="s">
        <v>156</v>
      </c>
      <c r="AS1705" t="s">
        <v>157</v>
      </c>
      <c r="AT1705" s="4">
        <v>16048918371</v>
      </c>
      <c r="AV1705" t="s">
        <v>158</v>
      </c>
      <c r="AW1705" t="s">
        <v>159</v>
      </c>
      <c r="AX1705" t="s">
        <v>131</v>
      </c>
      <c r="AY1705" t="s">
        <v>131</v>
      </c>
      <c r="AZ1705" t="s">
        <v>131</v>
      </c>
      <c r="BA1705" t="s">
        <v>131</v>
      </c>
      <c r="BB1705" t="s">
        <v>131</v>
      </c>
      <c r="BC1705" t="s">
        <v>131</v>
      </c>
      <c r="BD1705" t="s">
        <v>131</v>
      </c>
      <c r="BE1705" t="s">
        <v>160</v>
      </c>
      <c r="BF1705" t="s">
        <v>161</v>
      </c>
      <c r="BG1705" s="1">
        <v>44270</v>
      </c>
      <c r="BH1705" t="s">
        <v>162</v>
      </c>
      <c r="BI1705" t="s">
        <v>135</v>
      </c>
      <c r="BJ1705" t="s">
        <v>163</v>
      </c>
      <c r="BK1705" t="s">
        <v>164</v>
      </c>
      <c r="BL1705" t="s">
        <v>133</v>
      </c>
      <c r="BN1705" t="s">
        <v>165</v>
      </c>
      <c r="BO1705" t="s">
        <v>131</v>
      </c>
      <c r="BP1705" t="s">
        <v>134</v>
      </c>
      <c r="BQ1705" t="s">
        <v>131</v>
      </c>
      <c r="BS1705" t="str">
        <f t="shared" si="104"/>
        <v>N/A</v>
      </c>
      <c r="BT1705" t="s">
        <v>135</v>
      </c>
      <c r="BU1705">
        <v>24</v>
      </c>
      <c r="BV1705" t="str">
        <f>"Any related occupation"</f>
        <v>Any related occupation</v>
      </c>
      <c r="BW1705" t="s">
        <v>135</v>
      </c>
      <c r="BX1705" t="str">
        <f>""</f>
        <v/>
      </c>
      <c r="BY1705" t="str">
        <f>""</f>
        <v/>
      </c>
      <c r="BZ1705" t="str">
        <f>""</f>
        <v/>
      </c>
      <c r="CA1705" s="2" t="s">
        <v>166</v>
      </c>
      <c r="CB1705" t="s">
        <v>135</v>
      </c>
      <c r="CC1705" t="s">
        <v>167</v>
      </c>
      <c r="CF1705" t="s">
        <v>131</v>
      </c>
      <c r="CH1705" t="str">
        <f>"N/A"</f>
        <v>N/A</v>
      </c>
      <c r="CI1705" t="s">
        <v>135</v>
      </c>
      <c r="CJ1705">
        <v>48</v>
      </c>
      <c r="CK1705" t="s">
        <v>135</v>
      </c>
      <c r="CL1705" t="str">
        <f>""</f>
        <v/>
      </c>
      <c r="CM1705" t="str">
        <f>""</f>
        <v/>
      </c>
      <c r="CN1705" t="str">
        <f>""</f>
        <v/>
      </c>
      <c r="CO1705" s="2" t="s">
        <v>166</v>
      </c>
      <c r="CP1705" t="str">
        <f>"11-2022.00"</f>
        <v>11-2022.00</v>
      </c>
      <c r="CQ1705" t="s">
        <v>164</v>
      </c>
      <c r="CR1705" t="s">
        <v>168</v>
      </c>
      <c r="CS1705" t="s">
        <v>135</v>
      </c>
      <c r="CT1705" t="s">
        <v>169</v>
      </c>
      <c r="CU1705" t="s">
        <v>170</v>
      </c>
      <c r="CW1705" t="s">
        <v>171</v>
      </c>
      <c r="CX1705" t="s">
        <v>172</v>
      </c>
      <c r="CZ1705" s="3" t="str">
        <f>"92614"</f>
        <v>92614</v>
      </c>
      <c r="DA1705" t="s">
        <v>131</v>
      </c>
      <c r="DB1705" t="str">
        <f>""</f>
        <v/>
      </c>
      <c r="DF1705" t="str">
        <f>""</f>
        <v/>
      </c>
    </row>
    <row r="1706" spans="1:110" ht="15" customHeight="1" x14ac:dyDescent="0.35">
      <c r="A1706" t="s">
        <v>13554</v>
      </c>
      <c r="B1706" t="s">
        <v>138</v>
      </c>
      <c r="C1706" s="1">
        <v>44341</v>
      </c>
      <c r="G1706" s="1">
        <v>44341</v>
      </c>
      <c r="H1706" t="s">
        <v>125</v>
      </c>
      <c r="I1706" t="s">
        <v>13555</v>
      </c>
      <c r="J1706" t="s">
        <v>13556</v>
      </c>
      <c r="L1706" t="s">
        <v>5757</v>
      </c>
      <c r="M1706" t="s">
        <v>13557</v>
      </c>
      <c r="N1706" t="s">
        <v>1880</v>
      </c>
      <c r="O1706" t="s">
        <v>4346</v>
      </c>
      <c r="P1706" t="s">
        <v>273</v>
      </c>
      <c r="Q1706" s="3">
        <v>8512</v>
      </c>
      <c r="R1706" t="s">
        <v>128</v>
      </c>
      <c r="T1706" s="4">
        <v>19139721630</v>
      </c>
      <c r="V1706" t="s">
        <v>13558</v>
      </c>
      <c r="W1706" t="s">
        <v>13559</v>
      </c>
      <c r="Y1706" t="s">
        <v>13557</v>
      </c>
      <c r="Z1706" t="s">
        <v>1880</v>
      </c>
      <c r="AA1706" t="s">
        <v>4346</v>
      </c>
      <c r="AB1706" t="s">
        <v>276</v>
      </c>
      <c r="AC1706" s="3" t="str">
        <f>"08512"</f>
        <v>08512</v>
      </c>
      <c r="AD1706" t="s">
        <v>128</v>
      </c>
      <c r="AF1706" s="4">
        <v>19139721630</v>
      </c>
      <c r="AH1706" t="str">
        <f>"541511"</f>
        <v>541511</v>
      </c>
      <c r="AI1706" t="s">
        <v>130</v>
      </c>
      <c r="AJ1706" t="s">
        <v>838</v>
      </c>
      <c r="AK1706" t="s">
        <v>839</v>
      </c>
      <c r="AL1706" t="s">
        <v>1933</v>
      </c>
      <c r="AM1706" t="s">
        <v>841</v>
      </c>
      <c r="AN1706" t="s">
        <v>842</v>
      </c>
      <c r="AO1706" t="s">
        <v>843</v>
      </c>
      <c r="AP1706" t="s">
        <v>276</v>
      </c>
      <c r="AQ1706" s="5">
        <v>7080</v>
      </c>
      <c r="AR1706" t="s">
        <v>128</v>
      </c>
      <c r="AT1706" s="4">
        <v>17328327978</v>
      </c>
      <c r="AV1706" t="s">
        <v>844</v>
      </c>
      <c r="AW1706" t="s">
        <v>3328</v>
      </c>
      <c r="AX1706" t="s">
        <v>131</v>
      </c>
      <c r="AY1706" t="s">
        <v>131</v>
      </c>
      <c r="AZ1706" t="s">
        <v>131</v>
      </c>
      <c r="BA1706" t="s">
        <v>131</v>
      </c>
      <c r="BB1706" t="s">
        <v>131</v>
      </c>
      <c r="BC1706" t="s">
        <v>131</v>
      </c>
      <c r="BD1706" t="s">
        <v>131</v>
      </c>
      <c r="BE1706" t="s">
        <v>132</v>
      </c>
      <c r="BH1706" t="s">
        <v>8599</v>
      </c>
      <c r="BI1706" t="s">
        <v>131</v>
      </c>
      <c r="BL1706" t="s">
        <v>188</v>
      </c>
      <c r="BN1706" t="s">
        <v>13560</v>
      </c>
      <c r="BO1706" t="s">
        <v>131</v>
      </c>
      <c r="BP1706" t="s">
        <v>134</v>
      </c>
      <c r="BQ1706" t="s">
        <v>131</v>
      </c>
      <c r="BS1706" t="str">
        <f t="shared" si="104"/>
        <v>N/A</v>
      </c>
      <c r="BT1706" t="s">
        <v>135</v>
      </c>
      <c r="BU1706">
        <v>12</v>
      </c>
      <c r="BV1706" t="str">
        <f>"job offered or related occupation "</f>
        <v xml:space="preserve">job offered or related occupation </v>
      </c>
      <c r="BW1706" t="s">
        <v>131</v>
      </c>
      <c r="BX1706" t="str">
        <f>""</f>
        <v/>
      </c>
      <c r="BY1706" t="str">
        <f>""</f>
        <v/>
      </c>
      <c r="BZ1706" t="str">
        <f>""</f>
        <v/>
      </c>
      <c r="CA1706" t="str">
        <f>""</f>
        <v/>
      </c>
      <c r="CB1706" t="s">
        <v>135</v>
      </c>
      <c r="CC1706" t="s">
        <v>133</v>
      </c>
      <c r="CE1706" t="s">
        <v>13560</v>
      </c>
      <c r="CF1706" t="s">
        <v>131</v>
      </c>
      <c r="CH1706" t="str">
        <f>"N/A"</f>
        <v>N/A</v>
      </c>
      <c r="CI1706" t="s">
        <v>135</v>
      </c>
      <c r="CJ1706">
        <v>60</v>
      </c>
      <c r="CK1706" t="s">
        <v>135</v>
      </c>
      <c r="CL1706" t="str">
        <f>""</f>
        <v/>
      </c>
      <c r="CM1706" t="str">
        <f>""</f>
        <v/>
      </c>
      <c r="CN1706" t="str">
        <f>""</f>
        <v/>
      </c>
      <c r="CO1706" t="s">
        <v>13561</v>
      </c>
      <c r="CP1706" t="str">
        <f>"15-1199.09"</f>
        <v>15-1199.09</v>
      </c>
      <c r="CQ1706" t="s">
        <v>697</v>
      </c>
      <c r="CS1706" t="s">
        <v>131</v>
      </c>
      <c r="CU1706" t="s">
        <v>13557</v>
      </c>
      <c r="CV1706" t="s">
        <v>13562</v>
      </c>
      <c r="CW1706" t="s">
        <v>4346</v>
      </c>
      <c r="CX1706" t="s">
        <v>276</v>
      </c>
      <c r="CZ1706" s="3" t="str">
        <f>"08512"</f>
        <v>08512</v>
      </c>
      <c r="DA1706" t="s">
        <v>131</v>
      </c>
      <c r="DB1706" t="str">
        <f>""</f>
        <v/>
      </c>
      <c r="DF1706" t="str">
        <f>""</f>
        <v/>
      </c>
    </row>
    <row r="1707" spans="1:110" ht="15" customHeight="1" x14ac:dyDescent="0.35">
      <c r="A1707" t="s">
        <v>15766</v>
      </c>
      <c r="B1707" t="s">
        <v>138</v>
      </c>
      <c r="C1707" s="1">
        <v>44341</v>
      </c>
      <c r="G1707" s="1">
        <v>44342</v>
      </c>
      <c r="H1707" t="s">
        <v>125</v>
      </c>
      <c r="I1707" t="s">
        <v>15767</v>
      </c>
      <c r="J1707" t="s">
        <v>5701</v>
      </c>
      <c r="L1707" t="s">
        <v>4047</v>
      </c>
      <c r="M1707" t="s">
        <v>15768</v>
      </c>
      <c r="O1707" t="s">
        <v>501</v>
      </c>
      <c r="P1707" t="s">
        <v>178</v>
      </c>
      <c r="Q1707" s="3">
        <v>92618</v>
      </c>
      <c r="R1707" t="s">
        <v>128</v>
      </c>
      <c r="T1707" s="4">
        <v>19497884900</v>
      </c>
      <c r="V1707" t="s">
        <v>15769</v>
      </c>
      <c r="W1707" t="s">
        <v>15770</v>
      </c>
      <c r="Y1707" t="s">
        <v>15768</v>
      </c>
      <c r="AA1707" t="s">
        <v>501</v>
      </c>
      <c r="AB1707" t="s">
        <v>172</v>
      </c>
      <c r="AC1707" s="3" t="str">
        <f>"92618"</f>
        <v>92618</v>
      </c>
      <c r="AD1707" t="s">
        <v>128</v>
      </c>
      <c r="AF1707" s="4">
        <v>19497884900</v>
      </c>
      <c r="AH1707" t="str">
        <f>"541620"</f>
        <v>541620</v>
      </c>
      <c r="AI1707" t="s">
        <v>130</v>
      </c>
      <c r="AJ1707" t="s">
        <v>6605</v>
      </c>
      <c r="AK1707" t="s">
        <v>5952</v>
      </c>
      <c r="AM1707" t="s">
        <v>1283</v>
      </c>
      <c r="AN1707" t="s">
        <v>15771</v>
      </c>
      <c r="AO1707" t="s">
        <v>1200</v>
      </c>
      <c r="AP1707" t="s">
        <v>172</v>
      </c>
      <c r="AQ1707" s="5">
        <v>91301</v>
      </c>
      <c r="AR1707" t="s">
        <v>128</v>
      </c>
      <c r="AT1707" s="4">
        <v>18189146482</v>
      </c>
      <c r="AV1707" t="s">
        <v>1201</v>
      </c>
      <c r="AW1707" t="s">
        <v>6608</v>
      </c>
      <c r="AX1707" t="s">
        <v>131</v>
      </c>
      <c r="AY1707" t="s">
        <v>131</v>
      </c>
      <c r="AZ1707" t="s">
        <v>131</v>
      </c>
      <c r="BA1707" t="s">
        <v>131</v>
      </c>
      <c r="BB1707" t="s">
        <v>131</v>
      </c>
      <c r="BC1707" t="s">
        <v>131</v>
      </c>
      <c r="BD1707" t="s">
        <v>131</v>
      </c>
      <c r="BE1707" t="s">
        <v>132</v>
      </c>
      <c r="BH1707" t="s">
        <v>15772</v>
      </c>
      <c r="BI1707" t="s">
        <v>131</v>
      </c>
      <c r="BL1707" t="s">
        <v>188</v>
      </c>
      <c r="BN1707" t="s">
        <v>4589</v>
      </c>
      <c r="BO1707" t="s">
        <v>131</v>
      </c>
      <c r="BP1707" t="s">
        <v>134</v>
      </c>
      <c r="BQ1707" t="s">
        <v>131</v>
      </c>
      <c r="BS1707" t="str">
        <f t="shared" si="104"/>
        <v>N/A</v>
      </c>
      <c r="BT1707" t="s">
        <v>135</v>
      </c>
      <c r="BU1707">
        <v>12</v>
      </c>
      <c r="BV1707" t="str">
        <f>"SEE F.A.2"</f>
        <v>SEE F.A.2</v>
      </c>
      <c r="BW1707" t="s">
        <v>135</v>
      </c>
      <c r="BX1707" t="str">
        <f>""</f>
        <v/>
      </c>
      <c r="BY1707" t="str">
        <f>""</f>
        <v/>
      </c>
      <c r="BZ1707" t="str">
        <f>""</f>
        <v/>
      </c>
      <c r="CA1707" s="2" t="s">
        <v>15773</v>
      </c>
      <c r="CB1707" t="s">
        <v>131</v>
      </c>
      <c r="CF1707" t="s">
        <v>131</v>
      </c>
      <c r="CH1707" t="str">
        <f>""</f>
        <v/>
      </c>
      <c r="CI1707" t="s">
        <v>131</v>
      </c>
      <c r="CK1707" t="s">
        <v>131</v>
      </c>
      <c r="CL1707" t="str">
        <f>""</f>
        <v/>
      </c>
      <c r="CM1707" t="str">
        <f>""</f>
        <v/>
      </c>
      <c r="CN1707" t="str">
        <f>""</f>
        <v/>
      </c>
      <c r="CO1707" t="str">
        <f>""</f>
        <v/>
      </c>
      <c r="CP1707" t="str">
        <f>"15-1199.05"</f>
        <v>15-1199.05</v>
      </c>
      <c r="CQ1707" t="s">
        <v>15774</v>
      </c>
      <c r="CR1707" t="s">
        <v>15775</v>
      </c>
      <c r="CS1707" t="s">
        <v>131</v>
      </c>
      <c r="CU1707" t="s">
        <v>15768</v>
      </c>
      <c r="CW1707" t="s">
        <v>501</v>
      </c>
      <c r="CX1707" t="s">
        <v>172</v>
      </c>
      <c r="CZ1707" s="3" t="str">
        <f>"92618"</f>
        <v>92618</v>
      </c>
      <c r="DA1707" t="s">
        <v>131</v>
      </c>
      <c r="DB1707" t="str">
        <f>""</f>
        <v/>
      </c>
      <c r="DF1707" t="str">
        <f>""</f>
        <v/>
      </c>
    </row>
    <row r="1708" spans="1:110" ht="15" customHeight="1" x14ac:dyDescent="0.35">
      <c r="A1708" t="s">
        <v>11341</v>
      </c>
      <c r="B1708" t="s">
        <v>138</v>
      </c>
      <c r="C1708" s="1">
        <v>44341</v>
      </c>
      <c r="G1708" s="1">
        <v>44341</v>
      </c>
      <c r="H1708" t="s">
        <v>125</v>
      </c>
      <c r="I1708" t="s">
        <v>1311</v>
      </c>
      <c r="J1708" t="s">
        <v>1430</v>
      </c>
      <c r="L1708" t="s">
        <v>1431</v>
      </c>
      <c r="M1708" t="s">
        <v>1432</v>
      </c>
      <c r="O1708" t="s">
        <v>220</v>
      </c>
      <c r="P1708" t="s">
        <v>178</v>
      </c>
      <c r="Q1708" s="3">
        <v>94105</v>
      </c>
      <c r="R1708" t="s">
        <v>128</v>
      </c>
      <c r="T1708" s="4">
        <v>14154421711</v>
      </c>
      <c r="U1708">
        <v>6966</v>
      </c>
      <c r="V1708" t="s">
        <v>1433</v>
      </c>
      <c r="W1708" t="s">
        <v>1434</v>
      </c>
      <c r="Y1708" t="s">
        <v>1435</v>
      </c>
      <c r="Z1708" t="s">
        <v>904</v>
      </c>
      <c r="AA1708" t="s">
        <v>664</v>
      </c>
      <c r="AB1708" t="s">
        <v>172</v>
      </c>
      <c r="AC1708" s="3" t="str">
        <f>"95110"</f>
        <v>95110</v>
      </c>
      <c r="AD1708" t="s">
        <v>128</v>
      </c>
      <c r="AF1708" s="4">
        <v>14088095104</v>
      </c>
      <c r="AH1708" t="str">
        <f>"334112"</f>
        <v>334112</v>
      </c>
      <c r="AI1708" t="s">
        <v>130</v>
      </c>
      <c r="AJ1708" t="s">
        <v>1436</v>
      </c>
      <c r="AK1708" t="s">
        <v>1437</v>
      </c>
      <c r="AM1708" t="s">
        <v>1438</v>
      </c>
      <c r="AO1708" t="s">
        <v>521</v>
      </c>
      <c r="AP1708" t="s">
        <v>172</v>
      </c>
      <c r="AQ1708" s="5" t="s">
        <v>1439</v>
      </c>
      <c r="AR1708" t="s">
        <v>128</v>
      </c>
      <c r="AS1708" t="s">
        <v>178</v>
      </c>
      <c r="AT1708" s="4">
        <v>14154421000</v>
      </c>
      <c r="AU1708">
        <v>1238</v>
      </c>
      <c r="AV1708" t="s">
        <v>1433</v>
      </c>
      <c r="AW1708" t="s">
        <v>1440</v>
      </c>
      <c r="AX1708" t="s">
        <v>131</v>
      </c>
      <c r="AY1708" t="s">
        <v>131</v>
      </c>
      <c r="AZ1708" t="s">
        <v>131</v>
      </c>
      <c r="BA1708" t="s">
        <v>131</v>
      </c>
      <c r="BB1708" t="s">
        <v>131</v>
      </c>
      <c r="BC1708" t="s">
        <v>131</v>
      </c>
      <c r="BD1708" t="s">
        <v>131</v>
      </c>
      <c r="BE1708" t="s">
        <v>132</v>
      </c>
      <c r="BH1708" t="s">
        <v>1441</v>
      </c>
      <c r="BI1708" t="s">
        <v>131</v>
      </c>
      <c r="BL1708" t="s">
        <v>133</v>
      </c>
      <c r="BN1708" s="2" t="s">
        <v>11342</v>
      </c>
      <c r="BO1708" t="s">
        <v>131</v>
      </c>
      <c r="BP1708" t="s">
        <v>134</v>
      </c>
      <c r="BQ1708" t="s">
        <v>131</v>
      </c>
      <c r="BS1708" t="str">
        <f t="shared" si="104"/>
        <v>N/A</v>
      </c>
      <c r="BT1708" t="s">
        <v>135</v>
      </c>
      <c r="BU1708">
        <v>72</v>
      </c>
      <c r="BV1708" t="str">
        <f>"Any related occupation"</f>
        <v>Any related occupation</v>
      </c>
      <c r="BW1708" t="s">
        <v>131</v>
      </c>
      <c r="BX1708" t="str">
        <f>""</f>
        <v/>
      </c>
      <c r="BY1708" t="str">
        <f>""</f>
        <v/>
      </c>
      <c r="BZ1708" t="str">
        <f>""</f>
        <v/>
      </c>
      <c r="CA1708" t="str">
        <f>""</f>
        <v/>
      </c>
      <c r="CB1708" t="s">
        <v>131</v>
      </c>
      <c r="CF1708" t="s">
        <v>131</v>
      </c>
      <c r="CH1708" t="str">
        <f>""</f>
        <v/>
      </c>
      <c r="CI1708" t="s">
        <v>131</v>
      </c>
      <c r="CK1708" t="s">
        <v>131</v>
      </c>
      <c r="CL1708" t="str">
        <f>""</f>
        <v/>
      </c>
      <c r="CM1708" t="str">
        <f>""</f>
        <v/>
      </c>
      <c r="CN1708" t="str">
        <f>""</f>
        <v/>
      </c>
      <c r="CO1708" t="str">
        <f>""</f>
        <v/>
      </c>
      <c r="CP1708" t="str">
        <f>"13-1071.00"</f>
        <v>13-1071.00</v>
      </c>
      <c r="CQ1708" t="s">
        <v>1442</v>
      </c>
      <c r="CS1708" t="s">
        <v>131</v>
      </c>
      <c r="CU1708" t="s">
        <v>1443</v>
      </c>
      <c r="CW1708" t="s">
        <v>664</v>
      </c>
      <c r="CX1708" t="s">
        <v>172</v>
      </c>
      <c r="CZ1708" s="3" t="str">
        <f>"95110"</f>
        <v>95110</v>
      </c>
      <c r="DA1708" t="s">
        <v>131</v>
      </c>
      <c r="DB1708" t="str">
        <f>""</f>
        <v/>
      </c>
      <c r="DF1708" t="str">
        <f>""</f>
        <v/>
      </c>
    </row>
    <row r="1709" spans="1:110" ht="15" customHeight="1" x14ac:dyDescent="0.35">
      <c r="A1709" t="s">
        <v>10531</v>
      </c>
      <c r="B1709" t="s">
        <v>138</v>
      </c>
      <c r="C1709" s="1">
        <v>44341</v>
      </c>
      <c r="G1709" s="1">
        <v>44341</v>
      </c>
      <c r="H1709" t="s">
        <v>125</v>
      </c>
      <c r="I1709" t="s">
        <v>7098</v>
      </c>
      <c r="J1709" t="s">
        <v>7099</v>
      </c>
      <c r="L1709" t="s">
        <v>7100</v>
      </c>
      <c r="M1709" t="s">
        <v>7101</v>
      </c>
      <c r="N1709" t="s">
        <v>1478</v>
      </c>
      <c r="O1709" t="s">
        <v>799</v>
      </c>
      <c r="P1709" t="s">
        <v>3393</v>
      </c>
      <c r="Q1709" s="3">
        <v>20004</v>
      </c>
      <c r="R1709" t="s">
        <v>128</v>
      </c>
      <c r="T1709" s="4">
        <v>16507315582</v>
      </c>
      <c r="V1709" t="s">
        <v>7102</v>
      </c>
      <c r="W1709" t="s">
        <v>7103</v>
      </c>
      <c r="Y1709" t="s">
        <v>7101</v>
      </c>
      <c r="Z1709" t="s">
        <v>1478</v>
      </c>
      <c r="AA1709" t="s">
        <v>799</v>
      </c>
      <c r="AB1709" t="s">
        <v>595</v>
      </c>
      <c r="AC1709" s="3" t="str">
        <f>"20004"</f>
        <v>20004</v>
      </c>
      <c r="AD1709" t="s">
        <v>128</v>
      </c>
      <c r="AF1709" s="4">
        <v>15106914735</v>
      </c>
      <c r="AH1709" t="str">
        <f>"33521"</f>
        <v>33521</v>
      </c>
      <c r="AI1709" t="s">
        <v>130</v>
      </c>
      <c r="AJ1709" t="s">
        <v>7104</v>
      </c>
      <c r="AK1709" t="s">
        <v>7105</v>
      </c>
      <c r="AM1709" t="s">
        <v>1574</v>
      </c>
      <c r="AN1709" t="s">
        <v>1575</v>
      </c>
      <c r="AO1709" t="s">
        <v>944</v>
      </c>
      <c r="AP1709" t="s">
        <v>172</v>
      </c>
      <c r="AQ1709" s="5">
        <v>94111</v>
      </c>
      <c r="AR1709" t="s">
        <v>128</v>
      </c>
      <c r="AT1709" s="4">
        <v>14159861446</v>
      </c>
      <c r="AV1709" t="s">
        <v>4630</v>
      </c>
      <c r="AW1709" t="s">
        <v>517</v>
      </c>
      <c r="AX1709" t="s">
        <v>131</v>
      </c>
      <c r="AY1709" t="s">
        <v>131</v>
      </c>
      <c r="AZ1709" t="s">
        <v>131</v>
      </c>
      <c r="BA1709" t="s">
        <v>131</v>
      </c>
      <c r="BB1709" t="s">
        <v>131</v>
      </c>
      <c r="BC1709" t="s">
        <v>131</v>
      </c>
      <c r="BD1709" t="s">
        <v>131</v>
      </c>
      <c r="BE1709" t="s">
        <v>132</v>
      </c>
      <c r="BH1709" t="s">
        <v>7106</v>
      </c>
      <c r="BI1709" t="s">
        <v>131</v>
      </c>
      <c r="BL1709" t="s">
        <v>188</v>
      </c>
      <c r="BN1709" t="s">
        <v>2850</v>
      </c>
      <c r="BO1709" t="s">
        <v>131</v>
      </c>
      <c r="BP1709" t="s">
        <v>134</v>
      </c>
      <c r="BQ1709" t="s">
        <v>131</v>
      </c>
      <c r="BS1709" t="str">
        <f t="shared" si="104"/>
        <v>N/A</v>
      </c>
      <c r="BT1709" t="s">
        <v>135</v>
      </c>
      <c r="BU1709">
        <v>24</v>
      </c>
      <c r="BV1709" t="str">
        <f>"See F.b.5."</f>
        <v>See F.b.5.</v>
      </c>
      <c r="BW1709" t="s">
        <v>135</v>
      </c>
      <c r="BX1709" t="str">
        <f>""</f>
        <v/>
      </c>
      <c r="BY1709" t="str">
        <f>""</f>
        <v/>
      </c>
      <c r="BZ1709" t="str">
        <f>""</f>
        <v/>
      </c>
      <c r="CA1709" s="2" t="s">
        <v>7107</v>
      </c>
      <c r="CB1709" t="s">
        <v>131</v>
      </c>
      <c r="CF1709" t="s">
        <v>131</v>
      </c>
      <c r="CH1709" t="str">
        <f>""</f>
        <v/>
      </c>
      <c r="CI1709" t="s">
        <v>131</v>
      </c>
      <c r="CK1709" t="s">
        <v>131</v>
      </c>
      <c r="CL1709" t="str">
        <f>""</f>
        <v/>
      </c>
      <c r="CM1709" t="str">
        <f>""</f>
        <v/>
      </c>
      <c r="CN1709" t="str">
        <f>""</f>
        <v/>
      </c>
      <c r="CO1709" t="str">
        <f>""</f>
        <v/>
      </c>
      <c r="CP1709" t="str">
        <f>"19-1029.00"</f>
        <v>19-1029.00</v>
      </c>
      <c r="CQ1709" t="s">
        <v>7108</v>
      </c>
      <c r="CR1709" t="s">
        <v>7106</v>
      </c>
      <c r="CS1709" t="s">
        <v>135</v>
      </c>
      <c r="CT1709" t="s">
        <v>10532</v>
      </c>
      <c r="CU1709" t="s">
        <v>7109</v>
      </c>
      <c r="CW1709" t="s">
        <v>220</v>
      </c>
      <c r="CX1709" t="s">
        <v>172</v>
      </c>
      <c r="CZ1709" s="3" t="str">
        <f>"94107"</f>
        <v>94107</v>
      </c>
      <c r="DA1709" t="s">
        <v>131</v>
      </c>
      <c r="DB1709" t="str">
        <f>""</f>
        <v/>
      </c>
      <c r="DF1709" t="str">
        <f>""</f>
        <v/>
      </c>
    </row>
    <row r="1710" spans="1:110" ht="15" customHeight="1" x14ac:dyDescent="0.35">
      <c r="A1710" t="s">
        <v>15779</v>
      </c>
      <c r="B1710" t="s">
        <v>138</v>
      </c>
      <c r="C1710" s="1">
        <v>44342</v>
      </c>
      <c r="G1710" s="1">
        <v>44342</v>
      </c>
      <c r="H1710" t="s">
        <v>125</v>
      </c>
      <c r="I1710" t="s">
        <v>3061</v>
      </c>
      <c r="J1710" t="s">
        <v>1673</v>
      </c>
      <c r="L1710" t="s">
        <v>3062</v>
      </c>
      <c r="M1710" t="s">
        <v>1905</v>
      </c>
      <c r="N1710" t="s">
        <v>3063</v>
      </c>
      <c r="O1710" t="s">
        <v>458</v>
      </c>
      <c r="P1710" t="s">
        <v>412</v>
      </c>
      <c r="Q1710" s="3">
        <v>75082</v>
      </c>
      <c r="R1710" t="s">
        <v>128</v>
      </c>
      <c r="T1710" s="4">
        <v>12143062195</v>
      </c>
      <c r="V1710" t="s">
        <v>3064</v>
      </c>
      <c r="W1710" t="s">
        <v>3065</v>
      </c>
      <c r="Y1710" t="s">
        <v>1644</v>
      </c>
      <c r="Z1710" t="s">
        <v>3063</v>
      </c>
      <c r="AA1710" t="s">
        <v>458</v>
      </c>
      <c r="AB1710" t="s">
        <v>400</v>
      </c>
      <c r="AC1710" s="3" t="str">
        <f>"75082"</f>
        <v>75082</v>
      </c>
      <c r="AD1710" t="s">
        <v>128</v>
      </c>
      <c r="AF1710" s="4">
        <v>12143062100</v>
      </c>
      <c r="AH1710" t="str">
        <f>"54151"</f>
        <v>54151</v>
      </c>
      <c r="AI1710" t="s">
        <v>130</v>
      </c>
      <c r="AJ1710" t="s">
        <v>15780</v>
      </c>
      <c r="AK1710" t="s">
        <v>15781</v>
      </c>
      <c r="AL1710" t="s">
        <v>135</v>
      </c>
      <c r="AM1710" t="s">
        <v>2532</v>
      </c>
      <c r="AN1710" t="s">
        <v>656</v>
      </c>
      <c r="AO1710" t="s">
        <v>642</v>
      </c>
      <c r="AP1710" t="s">
        <v>643</v>
      </c>
      <c r="AQ1710" s="5">
        <v>30309</v>
      </c>
      <c r="AR1710" t="s">
        <v>128</v>
      </c>
      <c r="AT1710" s="4">
        <v>14048565617</v>
      </c>
      <c r="AV1710" t="s">
        <v>3066</v>
      </c>
      <c r="AW1710" t="s">
        <v>2533</v>
      </c>
      <c r="AX1710" t="s">
        <v>131</v>
      </c>
      <c r="AY1710" t="s">
        <v>131</v>
      </c>
      <c r="AZ1710" t="s">
        <v>131</v>
      </c>
      <c r="BA1710" t="s">
        <v>131</v>
      </c>
      <c r="BB1710" t="s">
        <v>131</v>
      </c>
      <c r="BC1710" t="s">
        <v>131</v>
      </c>
      <c r="BD1710" t="s">
        <v>131</v>
      </c>
      <c r="BE1710" t="s">
        <v>132</v>
      </c>
      <c r="BH1710" t="s">
        <v>10278</v>
      </c>
      <c r="BI1710" t="s">
        <v>135</v>
      </c>
      <c r="BJ1710" t="s">
        <v>10279</v>
      </c>
      <c r="BK1710" t="s">
        <v>10280</v>
      </c>
      <c r="BL1710" t="s">
        <v>188</v>
      </c>
      <c r="BN1710" t="s">
        <v>15782</v>
      </c>
      <c r="BO1710" t="s">
        <v>131</v>
      </c>
      <c r="BP1710" t="s">
        <v>134</v>
      </c>
      <c r="BQ1710" t="s">
        <v>131</v>
      </c>
      <c r="BS1710" t="str">
        <f t="shared" si="104"/>
        <v>N/A</v>
      </c>
      <c r="BT1710" t="s">
        <v>135</v>
      </c>
      <c r="BU1710">
        <v>24</v>
      </c>
      <c r="BV1710" t="str">
        <f>"MANAGER - CLIENT SERVICES, ASSOCIATE MANAGER, ASSOCIATE ENGAGEMENT MANAGER, CLIENT RELATIONSHIP MANAGER, BUSINESS MANAGER, SALES ENGINEER OR RELATED POSITION."</f>
        <v>MANAGER - CLIENT SERVICES, ASSOCIATE MANAGER, ASSOCIATE ENGAGEMENT MANAGER, CLIENT RELATIONSHIP MANAGER, BUSINESS MANAGER, SALES ENGINEER OR RELATED POSITION.</v>
      </c>
      <c r="BW1710" t="s">
        <v>131</v>
      </c>
      <c r="BX1710" t="str">
        <f>""</f>
        <v/>
      </c>
      <c r="BY1710" t="str">
        <f>""</f>
        <v/>
      </c>
      <c r="BZ1710" t="str">
        <f>""</f>
        <v/>
      </c>
      <c r="CA1710" t="str">
        <f>""</f>
        <v/>
      </c>
      <c r="CB1710" t="s">
        <v>135</v>
      </c>
      <c r="CC1710" t="s">
        <v>133</v>
      </c>
      <c r="CE1710" t="s">
        <v>15782</v>
      </c>
      <c r="CF1710" t="s">
        <v>131</v>
      </c>
      <c r="CH1710" t="str">
        <f>"N/A"</f>
        <v>N/A</v>
      </c>
      <c r="CI1710" t="s">
        <v>135</v>
      </c>
      <c r="CJ1710">
        <v>60</v>
      </c>
      <c r="CK1710" t="s">
        <v>135</v>
      </c>
      <c r="CL1710" t="str">
        <f>""</f>
        <v/>
      </c>
      <c r="CM1710" t="str">
        <f>""</f>
        <v/>
      </c>
      <c r="CN1710" t="str">
        <f>""</f>
        <v/>
      </c>
      <c r="CO1710" t="s">
        <v>15783</v>
      </c>
      <c r="CP1710" t="str">
        <f>"41-9031.00"</f>
        <v>41-9031.00</v>
      </c>
      <c r="CQ1710" t="s">
        <v>1818</v>
      </c>
      <c r="CS1710" t="s">
        <v>135</v>
      </c>
      <c r="CT1710" t="s">
        <v>15784</v>
      </c>
      <c r="CU1710" t="s">
        <v>3067</v>
      </c>
      <c r="CV1710" t="s">
        <v>3068</v>
      </c>
      <c r="CW1710" t="s">
        <v>458</v>
      </c>
      <c r="CX1710" t="s">
        <v>400</v>
      </c>
      <c r="CZ1710" s="3" t="str">
        <f>"75082"</f>
        <v>75082</v>
      </c>
      <c r="DA1710" t="s">
        <v>131</v>
      </c>
      <c r="DB1710" t="str">
        <f>""</f>
        <v/>
      </c>
      <c r="DF1710" t="str">
        <f>""</f>
        <v/>
      </c>
    </row>
    <row r="1711" spans="1:110" ht="15" customHeight="1" x14ac:dyDescent="0.35">
      <c r="A1711" t="s">
        <v>19756</v>
      </c>
      <c r="B1711" t="s">
        <v>138</v>
      </c>
      <c r="C1711" s="1">
        <v>44342</v>
      </c>
      <c r="G1711" s="1">
        <v>44362</v>
      </c>
      <c r="H1711" t="s">
        <v>125</v>
      </c>
      <c r="I1711" t="s">
        <v>3061</v>
      </c>
      <c r="J1711" t="s">
        <v>1673</v>
      </c>
      <c r="L1711" t="s">
        <v>3062</v>
      </c>
      <c r="M1711" t="s">
        <v>1905</v>
      </c>
      <c r="N1711" t="s">
        <v>3063</v>
      </c>
      <c r="O1711" t="s">
        <v>458</v>
      </c>
      <c r="P1711" t="s">
        <v>412</v>
      </c>
      <c r="Q1711" s="3">
        <v>75082</v>
      </c>
      <c r="R1711" t="s">
        <v>128</v>
      </c>
      <c r="T1711" s="4">
        <v>12143062195</v>
      </c>
      <c r="V1711" t="s">
        <v>3064</v>
      </c>
      <c r="W1711" t="s">
        <v>3065</v>
      </c>
      <c r="Y1711" t="s">
        <v>1644</v>
      </c>
      <c r="Z1711" t="s">
        <v>3063</v>
      </c>
      <c r="AA1711" t="s">
        <v>458</v>
      </c>
      <c r="AB1711" t="s">
        <v>400</v>
      </c>
      <c r="AC1711" s="3" t="str">
        <f>"75082"</f>
        <v>75082</v>
      </c>
      <c r="AD1711" t="s">
        <v>128</v>
      </c>
      <c r="AF1711" s="4">
        <v>12143062100</v>
      </c>
      <c r="AH1711" t="str">
        <f>"54151"</f>
        <v>54151</v>
      </c>
      <c r="AI1711" t="s">
        <v>130</v>
      </c>
      <c r="AJ1711" t="s">
        <v>2530</v>
      </c>
      <c r="AK1711" t="s">
        <v>2531</v>
      </c>
      <c r="AL1711" t="s">
        <v>313</v>
      </c>
      <c r="AM1711" t="s">
        <v>2532</v>
      </c>
      <c r="AN1711" t="s">
        <v>656</v>
      </c>
      <c r="AO1711" t="s">
        <v>642</v>
      </c>
      <c r="AP1711" t="s">
        <v>643</v>
      </c>
      <c r="AQ1711" s="5">
        <v>30309</v>
      </c>
      <c r="AR1711" t="s">
        <v>128</v>
      </c>
      <c r="AT1711" s="4">
        <v>14048565577</v>
      </c>
      <c r="AV1711" t="s">
        <v>3066</v>
      </c>
      <c r="AW1711" t="s">
        <v>2533</v>
      </c>
      <c r="AX1711" t="s">
        <v>131</v>
      </c>
      <c r="AY1711" t="s">
        <v>131</v>
      </c>
      <c r="AZ1711" t="s">
        <v>131</v>
      </c>
      <c r="BA1711" t="s">
        <v>131</v>
      </c>
      <c r="BB1711" t="s">
        <v>131</v>
      </c>
      <c r="BC1711" t="s">
        <v>131</v>
      </c>
      <c r="BD1711" t="s">
        <v>131</v>
      </c>
      <c r="BE1711" t="s">
        <v>132</v>
      </c>
      <c r="BH1711" t="s">
        <v>10278</v>
      </c>
      <c r="BI1711" t="s">
        <v>135</v>
      </c>
      <c r="BJ1711" t="s">
        <v>10279</v>
      </c>
      <c r="BK1711" t="s">
        <v>10280</v>
      </c>
      <c r="BL1711" t="s">
        <v>188</v>
      </c>
      <c r="BN1711" t="s">
        <v>15782</v>
      </c>
      <c r="BO1711" t="s">
        <v>131</v>
      </c>
      <c r="BP1711" t="s">
        <v>134</v>
      </c>
      <c r="BQ1711" t="s">
        <v>131</v>
      </c>
      <c r="BS1711" t="str">
        <f t="shared" si="104"/>
        <v>N/A</v>
      </c>
      <c r="BT1711" t="s">
        <v>135</v>
      </c>
      <c r="BU1711">
        <v>24</v>
      </c>
      <c r="BV1711" t="str">
        <f>"MANAGER - CLIENT SERVICES, ASSOCIATE MANAGER, ASSOCIATE ENGAGEMENT MANAGER, CLIENT RELATIONSHIP MANAGER, BUSINESS MANAGER, SALES ENGINEER OR RELATED POSITION."</f>
        <v>MANAGER - CLIENT SERVICES, ASSOCIATE MANAGER, ASSOCIATE ENGAGEMENT MANAGER, CLIENT RELATIONSHIP MANAGER, BUSINESS MANAGER, SALES ENGINEER OR RELATED POSITION.</v>
      </c>
      <c r="BW1711" t="s">
        <v>135</v>
      </c>
      <c r="BX1711" t="str">
        <f>""</f>
        <v/>
      </c>
      <c r="BY1711" t="str">
        <f>""</f>
        <v/>
      </c>
      <c r="BZ1711" t="str">
        <f>""</f>
        <v/>
      </c>
      <c r="CA1711" t="str">
        <f>"Please see list of requirements in section F.a.2. of Form ETA-9141."</f>
        <v>Please see list of requirements in section F.a.2. of Form ETA-9141.</v>
      </c>
      <c r="CB1711" t="s">
        <v>135</v>
      </c>
      <c r="CC1711" t="s">
        <v>133</v>
      </c>
      <c r="CE1711" t="s">
        <v>15782</v>
      </c>
      <c r="CF1711" t="s">
        <v>131</v>
      </c>
      <c r="CH1711" t="str">
        <f>"N/A"</f>
        <v>N/A</v>
      </c>
      <c r="CI1711" t="s">
        <v>135</v>
      </c>
      <c r="CJ1711">
        <v>60</v>
      </c>
      <c r="CK1711" t="s">
        <v>135</v>
      </c>
      <c r="CL1711" t="str">
        <f>""</f>
        <v/>
      </c>
      <c r="CM1711" t="str">
        <f>""</f>
        <v/>
      </c>
      <c r="CN1711" t="str">
        <f>""</f>
        <v/>
      </c>
      <c r="CO1711" t="str">
        <f>"Please see list of requirements in section F.a.2. of Form ETA-9141."</f>
        <v>Please see list of requirements in section F.a.2. of Form ETA-9141.</v>
      </c>
      <c r="CP1711" t="str">
        <f>"41-9031.00"</f>
        <v>41-9031.00</v>
      </c>
      <c r="CQ1711" t="s">
        <v>1818</v>
      </c>
      <c r="CR1711" t="s">
        <v>10281</v>
      </c>
      <c r="CS1711" t="s">
        <v>135</v>
      </c>
      <c r="CT1711" t="s">
        <v>19757</v>
      </c>
      <c r="CU1711" t="s">
        <v>3067</v>
      </c>
      <c r="CV1711" t="s">
        <v>3068</v>
      </c>
      <c r="CW1711" t="s">
        <v>458</v>
      </c>
      <c r="CX1711" t="s">
        <v>400</v>
      </c>
      <c r="CZ1711" s="3" t="str">
        <f>"75082"</f>
        <v>75082</v>
      </c>
      <c r="DA1711" t="s">
        <v>131</v>
      </c>
      <c r="DB1711" t="str">
        <f>""</f>
        <v/>
      </c>
      <c r="DF1711" t="str">
        <f>""</f>
        <v/>
      </c>
    </row>
    <row r="1712" spans="1:110" ht="15" customHeight="1" x14ac:dyDescent="0.35">
      <c r="A1712" t="s">
        <v>18483</v>
      </c>
      <c r="B1712" t="s">
        <v>138</v>
      </c>
      <c r="C1712" s="1">
        <v>44342</v>
      </c>
      <c r="G1712" s="1">
        <v>44342</v>
      </c>
      <c r="H1712" t="s">
        <v>125</v>
      </c>
      <c r="I1712" t="s">
        <v>6930</v>
      </c>
      <c r="J1712" t="s">
        <v>6931</v>
      </c>
      <c r="K1712" t="s">
        <v>655</v>
      </c>
      <c r="L1712" t="s">
        <v>404</v>
      </c>
      <c r="M1712" t="s">
        <v>2555</v>
      </c>
      <c r="N1712" t="s">
        <v>6932</v>
      </c>
      <c r="O1712" t="s">
        <v>1189</v>
      </c>
      <c r="P1712" t="s">
        <v>178</v>
      </c>
      <c r="Q1712" s="3">
        <v>95054</v>
      </c>
      <c r="R1712" t="s">
        <v>128</v>
      </c>
      <c r="T1712" s="4">
        <v>14085018820</v>
      </c>
      <c r="V1712" t="s">
        <v>6933</v>
      </c>
      <c r="W1712" t="s">
        <v>15978</v>
      </c>
      <c r="Y1712" t="s">
        <v>9243</v>
      </c>
      <c r="Z1712" t="s">
        <v>5552</v>
      </c>
      <c r="AA1712" t="s">
        <v>647</v>
      </c>
      <c r="AB1712" t="s">
        <v>172</v>
      </c>
      <c r="AC1712" s="3" t="str">
        <f>"94538"</f>
        <v>94538</v>
      </c>
      <c r="AD1712" t="s">
        <v>128</v>
      </c>
      <c r="AF1712" s="4">
        <v>15108242011</v>
      </c>
      <c r="AH1712" t="str">
        <f>"541511"</f>
        <v>541511</v>
      </c>
      <c r="AI1712" t="s">
        <v>287</v>
      </c>
      <c r="AJ1712" t="s">
        <v>6930</v>
      </c>
      <c r="AK1712" t="s">
        <v>6931</v>
      </c>
      <c r="AL1712" t="s">
        <v>655</v>
      </c>
      <c r="AM1712" t="s">
        <v>2555</v>
      </c>
      <c r="AN1712" t="s">
        <v>6932</v>
      </c>
      <c r="AO1712" t="s">
        <v>650</v>
      </c>
      <c r="AP1712" t="s">
        <v>172</v>
      </c>
      <c r="AQ1712" s="5">
        <v>95054</v>
      </c>
      <c r="AR1712" t="s">
        <v>128</v>
      </c>
      <c r="AT1712" s="4">
        <v>14085018820</v>
      </c>
      <c r="AV1712" t="s">
        <v>6933</v>
      </c>
      <c r="AW1712" t="s">
        <v>6934</v>
      </c>
      <c r="AX1712" t="s">
        <v>131</v>
      </c>
      <c r="AY1712" t="s">
        <v>131</v>
      </c>
      <c r="AZ1712" t="s">
        <v>131</v>
      </c>
      <c r="BA1712" t="s">
        <v>131</v>
      </c>
      <c r="BB1712" t="s">
        <v>131</v>
      </c>
      <c r="BC1712" t="s">
        <v>131</v>
      </c>
      <c r="BD1712" t="s">
        <v>131</v>
      </c>
      <c r="BE1712" t="s">
        <v>132</v>
      </c>
      <c r="BH1712" t="s">
        <v>1226</v>
      </c>
      <c r="BI1712" t="s">
        <v>135</v>
      </c>
      <c r="BJ1712" t="s">
        <v>4736</v>
      </c>
      <c r="BK1712" t="s">
        <v>1442</v>
      </c>
      <c r="BL1712" t="s">
        <v>188</v>
      </c>
      <c r="BN1712" t="s">
        <v>15979</v>
      </c>
      <c r="BO1712" t="s">
        <v>131</v>
      </c>
      <c r="BP1712" t="s">
        <v>134</v>
      </c>
      <c r="BQ1712" t="s">
        <v>131</v>
      </c>
      <c r="BS1712" t="str">
        <f t="shared" si="104"/>
        <v>N/A</v>
      </c>
      <c r="BT1712" t="s">
        <v>135</v>
      </c>
      <c r="BU1712">
        <v>5</v>
      </c>
      <c r="BV1712" t="str">
        <f>"SAME OR SIMILAR JOB WITH SAME JOB TITLE OR GIVEN ANOTHER JOB TITLE BUT HAVING SIMILAR JOB DUTIES IN AN IT COMPANY"</f>
        <v>SAME OR SIMILAR JOB WITH SAME JOB TITLE OR GIVEN ANOTHER JOB TITLE BUT HAVING SIMILAR JOB DUTIES IN AN IT COMPANY</v>
      </c>
      <c r="BW1712" t="s">
        <v>135</v>
      </c>
      <c r="BX1712" t="str">
        <f>""</f>
        <v/>
      </c>
      <c r="BY1712" t="str">
        <f>""</f>
        <v/>
      </c>
      <c r="BZ1712" t="str">
        <f>""</f>
        <v/>
      </c>
      <c r="CA1712" t="str">
        <f>"MUST HAVE THE REQUIRED EXPERIENCE IN THE IT INDUSTRY. "</f>
        <v xml:space="preserve">MUST HAVE THE REQUIRED EXPERIENCE IN THE IT INDUSTRY. </v>
      </c>
      <c r="CB1712" t="s">
        <v>131</v>
      </c>
      <c r="CF1712" t="s">
        <v>131</v>
      </c>
      <c r="CH1712" t="str">
        <f>""</f>
        <v/>
      </c>
      <c r="CI1712" t="s">
        <v>131</v>
      </c>
      <c r="CK1712" t="s">
        <v>131</v>
      </c>
      <c r="CL1712" t="str">
        <f>""</f>
        <v/>
      </c>
      <c r="CM1712" t="str">
        <f>""</f>
        <v/>
      </c>
      <c r="CN1712" t="str">
        <f>""</f>
        <v/>
      </c>
      <c r="CO1712" t="str">
        <f>""</f>
        <v/>
      </c>
      <c r="CP1712" t="str">
        <f>"11-1021.00"</f>
        <v>11-1021.00</v>
      </c>
      <c r="CQ1712" t="s">
        <v>1296</v>
      </c>
      <c r="CR1712" t="s">
        <v>2110</v>
      </c>
      <c r="CS1712" t="s">
        <v>131</v>
      </c>
      <c r="CU1712" t="s">
        <v>9243</v>
      </c>
      <c r="CV1712" t="s">
        <v>5552</v>
      </c>
      <c r="CW1712" t="s">
        <v>647</v>
      </c>
      <c r="CX1712" t="s">
        <v>172</v>
      </c>
      <c r="CZ1712" s="3" t="str">
        <f>"94538"</f>
        <v>94538</v>
      </c>
      <c r="DA1712" t="s">
        <v>131</v>
      </c>
      <c r="DB1712" t="str">
        <f>""</f>
        <v/>
      </c>
      <c r="DF1712" t="str">
        <f>""</f>
        <v/>
      </c>
    </row>
    <row r="1713" spans="1:110" ht="15" customHeight="1" x14ac:dyDescent="0.35">
      <c r="A1713" t="s">
        <v>15793</v>
      </c>
      <c r="B1713" t="s">
        <v>138</v>
      </c>
      <c r="C1713" s="1">
        <v>44342</v>
      </c>
      <c r="G1713" s="1">
        <v>44356</v>
      </c>
      <c r="H1713" t="s">
        <v>125</v>
      </c>
      <c r="I1713" t="s">
        <v>3311</v>
      </c>
      <c r="J1713" t="s">
        <v>3312</v>
      </c>
      <c r="L1713" t="s">
        <v>3313</v>
      </c>
      <c r="M1713" t="s">
        <v>3314</v>
      </c>
      <c r="O1713" t="s">
        <v>3315</v>
      </c>
      <c r="P1713" t="s">
        <v>178</v>
      </c>
      <c r="Q1713" s="3">
        <v>94066</v>
      </c>
      <c r="R1713" t="s">
        <v>128</v>
      </c>
      <c r="T1713" s="4">
        <v>16508375000</v>
      </c>
      <c r="V1713" t="s">
        <v>3316</v>
      </c>
      <c r="W1713" t="s">
        <v>1832</v>
      </c>
      <c r="Y1713" t="s">
        <v>1833</v>
      </c>
      <c r="Z1713" t="s">
        <v>1834</v>
      </c>
      <c r="AA1713" t="s">
        <v>1835</v>
      </c>
      <c r="AB1713" t="s">
        <v>397</v>
      </c>
      <c r="AC1713" s="3" t="str">
        <f>"72716"</f>
        <v>72716</v>
      </c>
      <c r="AD1713" t="s">
        <v>128</v>
      </c>
      <c r="AF1713" s="4">
        <v>14792731993</v>
      </c>
      <c r="AH1713" t="str">
        <f>"452210"</f>
        <v>452210</v>
      </c>
      <c r="AI1713" t="s">
        <v>130</v>
      </c>
      <c r="AJ1713" t="s">
        <v>3317</v>
      </c>
      <c r="AK1713" t="s">
        <v>789</v>
      </c>
      <c r="AM1713" t="s">
        <v>1838</v>
      </c>
      <c r="AN1713" t="s">
        <v>517</v>
      </c>
      <c r="AO1713" t="s">
        <v>129</v>
      </c>
      <c r="AP1713" t="s">
        <v>129</v>
      </c>
      <c r="AQ1713" s="5">
        <v>10018</v>
      </c>
      <c r="AR1713" t="s">
        <v>128</v>
      </c>
      <c r="AT1713" s="4">
        <v>12126888555</v>
      </c>
      <c r="AV1713" t="s">
        <v>3318</v>
      </c>
      <c r="AW1713" t="s">
        <v>1840</v>
      </c>
      <c r="AX1713" t="s">
        <v>131</v>
      </c>
      <c r="AY1713" t="s">
        <v>131</v>
      </c>
      <c r="AZ1713" t="s">
        <v>131</v>
      </c>
      <c r="BA1713" t="s">
        <v>131</v>
      </c>
      <c r="BB1713" t="s">
        <v>131</v>
      </c>
      <c r="BC1713" t="s">
        <v>131</v>
      </c>
      <c r="BD1713" t="s">
        <v>131</v>
      </c>
      <c r="BE1713" t="s">
        <v>132</v>
      </c>
      <c r="BH1713" t="s">
        <v>4076</v>
      </c>
      <c r="BI1713" t="s">
        <v>131</v>
      </c>
      <c r="BL1713" t="s">
        <v>188</v>
      </c>
      <c r="BN1713" t="s">
        <v>8492</v>
      </c>
      <c r="BO1713" t="s">
        <v>131</v>
      </c>
      <c r="BP1713" t="s">
        <v>134</v>
      </c>
      <c r="BQ1713" t="s">
        <v>131</v>
      </c>
      <c r="BS1713" t="str">
        <f t="shared" si="104"/>
        <v>N/A</v>
      </c>
      <c r="BT1713" t="s">
        <v>131</v>
      </c>
      <c r="BV1713" t="str">
        <f>""</f>
        <v/>
      </c>
      <c r="BW1713" t="s">
        <v>135</v>
      </c>
      <c r="BX1713" t="str">
        <f>""</f>
        <v/>
      </c>
      <c r="BY1713" t="str">
        <f>""</f>
        <v/>
      </c>
      <c r="BZ1713" t="str">
        <f>""</f>
        <v/>
      </c>
      <c r="CA1713" t="s">
        <v>8493</v>
      </c>
      <c r="CB1713" t="s">
        <v>131</v>
      </c>
      <c r="CF1713" t="s">
        <v>131</v>
      </c>
      <c r="CH1713" t="str">
        <f>""</f>
        <v/>
      </c>
      <c r="CI1713" t="s">
        <v>131</v>
      </c>
      <c r="CK1713" t="s">
        <v>131</v>
      </c>
      <c r="CL1713" t="str">
        <f>""</f>
        <v/>
      </c>
      <c r="CM1713" t="str">
        <f>""</f>
        <v/>
      </c>
      <c r="CN1713" t="str">
        <f>""</f>
        <v/>
      </c>
      <c r="CO1713" t="str">
        <f>""</f>
        <v/>
      </c>
      <c r="CP1713" t="str">
        <f>"15-1199.08"</f>
        <v>15-1199.08</v>
      </c>
      <c r="CQ1713" t="s">
        <v>265</v>
      </c>
      <c r="CR1713" t="s">
        <v>6878</v>
      </c>
      <c r="CS1713" t="s">
        <v>131</v>
      </c>
      <c r="CU1713" t="s">
        <v>7111</v>
      </c>
      <c r="CW1713" t="s">
        <v>1506</v>
      </c>
      <c r="CX1713" t="s">
        <v>172</v>
      </c>
      <c r="CZ1713" s="3" t="str">
        <f>"94086"</f>
        <v>94086</v>
      </c>
      <c r="DA1713" t="s">
        <v>131</v>
      </c>
      <c r="DB1713" t="str">
        <f>""</f>
        <v/>
      </c>
      <c r="DF1713" t="str">
        <f>""</f>
        <v/>
      </c>
    </row>
    <row r="1714" spans="1:110" ht="15" customHeight="1" x14ac:dyDescent="0.35">
      <c r="A1714" t="s">
        <v>19612</v>
      </c>
      <c r="B1714" t="s">
        <v>138</v>
      </c>
      <c r="C1714" s="1">
        <v>44342</v>
      </c>
      <c r="G1714" s="1">
        <v>44342</v>
      </c>
      <c r="H1714" t="s">
        <v>125</v>
      </c>
      <c r="I1714" t="s">
        <v>4654</v>
      </c>
      <c r="J1714" t="s">
        <v>14787</v>
      </c>
      <c r="L1714" t="s">
        <v>484</v>
      </c>
      <c r="M1714" t="s">
        <v>485</v>
      </c>
      <c r="O1714" t="s">
        <v>486</v>
      </c>
      <c r="P1714" t="s">
        <v>487</v>
      </c>
      <c r="Q1714" s="3">
        <v>19809</v>
      </c>
      <c r="R1714" t="s">
        <v>128</v>
      </c>
      <c r="T1714" s="4">
        <v>13027972000</v>
      </c>
      <c r="V1714" t="s">
        <v>488</v>
      </c>
      <c r="W1714" t="s">
        <v>489</v>
      </c>
      <c r="Y1714" t="s">
        <v>485</v>
      </c>
      <c r="AA1714" t="s">
        <v>486</v>
      </c>
      <c r="AB1714" t="s">
        <v>490</v>
      </c>
      <c r="AC1714" s="3" t="str">
        <f>"19809"</f>
        <v>19809</v>
      </c>
      <c r="AD1714" t="s">
        <v>128</v>
      </c>
      <c r="AF1714" s="4">
        <v>13027972000</v>
      </c>
      <c r="AH1714" t="str">
        <f>"52392"</f>
        <v>52392</v>
      </c>
      <c r="AI1714" t="s">
        <v>130</v>
      </c>
      <c r="AJ1714" t="s">
        <v>491</v>
      </c>
      <c r="AK1714" t="s">
        <v>492</v>
      </c>
      <c r="AM1714" t="s">
        <v>493</v>
      </c>
      <c r="AO1714" t="s">
        <v>494</v>
      </c>
      <c r="AP1714" t="s">
        <v>129</v>
      </c>
      <c r="AQ1714" s="5">
        <v>10018</v>
      </c>
      <c r="AR1714" t="s">
        <v>128</v>
      </c>
      <c r="AT1714" s="4">
        <v>12126888555</v>
      </c>
      <c r="AV1714" t="s">
        <v>495</v>
      </c>
      <c r="AW1714" t="s">
        <v>386</v>
      </c>
      <c r="AX1714" t="s">
        <v>131</v>
      </c>
      <c r="AY1714" t="s">
        <v>131</v>
      </c>
      <c r="AZ1714" t="s">
        <v>131</v>
      </c>
      <c r="BA1714" t="s">
        <v>131</v>
      </c>
      <c r="BB1714" t="s">
        <v>131</v>
      </c>
      <c r="BC1714" t="s">
        <v>131</v>
      </c>
      <c r="BD1714" t="s">
        <v>131</v>
      </c>
      <c r="BE1714" t="s">
        <v>132</v>
      </c>
      <c r="BH1714" t="s">
        <v>12182</v>
      </c>
      <c r="BI1714" t="s">
        <v>131</v>
      </c>
      <c r="BL1714" t="s">
        <v>133</v>
      </c>
      <c r="BN1714" t="s">
        <v>19613</v>
      </c>
      <c r="BO1714" t="s">
        <v>131</v>
      </c>
      <c r="BP1714" t="s">
        <v>134</v>
      </c>
      <c r="BQ1714" t="s">
        <v>131</v>
      </c>
      <c r="BS1714" t="str">
        <f t="shared" si="104"/>
        <v>N/A</v>
      </c>
      <c r="BT1714" t="s">
        <v>135</v>
      </c>
      <c r="BU1714">
        <v>24</v>
      </c>
      <c r="BV1714" t="str">
        <f>"Analyst; Teaching Assistant; Summer Intern or related."</f>
        <v>Analyst; Teaching Assistant; Summer Intern or related.</v>
      </c>
      <c r="BW1714" t="s">
        <v>135</v>
      </c>
      <c r="BX1714" t="str">
        <f>""</f>
        <v/>
      </c>
      <c r="BY1714" t="str">
        <f>""</f>
        <v/>
      </c>
      <c r="BZ1714" t="str">
        <f>""</f>
        <v/>
      </c>
      <c r="CA1714" t="s">
        <v>12183</v>
      </c>
      <c r="CB1714" t="s">
        <v>131</v>
      </c>
      <c r="CF1714" t="s">
        <v>131</v>
      </c>
      <c r="CH1714" t="str">
        <f>""</f>
        <v/>
      </c>
      <c r="CI1714" t="s">
        <v>131</v>
      </c>
      <c r="CK1714" t="s">
        <v>131</v>
      </c>
      <c r="CL1714" t="str">
        <f>""</f>
        <v/>
      </c>
      <c r="CM1714" t="str">
        <f>""</f>
        <v/>
      </c>
      <c r="CN1714" t="str">
        <f>""</f>
        <v/>
      </c>
      <c r="CO1714" t="str">
        <f>""</f>
        <v/>
      </c>
      <c r="CP1714" t="str">
        <f>"13-2099.01"</f>
        <v>13-2099.01</v>
      </c>
      <c r="CQ1714" t="s">
        <v>552</v>
      </c>
      <c r="CR1714" t="s">
        <v>303</v>
      </c>
      <c r="CS1714" t="s">
        <v>131</v>
      </c>
      <c r="CU1714" t="s">
        <v>496</v>
      </c>
      <c r="CW1714" t="s">
        <v>220</v>
      </c>
      <c r="CX1714" t="s">
        <v>172</v>
      </c>
      <c r="CZ1714" s="3" t="str">
        <f>"94105"</f>
        <v>94105</v>
      </c>
      <c r="DA1714" t="s">
        <v>131</v>
      </c>
      <c r="DB1714" t="str">
        <f>""</f>
        <v/>
      </c>
      <c r="DF1714" t="str">
        <f>""</f>
        <v/>
      </c>
    </row>
    <row r="1715" spans="1:110" ht="15" customHeight="1" x14ac:dyDescent="0.35">
      <c r="A1715" t="s">
        <v>14484</v>
      </c>
      <c r="B1715" t="s">
        <v>138</v>
      </c>
      <c r="C1715" s="1">
        <v>44342</v>
      </c>
      <c r="G1715" s="1">
        <v>44342</v>
      </c>
      <c r="H1715" t="s">
        <v>125</v>
      </c>
      <c r="I1715" t="s">
        <v>14485</v>
      </c>
      <c r="J1715" t="s">
        <v>14486</v>
      </c>
      <c r="L1715" t="s">
        <v>286</v>
      </c>
      <c r="M1715" t="s">
        <v>14487</v>
      </c>
      <c r="O1715" t="s">
        <v>885</v>
      </c>
      <c r="P1715" t="s">
        <v>412</v>
      </c>
      <c r="Q1715" s="3">
        <v>77027</v>
      </c>
      <c r="R1715" t="s">
        <v>128</v>
      </c>
      <c r="T1715" s="4">
        <v>18329290400</v>
      </c>
      <c r="V1715" t="s">
        <v>14488</v>
      </c>
      <c r="W1715" t="s">
        <v>14489</v>
      </c>
      <c r="Y1715" t="s">
        <v>14487</v>
      </c>
      <c r="AA1715" t="s">
        <v>885</v>
      </c>
      <c r="AB1715" t="s">
        <v>400</v>
      </c>
      <c r="AC1715" s="3" t="str">
        <f>"77027"</f>
        <v>77027</v>
      </c>
      <c r="AD1715" t="s">
        <v>128</v>
      </c>
      <c r="AF1715" s="4">
        <v>18329290400</v>
      </c>
      <c r="AH1715" t="str">
        <f>"623110"</f>
        <v>623110</v>
      </c>
      <c r="AI1715" t="s">
        <v>130</v>
      </c>
      <c r="AJ1715" t="s">
        <v>4380</v>
      </c>
      <c r="AK1715" t="s">
        <v>8841</v>
      </c>
      <c r="AL1715" t="s">
        <v>1624</v>
      </c>
      <c r="AM1715" t="s">
        <v>4381</v>
      </c>
      <c r="AN1715" t="s">
        <v>3135</v>
      </c>
      <c r="AO1715" t="s">
        <v>885</v>
      </c>
      <c r="AP1715" t="s">
        <v>400</v>
      </c>
      <c r="AQ1715" s="5">
        <v>77056</v>
      </c>
      <c r="AR1715" t="s">
        <v>128</v>
      </c>
      <c r="AT1715" s="4">
        <v>17136259200</v>
      </c>
      <c r="AV1715" t="s">
        <v>10199</v>
      </c>
      <c r="AW1715" t="s">
        <v>5303</v>
      </c>
      <c r="AX1715" t="s">
        <v>131</v>
      </c>
      <c r="AY1715" t="s">
        <v>131</v>
      </c>
      <c r="AZ1715" t="s">
        <v>131</v>
      </c>
      <c r="BA1715" t="s">
        <v>131</v>
      </c>
      <c r="BB1715" t="s">
        <v>131</v>
      </c>
      <c r="BC1715" t="s">
        <v>131</v>
      </c>
      <c r="BD1715" t="s">
        <v>131</v>
      </c>
      <c r="BE1715" t="s">
        <v>132</v>
      </c>
      <c r="BH1715" t="s">
        <v>14490</v>
      </c>
      <c r="BI1715" t="s">
        <v>131</v>
      </c>
      <c r="BL1715" t="s">
        <v>307</v>
      </c>
      <c r="BN1715" t="s">
        <v>14491</v>
      </c>
      <c r="BO1715" t="s">
        <v>131</v>
      </c>
      <c r="BP1715" t="s">
        <v>134</v>
      </c>
      <c r="BQ1715" t="s">
        <v>131</v>
      </c>
      <c r="BS1715" t="str">
        <f t="shared" si="104"/>
        <v>N/A</v>
      </c>
      <c r="BT1715" t="s">
        <v>131</v>
      </c>
      <c r="BV1715" t="str">
        <f>""</f>
        <v/>
      </c>
      <c r="BW1715" t="s">
        <v>131</v>
      </c>
      <c r="BX1715" t="str">
        <f>""</f>
        <v/>
      </c>
      <c r="BY1715" t="str">
        <f>""</f>
        <v/>
      </c>
      <c r="BZ1715" t="str">
        <f>""</f>
        <v/>
      </c>
      <c r="CA1715" t="str">
        <f>""</f>
        <v/>
      </c>
      <c r="CB1715" t="s">
        <v>131</v>
      </c>
      <c r="CF1715" t="s">
        <v>131</v>
      </c>
      <c r="CH1715" t="str">
        <f>""</f>
        <v/>
      </c>
      <c r="CI1715" t="s">
        <v>131</v>
      </c>
      <c r="CK1715" t="s">
        <v>131</v>
      </c>
      <c r="CL1715" t="str">
        <f>""</f>
        <v/>
      </c>
      <c r="CM1715" t="str">
        <f>""</f>
        <v/>
      </c>
      <c r="CN1715" t="str">
        <f>""</f>
        <v/>
      </c>
      <c r="CO1715" t="str">
        <f>""</f>
        <v/>
      </c>
      <c r="CP1715" t="str">
        <f>"21-1093.00"</f>
        <v>21-1093.00</v>
      </c>
      <c r="CQ1715" t="s">
        <v>14492</v>
      </c>
      <c r="CR1715" t="s">
        <v>395</v>
      </c>
      <c r="CS1715" t="s">
        <v>131</v>
      </c>
      <c r="CU1715" t="s">
        <v>14487</v>
      </c>
      <c r="CW1715" t="s">
        <v>885</v>
      </c>
      <c r="CX1715" t="s">
        <v>400</v>
      </c>
      <c r="CZ1715" s="3" t="str">
        <f>"77027"</f>
        <v>77027</v>
      </c>
      <c r="DA1715" t="s">
        <v>131</v>
      </c>
      <c r="DB1715" t="str">
        <f>""</f>
        <v/>
      </c>
      <c r="DF1715" t="str">
        <f>""</f>
        <v/>
      </c>
    </row>
    <row r="1716" spans="1:110" ht="15" customHeight="1" x14ac:dyDescent="0.35">
      <c r="A1716" t="s">
        <v>17004</v>
      </c>
      <c r="B1716" t="s">
        <v>138</v>
      </c>
      <c r="C1716" s="1">
        <v>44342</v>
      </c>
      <c r="G1716" s="1">
        <v>44342</v>
      </c>
      <c r="H1716" t="s">
        <v>125</v>
      </c>
      <c r="I1716" t="s">
        <v>4464</v>
      </c>
      <c r="J1716" t="s">
        <v>4465</v>
      </c>
      <c r="L1716" t="s">
        <v>4466</v>
      </c>
      <c r="M1716" t="s">
        <v>4468</v>
      </c>
      <c r="O1716" t="s">
        <v>650</v>
      </c>
      <c r="P1716" t="s">
        <v>178</v>
      </c>
      <c r="Q1716" s="3">
        <v>95054</v>
      </c>
      <c r="R1716" t="s">
        <v>128</v>
      </c>
      <c r="T1716" s="4">
        <v>14087493699</v>
      </c>
      <c r="V1716" t="s">
        <v>12090</v>
      </c>
      <c r="W1716" t="s">
        <v>4467</v>
      </c>
      <c r="Y1716" t="s">
        <v>4468</v>
      </c>
      <c r="AA1716" t="s">
        <v>650</v>
      </c>
      <c r="AB1716" t="s">
        <v>172</v>
      </c>
      <c r="AC1716" s="3" t="str">
        <f>"95054"</f>
        <v>95054</v>
      </c>
      <c r="AD1716" t="s">
        <v>128</v>
      </c>
      <c r="AF1716" s="4">
        <v>14087493699</v>
      </c>
      <c r="AH1716" t="str">
        <f>"334413"</f>
        <v>334413</v>
      </c>
      <c r="AI1716" t="s">
        <v>130</v>
      </c>
      <c r="AJ1716" t="s">
        <v>4469</v>
      </c>
      <c r="AK1716" t="s">
        <v>492</v>
      </c>
      <c r="AL1716" t="s">
        <v>4470</v>
      </c>
      <c r="AM1716" t="s">
        <v>4471</v>
      </c>
      <c r="AN1716" t="s">
        <v>2511</v>
      </c>
      <c r="AO1716" t="s">
        <v>1040</v>
      </c>
      <c r="AP1716" t="s">
        <v>400</v>
      </c>
      <c r="AQ1716" s="5">
        <v>78701</v>
      </c>
      <c r="AR1716" t="s">
        <v>128</v>
      </c>
      <c r="AT1716" s="4">
        <v>15126407091</v>
      </c>
      <c r="AV1716" t="s">
        <v>7180</v>
      </c>
      <c r="AW1716" t="s">
        <v>976</v>
      </c>
      <c r="AX1716" t="s">
        <v>131</v>
      </c>
      <c r="AY1716" t="s">
        <v>131</v>
      </c>
      <c r="AZ1716" t="s">
        <v>131</v>
      </c>
      <c r="BA1716" t="s">
        <v>131</v>
      </c>
      <c r="BB1716" t="s">
        <v>131</v>
      </c>
      <c r="BC1716" t="s">
        <v>131</v>
      </c>
      <c r="BD1716" t="s">
        <v>131</v>
      </c>
      <c r="BE1716" t="s">
        <v>132</v>
      </c>
      <c r="BH1716" t="s">
        <v>4472</v>
      </c>
      <c r="BI1716" t="s">
        <v>131</v>
      </c>
      <c r="BL1716" t="s">
        <v>188</v>
      </c>
      <c r="BN1716" t="s">
        <v>17005</v>
      </c>
      <c r="BO1716" t="s">
        <v>131</v>
      </c>
      <c r="BP1716" t="s">
        <v>134</v>
      </c>
      <c r="BQ1716" t="s">
        <v>131</v>
      </c>
      <c r="BS1716" t="str">
        <f t="shared" si="104"/>
        <v>N/A</v>
      </c>
      <c r="BT1716" t="s">
        <v>135</v>
      </c>
      <c r="BU1716">
        <v>24</v>
      </c>
      <c r="BV1716" t="str">
        <f>"JOB OFFERED OR CLOSELY RELATED ENGINEERING ROLE. "</f>
        <v xml:space="preserve">JOB OFFERED OR CLOSELY RELATED ENGINEERING ROLE. </v>
      </c>
      <c r="BW1716" t="s">
        <v>131</v>
      </c>
      <c r="BX1716" t="str">
        <f>""</f>
        <v/>
      </c>
      <c r="BY1716" t="str">
        <f>""</f>
        <v/>
      </c>
      <c r="BZ1716" t="str">
        <f>""</f>
        <v/>
      </c>
      <c r="CA1716" t="str">
        <f>""</f>
        <v/>
      </c>
      <c r="CB1716" t="s">
        <v>131</v>
      </c>
      <c r="CF1716" t="s">
        <v>131</v>
      </c>
      <c r="CH1716" t="str">
        <f>""</f>
        <v/>
      </c>
      <c r="CI1716" t="s">
        <v>131</v>
      </c>
      <c r="CK1716" t="s">
        <v>131</v>
      </c>
      <c r="CL1716" t="str">
        <f>""</f>
        <v/>
      </c>
      <c r="CM1716" t="str">
        <f>""</f>
        <v/>
      </c>
      <c r="CN1716" t="str">
        <f>""</f>
        <v/>
      </c>
      <c r="CO1716" t="str">
        <f>""</f>
        <v/>
      </c>
      <c r="CP1716" t="str">
        <f>"17-2072.00"</f>
        <v>17-2072.00</v>
      </c>
      <c r="CQ1716" t="s">
        <v>865</v>
      </c>
      <c r="CR1716" t="s">
        <v>460</v>
      </c>
      <c r="CS1716" t="s">
        <v>131</v>
      </c>
      <c r="CU1716" t="s">
        <v>4473</v>
      </c>
      <c r="CW1716" t="s">
        <v>4474</v>
      </c>
      <c r="CX1716" t="s">
        <v>377</v>
      </c>
      <c r="CZ1716" s="3" t="str">
        <f>"01719"</f>
        <v>01719</v>
      </c>
      <c r="DA1716" t="s">
        <v>131</v>
      </c>
      <c r="DB1716" t="str">
        <f>""</f>
        <v/>
      </c>
      <c r="DF1716" t="str">
        <f>""</f>
        <v/>
      </c>
    </row>
    <row r="1717" spans="1:110" ht="15" customHeight="1" x14ac:dyDescent="0.35">
      <c r="A1717" t="s">
        <v>18531</v>
      </c>
      <c r="B1717" t="s">
        <v>138</v>
      </c>
      <c r="C1717" s="1">
        <v>44342</v>
      </c>
      <c r="G1717" s="1">
        <v>44342</v>
      </c>
      <c r="H1717" t="s">
        <v>125</v>
      </c>
      <c r="I1717" t="s">
        <v>1615</v>
      </c>
      <c r="J1717" t="s">
        <v>1616</v>
      </c>
      <c r="L1717" t="s">
        <v>1617</v>
      </c>
      <c r="M1717" t="s">
        <v>1618</v>
      </c>
      <c r="N1717" t="s">
        <v>1619</v>
      </c>
      <c r="O1717" t="s">
        <v>259</v>
      </c>
      <c r="P1717" t="s">
        <v>273</v>
      </c>
      <c r="Q1717" s="3">
        <v>7059</v>
      </c>
      <c r="R1717" t="s">
        <v>128</v>
      </c>
      <c r="T1717" s="4">
        <v>19086048080</v>
      </c>
      <c r="V1717" t="s">
        <v>1620</v>
      </c>
      <c r="W1717" t="s">
        <v>1621</v>
      </c>
      <c r="Y1717" t="s">
        <v>1618</v>
      </c>
      <c r="Z1717" t="s">
        <v>1619</v>
      </c>
      <c r="AA1717" t="s">
        <v>259</v>
      </c>
      <c r="AB1717" t="s">
        <v>276</v>
      </c>
      <c r="AC1717" s="3" t="str">
        <f>"07059"</f>
        <v>07059</v>
      </c>
      <c r="AD1717" t="s">
        <v>128</v>
      </c>
      <c r="AF1717" s="4">
        <v>19086048080</v>
      </c>
      <c r="AH1717" t="str">
        <f>"541511"</f>
        <v>541511</v>
      </c>
      <c r="AI1717" t="s">
        <v>130</v>
      </c>
      <c r="AJ1717" t="s">
        <v>1622</v>
      </c>
      <c r="AK1717" t="s">
        <v>1623</v>
      </c>
      <c r="AL1717" t="s">
        <v>1624</v>
      </c>
      <c r="AM1717" t="s">
        <v>1625</v>
      </c>
      <c r="AN1717" t="s">
        <v>1626</v>
      </c>
      <c r="AO1717" t="s">
        <v>719</v>
      </c>
      <c r="AP1717" t="s">
        <v>377</v>
      </c>
      <c r="AQ1717" s="5">
        <v>1701</v>
      </c>
      <c r="AR1717" t="s">
        <v>128</v>
      </c>
      <c r="AT1717" s="4">
        <v>15085323527</v>
      </c>
      <c r="AV1717" t="s">
        <v>1627</v>
      </c>
      <c r="AW1717" t="s">
        <v>1628</v>
      </c>
      <c r="AX1717" t="s">
        <v>131</v>
      </c>
      <c r="AY1717" t="s">
        <v>131</v>
      </c>
      <c r="AZ1717" t="s">
        <v>131</v>
      </c>
      <c r="BA1717" t="s">
        <v>131</v>
      </c>
      <c r="BB1717" t="s">
        <v>131</v>
      </c>
      <c r="BC1717" t="s">
        <v>131</v>
      </c>
      <c r="BD1717" t="s">
        <v>131</v>
      </c>
      <c r="BE1717" t="s">
        <v>132</v>
      </c>
      <c r="BH1717" t="s">
        <v>1629</v>
      </c>
      <c r="BI1717" t="s">
        <v>131</v>
      </c>
      <c r="BL1717" t="s">
        <v>133</v>
      </c>
      <c r="BN1717" t="s">
        <v>1630</v>
      </c>
      <c r="BO1717" t="s">
        <v>131</v>
      </c>
      <c r="BP1717" t="s">
        <v>134</v>
      </c>
      <c r="BQ1717" t="s">
        <v>131</v>
      </c>
      <c r="BS1717" t="str">
        <f t="shared" si="104"/>
        <v>N/A</v>
      </c>
      <c r="BT1717" t="s">
        <v>135</v>
      </c>
      <c r="BU1717">
        <v>24</v>
      </c>
      <c r="BV1717" t="str">
        <f>"job offered or related position"</f>
        <v>job offered or related position</v>
      </c>
      <c r="BW1717" t="s">
        <v>135</v>
      </c>
      <c r="BX1717" t="str">
        <f>""</f>
        <v/>
      </c>
      <c r="BY1717" t="str">
        <f>""</f>
        <v/>
      </c>
      <c r="BZ1717" t="str">
        <f>""</f>
        <v/>
      </c>
      <c r="CA1717" t="s">
        <v>1631</v>
      </c>
      <c r="CB1717" t="s">
        <v>135</v>
      </c>
      <c r="CC1717" t="s">
        <v>658</v>
      </c>
      <c r="CD1717" t="s">
        <v>18532</v>
      </c>
      <c r="CE1717" t="s">
        <v>18533</v>
      </c>
      <c r="CF1717" t="s">
        <v>131</v>
      </c>
      <c r="CH1717" t="str">
        <f>"N/A"</f>
        <v>N/A</v>
      </c>
      <c r="CI1717" t="s">
        <v>135</v>
      </c>
      <c r="CJ1717">
        <v>24</v>
      </c>
      <c r="CK1717" t="s">
        <v>135</v>
      </c>
      <c r="CL1717" t="str">
        <f>""</f>
        <v/>
      </c>
      <c r="CM1717" t="str">
        <f>""</f>
        <v/>
      </c>
      <c r="CN1717" t="str">
        <f>""</f>
        <v/>
      </c>
      <c r="CO1717" t="s">
        <v>1631</v>
      </c>
      <c r="CP1717" t="str">
        <f>"15-1121.00"</f>
        <v>15-1121.00</v>
      </c>
      <c r="CQ1717" t="s">
        <v>283</v>
      </c>
      <c r="CR1717" t="s">
        <v>6093</v>
      </c>
      <c r="CS1717" t="s">
        <v>135</v>
      </c>
      <c r="CT1717" t="s">
        <v>16283</v>
      </c>
      <c r="CU1717" t="s">
        <v>1618</v>
      </c>
      <c r="CV1717" t="s">
        <v>1619</v>
      </c>
      <c r="CW1717" t="s">
        <v>259</v>
      </c>
      <c r="CX1717" t="s">
        <v>276</v>
      </c>
      <c r="CZ1717" s="3" t="str">
        <f>"07059"</f>
        <v>07059</v>
      </c>
      <c r="DA1717" t="s">
        <v>131</v>
      </c>
      <c r="DB1717" t="str">
        <f>""</f>
        <v/>
      </c>
      <c r="DF1717" t="str">
        <f>""</f>
        <v/>
      </c>
    </row>
    <row r="1718" spans="1:110" ht="15" customHeight="1" x14ac:dyDescent="0.35">
      <c r="A1718" t="s">
        <v>15682</v>
      </c>
      <c r="B1718" t="s">
        <v>138</v>
      </c>
      <c r="C1718" s="1">
        <v>44342</v>
      </c>
      <c r="G1718" s="1">
        <v>44342</v>
      </c>
      <c r="H1718" t="s">
        <v>125</v>
      </c>
      <c r="I1718" t="s">
        <v>4532</v>
      </c>
      <c r="J1718" t="s">
        <v>4533</v>
      </c>
      <c r="L1718" t="s">
        <v>4534</v>
      </c>
      <c r="M1718" t="s">
        <v>1347</v>
      </c>
      <c r="O1718" t="s">
        <v>1348</v>
      </c>
      <c r="P1718" t="s">
        <v>539</v>
      </c>
      <c r="Q1718" s="3">
        <v>60015</v>
      </c>
      <c r="R1718" t="s">
        <v>128</v>
      </c>
      <c r="T1718" s="4">
        <v>12244053726</v>
      </c>
      <c r="V1718" t="s">
        <v>4535</v>
      </c>
      <c r="W1718" t="s">
        <v>4536</v>
      </c>
      <c r="Y1718" t="s">
        <v>1351</v>
      </c>
      <c r="AA1718" t="s">
        <v>1348</v>
      </c>
      <c r="AB1718" t="s">
        <v>263</v>
      </c>
      <c r="AC1718" s="3" t="str">
        <f>"60015"</f>
        <v>60015</v>
      </c>
      <c r="AD1718" t="s">
        <v>128</v>
      </c>
      <c r="AF1718" s="4">
        <v>12244053726</v>
      </c>
      <c r="AG1718">
        <v>0</v>
      </c>
      <c r="AH1718" t="str">
        <f>"522291"</f>
        <v>522291</v>
      </c>
      <c r="AI1718" t="s">
        <v>130</v>
      </c>
      <c r="AJ1718" t="s">
        <v>1352</v>
      </c>
      <c r="AK1718" t="s">
        <v>260</v>
      </c>
      <c r="AM1718" t="s">
        <v>493</v>
      </c>
      <c r="AO1718" t="s">
        <v>494</v>
      </c>
      <c r="AP1718" t="s">
        <v>129</v>
      </c>
      <c r="AQ1718" s="5">
        <v>10018</v>
      </c>
      <c r="AR1718" t="s">
        <v>128</v>
      </c>
      <c r="AT1718" s="4">
        <v>12126888555</v>
      </c>
      <c r="AV1718" t="s">
        <v>4537</v>
      </c>
      <c r="AW1718" t="s">
        <v>386</v>
      </c>
      <c r="AX1718" t="s">
        <v>131</v>
      </c>
      <c r="AY1718" t="s">
        <v>131</v>
      </c>
      <c r="AZ1718" t="s">
        <v>131</v>
      </c>
      <c r="BA1718" t="s">
        <v>131</v>
      </c>
      <c r="BB1718" t="s">
        <v>131</v>
      </c>
      <c r="BC1718" t="s">
        <v>131</v>
      </c>
      <c r="BD1718" t="s">
        <v>131</v>
      </c>
      <c r="BE1718" t="s">
        <v>132</v>
      </c>
      <c r="BH1718" t="s">
        <v>4538</v>
      </c>
      <c r="BI1718" t="s">
        <v>131</v>
      </c>
      <c r="BL1718" t="s">
        <v>133</v>
      </c>
      <c r="BN1718" t="s">
        <v>4539</v>
      </c>
      <c r="BO1718" t="s">
        <v>131</v>
      </c>
      <c r="BP1718" t="s">
        <v>134</v>
      </c>
      <c r="BQ1718" t="s">
        <v>131</v>
      </c>
      <c r="BS1718" t="str">
        <f t="shared" si="104"/>
        <v>N/A</v>
      </c>
      <c r="BT1718" t="s">
        <v>135</v>
      </c>
      <c r="BU1718">
        <v>48</v>
      </c>
      <c r="BV1718" t="str">
        <f>"Manager ; Senior Consultant or related."</f>
        <v>Manager ; Senior Consultant or related.</v>
      </c>
      <c r="BW1718" t="s">
        <v>135</v>
      </c>
      <c r="BX1718" t="str">
        <f>""</f>
        <v/>
      </c>
      <c r="BY1718" t="str">
        <f>""</f>
        <v/>
      </c>
      <c r="BZ1718" t="str">
        <f>""</f>
        <v/>
      </c>
      <c r="CA1718" t="s">
        <v>4540</v>
      </c>
      <c r="CB1718" t="s">
        <v>131</v>
      </c>
      <c r="CF1718" t="s">
        <v>131</v>
      </c>
      <c r="CH1718" t="str">
        <f>""</f>
        <v/>
      </c>
      <c r="CI1718" t="s">
        <v>131</v>
      </c>
      <c r="CK1718" t="s">
        <v>131</v>
      </c>
      <c r="CL1718" t="str">
        <f>""</f>
        <v/>
      </c>
      <c r="CM1718" t="str">
        <f>""</f>
        <v/>
      </c>
      <c r="CN1718" t="str">
        <f>""</f>
        <v/>
      </c>
      <c r="CO1718" t="str">
        <f>""</f>
        <v/>
      </c>
      <c r="CP1718" t="str">
        <f>"15-1199.09"</f>
        <v>15-1199.09</v>
      </c>
      <c r="CQ1718" t="s">
        <v>697</v>
      </c>
      <c r="CR1718" t="s">
        <v>4538</v>
      </c>
      <c r="CS1718" t="s">
        <v>131</v>
      </c>
      <c r="CU1718" t="s">
        <v>1347</v>
      </c>
      <c r="CW1718" t="s">
        <v>1348</v>
      </c>
      <c r="CX1718" t="s">
        <v>263</v>
      </c>
      <c r="CZ1718" s="3" t="str">
        <f>"60015"</f>
        <v>60015</v>
      </c>
      <c r="DA1718" t="s">
        <v>131</v>
      </c>
      <c r="DB1718" t="str">
        <f>""</f>
        <v/>
      </c>
      <c r="DF1718" t="str">
        <f>""</f>
        <v/>
      </c>
    </row>
    <row r="1719" spans="1:110" ht="15" customHeight="1" x14ac:dyDescent="0.35">
      <c r="A1719" t="s">
        <v>18844</v>
      </c>
      <c r="B1719" t="s">
        <v>138</v>
      </c>
      <c r="C1719" s="1">
        <v>44342</v>
      </c>
      <c r="G1719" s="1">
        <v>44348</v>
      </c>
      <c r="H1719" t="s">
        <v>125</v>
      </c>
      <c r="I1719" t="s">
        <v>18845</v>
      </c>
      <c r="J1719" t="s">
        <v>1595</v>
      </c>
      <c r="L1719" t="s">
        <v>1105</v>
      </c>
      <c r="M1719" t="s">
        <v>18846</v>
      </c>
      <c r="N1719" t="s">
        <v>2377</v>
      </c>
      <c r="O1719" t="s">
        <v>12218</v>
      </c>
      <c r="P1719" t="s">
        <v>539</v>
      </c>
      <c r="Q1719" s="3">
        <v>60044</v>
      </c>
      <c r="R1719" t="s">
        <v>128</v>
      </c>
      <c r="T1719" s="4">
        <v>12245222261</v>
      </c>
      <c r="V1719" t="s">
        <v>17531</v>
      </c>
      <c r="W1719" t="s">
        <v>17532</v>
      </c>
      <c r="Y1719" t="s">
        <v>18846</v>
      </c>
      <c r="Z1719" t="s">
        <v>2377</v>
      </c>
      <c r="AA1719" t="s">
        <v>12218</v>
      </c>
      <c r="AB1719" t="s">
        <v>263</v>
      </c>
      <c r="AC1719" s="3" t="str">
        <f>"60044"</f>
        <v>60044</v>
      </c>
      <c r="AD1719" t="s">
        <v>128</v>
      </c>
      <c r="AF1719" s="4">
        <v>12245222261</v>
      </c>
      <c r="AH1719" t="str">
        <f>"48412"</f>
        <v>48412</v>
      </c>
      <c r="AI1719" t="s">
        <v>130</v>
      </c>
      <c r="AJ1719" t="s">
        <v>5894</v>
      </c>
      <c r="AK1719" t="s">
        <v>1157</v>
      </c>
      <c r="AM1719" t="s">
        <v>6224</v>
      </c>
      <c r="AN1719" t="s">
        <v>4901</v>
      </c>
      <c r="AO1719" t="s">
        <v>262</v>
      </c>
      <c r="AP1719" t="s">
        <v>263</v>
      </c>
      <c r="AQ1719" s="5">
        <v>60606</v>
      </c>
      <c r="AR1719" t="s">
        <v>128</v>
      </c>
      <c r="AT1719" s="4">
        <v>13123322550</v>
      </c>
      <c r="AV1719" t="s">
        <v>6225</v>
      </c>
      <c r="AW1719" t="s">
        <v>4903</v>
      </c>
      <c r="AX1719" t="s">
        <v>131</v>
      </c>
      <c r="AY1719" t="s">
        <v>131</v>
      </c>
      <c r="AZ1719" t="s">
        <v>131</v>
      </c>
      <c r="BA1719" t="s">
        <v>131</v>
      </c>
      <c r="BB1719" t="s">
        <v>131</v>
      </c>
      <c r="BC1719" t="s">
        <v>131</v>
      </c>
      <c r="BD1719" t="s">
        <v>131</v>
      </c>
      <c r="BE1719" t="s">
        <v>132</v>
      </c>
      <c r="BH1719" t="s">
        <v>3767</v>
      </c>
      <c r="BI1719" t="s">
        <v>131</v>
      </c>
      <c r="BL1719" t="s">
        <v>167</v>
      </c>
      <c r="BO1719" t="s">
        <v>131</v>
      </c>
      <c r="BP1719" t="s">
        <v>134</v>
      </c>
      <c r="BQ1719" t="s">
        <v>131</v>
      </c>
      <c r="BS1719" t="str">
        <f t="shared" si="104"/>
        <v>N/A</v>
      </c>
      <c r="BT1719" t="s">
        <v>135</v>
      </c>
      <c r="BU1719">
        <v>12</v>
      </c>
      <c r="BV1719" t="str">
        <f>"Related occupations "</f>
        <v xml:space="preserve">Related occupations </v>
      </c>
      <c r="BW1719" t="s">
        <v>131</v>
      </c>
      <c r="BX1719" t="str">
        <f>""</f>
        <v/>
      </c>
      <c r="BY1719" t="str">
        <f>""</f>
        <v/>
      </c>
      <c r="BZ1719" t="str">
        <f>""</f>
        <v/>
      </c>
      <c r="CA1719" t="str">
        <f>""</f>
        <v/>
      </c>
      <c r="CB1719" t="s">
        <v>131</v>
      </c>
      <c r="CF1719" t="s">
        <v>131</v>
      </c>
      <c r="CH1719" t="str">
        <f>""</f>
        <v/>
      </c>
      <c r="CI1719" t="s">
        <v>131</v>
      </c>
      <c r="CK1719" t="s">
        <v>131</v>
      </c>
      <c r="CL1719" t="str">
        <f>""</f>
        <v/>
      </c>
      <c r="CM1719" t="str">
        <f>""</f>
        <v/>
      </c>
      <c r="CN1719" t="str">
        <f>""</f>
        <v/>
      </c>
      <c r="CO1719" t="str">
        <f>""</f>
        <v/>
      </c>
      <c r="CP1719" t="str">
        <f>"11-3011.00"</f>
        <v>11-3011.00</v>
      </c>
      <c r="CQ1719" t="s">
        <v>1962</v>
      </c>
      <c r="CS1719" t="s">
        <v>131</v>
      </c>
      <c r="CU1719" t="s">
        <v>18847</v>
      </c>
      <c r="CV1719" t="s">
        <v>2377</v>
      </c>
      <c r="CW1719" t="s">
        <v>12218</v>
      </c>
      <c r="CX1719" t="s">
        <v>263</v>
      </c>
      <c r="CZ1719" s="3" t="str">
        <f>"60044"</f>
        <v>60044</v>
      </c>
      <c r="DA1719" t="s">
        <v>131</v>
      </c>
      <c r="DB1719" t="str">
        <f>""</f>
        <v/>
      </c>
      <c r="DF1719" t="str">
        <f>""</f>
        <v/>
      </c>
    </row>
    <row r="1720" spans="1:110" ht="15" customHeight="1" x14ac:dyDescent="0.35">
      <c r="A1720" t="s">
        <v>13893</v>
      </c>
      <c r="B1720" t="s">
        <v>138</v>
      </c>
      <c r="C1720" s="1">
        <v>44342</v>
      </c>
      <c r="G1720" s="1">
        <v>44369</v>
      </c>
      <c r="H1720" t="s">
        <v>125</v>
      </c>
      <c r="I1720" t="s">
        <v>12441</v>
      </c>
      <c r="J1720" t="s">
        <v>3350</v>
      </c>
      <c r="L1720" t="s">
        <v>1248</v>
      </c>
      <c r="M1720" t="s">
        <v>2833</v>
      </c>
      <c r="N1720" t="s">
        <v>380</v>
      </c>
      <c r="O1720" t="s">
        <v>885</v>
      </c>
      <c r="P1720" t="s">
        <v>412</v>
      </c>
      <c r="Q1720" s="3">
        <v>77043</v>
      </c>
      <c r="R1720" t="s">
        <v>128</v>
      </c>
      <c r="T1720" s="4">
        <v>14695052764</v>
      </c>
      <c r="V1720" t="s">
        <v>3351</v>
      </c>
      <c r="W1720" t="s">
        <v>3352</v>
      </c>
      <c r="Y1720" t="s">
        <v>3353</v>
      </c>
      <c r="AA1720" t="s">
        <v>661</v>
      </c>
      <c r="AB1720" t="s">
        <v>172</v>
      </c>
      <c r="AC1720" s="3" t="str">
        <f>"94404"</f>
        <v>94404</v>
      </c>
      <c r="AD1720" t="s">
        <v>128</v>
      </c>
      <c r="AE1720" t="s">
        <v>172</v>
      </c>
      <c r="AF1720" s="4">
        <v>16504328837</v>
      </c>
      <c r="AH1720" t="str">
        <f>"52232"</f>
        <v>52232</v>
      </c>
      <c r="AI1720" t="s">
        <v>130</v>
      </c>
      <c r="AJ1720" t="s">
        <v>3354</v>
      </c>
      <c r="AK1720" t="s">
        <v>3350</v>
      </c>
      <c r="AM1720" t="s">
        <v>2833</v>
      </c>
      <c r="AN1720" t="s">
        <v>380</v>
      </c>
      <c r="AO1720" t="s">
        <v>885</v>
      </c>
      <c r="AP1720" t="s">
        <v>400</v>
      </c>
      <c r="AQ1720" s="5">
        <v>77043</v>
      </c>
      <c r="AR1720" t="s">
        <v>128</v>
      </c>
      <c r="AT1720" s="4">
        <v>14695052764</v>
      </c>
      <c r="AV1720" t="s">
        <v>3351</v>
      </c>
      <c r="AW1720" t="s">
        <v>367</v>
      </c>
      <c r="AX1720" t="s">
        <v>131</v>
      </c>
      <c r="AY1720" t="s">
        <v>131</v>
      </c>
      <c r="AZ1720" t="s">
        <v>131</v>
      </c>
      <c r="BA1720" t="s">
        <v>131</v>
      </c>
      <c r="BB1720" t="s">
        <v>131</v>
      </c>
      <c r="BC1720" t="s">
        <v>131</v>
      </c>
      <c r="BD1720" t="s">
        <v>131</v>
      </c>
      <c r="BE1720" t="s">
        <v>132</v>
      </c>
      <c r="BH1720" t="s">
        <v>4065</v>
      </c>
      <c r="BI1720" t="s">
        <v>131</v>
      </c>
      <c r="BL1720" t="s">
        <v>188</v>
      </c>
      <c r="BN1720" t="s">
        <v>4750</v>
      </c>
      <c r="BO1720" t="s">
        <v>131</v>
      </c>
      <c r="BP1720" t="s">
        <v>134</v>
      </c>
      <c r="BQ1720" t="s">
        <v>131</v>
      </c>
      <c r="BS1720" t="str">
        <f t="shared" si="104"/>
        <v>N/A</v>
      </c>
      <c r="BT1720" t="s">
        <v>135</v>
      </c>
      <c r="BU1720">
        <v>24</v>
      </c>
      <c r="BV1720" t="str">
        <f>"See F.b.5.a(iv)"</f>
        <v>See F.b.5.a(iv)</v>
      </c>
      <c r="BW1720" t="s">
        <v>135</v>
      </c>
      <c r="BX1720" t="str">
        <f>""</f>
        <v/>
      </c>
      <c r="BY1720" t="str">
        <f>""</f>
        <v/>
      </c>
      <c r="BZ1720" t="str">
        <f>""</f>
        <v/>
      </c>
      <c r="CA1720" s="2" t="s">
        <v>13894</v>
      </c>
      <c r="CB1720" t="s">
        <v>131</v>
      </c>
      <c r="CF1720" t="s">
        <v>131</v>
      </c>
      <c r="CH1720" t="str">
        <f>""</f>
        <v/>
      </c>
      <c r="CI1720" t="s">
        <v>131</v>
      </c>
      <c r="CK1720" t="s">
        <v>131</v>
      </c>
      <c r="CL1720" t="str">
        <f>""</f>
        <v/>
      </c>
      <c r="CM1720" t="str">
        <f>""</f>
        <v/>
      </c>
      <c r="CN1720" t="str">
        <f>""</f>
        <v/>
      </c>
      <c r="CO1720" t="str">
        <f>""</f>
        <v/>
      </c>
      <c r="CP1720" t="str">
        <f>"15-1132.00"</f>
        <v>15-1132.00</v>
      </c>
      <c r="CQ1720" t="s">
        <v>198</v>
      </c>
      <c r="CS1720" t="s">
        <v>131</v>
      </c>
      <c r="CU1720" t="s">
        <v>3353</v>
      </c>
      <c r="CW1720" t="s">
        <v>661</v>
      </c>
      <c r="CX1720" t="s">
        <v>172</v>
      </c>
      <c r="CZ1720" s="3" t="str">
        <f>"94404"</f>
        <v>94404</v>
      </c>
      <c r="DA1720" t="s">
        <v>131</v>
      </c>
      <c r="DB1720" t="str">
        <f>""</f>
        <v/>
      </c>
      <c r="DF1720" t="str">
        <f>""</f>
        <v/>
      </c>
    </row>
    <row r="1721" spans="1:110" ht="15" customHeight="1" x14ac:dyDescent="0.35">
      <c r="A1721" t="s">
        <v>18404</v>
      </c>
      <c r="B1721" t="s">
        <v>138</v>
      </c>
      <c r="C1721" s="1">
        <v>44342</v>
      </c>
      <c r="G1721" s="1">
        <v>44350</v>
      </c>
      <c r="H1721" t="s">
        <v>125</v>
      </c>
      <c r="I1721" t="s">
        <v>8290</v>
      </c>
      <c r="J1721" t="s">
        <v>1846</v>
      </c>
      <c r="K1721" t="s">
        <v>2374</v>
      </c>
      <c r="L1721" t="s">
        <v>8291</v>
      </c>
      <c r="M1721" t="s">
        <v>8292</v>
      </c>
      <c r="O1721" t="s">
        <v>220</v>
      </c>
      <c r="P1721" t="s">
        <v>178</v>
      </c>
      <c r="Q1721" s="3">
        <v>94104</v>
      </c>
      <c r="R1721" t="s">
        <v>128</v>
      </c>
      <c r="T1721" s="4">
        <v>19258438319</v>
      </c>
      <c r="V1721" t="s">
        <v>8293</v>
      </c>
      <c r="W1721" t="s">
        <v>8294</v>
      </c>
      <c r="Y1721" t="s">
        <v>8295</v>
      </c>
      <c r="AA1721" t="s">
        <v>220</v>
      </c>
      <c r="AB1721" t="s">
        <v>172</v>
      </c>
      <c r="AC1721" s="3" t="str">
        <f>"94104"</f>
        <v>94104</v>
      </c>
      <c r="AD1721" t="s">
        <v>128</v>
      </c>
      <c r="AF1721" s="4">
        <v>19258468319</v>
      </c>
      <c r="AH1721" t="str">
        <f>"52219"</f>
        <v>52219</v>
      </c>
      <c r="AI1721" t="s">
        <v>130</v>
      </c>
      <c r="AJ1721" t="s">
        <v>1873</v>
      </c>
      <c r="AK1721" t="s">
        <v>1601</v>
      </c>
      <c r="AL1721" t="s">
        <v>2600</v>
      </c>
      <c r="AM1721" t="s">
        <v>1874</v>
      </c>
      <c r="AN1721" t="s">
        <v>134</v>
      </c>
      <c r="AO1721" t="s">
        <v>799</v>
      </c>
      <c r="AP1721" t="s">
        <v>595</v>
      </c>
      <c r="AQ1721" s="5">
        <v>20004</v>
      </c>
      <c r="AR1721" t="s">
        <v>128</v>
      </c>
      <c r="AS1721" t="s">
        <v>134</v>
      </c>
      <c r="AT1721" s="4">
        <v>12028283596</v>
      </c>
      <c r="AV1721" t="s">
        <v>8296</v>
      </c>
      <c r="AW1721" t="s">
        <v>1083</v>
      </c>
      <c r="AX1721" t="s">
        <v>131</v>
      </c>
      <c r="AY1721" t="s">
        <v>131</v>
      </c>
      <c r="AZ1721" t="s">
        <v>131</v>
      </c>
      <c r="BA1721" t="s">
        <v>131</v>
      </c>
      <c r="BB1721" t="s">
        <v>131</v>
      </c>
      <c r="BC1721" t="s">
        <v>131</v>
      </c>
      <c r="BD1721" t="s">
        <v>131</v>
      </c>
      <c r="BE1721" t="s">
        <v>132</v>
      </c>
      <c r="BH1721" t="s">
        <v>18405</v>
      </c>
      <c r="BI1721" t="s">
        <v>131</v>
      </c>
      <c r="BL1721" t="s">
        <v>133</v>
      </c>
      <c r="BN1721" t="s">
        <v>18406</v>
      </c>
      <c r="BO1721" t="s">
        <v>131</v>
      </c>
      <c r="BP1721" t="s">
        <v>134</v>
      </c>
      <c r="BQ1721" t="s">
        <v>131</v>
      </c>
      <c r="BS1721" t="str">
        <f t="shared" si="104"/>
        <v>N/A</v>
      </c>
      <c r="BT1721" t="s">
        <v>135</v>
      </c>
      <c r="BU1721">
        <v>84</v>
      </c>
      <c r="BV1721" t="str">
        <f>"providing solutions using BPM tools using Appian"</f>
        <v>providing solutions using BPM tools using Appian</v>
      </c>
      <c r="BW1721" t="s">
        <v>135</v>
      </c>
      <c r="BX1721" t="str">
        <f>""</f>
        <v/>
      </c>
      <c r="BY1721" t="str">
        <f>""</f>
        <v/>
      </c>
      <c r="BZ1721" t="str">
        <f>""</f>
        <v/>
      </c>
      <c r="CA1721" t="s">
        <v>18407</v>
      </c>
      <c r="CB1721" t="s">
        <v>131</v>
      </c>
      <c r="CF1721" t="s">
        <v>131</v>
      </c>
      <c r="CH1721" t="str">
        <f>""</f>
        <v/>
      </c>
      <c r="CI1721" t="s">
        <v>131</v>
      </c>
      <c r="CK1721" t="s">
        <v>131</v>
      </c>
      <c r="CL1721" t="str">
        <f>""</f>
        <v/>
      </c>
      <c r="CM1721" t="str">
        <f>""</f>
        <v/>
      </c>
      <c r="CN1721" t="str">
        <f>""</f>
        <v/>
      </c>
      <c r="CO1721" t="str">
        <f>""</f>
        <v/>
      </c>
      <c r="CP1721" t="str">
        <f>"15-1132.00"</f>
        <v>15-1132.00</v>
      </c>
      <c r="CQ1721" t="s">
        <v>198</v>
      </c>
      <c r="CR1721" t="s">
        <v>18408</v>
      </c>
      <c r="CS1721" t="s">
        <v>131</v>
      </c>
      <c r="CU1721" t="s">
        <v>18409</v>
      </c>
      <c r="CW1721" t="s">
        <v>1318</v>
      </c>
      <c r="CX1721" t="s">
        <v>808</v>
      </c>
      <c r="CZ1721" s="3" t="str">
        <f>"85282"</f>
        <v>85282</v>
      </c>
      <c r="DA1721" t="s">
        <v>131</v>
      </c>
      <c r="DB1721" t="str">
        <f>""</f>
        <v/>
      </c>
      <c r="DF1721" t="str">
        <f>""</f>
        <v/>
      </c>
    </row>
    <row r="1722" spans="1:110" ht="15" customHeight="1" x14ac:dyDescent="0.35">
      <c r="A1722" t="s">
        <v>1985</v>
      </c>
      <c r="B1722" t="s">
        <v>138</v>
      </c>
      <c r="C1722" s="1">
        <v>44342</v>
      </c>
      <c r="G1722" s="1">
        <v>44348</v>
      </c>
      <c r="H1722" t="s">
        <v>125</v>
      </c>
      <c r="I1722" t="s">
        <v>201</v>
      </c>
      <c r="J1722" t="s">
        <v>202</v>
      </c>
      <c r="L1722" t="s">
        <v>203</v>
      </c>
      <c r="M1722" t="s">
        <v>204</v>
      </c>
      <c r="O1722" t="s">
        <v>205</v>
      </c>
      <c r="P1722" t="s">
        <v>194</v>
      </c>
      <c r="Q1722" s="3">
        <v>33607</v>
      </c>
      <c r="R1722" t="s">
        <v>128</v>
      </c>
      <c r="T1722" s="4">
        <v>1813348700</v>
      </c>
      <c r="V1722" t="s">
        <v>217</v>
      </c>
      <c r="W1722" t="s">
        <v>207</v>
      </c>
      <c r="Y1722" t="s">
        <v>208</v>
      </c>
      <c r="AA1722" t="s">
        <v>205</v>
      </c>
      <c r="AB1722" t="s">
        <v>195</v>
      </c>
      <c r="AC1722" s="3" t="str">
        <f>"33607"</f>
        <v>33607</v>
      </c>
      <c r="AD1722" t="s">
        <v>128</v>
      </c>
      <c r="AF1722" s="4">
        <v>18133487000</v>
      </c>
      <c r="AH1722" t="str">
        <f>"541611"</f>
        <v>541611</v>
      </c>
      <c r="AI1722" t="s">
        <v>130</v>
      </c>
      <c r="AJ1722" t="s">
        <v>1986</v>
      </c>
      <c r="AK1722" t="s">
        <v>1987</v>
      </c>
      <c r="AL1722" t="s">
        <v>134</v>
      </c>
      <c r="AM1722" t="s">
        <v>1988</v>
      </c>
      <c r="AN1722" t="s">
        <v>1989</v>
      </c>
      <c r="AO1722" t="s">
        <v>1990</v>
      </c>
      <c r="AQ1722" s="5" t="s">
        <v>215</v>
      </c>
      <c r="AR1722" t="s">
        <v>156</v>
      </c>
      <c r="AS1722" t="s">
        <v>1991</v>
      </c>
      <c r="AT1722" s="4">
        <v>14169418383</v>
      </c>
      <c r="AV1722" t="s">
        <v>217</v>
      </c>
      <c r="AW1722" t="s">
        <v>218</v>
      </c>
      <c r="AX1722" t="s">
        <v>131</v>
      </c>
      <c r="AY1722" t="s">
        <v>131</v>
      </c>
      <c r="AZ1722" t="s">
        <v>131</v>
      </c>
      <c r="BA1722" t="s">
        <v>131</v>
      </c>
      <c r="BB1722" t="s">
        <v>131</v>
      </c>
      <c r="BC1722" t="s">
        <v>131</v>
      </c>
      <c r="BD1722" t="s">
        <v>131</v>
      </c>
      <c r="BE1722" t="s">
        <v>132</v>
      </c>
      <c r="BH1722" t="s">
        <v>1992</v>
      </c>
      <c r="BI1722" t="s">
        <v>135</v>
      </c>
      <c r="BJ1722" t="s">
        <v>1993</v>
      </c>
      <c r="BK1722" t="s">
        <v>672</v>
      </c>
      <c r="BL1722" t="s">
        <v>133</v>
      </c>
      <c r="BN1722" t="s">
        <v>1994</v>
      </c>
      <c r="BO1722" t="s">
        <v>131</v>
      </c>
      <c r="BP1722" t="s">
        <v>134</v>
      </c>
      <c r="BQ1722" t="s">
        <v>131</v>
      </c>
      <c r="BS1722" t="str">
        <f t="shared" si="104"/>
        <v>N/A</v>
      </c>
      <c r="BT1722" t="s">
        <v>135</v>
      </c>
      <c r="BU1722">
        <v>36</v>
      </c>
      <c r="BV1722" t="str">
        <f>"Accountant and Auditors or related occupation. "</f>
        <v xml:space="preserve">Accountant and Auditors or related occupation. </v>
      </c>
      <c r="BW1722" t="s">
        <v>135</v>
      </c>
      <c r="BX1722" t="str">
        <f>""</f>
        <v/>
      </c>
      <c r="BY1722" t="str">
        <f>""</f>
        <v/>
      </c>
      <c r="BZ1722" t="str">
        <f>""</f>
        <v/>
      </c>
      <c r="CA1722" s="2" t="s">
        <v>1995</v>
      </c>
      <c r="CB1722" t="s">
        <v>135</v>
      </c>
      <c r="CC1722" t="s">
        <v>188</v>
      </c>
      <c r="CE1722" t="s">
        <v>1996</v>
      </c>
      <c r="CF1722" t="s">
        <v>131</v>
      </c>
      <c r="CH1722" t="str">
        <f>"N/A"</f>
        <v>N/A</v>
      </c>
      <c r="CI1722" t="s">
        <v>135</v>
      </c>
      <c r="CJ1722">
        <v>12</v>
      </c>
      <c r="CK1722" t="s">
        <v>135</v>
      </c>
      <c r="CL1722" t="str">
        <f>""</f>
        <v/>
      </c>
      <c r="CM1722" t="str">
        <f>""</f>
        <v/>
      </c>
      <c r="CN1722" t="str">
        <f>""</f>
        <v/>
      </c>
      <c r="CO1722" s="2" t="s">
        <v>1995</v>
      </c>
      <c r="CP1722" t="str">
        <f>"13-2011.00"</f>
        <v>13-2011.00</v>
      </c>
      <c r="CQ1722" t="s">
        <v>672</v>
      </c>
      <c r="CS1722" t="s">
        <v>135</v>
      </c>
      <c r="CT1722" t="s">
        <v>1997</v>
      </c>
      <c r="CU1722" t="s">
        <v>1998</v>
      </c>
      <c r="CW1722" t="s">
        <v>1999</v>
      </c>
      <c r="CX1722" t="s">
        <v>400</v>
      </c>
      <c r="CZ1722" s="3" t="str">
        <f>"75201"</f>
        <v>75201</v>
      </c>
      <c r="DA1722" t="s">
        <v>131</v>
      </c>
      <c r="DB1722" t="str">
        <f>""</f>
        <v/>
      </c>
      <c r="DF1722" t="str">
        <f>""</f>
        <v/>
      </c>
    </row>
    <row r="1723" spans="1:110" ht="15" customHeight="1" x14ac:dyDescent="0.35">
      <c r="A1723" t="s">
        <v>15596</v>
      </c>
      <c r="B1723" t="s">
        <v>138</v>
      </c>
      <c r="C1723" s="1">
        <v>44342</v>
      </c>
      <c r="G1723" s="1">
        <v>44354</v>
      </c>
      <c r="H1723" t="s">
        <v>125</v>
      </c>
      <c r="I1723" t="s">
        <v>13227</v>
      </c>
      <c r="J1723" t="s">
        <v>615</v>
      </c>
      <c r="L1723" t="s">
        <v>13228</v>
      </c>
      <c r="M1723" t="s">
        <v>13229</v>
      </c>
      <c r="O1723" t="s">
        <v>6822</v>
      </c>
      <c r="P1723" t="s">
        <v>144</v>
      </c>
      <c r="Q1723" s="3">
        <v>98027</v>
      </c>
      <c r="R1723" t="s">
        <v>128</v>
      </c>
      <c r="T1723" s="4">
        <v>14253138100</v>
      </c>
      <c r="V1723" t="s">
        <v>13230</v>
      </c>
      <c r="W1723" t="s">
        <v>13231</v>
      </c>
      <c r="Y1723" t="s">
        <v>13229</v>
      </c>
      <c r="AA1723" t="s">
        <v>6822</v>
      </c>
      <c r="AB1723" t="s">
        <v>149</v>
      </c>
      <c r="AC1723" s="3" t="str">
        <f>"98027"</f>
        <v>98027</v>
      </c>
      <c r="AD1723" t="s">
        <v>128</v>
      </c>
      <c r="AF1723" s="4">
        <v>14253138100</v>
      </c>
      <c r="AH1723" t="str">
        <f>"45231"</f>
        <v>45231</v>
      </c>
      <c r="AI1723" t="s">
        <v>130</v>
      </c>
      <c r="AJ1723" t="s">
        <v>15597</v>
      </c>
      <c r="AK1723" t="s">
        <v>15598</v>
      </c>
      <c r="AL1723" t="s">
        <v>813</v>
      </c>
      <c r="AM1723" t="s">
        <v>556</v>
      </c>
      <c r="AN1723" t="s">
        <v>557</v>
      </c>
      <c r="AO1723" t="s">
        <v>371</v>
      </c>
      <c r="AP1723" t="s">
        <v>149</v>
      </c>
      <c r="AQ1723" s="5">
        <v>98101</v>
      </c>
      <c r="AR1723" t="s">
        <v>128</v>
      </c>
      <c r="AT1723" s="4">
        <v>12066822308</v>
      </c>
      <c r="AV1723" t="s">
        <v>558</v>
      </c>
      <c r="AW1723" t="s">
        <v>559</v>
      </c>
      <c r="AX1723" t="s">
        <v>131</v>
      </c>
      <c r="AY1723" t="s">
        <v>131</v>
      </c>
      <c r="AZ1723" t="s">
        <v>131</v>
      </c>
      <c r="BA1723" t="s">
        <v>131</v>
      </c>
      <c r="BB1723" t="s">
        <v>131</v>
      </c>
      <c r="BC1723" t="s">
        <v>131</v>
      </c>
      <c r="BD1723" t="s">
        <v>131</v>
      </c>
      <c r="BE1723" t="s">
        <v>132</v>
      </c>
      <c r="BH1723" t="s">
        <v>13232</v>
      </c>
      <c r="BI1723" t="s">
        <v>131</v>
      </c>
      <c r="BL1723" t="s">
        <v>133</v>
      </c>
      <c r="BN1723" t="s">
        <v>5321</v>
      </c>
      <c r="BO1723" t="s">
        <v>131</v>
      </c>
      <c r="BP1723" t="s">
        <v>134</v>
      </c>
      <c r="BQ1723" t="s">
        <v>131</v>
      </c>
      <c r="BS1723" t="str">
        <f t="shared" si="104"/>
        <v>N/A</v>
      </c>
      <c r="BT1723" t="s">
        <v>135</v>
      </c>
      <c r="BU1723">
        <v>24</v>
      </c>
      <c r="BV1723" t="str">
        <f>"See Section F.b.5.a"</f>
        <v>See Section F.b.5.a</v>
      </c>
      <c r="BW1723" t="s">
        <v>135</v>
      </c>
      <c r="BX1723" t="str">
        <f>""</f>
        <v/>
      </c>
      <c r="BY1723" t="str">
        <f>""</f>
        <v/>
      </c>
      <c r="BZ1723" t="str">
        <f>""</f>
        <v/>
      </c>
      <c r="CA1723" t="str">
        <f>"Two years of experience in: DB2, Oracle; AS00 (iSeries); RPG, RPG ILE, and SQLRPGLE; Manhattan WMI, Sterling OMS, and Mark Magic; DBU, X-Analysis, and Service-Now; and MQ Series, FTP, Webservice, and User Space.
"</f>
        <v xml:space="preserve">Two years of experience in: DB2, Oracle; AS00 (iSeries); RPG, RPG ILE, and SQLRPGLE; Manhattan WMI, Sterling OMS, and Mark Magic; DBU, X-Analysis, and Service-Now; and MQ Series, FTP, Webservice, and User Space.
</v>
      </c>
      <c r="CB1723" t="s">
        <v>135</v>
      </c>
      <c r="CC1723" t="s">
        <v>167</v>
      </c>
      <c r="CF1723" t="s">
        <v>131</v>
      </c>
      <c r="CH1723" t="str">
        <f>"N/A"</f>
        <v>N/A</v>
      </c>
      <c r="CI1723" t="s">
        <v>135</v>
      </c>
      <c r="CJ1723">
        <v>48</v>
      </c>
      <c r="CK1723" t="s">
        <v>135</v>
      </c>
      <c r="CL1723" t="str">
        <f>""</f>
        <v/>
      </c>
      <c r="CM1723" t="str">
        <f>""</f>
        <v/>
      </c>
      <c r="CN1723" t="str">
        <f>""</f>
        <v/>
      </c>
      <c r="CO1723" s="2" t="s">
        <v>15599</v>
      </c>
      <c r="CP1723" t="str">
        <f>"15-1133.00"</f>
        <v>15-1133.00</v>
      </c>
      <c r="CQ1723" t="s">
        <v>648</v>
      </c>
      <c r="CR1723" t="s">
        <v>13233</v>
      </c>
      <c r="CS1723" t="s">
        <v>131</v>
      </c>
      <c r="CU1723" t="s">
        <v>13229</v>
      </c>
      <c r="CW1723" t="s">
        <v>6822</v>
      </c>
      <c r="CX1723" t="s">
        <v>149</v>
      </c>
      <c r="CZ1723" s="3" t="str">
        <f>"98027"</f>
        <v>98027</v>
      </c>
      <c r="DA1723" t="s">
        <v>131</v>
      </c>
      <c r="DB1723" t="str">
        <f>""</f>
        <v/>
      </c>
      <c r="DF1723" t="str">
        <f>""</f>
        <v/>
      </c>
    </row>
    <row r="1724" spans="1:110" ht="15" customHeight="1" x14ac:dyDescent="0.35">
      <c r="A1724" t="s">
        <v>17700</v>
      </c>
      <c r="B1724" t="s">
        <v>138</v>
      </c>
      <c r="C1724" s="1">
        <v>44342</v>
      </c>
      <c r="G1724" s="1">
        <v>44350</v>
      </c>
      <c r="H1724" t="s">
        <v>125</v>
      </c>
      <c r="I1724" t="s">
        <v>2337</v>
      </c>
      <c r="J1724" t="s">
        <v>17701</v>
      </c>
      <c r="L1724" t="s">
        <v>2338</v>
      </c>
      <c r="M1724" t="s">
        <v>2339</v>
      </c>
      <c r="O1724" t="s">
        <v>4337</v>
      </c>
      <c r="P1724" t="s">
        <v>2340</v>
      </c>
      <c r="Q1724" s="3">
        <v>66211</v>
      </c>
      <c r="R1724" t="s">
        <v>128</v>
      </c>
      <c r="T1724" s="4">
        <v>19134582000</v>
      </c>
      <c r="V1724" t="s">
        <v>2341</v>
      </c>
      <c r="W1724" t="s">
        <v>2342</v>
      </c>
      <c r="X1724" t="s">
        <v>2342</v>
      </c>
      <c r="Y1724" t="s">
        <v>2339</v>
      </c>
      <c r="AA1724" t="s">
        <v>1550</v>
      </c>
      <c r="AB1724" t="s">
        <v>1551</v>
      </c>
      <c r="AC1724" s="3" t="str">
        <f>"66211"</f>
        <v>66211</v>
      </c>
      <c r="AD1724" t="s">
        <v>128</v>
      </c>
      <c r="AF1724" s="4">
        <v>19134582000</v>
      </c>
      <c r="AH1724" t="str">
        <f>"541330"</f>
        <v>541330</v>
      </c>
      <c r="AI1724" t="s">
        <v>130</v>
      </c>
      <c r="AJ1724" t="s">
        <v>4338</v>
      </c>
      <c r="AK1724" t="s">
        <v>2343</v>
      </c>
      <c r="AM1724" t="s">
        <v>1395</v>
      </c>
      <c r="AO1724" t="s">
        <v>1396</v>
      </c>
      <c r="AP1724" t="s">
        <v>258</v>
      </c>
      <c r="AQ1724" s="5">
        <v>64116</v>
      </c>
      <c r="AR1724" t="s">
        <v>128</v>
      </c>
      <c r="AT1724" s="4">
        <v>18162215444</v>
      </c>
      <c r="AV1724" t="s">
        <v>2344</v>
      </c>
      <c r="AW1724" t="s">
        <v>2345</v>
      </c>
      <c r="AX1724" t="s">
        <v>131</v>
      </c>
      <c r="AY1724" t="s">
        <v>131</v>
      </c>
      <c r="AZ1724" t="s">
        <v>131</v>
      </c>
      <c r="BA1724" t="s">
        <v>131</v>
      </c>
      <c r="BB1724" t="s">
        <v>131</v>
      </c>
      <c r="BC1724" t="s">
        <v>131</v>
      </c>
      <c r="BD1724" t="s">
        <v>131</v>
      </c>
      <c r="BE1724" t="s">
        <v>160</v>
      </c>
      <c r="BF1724" t="s">
        <v>2346</v>
      </c>
      <c r="BG1724" s="1">
        <v>44075</v>
      </c>
      <c r="BH1724" t="s">
        <v>17702</v>
      </c>
      <c r="BI1724" t="s">
        <v>135</v>
      </c>
      <c r="BJ1724" t="s">
        <v>5242</v>
      </c>
      <c r="BK1724" t="s">
        <v>787</v>
      </c>
      <c r="BL1724" t="s">
        <v>188</v>
      </c>
      <c r="BN1724" t="s">
        <v>17006</v>
      </c>
      <c r="BO1724" t="s">
        <v>131</v>
      </c>
      <c r="BP1724" t="s">
        <v>134</v>
      </c>
      <c r="BQ1724" t="s">
        <v>131</v>
      </c>
      <c r="BS1724" t="str">
        <f t="shared" si="104"/>
        <v>N/A</v>
      </c>
      <c r="BT1724" t="s">
        <v>135</v>
      </c>
      <c r="BU1724">
        <v>36</v>
      </c>
      <c r="BV1724" t="str">
        <f>"related experience in overhead transmission line design"</f>
        <v>related experience in overhead transmission line design</v>
      </c>
      <c r="BW1724" t="s">
        <v>135</v>
      </c>
      <c r="BX1724" t="str">
        <f>"P.E. license is required."</f>
        <v>P.E. license is required.</v>
      </c>
      <c r="BY1724" t="str">
        <f>""</f>
        <v/>
      </c>
      <c r="BZ1724" t="str">
        <f>""</f>
        <v/>
      </c>
      <c r="CA1724" t="s">
        <v>17703</v>
      </c>
      <c r="CB1724" t="s">
        <v>135</v>
      </c>
      <c r="CC1724" t="s">
        <v>133</v>
      </c>
      <c r="CE1724" t="s">
        <v>12570</v>
      </c>
      <c r="CF1724" t="s">
        <v>131</v>
      </c>
      <c r="CH1724" t="str">
        <f>"N/A"</f>
        <v>N/A</v>
      </c>
      <c r="CI1724" t="s">
        <v>135</v>
      </c>
      <c r="CJ1724">
        <v>60</v>
      </c>
      <c r="CK1724" t="s">
        <v>135</v>
      </c>
      <c r="CL1724" t="str">
        <f>"P.E. license is required.  "</f>
        <v xml:space="preserve">P.E. license is required.  </v>
      </c>
      <c r="CM1724" t="str">
        <f>""</f>
        <v/>
      </c>
      <c r="CN1724" t="str">
        <f>""</f>
        <v/>
      </c>
      <c r="CO1724" t="s">
        <v>17703</v>
      </c>
      <c r="CP1724" t="str">
        <f>"17-2051.00"</f>
        <v>17-2051.00</v>
      </c>
      <c r="CQ1724" t="s">
        <v>787</v>
      </c>
      <c r="CR1724" t="s">
        <v>1400</v>
      </c>
      <c r="CS1724" t="s">
        <v>135</v>
      </c>
      <c r="CT1724" t="s">
        <v>17704</v>
      </c>
      <c r="CU1724" t="s">
        <v>4339</v>
      </c>
      <c r="CV1724" t="s">
        <v>2686</v>
      </c>
      <c r="CW1724" t="s">
        <v>885</v>
      </c>
      <c r="CX1724" t="s">
        <v>400</v>
      </c>
      <c r="CZ1724" s="3" t="str">
        <f>"77027"</f>
        <v>77027</v>
      </c>
      <c r="DA1724" t="s">
        <v>131</v>
      </c>
      <c r="DB1724" t="str">
        <f>""</f>
        <v/>
      </c>
      <c r="DF1724" t="str">
        <f>""</f>
        <v/>
      </c>
    </row>
    <row r="1725" spans="1:110" ht="15" customHeight="1" x14ac:dyDescent="0.35">
      <c r="A1725" t="s">
        <v>12722</v>
      </c>
      <c r="B1725" t="s">
        <v>138</v>
      </c>
      <c r="C1725" s="1">
        <v>44342</v>
      </c>
      <c r="G1725" s="1">
        <v>44343</v>
      </c>
      <c r="H1725" t="s">
        <v>125</v>
      </c>
      <c r="I1725" t="s">
        <v>10052</v>
      </c>
      <c r="J1725" t="s">
        <v>10053</v>
      </c>
      <c r="L1725" t="s">
        <v>223</v>
      </c>
      <c r="M1725" t="s">
        <v>10056</v>
      </c>
      <c r="N1725" t="s">
        <v>10057</v>
      </c>
      <c r="O1725" t="s">
        <v>2424</v>
      </c>
      <c r="P1725" t="s">
        <v>720</v>
      </c>
      <c r="Q1725" s="3">
        <v>2118</v>
      </c>
      <c r="R1725" t="s">
        <v>128</v>
      </c>
      <c r="T1725" s="4">
        <v>16172901899</v>
      </c>
      <c r="V1725" t="s">
        <v>10054</v>
      </c>
      <c r="W1725" t="s">
        <v>10055</v>
      </c>
      <c r="Y1725" t="s">
        <v>12723</v>
      </c>
      <c r="Z1725" t="s">
        <v>10057</v>
      </c>
      <c r="AA1725" t="s">
        <v>2424</v>
      </c>
      <c r="AB1725" t="s">
        <v>377</v>
      </c>
      <c r="AC1725" s="3" t="str">
        <f>"02118"</f>
        <v>02118</v>
      </c>
      <c r="AD1725" t="s">
        <v>128</v>
      </c>
      <c r="AF1725" s="4">
        <v>16172901899</v>
      </c>
      <c r="AH1725" t="str">
        <f>"54169"</f>
        <v>54169</v>
      </c>
      <c r="AI1725" t="s">
        <v>130</v>
      </c>
      <c r="AJ1725" t="s">
        <v>714</v>
      </c>
      <c r="AK1725" t="s">
        <v>10058</v>
      </c>
      <c r="AM1725" t="s">
        <v>8038</v>
      </c>
      <c r="AN1725" t="s">
        <v>362</v>
      </c>
      <c r="AO1725" t="s">
        <v>612</v>
      </c>
      <c r="AP1725" t="s">
        <v>306</v>
      </c>
      <c r="AQ1725" s="5">
        <v>20190</v>
      </c>
      <c r="AR1725" t="s">
        <v>128</v>
      </c>
      <c r="AT1725" s="4">
        <v>17037969898</v>
      </c>
      <c r="AV1725" t="s">
        <v>10059</v>
      </c>
      <c r="AW1725" t="s">
        <v>6595</v>
      </c>
      <c r="AX1725" t="s">
        <v>131</v>
      </c>
      <c r="AY1725" t="s">
        <v>131</v>
      </c>
      <c r="AZ1725" t="s">
        <v>131</v>
      </c>
      <c r="BA1725" t="s">
        <v>131</v>
      </c>
      <c r="BB1725" t="s">
        <v>131</v>
      </c>
      <c r="BC1725" t="s">
        <v>131</v>
      </c>
      <c r="BD1725" t="s">
        <v>131</v>
      </c>
      <c r="BE1725" t="s">
        <v>132</v>
      </c>
      <c r="BH1725" t="s">
        <v>10060</v>
      </c>
      <c r="BI1725" t="s">
        <v>135</v>
      </c>
      <c r="BJ1725" t="s">
        <v>7777</v>
      </c>
      <c r="BK1725" t="s">
        <v>3703</v>
      </c>
      <c r="BL1725" t="s">
        <v>188</v>
      </c>
      <c r="BN1725" t="s">
        <v>12724</v>
      </c>
      <c r="BO1725" t="s">
        <v>131</v>
      </c>
      <c r="BP1725" t="s">
        <v>134</v>
      </c>
      <c r="BQ1725" t="s">
        <v>131</v>
      </c>
      <c r="BS1725" t="str">
        <f t="shared" si="104"/>
        <v>N/A</v>
      </c>
      <c r="BT1725" t="s">
        <v>135</v>
      </c>
      <c r="BU1725">
        <v>24</v>
      </c>
      <c r="BV1725" t="str">
        <f>"Job Offered, Healthcare Consultant or a Related Occupation."</f>
        <v>Job Offered, Healthcare Consultant or a Related Occupation.</v>
      </c>
      <c r="BW1725" t="s">
        <v>135</v>
      </c>
      <c r="BX1725" t="str">
        <f>""</f>
        <v/>
      </c>
      <c r="BY1725" t="str">
        <f>""</f>
        <v/>
      </c>
      <c r="BZ1725" t="str">
        <f>""</f>
        <v/>
      </c>
      <c r="CA1725" t="s">
        <v>10061</v>
      </c>
      <c r="CB1725" t="s">
        <v>131</v>
      </c>
      <c r="CF1725" t="s">
        <v>131</v>
      </c>
      <c r="CH1725" t="str">
        <f>""</f>
        <v/>
      </c>
      <c r="CI1725" t="s">
        <v>131</v>
      </c>
      <c r="CK1725" t="s">
        <v>131</v>
      </c>
      <c r="CL1725" t="str">
        <f>""</f>
        <v/>
      </c>
      <c r="CM1725" t="str">
        <f>""</f>
        <v/>
      </c>
      <c r="CN1725" t="str">
        <f>""</f>
        <v/>
      </c>
      <c r="CO1725" t="str">
        <f>""</f>
        <v/>
      </c>
      <c r="CP1725" t="str">
        <f>"19-1029.01"</f>
        <v>19-1029.01</v>
      </c>
      <c r="CQ1725" t="s">
        <v>3703</v>
      </c>
      <c r="CR1725" t="s">
        <v>395</v>
      </c>
      <c r="CS1725" t="s">
        <v>135</v>
      </c>
      <c r="CT1725" t="s">
        <v>12725</v>
      </c>
      <c r="CU1725" t="s">
        <v>12726</v>
      </c>
      <c r="CV1725" t="s">
        <v>12725</v>
      </c>
      <c r="CW1725" t="s">
        <v>376</v>
      </c>
      <c r="CX1725" t="s">
        <v>377</v>
      </c>
      <c r="CZ1725" s="3" t="str">
        <f>"02118"</f>
        <v>02118</v>
      </c>
      <c r="DA1725" t="s">
        <v>131</v>
      </c>
      <c r="DB1725" t="str">
        <f>""</f>
        <v/>
      </c>
      <c r="DF1725" t="str">
        <f>""</f>
        <v/>
      </c>
    </row>
    <row r="1726" spans="1:110" ht="15" customHeight="1" x14ac:dyDescent="0.35">
      <c r="A1726" t="s">
        <v>19391</v>
      </c>
      <c r="B1726" t="s">
        <v>138</v>
      </c>
      <c r="C1726" s="1">
        <v>44342</v>
      </c>
      <c r="G1726" s="1">
        <v>44342</v>
      </c>
      <c r="H1726" t="s">
        <v>125</v>
      </c>
      <c r="I1726" t="s">
        <v>13053</v>
      </c>
      <c r="J1726" t="s">
        <v>6824</v>
      </c>
      <c r="L1726" t="s">
        <v>6825</v>
      </c>
      <c r="M1726" t="s">
        <v>4603</v>
      </c>
      <c r="O1726" t="s">
        <v>709</v>
      </c>
      <c r="P1726" t="s">
        <v>178</v>
      </c>
      <c r="Q1726" s="3">
        <v>94043</v>
      </c>
      <c r="R1726" t="s">
        <v>128</v>
      </c>
      <c r="T1726" s="4">
        <v>16509446000</v>
      </c>
      <c r="V1726" t="s">
        <v>19392</v>
      </c>
      <c r="W1726" t="s">
        <v>4604</v>
      </c>
      <c r="X1726" t="s">
        <v>134</v>
      </c>
      <c r="Y1726" t="s">
        <v>4603</v>
      </c>
      <c r="AA1726" t="s">
        <v>709</v>
      </c>
      <c r="AB1726" t="s">
        <v>172</v>
      </c>
      <c r="AC1726" s="3" t="str">
        <f>"94043"</f>
        <v>94043</v>
      </c>
      <c r="AD1726" t="s">
        <v>128</v>
      </c>
      <c r="AF1726" s="4">
        <v>16509446000</v>
      </c>
      <c r="AH1726" t="str">
        <f>"541512"</f>
        <v>541512</v>
      </c>
      <c r="AI1726" t="s">
        <v>130</v>
      </c>
      <c r="AJ1726" t="s">
        <v>11733</v>
      </c>
      <c r="AK1726" t="s">
        <v>4605</v>
      </c>
      <c r="AL1726" t="s">
        <v>4606</v>
      </c>
      <c r="AM1726" t="s">
        <v>4489</v>
      </c>
      <c r="AN1726" t="s">
        <v>619</v>
      </c>
      <c r="AO1726" t="s">
        <v>650</v>
      </c>
      <c r="AP1726" t="s">
        <v>172</v>
      </c>
      <c r="AQ1726" s="5">
        <v>95054</v>
      </c>
      <c r="AR1726" t="s">
        <v>128</v>
      </c>
      <c r="AT1726" s="4">
        <v>14153981800</v>
      </c>
      <c r="AV1726" t="s">
        <v>4607</v>
      </c>
      <c r="AW1726" t="s">
        <v>366</v>
      </c>
      <c r="AX1726" t="s">
        <v>131</v>
      </c>
      <c r="AY1726" t="s">
        <v>131</v>
      </c>
      <c r="AZ1726" t="s">
        <v>131</v>
      </c>
      <c r="BA1726" t="s">
        <v>131</v>
      </c>
      <c r="BB1726" t="s">
        <v>131</v>
      </c>
      <c r="BC1726" t="s">
        <v>131</v>
      </c>
      <c r="BD1726" t="s">
        <v>131</v>
      </c>
      <c r="BE1726" t="s">
        <v>160</v>
      </c>
      <c r="BF1726" t="s">
        <v>863</v>
      </c>
      <c r="BG1726" s="1">
        <v>44331</v>
      </c>
      <c r="BH1726" t="s">
        <v>19393</v>
      </c>
      <c r="BI1726" t="s">
        <v>131</v>
      </c>
      <c r="BL1726" t="s">
        <v>188</v>
      </c>
      <c r="BN1726" t="s">
        <v>8064</v>
      </c>
      <c r="BO1726" t="s">
        <v>131</v>
      </c>
      <c r="BP1726" t="s">
        <v>134</v>
      </c>
      <c r="BQ1726" t="s">
        <v>131</v>
      </c>
      <c r="BS1726" t="str">
        <f t="shared" si="104"/>
        <v>N/A</v>
      </c>
      <c r="BT1726" t="s">
        <v>135</v>
      </c>
      <c r="BU1726">
        <v>36</v>
      </c>
      <c r="BV1726" t="str">
        <f>"Please see F.b.5"</f>
        <v>Please see F.b.5</v>
      </c>
      <c r="BW1726" t="s">
        <v>135</v>
      </c>
      <c r="BX1726" t="str">
        <f>""</f>
        <v/>
      </c>
      <c r="BY1726" t="str">
        <f>""</f>
        <v/>
      </c>
      <c r="BZ1726" t="str">
        <f>""</f>
        <v/>
      </c>
      <c r="CA1726" s="2" t="s">
        <v>19394</v>
      </c>
      <c r="CB1726" t="s">
        <v>131</v>
      </c>
      <c r="CF1726" t="s">
        <v>131</v>
      </c>
      <c r="CH1726" t="str">
        <f>""</f>
        <v/>
      </c>
      <c r="CI1726" t="s">
        <v>131</v>
      </c>
      <c r="CK1726" t="s">
        <v>131</v>
      </c>
      <c r="CL1726" t="str">
        <f>""</f>
        <v/>
      </c>
      <c r="CM1726" t="str">
        <f>""</f>
        <v/>
      </c>
      <c r="CN1726" t="str">
        <f>""</f>
        <v/>
      </c>
      <c r="CO1726" t="str">
        <f>""</f>
        <v/>
      </c>
      <c r="CP1726" t="str">
        <f>"11-3021.00"</f>
        <v>11-3021.00</v>
      </c>
      <c r="CQ1726" t="s">
        <v>598</v>
      </c>
      <c r="CR1726" t="s">
        <v>460</v>
      </c>
      <c r="CS1726" t="s">
        <v>131</v>
      </c>
      <c r="CU1726" t="s">
        <v>4603</v>
      </c>
      <c r="CW1726" t="s">
        <v>709</v>
      </c>
      <c r="CX1726" t="s">
        <v>172</v>
      </c>
      <c r="CZ1726" s="3" t="str">
        <f>"94043"</f>
        <v>94043</v>
      </c>
      <c r="DA1726" t="s">
        <v>131</v>
      </c>
      <c r="DB1726" t="str">
        <f>""</f>
        <v/>
      </c>
      <c r="DF1726" t="str">
        <f>""</f>
        <v/>
      </c>
    </row>
    <row r="1727" spans="1:110" ht="15" customHeight="1" x14ac:dyDescent="0.35">
      <c r="A1727" t="s">
        <v>16253</v>
      </c>
      <c r="B1727" t="s">
        <v>138</v>
      </c>
      <c r="C1727" s="1">
        <v>44342</v>
      </c>
      <c r="G1727" s="1">
        <v>44343</v>
      </c>
      <c r="H1727" t="s">
        <v>125</v>
      </c>
      <c r="I1727" t="s">
        <v>4699</v>
      </c>
      <c r="J1727" t="s">
        <v>4700</v>
      </c>
      <c r="L1727" t="s">
        <v>2223</v>
      </c>
      <c r="M1727" t="s">
        <v>16254</v>
      </c>
      <c r="O1727" t="s">
        <v>3497</v>
      </c>
      <c r="P1727" t="s">
        <v>273</v>
      </c>
      <c r="Q1727" s="3">
        <v>8816</v>
      </c>
      <c r="R1727" t="s">
        <v>128</v>
      </c>
      <c r="T1727" s="4">
        <v>17184879837</v>
      </c>
      <c r="V1727" t="s">
        <v>4702</v>
      </c>
      <c r="W1727" t="s">
        <v>4703</v>
      </c>
      <c r="Y1727" t="s">
        <v>4704</v>
      </c>
      <c r="AA1727" t="s">
        <v>3497</v>
      </c>
      <c r="AB1727" t="s">
        <v>276</v>
      </c>
      <c r="AC1727" s="3" t="str">
        <f>"08816"</f>
        <v>08816</v>
      </c>
      <c r="AD1727" t="s">
        <v>128</v>
      </c>
      <c r="AF1727" s="4">
        <v>17184879837</v>
      </c>
      <c r="AG1727">
        <v>101</v>
      </c>
      <c r="AH1727" t="str">
        <f>"541"</f>
        <v>541</v>
      </c>
      <c r="AI1727" t="s">
        <v>130</v>
      </c>
      <c r="AJ1727" t="s">
        <v>4705</v>
      </c>
      <c r="AK1727" t="s">
        <v>16255</v>
      </c>
      <c r="AM1727" t="s">
        <v>4707</v>
      </c>
      <c r="AN1727" t="s">
        <v>4708</v>
      </c>
      <c r="AO1727" t="s">
        <v>494</v>
      </c>
      <c r="AP1727" t="s">
        <v>129</v>
      </c>
      <c r="AQ1727" s="5">
        <v>10001</v>
      </c>
      <c r="AR1727" t="s">
        <v>128</v>
      </c>
      <c r="AT1727" s="4">
        <v>12125946657</v>
      </c>
      <c r="AV1727" t="s">
        <v>4709</v>
      </c>
      <c r="AW1727" t="s">
        <v>4710</v>
      </c>
      <c r="AX1727" t="s">
        <v>131</v>
      </c>
      <c r="AY1727" t="s">
        <v>131</v>
      </c>
      <c r="AZ1727" t="s">
        <v>131</v>
      </c>
      <c r="BA1727" t="s">
        <v>131</v>
      </c>
      <c r="BB1727" t="s">
        <v>131</v>
      </c>
      <c r="BC1727" t="s">
        <v>131</v>
      </c>
      <c r="BD1727" t="s">
        <v>131</v>
      </c>
      <c r="BE1727" t="s">
        <v>132</v>
      </c>
      <c r="BH1727" t="s">
        <v>8212</v>
      </c>
      <c r="BI1727" t="s">
        <v>131</v>
      </c>
      <c r="BL1727" t="s">
        <v>188</v>
      </c>
      <c r="BN1727" t="s">
        <v>16256</v>
      </c>
      <c r="BO1727" t="s">
        <v>131</v>
      </c>
      <c r="BP1727" t="s">
        <v>134</v>
      </c>
      <c r="BQ1727" t="s">
        <v>131</v>
      </c>
      <c r="BS1727" t="str">
        <f t="shared" si="104"/>
        <v>N/A</v>
      </c>
      <c r="BT1727" t="s">
        <v>135</v>
      </c>
      <c r="BU1727">
        <v>12</v>
      </c>
      <c r="BV1727" t="str">
        <f>"Clinical Research Associate or Functional Informaticist "</f>
        <v xml:space="preserve">Clinical Research Associate or Functional Informaticist </v>
      </c>
      <c r="BW1727" t="s">
        <v>135</v>
      </c>
      <c r="BX1727" t="str">
        <f>""</f>
        <v/>
      </c>
      <c r="BY1727" t="str">
        <f>""</f>
        <v/>
      </c>
      <c r="BZ1727" t="str">
        <f>""</f>
        <v/>
      </c>
      <c r="CA1727" s="2" t="s">
        <v>8213</v>
      </c>
      <c r="CB1727" t="s">
        <v>135</v>
      </c>
      <c r="CC1727" t="s">
        <v>133</v>
      </c>
      <c r="CE1727" t="s">
        <v>16256</v>
      </c>
      <c r="CF1727" t="s">
        <v>131</v>
      </c>
      <c r="CH1727" t="str">
        <f>"N/A"</f>
        <v>N/A</v>
      </c>
      <c r="CI1727" t="s">
        <v>135</v>
      </c>
      <c r="CJ1727">
        <v>60</v>
      </c>
      <c r="CK1727" t="s">
        <v>135</v>
      </c>
      <c r="CL1727" t="str">
        <f>""</f>
        <v/>
      </c>
      <c r="CM1727" t="str">
        <f>""</f>
        <v/>
      </c>
      <c r="CN1727" t="str">
        <f>""</f>
        <v/>
      </c>
      <c r="CO1727" s="2" t="s">
        <v>8213</v>
      </c>
      <c r="CP1727" t="str">
        <f>"15-2041.02"</f>
        <v>15-2041.02</v>
      </c>
      <c r="CQ1727" t="s">
        <v>6483</v>
      </c>
      <c r="CR1727" t="s">
        <v>2223</v>
      </c>
      <c r="CS1727" t="s">
        <v>135</v>
      </c>
      <c r="CT1727" s="2" t="s">
        <v>4713</v>
      </c>
      <c r="CU1727" t="s">
        <v>4701</v>
      </c>
      <c r="CV1727" t="s">
        <v>16257</v>
      </c>
      <c r="CW1727" t="s">
        <v>16258</v>
      </c>
      <c r="CX1727" t="s">
        <v>276</v>
      </c>
      <c r="CZ1727" s="3" t="str">
        <f>"08816"</f>
        <v>08816</v>
      </c>
      <c r="DA1727" t="s">
        <v>135</v>
      </c>
      <c r="DB1727" t="str">
        <f>""</f>
        <v/>
      </c>
      <c r="DF1727" t="str">
        <f>""</f>
        <v/>
      </c>
    </row>
    <row r="1728" spans="1:110" ht="15" customHeight="1" x14ac:dyDescent="0.35">
      <c r="A1728" t="s">
        <v>11736</v>
      </c>
      <c r="B1728" t="s">
        <v>138</v>
      </c>
      <c r="C1728" s="1">
        <v>44342</v>
      </c>
      <c r="G1728" s="1">
        <v>44342</v>
      </c>
      <c r="H1728" t="s">
        <v>125</v>
      </c>
      <c r="I1728" t="s">
        <v>368</v>
      </c>
      <c r="J1728" t="s">
        <v>369</v>
      </c>
      <c r="K1728" t="s">
        <v>134</v>
      </c>
      <c r="L1728" t="s">
        <v>722</v>
      </c>
      <c r="M1728" t="s">
        <v>990</v>
      </c>
      <c r="O1728" t="s">
        <v>964</v>
      </c>
      <c r="P1728" t="s">
        <v>144</v>
      </c>
      <c r="Q1728" s="3">
        <v>98121</v>
      </c>
      <c r="R1728" t="s">
        <v>128</v>
      </c>
      <c r="T1728" s="4">
        <v>12062661000</v>
      </c>
      <c r="V1728" t="s">
        <v>372</v>
      </c>
      <c r="W1728" t="s">
        <v>723</v>
      </c>
      <c r="Y1728" t="s">
        <v>6460</v>
      </c>
      <c r="AA1728" t="s">
        <v>964</v>
      </c>
      <c r="AB1728" t="s">
        <v>149</v>
      </c>
      <c r="AC1728" s="3" t="str">
        <f>"98121"</f>
        <v>98121</v>
      </c>
      <c r="AD1728" t="s">
        <v>128</v>
      </c>
      <c r="AF1728" s="4">
        <v>12062661000</v>
      </c>
      <c r="AH1728" t="str">
        <f>"45411"</f>
        <v>45411</v>
      </c>
      <c r="AI1728" t="s">
        <v>130</v>
      </c>
      <c r="AJ1728" t="s">
        <v>4749</v>
      </c>
      <c r="AK1728" t="s">
        <v>11737</v>
      </c>
      <c r="AM1728" t="s">
        <v>475</v>
      </c>
      <c r="AN1728" t="s">
        <v>439</v>
      </c>
      <c r="AO1728" t="s">
        <v>476</v>
      </c>
      <c r="AP1728" t="s">
        <v>172</v>
      </c>
      <c r="AQ1728" s="5">
        <v>90071</v>
      </c>
      <c r="AR1728" t="s">
        <v>128</v>
      </c>
      <c r="AT1728" s="4">
        <v>13108203322</v>
      </c>
      <c r="AV1728" t="s">
        <v>372</v>
      </c>
      <c r="AW1728" t="s">
        <v>378</v>
      </c>
      <c r="AX1728" t="s">
        <v>131</v>
      </c>
      <c r="AY1728" t="s">
        <v>131</v>
      </c>
      <c r="AZ1728" t="s">
        <v>131</v>
      </c>
      <c r="BA1728" t="s">
        <v>131</v>
      </c>
      <c r="BB1728" t="s">
        <v>131</v>
      </c>
      <c r="BC1728" t="s">
        <v>131</v>
      </c>
      <c r="BD1728" t="s">
        <v>131</v>
      </c>
      <c r="BE1728" t="s">
        <v>132</v>
      </c>
      <c r="BH1728" t="s">
        <v>5890</v>
      </c>
      <c r="BI1728" t="s">
        <v>131</v>
      </c>
      <c r="BL1728" t="s">
        <v>188</v>
      </c>
      <c r="BN1728" t="s">
        <v>724</v>
      </c>
      <c r="BO1728" t="s">
        <v>131</v>
      </c>
      <c r="BP1728" t="s">
        <v>134</v>
      </c>
      <c r="BQ1728" t="s">
        <v>131</v>
      </c>
      <c r="BS1728" t="str">
        <f t="shared" si="104"/>
        <v>N/A</v>
      </c>
      <c r="BT1728" t="s">
        <v>135</v>
      </c>
      <c r="BU1728">
        <v>12</v>
      </c>
      <c r="BV1728" t="str">
        <f>"See F.b.5.a(IV)"</f>
        <v>See F.b.5.a(IV)</v>
      </c>
      <c r="BW1728" t="s">
        <v>135</v>
      </c>
      <c r="BX1728" t="str">
        <f>""</f>
        <v/>
      </c>
      <c r="BY1728" t="str">
        <f>""</f>
        <v/>
      </c>
      <c r="BZ1728" t="str">
        <f>""</f>
        <v/>
      </c>
      <c r="CA1728" t="s">
        <v>8639</v>
      </c>
      <c r="CB1728" t="s">
        <v>135</v>
      </c>
      <c r="CC1728" t="s">
        <v>133</v>
      </c>
      <c r="CE1728" t="s">
        <v>724</v>
      </c>
      <c r="CF1728" t="s">
        <v>131</v>
      </c>
      <c r="CH1728" t="str">
        <f>"N/A"</f>
        <v>N/A</v>
      </c>
      <c r="CI1728" t="s">
        <v>135</v>
      </c>
      <c r="CJ1728">
        <v>60</v>
      </c>
      <c r="CK1728" t="s">
        <v>135</v>
      </c>
      <c r="CL1728" t="str">
        <f>""</f>
        <v/>
      </c>
      <c r="CM1728" t="str">
        <f>""</f>
        <v/>
      </c>
      <c r="CN1728" t="str">
        <f>""</f>
        <v/>
      </c>
      <c r="CO1728" t="s">
        <v>8639</v>
      </c>
      <c r="CP1728" t="str">
        <f>"17-2061.00"</f>
        <v>17-2061.00</v>
      </c>
      <c r="CQ1728" t="s">
        <v>4314</v>
      </c>
      <c r="CS1728" t="s">
        <v>135</v>
      </c>
      <c r="CT1728" t="s">
        <v>8640</v>
      </c>
      <c r="CU1728" t="s">
        <v>8641</v>
      </c>
      <c r="CW1728" t="s">
        <v>1506</v>
      </c>
      <c r="CX1728" t="s">
        <v>172</v>
      </c>
      <c r="CZ1728" s="3" t="str">
        <f>"94089"</f>
        <v>94089</v>
      </c>
      <c r="DA1728" t="s">
        <v>131</v>
      </c>
      <c r="DB1728" t="str">
        <f>""</f>
        <v/>
      </c>
      <c r="DF1728" t="str">
        <f>""</f>
        <v/>
      </c>
    </row>
    <row r="1729" spans="1:110" ht="15" customHeight="1" x14ac:dyDescent="0.35">
      <c r="A1729" t="s">
        <v>16387</v>
      </c>
      <c r="B1729" t="s">
        <v>138</v>
      </c>
      <c r="C1729" s="1">
        <v>44343</v>
      </c>
      <c r="G1729" s="1">
        <v>44355</v>
      </c>
      <c r="H1729" t="s">
        <v>125</v>
      </c>
      <c r="I1729" t="s">
        <v>4532</v>
      </c>
      <c r="J1729" t="s">
        <v>4533</v>
      </c>
      <c r="L1729" t="s">
        <v>4534</v>
      </c>
      <c r="M1729" t="s">
        <v>1347</v>
      </c>
      <c r="O1729" t="s">
        <v>1348</v>
      </c>
      <c r="P1729" t="s">
        <v>539</v>
      </c>
      <c r="Q1729" s="3">
        <v>60015</v>
      </c>
      <c r="R1729" t="s">
        <v>128</v>
      </c>
      <c r="T1729" s="4">
        <v>12244053726</v>
      </c>
      <c r="V1729" t="s">
        <v>4535</v>
      </c>
      <c r="W1729" t="s">
        <v>1350</v>
      </c>
      <c r="Y1729" t="s">
        <v>1351</v>
      </c>
      <c r="AA1729" t="s">
        <v>1348</v>
      </c>
      <c r="AB1729" t="s">
        <v>263</v>
      </c>
      <c r="AC1729" s="3" t="str">
        <f>"60015"</f>
        <v>60015</v>
      </c>
      <c r="AD1729" t="s">
        <v>128</v>
      </c>
      <c r="AF1729" s="4">
        <v>12244053726</v>
      </c>
      <c r="AG1729">
        <v>0</v>
      </c>
      <c r="AH1729" t="str">
        <f>"522210"</f>
        <v>522210</v>
      </c>
      <c r="AI1729" t="s">
        <v>130</v>
      </c>
      <c r="AJ1729" t="s">
        <v>1352</v>
      </c>
      <c r="AK1729" t="s">
        <v>260</v>
      </c>
      <c r="AM1729" t="s">
        <v>493</v>
      </c>
      <c r="AO1729" t="s">
        <v>494</v>
      </c>
      <c r="AP1729" t="s">
        <v>129</v>
      </c>
      <c r="AQ1729" s="5">
        <v>10018</v>
      </c>
      <c r="AR1729" t="s">
        <v>128</v>
      </c>
      <c r="AT1729" s="4">
        <v>12126888555</v>
      </c>
      <c r="AV1729" t="s">
        <v>1353</v>
      </c>
      <c r="AW1729" t="s">
        <v>386</v>
      </c>
      <c r="AX1729" t="s">
        <v>131</v>
      </c>
      <c r="AY1729" t="s">
        <v>131</v>
      </c>
      <c r="AZ1729" t="s">
        <v>131</v>
      </c>
      <c r="BA1729" t="s">
        <v>131</v>
      </c>
      <c r="BB1729" t="s">
        <v>131</v>
      </c>
      <c r="BC1729" t="s">
        <v>131</v>
      </c>
      <c r="BD1729" t="s">
        <v>131</v>
      </c>
      <c r="BE1729" t="s">
        <v>132</v>
      </c>
      <c r="BH1729" t="s">
        <v>1354</v>
      </c>
      <c r="BI1729" t="s">
        <v>131</v>
      </c>
      <c r="BL1729" t="s">
        <v>133</v>
      </c>
      <c r="BN1729" t="s">
        <v>13016</v>
      </c>
      <c r="BO1729" t="s">
        <v>131</v>
      </c>
      <c r="BP1729" t="s">
        <v>134</v>
      </c>
      <c r="BQ1729" t="s">
        <v>131</v>
      </c>
      <c r="BS1729" t="str">
        <f t="shared" si="104"/>
        <v>N/A</v>
      </c>
      <c r="BT1729" t="s">
        <v>135</v>
      </c>
      <c r="BU1729">
        <v>48</v>
      </c>
      <c r="BV1729" t="str">
        <f>"Software Developer; Data Science Intern or related."</f>
        <v>Software Developer; Data Science Intern or related.</v>
      </c>
      <c r="BW1729" t="s">
        <v>135</v>
      </c>
      <c r="BX1729" t="str">
        <f>""</f>
        <v/>
      </c>
      <c r="BY1729" t="str">
        <f>""</f>
        <v/>
      </c>
      <c r="BZ1729" t="str">
        <f>""</f>
        <v/>
      </c>
      <c r="CA1729" t="s">
        <v>1356</v>
      </c>
      <c r="CB1729" t="s">
        <v>135</v>
      </c>
      <c r="CC1729" t="s">
        <v>188</v>
      </c>
      <c r="CE1729" t="s">
        <v>13016</v>
      </c>
      <c r="CF1729" t="s">
        <v>131</v>
      </c>
      <c r="CH1729" t="str">
        <f>"N/A"</f>
        <v>N/A</v>
      </c>
      <c r="CI1729" t="s">
        <v>135</v>
      </c>
      <c r="CJ1729">
        <v>24</v>
      </c>
      <c r="CK1729" t="s">
        <v>135</v>
      </c>
      <c r="CL1729" t="str">
        <f>""</f>
        <v/>
      </c>
      <c r="CM1729" t="str">
        <f>""</f>
        <v/>
      </c>
      <c r="CN1729" t="str">
        <f>""</f>
        <v/>
      </c>
      <c r="CO1729" t="s">
        <v>1357</v>
      </c>
      <c r="CP1729" t="str">
        <f>"15-2041.00"</f>
        <v>15-2041.00</v>
      </c>
      <c r="CQ1729" t="s">
        <v>379</v>
      </c>
      <c r="CR1729" t="s">
        <v>1358</v>
      </c>
      <c r="CS1729" t="s">
        <v>131</v>
      </c>
      <c r="CU1729" t="s">
        <v>1347</v>
      </c>
      <c r="CW1729" t="s">
        <v>1348</v>
      </c>
      <c r="CX1729" t="s">
        <v>263</v>
      </c>
      <c r="CZ1729" s="3" t="str">
        <f>"60015"</f>
        <v>60015</v>
      </c>
      <c r="DA1729" t="s">
        <v>131</v>
      </c>
      <c r="DB1729" t="str">
        <f>""</f>
        <v/>
      </c>
      <c r="DF1729" t="str">
        <f>""</f>
        <v/>
      </c>
    </row>
    <row r="1730" spans="1:110" ht="15" customHeight="1" x14ac:dyDescent="0.35">
      <c r="A1730" t="s">
        <v>19676</v>
      </c>
      <c r="B1730" t="s">
        <v>138</v>
      </c>
      <c r="C1730" s="1">
        <v>44343</v>
      </c>
      <c r="G1730" s="1">
        <v>44355</v>
      </c>
      <c r="H1730" t="s">
        <v>125</v>
      </c>
      <c r="I1730" t="s">
        <v>4532</v>
      </c>
      <c r="J1730" t="s">
        <v>4533</v>
      </c>
      <c r="L1730" t="s">
        <v>4534</v>
      </c>
      <c r="M1730" t="s">
        <v>1347</v>
      </c>
      <c r="O1730" t="s">
        <v>1348</v>
      </c>
      <c r="P1730" t="s">
        <v>539</v>
      </c>
      <c r="Q1730" s="3">
        <v>60015</v>
      </c>
      <c r="R1730" t="s">
        <v>128</v>
      </c>
      <c r="T1730" s="4">
        <v>12244053726</v>
      </c>
      <c r="V1730" t="s">
        <v>4535</v>
      </c>
      <c r="W1730" t="s">
        <v>4536</v>
      </c>
      <c r="Y1730" t="s">
        <v>1351</v>
      </c>
      <c r="AA1730" t="s">
        <v>1348</v>
      </c>
      <c r="AB1730" t="s">
        <v>263</v>
      </c>
      <c r="AC1730" s="3" t="str">
        <f>"60015"</f>
        <v>60015</v>
      </c>
      <c r="AD1730" t="s">
        <v>128</v>
      </c>
      <c r="AF1730" s="4">
        <v>12244053726</v>
      </c>
      <c r="AG1730">
        <v>0</v>
      </c>
      <c r="AH1730" t="str">
        <f>"522291"</f>
        <v>522291</v>
      </c>
      <c r="AI1730" t="s">
        <v>130</v>
      </c>
      <c r="AJ1730" t="s">
        <v>1352</v>
      </c>
      <c r="AK1730" t="s">
        <v>260</v>
      </c>
      <c r="AM1730" t="s">
        <v>493</v>
      </c>
      <c r="AO1730" t="s">
        <v>494</v>
      </c>
      <c r="AP1730" t="s">
        <v>129</v>
      </c>
      <c r="AQ1730" s="5">
        <v>10018</v>
      </c>
      <c r="AR1730" t="s">
        <v>128</v>
      </c>
      <c r="AT1730" s="4">
        <v>12126888555</v>
      </c>
      <c r="AV1730" t="s">
        <v>1353</v>
      </c>
      <c r="AW1730" t="s">
        <v>386</v>
      </c>
      <c r="AX1730" t="s">
        <v>131</v>
      </c>
      <c r="AY1730" t="s">
        <v>131</v>
      </c>
      <c r="AZ1730" t="s">
        <v>131</v>
      </c>
      <c r="BA1730" t="s">
        <v>131</v>
      </c>
      <c r="BB1730" t="s">
        <v>131</v>
      </c>
      <c r="BC1730" t="s">
        <v>131</v>
      </c>
      <c r="BD1730" t="s">
        <v>131</v>
      </c>
      <c r="BE1730" t="s">
        <v>132</v>
      </c>
      <c r="BH1730" t="s">
        <v>5226</v>
      </c>
      <c r="BI1730" t="s">
        <v>131</v>
      </c>
      <c r="BL1730" t="s">
        <v>133</v>
      </c>
      <c r="BN1730" t="s">
        <v>17105</v>
      </c>
      <c r="BO1730" t="s">
        <v>131</v>
      </c>
      <c r="BP1730" t="s">
        <v>134</v>
      </c>
      <c r="BQ1730" t="s">
        <v>131</v>
      </c>
      <c r="BS1730" t="str">
        <f t="shared" si="104"/>
        <v>N/A</v>
      </c>
      <c r="BT1730" t="s">
        <v>135</v>
      </c>
      <c r="BU1730">
        <v>72</v>
      </c>
      <c r="BV1730" t="str">
        <f>"Consultant or related."</f>
        <v>Consultant or related.</v>
      </c>
      <c r="BW1730" t="s">
        <v>135</v>
      </c>
      <c r="BX1730" t="str">
        <f>""</f>
        <v/>
      </c>
      <c r="BY1730" t="str">
        <f>""</f>
        <v/>
      </c>
      <c r="BZ1730" t="str">
        <f>""</f>
        <v/>
      </c>
      <c r="CA1730" t="s">
        <v>5227</v>
      </c>
      <c r="CB1730" t="s">
        <v>135</v>
      </c>
      <c r="CC1730" t="s">
        <v>133</v>
      </c>
      <c r="CE1730" t="s">
        <v>17105</v>
      </c>
      <c r="CF1730" t="s">
        <v>131</v>
      </c>
      <c r="CH1730" t="str">
        <f>"N/A"</f>
        <v>N/A</v>
      </c>
      <c r="CI1730" t="s">
        <v>135</v>
      </c>
      <c r="CJ1730">
        <v>12</v>
      </c>
      <c r="CK1730" t="s">
        <v>135</v>
      </c>
      <c r="CL1730" t="str">
        <f>""</f>
        <v/>
      </c>
      <c r="CM1730" t="str">
        <f>""</f>
        <v/>
      </c>
      <c r="CN1730" t="str">
        <f>""</f>
        <v/>
      </c>
      <c r="CO1730" t="str">
        <f>"One (1) year of information technology experience to satisfy the educational requirement."</f>
        <v>One (1) year of information technology experience to satisfy the educational requirement.</v>
      </c>
      <c r="CP1730" t="str">
        <f>"15-1132.00"</f>
        <v>15-1132.00</v>
      </c>
      <c r="CQ1730" t="s">
        <v>198</v>
      </c>
      <c r="CR1730" t="s">
        <v>5228</v>
      </c>
      <c r="CS1730" t="s">
        <v>131</v>
      </c>
      <c r="CU1730" t="s">
        <v>1347</v>
      </c>
      <c r="CW1730" t="s">
        <v>1348</v>
      </c>
      <c r="CX1730" t="s">
        <v>263</v>
      </c>
      <c r="CZ1730" s="3" t="str">
        <f>"60015"</f>
        <v>60015</v>
      </c>
      <c r="DA1730" t="s">
        <v>131</v>
      </c>
      <c r="DB1730" t="str">
        <f>""</f>
        <v/>
      </c>
      <c r="DF1730" t="str">
        <f>""</f>
        <v/>
      </c>
    </row>
    <row r="1731" spans="1:110" ht="15" customHeight="1" x14ac:dyDescent="0.35">
      <c r="A1731" t="s">
        <v>18123</v>
      </c>
      <c r="B1731" t="s">
        <v>138</v>
      </c>
      <c r="C1731" s="1">
        <v>44343</v>
      </c>
      <c r="G1731" s="1">
        <v>44357</v>
      </c>
      <c r="H1731" t="s">
        <v>125</v>
      </c>
      <c r="I1731" t="s">
        <v>18124</v>
      </c>
      <c r="J1731" t="s">
        <v>18125</v>
      </c>
      <c r="L1731" t="s">
        <v>392</v>
      </c>
      <c r="M1731" t="s">
        <v>18126</v>
      </c>
      <c r="O1731" t="s">
        <v>18127</v>
      </c>
      <c r="P1731" t="s">
        <v>412</v>
      </c>
      <c r="Q1731" s="3">
        <v>76310</v>
      </c>
      <c r="R1731" t="s">
        <v>128</v>
      </c>
      <c r="S1731" t="s">
        <v>134</v>
      </c>
      <c r="T1731" s="4">
        <v>19406899664</v>
      </c>
      <c r="V1731" t="s">
        <v>18128</v>
      </c>
      <c r="W1731" t="s">
        <v>18129</v>
      </c>
      <c r="X1731" t="s">
        <v>134</v>
      </c>
      <c r="Y1731" t="s">
        <v>18126</v>
      </c>
      <c r="AA1731" t="s">
        <v>18127</v>
      </c>
      <c r="AB1731" t="s">
        <v>400</v>
      </c>
      <c r="AC1731" s="3" t="str">
        <f>"76310"</f>
        <v>76310</v>
      </c>
      <c r="AD1731" t="s">
        <v>128</v>
      </c>
      <c r="AE1731" t="s">
        <v>134</v>
      </c>
      <c r="AF1731" s="4">
        <v>19406899664</v>
      </c>
      <c r="AH1731" t="str">
        <f>"621111"</f>
        <v>621111</v>
      </c>
      <c r="AI1731" t="s">
        <v>130</v>
      </c>
      <c r="AJ1731" t="s">
        <v>17234</v>
      </c>
      <c r="AK1731" t="s">
        <v>17235</v>
      </c>
      <c r="AL1731" t="s">
        <v>134</v>
      </c>
      <c r="AM1731" t="s">
        <v>17236</v>
      </c>
      <c r="AN1731" t="s">
        <v>5469</v>
      </c>
      <c r="AO1731" t="s">
        <v>2955</v>
      </c>
      <c r="AP1731" t="s">
        <v>643</v>
      </c>
      <c r="AQ1731" s="5">
        <v>30093</v>
      </c>
      <c r="AR1731" t="s">
        <v>128</v>
      </c>
      <c r="AT1731" s="4">
        <v>16783800698</v>
      </c>
      <c r="AV1731" t="s">
        <v>17237</v>
      </c>
      <c r="AW1731" t="s">
        <v>17238</v>
      </c>
      <c r="AX1731" t="s">
        <v>131</v>
      </c>
      <c r="AY1731" t="s">
        <v>131</v>
      </c>
      <c r="AZ1731" t="s">
        <v>131</v>
      </c>
      <c r="BA1731" t="s">
        <v>131</v>
      </c>
      <c r="BB1731" t="s">
        <v>131</v>
      </c>
      <c r="BC1731" t="s">
        <v>131</v>
      </c>
      <c r="BD1731" t="s">
        <v>131</v>
      </c>
      <c r="BE1731" t="s">
        <v>498</v>
      </c>
      <c r="BH1731" t="s">
        <v>18130</v>
      </c>
      <c r="BI1731" t="s">
        <v>131</v>
      </c>
      <c r="BL1731" t="s">
        <v>188</v>
      </c>
      <c r="BN1731" t="s">
        <v>18131</v>
      </c>
      <c r="BO1731" t="s">
        <v>131</v>
      </c>
      <c r="BP1731" t="s">
        <v>134</v>
      </c>
      <c r="BQ1731" t="s">
        <v>131</v>
      </c>
      <c r="BS1731" t="str">
        <f t="shared" si="104"/>
        <v>N/A</v>
      </c>
      <c r="BT1731" t="s">
        <v>135</v>
      </c>
      <c r="BU1731">
        <v>6</v>
      </c>
      <c r="BV1731" t="str">
        <f>"RELATED OCCUPATIONS"</f>
        <v>RELATED OCCUPATIONS</v>
      </c>
      <c r="BW1731" t="s">
        <v>131</v>
      </c>
      <c r="BX1731" t="str">
        <f>""</f>
        <v/>
      </c>
      <c r="BY1731" t="str">
        <f>""</f>
        <v/>
      </c>
      <c r="BZ1731" t="str">
        <f>""</f>
        <v/>
      </c>
      <c r="CA1731" t="str">
        <f>""</f>
        <v/>
      </c>
      <c r="CB1731" t="s">
        <v>131</v>
      </c>
      <c r="CF1731" t="s">
        <v>131</v>
      </c>
      <c r="CH1731" t="str">
        <f>""</f>
        <v/>
      </c>
      <c r="CI1731" t="s">
        <v>131</v>
      </c>
      <c r="CK1731" t="s">
        <v>131</v>
      </c>
      <c r="CL1731" t="str">
        <f>""</f>
        <v/>
      </c>
      <c r="CM1731" t="str">
        <f>""</f>
        <v/>
      </c>
      <c r="CN1731" t="str">
        <f>""</f>
        <v/>
      </c>
      <c r="CO1731" t="str">
        <f>""</f>
        <v/>
      </c>
      <c r="CP1731" t="str">
        <f>"29-1069.10"</f>
        <v>29-1069.10</v>
      </c>
      <c r="CQ1731" t="s">
        <v>8261</v>
      </c>
      <c r="CR1731" t="s">
        <v>392</v>
      </c>
      <c r="CS1731" t="s">
        <v>131</v>
      </c>
      <c r="CU1731" t="s">
        <v>18126</v>
      </c>
      <c r="CW1731" t="s">
        <v>18127</v>
      </c>
      <c r="CX1731" t="s">
        <v>400</v>
      </c>
      <c r="CZ1731" s="3" t="str">
        <f>"76310"</f>
        <v>76310</v>
      </c>
      <c r="DA1731" t="s">
        <v>131</v>
      </c>
      <c r="DB1731" t="str">
        <f>""</f>
        <v/>
      </c>
      <c r="DF1731" t="str">
        <f>""</f>
        <v/>
      </c>
    </row>
    <row r="1732" spans="1:110" ht="15" customHeight="1" x14ac:dyDescent="0.35">
      <c r="A1732" t="s">
        <v>7367</v>
      </c>
      <c r="B1732" t="s">
        <v>138</v>
      </c>
      <c r="C1732" s="1">
        <v>44343</v>
      </c>
      <c r="G1732" s="1">
        <v>44350</v>
      </c>
      <c r="H1732" t="s">
        <v>125</v>
      </c>
      <c r="I1732" t="s">
        <v>7368</v>
      </c>
      <c r="J1732" t="s">
        <v>260</v>
      </c>
      <c r="K1732" t="s">
        <v>313</v>
      </c>
      <c r="L1732" t="s">
        <v>130</v>
      </c>
      <c r="M1732" t="s">
        <v>7369</v>
      </c>
      <c r="O1732" t="s">
        <v>494</v>
      </c>
      <c r="P1732" t="s">
        <v>127</v>
      </c>
      <c r="Q1732" s="3">
        <v>10036</v>
      </c>
      <c r="R1732" t="s">
        <v>128</v>
      </c>
      <c r="T1732" s="4">
        <v>12124711846</v>
      </c>
      <c r="V1732" t="s">
        <v>7370</v>
      </c>
      <c r="W1732" t="s">
        <v>7371</v>
      </c>
      <c r="Y1732" t="s">
        <v>7372</v>
      </c>
      <c r="Z1732" t="s">
        <v>7373</v>
      </c>
      <c r="AA1732" t="s">
        <v>494</v>
      </c>
      <c r="AB1732" t="s">
        <v>129</v>
      </c>
      <c r="AC1732" s="3" t="str">
        <f>"10034"</f>
        <v>10034</v>
      </c>
      <c r="AD1732" t="s">
        <v>128</v>
      </c>
      <c r="AF1732" s="4">
        <v>12014163275</v>
      </c>
      <c r="AH1732" t="str">
        <f>"621511"</f>
        <v>621511</v>
      </c>
      <c r="AI1732" t="s">
        <v>130</v>
      </c>
      <c r="AJ1732" t="s">
        <v>7368</v>
      </c>
      <c r="AK1732" t="s">
        <v>260</v>
      </c>
      <c r="AL1732" t="s">
        <v>313</v>
      </c>
      <c r="AM1732" t="s">
        <v>5070</v>
      </c>
      <c r="AO1732" t="s">
        <v>494</v>
      </c>
      <c r="AP1732" t="s">
        <v>129</v>
      </c>
      <c r="AQ1732" s="5">
        <v>10036</v>
      </c>
      <c r="AR1732" t="s">
        <v>128</v>
      </c>
      <c r="AT1732" s="4">
        <v>12124711846</v>
      </c>
      <c r="AV1732" t="s">
        <v>7370</v>
      </c>
      <c r="AW1732" t="s">
        <v>5071</v>
      </c>
      <c r="AX1732" t="s">
        <v>131</v>
      </c>
      <c r="AY1732" t="s">
        <v>131</v>
      </c>
      <c r="AZ1732" t="s">
        <v>131</v>
      </c>
      <c r="BA1732" t="s">
        <v>131</v>
      </c>
      <c r="BB1732" t="s">
        <v>131</v>
      </c>
      <c r="BC1732" t="s">
        <v>131</v>
      </c>
      <c r="BD1732" t="s">
        <v>131</v>
      </c>
      <c r="BE1732" t="s">
        <v>132</v>
      </c>
      <c r="BH1732" t="s">
        <v>7374</v>
      </c>
      <c r="BI1732" t="s">
        <v>131</v>
      </c>
      <c r="BL1732" t="s">
        <v>188</v>
      </c>
      <c r="BN1732" t="s">
        <v>7375</v>
      </c>
      <c r="BO1732" t="s">
        <v>131</v>
      </c>
      <c r="BP1732" t="s">
        <v>134</v>
      </c>
      <c r="BQ1732" t="s">
        <v>131</v>
      </c>
      <c r="BS1732" t="str">
        <f t="shared" si="104"/>
        <v>N/A</v>
      </c>
      <c r="BT1732" t="s">
        <v>135</v>
      </c>
      <c r="BU1732">
        <v>60</v>
      </c>
      <c r="BV1732" t="str">
        <f>"Customer Solutions Manager or any occupation in which required experience gained."</f>
        <v>Customer Solutions Manager or any occupation in which required experience gained.</v>
      </c>
      <c r="BW1732" t="s">
        <v>135</v>
      </c>
      <c r="BX1732" t="str">
        <f>""</f>
        <v/>
      </c>
      <c r="BY1732" t="str">
        <f>""</f>
        <v/>
      </c>
      <c r="BZ1732" t="str">
        <f>""</f>
        <v/>
      </c>
      <c r="CA1732" t="s">
        <v>7376</v>
      </c>
      <c r="CB1732" t="s">
        <v>131</v>
      </c>
      <c r="CF1732" t="s">
        <v>131</v>
      </c>
      <c r="CH1732" t="str">
        <f>""</f>
        <v/>
      </c>
      <c r="CI1732" t="s">
        <v>131</v>
      </c>
      <c r="CK1732" t="s">
        <v>131</v>
      </c>
      <c r="CL1732" t="str">
        <f>""</f>
        <v/>
      </c>
      <c r="CM1732" t="str">
        <f>""</f>
        <v/>
      </c>
      <c r="CN1732" t="str">
        <f>""</f>
        <v/>
      </c>
      <c r="CO1732" t="str">
        <f>""</f>
        <v/>
      </c>
      <c r="CP1732" t="str">
        <f>"11-9121.00"</f>
        <v>11-9121.00</v>
      </c>
      <c r="CQ1732" t="s">
        <v>4063</v>
      </c>
      <c r="CS1732" t="s">
        <v>131</v>
      </c>
      <c r="CU1732" t="s">
        <v>7372</v>
      </c>
      <c r="CV1732" t="s">
        <v>7373</v>
      </c>
      <c r="CW1732" t="s">
        <v>494</v>
      </c>
      <c r="CX1732" t="s">
        <v>129</v>
      </c>
      <c r="CZ1732" s="3" t="str">
        <f>"10034"</f>
        <v>10034</v>
      </c>
      <c r="DA1732" t="s">
        <v>131</v>
      </c>
      <c r="DB1732" t="str">
        <f>""</f>
        <v/>
      </c>
      <c r="DF1732" t="str">
        <f>""</f>
        <v/>
      </c>
    </row>
    <row r="1733" spans="1:110" ht="15" customHeight="1" x14ac:dyDescent="0.35">
      <c r="A1733" t="s">
        <v>16261</v>
      </c>
      <c r="B1733" t="s">
        <v>138</v>
      </c>
      <c r="C1733" s="1">
        <v>44343</v>
      </c>
      <c r="G1733" s="1">
        <v>44343</v>
      </c>
      <c r="H1733" t="s">
        <v>125</v>
      </c>
      <c r="I1733" t="s">
        <v>14690</v>
      </c>
      <c r="J1733" t="s">
        <v>5760</v>
      </c>
      <c r="L1733" t="s">
        <v>2144</v>
      </c>
      <c r="M1733" t="s">
        <v>14691</v>
      </c>
      <c r="N1733" t="s">
        <v>14692</v>
      </c>
      <c r="O1733" t="s">
        <v>958</v>
      </c>
      <c r="P1733" t="s">
        <v>273</v>
      </c>
      <c r="Q1733" s="3">
        <v>8540</v>
      </c>
      <c r="R1733" t="s">
        <v>128</v>
      </c>
      <c r="T1733" s="4">
        <v>16092434328</v>
      </c>
      <c r="V1733" t="s">
        <v>14693</v>
      </c>
      <c r="W1733" t="s">
        <v>14694</v>
      </c>
      <c r="Y1733" t="s">
        <v>14695</v>
      </c>
      <c r="AA1733" t="s">
        <v>2816</v>
      </c>
      <c r="AB1733" t="s">
        <v>703</v>
      </c>
      <c r="AC1733" s="3" t="str">
        <f>"06102"</f>
        <v>06102</v>
      </c>
      <c r="AD1733" t="s">
        <v>128</v>
      </c>
      <c r="AF1733" s="4">
        <v>16092434328</v>
      </c>
      <c r="AH1733" t="str">
        <f>"52412"</f>
        <v>52412</v>
      </c>
      <c r="AI1733" t="s">
        <v>130</v>
      </c>
      <c r="AJ1733" t="s">
        <v>14696</v>
      </c>
      <c r="AK1733" t="s">
        <v>4670</v>
      </c>
      <c r="AM1733" t="s">
        <v>10422</v>
      </c>
      <c r="AO1733" t="s">
        <v>494</v>
      </c>
      <c r="AP1733" t="s">
        <v>129</v>
      </c>
      <c r="AQ1733" s="5">
        <v>10022</v>
      </c>
      <c r="AR1733" t="s">
        <v>128</v>
      </c>
      <c r="AT1733" s="4">
        <v>16462779516</v>
      </c>
      <c r="AV1733" t="s">
        <v>10423</v>
      </c>
      <c r="AW1733" t="s">
        <v>10424</v>
      </c>
      <c r="AX1733" t="s">
        <v>131</v>
      </c>
      <c r="AY1733" t="s">
        <v>131</v>
      </c>
      <c r="AZ1733" t="s">
        <v>131</v>
      </c>
      <c r="BA1733" t="s">
        <v>131</v>
      </c>
      <c r="BB1733" t="s">
        <v>131</v>
      </c>
      <c r="BC1733" t="s">
        <v>131</v>
      </c>
      <c r="BD1733" t="s">
        <v>131</v>
      </c>
      <c r="BE1733" t="s">
        <v>132</v>
      </c>
      <c r="BH1733" t="s">
        <v>3885</v>
      </c>
      <c r="BI1733" t="s">
        <v>131</v>
      </c>
      <c r="BL1733" t="s">
        <v>447</v>
      </c>
      <c r="BN1733" t="s">
        <v>14697</v>
      </c>
      <c r="BO1733" t="s">
        <v>131</v>
      </c>
      <c r="BP1733" t="s">
        <v>134</v>
      </c>
      <c r="BQ1733" t="s">
        <v>131</v>
      </c>
      <c r="BS1733" t="str">
        <f t="shared" si="104"/>
        <v>N/A</v>
      </c>
      <c r="BT1733" t="s">
        <v>135</v>
      </c>
      <c r="BU1733">
        <v>12</v>
      </c>
      <c r="BV1733" t="str">
        <f>"Quantitative Financial Analyst"</f>
        <v>Quantitative Financial Analyst</v>
      </c>
      <c r="BW1733" t="s">
        <v>135</v>
      </c>
      <c r="BX1733" t="str">
        <f>""</f>
        <v/>
      </c>
      <c r="BY1733" t="str">
        <f>""</f>
        <v/>
      </c>
      <c r="BZ1733" t="str">
        <f>""</f>
        <v/>
      </c>
      <c r="CA1733" t="str">
        <f>"Must know machine learning and AI models/techniques using data science tools Jupyter Notebook with Python kernel, R Studio or MATLAB, as well as use of PowerShell and Linux command line interfaces"</f>
        <v>Must know machine learning and AI models/techniques using data science tools Jupyter Notebook with Python kernel, R Studio or MATLAB, as well as use of PowerShell and Linux command line interfaces</v>
      </c>
      <c r="CB1733" t="s">
        <v>131</v>
      </c>
      <c r="CF1733" t="s">
        <v>131</v>
      </c>
      <c r="CH1733" t="str">
        <f>""</f>
        <v/>
      </c>
      <c r="CI1733" t="s">
        <v>131</v>
      </c>
      <c r="CK1733" t="s">
        <v>131</v>
      </c>
      <c r="CL1733" t="str">
        <f>""</f>
        <v/>
      </c>
      <c r="CM1733" t="str">
        <f>""</f>
        <v/>
      </c>
      <c r="CN1733" t="str">
        <f>""</f>
        <v/>
      </c>
      <c r="CO1733" t="str">
        <f>""</f>
        <v/>
      </c>
      <c r="CP1733" t="str">
        <f>"15-1111.00"</f>
        <v>15-1111.00</v>
      </c>
      <c r="CQ1733" t="s">
        <v>726</v>
      </c>
      <c r="CS1733" t="s">
        <v>135</v>
      </c>
      <c r="CT1733" t="s">
        <v>16262</v>
      </c>
      <c r="CU1733" t="s">
        <v>7135</v>
      </c>
      <c r="CV1733" t="s">
        <v>14698</v>
      </c>
      <c r="CW1733" t="s">
        <v>220</v>
      </c>
      <c r="CX1733" t="s">
        <v>172</v>
      </c>
      <c r="CZ1733" s="3" t="str">
        <f>"94111"</f>
        <v>94111</v>
      </c>
      <c r="DA1733" t="s">
        <v>131</v>
      </c>
      <c r="DB1733" t="str">
        <f>""</f>
        <v/>
      </c>
      <c r="DF1733" t="str">
        <f>""</f>
        <v/>
      </c>
    </row>
    <row r="1734" spans="1:110" ht="15" customHeight="1" x14ac:dyDescent="0.35">
      <c r="A1734" t="s">
        <v>19168</v>
      </c>
      <c r="B1734" t="s">
        <v>138</v>
      </c>
      <c r="C1734" s="1">
        <v>44343</v>
      </c>
      <c r="G1734" s="1">
        <v>44348</v>
      </c>
      <c r="H1734" t="s">
        <v>125</v>
      </c>
      <c r="I1734" t="s">
        <v>6552</v>
      </c>
      <c r="J1734" t="s">
        <v>6553</v>
      </c>
      <c r="L1734" t="s">
        <v>6554</v>
      </c>
      <c r="M1734" t="s">
        <v>6555</v>
      </c>
      <c r="N1734" t="s">
        <v>698</v>
      </c>
      <c r="O1734" t="s">
        <v>885</v>
      </c>
      <c r="P1734" t="s">
        <v>412</v>
      </c>
      <c r="Q1734" s="3">
        <v>77094</v>
      </c>
      <c r="R1734" t="s">
        <v>128</v>
      </c>
      <c r="T1734" s="4">
        <v>17133006869</v>
      </c>
      <c r="V1734" t="s">
        <v>6556</v>
      </c>
      <c r="W1734" t="s">
        <v>6557</v>
      </c>
      <c r="Y1734" t="s">
        <v>6555</v>
      </c>
      <c r="Z1734" t="s">
        <v>698</v>
      </c>
      <c r="AA1734" t="s">
        <v>885</v>
      </c>
      <c r="AB1734" t="s">
        <v>400</v>
      </c>
      <c r="AC1734" s="3" t="str">
        <f>"77094"</f>
        <v>77094</v>
      </c>
      <c r="AD1734" t="s">
        <v>128</v>
      </c>
      <c r="AF1734" s="4">
        <v>17134301100</v>
      </c>
      <c r="AH1734" t="str">
        <f>"213112"</f>
        <v>213112</v>
      </c>
      <c r="AI1734" t="s">
        <v>130</v>
      </c>
      <c r="AJ1734" t="s">
        <v>6558</v>
      </c>
      <c r="AK1734" t="s">
        <v>700</v>
      </c>
      <c r="AL1734" t="s">
        <v>6559</v>
      </c>
      <c r="AM1734" t="s">
        <v>6560</v>
      </c>
      <c r="AN1734" t="s">
        <v>6561</v>
      </c>
      <c r="AO1734" t="s">
        <v>885</v>
      </c>
      <c r="AP1734" t="s">
        <v>400</v>
      </c>
      <c r="AQ1734" s="5">
        <v>77010</v>
      </c>
      <c r="AR1734" t="s">
        <v>128</v>
      </c>
      <c r="AT1734" s="4">
        <v>12816053100</v>
      </c>
      <c r="AV1734" t="s">
        <v>6562</v>
      </c>
      <c r="AW1734" t="s">
        <v>6563</v>
      </c>
      <c r="AX1734" t="s">
        <v>131</v>
      </c>
      <c r="AY1734" t="s">
        <v>131</v>
      </c>
      <c r="AZ1734" t="s">
        <v>131</v>
      </c>
      <c r="BA1734" t="s">
        <v>131</v>
      </c>
      <c r="BB1734" t="s">
        <v>131</v>
      </c>
      <c r="BC1734" t="s">
        <v>131</v>
      </c>
      <c r="BD1734" t="s">
        <v>131</v>
      </c>
      <c r="BE1734" t="s">
        <v>132</v>
      </c>
      <c r="BH1734" t="s">
        <v>2734</v>
      </c>
      <c r="BI1734" t="s">
        <v>135</v>
      </c>
      <c r="BJ1734" t="s">
        <v>3933</v>
      </c>
      <c r="BK1734" t="s">
        <v>518</v>
      </c>
      <c r="BL1734" t="s">
        <v>133</v>
      </c>
      <c r="BN1734" t="s">
        <v>3910</v>
      </c>
      <c r="BO1734" t="s">
        <v>131</v>
      </c>
      <c r="BP1734" t="s">
        <v>134</v>
      </c>
      <c r="BQ1734" t="s">
        <v>131</v>
      </c>
      <c r="BS1734" t="str">
        <f t="shared" si="104"/>
        <v>N/A</v>
      </c>
      <c r="BT1734" t="s">
        <v>135</v>
      </c>
      <c r="BU1734">
        <v>60</v>
      </c>
      <c r="BV1734" t="str">
        <f>"Please see section F.a.2."</f>
        <v>Please see section F.a.2.</v>
      </c>
      <c r="BW1734" t="s">
        <v>131</v>
      </c>
      <c r="BX1734" t="str">
        <f>""</f>
        <v/>
      </c>
      <c r="BY1734" t="str">
        <f>""</f>
        <v/>
      </c>
      <c r="BZ1734" t="str">
        <f>""</f>
        <v/>
      </c>
      <c r="CA1734" t="str">
        <f>""</f>
        <v/>
      </c>
      <c r="CB1734" t="s">
        <v>131</v>
      </c>
      <c r="CF1734" t="s">
        <v>131</v>
      </c>
      <c r="CH1734" t="str">
        <f>""</f>
        <v/>
      </c>
      <c r="CI1734" t="s">
        <v>131</v>
      </c>
      <c r="CK1734" t="s">
        <v>131</v>
      </c>
      <c r="CL1734" t="str">
        <f>""</f>
        <v/>
      </c>
      <c r="CM1734" t="str">
        <f>""</f>
        <v/>
      </c>
      <c r="CN1734" t="str">
        <f>""</f>
        <v/>
      </c>
      <c r="CO1734" t="str">
        <f>""</f>
        <v/>
      </c>
      <c r="CP1734" t="str">
        <f>"17-2141.00"</f>
        <v>17-2141.00</v>
      </c>
      <c r="CQ1734" t="s">
        <v>518</v>
      </c>
      <c r="CS1734" t="s">
        <v>131</v>
      </c>
      <c r="CU1734" t="s">
        <v>6555</v>
      </c>
      <c r="CV1734" t="s">
        <v>698</v>
      </c>
      <c r="CW1734" t="s">
        <v>885</v>
      </c>
      <c r="CX1734" t="s">
        <v>400</v>
      </c>
      <c r="CZ1734" s="3" t="str">
        <f>"77094"</f>
        <v>77094</v>
      </c>
      <c r="DA1734" t="s">
        <v>131</v>
      </c>
      <c r="DB1734" t="str">
        <f>""</f>
        <v/>
      </c>
      <c r="DF1734" t="str">
        <f>""</f>
        <v/>
      </c>
    </row>
    <row r="1735" spans="1:110" ht="15" customHeight="1" x14ac:dyDescent="0.35">
      <c r="A1735" t="s">
        <v>19647</v>
      </c>
      <c r="B1735" t="s">
        <v>138</v>
      </c>
      <c r="C1735" s="1">
        <v>44343</v>
      </c>
      <c r="G1735" s="1">
        <v>44363</v>
      </c>
      <c r="H1735" t="s">
        <v>125</v>
      </c>
      <c r="I1735" t="s">
        <v>13826</v>
      </c>
      <c r="J1735" t="s">
        <v>2381</v>
      </c>
      <c r="L1735" t="s">
        <v>13827</v>
      </c>
      <c r="M1735" t="s">
        <v>9523</v>
      </c>
      <c r="O1735" t="s">
        <v>6429</v>
      </c>
      <c r="P1735" t="s">
        <v>720</v>
      </c>
      <c r="Q1735" s="3">
        <v>1111</v>
      </c>
      <c r="R1735" t="s">
        <v>128</v>
      </c>
      <c r="T1735" s="4">
        <v>14137448460</v>
      </c>
      <c r="V1735" t="s">
        <v>13828</v>
      </c>
      <c r="W1735" t="s">
        <v>9525</v>
      </c>
      <c r="Y1735" t="s">
        <v>9523</v>
      </c>
      <c r="AA1735" t="s">
        <v>6429</v>
      </c>
      <c r="AB1735" t="s">
        <v>377</v>
      </c>
      <c r="AC1735" s="3" t="str">
        <f>"01111"</f>
        <v>01111</v>
      </c>
      <c r="AD1735" t="s">
        <v>128</v>
      </c>
      <c r="AF1735" s="4">
        <v>14137441755</v>
      </c>
      <c r="AH1735" t="str">
        <f>"52411"</f>
        <v>52411</v>
      </c>
      <c r="AI1735" t="s">
        <v>130</v>
      </c>
      <c r="AJ1735" t="s">
        <v>1922</v>
      </c>
      <c r="AK1735" t="s">
        <v>922</v>
      </c>
      <c r="AL1735" t="s">
        <v>302</v>
      </c>
      <c r="AM1735" t="s">
        <v>1923</v>
      </c>
      <c r="AN1735" t="s">
        <v>1924</v>
      </c>
      <c r="AO1735" t="s">
        <v>1925</v>
      </c>
      <c r="AP1735" t="s">
        <v>377</v>
      </c>
      <c r="AQ1735" s="5">
        <v>1060</v>
      </c>
      <c r="AR1735" t="s">
        <v>128</v>
      </c>
      <c r="AT1735" s="4">
        <v>14135843232</v>
      </c>
      <c r="AV1735" t="s">
        <v>1926</v>
      </c>
      <c r="AW1735" t="s">
        <v>1923</v>
      </c>
      <c r="AX1735" t="s">
        <v>131</v>
      </c>
      <c r="AY1735" t="s">
        <v>131</v>
      </c>
      <c r="AZ1735" t="s">
        <v>131</v>
      </c>
      <c r="BA1735" t="s">
        <v>131</v>
      </c>
      <c r="BB1735" t="s">
        <v>131</v>
      </c>
      <c r="BC1735" t="s">
        <v>131</v>
      </c>
      <c r="BD1735" t="s">
        <v>131</v>
      </c>
      <c r="BE1735" t="s">
        <v>132</v>
      </c>
      <c r="BH1735" t="s">
        <v>19648</v>
      </c>
      <c r="BI1735" t="s">
        <v>131</v>
      </c>
      <c r="BL1735" t="s">
        <v>133</v>
      </c>
      <c r="BN1735" t="s">
        <v>2691</v>
      </c>
      <c r="BO1735" t="s">
        <v>131</v>
      </c>
      <c r="BP1735" t="s">
        <v>134</v>
      </c>
      <c r="BQ1735" t="s">
        <v>131</v>
      </c>
      <c r="BS1735" t="str">
        <f t="shared" si="104"/>
        <v>N/A</v>
      </c>
      <c r="BT1735" t="s">
        <v>135</v>
      </c>
      <c r="BU1735">
        <v>60</v>
      </c>
      <c r="BV1735" t="str">
        <f>"Job offered or related occupation"</f>
        <v>Job offered or related occupation</v>
      </c>
      <c r="BW1735" t="s">
        <v>135</v>
      </c>
      <c r="BX1735" t="str">
        <f>""</f>
        <v/>
      </c>
      <c r="BY1735" t="str">
        <f>""</f>
        <v/>
      </c>
      <c r="BZ1735" t="str">
        <f>""</f>
        <v/>
      </c>
      <c r="CA1735" t="s">
        <v>19649</v>
      </c>
      <c r="CB1735" t="s">
        <v>131</v>
      </c>
      <c r="CF1735" t="s">
        <v>131</v>
      </c>
      <c r="CH1735" t="str">
        <f>""</f>
        <v/>
      </c>
      <c r="CI1735" t="s">
        <v>131</v>
      </c>
      <c r="CK1735" t="s">
        <v>131</v>
      </c>
      <c r="CL1735" t="str">
        <f>""</f>
        <v/>
      </c>
      <c r="CM1735" t="str">
        <f>""</f>
        <v/>
      </c>
      <c r="CN1735" t="str">
        <f>""</f>
        <v/>
      </c>
      <c r="CO1735" t="str">
        <f>""</f>
        <v/>
      </c>
      <c r="CP1735" t="str">
        <f>"15-1132.00"</f>
        <v>15-1132.00</v>
      </c>
      <c r="CQ1735" t="s">
        <v>198</v>
      </c>
      <c r="CR1735" t="s">
        <v>19650</v>
      </c>
      <c r="CS1735" t="s">
        <v>131</v>
      </c>
      <c r="CU1735" t="s">
        <v>9526</v>
      </c>
      <c r="CW1735" t="s">
        <v>376</v>
      </c>
      <c r="CX1735" t="s">
        <v>377</v>
      </c>
      <c r="CZ1735" s="3" t="str">
        <f>"02210"</f>
        <v>02210</v>
      </c>
      <c r="DA1735" t="s">
        <v>131</v>
      </c>
      <c r="DB1735" t="str">
        <f>""</f>
        <v/>
      </c>
      <c r="DF1735" t="str">
        <f>""</f>
        <v/>
      </c>
    </row>
    <row r="1736" spans="1:110" ht="15" customHeight="1" x14ac:dyDescent="0.35">
      <c r="A1736" t="s">
        <v>16667</v>
      </c>
      <c r="B1736" t="s">
        <v>138</v>
      </c>
      <c r="C1736" s="1">
        <v>44343</v>
      </c>
      <c r="G1736" s="1">
        <v>44358</v>
      </c>
      <c r="H1736" t="s">
        <v>125</v>
      </c>
      <c r="I1736" t="s">
        <v>1552</v>
      </c>
      <c r="J1736" t="s">
        <v>1553</v>
      </c>
      <c r="L1736" t="s">
        <v>1554</v>
      </c>
      <c r="M1736" t="s">
        <v>1555</v>
      </c>
      <c r="O1736" t="s">
        <v>1556</v>
      </c>
      <c r="P1736" t="s">
        <v>178</v>
      </c>
      <c r="Q1736" s="3">
        <v>95014</v>
      </c>
      <c r="R1736" t="s">
        <v>128</v>
      </c>
      <c r="T1736" s="4">
        <v>14089742562</v>
      </c>
      <c r="V1736" t="s">
        <v>1564</v>
      </c>
      <c r="W1736" t="s">
        <v>1558</v>
      </c>
      <c r="Y1736" t="s">
        <v>1559</v>
      </c>
      <c r="AA1736" t="s">
        <v>1560</v>
      </c>
      <c r="AB1736" t="s">
        <v>172</v>
      </c>
      <c r="AC1736" s="3" t="str">
        <f>"95014"</f>
        <v>95014</v>
      </c>
      <c r="AD1736" t="s">
        <v>128</v>
      </c>
      <c r="AF1736" s="4">
        <v>14089742562</v>
      </c>
      <c r="AH1736" t="str">
        <f>"334111"</f>
        <v>334111</v>
      </c>
      <c r="AI1736" t="s">
        <v>130</v>
      </c>
      <c r="AJ1736" t="s">
        <v>2498</v>
      </c>
      <c r="AK1736" t="s">
        <v>652</v>
      </c>
      <c r="AL1736" t="s">
        <v>2241</v>
      </c>
      <c r="AM1736" t="s">
        <v>1563</v>
      </c>
      <c r="AN1736" t="s">
        <v>997</v>
      </c>
      <c r="AO1736" t="s">
        <v>220</v>
      </c>
      <c r="AP1736" t="s">
        <v>172</v>
      </c>
      <c r="AQ1736" s="5">
        <v>94111</v>
      </c>
      <c r="AR1736" t="s">
        <v>128</v>
      </c>
      <c r="AT1736" s="4">
        <v>14159861446</v>
      </c>
      <c r="AV1736" t="s">
        <v>1564</v>
      </c>
      <c r="AW1736" t="s">
        <v>386</v>
      </c>
      <c r="AX1736" t="s">
        <v>131</v>
      </c>
      <c r="AY1736" t="s">
        <v>131</v>
      </c>
      <c r="AZ1736" t="s">
        <v>131</v>
      </c>
      <c r="BA1736" t="s">
        <v>131</v>
      </c>
      <c r="BB1736" t="s">
        <v>131</v>
      </c>
      <c r="BC1736" t="s">
        <v>131</v>
      </c>
      <c r="BD1736" t="s">
        <v>131</v>
      </c>
      <c r="BE1736" t="s">
        <v>160</v>
      </c>
      <c r="BF1736" t="s">
        <v>2499</v>
      </c>
      <c r="BG1736" s="1">
        <v>44270</v>
      </c>
      <c r="BH1736" t="s">
        <v>7379</v>
      </c>
      <c r="BI1736" t="s">
        <v>131</v>
      </c>
      <c r="BL1736" t="s">
        <v>188</v>
      </c>
      <c r="BN1736" t="s">
        <v>2243</v>
      </c>
      <c r="BO1736" t="s">
        <v>131</v>
      </c>
      <c r="BP1736" t="s">
        <v>134</v>
      </c>
      <c r="BQ1736" t="s">
        <v>131</v>
      </c>
      <c r="BS1736" t="str">
        <f t="shared" si="104"/>
        <v>N/A</v>
      </c>
      <c r="BT1736" t="s">
        <v>135</v>
      </c>
      <c r="BU1736">
        <v>24</v>
      </c>
      <c r="BV1736" t="str">
        <f>"See Job Duties (Sect.F.a.2.)"</f>
        <v>See Job Duties (Sect.F.a.2.)</v>
      </c>
      <c r="BW1736" t="s">
        <v>135</v>
      </c>
      <c r="BX1736" t="str">
        <f>""</f>
        <v/>
      </c>
      <c r="BY1736" t="str">
        <f>""</f>
        <v/>
      </c>
      <c r="BZ1736" t="str">
        <f>""</f>
        <v/>
      </c>
      <c r="CA1736" t="str">
        <f>"See Job Duties (Sect.F.a.2.)"</f>
        <v>See Job Duties (Sect.F.a.2.)</v>
      </c>
      <c r="CB1736" t="s">
        <v>131</v>
      </c>
      <c r="CF1736" t="s">
        <v>131</v>
      </c>
      <c r="CH1736" t="str">
        <f>""</f>
        <v/>
      </c>
      <c r="CI1736" t="s">
        <v>131</v>
      </c>
      <c r="CK1736" t="s">
        <v>131</v>
      </c>
      <c r="CL1736" t="str">
        <f>""</f>
        <v/>
      </c>
      <c r="CM1736" t="str">
        <f>""</f>
        <v/>
      </c>
      <c r="CN1736" t="str">
        <f>""</f>
        <v/>
      </c>
      <c r="CO1736" t="str">
        <f>""</f>
        <v/>
      </c>
      <c r="CP1736" t="str">
        <f>"17-2199.04"</f>
        <v>17-2199.04</v>
      </c>
      <c r="CQ1736" t="s">
        <v>2500</v>
      </c>
      <c r="CR1736" t="s">
        <v>460</v>
      </c>
      <c r="CS1736" t="s">
        <v>135</v>
      </c>
      <c r="CT1736" t="s">
        <v>11501</v>
      </c>
      <c r="CU1736" t="s">
        <v>1555</v>
      </c>
      <c r="CW1736" t="s">
        <v>1556</v>
      </c>
      <c r="CX1736" t="s">
        <v>172</v>
      </c>
      <c r="CZ1736" s="3" t="str">
        <f>"95014"</f>
        <v>95014</v>
      </c>
      <c r="DA1736" t="s">
        <v>131</v>
      </c>
      <c r="DB1736" t="str">
        <f>""</f>
        <v/>
      </c>
      <c r="DF1736" t="str">
        <f>""</f>
        <v/>
      </c>
    </row>
    <row r="1737" spans="1:110" ht="15" customHeight="1" x14ac:dyDescent="0.35">
      <c r="A1737" t="s">
        <v>16488</v>
      </c>
      <c r="B1737" t="s">
        <v>138</v>
      </c>
      <c r="C1737" s="1">
        <v>44343</v>
      </c>
      <c r="G1737" s="1">
        <v>44355</v>
      </c>
      <c r="H1737" t="s">
        <v>125</v>
      </c>
      <c r="I1737" t="s">
        <v>1552</v>
      </c>
      <c r="J1737" t="s">
        <v>1553</v>
      </c>
      <c r="L1737" t="s">
        <v>1554</v>
      </c>
      <c r="M1737" t="s">
        <v>1555</v>
      </c>
      <c r="O1737" t="s">
        <v>1556</v>
      </c>
      <c r="P1737" t="s">
        <v>178</v>
      </c>
      <c r="Q1737" s="3">
        <v>95014</v>
      </c>
      <c r="R1737" t="s">
        <v>128</v>
      </c>
      <c r="T1737" s="4">
        <v>14089742562</v>
      </c>
      <c r="V1737" t="s">
        <v>1564</v>
      </c>
      <c r="W1737" t="s">
        <v>1558</v>
      </c>
      <c r="Y1737" t="s">
        <v>1559</v>
      </c>
      <c r="AA1737" t="s">
        <v>1560</v>
      </c>
      <c r="AB1737" t="s">
        <v>172</v>
      </c>
      <c r="AC1737" s="3" t="str">
        <f>"95014"</f>
        <v>95014</v>
      </c>
      <c r="AD1737" t="s">
        <v>128</v>
      </c>
      <c r="AF1737" s="4">
        <v>14089742562</v>
      </c>
      <c r="AH1737" t="str">
        <f>"334111"</f>
        <v>334111</v>
      </c>
      <c r="AI1737" t="s">
        <v>130</v>
      </c>
      <c r="AJ1737" t="s">
        <v>1787</v>
      </c>
      <c r="AK1737" t="s">
        <v>1788</v>
      </c>
      <c r="AL1737" t="s">
        <v>2241</v>
      </c>
      <c r="AM1737" t="s">
        <v>1563</v>
      </c>
      <c r="AN1737" t="s">
        <v>997</v>
      </c>
      <c r="AO1737" t="s">
        <v>220</v>
      </c>
      <c r="AP1737" t="s">
        <v>172</v>
      </c>
      <c r="AQ1737" s="5">
        <v>94111</v>
      </c>
      <c r="AR1737" t="s">
        <v>128</v>
      </c>
      <c r="AT1737" s="4">
        <v>14159861446</v>
      </c>
      <c r="AV1737" t="s">
        <v>1564</v>
      </c>
      <c r="AW1737" t="s">
        <v>386</v>
      </c>
      <c r="AX1737" t="s">
        <v>131</v>
      </c>
      <c r="AY1737" t="s">
        <v>131</v>
      </c>
      <c r="AZ1737" t="s">
        <v>131</v>
      </c>
      <c r="BA1737" t="s">
        <v>131</v>
      </c>
      <c r="BB1737" t="s">
        <v>131</v>
      </c>
      <c r="BC1737" t="s">
        <v>131</v>
      </c>
      <c r="BD1737" t="s">
        <v>131</v>
      </c>
      <c r="BE1737" t="s">
        <v>160</v>
      </c>
      <c r="BF1737" t="s">
        <v>2499</v>
      </c>
      <c r="BG1737" s="1">
        <v>44270</v>
      </c>
      <c r="BH1737" t="s">
        <v>9011</v>
      </c>
      <c r="BI1737" t="s">
        <v>131</v>
      </c>
      <c r="BL1737" t="s">
        <v>133</v>
      </c>
      <c r="BN1737" t="s">
        <v>2243</v>
      </c>
      <c r="BO1737" t="s">
        <v>131</v>
      </c>
      <c r="BP1737" t="s">
        <v>134</v>
      </c>
      <c r="BQ1737" t="s">
        <v>131</v>
      </c>
      <c r="BS1737" t="str">
        <f t="shared" ref="BS1737:BS1800" si="106">"N/A"</f>
        <v>N/A</v>
      </c>
      <c r="BT1737" t="s">
        <v>131</v>
      </c>
      <c r="BV1737" t="str">
        <f>""</f>
        <v/>
      </c>
      <c r="BW1737" t="s">
        <v>135</v>
      </c>
      <c r="BX1737" t="str">
        <f>""</f>
        <v/>
      </c>
      <c r="BY1737" t="str">
        <f>""</f>
        <v/>
      </c>
      <c r="BZ1737" t="str">
        <f>""</f>
        <v/>
      </c>
      <c r="CA1737" t="str">
        <f>"See Job Duties (Sect.F.a.2.)"</f>
        <v>See Job Duties (Sect.F.a.2.)</v>
      </c>
      <c r="CB1737" t="s">
        <v>131</v>
      </c>
      <c r="CF1737" t="s">
        <v>131</v>
      </c>
      <c r="CH1737" t="str">
        <f>""</f>
        <v/>
      </c>
      <c r="CI1737" t="s">
        <v>131</v>
      </c>
      <c r="CK1737" t="s">
        <v>131</v>
      </c>
      <c r="CL1737" t="str">
        <f>""</f>
        <v/>
      </c>
      <c r="CM1737" t="str">
        <f>""</f>
        <v/>
      </c>
      <c r="CN1737" t="str">
        <f>""</f>
        <v/>
      </c>
      <c r="CO1737" t="str">
        <f>""</f>
        <v/>
      </c>
      <c r="CP1737" t="str">
        <f>"17-2141.00"</f>
        <v>17-2141.00</v>
      </c>
      <c r="CQ1737" t="s">
        <v>518</v>
      </c>
      <c r="CR1737" t="s">
        <v>460</v>
      </c>
      <c r="CS1737" t="s">
        <v>135</v>
      </c>
      <c r="CT1737" t="s">
        <v>9012</v>
      </c>
      <c r="CU1737" t="s">
        <v>1555</v>
      </c>
      <c r="CW1737" t="s">
        <v>1556</v>
      </c>
      <c r="CX1737" t="s">
        <v>172</v>
      </c>
      <c r="CZ1737" s="3" t="str">
        <f>"95014"</f>
        <v>95014</v>
      </c>
      <c r="DA1737" t="s">
        <v>131</v>
      </c>
      <c r="DB1737" t="str">
        <f>""</f>
        <v/>
      </c>
      <c r="DF1737" t="str">
        <f>""</f>
        <v/>
      </c>
    </row>
    <row r="1738" spans="1:110" ht="15" customHeight="1" x14ac:dyDescent="0.35">
      <c r="A1738" t="s">
        <v>16606</v>
      </c>
      <c r="B1738" t="s">
        <v>138</v>
      </c>
      <c r="C1738" s="1">
        <v>44343</v>
      </c>
      <c r="G1738" s="1">
        <v>44355</v>
      </c>
      <c r="H1738" t="s">
        <v>125</v>
      </c>
      <c r="I1738" t="s">
        <v>1552</v>
      </c>
      <c r="J1738" t="s">
        <v>1553</v>
      </c>
      <c r="L1738" t="s">
        <v>1554</v>
      </c>
      <c r="M1738" t="s">
        <v>1555</v>
      </c>
      <c r="O1738" t="s">
        <v>1556</v>
      </c>
      <c r="P1738" t="s">
        <v>178</v>
      </c>
      <c r="Q1738" s="3">
        <v>95014</v>
      </c>
      <c r="R1738" t="s">
        <v>128</v>
      </c>
      <c r="T1738" s="4">
        <v>14089742562</v>
      </c>
      <c r="V1738" t="s">
        <v>1564</v>
      </c>
      <c r="W1738" t="s">
        <v>1558</v>
      </c>
      <c r="Y1738" t="s">
        <v>1559</v>
      </c>
      <c r="AA1738" t="s">
        <v>1560</v>
      </c>
      <c r="AB1738" t="s">
        <v>172</v>
      </c>
      <c r="AC1738" s="3" t="str">
        <f>"95014"</f>
        <v>95014</v>
      </c>
      <c r="AD1738" t="s">
        <v>128</v>
      </c>
      <c r="AF1738" s="4">
        <v>14089742562</v>
      </c>
      <c r="AH1738" t="str">
        <f>"334111"</f>
        <v>334111</v>
      </c>
      <c r="AI1738" t="s">
        <v>130</v>
      </c>
      <c r="AJ1738" t="s">
        <v>1787</v>
      </c>
      <c r="AK1738" t="s">
        <v>1788</v>
      </c>
      <c r="AL1738" t="s">
        <v>2241</v>
      </c>
      <c r="AM1738" t="s">
        <v>1563</v>
      </c>
      <c r="AN1738" t="s">
        <v>997</v>
      </c>
      <c r="AO1738" t="s">
        <v>220</v>
      </c>
      <c r="AP1738" t="s">
        <v>172</v>
      </c>
      <c r="AQ1738" s="5">
        <v>94111</v>
      </c>
      <c r="AR1738" t="s">
        <v>128</v>
      </c>
      <c r="AT1738" s="4">
        <v>14159861446</v>
      </c>
      <c r="AV1738" t="s">
        <v>1564</v>
      </c>
      <c r="AW1738" t="s">
        <v>386</v>
      </c>
      <c r="AX1738" t="s">
        <v>131</v>
      </c>
      <c r="AY1738" t="s">
        <v>131</v>
      </c>
      <c r="AZ1738" t="s">
        <v>131</v>
      </c>
      <c r="BA1738" t="s">
        <v>131</v>
      </c>
      <c r="BB1738" t="s">
        <v>131</v>
      </c>
      <c r="BC1738" t="s">
        <v>131</v>
      </c>
      <c r="BD1738" t="s">
        <v>131</v>
      </c>
      <c r="BE1738" t="s">
        <v>160</v>
      </c>
      <c r="BF1738" t="s">
        <v>2499</v>
      </c>
      <c r="BG1738" s="1">
        <v>44270</v>
      </c>
      <c r="BH1738" t="s">
        <v>1316</v>
      </c>
      <c r="BI1738" t="s">
        <v>131</v>
      </c>
      <c r="BL1738" t="s">
        <v>133</v>
      </c>
      <c r="BN1738" t="s">
        <v>2243</v>
      </c>
      <c r="BO1738" t="s">
        <v>131</v>
      </c>
      <c r="BP1738" t="s">
        <v>134</v>
      </c>
      <c r="BQ1738" t="s">
        <v>131</v>
      </c>
      <c r="BS1738" t="str">
        <f t="shared" si="106"/>
        <v>N/A</v>
      </c>
      <c r="BT1738" t="s">
        <v>135</v>
      </c>
      <c r="BU1738">
        <v>36</v>
      </c>
      <c r="BV1738" t="str">
        <f>"See Job Duties (Sect.F.a.2.)"</f>
        <v>See Job Duties (Sect.F.a.2.)</v>
      </c>
      <c r="BW1738" t="s">
        <v>135</v>
      </c>
      <c r="BX1738" t="str">
        <f>""</f>
        <v/>
      </c>
      <c r="BY1738" t="str">
        <f>""</f>
        <v/>
      </c>
      <c r="BZ1738" t="str">
        <f>""</f>
        <v/>
      </c>
      <c r="CA1738" t="str">
        <f>"See Job Duties (Sect.F.a.2.)"</f>
        <v>See Job Duties (Sect.F.a.2.)</v>
      </c>
      <c r="CB1738" t="s">
        <v>131</v>
      </c>
      <c r="CF1738" t="s">
        <v>131</v>
      </c>
      <c r="CH1738" t="str">
        <f>""</f>
        <v/>
      </c>
      <c r="CI1738" t="s">
        <v>131</v>
      </c>
      <c r="CK1738" t="s">
        <v>131</v>
      </c>
      <c r="CL1738" t="str">
        <f>""</f>
        <v/>
      </c>
      <c r="CM1738" t="str">
        <f>""</f>
        <v/>
      </c>
      <c r="CN1738" t="str">
        <f>""</f>
        <v/>
      </c>
      <c r="CO1738" t="str">
        <f>""</f>
        <v/>
      </c>
      <c r="CP1738" t="str">
        <f>"15-1133.00"</f>
        <v>15-1133.00</v>
      </c>
      <c r="CQ1738" t="s">
        <v>648</v>
      </c>
      <c r="CR1738" t="s">
        <v>460</v>
      </c>
      <c r="CS1738" t="s">
        <v>131</v>
      </c>
      <c r="CU1738" t="s">
        <v>1555</v>
      </c>
      <c r="CW1738" t="s">
        <v>1556</v>
      </c>
      <c r="CX1738" t="s">
        <v>172</v>
      </c>
      <c r="CZ1738" s="3" t="str">
        <f>"95014"</f>
        <v>95014</v>
      </c>
      <c r="DA1738" t="s">
        <v>131</v>
      </c>
      <c r="DB1738" t="str">
        <f>""</f>
        <v/>
      </c>
      <c r="DF1738" t="str">
        <f>""</f>
        <v/>
      </c>
    </row>
    <row r="1739" spans="1:110" ht="15" customHeight="1" x14ac:dyDescent="0.35">
      <c r="A1739" t="s">
        <v>18096</v>
      </c>
      <c r="B1739" t="s">
        <v>138</v>
      </c>
      <c r="C1739" s="1">
        <v>44343</v>
      </c>
      <c r="G1739" s="1">
        <v>44351</v>
      </c>
      <c r="H1739" t="s">
        <v>125</v>
      </c>
      <c r="I1739" t="s">
        <v>14658</v>
      </c>
      <c r="J1739" t="s">
        <v>14659</v>
      </c>
      <c r="L1739" t="s">
        <v>12635</v>
      </c>
      <c r="M1739" t="s">
        <v>12636</v>
      </c>
      <c r="N1739" t="s">
        <v>2686</v>
      </c>
      <c r="O1739" t="s">
        <v>2063</v>
      </c>
      <c r="P1739" t="s">
        <v>226</v>
      </c>
      <c r="Q1739" s="3">
        <v>46143</v>
      </c>
      <c r="R1739" t="s">
        <v>128</v>
      </c>
      <c r="T1739" s="4">
        <v>13175287036</v>
      </c>
      <c r="V1739" t="s">
        <v>12638</v>
      </c>
      <c r="W1739" t="s">
        <v>12639</v>
      </c>
      <c r="X1739" t="s">
        <v>12640</v>
      </c>
      <c r="Y1739" t="s">
        <v>12641</v>
      </c>
      <c r="Z1739" t="s">
        <v>3384</v>
      </c>
      <c r="AA1739" t="s">
        <v>12637</v>
      </c>
      <c r="AB1739" t="s">
        <v>229</v>
      </c>
      <c r="AC1739" s="3" t="str">
        <f>"46143"</f>
        <v>46143</v>
      </c>
      <c r="AD1739" t="s">
        <v>128</v>
      </c>
      <c r="AF1739" s="4">
        <v>13145287036</v>
      </c>
      <c r="AH1739" t="str">
        <f>"622110"</f>
        <v>622110</v>
      </c>
      <c r="AI1739" t="s">
        <v>130</v>
      </c>
      <c r="AJ1739" t="s">
        <v>18097</v>
      </c>
      <c r="AK1739" t="s">
        <v>18098</v>
      </c>
      <c r="AM1739" t="s">
        <v>2439</v>
      </c>
      <c r="AN1739" t="s">
        <v>261</v>
      </c>
      <c r="AO1739" t="s">
        <v>262</v>
      </c>
      <c r="AP1739" t="s">
        <v>263</v>
      </c>
      <c r="AQ1739" s="5">
        <v>60606</v>
      </c>
      <c r="AR1739" t="s">
        <v>128</v>
      </c>
      <c r="AT1739" s="4">
        <v>13122636101</v>
      </c>
      <c r="AV1739" t="s">
        <v>12642</v>
      </c>
      <c r="AW1739" t="s">
        <v>386</v>
      </c>
      <c r="AX1739" t="s">
        <v>131</v>
      </c>
      <c r="AY1739" t="s">
        <v>131</v>
      </c>
      <c r="AZ1739" t="s">
        <v>131</v>
      </c>
      <c r="BA1739" t="s">
        <v>131</v>
      </c>
      <c r="BB1739" t="s">
        <v>131</v>
      </c>
      <c r="BC1739" t="s">
        <v>131</v>
      </c>
      <c r="BD1739" t="s">
        <v>131</v>
      </c>
      <c r="BE1739" t="s">
        <v>132</v>
      </c>
      <c r="BH1739" t="s">
        <v>18099</v>
      </c>
      <c r="BI1739" t="s">
        <v>131</v>
      </c>
      <c r="BL1739" t="s">
        <v>658</v>
      </c>
      <c r="BM1739" t="s">
        <v>18100</v>
      </c>
      <c r="BN1739" t="s">
        <v>134</v>
      </c>
      <c r="BO1739" t="s">
        <v>131</v>
      </c>
      <c r="BP1739" t="s">
        <v>134</v>
      </c>
      <c r="BQ1739" t="s">
        <v>131</v>
      </c>
      <c r="BS1739" t="str">
        <f t="shared" si="106"/>
        <v>N/A</v>
      </c>
      <c r="BT1739" t="s">
        <v>131</v>
      </c>
      <c r="BV1739" t="str">
        <f>""</f>
        <v/>
      </c>
      <c r="BW1739" t="s">
        <v>135</v>
      </c>
      <c r="BX1739" t="str">
        <f>""</f>
        <v/>
      </c>
      <c r="BY1739" t="str">
        <f>""</f>
        <v/>
      </c>
      <c r="BZ1739" t="str">
        <f>"Special Skills or Other Requirements:
1.	Completed a residency in Internal Medicine from an accredited institution.
2.	Licensed to practice Medicine in IN; and 
3.	Board Certified or Board Eligible in Internal Medicine."</f>
        <v>Special Skills or Other Requirements:
1.	Completed a residency in Internal Medicine from an accredited institution.
2.	Licensed to practice Medicine in IN; and 
3.	Board Certified or Board Eligible in Internal Medicine.</v>
      </c>
      <c r="CA1739" t="str">
        <f>""</f>
        <v/>
      </c>
      <c r="CB1739" t="s">
        <v>131</v>
      </c>
      <c r="CF1739" t="s">
        <v>131</v>
      </c>
      <c r="CH1739" t="str">
        <f>""</f>
        <v/>
      </c>
      <c r="CI1739" t="s">
        <v>131</v>
      </c>
      <c r="CK1739" t="s">
        <v>131</v>
      </c>
      <c r="CL1739" t="str">
        <f>""</f>
        <v/>
      </c>
      <c r="CM1739" t="str">
        <f>""</f>
        <v/>
      </c>
      <c r="CN1739" t="str">
        <f>""</f>
        <v/>
      </c>
      <c r="CO1739" t="str">
        <f>""</f>
        <v/>
      </c>
      <c r="CP1739" t="str">
        <f>"29-1063.00"</f>
        <v>29-1063.00</v>
      </c>
      <c r="CQ1739" t="s">
        <v>5210</v>
      </c>
      <c r="CS1739" t="s">
        <v>131</v>
      </c>
      <c r="CU1739" t="s">
        <v>18101</v>
      </c>
      <c r="CW1739" t="s">
        <v>14660</v>
      </c>
      <c r="CX1739" t="s">
        <v>229</v>
      </c>
      <c r="CZ1739" s="3" t="str">
        <f>"46360"</f>
        <v>46360</v>
      </c>
      <c r="DA1739" t="s">
        <v>131</v>
      </c>
      <c r="DB1739" t="str">
        <f>""</f>
        <v/>
      </c>
      <c r="DF1739" t="str">
        <f>""</f>
        <v/>
      </c>
    </row>
    <row r="1740" spans="1:110" ht="15" customHeight="1" x14ac:dyDescent="0.35">
      <c r="A1740" t="s">
        <v>14198</v>
      </c>
      <c r="B1740" t="s">
        <v>138</v>
      </c>
      <c r="C1740" s="1">
        <v>44343</v>
      </c>
      <c r="G1740" s="1">
        <v>44344</v>
      </c>
      <c r="H1740" t="s">
        <v>125</v>
      </c>
      <c r="I1740" t="s">
        <v>14199</v>
      </c>
      <c r="J1740" t="s">
        <v>14200</v>
      </c>
      <c r="L1740" t="s">
        <v>223</v>
      </c>
      <c r="M1740" t="s">
        <v>14201</v>
      </c>
      <c r="N1740" t="s">
        <v>14202</v>
      </c>
      <c r="O1740" t="s">
        <v>14203</v>
      </c>
      <c r="P1740" t="s">
        <v>1217</v>
      </c>
      <c r="Q1740" s="3">
        <v>35209</v>
      </c>
      <c r="R1740" t="s">
        <v>128</v>
      </c>
      <c r="T1740" s="4">
        <v>12059948266</v>
      </c>
      <c r="V1740" t="s">
        <v>14204</v>
      </c>
      <c r="W1740" t="s">
        <v>14205</v>
      </c>
      <c r="X1740" t="s">
        <v>14205</v>
      </c>
      <c r="Y1740" t="s">
        <v>14201</v>
      </c>
      <c r="Z1740" t="s">
        <v>14202</v>
      </c>
      <c r="AA1740" t="s">
        <v>14203</v>
      </c>
      <c r="AB1740" t="s">
        <v>1218</v>
      </c>
      <c r="AC1740" s="3" t="str">
        <f>"35209"</f>
        <v>35209</v>
      </c>
      <c r="AD1740" t="s">
        <v>128</v>
      </c>
      <c r="AF1740" s="4">
        <v>12059948266</v>
      </c>
      <c r="AH1740" t="str">
        <f>"621511"</f>
        <v>621511</v>
      </c>
      <c r="AI1740" t="s">
        <v>130</v>
      </c>
      <c r="AJ1740" t="s">
        <v>3588</v>
      </c>
      <c r="AK1740" t="s">
        <v>250</v>
      </c>
      <c r="AL1740" t="s">
        <v>3589</v>
      </c>
      <c r="AM1740" t="s">
        <v>3590</v>
      </c>
      <c r="AN1740" t="s">
        <v>3591</v>
      </c>
      <c r="AO1740" t="s">
        <v>399</v>
      </c>
      <c r="AP1740" t="s">
        <v>400</v>
      </c>
      <c r="AQ1740" s="5">
        <v>75287</v>
      </c>
      <c r="AR1740" t="s">
        <v>128</v>
      </c>
      <c r="AT1740" s="4">
        <v>19722414698</v>
      </c>
      <c r="AV1740" t="s">
        <v>3592</v>
      </c>
      <c r="AW1740" t="s">
        <v>3593</v>
      </c>
      <c r="AX1740" t="s">
        <v>131</v>
      </c>
      <c r="AY1740" t="s">
        <v>131</v>
      </c>
      <c r="AZ1740" t="s">
        <v>131</v>
      </c>
      <c r="BA1740" t="s">
        <v>131</v>
      </c>
      <c r="BB1740" t="s">
        <v>131</v>
      </c>
      <c r="BC1740" t="s">
        <v>131</v>
      </c>
      <c r="BD1740" t="s">
        <v>131</v>
      </c>
      <c r="BE1740" t="s">
        <v>132</v>
      </c>
      <c r="BH1740" t="s">
        <v>14206</v>
      </c>
      <c r="BI1740" t="s">
        <v>131</v>
      </c>
      <c r="BL1740" t="s">
        <v>188</v>
      </c>
      <c r="BN1740" t="s">
        <v>14207</v>
      </c>
      <c r="BO1740" t="s">
        <v>131</v>
      </c>
      <c r="BP1740" t="s">
        <v>134</v>
      </c>
      <c r="BQ1740" t="s">
        <v>131</v>
      </c>
      <c r="BS1740" t="str">
        <f t="shared" si="106"/>
        <v>N/A</v>
      </c>
      <c r="BT1740" t="s">
        <v>135</v>
      </c>
      <c r="BU1740">
        <v>24</v>
      </c>
      <c r="BV1740" t="str">
        <f>"N/A"</f>
        <v>N/A</v>
      </c>
      <c r="BW1740" t="s">
        <v>135</v>
      </c>
      <c r="BX1740" t="str">
        <f>""</f>
        <v/>
      </c>
      <c r="BY1740" t="str">
        <f>""</f>
        <v/>
      </c>
      <c r="BZ1740" t="str">
        <f>""</f>
        <v/>
      </c>
      <c r="CA1740" t="str">
        <f>"Experience must include SQL Server, SSIS, Oracle, SSRS, SAP."</f>
        <v>Experience must include SQL Server, SSIS, Oracle, SSRS, SAP.</v>
      </c>
      <c r="CB1740" t="s">
        <v>131</v>
      </c>
      <c r="CF1740" t="s">
        <v>131</v>
      </c>
      <c r="CH1740" t="str">
        <f>""</f>
        <v/>
      </c>
      <c r="CI1740" t="s">
        <v>131</v>
      </c>
      <c r="CK1740" t="s">
        <v>131</v>
      </c>
      <c r="CL1740" t="str">
        <f>""</f>
        <v/>
      </c>
      <c r="CM1740" t="str">
        <f>""</f>
        <v/>
      </c>
      <c r="CN1740" t="str">
        <f>""</f>
        <v/>
      </c>
      <c r="CO1740" t="str">
        <f>""</f>
        <v/>
      </c>
      <c r="CP1740" t="str">
        <f>"15-1121.00"</f>
        <v>15-1121.00</v>
      </c>
      <c r="CQ1740" t="s">
        <v>283</v>
      </c>
      <c r="CS1740" t="s">
        <v>135</v>
      </c>
      <c r="CT1740" t="s">
        <v>3595</v>
      </c>
      <c r="CU1740" t="s">
        <v>14208</v>
      </c>
      <c r="CV1740" t="s">
        <v>3595</v>
      </c>
      <c r="CW1740" t="s">
        <v>6965</v>
      </c>
      <c r="CX1740" t="s">
        <v>1218</v>
      </c>
      <c r="CZ1740" s="3" t="str">
        <f>"35209"</f>
        <v>35209</v>
      </c>
      <c r="DA1740" t="s">
        <v>131</v>
      </c>
      <c r="DB1740" t="str">
        <f>""</f>
        <v/>
      </c>
      <c r="DF1740" t="str">
        <f>""</f>
        <v/>
      </c>
    </row>
    <row r="1741" spans="1:110" ht="15" customHeight="1" x14ac:dyDescent="0.35">
      <c r="A1741" t="s">
        <v>15072</v>
      </c>
      <c r="B1741" t="s">
        <v>138</v>
      </c>
      <c r="C1741" s="1">
        <v>44343</v>
      </c>
      <c r="G1741" s="1">
        <v>44369</v>
      </c>
      <c r="H1741" t="s">
        <v>125</v>
      </c>
      <c r="I1741" t="s">
        <v>7291</v>
      </c>
      <c r="J1741" t="s">
        <v>7292</v>
      </c>
      <c r="L1741" t="s">
        <v>7293</v>
      </c>
      <c r="M1741" t="s">
        <v>517</v>
      </c>
      <c r="N1741" t="s">
        <v>7294</v>
      </c>
      <c r="O1741" t="s">
        <v>2145</v>
      </c>
      <c r="P1741" t="s">
        <v>127</v>
      </c>
      <c r="Q1741" s="3">
        <v>10018</v>
      </c>
      <c r="R1741" t="s">
        <v>128</v>
      </c>
      <c r="T1741" s="4">
        <v>16468616942</v>
      </c>
      <c r="V1741" t="s">
        <v>7295</v>
      </c>
      <c r="W1741" t="s">
        <v>7296</v>
      </c>
      <c r="Y1741" t="s">
        <v>7297</v>
      </c>
      <c r="Z1741" t="s">
        <v>1575</v>
      </c>
      <c r="AA1741" t="s">
        <v>2145</v>
      </c>
      <c r="AB1741" t="s">
        <v>129</v>
      </c>
      <c r="AC1741" s="3" t="str">
        <f>"10017"</f>
        <v>10017</v>
      </c>
      <c r="AD1741" t="s">
        <v>128</v>
      </c>
      <c r="AF1741" s="4">
        <v>12124151882</v>
      </c>
      <c r="AH1741" t="str">
        <f>"54161"</f>
        <v>54161</v>
      </c>
      <c r="AI1741" t="s">
        <v>130</v>
      </c>
      <c r="AJ1741" t="s">
        <v>7291</v>
      </c>
      <c r="AK1741" t="s">
        <v>7292</v>
      </c>
      <c r="AM1741" t="s">
        <v>514</v>
      </c>
      <c r="AN1741" t="s">
        <v>515</v>
      </c>
      <c r="AO1741" t="s">
        <v>2145</v>
      </c>
      <c r="AP1741" t="s">
        <v>129</v>
      </c>
      <c r="AQ1741" s="5">
        <v>10018</v>
      </c>
      <c r="AR1741" t="s">
        <v>128</v>
      </c>
      <c r="AT1741" s="4">
        <v>16468616942</v>
      </c>
      <c r="AV1741" t="s">
        <v>7295</v>
      </c>
      <c r="AW1741" t="s">
        <v>517</v>
      </c>
      <c r="AX1741" t="s">
        <v>131</v>
      </c>
      <c r="AY1741" t="s">
        <v>131</v>
      </c>
      <c r="AZ1741" t="s">
        <v>131</v>
      </c>
      <c r="BA1741" t="s">
        <v>131</v>
      </c>
      <c r="BB1741" t="s">
        <v>131</v>
      </c>
      <c r="BC1741" t="s">
        <v>131</v>
      </c>
      <c r="BD1741" t="s">
        <v>131</v>
      </c>
      <c r="BE1741" t="s">
        <v>132</v>
      </c>
      <c r="BH1741" t="s">
        <v>13451</v>
      </c>
      <c r="BI1741" t="s">
        <v>135</v>
      </c>
      <c r="BJ1741" t="s">
        <v>4062</v>
      </c>
      <c r="BK1741" t="s">
        <v>292</v>
      </c>
      <c r="BL1741" t="s">
        <v>188</v>
      </c>
      <c r="BN1741" t="s">
        <v>15073</v>
      </c>
      <c r="BO1741" t="s">
        <v>131</v>
      </c>
      <c r="BP1741" t="s">
        <v>134</v>
      </c>
      <c r="BQ1741" t="s">
        <v>131</v>
      </c>
      <c r="BS1741" t="str">
        <f t="shared" si="106"/>
        <v>N/A</v>
      </c>
      <c r="BT1741" t="s">
        <v>135</v>
      </c>
      <c r="BU1741">
        <v>36</v>
      </c>
      <c r="BV1741" t="str">
        <f>"Any meeting the requirements of F.b.5.a"</f>
        <v>Any meeting the requirements of F.b.5.a</v>
      </c>
      <c r="BW1741" t="s">
        <v>135</v>
      </c>
      <c r="BX1741" t="str">
        <f>""</f>
        <v/>
      </c>
      <c r="BY1741" t="str">
        <f>""</f>
        <v/>
      </c>
      <c r="BZ1741" t="str">
        <f>""</f>
        <v/>
      </c>
      <c r="CA1741" t="s">
        <v>15074</v>
      </c>
      <c r="CB1741" t="s">
        <v>131</v>
      </c>
      <c r="CF1741" t="s">
        <v>131</v>
      </c>
      <c r="CH1741" t="str">
        <f>""</f>
        <v/>
      </c>
      <c r="CI1741" t="s">
        <v>131</v>
      </c>
      <c r="CK1741" t="s">
        <v>131</v>
      </c>
      <c r="CL1741" t="str">
        <f>""</f>
        <v/>
      </c>
      <c r="CM1741" t="str">
        <f>""</f>
        <v/>
      </c>
      <c r="CN1741" t="str">
        <f>""</f>
        <v/>
      </c>
      <c r="CO1741" t="str">
        <f>""</f>
        <v/>
      </c>
      <c r="CP1741" t="str">
        <f>"13-1111.00"</f>
        <v>13-1111.00</v>
      </c>
      <c r="CQ1741" t="s">
        <v>292</v>
      </c>
      <c r="CR1741" t="s">
        <v>13452</v>
      </c>
      <c r="CS1741" t="s">
        <v>131</v>
      </c>
      <c r="CU1741" t="s">
        <v>5924</v>
      </c>
      <c r="CV1741" t="s">
        <v>13453</v>
      </c>
      <c r="CW1741" t="s">
        <v>220</v>
      </c>
      <c r="CX1741" t="s">
        <v>172</v>
      </c>
      <c r="CZ1741" s="3" t="str">
        <f>"94104"</f>
        <v>94104</v>
      </c>
      <c r="DA1741" t="s">
        <v>131</v>
      </c>
      <c r="DB1741" t="str">
        <f>""</f>
        <v/>
      </c>
      <c r="DF1741" t="str">
        <f>""</f>
        <v/>
      </c>
    </row>
    <row r="1742" spans="1:110" ht="15" customHeight="1" x14ac:dyDescent="0.35">
      <c r="A1742" t="s">
        <v>10319</v>
      </c>
      <c r="B1742" t="s">
        <v>138</v>
      </c>
      <c r="C1742" s="1">
        <v>44343</v>
      </c>
      <c r="G1742" s="1">
        <v>44344</v>
      </c>
      <c r="H1742" t="s">
        <v>125</v>
      </c>
      <c r="I1742" t="s">
        <v>4777</v>
      </c>
      <c r="J1742" t="s">
        <v>4778</v>
      </c>
      <c r="L1742" t="s">
        <v>4779</v>
      </c>
      <c r="M1742" t="s">
        <v>4787</v>
      </c>
      <c r="O1742" t="s">
        <v>4784</v>
      </c>
      <c r="P1742" t="s">
        <v>676</v>
      </c>
      <c r="Q1742" s="3">
        <v>52498</v>
      </c>
      <c r="R1742" t="s">
        <v>128</v>
      </c>
      <c r="T1742" s="4">
        <v>14102662048</v>
      </c>
      <c r="V1742" t="s">
        <v>4780</v>
      </c>
      <c r="W1742" t="s">
        <v>4785</v>
      </c>
      <c r="X1742" t="s">
        <v>4786</v>
      </c>
      <c r="Y1742" t="s">
        <v>4787</v>
      </c>
      <c r="AA1742" t="s">
        <v>4784</v>
      </c>
      <c r="AB1742" t="s">
        <v>605</v>
      </c>
      <c r="AC1742" s="3" t="str">
        <f>"52498"</f>
        <v>52498</v>
      </c>
      <c r="AD1742" t="s">
        <v>128</v>
      </c>
      <c r="AF1742" s="4">
        <v>14102662048</v>
      </c>
      <c r="AH1742" t="str">
        <f>"336413"</f>
        <v>336413</v>
      </c>
      <c r="AI1742" t="s">
        <v>130</v>
      </c>
      <c r="AJ1742" t="s">
        <v>4782</v>
      </c>
      <c r="AK1742" t="s">
        <v>957</v>
      </c>
      <c r="AL1742" t="s">
        <v>655</v>
      </c>
      <c r="AM1742" t="s">
        <v>2815</v>
      </c>
      <c r="AO1742" t="s">
        <v>2816</v>
      </c>
      <c r="AP1742" t="s">
        <v>703</v>
      </c>
      <c r="AQ1742" s="5">
        <v>6103</v>
      </c>
      <c r="AR1742" t="s">
        <v>128</v>
      </c>
      <c r="AT1742" s="4">
        <v>18602758344</v>
      </c>
      <c r="AV1742" t="s">
        <v>4783</v>
      </c>
      <c r="AW1742" t="s">
        <v>2817</v>
      </c>
      <c r="AX1742" t="s">
        <v>131</v>
      </c>
      <c r="AY1742" t="s">
        <v>131</v>
      </c>
      <c r="AZ1742" t="s">
        <v>131</v>
      </c>
      <c r="BA1742" t="s">
        <v>131</v>
      </c>
      <c r="BB1742" t="s">
        <v>131</v>
      </c>
      <c r="BC1742" t="s">
        <v>131</v>
      </c>
      <c r="BD1742" t="s">
        <v>131</v>
      </c>
      <c r="BE1742" t="s">
        <v>132</v>
      </c>
      <c r="BH1742" t="s">
        <v>10320</v>
      </c>
      <c r="BI1742" t="s">
        <v>131</v>
      </c>
      <c r="BL1742" t="s">
        <v>133</v>
      </c>
      <c r="BN1742" t="s">
        <v>10321</v>
      </c>
      <c r="BO1742" t="s">
        <v>131</v>
      </c>
      <c r="BP1742" t="s">
        <v>134</v>
      </c>
      <c r="BQ1742" t="s">
        <v>131</v>
      </c>
      <c r="BS1742" t="str">
        <f t="shared" si="106"/>
        <v>N/A</v>
      </c>
      <c r="BT1742" t="s">
        <v>135</v>
      </c>
      <c r="BU1742">
        <v>60</v>
      </c>
      <c r="BV1742" t="str">
        <f>"Progressive experience in FPGA design and verification."</f>
        <v>Progressive experience in FPGA design and verification.</v>
      </c>
      <c r="BW1742" t="s">
        <v>135</v>
      </c>
      <c r="BX1742" t="str">
        <f>""</f>
        <v/>
      </c>
      <c r="BY1742" t="str">
        <f>""</f>
        <v/>
      </c>
      <c r="BZ1742" t="str">
        <f>""</f>
        <v/>
      </c>
      <c r="CA1742" t="s">
        <v>10322</v>
      </c>
      <c r="CB1742" t="s">
        <v>131</v>
      </c>
      <c r="CF1742" t="s">
        <v>131</v>
      </c>
      <c r="CH1742" t="str">
        <f>""</f>
        <v/>
      </c>
      <c r="CI1742" t="s">
        <v>131</v>
      </c>
      <c r="CK1742" t="s">
        <v>131</v>
      </c>
      <c r="CL1742" t="str">
        <f>""</f>
        <v/>
      </c>
      <c r="CM1742" t="str">
        <f>""</f>
        <v/>
      </c>
      <c r="CN1742" t="str">
        <f>""</f>
        <v/>
      </c>
      <c r="CO1742" t="str">
        <f>""</f>
        <v/>
      </c>
      <c r="CP1742" t="str">
        <f>"17-2072.00"</f>
        <v>17-2072.00</v>
      </c>
      <c r="CQ1742" t="s">
        <v>865</v>
      </c>
      <c r="CR1742" t="s">
        <v>5721</v>
      </c>
      <c r="CS1742" t="s">
        <v>131</v>
      </c>
      <c r="CU1742" t="s">
        <v>4787</v>
      </c>
      <c r="CW1742" t="s">
        <v>4784</v>
      </c>
      <c r="CX1742" t="s">
        <v>605</v>
      </c>
      <c r="CZ1742" s="3" t="str">
        <f>"52498"</f>
        <v>52498</v>
      </c>
      <c r="DA1742" t="s">
        <v>131</v>
      </c>
      <c r="DB1742" t="str">
        <f>""</f>
        <v/>
      </c>
      <c r="DF1742" t="str">
        <f>""</f>
        <v/>
      </c>
    </row>
    <row r="1743" spans="1:110" ht="15" customHeight="1" x14ac:dyDescent="0.35">
      <c r="A1743" t="s">
        <v>18511</v>
      </c>
      <c r="B1743" t="s">
        <v>138</v>
      </c>
      <c r="C1743" s="1">
        <v>44343</v>
      </c>
      <c r="G1743" s="1">
        <v>44355</v>
      </c>
      <c r="H1743" t="s">
        <v>125</v>
      </c>
      <c r="I1743" t="s">
        <v>1178</v>
      </c>
      <c r="J1743" t="s">
        <v>1179</v>
      </c>
      <c r="K1743" t="s">
        <v>134</v>
      </c>
      <c r="L1743" t="s">
        <v>1180</v>
      </c>
      <c r="M1743" t="s">
        <v>1181</v>
      </c>
      <c r="N1743" t="s">
        <v>1182</v>
      </c>
      <c r="O1743" t="s">
        <v>1183</v>
      </c>
      <c r="P1743" t="s">
        <v>178</v>
      </c>
      <c r="Q1743" s="3">
        <v>92821</v>
      </c>
      <c r="R1743" t="s">
        <v>128</v>
      </c>
      <c r="T1743" s="4">
        <v>17145797979</v>
      </c>
      <c r="V1743" t="s">
        <v>15975</v>
      </c>
      <c r="W1743" t="s">
        <v>1184</v>
      </c>
      <c r="X1743" t="s">
        <v>134</v>
      </c>
      <c r="Y1743" t="s">
        <v>1181</v>
      </c>
      <c r="Z1743" t="s">
        <v>1182</v>
      </c>
      <c r="AA1743" t="s">
        <v>1183</v>
      </c>
      <c r="AB1743" t="s">
        <v>172</v>
      </c>
      <c r="AC1743" s="3" t="str">
        <f>"92821"</f>
        <v>92821</v>
      </c>
      <c r="AD1743" t="s">
        <v>128</v>
      </c>
      <c r="AE1743" t="s">
        <v>134</v>
      </c>
      <c r="AF1743" s="4">
        <v>17145797979</v>
      </c>
      <c r="AH1743" t="str">
        <f>"541511"</f>
        <v>541511</v>
      </c>
      <c r="AI1743" t="s">
        <v>130</v>
      </c>
      <c r="AJ1743" t="s">
        <v>1185</v>
      </c>
      <c r="AK1743" t="s">
        <v>1186</v>
      </c>
      <c r="AL1743" t="s">
        <v>1187</v>
      </c>
      <c r="AM1743" t="s">
        <v>1188</v>
      </c>
      <c r="AO1743" t="s">
        <v>1189</v>
      </c>
      <c r="AP1743" t="s">
        <v>172</v>
      </c>
      <c r="AQ1743" s="5">
        <v>95054</v>
      </c>
      <c r="AR1743" t="s">
        <v>128</v>
      </c>
      <c r="AT1743" s="4">
        <v>14085650608</v>
      </c>
      <c r="AV1743" t="s">
        <v>1190</v>
      </c>
      <c r="AW1743" t="s">
        <v>1191</v>
      </c>
      <c r="AX1743" t="s">
        <v>131</v>
      </c>
      <c r="AY1743" t="s">
        <v>131</v>
      </c>
      <c r="AZ1743" t="s">
        <v>131</v>
      </c>
      <c r="BA1743" t="s">
        <v>131</v>
      </c>
      <c r="BB1743" t="s">
        <v>131</v>
      </c>
      <c r="BC1743" t="s">
        <v>131</v>
      </c>
      <c r="BD1743" t="s">
        <v>131</v>
      </c>
      <c r="BE1743" t="s">
        <v>132</v>
      </c>
      <c r="BH1743" t="s">
        <v>11613</v>
      </c>
      <c r="BI1743" t="s">
        <v>131</v>
      </c>
      <c r="BL1743" t="s">
        <v>188</v>
      </c>
      <c r="BN1743" t="s">
        <v>1192</v>
      </c>
      <c r="BO1743" t="s">
        <v>131</v>
      </c>
      <c r="BP1743" t="s">
        <v>134</v>
      </c>
      <c r="BQ1743" t="s">
        <v>131</v>
      </c>
      <c r="BS1743" t="str">
        <f t="shared" si="106"/>
        <v>N/A</v>
      </c>
      <c r="BT1743" t="s">
        <v>135</v>
      </c>
      <c r="BU1743">
        <v>24</v>
      </c>
      <c r="BV1743" t="str">
        <f>"Computer Programmer, Software Engineer, Job Offer related work."</f>
        <v>Computer Programmer, Software Engineer, Job Offer related work.</v>
      </c>
      <c r="BW1743" t="s">
        <v>131</v>
      </c>
      <c r="BX1743" t="str">
        <f>""</f>
        <v/>
      </c>
      <c r="BY1743" t="str">
        <f>""</f>
        <v/>
      </c>
      <c r="BZ1743" t="str">
        <f>""</f>
        <v/>
      </c>
      <c r="CA1743" t="str">
        <f>""</f>
        <v/>
      </c>
      <c r="CB1743" t="s">
        <v>135</v>
      </c>
      <c r="CC1743" t="s">
        <v>133</v>
      </c>
      <c r="CE1743" t="s">
        <v>1192</v>
      </c>
      <c r="CF1743" t="s">
        <v>131</v>
      </c>
      <c r="CH1743" t="str">
        <f>"N/A"</f>
        <v>N/A</v>
      </c>
      <c r="CI1743" t="s">
        <v>135</v>
      </c>
      <c r="CJ1743">
        <v>60</v>
      </c>
      <c r="CK1743" t="s">
        <v>131</v>
      </c>
      <c r="CL1743" t="str">
        <f>""</f>
        <v/>
      </c>
      <c r="CM1743" t="str">
        <f>""</f>
        <v/>
      </c>
      <c r="CN1743" t="str">
        <f>""</f>
        <v/>
      </c>
      <c r="CO1743" t="str">
        <f>""</f>
        <v/>
      </c>
      <c r="CP1743" t="str">
        <f>"15-1132.00"</f>
        <v>15-1132.00</v>
      </c>
      <c r="CQ1743" t="s">
        <v>198</v>
      </c>
      <c r="CR1743" t="s">
        <v>849</v>
      </c>
      <c r="CS1743" t="s">
        <v>135</v>
      </c>
      <c r="CT1743" t="s">
        <v>1193</v>
      </c>
      <c r="CU1743" t="s">
        <v>1194</v>
      </c>
      <c r="CV1743" t="s">
        <v>1195</v>
      </c>
      <c r="CW1743" t="s">
        <v>1183</v>
      </c>
      <c r="CX1743" t="s">
        <v>172</v>
      </c>
      <c r="CZ1743" s="3" t="str">
        <f>"92821"</f>
        <v>92821</v>
      </c>
      <c r="DA1743" t="s">
        <v>131</v>
      </c>
      <c r="DB1743" t="str">
        <f>""</f>
        <v/>
      </c>
      <c r="DF1743" t="str">
        <f>""</f>
        <v/>
      </c>
    </row>
    <row r="1744" spans="1:110" ht="15" customHeight="1" x14ac:dyDescent="0.35">
      <c r="A1744" t="s">
        <v>17779</v>
      </c>
      <c r="B1744" t="s">
        <v>138</v>
      </c>
      <c r="C1744" s="1">
        <v>44343</v>
      </c>
      <c r="G1744" s="1">
        <v>44369</v>
      </c>
      <c r="H1744" t="s">
        <v>125</v>
      </c>
      <c r="I1744" t="s">
        <v>7291</v>
      </c>
      <c r="J1744" t="s">
        <v>7292</v>
      </c>
      <c r="L1744" t="s">
        <v>7293</v>
      </c>
      <c r="M1744" t="s">
        <v>517</v>
      </c>
      <c r="N1744" t="s">
        <v>7294</v>
      </c>
      <c r="O1744" t="s">
        <v>2145</v>
      </c>
      <c r="P1744" t="s">
        <v>127</v>
      </c>
      <c r="Q1744" s="3">
        <v>10018</v>
      </c>
      <c r="R1744" t="s">
        <v>128</v>
      </c>
      <c r="T1744" s="4">
        <v>16468616942</v>
      </c>
      <c r="V1744" t="s">
        <v>7295</v>
      </c>
      <c r="W1744" t="s">
        <v>7296</v>
      </c>
      <c r="Y1744" t="s">
        <v>7297</v>
      </c>
      <c r="Z1744" t="s">
        <v>17780</v>
      </c>
      <c r="AA1744" t="s">
        <v>2145</v>
      </c>
      <c r="AB1744" t="s">
        <v>129</v>
      </c>
      <c r="AC1744" s="3" t="str">
        <f>"10017"</f>
        <v>10017</v>
      </c>
      <c r="AD1744" t="s">
        <v>128</v>
      </c>
      <c r="AF1744" s="4">
        <v>12124151882</v>
      </c>
      <c r="AH1744" t="str">
        <f>"54161"</f>
        <v>54161</v>
      </c>
      <c r="AI1744" t="s">
        <v>130</v>
      </c>
      <c r="AJ1744" t="s">
        <v>7291</v>
      </c>
      <c r="AK1744" t="s">
        <v>7292</v>
      </c>
      <c r="AM1744" t="s">
        <v>514</v>
      </c>
      <c r="AN1744" t="s">
        <v>17781</v>
      </c>
      <c r="AO1744" t="s">
        <v>2145</v>
      </c>
      <c r="AP1744" t="s">
        <v>129</v>
      </c>
      <c r="AQ1744" s="5">
        <v>10018</v>
      </c>
      <c r="AR1744" t="s">
        <v>128</v>
      </c>
      <c r="AT1744" s="4">
        <v>16468616942</v>
      </c>
      <c r="AV1744" t="s">
        <v>7295</v>
      </c>
      <c r="AW1744" t="s">
        <v>517</v>
      </c>
      <c r="AX1744" t="s">
        <v>131</v>
      </c>
      <c r="AY1744" t="s">
        <v>131</v>
      </c>
      <c r="AZ1744" t="s">
        <v>131</v>
      </c>
      <c r="BA1744" t="s">
        <v>131</v>
      </c>
      <c r="BB1744" t="s">
        <v>131</v>
      </c>
      <c r="BC1744" t="s">
        <v>131</v>
      </c>
      <c r="BD1744" t="s">
        <v>131</v>
      </c>
      <c r="BE1744" t="s">
        <v>132</v>
      </c>
      <c r="BH1744" t="s">
        <v>6045</v>
      </c>
      <c r="BI1744" t="s">
        <v>135</v>
      </c>
      <c r="BJ1744" t="s">
        <v>597</v>
      </c>
      <c r="BK1744" t="s">
        <v>198</v>
      </c>
      <c r="BL1744" t="s">
        <v>188</v>
      </c>
      <c r="BN1744" t="s">
        <v>17782</v>
      </c>
      <c r="BO1744" t="s">
        <v>131</v>
      </c>
      <c r="BP1744" t="s">
        <v>134</v>
      </c>
      <c r="BQ1744" t="s">
        <v>131</v>
      </c>
      <c r="BS1744" t="str">
        <f t="shared" si="106"/>
        <v>N/A</v>
      </c>
      <c r="BT1744" t="s">
        <v>135</v>
      </c>
      <c r="BU1744">
        <v>24</v>
      </c>
      <c r="BV1744" t="str">
        <f>"Any meeting the requirements in F.b.5.a"</f>
        <v>Any meeting the requirements in F.b.5.a</v>
      </c>
      <c r="BW1744" t="s">
        <v>135</v>
      </c>
      <c r="BX1744" t="str">
        <f>""</f>
        <v/>
      </c>
      <c r="BY1744" t="str">
        <f>""</f>
        <v/>
      </c>
      <c r="BZ1744" t="str">
        <f>""</f>
        <v/>
      </c>
      <c r="CA1744" t="s">
        <v>13957</v>
      </c>
      <c r="CB1744" t="s">
        <v>131</v>
      </c>
      <c r="CF1744" t="s">
        <v>131</v>
      </c>
      <c r="CH1744" t="str">
        <f>""</f>
        <v/>
      </c>
      <c r="CI1744" t="s">
        <v>131</v>
      </c>
      <c r="CK1744" t="s">
        <v>131</v>
      </c>
      <c r="CL1744" t="str">
        <f>""</f>
        <v/>
      </c>
      <c r="CM1744" t="str">
        <f>""</f>
        <v/>
      </c>
      <c r="CN1744" t="str">
        <f>""</f>
        <v/>
      </c>
      <c r="CO1744" t="str">
        <f>""</f>
        <v/>
      </c>
      <c r="CP1744" t="str">
        <f>"11-3021.00"</f>
        <v>11-3021.00</v>
      </c>
      <c r="CQ1744" t="s">
        <v>598</v>
      </c>
      <c r="CR1744" t="s">
        <v>12591</v>
      </c>
      <c r="CS1744" t="s">
        <v>131</v>
      </c>
      <c r="CU1744" t="s">
        <v>5924</v>
      </c>
      <c r="CV1744" t="s">
        <v>17783</v>
      </c>
      <c r="CW1744" t="s">
        <v>2238</v>
      </c>
      <c r="CX1744" t="s">
        <v>377</v>
      </c>
      <c r="CZ1744" s="3" t="str">
        <f>"02451"</f>
        <v>02451</v>
      </c>
      <c r="DA1744" t="s">
        <v>131</v>
      </c>
      <c r="DB1744" t="str">
        <f>""</f>
        <v/>
      </c>
      <c r="DF1744" t="str">
        <f>""</f>
        <v/>
      </c>
    </row>
    <row r="1745" spans="1:110" ht="15" customHeight="1" x14ac:dyDescent="0.35">
      <c r="A1745" t="s">
        <v>10268</v>
      </c>
      <c r="B1745" t="s">
        <v>138</v>
      </c>
      <c r="C1745" s="1">
        <v>44343</v>
      </c>
      <c r="G1745" s="1">
        <v>44343</v>
      </c>
      <c r="H1745" t="s">
        <v>125</v>
      </c>
      <c r="I1745" t="s">
        <v>1427</v>
      </c>
      <c r="J1745" t="s">
        <v>1428</v>
      </c>
      <c r="L1745" t="s">
        <v>1429</v>
      </c>
      <c r="M1745" t="s">
        <v>1301</v>
      </c>
      <c r="O1745" t="s">
        <v>664</v>
      </c>
      <c r="P1745" t="s">
        <v>178</v>
      </c>
      <c r="Q1745" s="3">
        <v>95134</v>
      </c>
      <c r="R1745" t="s">
        <v>128</v>
      </c>
      <c r="T1745" s="4">
        <v>14085264000</v>
      </c>
      <c r="V1745" t="s">
        <v>1302</v>
      </c>
      <c r="W1745" t="s">
        <v>1303</v>
      </c>
      <c r="Y1745" t="s">
        <v>1301</v>
      </c>
      <c r="AA1745" t="s">
        <v>664</v>
      </c>
      <c r="AB1745" t="s">
        <v>172</v>
      </c>
      <c r="AC1745" s="3" t="str">
        <f>"95134"</f>
        <v>95134</v>
      </c>
      <c r="AD1745" t="s">
        <v>128</v>
      </c>
      <c r="AF1745" s="4">
        <v>14085264000</v>
      </c>
      <c r="AG1745">
        <v>0</v>
      </c>
      <c r="AH1745" t="str">
        <f>"334111"</f>
        <v>334111</v>
      </c>
      <c r="AI1745" t="s">
        <v>130</v>
      </c>
      <c r="AJ1745" t="s">
        <v>10269</v>
      </c>
      <c r="AK1745" t="s">
        <v>6761</v>
      </c>
      <c r="AM1745" t="s">
        <v>663</v>
      </c>
      <c r="AO1745" t="s">
        <v>664</v>
      </c>
      <c r="AP1745" t="s">
        <v>172</v>
      </c>
      <c r="AQ1745" s="5">
        <v>95134</v>
      </c>
      <c r="AR1745" t="s">
        <v>128</v>
      </c>
      <c r="AS1745" t="s">
        <v>172</v>
      </c>
      <c r="AT1745" s="4">
        <v>14089190600</v>
      </c>
      <c r="AU1745">
        <v>0</v>
      </c>
      <c r="AV1745" t="s">
        <v>1305</v>
      </c>
      <c r="AW1745" t="s">
        <v>386</v>
      </c>
      <c r="AX1745" t="s">
        <v>131</v>
      </c>
      <c r="AY1745" t="s">
        <v>131</v>
      </c>
      <c r="AZ1745" t="s">
        <v>131</v>
      </c>
      <c r="BA1745" t="s">
        <v>131</v>
      </c>
      <c r="BB1745" t="s">
        <v>131</v>
      </c>
      <c r="BC1745" t="s">
        <v>131</v>
      </c>
      <c r="BD1745" t="s">
        <v>131</v>
      </c>
      <c r="BE1745" t="s">
        <v>132</v>
      </c>
      <c r="BH1745" t="s">
        <v>10270</v>
      </c>
      <c r="BI1745" t="s">
        <v>131</v>
      </c>
      <c r="BL1745" t="s">
        <v>133</v>
      </c>
      <c r="BN1745" t="s">
        <v>10271</v>
      </c>
      <c r="BO1745" t="s">
        <v>131</v>
      </c>
      <c r="BP1745" t="s">
        <v>134</v>
      </c>
      <c r="BQ1745" t="s">
        <v>131</v>
      </c>
      <c r="BS1745" t="str">
        <f t="shared" si="106"/>
        <v>N/A</v>
      </c>
      <c r="BT1745" t="s">
        <v>135</v>
      </c>
      <c r="BU1745">
        <v>24</v>
      </c>
      <c r="BV1745" t="str">
        <f>"Job offered or related occupation.  "</f>
        <v xml:space="preserve">Job offered or related occupation.  </v>
      </c>
      <c r="BW1745" t="s">
        <v>135</v>
      </c>
      <c r="BX1745" t="str">
        <f>""</f>
        <v/>
      </c>
      <c r="BY1745" t="str">
        <f>""</f>
        <v/>
      </c>
      <c r="BZ1745" t="str">
        <f>""</f>
        <v/>
      </c>
      <c r="CA1745" t="str">
        <f>"Security Management;  Develop Design Toolkits ;  Information Visualization;  Wireframing; Interaction Design; Persona
"</f>
        <v xml:space="preserve">Security Management;  Develop Design Toolkits ;  Information Visualization;  Wireframing; Interaction Design; Persona
</v>
      </c>
      <c r="CB1745" t="s">
        <v>135</v>
      </c>
      <c r="CC1745" t="s">
        <v>167</v>
      </c>
      <c r="CF1745" t="s">
        <v>131</v>
      </c>
      <c r="CH1745" t="str">
        <f>"N/A"</f>
        <v>N/A</v>
      </c>
      <c r="CI1745" t="s">
        <v>135</v>
      </c>
      <c r="CJ1745">
        <v>48</v>
      </c>
      <c r="CK1745" t="s">
        <v>135</v>
      </c>
      <c r="CL1745" t="str">
        <f>""</f>
        <v/>
      </c>
      <c r="CM1745" t="str">
        <f>""</f>
        <v/>
      </c>
      <c r="CN1745" t="str">
        <f>""</f>
        <v/>
      </c>
      <c r="CO1745" t="str">
        <f>"Security Management;  Develop Design Toolkits ;  Information Visualization;  Wireframing;  Interaction Design; Persona
"</f>
        <v xml:space="preserve">Security Management;  Develop Design Toolkits ;  Information Visualization;  Wireframing;  Interaction Design; Persona
</v>
      </c>
      <c r="CP1745" t="str">
        <f>"15-1133.00"</f>
        <v>15-1133.00</v>
      </c>
      <c r="CQ1745" t="s">
        <v>648</v>
      </c>
      <c r="CR1745" t="s">
        <v>10272</v>
      </c>
      <c r="CS1745" t="s">
        <v>131</v>
      </c>
      <c r="CU1745" t="s">
        <v>10273</v>
      </c>
      <c r="CV1745" t="s">
        <v>1699</v>
      </c>
      <c r="CW1745" t="s">
        <v>521</v>
      </c>
      <c r="CX1745" t="s">
        <v>172</v>
      </c>
      <c r="CZ1745" s="3" t="str">
        <f>"94301"</f>
        <v>94301</v>
      </c>
      <c r="DA1745" t="s">
        <v>131</v>
      </c>
      <c r="DB1745" t="str">
        <f>""</f>
        <v/>
      </c>
      <c r="DF1745" t="str">
        <f>""</f>
        <v/>
      </c>
    </row>
    <row r="1746" spans="1:110" ht="15" customHeight="1" x14ac:dyDescent="0.35">
      <c r="A1746" t="s">
        <v>9429</v>
      </c>
      <c r="B1746" t="s">
        <v>138</v>
      </c>
      <c r="C1746" s="1">
        <v>44343</v>
      </c>
      <c r="G1746" s="1">
        <v>44344</v>
      </c>
      <c r="H1746" t="s">
        <v>125</v>
      </c>
      <c r="I1746" t="s">
        <v>9430</v>
      </c>
      <c r="J1746" t="s">
        <v>4867</v>
      </c>
      <c r="L1746" t="s">
        <v>130</v>
      </c>
      <c r="M1746" t="s">
        <v>9431</v>
      </c>
      <c r="O1746" t="s">
        <v>2482</v>
      </c>
      <c r="P1746" t="s">
        <v>194</v>
      </c>
      <c r="Q1746" s="3">
        <v>32822</v>
      </c>
      <c r="R1746" t="s">
        <v>128</v>
      </c>
      <c r="T1746" s="4">
        <v>14072709554</v>
      </c>
      <c r="V1746" t="s">
        <v>9432</v>
      </c>
      <c r="W1746" t="s">
        <v>9433</v>
      </c>
      <c r="Y1746" t="s">
        <v>9434</v>
      </c>
      <c r="Z1746" t="s">
        <v>3032</v>
      </c>
      <c r="AA1746" t="s">
        <v>2482</v>
      </c>
      <c r="AB1746" t="s">
        <v>195</v>
      </c>
      <c r="AC1746" s="3" t="str">
        <f>"32835"</f>
        <v>32835</v>
      </c>
      <c r="AD1746" t="s">
        <v>128</v>
      </c>
      <c r="AF1746" s="4">
        <v>14073742329</v>
      </c>
      <c r="AH1746" t="str">
        <f>"541219"</f>
        <v>541219</v>
      </c>
      <c r="AI1746" t="s">
        <v>130</v>
      </c>
      <c r="AJ1746" t="s">
        <v>9430</v>
      </c>
      <c r="AK1746" t="s">
        <v>4867</v>
      </c>
      <c r="AM1746" t="s">
        <v>9431</v>
      </c>
      <c r="AO1746" t="s">
        <v>2482</v>
      </c>
      <c r="AP1746" t="s">
        <v>195</v>
      </c>
      <c r="AQ1746" s="5">
        <v>32822</v>
      </c>
      <c r="AR1746" t="s">
        <v>128</v>
      </c>
      <c r="AT1746" s="4">
        <v>14072709554</v>
      </c>
      <c r="AV1746" t="s">
        <v>9432</v>
      </c>
      <c r="AW1746" t="s">
        <v>9435</v>
      </c>
      <c r="AX1746" t="s">
        <v>131</v>
      </c>
      <c r="AY1746" t="s">
        <v>131</v>
      </c>
      <c r="AZ1746" t="s">
        <v>131</v>
      </c>
      <c r="BA1746" t="s">
        <v>131</v>
      </c>
      <c r="BB1746" t="s">
        <v>131</v>
      </c>
      <c r="BC1746" t="s">
        <v>131</v>
      </c>
      <c r="BD1746" t="s">
        <v>131</v>
      </c>
      <c r="BE1746" t="s">
        <v>132</v>
      </c>
      <c r="BH1746" t="s">
        <v>9436</v>
      </c>
      <c r="BI1746" t="s">
        <v>131</v>
      </c>
      <c r="BL1746" t="s">
        <v>188</v>
      </c>
      <c r="BN1746" t="s">
        <v>728</v>
      </c>
      <c r="BO1746" t="s">
        <v>131</v>
      </c>
      <c r="BP1746" t="s">
        <v>134</v>
      </c>
      <c r="BQ1746" t="s">
        <v>131</v>
      </c>
      <c r="BS1746" t="str">
        <f t="shared" si="106"/>
        <v>N/A</v>
      </c>
      <c r="BT1746" t="s">
        <v>131</v>
      </c>
      <c r="BV1746" t="str">
        <f>""</f>
        <v/>
      </c>
      <c r="BW1746" t="s">
        <v>131</v>
      </c>
      <c r="BX1746" t="str">
        <f>""</f>
        <v/>
      </c>
      <c r="BY1746" t="str">
        <f>""</f>
        <v/>
      </c>
      <c r="BZ1746" t="str">
        <f>""</f>
        <v/>
      </c>
      <c r="CA1746" t="str">
        <f>""</f>
        <v/>
      </c>
      <c r="CB1746" t="s">
        <v>131</v>
      </c>
      <c r="CF1746" t="s">
        <v>131</v>
      </c>
      <c r="CH1746" t="str">
        <f>""</f>
        <v/>
      </c>
      <c r="CI1746" t="s">
        <v>131</v>
      </c>
      <c r="CK1746" t="s">
        <v>131</v>
      </c>
      <c r="CL1746" t="str">
        <f>""</f>
        <v/>
      </c>
      <c r="CM1746" t="str">
        <f>""</f>
        <v/>
      </c>
      <c r="CN1746" t="str">
        <f>""</f>
        <v/>
      </c>
      <c r="CO1746" t="str">
        <f>""</f>
        <v/>
      </c>
      <c r="CP1746" t="str">
        <f>"13-1161.00"</f>
        <v>13-1161.00</v>
      </c>
      <c r="CQ1746" t="s">
        <v>252</v>
      </c>
      <c r="CS1746" t="s">
        <v>131</v>
      </c>
      <c r="CU1746" t="s">
        <v>9434</v>
      </c>
      <c r="CV1746" t="s">
        <v>3032</v>
      </c>
      <c r="CW1746" t="s">
        <v>2482</v>
      </c>
      <c r="CX1746" t="s">
        <v>195</v>
      </c>
      <c r="CZ1746" s="3" t="str">
        <f>"32835"</f>
        <v>32835</v>
      </c>
      <c r="DA1746" t="s">
        <v>131</v>
      </c>
      <c r="DB1746" t="str">
        <f>""</f>
        <v/>
      </c>
      <c r="DF1746" t="str">
        <f>""</f>
        <v/>
      </c>
    </row>
    <row r="1747" spans="1:110" ht="15" customHeight="1" x14ac:dyDescent="0.35">
      <c r="A1747" t="s">
        <v>8734</v>
      </c>
      <c r="B1747" t="s">
        <v>138</v>
      </c>
      <c r="C1747" s="1">
        <v>44343</v>
      </c>
      <c r="G1747" s="1">
        <v>44356</v>
      </c>
      <c r="H1747" t="s">
        <v>125</v>
      </c>
      <c r="I1747" t="s">
        <v>8735</v>
      </c>
      <c r="J1747" t="s">
        <v>662</v>
      </c>
      <c r="L1747" t="s">
        <v>4683</v>
      </c>
      <c r="M1747" t="s">
        <v>663</v>
      </c>
      <c r="O1747" t="s">
        <v>664</v>
      </c>
      <c r="P1747" t="s">
        <v>178</v>
      </c>
      <c r="Q1747" s="3">
        <v>95134</v>
      </c>
      <c r="R1747" t="s">
        <v>128</v>
      </c>
      <c r="T1747" s="4">
        <v>14089190600</v>
      </c>
      <c r="V1747" t="s">
        <v>2909</v>
      </c>
      <c r="W1747" t="s">
        <v>1863</v>
      </c>
      <c r="Y1747" t="s">
        <v>1864</v>
      </c>
      <c r="AA1747" t="s">
        <v>664</v>
      </c>
      <c r="AB1747" t="s">
        <v>172</v>
      </c>
      <c r="AC1747" s="3" t="str">
        <f>"95134"</f>
        <v>95134</v>
      </c>
      <c r="AD1747" t="s">
        <v>128</v>
      </c>
      <c r="AF1747" s="4">
        <v>14085444092</v>
      </c>
      <c r="AH1747" t="str">
        <f>"54151"</f>
        <v>54151</v>
      </c>
      <c r="AI1747" t="s">
        <v>130</v>
      </c>
      <c r="AJ1747" t="s">
        <v>8736</v>
      </c>
      <c r="AK1747" t="s">
        <v>4336</v>
      </c>
      <c r="AM1747" t="s">
        <v>663</v>
      </c>
      <c r="AO1747" t="s">
        <v>664</v>
      </c>
      <c r="AP1747" t="s">
        <v>172</v>
      </c>
      <c r="AQ1747" s="5">
        <v>95134</v>
      </c>
      <c r="AR1747" t="s">
        <v>128</v>
      </c>
      <c r="AT1747" s="4">
        <v>14082353579</v>
      </c>
      <c r="AV1747" t="s">
        <v>8737</v>
      </c>
      <c r="AW1747" t="s">
        <v>386</v>
      </c>
      <c r="AX1747" t="s">
        <v>131</v>
      </c>
      <c r="AY1747" t="s">
        <v>131</v>
      </c>
      <c r="AZ1747" t="s">
        <v>131</v>
      </c>
      <c r="BA1747" t="s">
        <v>131</v>
      </c>
      <c r="BB1747" t="s">
        <v>131</v>
      </c>
      <c r="BC1747" t="s">
        <v>131</v>
      </c>
      <c r="BD1747" t="s">
        <v>131</v>
      </c>
      <c r="BE1747" t="s">
        <v>132</v>
      </c>
      <c r="BH1747" t="s">
        <v>8738</v>
      </c>
      <c r="BI1747" t="s">
        <v>131</v>
      </c>
      <c r="BL1747" t="s">
        <v>133</v>
      </c>
      <c r="BN1747" t="s">
        <v>8739</v>
      </c>
      <c r="BO1747" t="s">
        <v>131</v>
      </c>
      <c r="BP1747" t="s">
        <v>134</v>
      </c>
      <c r="BQ1747" t="s">
        <v>131</v>
      </c>
      <c r="BS1747" t="str">
        <f t="shared" si="106"/>
        <v>N/A</v>
      </c>
      <c r="BT1747" t="s">
        <v>135</v>
      </c>
      <c r="BU1747">
        <v>144</v>
      </c>
      <c r="BV1747" t="str">
        <f>"job offered, Software Engineer, System Analyst, Team/Technical Lead, Project Manager, or related occupation"</f>
        <v>job offered, Software Engineer, System Analyst, Team/Technical Lead, Project Manager, or related occupation</v>
      </c>
      <c r="BW1747" t="s">
        <v>131</v>
      </c>
      <c r="BX1747" t="str">
        <f>""</f>
        <v/>
      </c>
      <c r="BY1747" t="str">
        <f>""</f>
        <v/>
      </c>
      <c r="BZ1747" t="str">
        <f>""</f>
        <v/>
      </c>
      <c r="CA1747" t="str">
        <f>""</f>
        <v/>
      </c>
      <c r="CB1747" t="s">
        <v>135</v>
      </c>
      <c r="CC1747" t="s">
        <v>188</v>
      </c>
      <c r="CE1747" t="s">
        <v>8739</v>
      </c>
      <c r="CF1747" t="s">
        <v>131</v>
      </c>
      <c r="CH1747" t="str">
        <f>"N/A"</f>
        <v>N/A</v>
      </c>
      <c r="CI1747" t="s">
        <v>135</v>
      </c>
      <c r="CJ1747">
        <v>120</v>
      </c>
      <c r="CK1747" t="s">
        <v>131</v>
      </c>
      <c r="CL1747" t="str">
        <f>""</f>
        <v/>
      </c>
      <c r="CM1747" t="str">
        <f>""</f>
        <v/>
      </c>
      <c r="CN1747" t="str">
        <f>""</f>
        <v/>
      </c>
      <c r="CO1747" t="str">
        <f>""</f>
        <v/>
      </c>
      <c r="CP1747" t="str">
        <f>"17-2072.00"</f>
        <v>17-2072.00</v>
      </c>
      <c r="CQ1747" t="s">
        <v>865</v>
      </c>
      <c r="CR1747" t="s">
        <v>460</v>
      </c>
      <c r="CS1747" t="s">
        <v>135</v>
      </c>
      <c r="CT1747" t="s">
        <v>8740</v>
      </c>
      <c r="CU1747" t="s">
        <v>1862</v>
      </c>
      <c r="CW1747" t="s">
        <v>664</v>
      </c>
      <c r="CX1747" t="s">
        <v>172</v>
      </c>
      <c r="CZ1747" s="3" t="str">
        <f>"95134"</f>
        <v>95134</v>
      </c>
      <c r="DA1747" t="s">
        <v>131</v>
      </c>
      <c r="DB1747" t="str">
        <f>""</f>
        <v/>
      </c>
      <c r="DF1747" t="str">
        <f>""</f>
        <v/>
      </c>
    </row>
    <row r="1748" spans="1:110" ht="15" customHeight="1" x14ac:dyDescent="0.35">
      <c r="A1748" t="s">
        <v>19075</v>
      </c>
      <c r="B1748" t="s">
        <v>138</v>
      </c>
      <c r="C1748" s="1">
        <v>44343</v>
      </c>
      <c r="G1748" s="1">
        <v>44343</v>
      </c>
      <c r="H1748" t="s">
        <v>125</v>
      </c>
      <c r="I1748" t="s">
        <v>1038</v>
      </c>
      <c r="J1748" t="s">
        <v>737</v>
      </c>
      <c r="K1748" t="s">
        <v>2600</v>
      </c>
      <c r="L1748" t="s">
        <v>7056</v>
      </c>
      <c r="M1748" t="s">
        <v>1039</v>
      </c>
      <c r="O1748" t="s">
        <v>1040</v>
      </c>
      <c r="P1748" t="s">
        <v>412</v>
      </c>
      <c r="Q1748" s="3">
        <v>78758</v>
      </c>
      <c r="R1748" t="s">
        <v>128</v>
      </c>
      <c r="T1748" s="4">
        <v>15127754517</v>
      </c>
      <c r="V1748" t="s">
        <v>1041</v>
      </c>
      <c r="W1748" t="s">
        <v>1042</v>
      </c>
      <c r="Y1748" t="s">
        <v>3440</v>
      </c>
      <c r="Z1748" t="s">
        <v>7057</v>
      </c>
      <c r="AA1748" t="s">
        <v>1040</v>
      </c>
      <c r="AB1748" t="s">
        <v>400</v>
      </c>
      <c r="AC1748" s="3" t="str">
        <f>"78750"</f>
        <v>78750</v>
      </c>
      <c r="AD1748" t="s">
        <v>128</v>
      </c>
      <c r="AF1748" s="4">
        <v>15124595300</v>
      </c>
      <c r="AH1748" t="str">
        <f>"5191"</f>
        <v>5191</v>
      </c>
      <c r="AI1748" t="s">
        <v>130</v>
      </c>
      <c r="AJ1748" t="s">
        <v>7058</v>
      </c>
      <c r="AK1748" t="s">
        <v>7059</v>
      </c>
      <c r="AM1748" t="s">
        <v>4263</v>
      </c>
      <c r="AN1748" t="s">
        <v>2744</v>
      </c>
      <c r="AO1748" t="s">
        <v>371</v>
      </c>
      <c r="AP1748" t="s">
        <v>149</v>
      </c>
      <c r="AQ1748" s="5">
        <v>98104</v>
      </c>
      <c r="AR1748" t="s">
        <v>128</v>
      </c>
      <c r="AT1748" s="4">
        <v>12066221604</v>
      </c>
      <c r="AV1748" t="s">
        <v>7060</v>
      </c>
      <c r="AW1748" t="s">
        <v>4264</v>
      </c>
      <c r="AX1748" t="s">
        <v>131</v>
      </c>
      <c r="AY1748" t="s">
        <v>131</v>
      </c>
      <c r="AZ1748" t="s">
        <v>131</v>
      </c>
      <c r="BA1748" t="s">
        <v>131</v>
      </c>
      <c r="BB1748" t="s">
        <v>131</v>
      </c>
      <c r="BC1748" t="s">
        <v>131</v>
      </c>
      <c r="BD1748" t="s">
        <v>131</v>
      </c>
      <c r="BE1748" t="s">
        <v>132</v>
      </c>
      <c r="BH1748" t="s">
        <v>9743</v>
      </c>
      <c r="BI1748" t="s">
        <v>131</v>
      </c>
      <c r="BL1748" t="s">
        <v>133</v>
      </c>
      <c r="BN1748" t="s">
        <v>2513</v>
      </c>
      <c r="BO1748" t="s">
        <v>131</v>
      </c>
      <c r="BP1748" t="s">
        <v>134</v>
      </c>
      <c r="BQ1748" t="s">
        <v>131</v>
      </c>
      <c r="BS1748" t="str">
        <f t="shared" si="106"/>
        <v>N/A</v>
      </c>
      <c r="BT1748" t="s">
        <v>135</v>
      </c>
      <c r="BU1748">
        <v>12</v>
      </c>
      <c r="BV1748" t="str">
        <f>"Any computer related occupation"</f>
        <v>Any computer related occupation</v>
      </c>
      <c r="BW1748" t="s">
        <v>135</v>
      </c>
      <c r="BX1748" t="str">
        <f>""</f>
        <v/>
      </c>
      <c r="BY1748" t="str">
        <f>""</f>
        <v/>
      </c>
      <c r="BZ1748" t="str">
        <f>""</f>
        <v/>
      </c>
      <c r="CA1748" t="str">
        <f>"See F.a.2."</f>
        <v>See F.a.2.</v>
      </c>
      <c r="CB1748" t="s">
        <v>131</v>
      </c>
      <c r="CF1748" t="s">
        <v>131</v>
      </c>
      <c r="CH1748" t="str">
        <f>""</f>
        <v/>
      </c>
      <c r="CI1748" t="s">
        <v>131</v>
      </c>
      <c r="CK1748" t="s">
        <v>131</v>
      </c>
      <c r="CL1748" t="str">
        <f>""</f>
        <v/>
      </c>
      <c r="CM1748" t="str">
        <f>""</f>
        <v/>
      </c>
      <c r="CN1748" t="str">
        <f>""</f>
        <v/>
      </c>
      <c r="CO1748" t="str">
        <f>""</f>
        <v/>
      </c>
      <c r="CP1748" t="str">
        <f>"15-1121.00"</f>
        <v>15-1121.00</v>
      </c>
      <c r="CQ1748" t="s">
        <v>283</v>
      </c>
      <c r="CR1748" t="s">
        <v>9744</v>
      </c>
      <c r="CS1748" t="s">
        <v>131</v>
      </c>
      <c r="CU1748" t="s">
        <v>1039</v>
      </c>
      <c r="CW1748" t="s">
        <v>1040</v>
      </c>
      <c r="CX1748" t="s">
        <v>400</v>
      </c>
      <c r="CZ1748" s="3" t="str">
        <f>"78758"</f>
        <v>78758</v>
      </c>
      <c r="DA1748" t="s">
        <v>131</v>
      </c>
      <c r="DB1748" t="str">
        <f>""</f>
        <v/>
      </c>
      <c r="DF1748" t="str">
        <f>""</f>
        <v/>
      </c>
    </row>
    <row r="1749" spans="1:110" ht="15" customHeight="1" x14ac:dyDescent="0.35">
      <c r="A1749" t="s">
        <v>3685</v>
      </c>
      <c r="B1749" t="s">
        <v>138</v>
      </c>
      <c r="C1749" s="1">
        <v>44343</v>
      </c>
      <c r="G1749" s="1">
        <v>44377</v>
      </c>
      <c r="H1749" t="s">
        <v>125</v>
      </c>
      <c r="I1749" t="s">
        <v>3686</v>
      </c>
      <c r="J1749" t="s">
        <v>3607</v>
      </c>
      <c r="L1749" t="s">
        <v>3687</v>
      </c>
      <c r="M1749" t="s">
        <v>3688</v>
      </c>
      <c r="O1749" t="s">
        <v>262</v>
      </c>
      <c r="P1749" t="s">
        <v>539</v>
      </c>
      <c r="Q1749" s="3">
        <v>60601</v>
      </c>
      <c r="R1749" t="s">
        <v>128</v>
      </c>
      <c r="T1749" s="4">
        <v>13012870395</v>
      </c>
      <c r="V1749" t="s">
        <v>3689</v>
      </c>
      <c r="W1749" t="s">
        <v>3690</v>
      </c>
      <c r="Y1749" t="s">
        <v>3688</v>
      </c>
      <c r="AA1749" t="s">
        <v>262</v>
      </c>
      <c r="AB1749" t="s">
        <v>263</v>
      </c>
      <c r="AC1749" s="3" t="str">
        <f>"60601"</f>
        <v>60601</v>
      </c>
      <c r="AD1749" t="s">
        <v>128</v>
      </c>
      <c r="AF1749" s="4">
        <v>13123268000</v>
      </c>
      <c r="AH1749" t="str">
        <f>"51821"</f>
        <v>51821</v>
      </c>
      <c r="AI1749" t="s">
        <v>130</v>
      </c>
      <c r="AJ1749" t="s">
        <v>3691</v>
      </c>
      <c r="AK1749" t="s">
        <v>492</v>
      </c>
      <c r="AL1749" t="s">
        <v>387</v>
      </c>
      <c r="AM1749" t="s">
        <v>278</v>
      </c>
      <c r="AN1749" t="s">
        <v>279</v>
      </c>
      <c r="AO1749" t="s">
        <v>3692</v>
      </c>
      <c r="AQ1749" s="5" t="s">
        <v>280</v>
      </c>
      <c r="AR1749" t="s">
        <v>156</v>
      </c>
      <c r="AS1749" t="s">
        <v>216</v>
      </c>
      <c r="AT1749" s="4">
        <v>14169325208</v>
      </c>
      <c r="AV1749" t="s">
        <v>3693</v>
      </c>
      <c r="AW1749" t="s">
        <v>159</v>
      </c>
      <c r="AX1749" t="s">
        <v>131</v>
      </c>
      <c r="AY1749" t="s">
        <v>131</v>
      </c>
      <c r="AZ1749" t="s">
        <v>131</v>
      </c>
      <c r="BA1749" t="s">
        <v>131</v>
      </c>
      <c r="BB1749" t="s">
        <v>131</v>
      </c>
      <c r="BC1749" t="s">
        <v>131</v>
      </c>
      <c r="BD1749" t="s">
        <v>131</v>
      </c>
      <c r="BE1749" t="s">
        <v>132</v>
      </c>
      <c r="BH1749" t="s">
        <v>3694</v>
      </c>
      <c r="BI1749" t="s">
        <v>131</v>
      </c>
      <c r="BL1749" t="s">
        <v>133</v>
      </c>
      <c r="BN1749" t="s">
        <v>1393</v>
      </c>
      <c r="BO1749" t="s">
        <v>131</v>
      </c>
      <c r="BP1749" t="s">
        <v>134</v>
      </c>
      <c r="BQ1749" t="s">
        <v>131</v>
      </c>
      <c r="BS1749" t="str">
        <f t="shared" si="106"/>
        <v>N/A</v>
      </c>
      <c r="BT1749" t="s">
        <v>135</v>
      </c>
      <c r="BU1749">
        <v>120</v>
      </c>
      <c r="BV1749" t="str">
        <f>"SAP ABAP development"</f>
        <v>SAP ABAP development</v>
      </c>
      <c r="BW1749" t="s">
        <v>135</v>
      </c>
      <c r="BX1749" t="str">
        <f>""</f>
        <v/>
      </c>
      <c r="BY1749" t="str">
        <f>""</f>
        <v/>
      </c>
      <c r="BZ1749" t="str">
        <f>""</f>
        <v/>
      </c>
      <c r="CA1749" s="2" t="s">
        <v>3695</v>
      </c>
      <c r="CB1749" t="s">
        <v>131</v>
      </c>
      <c r="CF1749" t="s">
        <v>131</v>
      </c>
      <c r="CH1749" t="str">
        <f>""</f>
        <v/>
      </c>
      <c r="CI1749" t="s">
        <v>131</v>
      </c>
      <c r="CK1749" t="s">
        <v>131</v>
      </c>
      <c r="CL1749" t="str">
        <f>""</f>
        <v/>
      </c>
      <c r="CM1749" t="str">
        <f>""</f>
        <v/>
      </c>
      <c r="CN1749" t="str">
        <f>""</f>
        <v/>
      </c>
      <c r="CO1749" t="str">
        <f>""</f>
        <v/>
      </c>
      <c r="CP1749" t="str">
        <f>"15-1121.00"</f>
        <v>15-1121.00</v>
      </c>
      <c r="CQ1749" t="s">
        <v>283</v>
      </c>
      <c r="CR1749" t="s">
        <v>3696</v>
      </c>
      <c r="CS1749" t="s">
        <v>131</v>
      </c>
      <c r="CU1749" t="s">
        <v>3688</v>
      </c>
      <c r="CW1749" t="s">
        <v>262</v>
      </c>
      <c r="CX1749" t="s">
        <v>263</v>
      </c>
      <c r="CZ1749" s="3" t="str">
        <f>"60601"</f>
        <v>60601</v>
      </c>
      <c r="DA1749" t="s">
        <v>131</v>
      </c>
      <c r="DB1749" t="str">
        <f>""</f>
        <v/>
      </c>
      <c r="DF1749" t="str">
        <f>""</f>
        <v/>
      </c>
    </row>
    <row r="1750" spans="1:110" ht="15" customHeight="1" x14ac:dyDescent="0.35">
      <c r="A1750" t="s">
        <v>8025</v>
      </c>
      <c r="B1750" t="s">
        <v>138</v>
      </c>
      <c r="C1750" s="1">
        <v>44343</v>
      </c>
      <c r="G1750" s="1">
        <v>44344</v>
      </c>
      <c r="H1750" t="s">
        <v>125</v>
      </c>
      <c r="I1750" t="s">
        <v>4669</v>
      </c>
      <c r="J1750" t="s">
        <v>8026</v>
      </c>
      <c r="L1750" t="s">
        <v>286</v>
      </c>
      <c r="M1750" t="s">
        <v>8027</v>
      </c>
      <c r="N1750" t="s">
        <v>8028</v>
      </c>
      <c r="O1750" t="s">
        <v>376</v>
      </c>
      <c r="P1750" t="s">
        <v>720</v>
      </c>
      <c r="Q1750" s="3">
        <v>2108</v>
      </c>
      <c r="R1750" t="s">
        <v>128</v>
      </c>
      <c r="T1750" s="4">
        <v>16178263974</v>
      </c>
      <c r="V1750" t="s">
        <v>8029</v>
      </c>
      <c r="W1750" t="s">
        <v>8030</v>
      </c>
      <c r="X1750" t="s">
        <v>7142</v>
      </c>
      <c r="Y1750" t="s">
        <v>8028</v>
      </c>
      <c r="AA1750" t="s">
        <v>376</v>
      </c>
      <c r="AB1750" t="s">
        <v>377</v>
      </c>
      <c r="AC1750" s="3" t="str">
        <f>"02108"</f>
        <v>02108</v>
      </c>
      <c r="AD1750" t="s">
        <v>128</v>
      </c>
      <c r="AF1750" s="4">
        <v>16178263974</v>
      </c>
      <c r="AH1750" t="str">
        <f>"561320"</f>
        <v>561320</v>
      </c>
      <c r="AI1750" t="s">
        <v>130</v>
      </c>
      <c r="AJ1750" t="s">
        <v>4669</v>
      </c>
      <c r="AK1750" t="s">
        <v>8031</v>
      </c>
      <c r="AL1750" t="s">
        <v>2086</v>
      </c>
      <c r="AM1750" t="s">
        <v>8032</v>
      </c>
      <c r="AN1750" t="s">
        <v>1337</v>
      </c>
      <c r="AO1750" t="s">
        <v>1823</v>
      </c>
      <c r="AP1750" t="s">
        <v>377</v>
      </c>
      <c r="AQ1750" s="5">
        <v>1803</v>
      </c>
      <c r="AR1750" t="s">
        <v>128</v>
      </c>
      <c r="AT1750" s="4">
        <v>16173676750</v>
      </c>
      <c r="AV1750" t="s">
        <v>8033</v>
      </c>
      <c r="AW1750" t="s">
        <v>8034</v>
      </c>
      <c r="AX1750" t="s">
        <v>131</v>
      </c>
      <c r="AY1750" t="s">
        <v>131</v>
      </c>
      <c r="AZ1750" t="s">
        <v>131</v>
      </c>
      <c r="BA1750" t="s">
        <v>131</v>
      </c>
      <c r="BB1750" t="s">
        <v>131</v>
      </c>
      <c r="BC1750" t="s">
        <v>131</v>
      </c>
      <c r="BD1750" t="s">
        <v>131</v>
      </c>
      <c r="BE1750" t="s">
        <v>1948</v>
      </c>
      <c r="BH1750" t="s">
        <v>8035</v>
      </c>
      <c r="BI1750" t="s">
        <v>131</v>
      </c>
      <c r="BL1750" t="s">
        <v>188</v>
      </c>
      <c r="BN1750" t="s">
        <v>8036</v>
      </c>
      <c r="BO1750" t="s">
        <v>131</v>
      </c>
      <c r="BP1750" t="s">
        <v>134</v>
      </c>
      <c r="BQ1750" t="s">
        <v>131</v>
      </c>
      <c r="BS1750" t="str">
        <f t="shared" si="106"/>
        <v>N/A</v>
      </c>
      <c r="BT1750" t="s">
        <v>135</v>
      </c>
      <c r="BU1750">
        <v>24</v>
      </c>
      <c r="BV1750" t="str">
        <f>"** Software industry.**"</f>
        <v>** Software industry.**</v>
      </c>
      <c r="BW1750" t="s">
        <v>135</v>
      </c>
      <c r="BX1750" t="str">
        <f>""</f>
        <v/>
      </c>
      <c r="BY1750" t="str">
        <f>""</f>
        <v/>
      </c>
      <c r="BZ1750" t="str">
        <f>""</f>
        <v/>
      </c>
      <c r="CA1750" t="str">
        <f>"**Position requires two (2) years of experience in  Software industry.**"</f>
        <v>**Position requires two (2) years of experience in  Software industry.**</v>
      </c>
      <c r="CB1750" t="s">
        <v>131</v>
      </c>
      <c r="CF1750" t="s">
        <v>131</v>
      </c>
      <c r="CH1750" t="str">
        <f>""</f>
        <v/>
      </c>
      <c r="CI1750" t="s">
        <v>131</v>
      </c>
      <c r="CK1750" t="s">
        <v>131</v>
      </c>
      <c r="CL1750" t="str">
        <f>""</f>
        <v/>
      </c>
      <c r="CM1750" t="str">
        <f>""</f>
        <v/>
      </c>
      <c r="CN1750" t="str">
        <f>""</f>
        <v/>
      </c>
      <c r="CO1750" t="str">
        <f>""</f>
        <v/>
      </c>
      <c r="CP1750" t="str">
        <f>"15-1199.02"</f>
        <v>15-1199.02</v>
      </c>
      <c r="CQ1750" t="s">
        <v>2269</v>
      </c>
      <c r="CR1750" t="s">
        <v>7142</v>
      </c>
      <c r="CS1750" t="s">
        <v>135</v>
      </c>
      <c r="CT1750" t="s">
        <v>8037</v>
      </c>
      <c r="CU1750" t="s">
        <v>8027</v>
      </c>
      <c r="CV1750" t="s">
        <v>8028</v>
      </c>
      <c r="CW1750" t="s">
        <v>376</v>
      </c>
      <c r="CX1750" t="s">
        <v>377</v>
      </c>
      <c r="CZ1750" s="3" t="str">
        <f>"02108"</f>
        <v>02108</v>
      </c>
      <c r="DA1750" t="s">
        <v>131</v>
      </c>
      <c r="DB1750" t="str">
        <f>""</f>
        <v/>
      </c>
      <c r="DF1750" t="str">
        <f>""</f>
        <v/>
      </c>
    </row>
    <row r="1751" spans="1:110" ht="15" customHeight="1" x14ac:dyDescent="0.35">
      <c r="A1751" t="s">
        <v>15562</v>
      </c>
      <c r="B1751" t="s">
        <v>138</v>
      </c>
      <c r="C1751" s="1">
        <v>44344</v>
      </c>
      <c r="G1751" s="1">
        <v>44344</v>
      </c>
      <c r="H1751" t="s">
        <v>125</v>
      </c>
      <c r="I1751" t="s">
        <v>4676</v>
      </c>
      <c r="J1751" t="s">
        <v>8589</v>
      </c>
      <c r="L1751" t="s">
        <v>3200</v>
      </c>
      <c r="M1751" t="s">
        <v>8590</v>
      </c>
      <c r="O1751" t="s">
        <v>661</v>
      </c>
      <c r="P1751" t="s">
        <v>178</v>
      </c>
      <c r="Q1751" s="3">
        <v>94404</v>
      </c>
      <c r="R1751" t="s">
        <v>128</v>
      </c>
      <c r="T1751" s="4">
        <v>16502728094</v>
      </c>
      <c r="V1751" t="s">
        <v>8591</v>
      </c>
      <c r="W1751" t="s">
        <v>8592</v>
      </c>
      <c r="Y1751" t="s">
        <v>8590</v>
      </c>
      <c r="AA1751" t="s">
        <v>661</v>
      </c>
      <c r="AB1751" t="s">
        <v>172</v>
      </c>
      <c r="AC1751" s="3" t="str">
        <f>"94404"</f>
        <v>94404</v>
      </c>
      <c r="AD1751" t="s">
        <v>128</v>
      </c>
      <c r="AF1751" s="4">
        <v>16502728094</v>
      </c>
      <c r="AH1751" t="str">
        <f>"336111"</f>
        <v>336111</v>
      </c>
      <c r="AI1751" t="s">
        <v>130</v>
      </c>
      <c r="AJ1751" t="s">
        <v>7678</v>
      </c>
      <c r="AK1751" t="s">
        <v>7679</v>
      </c>
      <c r="AM1751" t="s">
        <v>493</v>
      </c>
      <c r="AO1751" t="s">
        <v>3883</v>
      </c>
      <c r="AP1751" t="s">
        <v>129</v>
      </c>
      <c r="AQ1751" s="5">
        <v>10018</v>
      </c>
      <c r="AR1751" t="s">
        <v>128</v>
      </c>
      <c r="AT1751" s="4">
        <v>12126888555</v>
      </c>
      <c r="AV1751" t="s">
        <v>15563</v>
      </c>
      <c r="AW1751" t="s">
        <v>386</v>
      </c>
      <c r="AX1751" t="s">
        <v>131</v>
      </c>
      <c r="AY1751" t="s">
        <v>131</v>
      </c>
      <c r="AZ1751" t="s">
        <v>131</v>
      </c>
      <c r="BA1751" t="s">
        <v>131</v>
      </c>
      <c r="BB1751" t="s">
        <v>131</v>
      </c>
      <c r="BC1751" t="s">
        <v>131</v>
      </c>
      <c r="BD1751" t="s">
        <v>131</v>
      </c>
      <c r="BE1751" t="s">
        <v>132</v>
      </c>
      <c r="BH1751" t="s">
        <v>15564</v>
      </c>
      <c r="BI1751" t="s">
        <v>131</v>
      </c>
      <c r="BL1751" t="s">
        <v>188</v>
      </c>
      <c r="BN1751" t="s">
        <v>15565</v>
      </c>
      <c r="BO1751" t="s">
        <v>131</v>
      </c>
      <c r="BP1751" t="s">
        <v>134</v>
      </c>
      <c r="BQ1751" t="s">
        <v>131</v>
      </c>
      <c r="BS1751" t="str">
        <f t="shared" si="106"/>
        <v>N/A</v>
      </c>
      <c r="BT1751" t="s">
        <v>135</v>
      </c>
      <c r="BU1751">
        <v>24</v>
      </c>
      <c r="BV1751" t="str">
        <f>"Requires two years of experience in a robotics engineering position."</f>
        <v>Requires two years of experience in a robotics engineering position.</v>
      </c>
      <c r="BW1751" t="s">
        <v>135</v>
      </c>
      <c r="BX1751" t="str">
        <f>""</f>
        <v/>
      </c>
      <c r="BY1751" t="str">
        <f>""</f>
        <v/>
      </c>
      <c r="BZ1751" t="str">
        <f>""</f>
        <v/>
      </c>
      <c r="CA1751" s="2" t="s">
        <v>15566</v>
      </c>
      <c r="CB1751" t="s">
        <v>131</v>
      </c>
      <c r="CF1751" t="s">
        <v>131</v>
      </c>
      <c r="CH1751" t="str">
        <f>""</f>
        <v/>
      </c>
      <c r="CI1751" t="s">
        <v>131</v>
      </c>
      <c r="CK1751" t="s">
        <v>131</v>
      </c>
      <c r="CL1751" t="str">
        <f>""</f>
        <v/>
      </c>
      <c r="CM1751" t="str">
        <f>""</f>
        <v/>
      </c>
      <c r="CN1751" t="str">
        <f>""</f>
        <v/>
      </c>
      <c r="CO1751" t="str">
        <f>""</f>
        <v/>
      </c>
      <c r="CP1751" t="str">
        <f>"15-1133.00"</f>
        <v>15-1133.00</v>
      </c>
      <c r="CQ1751" t="s">
        <v>648</v>
      </c>
      <c r="CS1751" t="s">
        <v>131</v>
      </c>
      <c r="CU1751" t="s">
        <v>8590</v>
      </c>
      <c r="CW1751" t="s">
        <v>661</v>
      </c>
      <c r="CX1751" t="s">
        <v>172</v>
      </c>
      <c r="CZ1751" s="3" t="str">
        <f>"94404"</f>
        <v>94404</v>
      </c>
      <c r="DA1751" t="s">
        <v>131</v>
      </c>
      <c r="DB1751" t="str">
        <f>""</f>
        <v/>
      </c>
      <c r="DF1751" t="str">
        <f>""</f>
        <v/>
      </c>
    </row>
    <row r="1752" spans="1:110" ht="15" customHeight="1" x14ac:dyDescent="0.35">
      <c r="A1752" t="s">
        <v>3830</v>
      </c>
      <c r="B1752" t="s">
        <v>138</v>
      </c>
      <c r="C1752" s="1">
        <v>44344</v>
      </c>
      <c r="G1752" s="1">
        <v>44363</v>
      </c>
      <c r="H1752" t="s">
        <v>125</v>
      </c>
      <c r="I1752" t="s">
        <v>3831</v>
      </c>
      <c r="J1752" t="s">
        <v>3832</v>
      </c>
      <c r="L1752" t="s">
        <v>3833</v>
      </c>
      <c r="M1752" t="s">
        <v>3834</v>
      </c>
      <c r="O1752" t="s">
        <v>2072</v>
      </c>
      <c r="P1752" t="s">
        <v>441</v>
      </c>
      <c r="Q1752" s="3">
        <v>43017</v>
      </c>
      <c r="R1752" t="s">
        <v>128</v>
      </c>
      <c r="T1752" s="4">
        <v>1614698322</v>
      </c>
      <c r="V1752" t="s">
        <v>3835</v>
      </c>
      <c r="W1752" t="s">
        <v>3836</v>
      </c>
      <c r="Y1752" t="s">
        <v>3837</v>
      </c>
      <c r="AA1752" t="s">
        <v>2072</v>
      </c>
      <c r="AB1752" t="s">
        <v>444</v>
      </c>
      <c r="AC1752" s="3" t="str">
        <f>"43017"</f>
        <v>43017</v>
      </c>
      <c r="AD1752" t="s">
        <v>128</v>
      </c>
      <c r="AF1752" s="4">
        <v>16146983225</v>
      </c>
      <c r="AG1752">
        <v>0</v>
      </c>
      <c r="AH1752" t="str">
        <f>"423450"</f>
        <v>423450</v>
      </c>
      <c r="AI1752" t="s">
        <v>130</v>
      </c>
      <c r="AJ1752" t="s">
        <v>3838</v>
      </c>
      <c r="AK1752" t="s">
        <v>1278</v>
      </c>
      <c r="AM1752" t="s">
        <v>3839</v>
      </c>
      <c r="AN1752" t="s">
        <v>3185</v>
      </c>
      <c r="AO1752" t="s">
        <v>1175</v>
      </c>
      <c r="AP1752" t="s">
        <v>1176</v>
      </c>
      <c r="AQ1752" s="5">
        <v>68114</v>
      </c>
      <c r="AR1752" t="s">
        <v>128</v>
      </c>
      <c r="AT1752" s="4">
        <v>14023911991</v>
      </c>
      <c r="AV1752" t="s">
        <v>3840</v>
      </c>
      <c r="AW1752" t="s">
        <v>3676</v>
      </c>
      <c r="AX1752" t="s">
        <v>131</v>
      </c>
      <c r="AY1752" t="s">
        <v>131</v>
      </c>
      <c r="AZ1752" t="s">
        <v>131</v>
      </c>
      <c r="BA1752" t="s">
        <v>131</v>
      </c>
      <c r="BB1752" t="s">
        <v>131</v>
      </c>
      <c r="BC1752" t="s">
        <v>131</v>
      </c>
      <c r="BD1752" t="s">
        <v>131</v>
      </c>
      <c r="BE1752" t="s">
        <v>132</v>
      </c>
      <c r="BH1752" t="s">
        <v>3841</v>
      </c>
      <c r="BI1752" t="s">
        <v>131</v>
      </c>
      <c r="BL1752" t="s">
        <v>133</v>
      </c>
      <c r="BN1752" t="s">
        <v>3842</v>
      </c>
      <c r="BO1752" t="s">
        <v>131</v>
      </c>
      <c r="BP1752" t="s">
        <v>134</v>
      </c>
      <c r="BQ1752" t="s">
        <v>131</v>
      </c>
      <c r="BS1752" t="str">
        <f t="shared" si="106"/>
        <v>N/A</v>
      </c>
      <c r="BT1752" t="s">
        <v>135</v>
      </c>
      <c r="BU1752">
        <v>120</v>
      </c>
      <c r="BV1752" t="str">
        <f>"Related Experience "</f>
        <v xml:space="preserve">Related Experience </v>
      </c>
      <c r="BW1752" t="s">
        <v>135</v>
      </c>
      <c r="BX1752" t="str">
        <f>""</f>
        <v/>
      </c>
      <c r="BY1752" t="str">
        <f>""</f>
        <v/>
      </c>
      <c r="BZ1752" t="str">
        <f>""</f>
        <v/>
      </c>
      <c r="CA1752" s="2" t="s">
        <v>3843</v>
      </c>
      <c r="CB1752" t="s">
        <v>135</v>
      </c>
      <c r="CC1752" t="s">
        <v>188</v>
      </c>
      <c r="CE1752" t="s">
        <v>3842</v>
      </c>
      <c r="CF1752" t="s">
        <v>131</v>
      </c>
      <c r="CH1752" t="str">
        <f>"N/A"</f>
        <v>N/A</v>
      </c>
      <c r="CI1752" t="s">
        <v>135</v>
      </c>
      <c r="CJ1752">
        <v>96</v>
      </c>
      <c r="CK1752" t="s">
        <v>135</v>
      </c>
      <c r="CL1752" t="str">
        <f>""</f>
        <v/>
      </c>
      <c r="CM1752" t="str">
        <f>""</f>
        <v/>
      </c>
      <c r="CN1752" t="str">
        <f>""</f>
        <v/>
      </c>
      <c r="CO1752" s="2" t="s">
        <v>3844</v>
      </c>
      <c r="CP1752" t="str">
        <f>"15-1132.00"</f>
        <v>15-1132.00</v>
      </c>
      <c r="CQ1752" t="s">
        <v>198</v>
      </c>
      <c r="CS1752" t="s">
        <v>131</v>
      </c>
      <c r="CU1752" t="s">
        <v>3845</v>
      </c>
      <c r="CW1752" t="s">
        <v>2072</v>
      </c>
      <c r="CX1752" t="s">
        <v>444</v>
      </c>
      <c r="CZ1752" s="3" t="str">
        <f>"43017"</f>
        <v>43017</v>
      </c>
      <c r="DA1752" t="s">
        <v>131</v>
      </c>
      <c r="DB1752" t="str">
        <f>""</f>
        <v/>
      </c>
      <c r="DF1752" t="str">
        <f>""</f>
        <v/>
      </c>
    </row>
    <row r="1753" spans="1:110" ht="15" customHeight="1" x14ac:dyDescent="0.35">
      <c r="A1753" t="s">
        <v>13496</v>
      </c>
      <c r="B1753" t="s">
        <v>138</v>
      </c>
      <c r="C1753" s="1">
        <v>44344</v>
      </c>
      <c r="G1753" s="1">
        <v>44344</v>
      </c>
      <c r="H1753" t="s">
        <v>125</v>
      </c>
      <c r="I1753" t="s">
        <v>13497</v>
      </c>
      <c r="J1753" t="s">
        <v>1444</v>
      </c>
      <c r="L1753" t="s">
        <v>12268</v>
      </c>
      <c r="M1753" t="s">
        <v>13498</v>
      </c>
      <c r="N1753" t="s">
        <v>3135</v>
      </c>
      <c r="O1753" t="s">
        <v>220</v>
      </c>
      <c r="P1753" t="s">
        <v>178</v>
      </c>
      <c r="Q1753" s="3">
        <v>94111</v>
      </c>
      <c r="R1753" t="s">
        <v>128</v>
      </c>
      <c r="T1753" s="4">
        <v>14155902798</v>
      </c>
      <c r="V1753" t="s">
        <v>13499</v>
      </c>
      <c r="W1753" t="s">
        <v>13500</v>
      </c>
      <c r="Y1753" t="s">
        <v>1563</v>
      </c>
      <c r="Z1753" t="s">
        <v>3135</v>
      </c>
      <c r="AA1753" t="s">
        <v>220</v>
      </c>
      <c r="AB1753" t="s">
        <v>172</v>
      </c>
      <c r="AC1753" s="3" t="str">
        <f>"94111"</f>
        <v>94111</v>
      </c>
      <c r="AD1753" t="s">
        <v>128</v>
      </c>
      <c r="AF1753" s="4">
        <v>14155902798</v>
      </c>
      <c r="AH1753" t="str">
        <f>"511210"</f>
        <v>511210</v>
      </c>
      <c r="AI1753" t="s">
        <v>130</v>
      </c>
      <c r="AJ1753" t="s">
        <v>1477</v>
      </c>
      <c r="AK1753" t="s">
        <v>618</v>
      </c>
      <c r="AL1753" t="s">
        <v>3014</v>
      </c>
      <c r="AM1753" t="s">
        <v>3015</v>
      </c>
      <c r="AN1753" t="s">
        <v>2377</v>
      </c>
      <c r="AO1753" t="s">
        <v>1674</v>
      </c>
      <c r="AP1753" t="s">
        <v>1176</v>
      </c>
      <c r="AQ1753" s="5">
        <v>68508</v>
      </c>
      <c r="AR1753" t="s">
        <v>128</v>
      </c>
      <c r="AT1753" s="4">
        <v>14023289899</v>
      </c>
      <c r="AU1753">
        <v>0</v>
      </c>
      <c r="AV1753" t="s">
        <v>3016</v>
      </c>
      <c r="AW1753" t="s">
        <v>3017</v>
      </c>
      <c r="AX1753" t="s">
        <v>131</v>
      </c>
      <c r="AY1753" t="s">
        <v>131</v>
      </c>
      <c r="AZ1753" t="s">
        <v>131</v>
      </c>
      <c r="BA1753" t="s">
        <v>131</v>
      </c>
      <c r="BB1753" t="s">
        <v>131</v>
      </c>
      <c r="BC1753" t="s">
        <v>131</v>
      </c>
      <c r="BD1753" t="s">
        <v>131</v>
      </c>
      <c r="BE1753" t="s">
        <v>132</v>
      </c>
      <c r="BH1753" t="s">
        <v>13501</v>
      </c>
      <c r="BI1753" t="s">
        <v>131</v>
      </c>
      <c r="BL1753" t="s">
        <v>188</v>
      </c>
      <c r="BN1753" t="s">
        <v>13502</v>
      </c>
      <c r="BO1753" t="s">
        <v>131</v>
      </c>
      <c r="BP1753" t="s">
        <v>134</v>
      </c>
      <c r="BQ1753" t="s">
        <v>131</v>
      </c>
      <c r="BS1753" t="str">
        <f t="shared" si="106"/>
        <v>N/A</v>
      </c>
      <c r="BT1753" t="s">
        <v>135</v>
      </c>
      <c r="BU1753">
        <v>24</v>
      </c>
      <c r="BV1753" t="str">
        <f>"job offered or similar position."</f>
        <v>job offered or similar position.</v>
      </c>
      <c r="BW1753" t="s">
        <v>135</v>
      </c>
      <c r="BX1753" t="str">
        <f>""</f>
        <v/>
      </c>
      <c r="BY1753" t="str">
        <f>""</f>
        <v/>
      </c>
      <c r="BZ1753" t="str">
        <f>""</f>
        <v/>
      </c>
      <c r="CA1753" t="s">
        <v>13503</v>
      </c>
      <c r="CB1753" t="s">
        <v>135</v>
      </c>
      <c r="CC1753" t="s">
        <v>133</v>
      </c>
      <c r="CE1753" t="s">
        <v>13502</v>
      </c>
      <c r="CF1753" t="s">
        <v>131</v>
      </c>
      <c r="CH1753" t="str">
        <f>"N/A"</f>
        <v>N/A</v>
      </c>
      <c r="CI1753" t="s">
        <v>135</v>
      </c>
      <c r="CJ1753">
        <v>60</v>
      </c>
      <c r="CK1753" t="s">
        <v>135</v>
      </c>
      <c r="CL1753" t="str">
        <f>""</f>
        <v/>
      </c>
      <c r="CM1753" t="str">
        <f>""</f>
        <v/>
      </c>
      <c r="CN1753" t="str">
        <f>""</f>
        <v/>
      </c>
      <c r="CO1753" t="s">
        <v>13504</v>
      </c>
      <c r="CP1753" t="str">
        <f>"41-9031.00"</f>
        <v>41-9031.00</v>
      </c>
      <c r="CQ1753" t="s">
        <v>1818</v>
      </c>
      <c r="CR1753" t="s">
        <v>13505</v>
      </c>
      <c r="CS1753" t="s">
        <v>135</v>
      </c>
      <c r="CT1753" t="s">
        <v>13506</v>
      </c>
      <c r="CU1753" t="s">
        <v>13498</v>
      </c>
      <c r="CV1753" t="s">
        <v>3135</v>
      </c>
      <c r="CW1753" t="s">
        <v>220</v>
      </c>
      <c r="CX1753" t="s">
        <v>172</v>
      </c>
      <c r="CZ1753" s="3" t="str">
        <f>"94111"</f>
        <v>94111</v>
      </c>
      <c r="DA1753" t="s">
        <v>131</v>
      </c>
      <c r="DB1753" t="str">
        <f>""</f>
        <v/>
      </c>
      <c r="DF1753" t="str">
        <f>""</f>
        <v/>
      </c>
    </row>
    <row r="1754" spans="1:110" ht="15" customHeight="1" x14ac:dyDescent="0.35">
      <c r="A1754" t="s">
        <v>14782</v>
      </c>
      <c r="B1754" t="s">
        <v>138</v>
      </c>
      <c r="C1754" s="1">
        <v>44344</v>
      </c>
      <c r="G1754" s="1">
        <v>44344</v>
      </c>
      <c r="H1754" t="s">
        <v>125</v>
      </c>
      <c r="I1754" t="s">
        <v>13497</v>
      </c>
      <c r="J1754" t="s">
        <v>1444</v>
      </c>
      <c r="L1754" t="s">
        <v>12268</v>
      </c>
      <c r="M1754" t="s">
        <v>1563</v>
      </c>
      <c r="N1754" t="s">
        <v>3135</v>
      </c>
      <c r="O1754" t="s">
        <v>220</v>
      </c>
      <c r="P1754" t="s">
        <v>178</v>
      </c>
      <c r="Q1754" s="3">
        <v>94111</v>
      </c>
      <c r="R1754" t="s">
        <v>128</v>
      </c>
      <c r="T1754" s="4">
        <v>14155902798</v>
      </c>
      <c r="V1754" t="s">
        <v>13499</v>
      </c>
      <c r="W1754" t="s">
        <v>13500</v>
      </c>
      <c r="Y1754" t="s">
        <v>1563</v>
      </c>
      <c r="Z1754" t="s">
        <v>3135</v>
      </c>
      <c r="AA1754" t="s">
        <v>220</v>
      </c>
      <c r="AB1754" t="s">
        <v>172</v>
      </c>
      <c r="AC1754" s="3" t="str">
        <f>"94111"</f>
        <v>94111</v>
      </c>
      <c r="AD1754" t="s">
        <v>128</v>
      </c>
      <c r="AF1754" s="4">
        <v>14155902798</v>
      </c>
      <c r="AH1754" t="str">
        <f>"511210"</f>
        <v>511210</v>
      </c>
      <c r="AI1754" t="s">
        <v>130</v>
      </c>
      <c r="AJ1754" t="s">
        <v>1477</v>
      </c>
      <c r="AK1754" t="s">
        <v>618</v>
      </c>
      <c r="AL1754" t="s">
        <v>3014</v>
      </c>
      <c r="AM1754" t="s">
        <v>3015</v>
      </c>
      <c r="AN1754" t="s">
        <v>2377</v>
      </c>
      <c r="AO1754" t="s">
        <v>1674</v>
      </c>
      <c r="AP1754" t="s">
        <v>1176</v>
      </c>
      <c r="AQ1754" s="5">
        <v>68508</v>
      </c>
      <c r="AR1754" t="s">
        <v>128</v>
      </c>
      <c r="AT1754" s="4">
        <v>14023289899</v>
      </c>
      <c r="AU1754">
        <v>0</v>
      </c>
      <c r="AV1754" t="s">
        <v>3016</v>
      </c>
      <c r="AW1754" t="s">
        <v>3017</v>
      </c>
      <c r="AX1754" t="s">
        <v>131</v>
      </c>
      <c r="AY1754" t="s">
        <v>131</v>
      </c>
      <c r="AZ1754" t="s">
        <v>131</v>
      </c>
      <c r="BA1754" t="s">
        <v>131</v>
      </c>
      <c r="BB1754" t="s">
        <v>131</v>
      </c>
      <c r="BC1754" t="s">
        <v>131</v>
      </c>
      <c r="BD1754" t="s">
        <v>131</v>
      </c>
      <c r="BE1754" t="s">
        <v>132</v>
      </c>
      <c r="BH1754" t="s">
        <v>14783</v>
      </c>
      <c r="BI1754" t="s">
        <v>131</v>
      </c>
      <c r="BL1754" t="s">
        <v>188</v>
      </c>
      <c r="BN1754" t="s">
        <v>14784</v>
      </c>
      <c r="BO1754" t="s">
        <v>131</v>
      </c>
      <c r="BP1754" t="s">
        <v>134</v>
      </c>
      <c r="BQ1754" t="s">
        <v>131</v>
      </c>
      <c r="BS1754" t="str">
        <f t="shared" si="106"/>
        <v>N/A</v>
      </c>
      <c r="BT1754" t="s">
        <v>135</v>
      </c>
      <c r="BU1754">
        <v>24</v>
      </c>
      <c r="BV1754" t="str">
        <f>"Job offered or similar position."</f>
        <v>Job offered or similar position.</v>
      </c>
      <c r="BW1754" t="s">
        <v>135</v>
      </c>
      <c r="BX1754" t="str">
        <f>""</f>
        <v/>
      </c>
      <c r="BY1754" t="str">
        <f>""</f>
        <v/>
      </c>
      <c r="BZ1754" t="str">
        <f>""</f>
        <v/>
      </c>
      <c r="CA1754" s="2" t="s">
        <v>14785</v>
      </c>
      <c r="CB1754" t="s">
        <v>135</v>
      </c>
      <c r="CC1754" t="s">
        <v>133</v>
      </c>
      <c r="CE1754" t="s">
        <v>14784</v>
      </c>
      <c r="CF1754" t="s">
        <v>131</v>
      </c>
      <c r="CH1754" t="str">
        <f>"N/A"</f>
        <v>N/A</v>
      </c>
      <c r="CI1754" t="s">
        <v>135</v>
      </c>
      <c r="CJ1754">
        <v>60</v>
      </c>
      <c r="CK1754" t="s">
        <v>131</v>
      </c>
      <c r="CL1754" t="str">
        <f>""</f>
        <v/>
      </c>
      <c r="CM1754" t="str">
        <f>""</f>
        <v/>
      </c>
      <c r="CN1754" t="str">
        <f>""</f>
        <v/>
      </c>
      <c r="CO1754" t="str">
        <f>""</f>
        <v/>
      </c>
      <c r="CP1754" t="str">
        <f>"41-9031.00"</f>
        <v>41-9031.00</v>
      </c>
      <c r="CQ1754" t="s">
        <v>1818</v>
      </c>
      <c r="CR1754" t="s">
        <v>14786</v>
      </c>
      <c r="CS1754" t="s">
        <v>131</v>
      </c>
      <c r="CU1754" t="s">
        <v>1563</v>
      </c>
      <c r="CV1754" t="s">
        <v>3135</v>
      </c>
      <c r="CW1754" t="s">
        <v>220</v>
      </c>
      <c r="CX1754" t="s">
        <v>172</v>
      </c>
      <c r="CZ1754" s="3" t="str">
        <f>"94111"</f>
        <v>94111</v>
      </c>
      <c r="DA1754" t="s">
        <v>131</v>
      </c>
      <c r="DB1754" t="str">
        <f>""</f>
        <v/>
      </c>
      <c r="DF1754" t="str">
        <f>""</f>
        <v/>
      </c>
    </row>
    <row r="1755" spans="1:110" ht="15" customHeight="1" x14ac:dyDescent="0.35">
      <c r="A1755" t="s">
        <v>16730</v>
      </c>
      <c r="B1755" t="s">
        <v>138</v>
      </c>
      <c r="C1755" s="1">
        <v>44344</v>
      </c>
      <c r="G1755" s="1">
        <v>44344</v>
      </c>
      <c r="H1755" t="s">
        <v>125</v>
      </c>
      <c r="I1755" t="s">
        <v>16731</v>
      </c>
      <c r="J1755" t="s">
        <v>13371</v>
      </c>
      <c r="K1755" t="s">
        <v>16732</v>
      </c>
      <c r="L1755" t="s">
        <v>16733</v>
      </c>
      <c r="M1755" t="s">
        <v>16734</v>
      </c>
      <c r="O1755" t="s">
        <v>6169</v>
      </c>
      <c r="P1755" t="s">
        <v>720</v>
      </c>
      <c r="Q1755" s="3">
        <v>2601</v>
      </c>
      <c r="R1755" t="s">
        <v>128</v>
      </c>
      <c r="T1755" s="4">
        <v>15088629707</v>
      </c>
      <c r="V1755" t="s">
        <v>16735</v>
      </c>
      <c r="W1755" t="s">
        <v>16736</v>
      </c>
      <c r="X1755" t="s">
        <v>16737</v>
      </c>
      <c r="Y1755" t="s">
        <v>16738</v>
      </c>
      <c r="AA1755" t="s">
        <v>6169</v>
      </c>
      <c r="AB1755" t="s">
        <v>377</v>
      </c>
      <c r="AC1755" s="3" t="str">
        <f>"02601"</f>
        <v>02601</v>
      </c>
      <c r="AD1755" t="s">
        <v>128</v>
      </c>
      <c r="AF1755" s="4">
        <v>15088629707</v>
      </c>
      <c r="AH1755" t="str">
        <f>"481111"</f>
        <v>481111</v>
      </c>
      <c r="AI1755" t="s">
        <v>130</v>
      </c>
      <c r="AJ1755" t="s">
        <v>532</v>
      </c>
      <c r="AK1755" t="s">
        <v>533</v>
      </c>
      <c r="AL1755" t="s">
        <v>534</v>
      </c>
      <c r="AM1755" t="s">
        <v>535</v>
      </c>
      <c r="AO1755" t="s">
        <v>536</v>
      </c>
      <c r="AP1755" t="s">
        <v>195</v>
      </c>
      <c r="AQ1755" s="5">
        <v>33064</v>
      </c>
      <c r="AR1755" t="s">
        <v>128</v>
      </c>
      <c r="AT1755" s="4">
        <v>19547811994</v>
      </c>
      <c r="AV1755" t="s">
        <v>16739</v>
      </c>
      <c r="AW1755" t="s">
        <v>16740</v>
      </c>
      <c r="AX1755" t="s">
        <v>131</v>
      </c>
      <c r="AY1755" t="s">
        <v>131</v>
      </c>
      <c r="AZ1755" t="s">
        <v>131</v>
      </c>
      <c r="BA1755" t="s">
        <v>131</v>
      </c>
      <c r="BB1755" t="s">
        <v>131</v>
      </c>
      <c r="BC1755" t="s">
        <v>131</v>
      </c>
      <c r="BD1755" t="s">
        <v>135</v>
      </c>
      <c r="BE1755" t="s">
        <v>132</v>
      </c>
      <c r="BH1755" t="s">
        <v>16741</v>
      </c>
      <c r="BI1755" t="s">
        <v>135</v>
      </c>
      <c r="BJ1755" t="s">
        <v>16742</v>
      </c>
      <c r="BK1755" t="s">
        <v>16743</v>
      </c>
      <c r="BL1755" t="s">
        <v>167</v>
      </c>
      <c r="BO1755" t="s">
        <v>131</v>
      </c>
      <c r="BP1755" t="s">
        <v>134</v>
      </c>
      <c r="BQ1755" t="s">
        <v>131</v>
      </c>
      <c r="BS1755" t="str">
        <f t="shared" si="106"/>
        <v>N/A</v>
      </c>
      <c r="BT1755" t="s">
        <v>131</v>
      </c>
      <c r="BV1755" t="str">
        <f>""</f>
        <v/>
      </c>
      <c r="BW1755" t="s">
        <v>135</v>
      </c>
      <c r="BX1755" t="str">
        <f>"FAA COMMERCIAL PILOT CERTIFICATE WITH AIRPLANE MULTI ENGINE LAND RATING, INSTRUMENT AIRPLANE RATING OR FEDERAL AIRLINE TRANSPORT PILOT CERTIFICATE MULTI ENGINE LAND."</f>
        <v>FAA COMMERCIAL PILOT CERTIFICATE WITH AIRPLANE MULTI ENGINE LAND RATING, INSTRUMENT AIRPLANE RATING OR FEDERAL AIRLINE TRANSPORT PILOT CERTIFICATE MULTI ENGINE LAND.</v>
      </c>
      <c r="BY1755" t="str">
        <f>""</f>
        <v/>
      </c>
      <c r="BZ1755" t="str">
        <f>""</f>
        <v/>
      </c>
      <c r="CA1755" t="str">
        <f>"FIRST CLASS MEDICAL, 1,500 HOURS TOTAL FLIGHT TIME WHICH INCLUDES: 500 HOURS CROSS-COUNTRY TIME, 100 HOURS NIGHT
TIME, 75 HOURS INSTRUMENT TIME, VALID PASSPORT."</f>
        <v>FIRST CLASS MEDICAL, 1,500 HOURS TOTAL FLIGHT TIME WHICH INCLUDES: 500 HOURS CROSS-COUNTRY TIME, 100 HOURS NIGHT
TIME, 75 HOURS INSTRUMENT TIME, VALID PASSPORT.</v>
      </c>
      <c r="CB1755" t="s">
        <v>131</v>
      </c>
      <c r="CF1755" t="s">
        <v>131</v>
      </c>
      <c r="CH1755" t="str">
        <f>""</f>
        <v/>
      </c>
      <c r="CI1755" t="s">
        <v>131</v>
      </c>
      <c r="CK1755" t="s">
        <v>131</v>
      </c>
      <c r="CL1755" t="str">
        <f>""</f>
        <v/>
      </c>
      <c r="CM1755" t="str">
        <f>""</f>
        <v/>
      </c>
      <c r="CN1755" t="str">
        <f>""</f>
        <v/>
      </c>
      <c r="CO1755" t="str">
        <f>""</f>
        <v/>
      </c>
      <c r="CP1755" t="str">
        <f>"53-2011.00"</f>
        <v>53-2011.00</v>
      </c>
      <c r="CQ1755" t="s">
        <v>16743</v>
      </c>
      <c r="CR1755" t="s">
        <v>16741</v>
      </c>
      <c r="CS1755" t="s">
        <v>135</v>
      </c>
      <c r="CT1755" t="s">
        <v>16744</v>
      </c>
      <c r="CU1755" t="s">
        <v>16738</v>
      </c>
      <c r="CW1755" t="s">
        <v>6169</v>
      </c>
      <c r="CX1755" t="s">
        <v>377</v>
      </c>
      <c r="CZ1755" s="3" t="str">
        <f>"02601"</f>
        <v>02601</v>
      </c>
      <c r="DA1755" t="s">
        <v>131</v>
      </c>
      <c r="DB1755" t="str">
        <f>""</f>
        <v/>
      </c>
      <c r="DF1755" t="str">
        <f>""</f>
        <v/>
      </c>
    </row>
    <row r="1756" spans="1:110" ht="15" customHeight="1" x14ac:dyDescent="0.35">
      <c r="A1756" t="s">
        <v>15131</v>
      </c>
      <c r="B1756" t="s">
        <v>138</v>
      </c>
      <c r="C1756" s="1">
        <v>44344</v>
      </c>
      <c r="G1756" s="1">
        <v>44344</v>
      </c>
      <c r="H1756" t="s">
        <v>125</v>
      </c>
      <c r="I1756" t="s">
        <v>13497</v>
      </c>
      <c r="J1756" t="s">
        <v>1444</v>
      </c>
      <c r="L1756" t="s">
        <v>12268</v>
      </c>
      <c r="M1756" t="s">
        <v>1563</v>
      </c>
      <c r="N1756" t="s">
        <v>3135</v>
      </c>
      <c r="O1756" t="s">
        <v>220</v>
      </c>
      <c r="P1756" t="s">
        <v>178</v>
      </c>
      <c r="Q1756" s="3">
        <v>94111</v>
      </c>
      <c r="R1756" t="s">
        <v>128</v>
      </c>
      <c r="T1756" s="4">
        <v>14155902798</v>
      </c>
      <c r="V1756" t="s">
        <v>13499</v>
      </c>
      <c r="W1756" t="s">
        <v>13500</v>
      </c>
      <c r="Y1756" t="s">
        <v>1563</v>
      </c>
      <c r="Z1756" t="s">
        <v>3135</v>
      </c>
      <c r="AA1756" t="s">
        <v>220</v>
      </c>
      <c r="AB1756" t="s">
        <v>172</v>
      </c>
      <c r="AC1756" s="3" t="str">
        <f>"94111"</f>
        <v>94111</v>
      </c>
      <c r="AD1756" t="s">
        <v>128</v>
      </c>
      <c r="AF1756" s="4">
        <v>14155902798</v>
      </c>
      <c r="AH1756" t="str">
        <f>"511210"</f>
        <v>511210</v>
      </c>
      <c r="AI1756" t="s">
        <v>130</v>
      </c>
      <c r="AJ1756" t="s">
        <v>1477</v>
      </c>
      <c r="AK1756" t="s">
        <v>618</v>
      </c>
      <c r="AL1756" t="s">
        <v>3014</v>
      </c>
      <c r="AM1756" t="s">
        <v>3015</v>
      </c>
      <c r="AN1756" t="s">
        <v>2377</v>
      </c>
      <c r="AO1756" t="s">
        <v>1674</v>
      </c>
      <c r="AP1756" t="s">
        <v>1176</v>
      </c>
      <c r="AQ1756" s="5">
        <v>68508</v>
      </c>
      <c r="AR1756" t="s">
        <v>128</v>
      </c>
      <c r="AT1756" s="4">
        <v>14023289899</v>
      </c>
      <c r="AU1756">
        <v>0</v>
      </c>
      <c r="AV1756" t="s">
        <v>3016</v>
      </c>
      <c r="AW1756" t="s">
        <v>3017</v>
      </c>
      <c r="AX1756" t="s">
        <v>131</v>
      </c>
      <c r="AY1756" t="s">
        <v>131</v>
      </c>
      <c r="AZ1756" t="s">
        <v>131</v>
      </c>
      <c r="BA1756" t="s">
        <v>131</v>
      </c>
      <c r="BB1756" t="s">
        <v>131</v>
      </c>
      <c r="BC1756" t="s">
        <v>131</v>
      </c>
      <c r="BD1756" t="s">
        <v>131</v>
      </c>
      <c r="BE1756" t="s">
        <v>132</v>
      </c>
      <c r="BH1756" t="s">
        <v>13501</v>
      </c>
      <c r="BI1756" t="s">
        <v>131</v>
      </c>
      <c r="BL1756" t="s">
        <v>188</v>
      </c>
      <c r="BN1756" t="s">
        <v>13502</v>
      </c>
      <c r="BO1756" t="s">
        <v>131</v>
      </c>
      <c r="BP1756" t="s">
        <v>134</v>
      </c>
      <c r="BQ1756" t="s">
        <v>131</v>
      </c>
      <c r="BS1756" t="str">
        <f t="shared" si="106"/>
        <v>N/A</v>
      </c>
      <c r="BT1756" t="s">
        <v>135</v>
      </c>
      <c r="BU1756">
        <v>24</v>
      </c>
      <c r="BV1756" t="str">
        <f>"job offered or similar position."</f>
        <v>job offered or similar position.</v>
      </c>
      <c r="BW1756" t="s">
        <v>135</v>
      </c>
      <c r="BX1756" t="str">
        <f>""</f>
        <v/>
      </c>
      <c r="BY1756" t="str">
        <f>""</f>
        <v/>
      </c>
      <c r="BZ1756" t="str">
        <f>""</f>
        <v/>
      </c>
      <c r="CA1756" t="s">
        <v>13503</v>
      </c>
      <c r="CB1756" t="s">
        <v>135</v>
      </c>
      <c r="CC1756" t="s">
        <v>133</v>
      </c>
      <c r="CE1756" t="s">
        <v>13502</v>
      </c>
      <c r="CF1756" t="s">
        <v>131</v>
      </c>
      <c r="CH1756" t="str">
        <f>"N/A"</f>
        <v>N/A</v>
      </c>
      <c r="CI1756" t="s">
        <v>135</v>
      </c>
      <c r="CJ1756">
        <v>60</v>
      </c>
      <c r="CK1756" t="s">
        <v>135</v>
      </c>
      <c r="CL1756" t="str">
        <f>""</f>
        <v/>
      </c>
      <c r="CM1756" t="str">
        <f>""</f>
        <v/>
      </c>
      <c r="CN1756" t="str">
        <f>""</f>
        <v/>
      </c>
      <c r="CO1756" t="s">
        <v>13503</v>
      </c>
      <c r="CP1756" t="str">
        <f>"41-9031.00"</f>
        <v>41-9031.00</v>
      </c>
      <c r="CQ1756" t="s">
        <v>1818</v>
      </c>
      <c r="CR1756" t="s">
        <v>13505</v>
      </c>
      <c r="CS1756" t="s">
        <v>135</v>
      </c>
      <c r="CT1756" t="s">
        <v>15132</v>
      </c>
      <c r="CU1756" t="s">
        <v>1563</v>
      </c>
      <c r="CV1756" t="s">
        <v>3135</v>
      </c>
      <c r="CW1756" t="s">
        <v>220</v>
      </c>
      <c r="CX1756" t="s">
        <v>172</v>
      </c>
      <c r="CZ1756" s="3" t="str">
        <f>"94111"</f>
        <v>94111</v>
      </c>
      <c r="DA1756" t="s">
        <v>131</v>
      </c>
      <c r="DB1756" t="str">
        <f>""</f>
        <v/>
      </c>
      <c r="DF1756" t="str">
        <f>""</f>
        <v/>
      </c>
    </row>
    <row r="1757" spans="1:110" ht="15" customHeight="1" x14ac:dyDescent="0.35">
      <c r="A1757" t="s">
        <v>19328</v>
      </c>
      <c r="B1757" t="s">
        <v>138</v>
      </c>
      <c r="C1757" s="1">
        <v>44344</v>
      </c>
      <c r="G1757" s="1">
        <v>44350</v>
      </c>
      <c r="H1757" t="s">
        <v>125</v>
      </c>
      <c r="I1757" t="s">
        <v>1481</v>
      </c>
      <c r="J1757" t="s">
        <v>737</v>
      </c>
      <c r="L1757" t="s">
        <v>1482</v>
      </c>
      <c r="M1757" t="s">
        <v>1483</v>
      </c>
      <c r="N1757" t="s">
        <v>686</v>
      </c>
      <c r="O1757" t="s">
        <v>600</v>
      </c>
      <c r="P1757" t="s">
        <v>593</v>
      </c>
      <c r="Q1757" s="3">
        <v>28280</v>
      </c>
      <c r="R1757" t="s">
        <v>128</v>
      </c>
      <c r="T1757" s="4">
        <v>17043442700</v>
      </c>
      <c r="V1757" t="s">
        <v>1484</v>
      </c>
      <c r="W1757" t="s">
        <v>1485</v>
      </c>
      <c r="Y1757" t="s">
        <v>1483</v>
      </c>
      <c r="AA1757" t="s">
        <v>600</v>
      </c>
      <c r="AB1757" t="s">
        <v>594</v>
      </c>
      <c r="AC1757" s="3" t="str">
        <f>"28280"</f>
        <v>28280</v>
      </c>
      <c r="AD1757" t="s">
        <v>128</v>
      </c>
      <c r="AF1757" s="4">
        <v>17043442700</v>
      </c>
      <c r="AG1757">
        <v>0</v>
      </c>
      <c r="AH1757" t="str">
        <f>"524130"</f>
        <v>524130</v>
      </c>
      <c r="AI1757" t="s">
        <v>130</v>
      </c>
      <c r="AJ1757" t="s">
        <v>1486</v>
      </c>
      <c r="AK1757" t="s">
        <v>1487</v>
      </c>
      <c r="AM1757" t="s">
        <v>493</v>
      </c>
      <c r="AO1757" t="s">
        <v>494</v>
      </c>
      <c r="AP1757" t="s">
        <v>129</v>
      </c>
      <c r="AQ1757" s="5">
        <v>10018</v>
      </c>
      <c r="AR1757" t="s">
        <v>128</v>
      </c>
      <c r="AS1757" t="s">
        <v>494</v>
      </c>
      <c r="AT1757" s="4">
        <v>12126888555</v>
      </c>
      <c r="AV1757" t="s">
        <v>1488</v>
      </c>
      <c r="AW1757" t="s">
        <v>386</v>
      </c>
      <c r="AX1757" t="s">
        <v>131</v>
      </c>
      <c r="AY1757" t="s">
        <v>131</v>
      </c>
      <c r="AZ1757" t="s">
        <v>131</v>
      </c>
      <c r="BA1757" t="s">
        <v>131</v>
      </c>
      <c r="BB1757" t="s">
        <v>131</v>
      </c>
      <c r="BC1757" t="s">
        <v>131</v>
      </c>
      <c r="BD1757" t="s">
        <v>131</v>
      </c>
      <c r="BE1757" t="s">
        <v>132</v>
      </c>
      <c r="BH1757" t="s">
        <v>1489</v>
      </c>
      <c r="BI1757" t="s">
        <v>131</v>
      </c>
      <c r="BL1757" t="s">
        <v>188</v>
      </c>
      <c r="BN1757" t="s">
        <v>19329</v>
      </c>
      <c r="BO1757" t="s">
        <v>131</v>
      </c>
      <c r="BP1757" t="s">
        <v>134</v>
      </c>
      <c r="BQ1757" t="s">
        <v>131</v>
      </c>
      <c r="BS1757" t="str">
        <f t="shared" si="106"/>
        <v>N/A</v>
      </c>
      <c r="BT1757" t="s">
        <v>135</v>
      </c>
      <c r="BU1757">
        <v>12</v>
      </c>
      <c r="BV1757" t="str">
        <f>"Data Scientist or related"</f>
        <v>Data Scientist or related</v>
      </c>
      <c r="BW1757" t="s">
        <v>135</v>
      </c>
      <c r="BX1757" t="str">
        <f>""</f>
        <v/>
      </c>
      <c r="BY1757" t="str">
        <f>""</f>
        <v/>
      </c>
      <c r="BZ1757" t="str">
        <f>""</f>
        <v/>
      </c>
      <c r="CA1757" t="s">
        <v>1490</v>
      </c>
      <c r="CB1757" t="s">
        <v>131</v>
      </c>
      <c r="CF1757" t="s">
        <v>131</v>
      </c>
      <c r="CH1757" t="str">
        <f>""</f>
        <v/>
      </c>
      <c r="CI1757" t="s">
        <v>131</v>
      </c>
      <c r="CK1757" t="s">
        <v>131</v>
      </c>
      <c r="CL1757" t="str">
        <f>""</f>
        <v/>
      </c>
      <c r="CM1757" t="str">
        <f>""</f>
        <v/>
      </c>
      <c r="CN1757" t="str">
        <f>""</f>
        <v/>
      </c>
      <c r="CO1757" t="str">
        <f>""</f>
        <v/>
      </c>
      <c r="CP1757" t="str">
        <f>"15-1199.06"</f>
        <v>15-1199.06</v>
      </c>
      <c r="CQ1757" t="s">
        <v>988</v>
      </c>
      <c r="CR1757" t="s">
        <v>1491</v>
      </c>
      <c r="CS1757" t="s">
        <v>131</v>
      </c>
      <c r="CU1757" t="s">
        <v>19330</v>
      </c>
      <c r="CW1757" t="s">
        <v>600</v>
      </c>
      <c r="CX1757" t="s">
        <v>594</v>
      </c>
      <c r="CZ1757" s="3" t="str">
        <f>"28202"</f>
        <v>28202</v>
      </c>
      <c r="DA1757" t="s">
        <v>131</v>
      </c>
      <c r="DB1757" t="str">
        <f>""</f>
        <v/>
      </c>
      <c r="DF1757" t="str">
        <f>""</f>
        <v/>
      </c>
    </row>
    <row r="1758" spans="1:110" ht="15" customHeight="1" x14ac:dyDescent="0.35">
      <c r="A1758" t="s">
        <v>19535</v>
      </c>
      <c r="B1758" t="s">
        <v>138</v>
      </c>
      <c r="C1758" s="1">
        <v>44344</v>
      </c>
      <c r="G1758" s="1">
        <v>44364</v>
      </c>
      <c r="H1758" t="s">
        <v>125</v>
      </c>
      <c r="I1758" t="s">
        <v>967</v>
      </c>
      <c r="J1758" t="s">
        <v>246</v>
      </c>
      <c r="K1758" t="s">
        <v>610</v>
      </c>
      <c r="L1758" t="s">
        <v>968</v>
      </c>
      <c r="M1758" t="s">
        <v>969</v>
      </c>
      <c r="N1758" t="s">
        <v>970</v>
      </c>
      <c r="O1758" t="s">
        <v>262</v>
      </c>
      <c r="P1758" t="s">
        <v>539</v>
      </c>
      <c r="Q1758" s="3">
        <v>60603</v>
      </c>
      <c r="R1758" t="s">
        <v>128</v>
      </c>
      <c r="T1758" s="4">
        <v>13127322655</v>
      </c>
      <c r="V1758" t="s">
        <v>134</v>
      </c>
      <c r="W1758" t="s">
        <v>971</v>
      </c>
      <c r="Y1758" t="s">
        <v>969</v>
      </c>
      <c r="Z1758" t="s">
        <v>970</v>
      </c>
      <c r="AA1758" t="s">
        <v>262</v>
      </c>
      <c r="AB1758" t="s">
        <v>263</v>
      </c>
      <c r="AC1758" s="3" t="str">
        <f>"60603"</f>
        <v>60603</v>
      </c>
      <c r="AD1758" t="s">
        <v>128</v>
      </c>
      <c r="AF1758" s="4">
        <v>13127322655</v>
      </c>
      <c r="AH1758" t="str">
        <f>"551112"</f>
        <v>551112</v>
      </c>
      <c r="AI1758" t="s">
        <v>130</v>
      </c>
      <c r="AJ1758" t="s">
        <v>1493</v>
      </c>
      <c r="AK1758" t="s">
        <v>654</v>
      </c>
      <c r="AM1758" t="s">
        <v>973</v>
      </c>
      <c r="AN1758" t="s">
        <v>974</v>
      </c>
      <c r="AO1758" t="s">
        <v>975</v>
      </c>
      <c r="AP1758" t="s">
        <v>594</v>
      </c>
      <c r="AQ1758" s="5">
        <v>27615</v>
      </c>
      <c r="AR1758" t="s">
        <v>128</v>
      </c>
      <c r="AT1758" s="4">
        <v>19197879700</v>
      </c>
      <c r="AV1758" t="s">
        <v>7970</v>
      </c>
      <c r="AW1758" t="s">
        <v>976</v>
      </c>
      <c r="AX1758" t="s">
        <v>131</v>
      </c>
      <c r="AY1758" t="s">
        <v>131</v>
      </c>
      <c r="AZ1758" t="s">
        <v>131</v>
      </c>
      <c r="BA1758" t="s">
        <v>131</v>
      </c>
      <c r="BB1758" t="s">
        <v>131</v>
      </c>
      <c r="BC1758" t="s">
        <v>131</v>
      </c>
      <c r="BD1758" t="s">
        <v>131</v>
      </c>
      <c r="BE1758" t="s">
        <v>160</v>
      </c>
      <c r="BF1758" t="s">
        <v>5939</v>
      </c>
      <c r="BG1758" s="1">
        <v>43922</v>
      </c>
      <c r="BH1758" t="s">
        <v>5811</v>
      </c>
      <c r="BI1758" t="s">
        <v>131</v>
      </c>
      <c r="BL1758" t="s">
        <v>188</v>
      </c>
      <c r="BN1758" t="s">
        <v>5940</v>
      </c>
      <c r="BO1758" t="s">
        <v>131</v>
      </c>
      <c r="BP1758" t="s">
        <v>134</v>
      </c>
      <c r="BQ1758" t="s">
        <v>131</v>
      </c>
      <c r="BS1758" t="str">
        <f t="shared" si="106"/>
        <v>N/A</v>
      </c>
      <c r="BT1758" t="s">
        <v>135</v>
      </c>
      <c r="BU1758">
        <v>36</v>
      </c>
      <c r="BV1758" t="str">
        <f>"Software Engineer, Java Consultant, IT Consultant, or related occupation"</f>
        <v>Software Engineer, Java Consultant, IT Consultant, or related occupation</v>
      </c>
      <c r="BW1758" t="s">
        <v>135</v>
      </c>
      <c r="BX1758" t="str">
        <f>""</f>
        <v/>
      </c>
      <c r="BY1758" t="str">
        <f>""</f>
        <v/>
      </c>
      <c r="BZ1758" t="str">
        <f>""</f>
        <v/>
      </c>
      <c r="CA1758" t="s">
        <v>5941</v>
      </c>
      <c r="CB1758" t="s">
        <v>135</v>
      </c>
      <c r="CC1758" t="s">
        <v>133</v>
      </c>
      <c r="CE1758" t="s">
        <v>5940</v>
      </c>
      <c r="CF1758" t="s">
        <v>131</v>
      </c>
      <c r="CH1758" t="str">
        <f>"N/A"</f>
        <v>N/A</v>
      </c>
      <c r="CI1758" t="s">
        <v>135</v>
      </c>
      <c r="CJ1758">
        <v>60</v>
      </c>
      <c r="CK1758" t="s">
        <v>135</v>
      </c>
      <c r="CL1758" t="str">
        <f>""</f>
        <v/>
      </c>
      <c r="CM1758" t="str">
        <f>""</f>
        <v/>
      </c>
      <c r="CN1758" t="str">
        <f>""</f>
        <v/>
      </c>
      <c r="CO1758" t="s">
        <v>5941</v>
      </c>
      <c r="CP1758" t="str">
        <f>"15-1132.00"</f>
        <v>15-1132.00</v>
      </c>
      <c r="CQ1758" t="s">
        <v>198</v>
      </c>
      <c r="CS1758" t="s">
        <v>131</v>
      </c>
      <c r="CU1758" t="s">
        <v>5942</v>
      </c>
      <c r="CW1758" t="s">
        <v>1156</v>
      </c>
      <c r="CX1758" t="s">
        <v>490</v>
      </c>
      <c r="CZ1758" s="3" t="str">
        <f>"19711"</f>
        <v>19711</v>
      </c>
      <c r="DA1758" t="s">
        <v>131</v>
      </c>
      <c r="DB1758" t="str">
        <f>""</f>
        <v/>
      </c>
      <c r="DF1758" t="str">
        <f>""</f>
        <v/>
      </c>
    </row>
    <row r="1759" spans="1:110" ht="15" customHeight="1" x14ac:dyDescent="0.35">
      <c r="A1759" t="s">
        <v>16463</v>
      </c>
      <c r="B1759" t="s">
        <v>138</v>
      </c>
      <c r="C1759" s="1">
        <v>44344</v>
      </c>
      <c r="G1759" s="1">
        <v>44344</v>
      </c>
      <c r="H1759" t="s">
        <v>125</v>
      </c>
      <c r="I1759" t="s">
        <v>16464</v>
      </c>
      <c r="J1759" t="s">
        <v>662</v>
      </c>
      <c r="L1759" t="s">
        <v>4683</v>
      </c>
      <c r="M1759" t="s">
        <v>663</v>
      </c>
      <c r="O1759" t="s">
        <v>664</v>
      </c>
      <c r="P1759" t="s">
        <v>178</v>
      </c>
      <c r="Q1759" s="3">
        <v>95134</v>
      </c>
      <c r="R1759" t="s">
        <v>128</v>
      </c>
      <c r="T1759" s="4">
        <v>14089190600</v>
      </c>
      <c r="V1759" t="s">
        <v>2909</v>
      </c>
      <c r="W1759" t="s">
        <v>1863</v>
      </c>
      <c r="Y1759" t="s">
        <v>1864</v>
      </c>
      <c r="AA1759" t="s">
        <v>664</v>
      </c>
      <c r="AB1759" t="s">
        <v>172</v>
      </c>
      <c r="AC1759" s="3" t="str">
        <f>"95134"</f>
        <v>95134</v>
      </c>
      <c r="AD1759" t="s">
        <v>128</v>
      </c>
      <c r="AF1759" s="4">
        <v>14085444092</v>
      </c>
      <c r="AH1759" t="str">
        <f>"54151"</f>
        <v>54151</v>
      </c>
      <c r="AI1759" t="s">
        <v>130</v>
      </c>
      <c r="AJ1759" t="s">
        <v>8736</v>
      </c>
      <c r="AK1759" t="s">
        <v>4336</v>
      </c>
      <c r="AM1759" t="s">
        <v>663</v>
      </c>
      <c r="AO1759" t="s">
        <v>664</v>
      </c>
      <c r="AP1759" t="s">
        <v>172</v>
      </c>
      <c r="AQ1759" s="5">
        <v>95134</v>
      </c>
      <c r="AR1759" t="s">
        <v>128</v>
      </c>
      <c r="AT1759" s="4">
        <v>14082353579</v>
      </c>
      <c r="AV1759" t="s">
        <v>8737</v>
      </c>
      <c r="AW1759" t="s">
        <v>386</v>
      </c>
      <c r="AX1759" t="s">
        <v>131</v>
      </c>
      <c r="AY1759" t="s">
        <v>131</v>
      </c>
      <c r="AZ1759" t="s">
        <v>131</v>
      </c>
      <c r="BA1759" t="s">
        <v>131</v>
      </c>
      <c r="BB1759" t="s">
        <v>131</v>
      </c>
      <c r="BC1759" t="s">
        <v>131</v>
      </c>
      <c r="BD1759" t="s">
        <v>131</v>
      </c>
      <c r="BE1759" t="s">
        <v>132</v>
      </c>
      <c r="BH1759" t="s">
        <v>1867</v>
      </c>
      <c r="BI1759" t="s">
        <v>131</v>
      </c>
      <c r="BL1759" t="s">
        <v>188</v>
      </c>
      <c r="BN1759" t="s">
        <v>1868</v>
      </c>
      <c r="BO1759" t="s">
        <v>131</v>
      </c>
      <c r="BP1759" t="s">
        <v>134</v>
      </c>
      <c r="BQ1759" t="s">
        <v>131</v>
      </c>
      <c r="BS1759" t="str">
        <f t="shared" si="106"/>
        <v>N/A</v>
      </c>
      <c r="BT1759" t="s">
        <v>135</v>
      </c>
      <c r="BU1759">
        <v>36</v>
      </c>
      <c r="BV1759" t="str">
        <f>"job offered, Test Engineer, or a related occupation"</f>
        <v>job offered, Test Engineer, or a related occupation</v>
      </c>
      <c r="BW1759" t="s">
        <v>131</v>
      </c>
      <c r="BX1759" t="str">
        <f>""</f>
        <v/>
      </c>
      <c r="BY1759" t="str">
        <f>""</f>
        <v/>
      </c>
      <c r="BZ1759" t="str">
        <f>""</f>
        <v/>
      </c>
      <c r="CA1759" t="str">
        <f>""</f>
        <v/>
      </c>
      <c r="CB1759" t="s">
        <v>131</v>
      </c>
      <c r="CF1759" t="s">
        <v>131</v>
      </c>
      <c r="CH1759" t="str">
        <f>""</f>
        <v/>
      </c>
      <c r="CI1759" t="s">
        <v>131</v>
      </c>
      <c r="CK1759" t="s">
        <v>131</v>
      </c>
      <c r="CL1759" t="str">
        <f>""</f>
        <v/>
      </c>
      <c r="CM1759" t="str">
        <f>""</f>
        <v/>
      </c>
      <c r="CN1759" t="str">
        <f>""</f>
        <v/>
      </c>
      <c r="CO1759" t="str">
        <f>""</f>
        <v/>
      </c>
      <c r="CP1759" t="str">
        <f>"17-2072.00"</f>
        <v>17-2072.00</v>
      </c>
      <c r="CQ1759" t="s">
        <v>865</v>
      </c>
      <c r="CR1759" t="s">
        <v>460</v>
      </c>
      <c r="CS1759" t="s">
        <v>135</v>
      </c>
      <c r="CT1759" t="s">
        <v>1869</v>
      </c>
      <c r="CU1759" t="s">
        <v>1870</v>
      </c>
      <c r="CV1759" t="s">
        <v>1169</v>
      </c>
      <c r="CW1759" t="s">
        <v>791</v>
      </c>
      <c r="CX1759" t="s">
        <v>172</v>
      </c>
      <c r="CZ1759" s="3" t="str">
        <f>"92121"</f>
        <v>92121</v>
      </c>
      <c r="DA1759" t="s">
        <v>131</v>
      </c>
      <c r="DB1759" t="str">
        <f>""</f>
        <v/>
      </c>
      <c r="DF1759" t="str">
        <f>""</f>
        <v/>
      </c>
    </row>
    <row r="1760" spans="1:110" ht="15" customHeight="1" x14ac:dyDescent="0.35">
      <c r="A1760" t="s">
        <v>19973</v>
      </c>
      <c r="B1760" t="s">
        <v>138</v>
      </c>
      <c r="C1760" s="1">
        <v>44344</v>
      </c>
      <c r="G1760" s="1">
        <v>44356</v>
      </c>
      <c r="H1760" t="s">
        <v>125</v>
      </c>
      <c r="I1760" t="s">
        <v>19974</v>
      </c>
      <c r="J1760" t="s">
        <v>662</v>
      </c>
      <c r="L1760" t="s">
        <v>4683</v>
      </c>
      <c r="M1760" t="s">
        <v>663</v>
      </c>
      <c r="O1760" t="s">
        <v>664</v>
      </c>
      <c r="P1760" t="s">
        <v>178</v>
      </c>
      <c r="Q1760" s="3">
        <v>95134</v>
      </c>
      <c r="R1760" t="s">
        <v>128</v>
      </c>
      <c r="T1760" s="4">
        <v>14089190600</v>
      </c>
      <c r="V1760" t="s">
        <v>2909</v>
      </c>
      <c r="W1760" t="s">
        <v>1863</v>
      </c>
      <c r="Y1760" t="s">
        <v>1864</v>
      </c>
      <c r="AA1760" t="s">
        <v>664</v>
      </c>
      <c r="AB1760" t="s">
        <v>172</v>
      </c>
      <c r="AC1760" s="3" t="str">
        <f>"95134"</f>
        <v>95134</v>
      </c>
      <c r="AD1760" t="s">
        <v>128</v>
      </c>
      <c r="AF1760" s="4">
        <v>14085444092</v>
      </c>
      <c r="AH1760" t="str">
        <f>"54151"</f>
        <v>54151</v>
      </c>
      <c r="AI1760" t="s">
        <v>130</v>
      </c>
      <c r="AJ1760" t="s">
        <v>8736</v>
      </c>
      <c r="AK1760" t="s">
        <v>4336</v>
      </c>
      <c r="AM1760" t="s">
        <v>663</v>
      </c>
      <c r="AO1760" t="s">
        <v>664</v>
      </c>
      <c r="AP1760" t="s">
        <v>172</v>
      </c>
      <c r="AQ1760" s="5">
        <v>95134</v>
      </c>
      <c r="AR1760" t="s">
        <v>128</v>
      </c>
      <c r="AT1760" s="4">
        <v>14082353579</v>
      </c>
      <c r="AV1760" t="s">
        <v>8737</v>
      </c>
      <c r="AW1760" t="s">
        <v>386</v>
      </c>
      <c r="AX1760" t="s">
        <v>131</v>
      </c>
      <c r="AY1760" t="s">
        <v>131</v>
      </c>
      <c r="AZ1760" t="s">
        <v>131</v>
      </c>
      <c r="BA1760" t="s">
        <v>131</v>
      </c>
      <c r="BB1760" t="s">
        <v>131</v>
      </c>
      <c r="BC1760" t="s">
        <v>131</v>
      </c>
      <c r="BD1760" t="s">
        <v>131</v>
      </c>
      <c r="BE1760" t="s">
        <v>132</v>
      </c>
      <c r="BH1760" t="s">
        <v>1867</v>
      </c>
      <c r="BI1760" t="s">
        <v>131</v>
      </c>
      <c r="BL1760" t="s">
        <v>188</v>
      </c>
      <c r="BN1760" t="s">
        <v>1868</v>
      </c>
      <c r="BO1760" t="s">
        <v>131</v>
      </c>
      <c r="BP1760" t="s">
        <v>134</v>
      </c>
      <c r="BQ1760" t="s">
        <v>131</v>
      </c>
      <c r="BS1760" t="str">
        <f t="shared" si="106"/>
        <v>N/A</v>
      </c>
      <c r="BT1760" t="s">
        <v>135</v>
      </c>
      <c r="BU1760">
        <v>36</v>
      </c>
      <c r="BV1760" t="str">
        <f>"job offered, Test Engineer, or a related occupation"</f>
        <v>job offered, Test Engineer, or a related occupation</v>
      </c>
      <c r="BW1760" t="s">
        <v>131</v>
      </c>
      <c r="BX1760" t="str">
        <f>""</f>
        <v/>
      </c>
      <c r="BY1760" t="str">
        <f>""</f>
        <v/>
      </c>
      <c r="BZ1760" t="str">
        <f>""</f>
        <v/>
      </c>
      <c r="CA1760" t="str">
        <f>""</f>
        <v/>
      </c>
      <c r="CB1760" t="s">
        <v>131</v>
      </c>
      <c r="CF1760" t="s">
        <v>131</v>
      </c>
      <c r="CH1760" t="str">
        <f>""</f>
        <v/>
      </c>
      <c r="CI1760" t="s">
        <v>131</v>
      </c>
      <c r="CK1760" t="s">
        <v>131</v>
      </c>
      <c r="CL1760" t="str">
        <f>""</f>
        <v/>
      </c>
      <c r="CM1760" t="str">
        <f>""</f>
        <v/>
      </c>
      <c r="CN1760" t="str">
        <f>""</f>
        <v/>
      </c>
      <c r="CO1760" t="str">
        <f>""</f>
        <v/>
      </c>
      <c r="CP1760" t="str">
        <f>"17-2072.00"</f>
        <v>17-2072.00</v>
      </c>
      <c r="CQ1760" t="s">
        <v>865</v>
      </c>
      <c r="CR1760" t="s">
        <v>460</v>
      </c>
      <c r="CS1760" t="s">
        <v>135</v>
      </c>
      <c r="CT1760" t="s">
        <v>1869</v>
      </c>
      <c r="CU1760" t="s">
        <v>1870</v>
      </c>
      <c r="CV1760" t="s">
        <v>1169</v>
      </c>
      <c r="CW1760" t="s">
        <v>791</v>
      </c>
      <c r="CX1760" t="s">
        <v>172</v>
      </c>
      <c r="CZ1760" s="3" t="str">
        <f>"92121"</f>
        <v>92121</v>
      </c>
      <c r="DA1760" t="s">
        <v>131</v>
      </c>
      <c r="DB1760" t="str">
        <f>""</f>
        <v/>
      </c>
      <c r="DF1760" t="str">
        <f>""</f>
        <v/>
      </c>
    </row>
    <row r="1761" spans="1:110" ht="15" customHeight="1" x14ac:dyDescent="0.35">
      <c r="A1761" t="s">
        <v>11178</v>
      </c>
      <c r="B1761" t="s">
        <v>138</v>
      </c>
      <c r="C1761" s="1">
        <v>44344</v>
      </c>
      <c r="G1761" s="1">
        <v>44344</v>
      </c>
      <c r="H1761" t="s">
        <v>125</v>
      </c>
      <c r="I1761" t="s">
        <v>5897</v>
      </c>
      <c r="J1761" t="s">
        <v>5898</v>
      </c>
      <c r="L1761" t="s">
        <v>11179</v>
      </c>
      <c r="M1761" t="s">
        <v>5900</v>
      </c>
      <c r="N1761" t="s">
        <v>225</v>
      </c>
      <c r="O1761" t="s">
        <v>3874</v>
      </c>
      <c r="P1761" t="s">
        <v>1760</v>
      </c>
      <c r="Q1761" s="3">
        <v>70816</v>
      </c>
      <c r="R1761" t="s">
        <v>128</v>
      </c>
      <c r="T1761" s="4">
        <v>12252993410</v>
      </c>
      <c r="V1761" t="s">
        <v>11180</v>
      </c>
      <c r="W1761" t="s">
        <v>5902</v>
      </c>
      <c r="X1761" t="s">
        <v>134</v>
      </c>
      <c r="Y1761" t="s">
        <v>5900</v>
      </c>
      <c r="Z1761" t="s">
        <v>225</v>
      </c>
      <c r="AA1761" t="s">
        <v>3874</v>
      </c>
      <c r="AB1761" t="s">
        <v>1763</v>
      </c>
      <c r="AC1761" s="3" t="str">
        <f>"70816"</f>
        <v>70816</v>
      </c>
      <c r="AD1761" t="s">
        <v>128</v>
      </c>
      <c r="AE1761" t="s">
        <v>1760</v>
      </c>
      <c r="AF1761" s="4">
        <v>12252993790</v>
      </c>
      <c r="AH1761" t="str">
        <f>"621610"</f>
        <v>621610</v>
      </c>
      <c r="AI1761" t="s">
        <v>130</v>
      </c>
      <c r="AJ1761" t="s">
        <v>982</v>
      </c>
      <c r="AK1761" t="s">
        <v>983</v>
      </c>
      <c r="AM1761" t="s">
        <v>984</v>
      </c>
      <c r="AN1761" t="s">
        <v>985</v>
      </c>
      <c r="AO1761" t="s">
        <v>742</v>
      </c>
      <c r="AP1761" t="s">
        <v>306</v>
      </c>
      <c r="AQ1761" s="5">
        <v>23219</v>
      </c>
      <c r="AR1761" t="s">
        <v>128</v>
      </c>
      <c r="AT1761" s="4">
        <v>18044206478</v>
      </c>
      <c r="AV1761" t="s">
        <v>986</v>
      </c>
      <c r="AW1761" t="s">
        <v>987</v>
      </c>
      <c r="AX1761" t="s">
        <v>131</v>
      </c>
      <c r="AY1761" t="s">
        <v>131</v>
      </c>
      <c r="AZ1761" t="s">
        <v>131</v>
      </c>
      <c r="BA1761" t="s">
        <v>131</v>
      </c>
      <c r="BB1761" t="s">
        <v>131</v>
      </c>
      <c r="BC1761" t="s">
        <v>131</v>
      </c>
      <c r="BD1761" t="s">
        <v>131</v>
      </c>
      <c r="BE1761" t="s">
        <v>132</v>
      </c>
      <c r="BH1761" t="s">
        <v>1150</v>
      </c>
      <c r="BI1761" t="s">
        <v>131</v>
      </c>
      <c r="BL1761" t="s">
        <v>188</v>
      </c>
      <c r="BN1761" t="s">
        <v>11181</v>
      </c>
      <c r="BO1761" t="s">
        <v>131</v>
      </c>
      <c r="BP1761" t="s">
        <v>134</v>
      </c>
      <c r="BQ1761" t="s">
        <v>131</v>
      </c>
      <c r="BS1761" t="str">
        <f t="shared" si="106"/>
        <v>N/A</v>
      </c>
      <c r="BT1761" t="s">
        <v>135</v>
      </c>
      <c r="BU1761">
        <v>36</v>
      </c>
      <c r="BV1761" t="str">
        <f>"Physical Therapist"</f>
        <v>Physical Therapist</v>
      </c>
      <c r="BW1761" t="s">
        <v>135</v>
      </c>
      <c r="BX1761" t="str">
        <f>"Physical Therapist state license."</f>
        <v>Physical Therapist state license.</v>
      </c>
      <c r="BY1761" t="str">
        <f>""</f>
        <v/>
      </c>
      <c r="BZ1761" t="str">
        <f>""</f>
        <v/>
      </c>
      <c r="CA1761" t="s">
        <v>11182</v>
      </c>
      <c r="CB1761" t="s">
        <v>131</v>
      </c>
      <c r="CF1761" t="s">
        <v>131</v>
      </c>
      <c r="CH1761" t="str">
        <f>""</f>
        <v/>
      </c>
      <c r="CI1761" t="s">
        <v>131</v>
      </c>
      <c r="CK1761" t="s">
        <v>131</v>
      </c>
      <c r="CL1761" t="str">
        <f>""</f>
        <v/>
      </c>
      <c r="CM1761" t="str">
        <f>""</f>
        <v/>
      </c>
      <c r="CN1761" t="str">
        <f>""</f>
        <v/>
      </c>
      <c r="CO1761" t="str">
        <f>""</f>
        <v/>
      </c>
      <c r="CP1761" t="str">
        <f>"29-1123.00"</f>
        <v>29-1123.00</v>
      </c>
      <c r="CQ1761" t="s">
        <v>962</v>
      </c>
      <c r="CR1761" t="s">
        <v>1264</v>
      </c>
      <c r="CS1761" t="s">
        <v>135</v>
      </c>
      <c r="CT1761" t="s">
        <v>11183</v>
      </c>
      <c r="CU1761" t="s">
        <v>11184</v>
      </c>
      <c r="CV1761" t="s">
        <v>3028</v>
      </c>
      <c r="CW1761" t="s">
        <v>2323</v>
      </c>
      <c r="CX1761" t="s">
        <v>594</v>
      </c>
      <c r="CZ1761" s="3" t="str">
        <f>"27703"</f>
        <v>27703</v>
      </c>
      <c r="DA1761" t="s">
        <v>131</v>
      </c>
      <c r="DB1761" t="str">
        <f>""</f>
        <v/>
      </c>
      <c r="DF1761" t="str">
        <f>""</f>
        <v/>
      </c>
    </row>
    <row r="1762" spans="1:110" ht="15" customHeight="1" x14ac:dyDescent="0.35">
      <c r="A1762" t="s">
        <v>13947</v>
      </c>
      <c r="B1762" t="s">
        <v>138</v>
      </c>
      <c r="C1762" s="1">
        <v>44344</v>
      </c>
      <c r="G1762" s="1">
        <v>44358</v>
      </c>
      <c r="H1762" t="s">
        <v>125</v>
      </c>
      <c r="I1762" t="s">
        <v>3682</v>
      </c>
      <c r="J1762" t="s">
        <v>13948</v>
      </c>
      <c r="L1762" t="s">
        <v>3024</v>
      </c>
      <c r="M1762" t="s">
        <v>4796</v>
      </c>
      <c r="O1762" t="s">
        <v>647</v>
      </c>
      <c r="P1762" t="s">
        <v>178</v>
      </c>
      <c r="Q1762" s="3">
        <v>94538</v>
      </c>
      <c r="R1762" t="s">
        <v>128</v>
      </c>
      <c r="T1762" s="4">
        <v>15109068868</v>
      </c>
      <c r="V1762" t="s">
        <v>4797</v>
      </c>
      <c r="W1762" t="s">
        <v>4798</v>
      </c>
      <c r="Y1762" t="s">
        <v>4796</v>
      </c>
      <c r="AA1762" t="s">
        <v>647</v>
      </c>
      <c r="AB1762" t="s">
        <v>172</v>
      </c>
      <c r="AC1762" s="3" t="str">
        <f>"94538"</f>
        <v>94538</v>
      </c>
      <c r="AD1762" t="s">
        <v>128</v>
      </c>
      <c r="AF1762" s="4">
        <v>15109068868</v>
      </c>
      <c r="AH1762" t="str">
        <f>"541511"</f>
        <v>541511</v>
      </c>
      <c r="AI1762" t="s">
        <v>130</v>
      </c>
      <c r="AJ1762" t="s">
        <v>4799</v>
      </c>
      <c r="AK1762" t="s">
        <v>4800</v>
      </c>
      <c r="AM1762" t="s">
        <v>4801</v>
      </c>
      <c r="AO1762" t="s">
        <v>647</v>
      </c>
      <c r="AP1762" t="s">
        <v>172</v>
      </c>
      <c r="AQ1762" s="5">
        <v>94538</v>
      </c>
      <c r="AR1762" t="s">
        <v>128</v>
      </c>
      <c r="AT1762" s="4">
        <v>15105603028</v>
      </c>
      <c r="AV1762" t="s">
        <v>4802</v>
      </c>
      <c r="AW1762" t="s">
        <v>4803</v>
      </c>
      <c r="AX1762" t="s">
        <v>131</v>
      </c>
      <c r="AY1762" t="s">
        <v>131</v>
      </c>
      <c r="AZ1762" t="s">
        <v>131</v>
      </c>
      <c r="BA1762" t="s">
        <v>131</v>
      </c>
      <c r="BB1762" t="s">
        <v>131</v>
      </c>
      <c r="BC1762" t="s">
        <v>131</v>
      </c>
      <c r="BD1762" t="s">
        <v>131</v>
      </c>
      <c r="BE1762" t="s">
        <v>132</v>
      </c>
      <c r="BH1762" t="s">
        <v>2256</v>
      </c>
      <c r="BI1762" t="s">
        <v>131</v>
      </c>
      <c r="BL1762" t="s">
        <v>188</v>
      </c>
      <c r="BN1762" t="s">
        <v>13949</v>
      </c>
      <c r="BO1762" t="s">
        <v>131</v>
      </c>
      <c r="BP1762" t="s">
        <v>134</v>
      </c>
      <c r="BQ1762" t="s">
        <v>131</v>
      </c>
      <c r="BS1762" t="str">
        <f t="shared" si="106"/>
        <v>N/A</v>
      </c>
      <c r="BT1762" t="s">
        <v>131</v>
      </c>
      <c r="BV1762" t="str">
        <f>""</f>
        <v/>
      </c>
      <c r="BW1762" t="s">
        <v>135</v>
      </c>
      <c r="BX1762" t="str">
        <f>""</f>
        <v/>
      </c>
      <c r="BY1762" t="str">
        <f>""</f>
        <v/>
      </c>
      <c r="BZ1762" t="str">
        <f>""</f>
        <v/>
      </c>
      <c r="CA1762" t="s">
        <v>13950</v>
      </c>
      <c r="CB1762" t="s">
        <v>131</v>
      </c>
      <c r="CF1762" t="s">
        <v>131</v>
      </c>
      <c r="CH1762" t="str">
        <f>""</f>
        <v/>
      </c>
      <c r="CI1762" t="s">
        <v>131</v>
      </c>
      <c r="CK1762" t="s">
        <v>131</v>
      </c>
      <c r="CL1762" t="str">
        <f>""</f>
        <v/>
      </c>
      <c r="CM1762" t="str">
        <f>""</f>
        <v/>
      </c>
      <c r="CN1762" t="str">
        <f>""</f>
        <v/>
      </c>
      <c r="CO1762" t="str">
        <f>""</f>
        <v/>
      </c>
      <c r="CP1762" t="str">
        <f>"15-1133.00"</f>
        <v>15-1133.00</v>
      </c>
      <c r="CQ1762" t="s">
        <v>648</v>
      </c>
      <c r="CR1762" t="s">
        <v>4804</v>
      </c>
      <c r="CS1762" t="s">
        <v>131</v>
      </c>
      <c r="CU1762" t="s">
        <v>4796</v>
      </c>
      <c r="CW1762" t="s">
        <v>647</v>
      </c>
      <c r="CX1762" t="s">
        <v>172</v>
      </c>
      <c r="CZ1762" s="3" t="str">
        <f>"94538"</f>
        <v>94538</v>
      </c>
      <c r="DA1762" t="s">
        <v>131</v>
      </c>
      <c r="DB1762" t="str">
        <f>""</f>
        <v/>
      </c>
      <c r="DF1762" t="str">
        <f>""</f>
        <v/>
      </c>
    </row>
    <row r="1763" spans="1:110" ht="15" customHeight="1" x14ac:dyDescent="0.35">
      <c r="A1763" t="s">
        <v>13081</v>
      </c>
      <c r="B1763" t="s">
        <v>138</v>
      </c>
      <c r="C1763" s="1">
        <v>44344</v>
      </c>
      <c r="G1763" s="1">
        <v>44344</v>
      </c>
      <c r="H1763" t="s">
        <v>125</v>
      </c>
      <c r="I1763" t="s">
        <v>13082</v>
      </c>
      <c r="J1763" t="s">
        <v>10153</v>
      </c>
      <c r="L1763" t="s">
        <v>587</v>
      </c>
      <c r="M1763" t="s">
        <v>13083</v>
      </c>
      <c r="O1763" t="s">
        <v>220</v>
      </c>
      <c r="P1763" t="s">
        <v>178</v>
      </c>
      <c r="Q1763" s="3">
        <v>94105</v>
      </c>
      <c r="R1763" t="s">
        <v>128</v>
      </c>
      <c r="T1763" s="4">
        <v>18554218282</v>
      </c>
      <c r="V1763" t="s">
        <v>13084</v>
      </c>
      <c r="W1763" t="s">
        <v>13085</v>
      </c>
      <c r="Y1763" t="s">
        <v>13083</v>
      </c>
      <c r="AA1763" t="s">
        <v>220</v>
      </c>
      <c r="AB1763" t="s">
        <v>172</v>
      </c>
      <c r="AC1763" s="3" t="str">
        <f>"94105"</f>
        <v>94105</v>
      </c>
      <c r="AD1763" t="s">
        <v>128</v>
      </c>
      <c r="AF1763" s="4">
        <v>18554218282</v>
      </c>
      <c r="AH1763" t="str">
        <f>"3352"</f>
        <v>3352</v>
      </c>
      <c r="AI1763" t="s">
        <v>130</v>
      </c>
      <c r="AJ1763" t="s">
        <v>5328</v>
      </c>
      <c r="AK1763" t="s">
        <v>1222</v>
      </c>
      <c r="AM1763" t="s">
        <v>5329</v>
      </c>
      <c r="AN1763" t="s">
        <v>5330</v>
      </c>
      <c r="AO1763" t="s">
        <v>13086</v>
      </c>
      <c r="AP1763" t="s">
        <v>594</v>
      </c>
      <c r="AQ1763" s="5">
        <v>28202</v>
      </c>
      <c r="AR1763" t="s">
        <v>128</v>
      </c>
      <c r="AT1763" s="4">
        <v>17043311139</v>
      </c>
      <c r="AV1763" t="s">
        <v>13087</v>
      </c>
      <c r="AW1763" t="s">
        <v>13088</v>
      </c>
      <c r="AX1763" t="s">
        <v>131</v>
      </c>
      <c r="AY1763" t="s">
        <v>131</v>
      </c>
      <c r="AZ1763" t="s">
        <v>131</v>
      </c>
      <c r="BA1763" t="s">
        <v>131</v>
      </c>
      <c r="BB1763" t="s">
        <v>131</v>
      </c>
      <c r="BC1763" t="s">
        <v>131</v>
      </c>
      <c r="BD1763" t="s">
        <v>131</v>
      </c>
      <c r="BE1763" t="s">
        <v>132</v>
      </c>
      <c r="BH1763" t="s">
        <v>1264</v>
      </c>
      <c r="BI1763" t="s">
        <v>135</v>
      </c>
      <c r="BJ1763" t="s">
        <v>6672</v>
      </c>
      <c r="BK1763" t="s">
        <v>4142</v>
      </c>
      <c r="BL1763" t="s">
        <v>133</v>
      </c>
      <c r="BN1763" t="s">
        <v>13089</v>
      </c>
      <c r="BO1763" t="s">
        <v>131</v>
      </c>
      <c r="BP1763" t="s">
        <v>134</v>
      </c>
      <c r="BQ1763" t="s">
        <v>131</v>
      </c>
      <c r="BS1763" t="str">
        <f t="shared" si="106"/>
        <v>N/A</v>
      </c>
      <c r="BT1763" t="s">
        <v>135</v>
      </c>
      <c r="BU1763">
        <v>60</v>
      </c>
      <c r="BV1763" t="str">
        <f>"Operations Manager, Supply Chain Manager; Logistics Manager; Operations Associate; "</f>
        <v xml:space="preserve">Operations Manager, Supply Chain Manager; Logistics Manager; Operations Associate; </v>
      </c>
      <c r="BW1763" t="s">
        <v>131</v>
      </c>
      <c r="BX1763" t="str">
        <f>""</f>
        <v/>
      </c>
      <c r="BY1763" t="str">
        <f>""</f>
        <v/>
      </c>
      <c r="BZ1763" t="str">
        <f>""</f>
        <v/>
      </c>
      <c r="CA1763" t="str">
        <f>""</f>
        <v/>
      </c>
      <c r="CB1763" t="s">
        <v>131</v>
      </c>
      <c r="CF1763" t="s">
        <v>131</v>
      </c>
      <c r="CH1763" t="str">
        <f>""</f>
        <v/>
      </c>
      <c r="CI1763" t="s">
        <v>131</v>
      </c>
      <c r="CK1763" t="s">
        <v>131</v>
      </c>
      <c r="CL1763" t="str">
        <f>""</f>
        <v/>
      </c>
      <c r="CM1763" t="str">
        <f>""</f>
        <v/>
      </c>
      <c r="CN1763" t="str">
        <f>""</f>
        <v/>
      </c>
      <c r="CO1763" t="str">
        <f>""</f>
        <v/>
      </c>
      <c r="CP1763" t="str">
        <f>"11-1021.00"</f>
        <v>11-1021.00</v>
      </c>
      <c r="CQ1763" t="s">
        <v>1296</v>
      </c>
      <c r="CR1763" t="s">
        <v>13090</v>
      </c>
      <c r="CS1763" t="s">
        <v>131</v>
      </c>
      <c r="CU1763" t="s">
        <v>13091</v>
      </c>
      <c r="CW1763" t="s">
        <v>13092</v>
      </c>
      <c r="CX1763" t="s">
        <v>172</v>
      </c>
      <c r="CZ1763" s="3" t="str">
        <f>"94105"</f>
        <v>94105</v>
      </c>
      <c r="DA1763" t="s">
        <v>131</v>
      </c>
      <c r="DB1763" t="str">
        <f>""</f>
        <v/>
      </c>
      <c r="DF1763" t="str">
        <f>""</f>
        <v/>
      </c>
    </row>
    <row r="1764" spans="1:110" ht="15" customHeight="1" x14ac:dyDescent="0.35">
      <c r="A1764" t="s">
        <v>13189</v>
      </c>
      <c r="B1764" t="s">
        <v>138</v>
      </c>
      <c r="C1764" s="1">
        <v>44344</v>
      </c>
      <c r="G1764" s="1">
        <v>44356</v>
      </c>
      <c r="H1764" t="s">
        <v>125</v>
      </c>
      <c r="I1764" t="s">
        <v>13190</v>
      </c>
      <c r="J1764" t="s">
        <v>662</v>
      </c>
      <c r="L1764" t="s">
        <v>4683</v>
      </c>
      <c r="M1764" t="s">
        <v>663</v>
      </c>
      <c r="O1764" t="s">
        <v>664</v>
      </c>
      <c r="P1764" t="s">
        <v>178</v>
      </c>
      <c r="Q1764" s="3">
        <v>95134</v>
      </c>
      <c r="R1764" t="s">
        <v>128</v>
      </c>
      <c r="T1764" s="4">
        <v>14089190600</v>
      </c>
      <c r="V1764" t="s">
        <v>2909</v>
      </c>
      <c r="W1764" t="s">
        <v>1863</v>
      </c>
      <c r="Y1764" t="s">
        <v>1864</v>
      </c>
      <c r="AA1764" t="s">
        <v>664</v>
      </c>
      <c r="AB1764" t="s">
        <v>172</v>
      </c>
      <c r="AC1764" s="3" t="str">
        <f>"95134"</f>
        <v>95134</v>
      </c>
      <c r="AD1764" t="s">
        <v>128</v>
      </c>
      <c r="AF1764" s="4">
        <v>14085444092</v>
      </c>
      <c r="AH1764" t="str">
        <f>"54151"</f>
        <v>54151</v>
      </c>
      <c r="AI1764" t="s">
        <v>130</v>
      </c>
      <c r="AJ1764" t="s">
        <v>8736</v>
      </c>
      <c r="AK1764" t="s">
        <v>4336</v>
      </c>
      <c r="AM1764" t="s">
        <v>663</v>
      </c>
      <c r="AO1764" t="s">
        <v>664</v>
      </c>
      <c r="AP1764" t="s">
        <v>172</v>
      </c>
      <c r="AQ1764" s="5">
        <v>95134</v>
      </c>
      <c r="AR1764" t="s">
        <v>128</v>
      </c>
      <c r="AT1764" s="4">
        <v>14082353579</v>
      </c>
      <c r="AV1764" t="s">
        <v>8737</v>
      </c>
      <c r="AW1764" t="s">
        <v>386</v>
      </c>
      <c r="AX1764" t="s">
        <v>131</v>
      </c>
      <c r="AY1764" t="s">
        <v>131</v>
      </c>
      <c r="AZ1764" t="s">
        <v>131</v>
      </c>
      <c r="BA1764" t="s">
        <v>131</v>
      </c>
      <c r="BB1764" t="s">
        <v>131</v>
      </c>
      <c r="BC1764" t="s">
        <v>131</v>
      </c>
      <c r="BD1764" t="s">
        <v>131</v>
      </c>
      <c r="BE1764" t="s">
        <v>132</v>
      </c>
      <c r="BH1764" t="s">
        <v>9192</v>
      </c>
      <c r="BI1764" t="s">
        <v>131</v>
      </c>
      <c r="BL1764" t="s">
        <v>188</v>
      </c>
      <c r="BN1764" t="s">
        <v>13191</v>
      </c>
      <c r="BO1764" t="s">
        <v>131</v>
      </c>
      <c r="BP1764" t="s">
        <v>134</v>
      </c>
      <c r="BQ1764" t="s">
        <v>131</v>
      </c>
      <c r="BS1764" t="str">
        <f t="shared" si="106"/>
        <v>N/A</v>
      </c>
      <c r="BT1764" t="s">
        <v>135</v>
      </c>
      <c r="BU1764">
        <v>36</v>
      </c>
      <c r="BV1764" t="str">
        <f>"job offered, Research/Teaching Assistant, or a related occupation"</f>
        <v>job offered, Research/Teaching Assistant, or a related occupation</v>
      </c>
      <c r="BW1764" t="s">
        <v>131</v>
      </c>
      <c r="BX1764" t="str">
        <f>""</f>
        <v/>
      </c>
      <c r="BY1764" t="str">
        <f>""</f>
        <v/>
      </c>
      <c r="BZ1764" t="str">
        <f>""</f>
        <v/>
      </c>
      <c r="CA1764" t="str">
        <f>""</f>
        <v/>
      </c>
      <c r="CB1764" t="s">
        <v>131</v>
      </c>
      <c r="CF1764" t="s">
        <v>131</v>
      </c>
      <c r="CH1764" t="str">
        <f>""</f>
        <v/>
      </c>
      <c r="CI1764" t="s">
        <v>131</v>
      </c>
      <c r="CK1764" t="s">
        <v>131</v>
      </c>
      <c r="CL1764" t="str">
        <f>""</f>
        <v/>
      </c>
      <c r="CM1764" t="str">
        <f>""</f>
        <v/>
      </c>
      <c r="CN1764" t="str">
        <f>""</f>
        <v/>
      </c>
      <c r="CO1764" t="str">
        <f>""</f>
        <v/>
      </c>
      <c r="CP1764" t="str">
        <f>"17-2072.00"</f>
        <v>17-2072.00</v>
      </c>
      <c r="CQ1764" t="s">
        <v>865</v>
      </c>
      <c r="CR1764" t="s">
        <v>460</v>
      </c>
      <c r="CS1764" t="s">
        <v>135</v>
      </c>
      <c r="CT1764" t="s">
        <v>1869</v>
      </c>
      <c r="CU1764" t="s">
        <v>12901</v>
      </c>
      <c r="CV1764" t="s">
        <v>1169</v>
      </c>
      <c r="CW1764" t="s">
        <v>791</v>
      </c>
      <c r="CX1764" t="s">
        <v>172</v>
      </c>
      <c r="CZ1764" s="3" t="str">
        <f>"92121"</f>
        <v>92121</v>
      </c>
      <c r="DA1764" t="s">
        <v>131</v>
      </c>
      <c r="DB1764" t="str">
        <f>""</f>
        <v/>
      </c>
      <c r="DF1764" t="str">
        <f>""</f>
        <v/>
      </c>
    </row>
    <row r="1765" spans="1:110" ht="15" customHeight="1" x14ac:dyDescent="0.35">
      <c r="A1765" t="s">
        <v>18468</v>
      </c>
      <c r="B1765" t="s">
        <v>138</v>
      </c>
      <c r="C1765" s="1">
        <v>44344</v>
      </c>
      <c r="G1765" s="1">
        <v>44344</v>
      </c>
      <c r="H1765" t="s">
        <v>125</v>
      </c>
      <c r="I1765" t="s">
        <v>13082</v>
      </c>
      <c r="J1765" t="s">
        <v>10153</v>
      </c>
      <c r="L1765" t="s">
        <v>587</v>
      </c>
      <c r="M1765" t="s">
        <v>18469</v>
      </c>
      <c r="O1765" t="s">
        <v>220</v>
      </c>
      <c r="P1765" t="s">
        <v>178</v>
      </c>
      <c r="Q1765" s="3">
        <v>94105</v>
      </c>
      <c r="R1765" t="s">
        <v>128</v>
      </c>
      <c r="T1765" s="4">
        <v>18554218282</v>
      </c>
      <c r="V1765" t="s">
        <v>13084</v>
      </c>
      <c r="W1765" t="s">
        <v>18470</v>
      </c>
      <c r="X1765" t="s">
        <v>13085</v>
      </c>
      <c r="Y1765" t="s">
        <v>13083</v>
      </c>
      <c r="AA1765" t="s">
        <v>220</v>
      </c>
      <c r="AB1765" t="s">
        <v>172</v>
      </c>
      <c r="AC1765" s="3" t="str">
        <f>"94105"</f>
        <v>94105</v>
      </c>
      <c r="AD1765" t="s">
        <v>128</v>
      </c>
      <c r="AF1765" s="4">
        <v>18554218282</v>
      </c>
      <c r="AH1765" t="str">
        <f>"33522"</f>
        <v>33522</v>
      </c>
      <c r="AI1765" t="s">
        <v>130</v>
      </c>
      <c r="AJ1765" t="s">
        <v>5328</v>
      </c>
      <c r="AK1765" t="s">
        <v>1222</v>
      </c>
      <c r="AL1765" t="s">
        <v>192</v>
      </c>
      <c r="AM1765" t="s">
        <v>5329</v>
      </c>
      <c r="AN1765" t="s">
        <v>5330</v>
      </c>
      <c r="AO1765" t="s">
        <v>600</v>
      </c>
      <c r="AP1765" t="s">
        <v>594</v>
      </c>
      <c r="AQ1765" s="5">
        <v>28202</v>
      </c>
      <c r="AR1765" t="s">
        <v>128</v>
      </c>
      <c r="AT1765" s="4">
        <v>17043311139</v>
      </c>
      <c r="AV1765" t="s">
        <v>13087</v>
      </c>
      <c r="AW1765" t="s">
        <v>18471</v>
      </c>
      <c r="AX1765" t="s">
        <v>131</v>
      </c>
      <c r="AY1765" t="s">
        <v>131</v>
      </c>
      <c r="AZ1765" t="s">
        <v>131</v>
      </c>
      <c r="BA1765" t="s">
        <v>131</v>
      </c>
      <c r="BB1765" t="s">
        <v>131</v>
      </c>
      <c r="BC1765" t="s">
        <v>131</v>
      </c>
      <c r="BD1765" t="s">
        <v>131</v>
      </c>
      <c r="BE1765" t="s">
        <v>132</v>
      </c>
      <c r="BH1765" t="s">
        <v>1264</v>
      </c>
      <c r="BI1765" t="s">
        <v>135</v>
      </c>
      <c r="BJ1765" t="s">
        <v>6672</v>
      </c>
      <c r="BK1765" t="s">
        <v>4142</v>
      </c>
      <c r="BL1765" t="s">
        <v>133</v>
      </c>
      <c r="BN1765" t="s">
        <v>18472</v>
      </c>
      <c r="BO1765" t="s">
        <v>131</v>
      </c>
      <c r="BP1765" t="s">
        <v>134</v>
      </c>
      <c r="BQ1765" t="s">
        <v>131</v>
      </c>
      <c r="BS1765" t="str">
        <f t="shared" si="106"/>
        <v>N/A</v>
      </c>
      <c r="BT1765" t="s">
        <v>135</v>
      </c>
      <c r="BU1765">
        <v>60</v>
      </c>
      <c r="BV1765" t="str">
        <f>"Supply Chain Manager; Logistics Manager; Operations Associate; Operations Manager"</f>
        <v>Supply Chain Manager; Logistics Manager; Operations Associate; Operations Manager</v>
      </c>
      <c r="BW1765" t="s">
        <v>135</v>
      </c>
      <c r="BX1765" t="str">
        <f>""</f>
        <v/>
      </c>
      <c r="BY1765" t="str">
        <f>""</f>
        <v/>
      </c>
      <c r="BZ1765" t="str">
        <f>""</f>
        <v/>
      </c>
      <c r="CA1765" t="s">
        <v>18473</v>
      </c>
      <c r="CB1765" t="s">
        <v>131</v>
      </c>
      <c r="CF1765" t="s">
        <v>131</v>
      </c>
      <c r="CH1765" t="str">
        <f>""</f>
        <v/>
      </c>
      <c r="CI1765" t="s">
        <v>131</v>
      </c>
      <c r="CK1765" t="s">
        <v>131</v>
      </c>
      <c r="CL1765" t="str">
        <f>""</f>
        <v/>
      </c>
      <c r="CM1765" t="str">
        <f>""</f>
        <v/>
      </c>
      <c r="CN1765" t="str">
        <f>""</f>
        <v/>
      </c>
      <c r="CO1765" t="str">
        <f>""</f>
        <v/>
      </c>
      <c r="CP1765" t="str">
        <f>"11-1021.00"</f>
        <v>11-1021.00</v>
      </c>
      <c r="CQ1765" t="s">
        <v>1296</v>
      </c>
      <c r="CR1765" t="s">
        <v>13090</v>
      </c>
      <c r="CS1765" t="s">
        <v>131</v>
      </c>
      <c r="CU1765" t="s">
        <v>13083</v>
      </c>
      <c r="CW1765" t="s">
        <v>220</v>
      </c>
      <c r="CX1765" t="s">
        <v>172</v>
      </c>
      <c r="CZ1765" s="3" t="str">
        <f>"94105"</f>
        <v>94105</v>
      </c>
      <c r="DA1765" t="s">
        <v>131</v>
      </c>
      <c r="DB1765" t="str">
        <f>""</f>
        <v/>
      </c>
      <c r="DF1765" t="str">
        <f>""</f>
        <v/>
      </c>
    </row>
    <row r="1766" spans="1:110" ht="15" customHeight="1" x14ac:dyDescent="0.35">
      <c r="A1766" t="s">
        <v>10857</v>
      </c>
      <c r="B1766" t="s">
        <v>138</v>
      </c>
      <c r="C1766" s="1">
        <v>44344</v>
      </c>
      <c r="G1766" s="1">
        <v>44344</v>
      </c>
      <c r="H1766" t="s">
        <v>125</v>
      </c>
      <c r="I1766" t="s">
        <v>3354</v>
      </c>
      <c r="J1766" t="s">
        <v>1116</v>
      </c>
      <c r="K1766" t="s">
        <v>134</v>
      </c>
      <c r="L1766" t="s">
        <v>2375</v>
      </c>
      <c r="M1766" t="s">
        <v>3639</v>
      </c>
      <c r="N1766" t="s">
        <v>3640</v>
      </c>
      <c r="O1766" t="s">
        <v>494</v>
      </c>
      <c r="P1766" t="s">
        <v>127</v>
      </c>
      <c r="Q1766" s="3">
        <v>10013</v>
      </c>
      <c r="R1766" t="s">
        <v>128</v>
      </c>
      <c r="T1766" s="4">
        <v>12126575580</v>
      </c>
      <c r="U1766">
        <v>0</v>
      </c>
      <c r="V1766" t="s">
        <v>3641</v>
      </c>
      <c r="W1766" t="s">
        <v>3642</v>
      </c>
      <c r="X1766" t="s">
        <v>134</v>
      </c>
      <c r="Y1766" t="s">
        <v>3643</v>
      </c>
      <c r="Z1766" t="s">
        <v>3644</v>
      </c>
      <c r="AA1766" t="s">
        <v>129</v>
      </c>
      <c r="AB1766" t="s">
        <v>129</v>
      </c>
      <c r="AC1766" s="3" t="str">
        <f>"10013"</f>
        <v>10013</v>
      </c>
      <c r="AD1766" t="s">
        <v>128</v>
      </c>
      <c r="AE1766" t="s">
        <v>134</v>
      </c>
      <c r="AF1766" s="4">
        <v>12128165663</v>
      </c>
      <c r="AG1766">
        <v>0</v>
      </c>
      <c r="AH1766" t="str">
        <f>"523110"</f>
        <v>523110</v>
      </c>
      <c r="AI1766" t="s">
        <v>130</v>
      </c>
      <c r="AJ1766" t="s">
        <v>534</v>
      </c>
      <c r="AK1766" t="s">
        <v>246</v>
      </c>
      <c r="AL1766" t="s">
        <v>2314</v>
      </c>
      <c r="AM1766" t="s">
        <v>6727</v>
      </c>
      <c r="AO1766" t="s">
        <v>129</v>
      </c>
      <c r="AP1766" t="s">
        <v>129</v>
      </c>
      <c r="AQ1766" s="5">
        <v>10022</v>
      </c>
      <c r="AR1766" t="s">
        <v>128</v>
      </c>
      <c r="AT1766" s="4">
        <v>12126885151</v>
      </c>
      <c r="AV1766" t="s">
        <v>10858</v>
      </c>
      <c r="AW1766" t="s">
        <v>3137</v>
      </c>
      <c r="AX1766" t="s">
        <v>131</v>
      </c>
      <c r="AY1766" t="s">
        <v>131</v>
      </c>
      <c r="AZ1766" t="s">
        <v>131</v>
      </c>
      <c r="BA1766" t="s">
        <v>131</v>
      </c>
      <c r="BB1766" t="s">
        <v>131</v>
      </c>
      <c r="BC1766" t="s">
        <v>131</v>
      </c>
      <c r="BD1766" t="s">
        <v>131</v>
      </c>
      <c r="BE1766" t="s">
        <v>132</v>
      </c>
      <c r="BH1766" t="s">
        <v>9130</v>
      </c>
      <c r="BI1766" t="s">
        <v>135</v>
      </c>
      <c r="BJ1766" t="s">
        <v>10859</v>
      </c>
      <c r="BK1766" t="s">
        <v>10860</v>
      </c>
      <c r="BL1766" t="s">
        <v>188</v>
      </c>
      <c r="BN1766" t="s">
        <v>10861</v>
      </c>
      <c r="BO1766" t="s">
        <v>131</v>
      </c>
      <c r="BP1766" t="s">
        <v>134</v>
      </c>
      <c r="BQ1766" t="s">
        <v>131</v>
      </c>
      <c r="BS1766" t="str">
        <f t="shared" si="106"/>
        <v>N/A</v>
      </c>
      <c r="BT1766" t="s">
        <v>135</v>
      </c>
      <c r="BU1766">
        <v>36</v>
      </c>
      <c r="BV1766" t="str">
        <f>"Risk Policy Sr. Manager, Credit Risk Sr. Manager, Credit Management Analyst, Relationship Manager, or related position involving credit card data analytics."</f>
        <v>Risk Policy Sr. Manager, Credit Risk Sr. Manager, Credit Management Analyst, Relationship Manager, or related position involving credit card data analytics.</v>
      </c>
      <c r="BW1766" t="s">
        <v>135</v>
      </c>
      <c r="BX1766" t="str">
        <f>""</f>
        <v/>
      </c>
      <c r="BY1766" t="str">
        <f>""</f>
        <v/>
      </c>
      <c r="BZ1766" t="str">
        <f>""</f>
        <v/>
      </c>
      <c r="CA1766" t="s">
        <v>10862</v>
      </c>
      <c r="CB1766" t="s">
        <v>131</v>
      </c>
      <c r="CF1766" t="s">
        <v>131</v>
      </c>
      <c r="CH1766" t="str">
        <f>""</f>
        <v/>
      </c>
      <c r="CI1766" t="s">
        <v>131</v>
      </c>
      <c r="CK1766" t="s">
        <v>131</v>
      </c>
      <c r="CL1766" t="str">
        <f>""</f>
        <v/>
      </c>
      <c r="CM1766" t="str">
        <f>""</f>
        <v/>
      </c>
      <c r="CN1766" t="str">
        <f>""</f>
        <v/>
      </c>
      <c r="CO1766" t="str">
        <f>""</f>
        <v/>
      </c>
      <c r="CP1766" t="str">
        <f>"15-2041.00"</f>
        <v>15-2041.00</v>
      </c>
      <c r="CQ1766" t="s">
        <v>379</v>
      </c>
      <c r="CR1766" t="s">
        <v>9131</v>
      </c>
      <c r="CS1766" t="s">
        <v>131</v>
      </c>
      <c r="CU1766" t="s">
        <v>9132</v>
      </c>
      <c r="CW1766" t="s">
        <v>486</v>
      </c>
      <c r="CX1766" t="s">
        <v>490</v>
      </c>
      <c r="CZ1766" s="3" t="str">
        <f>"19801"</f>
        <v>19801</v>
      </c>
      <c r="DA1766" t="s">
        <v>131</v>
      </c>
      <c r="DB1766" t="str">
        <f>""</f>
        <v/>
      </c>
      <c r="DF1766" t="str">
        <f>""</f>
        <v/>
      </c>
    </row>
    <row r="1767" spans="1:110" ht="15" customHeight="1" x14ac:dyDescent="0.35">
      <c r="A1767" t="s">
        <v>9201</v>
      </c>
      <c r="B1767" t="s">
        <v>138</v>
      </c>
      <c r="C1767" s="1">
        <v>44344</v>
      </c>
      <c r="G1767" s="1">
        <v>44344</v>
      </c>
      <c r="H1767" t="s">
        <v>125</v>
      </c>
      <c r="I1767" t="s">
        <v>4354</v>
      </c>
      <c r="J1767" t="s">
        <v>4355</v>
      </c>
      <c r="K1767" t="s">
        <v>695</v>
      </c>
      <c r="L1767" t="s">
        <v>4356</v>
      </c>
      <c r="M1767" t="s">
        <v>4357</v>
      </c>
      <c r="O1767" t="s">
        <v>4358</v>
      </c>
      <c r="P1767" t="s">
        <v>702</v>
      </c>
      <c r="Q1767" s="3">
        <v>6850</v>
      </c>
      <c r="R1767" t="s">
        <v>128</v>
      </c>
      <c r="T1767" s="4">
        <v>12038102663</v>
      </c>
      <c r="V1767" t="s">
        <v>4359</v>
      </c>
      <c r="W1767" t="s">
        <v>4360</v>
      </c>
      <c r="Y1767" t="s">
        <v>4357</v>
      </c>
      <c r="AA1767" t="s">
        <v>4358</v>
      </c>
      <c r="AB1767" t="s">
        <v>703</v>
      </c>
      <c r="AC1767" s="3" t="str">
        <f>"06850"</f>
        <v>06850</v>
      </c>
      <c r="AD1767" t="s">
        <v>128</v>
      </c>
      <c r="AF1767" s="4">
        <v>12038101000</v>
      </c>
      <c r="AH1767" t="str">
        <f>"54151"</f>
        <v>54151</v>
      </c>
      <c r="AI1767" t="s">
        <v>130</v>
      </c>
      <c r="AJ1767" t="s">
        <v>4354</v>
      </c>
      <c r="AK1767" t="s">
        <v>4355</v>
      </c>
      <c r="AL1767" t="s">
        <v>695</v>
      </c>
      <c r="AM1767" t="s">
        <v>4357</v>
      </c>
      <c r="AO1767" t="s">
        <v>4358</v>
      </c>
      <c r="AP1767" t="s">
        <v>703</v>
      </c>
      <c r="AQ1767" s="5">
        <v>6850</v>
      </c>
      <c r="AR1767" t="s">
        <v>128</v>
      </c>
      <c r="AT1767" s="4">
        <v>12038102663</v>
      </c>
      <c r="AV1767" t="s">
        <v>4359</v>
      </c>
      <c r="AW1767" t="s">
        <v>4360</v>
      </c>
      <c r="AX1767" t="s">
        <v>131</v>
      </c>
      <c r="AY1767" t="s">
        <v>131</v>
      </c>
      <c r="AZ1767" t="s">
        <v>131</v>
      </c>
      <c r="BA1767" t="s">
        <v>131</v>
      </c>
      <c r="BB1767" t="s">
        <v>131</v>
      </c>
      <c r="BC1767" t="s">
        <v>131</v>
      </c>
      <c r="BD1767" t="s">
        <v>131</v>
      </c>
      <c r="BE1767" t="s">
        <v>160</v>
      </c>
      <c r="BF1767" t="s">
        <v>9202</v>
      </c>
      <c r="BG1767" s="1">
        <v>44044</v>
      </c>
      <c r="BH1767" t="s">
        <v>4693</v>
      </c>
      <c r="BI1767" t="s">
        <v>135</v>
      </c>
      <c r="BJ1767" t="s">
        <v>597</v>
      </c>
      <c r="BK1767" t="s">
        <v>198</v>
      </c>
      <c r="BL1767" t="s">
        <v>133</v>
      </c>
      <c r="BN1767" t="s">
        <v>8462</v>
      </c>
      <c r="BO1767" t="s">
        <v>131</v>
      </c>
      <c r="BP1767" t="s">
        <v>134</v>
      </c>
      <c r="BQ1767" t="s">
        <v>131</v>
      </c>
      <c r="BS1767" t="str">
        <f t="shared" si="106"/>
        <v>N/A</v>
      </c>
      <c r="BT1767" t="s">
        <v>135</v>
      </c>
      <c r="BU1767">
        <v>60</v>
      </c>
      <c r="BV1767" t="str">
        <f>"Any occupation in which the required experience is acquired."</f>
        <v>Any occupation in which the required experience is acquired.</v>
      </c>
      <c r="BW1767" t="s">
        <v>135</v>
      </c>
      <c r="BX1767" t="str">
        <f>""</f>
        <v/>
      </c>
      <c r="BY1767" t="str">
        <f>""</f>
        <v/>
      </c>
      <c r="BZ1767" t="str">
        <f>""</f>
        <v/>
      </c>
      <c r="CA1767" t="s">
        <v>9203</v>
      </c>
      <c r="CB1767" t="s">
        <v>131</v>
      </c>
      <c r="CF1767" t="s">
        <v>131</v>
      </c>
      <c r="CH1767" t="str">
        <f>""</f>
        <v/>
      </c>
      <c r="CI1767" t="s">
        <v>131</v>
      </c>
      <c r="CK1767" t="s">
        <v>131</v>
      </c>
      <c r="CL1767" t="str">
        <f>""</f>
        <v/>
      </c>
      <c r="CM1767" t="str">
        <f>""</f>
        <v/>
      </c>
      <c r="CN1767" t="str">
        <f>""</f>
        <v/>
      </c>
      <c r="CO1767" t="str">
        <f>""</f>
        <v/>
      </c>
      <c r="CP1767" t="str">
        <f>"11-3021.00"</f>
        <v>11-3021.00</v>
      </c>
      <c r="CQ1767" t="s">
        <v>598</v>
      </c>
      <c r="CR1767" t="s">
        <v>3480</v>
      </c>
      <c r="CS1767" t="s">
        <v>131</v>
      </c>
      <c r="CU1767" t="s">
        <v>6130</v>
      </c>
      <c r="CW1767" t="s">
        <v>494</v>
      </c>
      <c r="CX1767" t="s">
        <v>129</v>
      </c>
      <c r="CZ1767" s="3" t="str">
        <f>"10016"</f>
        <v>10016</v>
      </c>
      <c r="DA1767" t="s">
        <v>135</v>
      </c>
      <c r="DB1767" t="str">
        <f>""</f>
        <v/>
      </c>
      <c r="DF1767" t="str">
        <f>""</f>
        <v/>
      </c>
    </row>
    <row r="1768" spans="1:110" ht="15" customHeight="1" x14ac:dyDescent="0.35">
      <c r="A1768" t="s">
        <v>17506</v>
      </c>
      <c r="B1768" t="s">
        <v>138</v>
      </c>
      <c r="C1768" s="1">
        <v>44344</v>
      </c>
      <c r="G1768" s="1">
        <v>44344</v>
      </c>
      <c r="H1768" t="s">
        <v>125</v>
      </c>
      <c r="I1768" t="s">
        <v>5613</v>
      </c>
      <c r="J1768" t="s">
        <v>15403</v>
      </c>
      <c r="L1768" t="s">
        <v>395</v>
      </c>
      <c r="M1768" t="s">
        <v>17507</v>
      </c>
      <c r="O1768" t="s">
        <v>4144</v>
      </c>
      <c r="P1768" t="s">
        <v>588</v>
      </c>
      <c r="Q1768" s="3">
        <v>22193</v>
      </c>
      <c r="R1768" t="s">
        <v>128</v>
      </c>
      <c r="T1768" s="4">
        <v>17036285180</v>
      </c>
      <c r="V1768" t="s">
        <v>15635</v>
      </c>
      <c r="W1768" t="s">
        <v>17508</v>
      </c>
      <c r="X1768" t="s">
        <v>17509</v>
      </c>
      <c r="Y1768" t="s">
        <v>17507</v>
      </c>
      <c r="AA1768" t="s">
        <v>4144</v>
      </c>
      <c r="AB1768" t="s">
        <v>306</v>
      </c>
      <c r="AC1768" s="3" t="str">
        <f>"22193"</f>
        <v>22193</v>
      </c>
      <c r="AD1768" t="s">
        <v>128</v>
      </c>
      <c r="AF1768" s="4">
        <v>17036285180</v>
      </c>
      <c r="AH1768" t="str">
        <f>"447110"</f>
        <v>447110</v>
      </c>
      <c r="AI1768" t="s">
        <v>130</v>
      </c>
      <c r="AJ1768" t="s">
        <v>15636</v>
      </c>
      <c r="AK1768" t="s">
        <v>9335</v>
      </c>
      <c r="AM1768" t="s">
        <v>9336</v>
      </c>
      <c r="AN1768" t="s">
        <v>2744</v>
      </c>
      <c r="AO1768" t="s">
        <v>494</v>
      </c>
      <c r="AP1768" t="s">
        <v>129</v>
      </c>
      <c r="AQ1768" s="5">
        <v>10001</v>
      </c>
      <c r="AR1768" t="s">
        <v>128</v>
      </c>
      <c r="AT1768" s="4">
        <v>12129471079</v>
      </c>
      <c r="AV1768" t="s">
        <v>9337</v>
      </c>
      <c r="AW1768" t="s">
        <v>9338</v>
      </c>
      <c r="AX1768" t="s">
        <v>131</v>
      </c>
      <c r="AY1768" t="s">
        <v>131</v>
      </c>
      <c r="AZ1768" t="s">
        <v>131</v>
      </c>
      <c r="BA1768" t="s">
        <v>131</v>
      </c>
      <c r="BB1768" t="s">
        <v>131</v>
      </c>
      <c r="BC1768" t="s">
        <v>131</v>
      </c>
      <c r="BD1768" t="s">
        <v>131</v>
      </c>
      <c r="BE1768" t="s">
        <v>132</v>
      </c>
      <c r="BH1768" t="s">
        <v>918</v>
      </c>
      <c r="BI1768" t="s">
        <v>135</v>
      </c>
      <c r="BJ1768" t="s">
        <v>15637</v>
      </c>
      <c r="BK1768" t="s">
        <v>15638</v>
      </c>
      <c r="BL1768" t="s">
        <v>401</v>
      </c>
      <c r="BO1768" t="s">
        <v>131</v>
      </c>
      <c r="BP1768" t="s">
        <v>134</v>
      </c>
      <c r="BQ1768" t="s">
        <v>131</v>
      </c>
      <c r="BS1768" t="str">
        <f t="shared" si="106"/>
        <v>N/A</v>
      </c>
      <c r="BT1768" t="s">
        <v>135</v>
      </c>
      <c r="BU1768">
        <v>24</v>
      </c>
      <c r="BV1768" t="str">
        <f>"Supervisor"</f>
        <v>Supervisor</v>
      </c>
      <c r="BW1768" t="s">
        <v>131</v>
      </c>
      <c r="BX1768" t="str">
        <f>""</f>
        <v/>
      </c>
      <c r="BY1768" t="str">
        <f>""</f>
        <v/>
      </c>
      <c r="BZ1768" t="str">
        <f>""</f>
        <v/>
      </c>
      <c r="CA1768" t="str">
        <f>""</f>
        <v/>
      </c>
      <c r="CB1768" t="s">
        <v>131</v>
      </c>
      <c r="CF1768" t="s">
        <v>131</v>
      </c>
      <c r="CH1768" t="str">
        <f>""</f>
        <v/>
      </c>
      <c r="CI1768" t="s">
        <v>131</v>
      </c>
      <c r="CK1768" t="s">
        <v>131</v>
      </c>
      <c r="CL1768" t="str">
        <f>""</f>
        <v/>
      </c>
      <c r="CM1768" t="str">
        <f>""</f>
        <v/>
      </c>
      <c r="CN1768" t="str">
        <f>""</f>
        <v/>
      </c>
      <c r="CO1768" t="str">
        <f>""</f>
        <v/>
      </c>
      <c r="CP1768" t="str">
        <f>"41-1011.00"</f>
        <v>41-1011.00</v>
      </c>
      <c r="CQ1768" t="s">
        <v>3177</v>
      </c>
      <c r="CR1768" t="s">
        <v>460</v>
      </c>
      <c r="CS1768" t="s">
        <v>131</v>
      </c>
      <c r="CU1768" t="s">
        <v>17510</v>
      </c>
      <c r="CW1768" t="s">
        <v>15639</v>
      </c>
      <c r="CX1768" t="s">
        <v>306</v>
      </c>
      <c r="CZ1768" s="3" t="str">
        <f>"22546"</f>
        <v>22546</v>
      </c>
      <c r="DA1768" t="s">
        <v>131</v>
      </c>
      <c r="DB1768" t="str">
        <f>""</f>
        <v/>
      </c>
      <c r="DF1768" t="str">
        <f>""</f>
        <v/>
      </c>
    </row>
    <row r="1769" spans="1:110" ht="15" customHeight="1" x14ac:dyDescent="0.35">
      <c r="A1769" t="s">
        <v>11752</v>
      </c>
      <c r="B1769" t="s">
        <v>138</v>
      </c>
      <c r="C1769" s="1">
        <v>44344</v>
      </c>
      <c r="G1769" s="1">
        <v>44344</v>
      </c>
      <c r="H1769" t="s">
        <v>125</v>
      </c>
      <c r="I1769" t="s">
        <v>651</v>
      </c>
      <c r="J1769" t="s">
        <v>11753</v>
      </c>
      <c r="L1769" t="s">
        <v>11754</v>
      </c>
      <c r="M1769" t="s">
        <v>11755</v>
      </c>
      <c r="O1769" t="s">
        <v>8317</v>
      </c>
      <c r="P1769" t="s">
        <v>178</v>
      </c>
      <c r="Q1769" s="3">
        <v>90670</v>
      </c>
      <c r="R1769" t="s">
        <v>128</v>
      </c>
      <c r="T1769" s="4">
        <v>15622290001</v>
      </c>
      <c r="V1769" t="s">
        <v>11756</v>
      </c>
      <c r="W1769" t="s">
        <v>11757</v>
      </c>
      <c r="X1769" t="s">
        <v>11758</v>
      </c>
      <c r="Y1769" t="s">
        <v>11755</v>
      </c>
      <c r="AA1769" t="s">
        <v>8317</v>
      </c>
      <c r="AB1769" t="s">
        <v>172</v>
      </c>
      <c r="AC1769" s="3" t="str">
        <f>"90670"</f>
        <v>90670</v>
      </c>
      <c r="AD1769" t="s">
        <v>128</v>
      </c>
      <c r="AF1769" s="4">
        <v>15622290001</v>
      </c>
      <c r="AH1769" t="str">
        <f>"813110"</f>
        <v>813110</v>
      </c>
      <c r="AI1769" t="s">
        <v>167</v>
      </c>
      <c r="AX1769" t="s">
        <v>131</v>
      </c>
      <c r="AY1769" t="s">
        <v>131</v>
      </c>
      <c r="AZ1769" t="s">
        <v>131</v>
      </c>
      <c r="BA1769" t="s">
        <v>131</v>
      </c>
      <c r="BB1769" t="s">
        <v>131</v>
      </c>
      <c r="BC1769" t="s">
        <v>131</v>
      </c>
      <c r="BD1769" t="s">
        <v>131</v>
      </c>
      <c r="BE1769" t="s">
        <v>132</v>
      </c>
      <c r="BH1769" t="s">
        <v>11518</v>
      </c>
      <c r="BI1769" t="s">
        <v>131</v>
      </c>
      <c r="BL1769" t="s">
        <v>188</v>
      </c>
      <c r="BN1769" t="s">
        <v>9714</v>
      </c>
      <c r="BO1769" t="s">
        <v>131</v>
      </c>
      <c r="BP1769" t="s">
        <v>134</v>
      </c>
      <c r="BQ1769" t="s">
        <v>131</v>
      </c>
      <c r="BS1769" t="str">
        <f t="shared" si="106"/>
        <v>N/A</v>
      </c>
      <c r="BT1769" t="s">
        <v>131</v>
      </c>
      <c r="BV1769" t="str">
        <f>""</f>
        <v/>
      </c>
      <c r="BW1769" t="s">
        <v>131</v>
      </c>
      <c r="BX1769" t="str">
        <f>""</f>
        <v/>
      </c>
      <c r="BY1769" t="str">
        <f>""</f>
        <v/>
      </c>
      <c r="BZ1769" t="str">
        <f>""</f>
        <v/>
      </c>
      <c r="CA1769" t="str">
        <f>""</f>
        <v/>
      </c>
      <c r="CB1769" t="s">
        <v>131</v>
      </c>
      <c r="CF1769" t="s">
        <v>131</v>
      </c>
      <c r="CH1769" t="str">
        <f>""</f>
        <v/>
      </c>
      <c r="CI1769" t="s">
        <v>131</v>
      </c>
      <c r="CK1769" t="s">
        <v>131</v>
      </c>
      <c r="CL1769" t="str">
        <f>""</f>
        <v/>
      </c>
      <c r="CM1769" t="str">
        <f>""</f>
        <v/>
      </c>
      <c r="CN1769" t="str">
        <f>""</f>
        <v/>
      </c>
      <c r="CO1769" t="str">
        <f>""</f>
        <v/>
      </c>
      <c r="CP1769" t="str">
        <f>"21-2011.00"</f>
        <v>21-2011.00</v>
      </c>
      <c r="CQ1769" t="s">
        <v>5340</v>
      </c>
      <c r="CS1769" t="s">
        <v>131</v>
      </c>
      <c r="CU1769" t="s">
        <v>11755</v>
      </c>
      <c r="CW1769" t="s">
        <v>8317</v>
      </c>
      <c r="CX1769" t="s">
        <v>172</v>
      </c>
      <c r="CZ1769" s="3" t="str">
        <f>"90670"</f>
        <v>90670</v>
      </c>
      <c r="DA1769" t="s">
        <v>131</v>
      </c>
      <c r="DB1769" t="str">
        <f>""</f>
        <v/>
      </c>
      <c r="DF1769" t="str">
        <f>""</f>
        <v/>
      </c>
    </row>
    <row r="1770" spans="1:110" ht="15" customHeight="1" x14ac:dyDescent="0.35">
      <c r="A1770" t="s">
        <v>19915</v>
      </c>
      <c r="B1770" t="s">
        <v>138</v>
      </c>
      <c r="C1770" s="1">
        <v>44344</v>
      </c>
      <c r="G1770" s="1">
        <v>44365</v>
      </c>
      <c r="H1770" t="s">
        <v>125</v>
      </c>
      <c r="I1770" t="s">
        <v>139</v>
      </c>
      <c r="J1770" t="s">
        <v>140</v>
      </c>
      <c r="L1770" t="s">
        <v>141</v>
      </c>
      <c r="M1770" t="s">
        <v>142</v>
      </c>
      <c r="O1770" t="s">
        <v>143</v>
      </c>
      <c r="P1770" t="s">
        <v>144</v>
      </c>
      <c r="Q1770" s="3">
        <v>98052</v>
      </c>
      <c r="R1770" t="s">
        <v>128</v>
      </c>
      <c r="T1770" s="4">
        <v>14255383872</v>
      </c>
      <c r="V1770" t="s">
        <v>234</v>
      </c>
      <c r="W1770" t="s">
        <v>235</v>
      </c>
      <c r="Y1770" t="s">
        <v>236</v>
      </c>
      <c r="AA1770" t="s">
        <v>143</v>
      </c>
      <c r="AB1770" t="s">
        <v>149</v>
      </c>
      <c r="AC1770" s="3" t="str">
        <f>"98052"</f>
        <v>98052</v>
      </c>
      <c r="AD1770" t="s">
        <v>128</v>
      </c>
      <c r="AF1770" s="4">
        <v>14255383872</v>
      </c>
      <c r="AH1770" t="str">
        <f>"51121"</f>
        <v>51121</v>
      </c>
      <c r="AI1770" t="s">
        <v>130</v>
      </c>
      <c r="AJ1770" t="s">
        <v>237</v>
      </c>
      <c r="AK1770" t="s">
        <v>238</v>
      </c>
      <c r="AM1770" t="s">
        <v>239</v>
      </c>
      <c r="AN1770" t="s">
        <v>240</v>
      </c>
      <c r="AO1770" t="s">
        <v>241</v>
      </c>
      <c r="AQ1770" s="5" t="s">
        <v>242</v>
      </c>
      <c r="AR1770" t="s">
        <v>156</v>
      </c>
      <c r="AS1770" t="s">
        <v>243</v>
      </c>
      <c r="AT1770" s="4">
        <v>16048067013</v>
      </c>
      <c r="AV1770" t="s">
        <v>234</v>
      </c>
      <c r="AW1770" t="s">
        <v>244</v>
      </c>
      <c r="AX1770" t="s">
        <v>131</v>
      </c>
      <c r="AY1770" t="s">
        <v>131</v>
      </c>
      <c r="AZ1770" t="s">
        <v>131</v>
      </c>
      <c r="BA1770" t="s">
        <v>131</v>
      </c>
      <c r="BB1770" t="s">
        <v>131</v>
      </c>
      <c r="BC1770" t="s">
        <v>131</v>
      </c>
      <c r="BD1770" t="s">
        <v>131</v>
      </c>
      <c r="BE1770" t="s">
        <v>132</v>
      </c>
      <c r="BH1770" t="s">
        <v>1589</v>
      </c>
      <c r="BI1770" t="s">
        <v>131</v>
      </c>
      <c r="BL1770" t="s">
        <v>133</v>
      </c>
      <c r="BN1770" t="s">
        <v>19916</v>
      </c>
      <c r="BO1770" t="s">
        <v>131</v>
      </c>
      <c r="BP1770" t="s">
        <v>134</v>
      </c>
      <c r="BQ1770" t="s">
        <v>131</v>
      </c>
      <c r="BS1770" t="str">
        <f t="shared" si="106"/>
        <v>N/A</v>
      </c>
      <c r="BT1770" t="s">
        <v>135</v>
      </c>
      <c r="BU1770">
        <v>24</v>
      </c>
      <c r="BV1770" t="str">
        <f>"All Computer related occupations"</f>
        <v>All Computer related occupations</v>
      </c>
      <c r="BW1770" t="s">
        <v>135</v>
      </c>
      <c r="BX1770" t="str">
        <f>""</f>
        <v/>
      </c>
      <c r="BY1770" t="str">
        <f>""</f>
        <v/>
      </c>
      <c r="BZ1770" t="str">
        <f>""</f>
        <v/>
      </c>
      <c r="CA1770" t="s">
        <v>17291</v>
      </c>
      <c r="CB1770" t="s">
        <v>131</v>
      </c>
      <c r="CF1770" t="s">
        <v>131</v>
      </c>
      <c r="CH1770" t="str">
        <f>""</f>
        <v/>
      </c>
      <c r="CI1770" t="s">
        <v>131</v>
      </c>
      <c r="CK1770" t="s">
        <v>131</v>
      </c>
      <c r="CL1770" t="str">
        <f>""</f>
        <v/>
      </c>
      <c r="CM1770" t="str">
        <f>""</f>
        <v/>
      </c>
      <c r="CN1770" t="str">
        <f>""</f>
        <v/>
      </c>
      <c r="CO1770" t="str">
        <f>""</f>
        <v/>
      </c>
      <c r="CP1770" t="str">
        <f>"15-1132.00"</f>
        <v>15-1132.00</v>
      </c>
      <c r="CQ1770" t="s">
        <v>198</v>
      </c>
      <c r="CS1770" t="s">
        <v>131</v>
      </c>
      <c r="CU1770" t="s">
        <v>142</v>
      </c>
      <c r="CW1770" t="s">
        <v>143</v>
      </c>
      <c r="CX1770" t="s">
        <v>149</v>
      </c>
      <c r="CZ1770" s="3" t="str">
        <f>"98052"</f>
        <v>98052</v>
      </c>
      <c r="DA1770" t="s">
        <v>131</v>
      </c>
      <c r="DB1770" t="str">
        <f>""</f>
        <v/>
      </c>
      <c r="DF1770" t="str">
        <f>""</f>
        <v/>
      </c>
    </row>
    <row r="1771" spans="1:110" ht="15" customHeight="1" x14ac:dyDescent="0.35">
      <c r="A1771" t="s">
        <v>2359</v>
      </c>
      <c r="B1771" t="s">
        <v>138</v>
      </c>
      <c r="C1771" s="1">
        <v>44344</v>
      </c>
      <c r="G1771" s="1">
        <v>44344</v>
      </c>
      <c r="H1771" t="s">
        <v>125</v>
      </c>
      <c r="I1771" t="s">
        <v>2360</v>
      </c>
      <c r="J1771" t="s">
        <v>2361</v>
      </c>
      <c r="K1771" t="s">
        <v>2362</v>
      </c>
      <c r="L1771" t="s">
        <v>2363</v>
      </c>
      <c r="M1771" t="s">
        <v>2364</v>
      </c>
      <c r="N1771" t="s">
        <v>2365</v>
      </c>
      <c r="O1771" t="s">
        <v>1447</v>
      </c>
      <c r="P1771" t="s">
        <v>412</v>
      </c>
      <c r="Q1771" s="3">
        <v>75023</v>
      </c>
      <c r="R1771" t="s">
        <v>128</v>
      </c>
      <c r="T1771" s="4">
        <v>12149579866</v>
      </c>
      <c r="V1771" t="s">
        <v>2366</v>
      </c>
      <c r="W1771" t="s">
        <v>2367</v>
      </c>
      <c r="Y1771" t="s">
        <v>2368</v>
      </c>
      <c r="AA1771" t="s">
        <v>399</v>
      </c>
      <c r="AB1771" t="s">
        <v>400</v>
      </c>
      <c r="AC1771" s="3" t="str">
        <f>"75231"</f>
        <v>75231</v>
      </c>
      <c r="AD1771" t="s">
        <v>128</v>
      </c>
      <c r="AF1771" s="4">
        <v>18447828875</v>
      </c>
      <c r="AH1771" t="str">
        <f>"481219"</f>
        <v>481219</v>
      </c>
      <c r="AI1771" t="s">
        <v>167</v>
      </c>
      <c r="AX1771" t="s">
        <v>131</v>
      </c>
      <c r="AY1771" t="s">
        <v>131</v>
      </c>
      <c r="AZ1771" t="s">
        <v>131</v>
      </c>
      <c r="BA1771" t="s">
        <v>131</v>
      </c>
      <c r="BB1771" t="s">
        <v>131</v>
      </c>
      <c r="BC1771" t="s">
        <v>131</v>
      </c>
      <c r="BD1771" t="s">
        <v>131</v>
      </c>
      <c r="BE1771" t="s">
        <v>132</v>
      </c>
      <c r="BH1771" t="s">
        <v>2369</v>
      </c>
      <c r="BI1771" t="s">
        <v>131</v>
      </c>
      <c r="BL1771" t="s">
        <v>401</v>
      </c>
      <c r="BO1771" t="s">
        <v>131</v>
      </c>
      <c r="BP1771" t="s">
        <v>134</v>
      </c>
      <c r="BQ1771" t="s">
        <v>131</v>
      </c>
      <c r="BS1771" t="str">
        <f t="shared" si="106"/>
        <v>N/A</v>
      </c>
      <c r="BT1771" t="s">
        <v>135</v>
      </c>
      <c r="BU1771">
        <v>12</v>
      </c>
      <c r="BV1771" t="str">
        <f>"Sales experience in an aviation environment."</f>
        <v>Sales experience in an aviation environment.</v>
      </c>
      <c r="BW1771" t="s">
        <v>135</v>
      </c>
      <c r="BX1771" t="str">
        <f>"U.S. Commercial Airman Certificate for Multi-Engine Land and Single-Engine Land"</f>
        <v>U.S. Commercial Airman Certificate for Multi-Engine Land and Single-Engine Land</v>
      </c>
      <c r="BY1771" t="str">
        <f>""</f>
        <v/>
      </c>
      <c r="BZ1771" t="str">
        <f>""</f>
        <v/>
      </c>
      <c r="CA1771" t="str">
        <f>""</f>
        <v/>
      </c>
      <c r="CB1771" t="s">
        <v>131</v>
      </c>
      <c r="CF1771" t="s">
        <v>131</v>
      </c>
      <c r="CH1771" t="str">
        <f>""</f>
        <v/>
      </c>
      <c r="CI1771" t="s">
        <v>131</v>
      </c>
      <c r="CK1771" t="s">
        <v>131</v>
      </c>
      <c r="CL1771" t="str">
        <f>""</f>
        <v/>
      </c>
      <c r="CM1771" t="str">
        <f>""</f>
        <v/>
      </c>
      <c r="CN1771" t="str">
        <f>""</f>
        <v/>
      </c>
      <c r="CO1771" t="str">
        <f>""</f>
        <v/>
      </c>
      <c r="CP1771" t="str">
        <f>"41-4011.00"</f>
        <v>41-4011.00</v>
      </c>
      <c r="CQ1771" t="s">
        <v>2370</v>
      </c>
      <c r="CS1771" t="s">
        <v>131</v>
      </c>
      <c r="CU1771" t="s">
        <v>2368</v>
      </c>
      <c r="CW1771" t="s">
        <v>399</v>
      </c>
      <c r="CX1771" t="s">
        <v>400</v>
      </c>
      <c r="CZ1771" s="3" t="str">
        <f>"75231"</f>
        <v>75231</v>
      </c>
      <c r="DA1771" t="s">
        <v>131</v>
      </c>
      <c r="DB1771" t="str">
        <f>""</f>
        <v/>
      </c>
      <c r="DF1771" t="str">
        <f>""</f>
        <v/>
      </c>
    </row>
    <row r="1772" spans="1:110" ht="15" customHeight="1" x14ac:dyDescent="0.35">
      <c r="A1772" t="s">
        <v>16489</v>
      </c>
      <c r="B1772" t="s">
        <v>138</v>
      </c>
      <c r="C1772" s="1">
        <v>44344</v>
      </c>
      <c r="G1772" s="1">
        <v>44369</v>
      </c>
      <c r="H1772" t="s">
        <v>125</v>
      </c>
      <c r="I1772" t="s">
        <v>10697</v>
      </c>
      <c r="J1772" t="s">
        <v>2968</v>
      </c>
      <c r="L1772" t="s">
        <v>3024</v>
      </c>
      <c r="M1772" t="s">
        <v>10698</v>
      </c>
      <c r="N1772" t="s">
        <v>10602</v>
      </c>
      <c r="O1772" t="s">
        <v>3544</v>
      </c>
      <c r="P1772" t="s">
        <v>178</v>
      </c>
      <c r="Q1772" s="3">
        <v>91362</v>
      </c>
      <c r="R1772" t="s">
        <v>128</v>
      </c>
      <c r="T1772" s="4">
        <v>17472120840</v>
      </c>
      <c r="V1772" t="s">
        <v>10699</v>
      </c>
      <c r="W1772" t="s">
        <v>10700</v>
      </c>
      <c r="X1772" t="s">
        <v>13423</v>
      </c>
      <c r="Y1772" t="s">
        <v>10701</v>
      </c>
      <c r="Z1772" t="s">
        <v>1641</v>
      </c>
      <c r="AA1772" t="s">
        <v>10702</v>
      </c>
      <c r="AB1772" t="s">
        <v>172</v>
      </c>
      <c r="AC1772" s="3" t="str">
        <f>"91362"</f>
        <v>91362</v>
      </c>
      <c r="AD1772" t="s">
        <v>128</v>
      </c>
      <c r="AF1772" s="4">
        <v>17478004242</v>
      </c>
      <c r="AH1772" t="str">
        <f>"522292"</f>
        <v>522292</v>
      </c>
      <c r="AI1772" t="s">
        <v>130</v>
      </c>
      <c r="AJ1772" t="s">
        <v>6331</v>
      </c>
      <c r="AK1772" t="s">
        <v>5252</v>
      </c>
      <c r="AL1772" t="s">
        <v>610</v>
      </c>
      <c r="AM1772" t="s">
        <v>6332</v>
      </c>
      <c r="AO1772" t="s">
        <v>6333</v>
      </c>
      <c r="AP1772" t="s">
        <v>605</v>
      </c>
      <c r="AQ1772" s="5">
        <v>50309</v>
      </c>
      <c r="AR1772" t="s">
        <v>128</v>
      </c>
      <c r="AT1772" s="4">
        <v>15152882500</v>
      </c>
      <c r="AV1772" t="s">
        <v>6334</v>
      </c>
      <c r="AW1772" t="s">
        <v>6335</v>
      </c>
      <c r="AX1772" t="s">
        <v>131</v>
      </c>
      <c r="AY1772" t="s">
        <v>131</v>
      </c>
      <c r="AZ1772" t="s">
        <v>131</v>
      </c>
      <c r="BA1772" t="s">
        <v>131</v>
      </c>
      <c r="BB1772" t="s">
        <v>131</v>
      </c>
      <c r="BC1772" t="s">
        <v>131</v>
      </c>
      <c r="BD1772" t="s">
        <v>131</v>
      </c>
      <c r="BE1772" t="s">
        <v>132</v>
      </c>
      <c r="BH1772" t="s">
        <v>5498</v>
      </c>
      <c r="BI1772" t="s">
        <v>131</v>
      </c>
      <c r="BL1772" t="s">
        <v>188</v>
      </c>
      <c r="BN1772" t="s">
        <v>13424</v>
      </c>
      <c r="BO1772" t="s">
        <v>131</v>
      </c>
      <c r="BP1772" t="s">
        <v>134</v>
      </c>
      <c r="BQ1772" t="s">
        <v>131</v>
      </c>
      <c r="BS1772" t="str">
        <f t="shared" si="106"/>
        <v>N/A</v>
      </c>
      <c r="BT1772" t="s">
        <v>135</v>
      </c>
      <c r="BU1772">
        <v>24</v>
      </c>
      <c r="BV1772" t="str">
        <f>"Sr. Data Scientist*"</f>
        <v>Sr. Data Scientist*</v>
      </c>
      <c r="BW1772" t="s">
        <v>135</v>
      </c>
      <c r="BX1772" t="str">
        <f>""</f>
        <v/>
      </c>
      <c r="BY1772" t="str">
        <f>""</f>
        <v/>
      </c>
      <c r="BZ1772" t="str">
        <f>""</f>
        <v/>
      </c>
      <c r="CA1772" t="s">
        <v>13425</v>
      </c>
      <c r="CB1772" t="s">
        <v>131</v>
      </c>
      <c r="CF1772" t="s">
        <v>131</v>
      </c>
      <c r="CH1772" t="str">
        <f>""</f>
        <v/>
      </c>
      <c r="CI1772" t="s">
        <v>131</v>
      </c>
      <c r="CK1772" t="s">
        <v>131</v>
      </c>
      <c r="CL1772" t="str">
        <f>""</f>
        <v/>
      </c>
      <c r="CM1772" t="str">
        <f>""</f>
        <v/>
      </c>
      <c r="CN1772" t="str">
        <f>""</f>
        <v/>
      </c>
      <c r="CO1772" t="str">
        <f>""</f>
        <v/>
      </c>
      <c r="CP1772" t="str">
        <f>"15-2041.00"</f>
        <v>15-2041.00</v>
      </c>
      <c r="CQ1772" t="s">
        <v>379</v>
      </c>
      <c r="CR1772" t="s">
        <v>460</v>
      </c>
      <c r="CS1772" t="s">
        <v>131</v>
      </c>
      <c r="CU1772" t="s">
        <v>13426</v>
      </c>
      <c r="CV1772" t="s">
        <v>13427</v>
      </c>
      <c r="CW1772" t="s">
        <v>3544</v>
      </c>
      <c r="CX1772" t="s">
        <v>172</v>
      </c>
      <c r="CZ1772" s="3" t="str">
        <f>"91362"</f>
        <v>91362</v>
      </c>
      <c r="DA1772" t="s">
        <v>131</v>
      </c>
      <c r="DB1772" t="str">
        <f>""</f>
        <v/>
      </c>
      <c r="DF1772" t="str">
        <f>""</f>
        <v/>
      </c>
    </row>
    <row r="1773" spans="1:110" ht="15" customHeight="1" x14ac:dyDescent="0.35">
      <c r="A1773" t="s">
        <v>12306</v>
      </c>
      <c r="B1773" t="s">
        <v>138</v>
      </c>
      <c r="C1773" s="1">
        <v>44345</v>
      </c>
      <c r="G1773" s="1">
        <v>44351</v>
      </c>
      <c r="H1773" t="s">
        <v>125</v>
      </c>
      <c r="I1773" t="s">
        <v>2475</v>
      </c>
      <c r="J1773" t="s">
        <v>12307</v>
      </c>
      <c r="L1773" t="s">
        <v>303</v>
      </c>
      <c r="M1773" t="s">
        <v>12308</v>
      </c>
      <c r="N1773" t="s">
        <v>439</v>
      </c>
      <c r="O1773" t="s">
        <v>12309</v>
      </c>
      <c r="P1773" t="s">
        <v>273</v>
      </c>
      <c r="Q1773" s="3">
        <v>8872</v>
      </c>
      <c r="R1773" t="s">
        <v>128</v>
      </c>
      <c r="T1773" s="4">
        <v>18482192205</v>
      </c>
      <c r="V1773" t="s">
        <v>12310</v>
      </c>
      <c r="W1773" t="s">
        <v>12311</v>
      </c>
      <c r="Y1773" t="s">
        <v>12308</v>
      </c>
      <c r="Z1773" t="s">
        <v>439</v>
      </c>
      <c r="AA1773" t="s">
        <v>12309</v>
      </c>
      <c r="AB1773" t="s">
        <v>276</v>
      </c>
      <c r="AC1773" s="3" t="str">
        <f>"08872"</f>
        <v>08872</v>
      </c>
      <c r="AD1773" t="s">
        <v>128</v>
      </c>
      <c r="AF1773" s="4">
        <v>18482192205</v>
      </c>
      <c r="AH1773" t="str">
        <f>"541519"</f>
        <v>541519</v>
      </c>
      <c r="AI1773" t="s">
        <v>130</v>
      </c>
      <c r="AJ1773" t="s">
        <v>12312</v>
      </c>
      <c r="AK1773" t="s">
        <v>5664</v>
      </c>
      <c r="AL1773" t="s">
        <v>1942</v>
      </c>
      <c r="AM1773" t="s">
        <v>12313</v>
      </c>
      <c r="AN1773" t="s">
        <v>12026</v>
      </c>
      <c r="AO1773" t="s">
        <v>476</v>
      </c>
      <c r="AP1773" t="s">
        <v>172</v>
      </c>
      <c r="AQ1773" s="5">
        <v>90068</v>
      </c>
      <c r="AR1773" t="s">
        <v>128</v>
      </c>
      <c r="AT1773" s="4">
        <v>13234650550</v>
      </c>
      <c r="AV1773" t="s">
        <v>12314</v>
      </c>
      <c r="AW1773" t="s">
        <v>12315</v>
      </c>
      <c r="AX1773" t="s">
        <v>131</v>
      </c>
      <c r="AY1773" t="s">
        <v>131</v>
      </c>
      <c r="AZ1773" t="s">
        <v>131</v>
      </c>
      <c r="BA1773" t="s">
        <v>131</v>
      </c>
      <c r="BB1773" t="s">
        <v>131</v>
      </c>
      <c r="BC1773" t="s">
        <v>131</v>
      </c>
      <c r="BD1773" t="s">
        <v>131</v>
      </c>
      <c r="BE1773" t="s">
        <v>132</v>
      </c>
      <c r="BH1773" t="s">
        <v>12316</v>
      </c>
      <c r="BI1773" t="s">
        <v>135</v>
      </c>
      <c r="BJ1773" t="s">
        <v>12317</v>
      </c>
      <c r="BK1773" t="s">
        <v>12318</v>
      </c>
      <c r="BL1773" t="s">
        <v>133</v>
      </c>
      <c r="BN1773" t="s">
        <v>12319</v>
      </c>
      <c r="BO1773" t="s">
        <v>131</v>
      </c>
      <c r="BP1773" t="s">
        <v>134</v>
      </c>
      <c r="BQ1773" t="s">
        <v>131</v>
      </c>
      <c r="BS1773" t="str">
        <f t="shared" si="106"/>
        <v>N/A</v>
      </c>
      <c r="BT1773" t="s">
        <v>135</v>
      </c>
      <c r="BU1773">
        <v>60</v>
      </c>
      <c r="BV1773" t="str">
        <f>"Job offered, Senior Manager, Manager, or related occupation in the field of Software Development - Analytics.
Five years of experience must be progressive and post baccalaureate."</f>
        <v>Job offered, Senior Manager, Manager, or related occupation in the field of Software Development - Analytics.
Five years of experience must be progressive and post baccalaureate.</v>
      </c>
      <c r="BW1773" t="s">
        <v>135</v>
      </c>
      <c r="BX1773" t="str">
        <f>""</f>
        <v/>
      </c>
      <c r="BY1773" t="str">
        <f>""</f>
        <v/>
      </c>
      <c r="BZ1773" t="str">
        <f>""</f>
        <v/>
      </c>
      <c r="CA1773" t="s">
        <v>12320</v>
      </c>
      <c r="CB1773" t="s">
        <v>131</v>
      </c>
      <c r="CF1773" t="s">
        <v>131</v>
      </c>
      <c r="CH1773" t="str">
        <f>""</f>
        <v/>
      </c>
      <c r="CI1773" t="s">
        <v>131</v>
      </c>
      <c r="CK1773" t="s">
        <v>131</v>
      </c>
      <c r="CL1773" t="str">
        <f>""</f>
        <v/>
      </c>
      <c r="CM1773" t="str">
        <f>""</f>
        <v/>
      </c>
      <c r="CN1773" t="str">
        <f>""</f>
        <v/>
      </c>
      <c r="CO1773" t="str">
        <f>""</f>
        <v/>
      </c>
      <c r="CP1773" t="str">
        <f>"15-1132.00"</f>
        <v>15-1132.00</v>
      </c>
      <c r="CQ1773" t="s">
        <v>198</v>
      </c>
      <c r="CR1773" t="s">
        <v>303</v>
      </c>
      <c r="CS1773" t="s">
        <v>135</v>
      </c>
      <c r="CT1773" s="2" t="s">
        <v>12321</v>
      </c>
      <c r="CU1773" t="s">
        <v>12308</v>
      </c>
      <c r="CV1773" t="s">
        <v>439</v>
      </c>
      <c r="CW1773" t="s">
        <v>12309</v>
      </c>
      <c r="CX1773" t="s">
        <v>276</v>
      </c>
      <c r="CZ1773" s="3" t="str">
        <f>"08872"</f>
        <v>08872</v>
      </c>
      <c r="DA1773" t="s">
        <v>131</v>
      </c>
      <c r="DB1773" t="str">
        <f>""</f>
        <v/>
      </c>
      <c r="DF1773" t="str">
        <f>""</f>
        <v/>
      </c>
    </row>
    <row r="1774" spans="1:110" ht="15" customHeight="1" x14ac:dyDescent="0.35">
      <c r="A1774" t="s">
        <v>14183</v>
      </c>
      <c r="B1774" t="s">
        <v>138</v>
      </c>
      <c r="C1774" s="1">
        <v>44347</v>
      </c>
      <c r="G1774" s="1">
        <v>44347</v>
      </c>
      <c r="H1774" t="s">
        <v>125</v>
      </c>
      <c r="I1774" t="s">
        <v>8864</v>
      </c>
      <c r="J1774" t="s">
        <v>1519</v>
      </c>
      <c r="L1774" t="s">
        <v>587</v>
      </c>
      <c r="M1774" t="s">
        <v>8865</v>
      </c>
      <c r="O1774" t="s">
        <v>494</v>
      </c>
      <c r="P1774" t="s">
        <v>127</v>
      </c>
      <c r="Q1774" s="3">
        <v>10019</v>
      </c>
      <c r="R1774" t="s">
        <v>128</v>
      </c>
      <c r="T1774" s="4">
        <v>10000000000</v>
      </c>
      <c r="V1774" t="s">
        <v>8866</v>
      </c>
      <c r="W1774" t="s">
        <v>8867</v>
      </c>
      <c r="Y1774" t="s">
        <v>8865</v>
      </c>
      <c r="AA1774" t="s">
        <v>494</v>
      </c>
      <c r="AB1774" t="s">
        <v>129</v>
      </c>
      <c r="AC1774" s="3" t="str">
        <f>"10019"</f>
        <v>10019</v>
      </c>
      <c r="AD1774" t="s">
        <v>128</v>
      </c>
      <c r="AF1774" s="4">
        <v>10000000000</v>
      </c>
      <c r="AH1774" t="str">
        <f>"3251"</f>
        <v>3251</v>
      </c>
      <c r="AI1774" t="s">
        <v>130</v>
      </c>
      <c r="AJ1774" t="s">
        <v>6085</v>
      </c>
      <c r="AK1774" t="s">
        <v>5756</v>
      </c>
      <c r="AL1774" t="s">
        <v>1659</v>
      </c>
      <c r="AM1774" t="s">
        <v>514</v>
      </c>
      <c r="AO1774" t="s">
        <v>129</v>
      </c>
      <c r="AP1774" t="s">
        <v>129</v>
      </c>
      <c r="AQ1774" s="5">
        <v>10018</v>
      </c>
      <c r="AR1774" t="s">
        <v>128</v>
      </c>
      <c r="AT1774" s="4">
        <v>12126888555</v>
      </c>
      <c r="AU1774">
        <v>0</v>
      </c>
      <c r="AV1774" t="s">
        <v>8868</v>
      </c>
      <c r="AW1774" t="s">
        <v>386</v>
      </c>
      <c r="AX1774" t="s">
        <v>131</v>
      </c>
      <c r="AY1774" t="s">
        <v>131</v>
      </c>
      <c r="AZ1774" t="s">
        <v>131</v>
      </c>
      <c r="BA1774" t="s">
        <v>131</v>
      </c>
      <c r="BB1774" t="s">
        <v>131</v>
      </c>
      <c r="BC1774" t="s">
        <v>131</v>
      </c>
      <c r="BD1774" t="s">
        <v>131</v>
      </c>
      <c r="BE1774" t="s">
        <v>132</v>
      </c>
      <c r="BH1774" t="s">
        <v>3885</v>
      </c>
      <c r="BI1774" t="s">
        <v>131</v>
      </c>
      <c r="BL1774" t="s">
        <v>188</v>
      </c>
      <c r="BN1774" t="s">
        <v>14184</v>
      </c>
      <c r="BO1774" t="s">
        <v>131</v>
      </c>
      <c r="BP1774" t="s">
        <v>134</v>
      </c>
      <c r="BQ1774" t="s">
        <v>131</v>
      </c>
      <c r="BS1774" t="str">
        <f t="shared" si="106"/>
        <v>N/A</v>
      </c>
      <c r="BT1774" t="s">
        <v>135</v>
      </c>
      <c r="BU1774">
        <v>12</v>
      </c>
      <c r="BV1774" t="str">
        <f>"Research Scientist; Graduate Research Associate or related."</f>
        <v>Research Scientist; Graduate Research Associate or related.</v>
      </c>
      <c r="BW1774" t="s">
        <v>135</v>
      </c>
      <c r="BX1774" t="str">
        <f>""</f>
        <v/>
      </c>
      <c r="BY1774" t="str">
        <f>""</f>
        <v/>
      </c>
      <c r="BZ1774" t="str">
        <f>""</f>
        <v/>
      </c>
      <c r="CA1774" t="s">
        <v>14185</v>
      </c>
      <c r="CB1774" t="s">
        <v>131</v>
      </c>
      <c r="CF1774" t="s">
        <v>131</v>
      </c>
      <c r="CH1774" t="str">
        <f>""</f>
        <v/>
      </c>
      <c r="CI1774" t="s">
        <v>131</v>
      </c>
      <c r="CK1774" t="s">
        <v>131</v>
      </c>
      <c r="CL1774" t="str">
        <f>""</f>
        <v/>
      </c>
      <c r="CM1774" t="str">
        <f>""</f>
        <v/>
      </c>
      <c r="CN1774" t="str">
        <f>""</f>
        <v/>
      </c>
      <c r="CO1774" t="str">
        <f>""</f>
        <v/>
      </c>
      <c r="CP1774" t="str">
        <f>"19-1012.00"</f>
        <v>19-1012.00</v>
      </c>
      <c r="CQ1774" t="s">
        <v>3475</v>
      </c>
      <c r="CR1774" t="s">
        <v>14186</v>
      </c>
      <c r="CS1774" t="s">
        <v>135</v>
      </c>
      <c r="CT1774" t="s">
        <v>7289</v>
      </c>
      <c r="CU1774" t="s">
        <v>14187</v>
      </c>
      <c r="CW1774" t="s">
        <v>5180</v>
      </c>
      <c r="CX1774" t="s">
        <v>389</v>
      </c>
      <c r="CZ1774" s="3" t="str">
        <f>"53716"</f>
        <v>53716</v>
      </c>
      <c r="DA1774" t="s">
        <v>131</v>
      </c>
      <c r="DB1774" t="str">
        <f>""</f>
        <v/>
      </c>
      <c r="DF1774" t="str">
        <f>""</f>
        <v/>
      </c>
    </row>
    <row r="1775" spans="1:110" ht="15" customHeight="1" x14ac:dyDescent="0.35">
      <c r="A1775" t="s">
        <v>3101</v>
      </c>
      <c r="B1775" t="s">
        <v>138</v>
      </c>
      <c r="C1775" s="1">
        <v>44347</v>
      </c>
      <c r="G1775" s="1">
        <v>44349</v>
      </c>
      <c r="H1775" t="s">
        <v>125</v>
      </c>
      <c r="I1775" t="s">
        <v>3102</v>
      </c>
      <c r="J1775" t="s">
        <v>3103</v>
      </c>
      <c r="L1775" t="s">
        <v>3104</v>
      </c>
      <c r="M1775" t="s">
        <v>3105</v>
      </c>
      <c r="O1775" t="s">
        <v>3106</v>
      </c>
      <c r="P1775" t="s">
        <v>194</v>
      </c>
      <c r="Q1775" s="3">
        <v>33773</v>
      </c>
      <c r="R1775" t="s">
        <v>128</v>
      </c>
      <c r="T1775" s="4">
        <v>17273946461</v>
      </c>
      <c r="V1775" t="s">
        <v>3107</v>
      </c>
      <c r="W1775" t="s">
        <v>3108</v>
      </c>
      <c r="Y1775" t="s">
        <v>3105</v>
      </c>
      <c r="AA1775" t="s">
        <v>3106</v>
      </c>
      <c r="AB1775" t="s">
        <v>195</v>
      </c>
      <c r="AC1775" s="3" t="str">
        <f>"33773"</f>
        <v>33773</v>
      </c>
      <c r="AD1775" t="s">
        <v>128</v>
      </c>
      <c r="AF1775" s="4">
        <v>17275191313</v>
      </c>
      <c r="AH1775" t="str">
        <f>"62211"</f>
        <v>62211</v>
      </c>
      <c r="AI1775" t="s">
        <v>130</v>
      </c>
      <c r="AJ1775" t="s">
        <v>3109</v>
      </c>
      <c r="AK1775" t="s">
        <v>3110</v>
      </c>
      <c r="AL1775" t="s">
        <v>730</v>
      </c>
      <c r="AM1775" t="s">
        <v>3111</v>
      </c>
      <c r="AN1775" t="s">
        <v>3112</v>
      </c>
      <c r="AO1775" t="s">
        <v>3113</v>
      </c>
      <c r="AP1775" t="s">
        <v>594</v>
      </c>
      <c r="AQ1775" s="5">
        <v>27101</v>
      </c>
      <c r="AR1775" t="s">
        <v>128</v>
      </c>
      <c r="AT1775" s="4">
        <v>13367216842</v>
      </c>
      <c r="AV1775" t="s">
        <v>3114</v>
      </c>
      <c r="AW1775" t="s">
        <v>3115</v>
      </c>
      <c r="AX1775" t="s">
        <v>131</v>
      </c>
      <c r="AY1775" t="s">
        <v>131</v>
      </c>
      <c r="AZ1775" t="s">
        <v>131</v>
      </c>
      <c r="BA1775" t="s">
        <v>131</v>
      </c>
      <c r="BB1775" t="s">
        <v>131</v>
      </c>
      <c r="BC1775" t="s">
        <v>131</v>
      </c>
      <c r="BD1775" t="s">
        <v>131</v>
      </c>
      <c r="BE1775" t="s">
        <v>132</v>
      </c>
      <c r="BH1775" t="s">
        <v>3116</v>
      </c>
      <c r="BI1775" t="s">
        <v>135</v>
      </c>
      <c r="BJ1775" t="s">
        <v>3117</v>
      </c>
      <c r="BK1775" t="s">
        <v>499</v>
      </c>
      <c r="BL1775" t="s">
        <v>188</v>
      </c>
      <c r="BN1775" t="s">
        <v>1151</v>
      </c>
      <c r="BO1775" t="s">
        <v>131</v>
      </c>
      <c r="BP1775" t="s">
        <v>134</v>
      </c>
      <c r="BQ1775" t="s">
        <v>131</v>
      </c>
      <c r="BS1775" t="str">
        <f t="shared" si="106"/>
        <v>N/A</v>
      </c>
      <c r="BT1775" t="s">
        <v>131</v>
      </c>
      <c r="BV1775" t="str">
        <f>""</f>
        <v/>
      </c>
      <c r="BW1775" t="s">
        <v>135</v>
      </c>
      <c r="BX1775" t="str">
        <f>"Physical Therapy (PT) license is required or eligible to obtain PT license."</f>
        <v>Physical Therapy (PT) license is required or eligible to obtain PT license.</v>
      </c>
      <c r="BY1775" t="str">
        <f>""</f>
        <v/>
      </c>
      <c r="BZ1775" t="str">
        <f>""</f>
        <v/>
      </c>
      <c r="CA1775" t="str">
        <f>""</f>
        <v/>
      </c>
      <c r="CB1775" t="s">
        <v>131</v>
      </c>
      <c r="CF1775" t="s">
        <v>131</v>
      </c>
      <c r="CH1775" t="str">
        <f>""</f>
        <v/>
      </c>
      <c r="CI1775" t="s">
        <v>131</v>
      </c>
      <c r="CK1775" t="s">
        <v>131</v>
      </c>
      <c r="CL1775" t="str">
        <f>""</f>
        <v/>
      </c>
      <c r="CM1775" t="str">
        <f>""</f>
        <v/>
      </c>
      <c r="CN1775" t="str">
        <f>""</f>
        <v/>
      </c>
      <c r="CO1775" t="str">
        <f>""</f>
        <v/>
      </c>
      <c r="CP1775" t="str">
        <f>"29-1123.00"</f>
        <v>29-1123.00</v>
      </c>
      <c r="CQ1775" t="s">
        <v>962</v>
      </c>
      <c r="CR1775" t="s">
        <v>3118</v>
      </c>
      <c r="CS1775" t="s">
        <v>135</v>
      </c>
      <c r="CT1775" t="s">
        <v>3119</v>
      </c>
      <c r="CU1775" t="s">
        <v>3120</v>
      </c>
      <c r="CW1775" t="s">
        <v>197</v>
      </c>
      <c r="CX1775" t="s">
        <v>195</v>
      </c>
      <c r="CZ1775" s="3" t="str">
        <f>"33614"</f>
        <v>33614</v>
      </c>
      <c r="DA1775" t="s">
        <v>131</v>
      </c>
      <c r="DB1775" t="str">
        <f>""</f>
        <v/>
      </c>
      <c r="DF1775" t="str">
        <f>""</f>
        <v/>
      </c>
    </row>
    <row r="1776" spans="1:110" ht="15" customHeight="1" x14ac:dyDescent="0.35">
      <c r="A1776" t="s">
        <v>19298</v>
      </c>
      <c r="B1776" t="s">
        <v>138</v>
      </c>
      <c r="C1776" s="1">
        <v>44347</v>
      </c>
      <c r="G1776" s="1">
        <v>44354</v>
      </c>
      <c r="H1776" t="s">
        <v>125</v>
      </c>
      <c r="I1776" t="s">
        <v>2416</v>
      </c>
      <c r="J1776" t="s">
        <v>2417</v>
      </c>
      <c r="L1776" t="s">
        <v>1847</v>
      </c>
      <c r="M1776" t="s">
        <v>2418</v>
      </c>
      <c r="O1776" t="s">
        <v>4084</v>
      </c>
      <c r="P1776" t="s">
        <v>311</v>
      </c>
      <c r="Q1776" s="3">
        <v>19103</v>
      </c>
      <c r="R1776" t="s">
        <v>128</v>
      </c>
      <c r="T1776" s="4">
        <v>16179608170</v>
      </c>
      <c r="V1776" t="s">
        <v>2420</v>
      </c>
      <c r="W1776" t="s">
        <v>2421</v>
      </c>
      <c r="Y1776" t="s">
        <v>2418</v>
      </c>
      <c r="AA1776" t="s">
        <v>4084</v>
      </c>
      <c r="AB1776" t="s">
        <v>312</v>
      </c>
      <c r="AC1776" s="3" t="str">
        <f>"19103"</f>
        <v>19103</v>
      </c>
      <c r="AD1776" t="s">
        <v>128</v>
      </c>
      <c r="AF1776" s="4">
        <v>16179608170</v>
      </c>
      <c r="AH1776" t="str">
        <f>"54161"</f>
        <v>54161</v>
      </c>
      <c r="AI1776" t="s">
        <v>130</v>
      </c>
      <c r="AJ1776" t="s">
        <v>4085</v>
      </c>
      <c r="AK1776" t="s">
        <v>18381</v>
      </c>
      <c r="AM1776" t="s">
        <v>4086</v>
      </c>
      <c r="AN1776" t="s">
        <v>4087</v>
      </c>
      <c r="AO1776" t="s">
        <v>2438</v>
      </c>
      <c r="AP1776" t="s">
        <v>400</v>
      </c>
      <c r="AQ1776" s="5">
        <v>75082</v>
      </c>
      <c r="AR1776" t="s">
        <v>128</v>
      </c>
      <c r="AT1776" s="4">
        <v>14693003253</v>
      </c>
      <c r="AV1776" t="s">
        <v>2425</v>
      </c>
      <c r="AW1776" t="s">
        <v>366</v>
      </c>
      <c r="AX1776" t="s">
        <v>131</v>
      </c>
      <c r="AY1776" t="s">
        <v>131</v>
      </c>
      <c r="AZ1776" t="s">
        <v>131</v>
      </c>
      <c r="BA1776" t="s">
        <v>131</v>
      </c>
      <c r="BB1776" t="s">
        <v>131</v>
      </c>
      <c r="BC1776" t="s">
        <v>131</v>
      </c>
      <c r="BD1776" t="s">
        <v>131</v>
      </c>
      <c r="BE1776" t="s">
        <v>132</v>
      </c>
      <c r="BH1776" t="s">
        <v>4432</v>
      </c>
      <c r="BI1776" t="s">
        <v>131</v>
      </c>
      <c r="BL1776" t="s">
        <v>133</v>
      </c>
      <c r="BN1776" t="s">
        <v>1393</v>
      </c>
      <c r="BO1776" t="s">
        <v>131</v>
      </c>
      <c r="BP1776" t="s">
        <v>134</v>
      </c>
      <c r="BQ1776" t="s">
        <v>131</v>
      </c>
      <c r="BS1776" t="str">
        <f t="shared" si="106"/>
        <v>N/A</v>
      </c>
      <c r="BT1776" t="s">
        <v>135</v>
      </c>
      <c r="BU1776">
        <v>12</v>
      </c>
      <c r="BV1776" t="str">
        <f>"See F.b.5"</f>
        <v>See F.b.5</v>
      </c>
      <c r="BW1776" t="s">
        <v>135</v>
      </c>
      <c r="BX1776" t="str">
        <f>""</f>
        <v/>
      </c>
      <c r="BY1776" t="str">
        <f>""</f>
        <v/>
      </c>
      <c r="BZ1776" t="str">
        <f>""</f>
        <v/>
      </c>
      <c r="CA1776" s="2" t="s">
        <v>9717</v>
      </c>
      <c r="CB1776" t="s">
        <v>131</v>
      </c>
      <c r="CF1776" t="s">
        <v>131</v>
      </c>
      <c r="CH1776" t="str">
        <f>""</f>
        <v/>
      </c>
      <c r="CI1776" t="s">
        <v>131</v>
      </c>
      <c r="CK1776" t="s">
        <v>131</v>
      </c>
      <c r="CL1776" t="str">
        <f>""</f>
        <v/>
      </c>
      <c r="CM1776" t="str">
        <f>""</f>
        <v/>
      </c>
      <c r="CN1776" t="str">
        <f>""</f>
        <v/>
      </c>
      <c r="CO1776" t="str">
        <f>""</f>
        <v/>
      </c>
      <c r="CP1776" t="str">
        <f>"15-1132.00"</f>
        <v>15-1132.00</v>
      </c>
      <c r="CQ1776" t="s">
        <v>198</v>
      </c>
      <c r="CS1776" t="s">
        <v>135</v>
      </c>
      <c r="CT1776" t="s">
        <v>18382</v>
      </c>
      <c r="CU1776" t="s">
        <v>19299</v>
      </c>
      <c r="CW1776" t="s">
        <v>4075</v>
      </c>
      <c r="CX1776" t="s">
        <v>511</v>
      </c>
      <c r="CZ1776" s="3" t="str">
        <f>"48933"</f>
        <v>48933</v>
      </c>
      <c r="DA1776" t="s">
        <v>135</v>
      </c>
      <c r="DB1776" t="str">
        <f>""</f>
        <v/>
      </c>
      <c r="DF1776" t="str">
        <f>""</f>
        <v/>
      </c>
    </row>
    <row r="1777" spans="1:110" ht="15" customHeight="1" x14ac:dyDescent="0.35">
      <c r="A1777" t="s">
        <v>11513</v>
      </c>
      <c r="B1777" t="s">
        <v>138</v>
      </c>
      <c r="C1777" s="1">
        <v>44348</v>
      </c>
      <c r="G1777" s="1">
        <v>44349</v>
      </c>
      <c r="H1777" t="s">
        <v>125</v>
      </c>
      <c r="I1777" t="s">
        <v>4532</v>
      </c>
      <c r="J1777" t="s">
        <v>4533</v>
      </c>
      <c r="L1777" t="s">
        <v>4534</v>
      </c>
      <c r="M1777" t="s">
        <v>1347</v>
      </c>
      <c r="O1777" t="s">
        <v>1348</v>
      </c>
      <c r="P1777" t="s">
        <v>539</v>
      </c>
      <c r="Q1777" s="3">
        <v>60015</v>
      </c>
      <c r="R1777" t="s">
        <v>128</v>
      </c>
      <c r="T1777" s="4">
        <v>12244053726</v>
      </c>
      <c r="U1777">
        <v>0</v>
      </c>
      <c r="V1777" t="s">
        <v>4535</v>
      </c>
      <c r="W1777" t="s">
        <v>1350</v>
      </c>
      <c r="Y1777" t="s">
        <v>1351</v>
      </c>
      <c r="AA1777" t="s">
        <v>1348</v>
      </c>
      <c r="AB1777" t="s">
        <v>263</v>
      </c>
      <c r="AC1777" s="3" t="str">
        <f>"60015"</f>
        <v>60015</v>
      </c>
      <c r="AD1777" t="s">
        <v>128</v>
      </c>
      <c r="AF1777" s="4">
        <v>12244053726</v>
      </c>
      <c r="AG1777">
        <v>0</v>
      </c>
      <c r="AH1777" t="str">
        <f>"522210"</f>
        <v>522210</v>
      </c>
      <c r="AI1777" t="s">
        <v>130</v>
      </c>
      <c r="AJ1777" t="s">
        <v>1352</v>
      </c>
      <c r="AK1777" t="s">
        <v>260</v>
      </c>
      <c r="AM1777" t="s">
        <v>493</v>
      </c>
      <c r="AO1777" t="s">
        <v>494</v>
      </c>
      <c r="AP1777" t="s">
        <v>129</v>
      </c>
      <c r="AQ1777" s="5">
        <v>10018</v>
      </c>
      <c r="AR1777" t="s">
        <v>128</v>
      </c>
      <c r="AT1777" s="4">
        <v>12126888555</v>
      </c>
      <c r="AV1777" t="s">
        <v>9157</v>
      </c>
      <c r="AW1777" t="s">
        <v>386</v>
      </c>
      <c r="AX1777" t="s">
        <v>131</v>
      </c>
      <c r="AY1777" t="s">
        <v>131</v>
      </c>
      <c r="AZ1777" t="s">
        <v>131</v>
      </c>
      <c r="BA1777" t="s">
        <v>131</v>
      </c>
      <c r="BB1777" t="s">
        <v>131</v>
      </c>
      <c r="BC1777" t="s">
        <v>131</v>
      </c>
      <c r="BD1777" t="s">
        <v>131</v>
      </c>
      <c r="BE1777" t="s">
        <v>132</v>
      </c>
      <c r="BH1777" t="s">
        <v>6739</v>
      </c>
      <c r="BI1777" t="s">
        <v>135</v>
      </c>
      <c r="BJ1777" t="s">
        <v>5156</v>
      </c>
      <c r="BK1777" t="s">
        <v>887</v>
      </c>
      <c r="BL1777" t="s">
        <v>133</v>
      </c>
      <c r="BN1777" t="s">
        <v>11514</v>
      </c>
      <c r="BO1777" t="s">
        <v>131</v>
      </c>
      <c r="BP1777" t="s">
        <v>134</v>
      </c>
      <c r="BQ1777" t="s">
        <v>131</v>
      </c>
      <c r="BS1777" t="str">
        <f t="shared" si="106"/>
        <v>N/A</v>
      </c>
      <c r="BT1777" t="s">
        <v>135</v>
      </c>
      <c r="BU1777">
        <v>96</v>
      </c>
      <c r="BV1777" t="str">
        <f>"Senior Manager Analytics; Assistant Vice President; Associate Director; Associate Director / Engagement Manager; Business Analyst or related."</f>
        <v>Senior Manager Analytics; Assistant Vice President; Associate Director; Associate Director / Engagement Manager; Business Analyst or related.</v>
      </c>
      <c r="BW1777" t="s">
        <v>135</v>
      </c>
      <c r="BX1777" t="str">
        <f>""</f>
        <v/>
      </c>
      <c r="BY1777" t="str">
        <f>""</f>
        <v/>
      </c>
      <c r="BZ1777" t="str">
        <f>""</f>
        <v/>
      </c>
      <c r="CA1777" t="s">
        <v>11515</v>
      </c>
      <c r="CB1777" t="s">
        <v>131</v>
      </c>
      <c r="CF1777" t="s">
        <v>131</v>
      </c>
      <c r="CH1777" t="str">
        <f>""</f>
        <v/>
      </c>
      <c r="CI1777" t="s">
        <v>131</v>
      </c>
      <c r="CK1777" t="s">
        <v>131</v>
      </c>
      <c r="CL1777" t="str">
        <f>""</f>
        <v/>
      </c>
      <c r="CM1777" t="str">
        <f>""</f>
        <v/>
      </c>
      <c r="CN1777" t="str">
        <f>""</f>
        <v/>
      </c>
      <c r="CO1777" t="str">
        <f>""</f>
        <v/>
      </c>
      <c r="CP1777" t="str">
        <f>"15-2031.00"</f>
        <v>15-2031.00</v>
      </c>
      <c r="CQ1777" t="s">
        <v>887</v>
      </c>
      <c r="CR1777" t="s">
        <v>11516</v>
      </c>
      <c r="CS1777" t="s">
        <v>131</v>
      </c>
      <c r="CU1777" t="s">
        <v>1347</v>
      </c>
      <c r="CW1777" t="s">
        <v>1348</v>
      </c>
      <c r="CX1777" t="s">
        <v>263</v>
      </c>
      <c r="CZ1777" s="3" t="str">
        <f>"60015"</f>
        <v>60015</v>
      </c>
      <c r="DA1777" t="s">
        <v>131</v>
      </c>
      <c r="DB1777" t="str">
        <f>""</f>
        <v/>
      </c>
      <c r="DF1777" t="str">
        <f>""</f>
        <v/>
      </c>
    </row>
    <row r="1778" spans="1:110" ht="15" customHeight="1" x14ac:dyDescent="0.35">
      <c r="A1778" t="s">
        <v>9990</v>
      </c>
      <c r="B1778" t="s">
        <v>138</v>
      </c>
      <c r="C1778" s="1">
        <v>44348</v>
      </c>
      <c r="G1778" s="1">
        <v>44350</v>
      </c>
      <c r="H1778" t="s">
        <v>125</v>
      </c>
      <c r="I1778" t="s">
        <v>9991</v>
      </c>
      <c r="J1778" t="s">
        <v>1313</v>
      </c>
      <c r="L1778" t="s">
        <v>9992</v>
      </c>
      <c r="M1778" t="s">
        <v>9470</v>
      </c>
      <c r="O1778" t="s">
        <v>1546</v>
      </c>
      <c r="P1778" t="s">
        <v>720</v>
      </c>
      <c r="Q1778" s="3">
        <v>2142</v>
      </c>
      <c r="R1778" t="s">
        <v>128</v>
      </c>
      <c r="T1778" s="4">
        <v>16173081393</v>
      </c>
      <c r="V1778" t="s">
        <v>9993</v>
      </c>
      <c r="W1778" t="s">
        <v>9994</v>
      </c>
      <c r="Y1778" t="s">
        <v>9995</v>
      </c>
      <c r="AA1778" t="s">
        <v>1546</v>
      </c>
      <c r="AB1778" t="s">
        <v>377</v>
      </c>
      <c r="AC1778" s="3" t="str">
        <f>"02139"</f>
        <v>02139</v>
      </c>
      <c r="AD1778" t="s">
        <v>128</v>
      </c>
      <c r="AF1778" s="4">
        <v>16178681888</v>
      </c>
      <c r="AH1778" t="str">
        <f>"541714"</f>
        <v>541714</v>
      </c>
      <c r="AI1778" t="s">
        <v>130</v>
      </c>
      <c r="AJ1778" t="s">
        <v>7440</v>
      </c>
      <c r="AK1778" t="s">
        <v>1222</v>
      </c>
      <c r="AL1778" t="s">
        <v>1198</v>
      </c>
      <c r="AM1778" t="s">
        <v>3733</v>
      </c>
      <c r="AN1778" t="s">
        <v>7441</v>
      </c>
      <c r="AO1778" t="s">
        <v>1943</v>
      </c>
      <c r="AP1778" t="s">
        <v>377</v>
      </c>
      <c r="AQ1778" s="5">
        <v>1801</v>
      </c>
      <c r="AR1778" t="s">
        <v>128</v>
      </c>
      <c r="AT1778" s="4">
        <v>19782737455</v>
      </c>
      <c r="AV1778" t="s">
        <v>7442</v>
      </c>
      <c r="AW1778" t="s">
        <v>7443</v>
      </c>
      <c r="AX1778" t="s">
        <v>131</v>
      </c>
      <c r="AY1778" t="s">
        <v>131</v>
      </c>
      <c r="AZ1778" t="s">
        <v>131</v>
      </c>
      <c r="BA1778" t="s">
        <v>131</v>
      </c>
      <c r="BB1778" t="s">
        <v>131</v>
      </c>
      <c r="BC1778" t="s">
        <v>131</v>
      </c>
      <c r="BD1778" t="s">
        <v>131</v>
      </c>
      <c r="BE1778" t="s">
        <v>132</v>
      </c>
      <c r="BH1778" t="s">
        <v>9996</v>
      </c>
      <c r="BI1778" t="s">
        <v>131</v>
      </c>
      <c r="BL1778" t="s">
        <v>188</v>
      </c>
      <c r="BN1778" t="s">
        <v>5445</v>
      </c>
      <c r="BO1778" t="s">
        <v>131</v>
      </c>
      <c r="BP1778" t="s">
        <v>134</v>
      </c>
      <c r="BQ1778" t="s">
        <v>131</v>
      </c>
      <c r="BS1778" t="str">
        <f t="shared" si="106"/>
        <v>N/A</v>
      </c>
      <c r="BT1778" t="s">
        <v>135</v>
      </c>
      <c r="BU1778">
        <v>12</v>
      </c>
      <c r="BV1778" t="str">
        <f>"Biotechnology or related field "</f>
        <v xml:space="preserve">Biotechnology or related field </v>
      </c>
      <c r="BW1778" t="s">
        <v>135</v>
      </c>
      <c r="BX1778" t="str">
        <f>""</f>
        <v/>
      </c>
      <c r="BY1778" t="str">
        <f>""</f>
        <v/>
      </c>
      <c r="BZ1778" t="str">
        <f>""</f>
        <v/>
      </c>
      <c r="CA1778" s="2" t="s">
        <v>9997</v>
      </c>
      <c r="CB1778" t="s">
        <v>131</v>
      </c>
      <c r="CF1778" t="s">
        <v>131</v>
      </c>
      <c r="CH1778" t="str">
        <f>""</f>
        <v/>
      </c>
      <c r="CI1778" t="s">
        <v>131</v>
      </c>
      <c r="CK1778" t="s">
        <v>131</v>
      </c>
      <c r="CL1778" t="str">
        <f>""</f>
        <v/>
      </c>
      <c r="CM1778" t="str">
        <f>""</f>
        <v/>
      </c>
      <c r="CN1778" t="str">
        <f>""</f>
        <v/>
      </c>
      <c r="CO1778" t="str">
        <f>""</f>
        <v/>
      </c>
      <c r="CP1778" t="str">
        <f>"17-2031.00"</f>
        <v>17-2031.00</v>
      </c>
      <c r="CQ1778" t="s">
        <v>1919</v>
      </c>
      <c r="CS1778" t="s">
        <v>131</v>
      </c>
      <c r="CU1778" t="s">
        <v>9995</v>
      </c>
      <c r="CW1778" t="s">
        <v>1546</v>
      </c>
      <c r="CX1778" t="s">
        <v>377</v>
      </c>
      <c r="CZ1778" s="3" t="str">
        <f>"02139"</f>
        <v>02139</v>
      </c>
      <c r="DA1778" t="s">
        <v>131</v>
      </c>
      <c r="DB1778" t="str">
        <f>""</f>
        <v/>
      </c>
      <c r="DF1778" t="str">
        <f>""</f>
        <v/>
      </c>
    </row>
    <row r="1779" spans="1:110" ht="15" customHeight="1" x14ac:dyDescent="0.35">
      <c r="A1779" t="s">
        <v>13133</v>
      </c>
      <c r="B1779" t="s">
        <v>138</v>
      </c>
      <c r="C1779" s="1">
        <v>44348</v>
      </c>
      <c r="G1779" s="1">
        <v>44348</v>
      </c>
      <c r="H1779" t="s">
        <v>125</v>
      </c>
      <c r="I1779" t="s">
        <v>13134</v>
      </c>
      <c r="J1779" t="s">
        <v>6699</v>
      </c>
      <c r="L1779" t="s">
        <v>1105</v>
      </c>
      <c r="M1779" t="s">
        <v>13135</v>
      </c>
      <c r="O1779" t="s">
        <v>13136</v>
      </c>
      <c r="P1779" t="s">
        <v>1004</v>
      </c>
      <c r="Q1779" s="3">
        <v>84651</v>
      </c>
      <c r="R1779" t="s">
        <v>128</v>
      </c>
      <c r="T1779" s="4">
        <v>18013605114</v>
      </c>
      <c r="V1779" t="s">
        <v>13137</v>
      </c>
      <c r="W1779" t="s">
        <v>13138</v>
      </c>
      <c r="X1779" t="s">
        <v>134</v>
      </c>
      <c r="Y1779" t="s">
        <v>13135</v>
      </c>
      <c r="AA1779" t="s">
        <v>13136</v>
      </c>
      <c r="AB1779" t="s">
        <v>1008</v>
      </c>
      <c r="AC1779" s="3" t="str">
        <f>"84651"</f>
        <v>84651</v>
      </c>
      <c r="AD1779" t="s">
        <v>128</v>
      </c>
      <c r="AF1779" s="4">
        <v>18013605114</v>
      </c>
      <c r="AH1779" t="str">
        <f>"1113"</f>
        <v>1113</v>
      </c>
      <c r="AI1779" t="s">
        <v>130</v>
      </c>
      <c r="AJ1779" t="s">
        <v>13139</v>
      </c>
      <c r="AK1779" t="s">
        <v>4355</v>
      </c>
      <c r="AL1779" t="s">
        <v>610</v>
      </c>
      <c r="AM1779" t="s">
        <v>13140</v>
      </c>
      <c r="AO1779" t="s">
        <v>1012</v>
      </c>
      <c r="AP1779" t="s">
        <v>1008</v>
      </c>
      <c r="AQ1779" s="5" t="s">
        <v>13141</v>
      </c>
      <c r="AR1779" t="s">
        <v>128</v>
      </c>
      <c r="AT1779" s="4">
        <v>18019443459</v>
      </c>
      <c r="AV1779" t="s">
        <v>13142</v>
      </c>
      <c r="AW1779" t="s">
        <v>13143</v>
      </c>
      <c r="AX1779" t="s">
        <v>131</v>
      </c>
      <c r="AY1779" t="s">
        <v>131</v>
      </c>
      <c r="AZ1779" t="s">
        <v>131</v>
      </c>
      <c r="BA1779" t="s">
        <v>131</v>
      </c>
      <c r="BB1779" t="s">
        <v>131</v>
      </c>
      <c r="BC1779" t="s">
        <v>131</v>
      </c>
      <c r="BD1779" t="s">
        <v>131</v>
      </c>
      <c r="BE1779" t="s">
        <v>132</v>
      </c>
      <c r="BH1779" t="s">
        <v>13144</v>
      </c>
      <c r="BI1779" t="s">
        <v>131</v>
      </c>
      <c r="BL1779" t="s">
        <v>167</v>
      </c>
      <c r="BO1779" t="s">
        <v>131</v>
      </c>
      <c r="BP1779" t="s">
        <v>134</v>
      </c>
      <c r="BQ1779" t="s">
        <v>131</v>
      </c>
      <c r="BS1779" t="str">
        <f t="shared" si="106"/>
        <v>N/A</v>
      </c>
      <c r="BT1779" t="s">
        <v>131</v>
      </c>
      <c r="BV1779" t="str">
        <f>""</f>
        <v/>
      </c>
      <c r="BW1779" t="s">
        <v>131</v>
      </c>
      <c r="BX1779" t="str">
        <f>""</f>
        <v/>
      </c>
      <c r="BY1779" t="str">
        <f>""</f>
        <v/>
      </c>
      <c r="BZ1779" t="str">
        <f>""</f>
        <v/>
      </c>
      <c r="CA1779" t="str">
        <f>""</f>
        <v/>
      </c>
      <c r="CB1779" t="s">
        <v>131</v>
      </c>
      <c r="CF1779" t="s">
        <v>131</v>
      </c>
      <c r="CH1779" t="str">
        <f>""</f>
        <v/>
      </c>
      <c r="CI1779" t="s">
        <v>131</v>
      </c>
      <c r="CK1779" t="s">
        <v>131</v>
      </c>
      <c r="CL1779" t="str">
        <f>""</f>
        <v/>
      </c>
      <c r="CM1779" t="str">
        <f>""</f>
        <v/>
      </c>
      <c r="CN1779" t="str">
        <f>""</f>
        <v/>
      </c>
      <c r="CO1779" t="str">
        <f>""</f>
        <v/>
      </c>
      <c r="CP1779" t="str">
        <f>"45-2099.00"</f>
        <v>45-2099.00</v>
      </c>
      <c r="CQ1779" t="s">
        <v>6082</v>
      </c>
      <c r="CR1779" t="s">
        <v>918</v>
      </c>
      <c r="CS1779" t="s">
        <v>131</v>
      </c>
      <c r="CU1779" t="s">
        <v>13135</v>
      </c>
      <c r="CW1779" t="s">
        <v>13136</v>
      </c>
      <c r="CX1779" t="s">
        <v>1008</v>
      </c>
      <c r="CZ1779" s="3" t="str">
        <f>"84651"</f>
        <v>84651</v>
      </c>
      <c r="DA1779" t="s">
        <v>131</v>
      </c>
      <c r="DB1779" t="str">
        <f>""</f>
        <v/>
      </c>
      <c r="DF1779" t="str">
        <f>""</f>
        <v/>
      </c>
    </row>
    <row r="1780" spans="1:110" ht="15" customHeight="1" x14ac:dyDescent="0.35">
      <c r="A1780" t="s">
        <v>18352</v>
      </c>
      <c r="B1780" t="s">
        <v>138</v>
      </c>
      <c r="C1780" s="1">
        <v>44348</v>
      </c>
      <c r="G1780" s="1">
        <v>44348</v>
      </c>
      <c r="H1780" t="s">
        <v>125</v>
      </c>
      <c r="I1780" t="s">
        <v>1973</v>
      </c>
      <c r="J1780" t="s">
        <v>1974</v>
      </c>
      <c r="K1780" t="s">
        <v>1060</v>
      </c>
      <c r="L1780" t="s">
        <v>395</v>
      </c>
      <c r="M1780" t="s">
        <v>1975</v>
      </c>
      <c r="O1780" t="s">
        <v>1976</v>
      </c>
      <c r="P1780" t="s">
        <v>588</v>
      </c>
      <c r="Q1780" s="3">
        <v>20151</v>
      </c>
      <c r="R1780" t="s">
        <v>128</v>
      </c>
      <c r="T1780" s="4">
        <v>17037668011</v>
      </c>
      <c r="V1780" t="s">
        <v>1977</v>
      </c>
      <c r="W1780" t="s">
        <v>18353</v>
      </c>
      <c r="X1780" t="s">
        <v>18354</v>
      </c>
      <c r="Y1780" t="s">
        <v>1975</v>
      </c>
      <c r="AA1780" t="s">
        <v>1976</v>
      </c>
      <c r="AB1780" t="s">
        <v>306</v>
      </c>
      <c r="AC1780" s="3" t="str">
        <f>"20151"</f>
        <v>20151</v>
      </c>
      <c r="AD1780" t="s">
        <v>128</v>
      </c>
      <c r="AF1780" s="4">
        <v>17037668011</v>
      </c>
      <c r="AH1780" t="str">
        <f>"442110"</f>
        <v>442110</v>
      </c>
      <c r="AI1780" t="s">
        <v>130</v>
      </c>
      <c r="AJ1780" t="s">
        <v>1775</v>
      </c>
      <c r="AK1780" t="s">
        <v>714</v>
      </c>
      <c r="AL1780" t="s">
        <v>1978</v>
      </c>
      <c r="AM1780" t="s">
        <v>1979</v>
      </c>
      <c r="AN1780" t="s">
        <v>1980</v>
      </c>
      <c r="AO1780" t="s">
        <v>825</v>
      </c>
      <c r="AP1780" t="s">
        <v>382</v>
      </c>
      <c r="AQ1780" s="5">
        <v>20850</v>
      </c>
      <c r="AR1780" t="s">
        <v>128</v>
      </c>
      <c r="AT1780" s="4">
        <v>13013091223</v>
      </c>
      <c r="AV1780" t="s">
        <v>1981</v>
      </c>
      <c r="AW1780" t="s">
        <v>1982</v>
      </c>
      <c r="AX1780" t="s">
        <v>131</v>
      </c>
      <c r="AY1780" t="s">
        <v>131</v>
      </c>
      <c r="AZ1780" t="s">
        <v>131</v>
      </c>
      <c r="BA1780" t="s">
        <v>131</v>
      </c>
      <c r="BB1780" t="s">
        <v>131</v>
      </c>
      <c r="BC1780" t="s">
        <v>131</v>
      </c>
      <c r="BD1780" t="s">
        <v>131</v>
      </c>
      <c r="BE1780" t="s">
        <v>132</v>
      </c>
      <c r="BH1780" t="s">
        <v>1983</v>
      </c>
      <c r="BI1780" t="s">
        <v>131</v>
      </c>
      <c r="BL1780" t="s">
        <v>188</v>
      </c>
      <c r="BN1780" t="s">
        <v>1984</v>
      </c>
      <c r="BO1780" t="s">
        <v>131</v>
      </c>
      <c r="BP1780" t="s">
        <v>134</v>
      </c>
      <c r="BQ1780" t="s">
        <v>131</v>
      </c>
      <c r="BS1780" t="str">
        <f t="shared" si="106"/>
        <v>N/A</v>
      </c>
      <c r="BT1780" t="s">
        <v>131</v>
      </c>
      <c r="BV1780" t="str">
        <f>""</f>
        <v/>
      </c>
      <c r="BW1780" t="s">
        <v>131</v>
      </c>
      <c r="BX1780" t="str">
        <f>""</f>
        <v/>
      </c>
      <c r="BY1780" t="str">
        <f>""</f>
        <v/>
      </c>
      <c r="BZ1780" t="str">
        <f>""</f>
        <v/>
      </c>
      <c r="CA1780" t="str">
        <f>""</f>
        <v/>
      </c>
      <c r="CB1780" t="s">
        <v>131</v>
      </c>
      <c r="CF1780" t="s">
        <v>131</v>
      </c>
      <c r="CH1780" t="str">
        <f>""</f>
        <v/>
      </c>
      <c r="CI1780" t="s">
        <v>131</v>
      </c>
      <c r="CK1780" t="s">
        <v>131</v>
      </c>
      <c r="CL1780" t="str">
        <f>""</f>
        <v/>
      </c>
      <c r="CM1780" t="str">
        <f>""</f>
        <v/>
      </c>
      <c r="CN1780" t="str">
        <f>""</f>
        <v/>
      </c>
      <c r="CO1780" t="str">
        <f>""</f>
        <v/>
      </c>
      <c r="CP1780" t="str">
        <f>"15-2041.00"</f>
        <v>15-2041.00</v>
      </c>
      <c r="CQ1780" t="s">
        <v>379</v>
      </c>
      <c r="CS1780" t="s">
        <v>131</v>
      </c>
      <c r="CU1780" t="s">
        <v>1975</v>
      </c>
      <c r="CW1780" t="s">
        <v>1976</v>
      </c>
      <c r="CX1780" t="s">
        <v>306</v>
      </c>
      <c r="CZ1780" s="3" t="str">
        <f>"20151"</f>
        <v>20151</v>
      </c>
      <c r="DA1780" t="s">
        <v>131</v>
      </c>
      <c r="DB1780" t="str">
        <f>""</f>
        <v/>
      </c>
      <c r="DF1780" t="str">
        <f>""</f>
        <v/>
      </c>
    </row>
    <row r="1781" spans="1:110" ht="15" customHeight="1" x14ac:dyDescent="0.35">
      <c r="A1781" t="s">
        <v>18707</v>
      </c>
      <c r="B1781" t="s">
        <v>138</v>
      </c>
      <c r="C1781" s="1">
        <v>44348</v>
      </c>
      <c r="G1781" s="1">
        <v>44358</v>
      </c>
      <c r="H1781" t="s">
        <v>125</v>
      </c>
      <c r="I1781" t="s">
        <v>1552</v>
      </c>
      <c r="J1781" t="s">
        <v>1553</v>
      </c>
      <c r="L1781" t="s">
        <v>1554</v>
      </c>
      <c r="M1781" t="s">
        <v>1555</v>
      </c>
      <c r="O1781" t="s">
        <v>1556</v>
      </c>
      <c r="P1781" t="s">
        <v>178</v>
      </c>
      <c r="Q1781" s="3">
        <v>95014</v>
      </c>
      <c r="R1781" t="s">
        <v>128</v>
      </c>
      <c r="T1781" s="4">
        <v>14089742562</v>
      </c>
      <c r="V1781" t="s">
        <v>1564</v>
      </c>
      <c r="W1781" t="s">
        <v>1558</v>
      </c>
      <c r="Y1781" t="s">
        <v>1559</v>
      </c>
      <c r="AA1781" t="s">
        <v>1560</v>
      </c>
      <c r="AB1781" t="s">
        <v>172</v>
      </c>
      <c r="AC1781" s="3" t="str">
        <f>"95014"</f>
        <v>95014</v>
      </c>
      <c r="AD1781" t="s">
        <v>128</v>
      </c>
      <c r="AF1781" s="4">
        <v>14089742562</v>
      </c>
      <c r="AH1781" t="str">
        <f>"334111"</f>
        <v>334111</v>
      </c>
      <c r="AI1781" t="s">
        <v>130</v>
      </c>
      <c r="AJ1781" t="s">
        <v>1787</v>
      </c>
      <c r="AK1781" t="s">
        <v>1788</v>
      </c>
      <c r="AL1781" t="s">
        <v>2241</v>
      </c>
      <c r="AM1781" t="s">
        <v>1563</v>
      </c>
      <c r="AN1781" t="s">
        <v>997</v>
      </c>
      <c r="AO1781" t="s">
        <v>220</v>
      </c>
      <c r="AP1781" t="s">
        <v>172</v>
      </c>
      <c r="AQ1781" s="5">
        <v>94111</v>
      </c>
      <c r="AR1781" t="s">
        <v>128</v>
      </c>
      <c r="AT1781" s="4">
        <v>14159861446</v>
      </c>
      <c r="AV1781" t="s">
        <v>1564</v>
      </c>
      <c r="AW1781" t="s">
        <v>386</v>
      </c>
      <c r="AX1781" t="s">
        <v>131</v>
      </c>
      <c r="AY1781" t="s">
        <v>131</v>
      </c>
      <c r="AZ1781" t="s">
        <v>131</v>
      </c>
      <c r="BA1781" t="s">
        <v>131</v>
      </c>
      <c r="BB1781" t="s">
        <v>131</v>
      </c>
      <c r="BC1781" t="s">
        <v>131</v>
      </c>
      <c r="BD1781" t="s">
        <v>131</v>
      </c>
      <c r="BE1781" t="s">
        <v>160</v>
      </c>
      <c r="BF1781" t="s">
        <v>2499</v>
      </c>
      <c r="BG1781" s="1">
        <v>44270</v>
      </c>
      <c r="BH1781" t="s">
        <v>1316</v>
      </c>
      <c r="BI1781" t="s">
        <v>131</v>
      </c>
      <c r="BL1781" t="s">
        <v>188</v>
      </c>
      <c r="BN1781" t="s">
        <v>18708</v>
      </c>
      <c r="BO1781" t="s">
        <v>131</v>
      </c>
      <c r="BP1781" t="s">
        <v>134</v>
      </c>
      <c r="BQ1781" t="s">
        <v>131</v>
      </c>
      <c r="BS1781" t="str">
        <f t="shared" si="106"/>
        <v>N/A</v>
      </c>
      <c r="BT1781" t="s">
        <v>135</v>
      </c>
      <c r="BU1781">
        <v>36</v>
      </c>
      <c r="BV1781" t="str">
        <f>"See Job Duties (Section F.a.2.)"</f>
        <v>See Job Duties (Section F.a.2.)</v>
      </c>
      <c r="BW1781" t="s">
        <v>135</v>
      </c>
      <c r="BX1781" t="str">
        <f>""</f>
        <v/>
      </c>
      <c r="BY1781" t="str">
        <f>""</f>
        <v/>
      </c>
      <c r="BZ1781" t="str">
        <f>""</f>
        <v/>
      </c>
      <c r="CA1781" t="str">
        <f>"See Job Duties (Section F.a.2.)"</f>
        <v>See Job Duties (Section F.a.2.)</v>
      </c>
      <c r="CB1781" t="s">
        <v>131</v>
      </c>
      <c r="CF1781" t="s">
        <v>131</v>
      </c>
      <c r="CH1781" t="str">
        <f>""</f>
        <v/>
      </c>
      <c r="CI1781" t="s">
        <v>131</v>
      </c>
      <c r="CK1781" t="s">
        <v>131</v>
      </c>
      <c r="CL1781" t="str">
        <f>""</f>
        <v/>
      </c>
      <c r="CM1781" t="str">
        <f>""</f>
        <v/>
      </c>
      <c r="CN1781" t="str">
        <f>""</f>
        <v/>
      </c>
      <c r="CO1781" t="str">
        <f>""</f>
        <v/>
      </c>
      <c r="CP1781" t="str">
        <f>"15-1133.00"</f>
        <v>15-1133.00</v>
      </c>
      <c r="CQ1781" t="s">
        <v>648</v>
      </c>
      <c r="CR1781" t="s">
        <v>460</v>
      </c>
      <c r="CS1781" t="s">
        <v>131</v>
      </c>
      <c r="CU1781" t="s">
        <v>1555</v>
      </c>
      <c r="CW1781" t="s">
        <v>1556</v>
      </c>
      <c r="CX1781" t="s">
        <v>172</v>
      </c>
      <c r="CZ1781" s="3" t="str">
        <f>"95014"</f>
        <v>95014</v>
      </c>
      <c r="DA1781" t="s">
        <v>131</v>
      </c>
      <c r="DB1781" t="str">
        <f>""</f>
        <v/>
      </c>
      <c r="DF1781" t="str">
        <f>""</f>
        <v/>
      </c>
    </row>
    <row r="1782" spans="1:110" ht="15" customHeight="1" x14ac:dyDescent="0.35">
      <c r="A1782" t="s">
        <v>10141</v>
      </c>
      <c r="B1782" t="s">
        <v>138</v>
      </c>
      <c r="C1782" s="1">
        <v>44348</v>
      </c>
      <c r="G1782" s="1">
        <v>44354</v>
      </c>
      <c r="H1782" t="s">
        <v>125</v>
      </c>
      <c r="I1782" t="s">
        <v>2733</v>
      </c>
      <c r="J1782" t="s">
        <v>1964</v>
      </c>
      <c r="K1782" t="s">
        <v>10142</v>
      </c>
      <c r="L1782" t="s">
        <v>1646</v>
      </c>
      <c r="M1782" t="s">
        <v>10143</v>
      </c>
      <c r="N1782" t="s">
        <v>788</v>
      </c>
      <c r="O1782" t="s">
        <v>458</v>
      </c>
      <c r="P1782" t="s">
        <v>412</v>
      </c>
      <c r="Q1782" s="3">
        <v>75081</v>
      </c>
      <c r="R1782" t="s">
        <v>128</v>
      </c>
      <c r="T1782" s="4">
        <v>12148211533</v>
      </c>
      <c r="U1782">
        <v>1517</v>
      </c>
      <c r="V1782" t="s">
        <v>10144</v>
      </c>
      <c r="W1782" t="s">
        <v>10145</v>
      </c>
      <c r="Y1782" t="s">
        <v>10143</v>
      </c>
      <c r="Z1782" t="s">
        <v>788</v>
      </c>
      <c r="AA1782" t="s">
        <v>458</v>
      </c>
      <c r="AB1782" t="s">
        <v>400</v>
      </c>
      <c r="AC1782" s="3" t="str">
        <f>"75018"</f>
        <v>75018</v>
      </c>
      <c r="AD1782" t="s">
        <v>128</v>
      </c>
      <c r="AF1782" s="4">
        <v>12148211533</v>
      </c>
      <c r="AG1782">
        <v>1517</v>
      </c>
      <c r="AH1782" t="str">
        <f>"531311"</f>
        <v>531311</v>
      </c>
      <c r="AI1782" t="s">
        <v>130</v>
      </c>
      <c r="AJ1782" t="s">
        <v>10146</v>
      </c>
      <c r="AK1782" t="s">
        <v>1811</v>
      </c>
      <c r="AL1782" t="s">
        <v>3179</v>
      </c>
      <c r="AM1782" t="s">
        <v>10147</v>
      </c>
      <c r="AN1782" t="s">
        <v>8626</v>
      </c>
      <c r="AO1782" t="s">
        <v>399</v>
      </c>
      <c r="AP1782" t="s">
        <v>400</v>
      </c>
      <c r="AQ1782" s="5">
        <v>75207</v>
      </c>
      <c r="AR1782" t="s">
        <v>128</v>
      </c>
      <c r="AT1782" s="4">
        <v>14699178028</v>
      </c>
      <c r="AV1782" t="s">
        <v>10148</v>
      </c>
      <c r="AW1782" t="s">
        <v>10149</v>
      </c>
      <c r="AX1782" t="s">
        <v>131</v>
      </c>
      <c r="AY1782" t="s">
        <v>131</v>
      </c>
      <c r="AZ1782" t="s">
        <v>131</v>
      </c>
      <c r="BA1782" t="s">
        <v>131</v>
      </c>
      <c r="BB1782" t="s">
        <v>131</v>
      </c>
      <c r="BC1782" t="s">
        <v>131</v>
      </c>
      <c r="BD1782" t="s">
        <v>131</v>
      </c>
      <c r="BE1782" t="s">
        <v>132</v>
      </c>
      <c r="BH1782" t="s">
        <v>10150</v>
      </c>
      <c r="BI1782" t="s">
        <v>131</v>
      </c>
      <c r="BL1782" t="s">
        <v>188</v>
      </c>
      <c r="BN1782" t="s">
        <v>1781</v>
      </c>
      <c r="BO1782" t="s">
        <v>131</v>
      </c>
      <c r="BP1782" t="s">
        <v>134</v>
      </c>
      <c r="BQ1782" t="s">
        <v>131</v>
      </c>
      <c r="BS1782" t="str">
        <f t="shared" si="106"/>
        <v>N/A</v>
      </c>
      <c r="BT1782" t="s">
        <v>135</v>
      </c>
      <c r="BU1782">
        <v>24</v>
      </c>
      <c r="BV1782" t="str">
        <f>"Accounting"</f>
        <v>Accounting</v>
      </c>
      <c r="BW1782" t="s">
        <v>135</v>
      </c>
      <c r="BX1782" t="str">
        <f>""</f>
        <v/>
      </c>
      <c r="BY1782" t="str">
        <f>""</f>
        <v/>
      </c>
      <c r="BZ1782" t="str">
        <f>""</f>
        <v/>
      </c>
      <c r="CA1782" t="s">
        <v>10151</v>
      </c>
      <c r="CB1782" t="s">
        <v>131</v>
      </c>
      <c r="CF1782" t="s">
        <v>131</v>
      </c>
      <c r="CH1782" t="str">
        <f>""</f>
        <v/>
      </c>
      <c r="CI1782" t="s">
        <v>131</v>
      </c>
      <c r="CK1782" t="s">
        <v>131</v>
      </c>
      <c r="CL1782" t="str">
        <f>""</f>
        <v/>
      </c>
      <c r="CM1782" t="str">
        <f>""</f>
        <v/>
      </c>
      <c r="CN1782" t="str">
        <f>""</f>
        <v/>
      </c>
      <c r="CO1782" t="str">
        <f>""</f>
        <v/>
      </c>
      <c r="CP1782" t="str">
        <f>"13-2011.01"</f>
        <v>13-2011.01</v>
      </c>
      <c r="CQ1782" t="s">
        <v>1796</v>
      </c>
      <c r="CR1782" t="s">
        <v>10152</v>
      </c>
      <c r="CS1782" t="s">
        <v>131</v>
      </c>
      <c r="CU1782" t="s">
        <v>10143</v>
      </c>
      <c r="CV1782" t="s">
        <v>788</v>
      </c>
      <c r="CW1782" t="s">
        <v>458</v>
      </c>
      <c r="CX1782" t="s">
        <v>400</v>
      </c>
      <c r="CZ1782" s="3" t="str">
        <f>"75081"</f>
        <v>75081</v>
      </c>
      <c r="DA1782" t="s">
        <v>131</v>
      </c>
      <c r="DB1782" t="str">
        <f>""</f>
        <v/>
      </c>
      <c r="DF1782" t="str">
        <f>""</f>
        <v/>
      </c>
    </row>
    <row r="1783" spans="1:110" ht="15" customHeight="1" x14ac:dyDescent="0.35">
      <c r="A1783" t="s">
        <v>16207</v>
      </c>
      <c r="B1783" t="s">
        <v>138</v>
      </c>
      <c r="C1783" s="1">
        <v>44348</v>
      </c>
      <c r="G1783" s="1">
        <v>44348</v>
      </c>
      <c r="H1783" t="s">
        <v>125</v>
      </c>
      <c r="I1783" t="s">
        <v>1843</v>
      </c>
      <c r="J1783" t="s">
        <v>2004</v>
      </c>
      <c r="L1783" t="s">
        <v>1752</v>
      </c>
      <c r="M1783" t="s">
        <v>2005</v>
      </c>
      <c r="O1783" t="s">
        <v>664</v>
      </c>
      <c r="P1783" t="s">
        <v>178</v>
      </c>
      <c r="Q1783" s="3">
        <v>95125</v>
      </c>
      <c r="R1783" t="s">
        <v>128</v>
      </c>
      <c r="T1783" s="4">
        <v>14083768590</v>
      </c>
      <c r="V1783" t="s">
        <v>2006</v>
      </c>
      <c r="W1783" t="s">
        <v>15776</v>
      </c>
      <c r="Y1783" t="s">
        <v>12680</v>
      </c>
      <c r="Z1783" t="s">
        <v>375</v>
      </c>
      <c r="AA1783" t="s">
        <v>220</v>
      </c>
      <c r="AB1783" t="s">
        <v>172</v>
      </c>
      <c r="AC1783" s="3" t="str">
        <f>"94105"</f>
        <v>94105</v>
      </c>
      <c r="AD1783" t="s">
        <v>128</v>
      </c>
      <c r="AF1783" s="4">
        <v>14083764952</v>
      </c>
      <c r="AH1783" t="str">
        <f>"45411"</f>
        <v>45411</v>
      </c>
      <c r="AI1783" t="s">
        <v>287</v>
      </c>
      <c r="AJ1783" t="s">
        <v>3736</v>
      </c>
      <c r="AK1783" t="s">
        <v>3737</v>
      </c>
      <c r="AM1783" t="s">
        <v>3738</v>
      </c>
      <c r="AN1783" t="s">
        <v>3739</v>
      </c>
      <c r="AO1783" t="s">
        <v>220</v>
      </c>
      <c r="AP1783" t="s">
        <v>172</v>
      </c>
      <c r="AQ1783" s="5">
        <v>94108</v>
      </c>
      <c r="AR1783" t="s">
        <v>128</v>
      </c>
      <c r="AT1783" s="4">
        <v>17036784000</v>
      </c>
      <c r="AV1783" t="s">
        <v>3740</v>
      </c>
      <c r="AW1783" t="s">
        <v>692</v>
      </c>
      <c r="AX1783" t="s">
        <v>131</v>
      </c>
      <c r="AY1783" t="s">
        <v>131</v>
      </c>
      <c r="AZ1783" t="s">
        <v>131</v>
      </c>
      <c r="BA1783" t="s">
        <v>131</v>
      </c>
      <c r="BB1783" t="s">
        <v>131</v>
      </c>
      <c r="BC1783" t="s">
        <v>131</v>
      </c>
      <c r="BD1783" t="s">
        <v>131</v>
      </c>
      <c r="BE1783" t="s">
        <v>132</v>
      </c>
      <c r="BH1783" t="s">
        <v>3564</v>
      </c>
      <c r="BI1783" t="s">
        <v>135</v>
      </c>
      <c r="BJ1783" t="s">
        <v>597</v>
      </c>
      <c r="BK1783" t="s">
        <v>198</v>
      </c>
      <c r="BL1783" t="s">
        <v>133</v>
      </c>
      <c r="BN1783" t="s">
        <v>3742</v>
      </c>
      <c r="BO1783" t="s">
        <v>131</v>
      </c>
      <c r="BP1783" t="s">
        <v>134</v>
      </c>
      <c r="BQ1783" t="s">
        <v>131</v>
      </c>
      <c r="BS1783" t="str">
        <f t="shared" si="106"/>
        <v>N/A</v>
      </c>
      <c r="BT1783" t="s">
        <v>135</v>
      </c>
      <c r="BU1783">
        <v>60</v>
      </c>
      <c r="BV1783" t="str">
        <f>"Please see section F.b.5.a."</f>
        <v>Please see section F.b.5.a.</v>
      </c>
      <c r="BW1783" t="s">
        <v>135</v>
      </c>
      <c r="BX1783" t="str">
        <f>""</f>
        <v/>
      </c>
      <c r="BY1783" t="str">
        <f>""</f>
        <v/>
      </c>
      <c r="BZ1783" t="str">
        <f>""</f>
        <v/>
      </c>
      <c r="CA1783" t="s">
        <v>15777</v>
      </c>
      <c r="CB1783" t="s">
        <v>135</v>
      </c>
      <c r="CC1783" t="s">
        <v>188</v>
      </c>
      <c r="CE1783" t="s">
        <v>3742</v>
      </c>
      <c r="CF1783" t="s">
        <v>131</v>
      </c>
      <c r="CH1783" t="str">
        <f>"N/A"</f>
        <v>N/A</v>
      </c>
      <c r="CI1783" t="s">
        <v>135</v>
      </c>
      <c r="CJ1783">
        <v>24</v>
      </c>
      <c r="CK1783" t="s">
        <v>135</v>
      </c>
      <c r="CL1783" t="str">
        <f>""</f>
        <v/>
      </c>
      <c r="CM1783" t="str">
        <f>""</f>
        <v/>
      </c>
      <c r="CN1783" t="str">
        <f>""</f>
        <v/>
      </c>
      <c r="CO1783" t="str">
        <f>"Please see section F.b.5.a."</f>
        <v>Please see section F.b.5.a.</v>
      </c>
      <c r="CP1783" t="str">
        <f>"15-1132.00"</f>
        <v>15-1132.00</v>
      </c>
      <c r="CQ1783" t="s">
        <v>198</v>
      </c>
      <c r="CS1783" t="s">
        <v>131</v>
      </c>
      <c r="CU1783" t="s">
        <v>8472</v>
      </c>
      <c r="CV1783" t="s">
        <v>15778</v>
      </c>
      <c r="CW1783" t="s">
        <v>220</v>
      </c>
      <c r="CX1783" t="s">
        <v>172</v>
      </c>
      <c r="CZ1783" s="3" t="str">
        <f>"94105"</f>
        <v>94105</v>
      </c>
      <c r="DA1783" t="s">
        <v>131</v>
      </c>
      <c r="DB1783" t="str">
        <f>""</f>
        <v/>
      </c>
      <c r="DF1783" t="str">
        <f>""</f>
        <v/>
      </c>
    </row>
    <row r="1784" spans="1:110" ht="15" customHeight="1" x14ac:dyDescent="0.35">
      <c r="A1784" t="s">
        <v>829</v>
      </c>
      <c r="B1784" t="s">
        <v>138</v>
      </c>
      <c r="C1784" s="1">
        <v>44348</v>
      </c>
      <c r="G1784" s="1">
        <v>44348</v>
      </c>
      <c r="H1784" t="s">
        <v>125</v>
      </c>
      <c r="I1784" t="s">
        <v>830</v>
      </c>
      <c r="J1784" t="s">
        <v>831</v>
      </c>
      <c r="L1784" t="s">
        <v>832</v>
      </c>
      <c r="M1784" t="s">
        <v>833</v>
      </c>
      <c r="N1784" t="s">
        <v>834</v>
      </c>
      <c r="O1784" t="s">
        <v>835</v>
      </c>
      <c r="P1784" t="s">
        <v>273</v>
      </c>
      <c r="Q1784" s="3">
        <v>7095</v>
      </c>
      <c r="R1784" t="s">
        <v>128</v>
      </c>
      <c r="T1784" s="4">
        <v>17328101013</v>
      </c>
      <c r="V1784" t="s">
        <v>836</v>
      </c>
      <c r="W1784" t="s">
        <v>837</v>
      </c>
      <c r="Y1784" t="s">
        <v>833</v>
      </c>
      <c r="Z1784" t="s">
        <v>834</v>
      </c>
      <c r="AA1784" t="s">
        <v>835</v>
      </c>
      <c r="AB1784" t="s">
        <v>276</v>
      </c>
      <c r="AC1784" s="3" t="str">
        <f>"07095"</f>
        <v>07095</v>
      </c>
      <c r="AD1784" t="s">
        <v>128</v>
      </c>
      <c r="AF1784" s="4">
        <v>17328101013</v>
      </c>
      <c r="AH1784" t="str">
        <f>"541511"</f>
        <v>541511</v>
      </c>
      <c r="AI1784" t="s">
        <v>130</v>
      </c>
      <c r="AJ1784" t="s">
        <v>838</v>
      </c>
      <c r="AK1784" t="s">
        <v>839</v>
      </c>
      <c r="AL1784" t="s">
        <v>840</v>
      </c>
      <c r="AM1784" t="s">
        <v>841</v>
      </c>
      <c r="AN1784" t="s">
        <v>842</v>
      </c>
      <c r="AO1784" t="s">
        <v>843</v>
      </c>
      <c r="AP1784" t="s">
        <v>276</v>
      </c>
      <c r="AQ1784" s="5">
        <v>7080</v>
      </c>
      <c r="AR1784" t="s">
        <v>128</v>
      </c>
      <c r="AT1784" s="4">
        <v>17328327978</v>
      </c>
      <c r="AV1784" t="s">
        <v>844</v>
      </c>
      <c r="AW1784" t="s">
        <v>845</v>
      </c>
      <c r="AX1784" t="s">
        <v>131</v>
      </c>
      <c r="AY1784" t="s">
        <v>131</v>
      </c>
      <c r="AZ1784" t="s">
        <v>131</v>
      </c>
      <c r="BA1784" t="s">
        <v>131</v>
      </c>
      <c r="BB1784" t="s">
        <v>131</v>
      </c>
      <c r="BC1784" t="s">
        <v>131</v>
      </c>
      <c r="BD1784" t="s">
        <v>131</v>
      </c>
      <c r="BE1784" t="s">
        <v>132</v>
      </c>
      <c r="BH1784" t="s">
        <v>846</v>
      </c>
      <c r="BI1784" t="s">
        <v>131</v>
      </c>
      <c r="BL1784" t="s">
        <v>188</v>
      </c>
      <c r="BN1784" t="s">
        <v>847</v>
      </c>
      <c r="BO1784" t="s">
        <v>131</v>
      </c>
      <c r="BP1784" t="s">
        <v>134</v>
      </c>
      <c r="BQ1784" t="s">
        <v>131</v>
      </c>
      <c r="BS1784" t="str">
        <f t="shared" si="106"/>
        <v>N/A</v>
      </c>
      <c r="BT1784" t="s">
        <v>135</v>
      </c>
      <c r="BU1784">
        <v>12</v>
      </c>
      <c r="BV1784" t="str">
        <f>"JOB OFFERED OR RELATED OCCUPATION."</f>
        <v>JOB OFFERED OR RELATED OCCUPATION.</v>
      </c>
      <c r="BW1784" t="s">
        <v>131</v>
      </c>
      <c r="BX1784" t="str">
        <f>""</f>
        <v/>
      </c>
      <c r="BY1784" t="str">
        <f>""</f>
        <v/>
      </c>
      <c r="BZ1784" t="str">
        <f>""</f>
        <v/>
      </c>
      <c r="CA1784" t="str">
        <f>""</f>
        <v/>
      </c>
      <c r="CB1784" t="s">
        <v>135</v>
      </c>
      <c r="CC1784" t="s">
        <v>133</v>
      </c>
      <c r="CE1784" t="s">
        <v>847</v>
      </c>
      <c r="CF1784" t="s">
        <v>131</v>
      </c>
      <c r="CH1784" t="str">
        <f>"N/A"</f>
        <v>N/A</v>
      </c>
      <c r="CI1784" t="s">
        <v>135</v>
      </c>
      <c r="CJ1784">
        <v>60</v>
      </c>
      <c r="CK1784" t="s">
        <v>135</v>
      </c>
      <c r="CL1784" t="str">
        <f>""</f>
        <v/>
      </c>
      <c r="CM1784" t="str">
        <f>""</f>
        <v/>
      </c>
      <c r="CN1784" t="str">
        <f>""</f>
        <v/>
      </c>
      <c r="CO1784" t="s">
        <v>848</v>
      </c>
      <c r="CP1784" t="str">
        <f>"15-1132.00"</f>
        <v>15-1132.00</v>
      </c>
      <c r="CQ1784" t="s">
        <v>198</v>
      </c>
      <c r="CR1784" t="s">
        <v>849</v>
      </c>
      <c r="CS1784" t="s">
        <v>131</v>
      </c>
      <c r="CU1784" t="s">
        <v>833</v>
      </c>
      <c r="CV1784" t="s">
        <v>850</v>
      </c>
      <c r="CW1784" t="s">
        <v>835</v>
      </c>
      <c r="CX1784" t="s">
        <v>276</v>
      </c>
      <c r="CZ1784" s="3" t="str">
        <f>"07095"</f>
        <v>07095</v>
      </c>
      <c r="DA1784" t="s">
        <v>131</v>
      </c>
      <c r="DB1784" t="str">
        <f>""</f>
        <v/>
      </c>
      <c r="DF1784" t="str">
        <f>""</f>
        <v/>
      </c>
    </row>
    <row r="1785" spans="1:110" ht="15" customHeight="1" x14ac:dyDescent="0.35">
      <c r="A1785" t="s">
        <v>4261</v>
      </c>
      <c r="B1785" t="s">
        <v>138</v>
      </c>
      <c r="C1785" s="1">
        <v>44348</v>
      </c>
      <c r="G1785" s="1">
        <v>44348</v>
      </c>
      <c r="H1785" t="s">
        <v>125</v>
      </c>
      <c r="I1785" t="s">
        <v>830</v>
      </c>
      <c r="J1785" t="s">
        <v>831</v>
      </c>
      <c r="L1785" t="s">
        <v>832</v>
      </c>
      <c r="M1785" t="s">
        <v>833</v>
      </c>
      <c r="N1785" t="s">
        <v>834</v>
      </c>
      <c r="O1785" t="s">
        <v>835</v>
      </c>
      <c r="P1785" t="s">
        <v>273</v>
      </c>
      <c r="Q1785" s="3">
        <v>7095</v>
      </c>
      <c r="R1785" t="s">
        <v>128</v>
      </c>
      <c r="T1785" s="4">
        <v>17328101013</v>
      </c>
      <c r="V1785" t="s">
        <v>836</v>
      </c>
      <c r="W1785" t="s">
        <v>837</v>
      </c>
      <c r="X1785" t="s">
        <v>3284</v>
      </c>
      <c r="Y1785" t="s">
        <v>833</v>
      </c>
      <c r="Z1785" t="s">
        <v>834</v>
      </c>
      <c r="AA1785" t="s">
        <v>835</v>
      </c>
      <c r="AB1785" t="s">
        <v>276</v>
      </c>
      <c r="AC1785" s="3" t="str">
        <f>"07095"</f>
        <v>07095</v>
      </c>
      <c r="AD1785" t="s">
        <v>128</v>
      </c>
      <c r="AF1785" s="4">
        <v>17328101013</v>
      </c>
      <c r="AH1785" t="str">
        <f>"541511"</f>
        <v>541511</v>
      </c>
      <c r="AI1785" t="s">
        <v>130</v>
      </c>
      <c r="AJ1785" t="s">
        <v>838</v>
      </c>
      <c r="AK1785" t="s">
        <v>839</v>
      </c>
      <c r="AL1785" t="s">
        <v>840</v>
      </c>
      <c r="AM1785" t="s">
        <v>841</v>
      </c>
      <c r="AN1785" t="s">
        <v>842</v>
      </c>
      <c r="AO1785" t="s">
        <v>843</v>
      </c>
      <c r="AP1785" t="s">
        <v>276</v>
      </c>
      <c r="AQ1785" s="5">
        <v>7080</v>
      </c>
      <c r="AR1785" t="s">
        <v>128</v>
      </c>
      <c r="AT1785" s="4">
        <v>17328327978</v>
      </c>
      <c r="AV1785" t="s">
        <v>844</v>
      </c>
      <c r="AW1785" t="s">
        <v>845</v>
      </c>
      <c r="AX1785" t="s">
        <v>131</v>
      </c>
      <c r="AY1785" t="s">
        <v>131</v>
      </c>
      <c r="AZ1785" t="s">
        <v>131</v>
      </c>
      <c r="BA1785" t="s">
        <v>131</v>
      </c>
      <c r="BB1785" t="s">
        <v>131</v>
      </c>
      <c r="BC1785" t="s">
        <v>131</v>
      </c>
      <c r="BD1785" t="s">
        <v>131</v>
      </c>
      <c r="BE1785" t="s">
        <v>132</v>
      </c>
      <c r="BH1785" t="s">
        <v>846</v>
      </c>
      <c r="BI1785" t="s">
        <v>131</v>
      </c>
      <c r="BL1785" t="s">
        <v>188</v>
      </c>
      <c r="BN1785" t="s">
        <v>847</v>
      </c>
      <c r="BO1785" t="s">
        <v>131</v>
      </c>
      <c r="BP1785" t="s">
        <v>134</v>
      </c>
      <c r="BQ1785" t="s">
        <v>131</v>
      </c>
      <c r="BS1785" t="str">
        <f t="shared" si="106"/>
        <v>N/A</v>
      </c>
      <c r="BT1785" t="s">
        <v>135</v>
      </c>
      <c r="BU1785">
        <v>12</v>
      </c>
      <c r="BV1785" t="str">
        <f>"JOB OFFERED OR RELATED OCCUPATION."</f>
        <v>JOB OFFERED OR RELATED OCCUPATION.</v>
      </c>
      <c r="BW1785" t="s">
        <v>135</v>
      </c>
      <c r="BX1785" t="str">
        <f>""</f>
        <v/>
      </c>
      <c r="BY1785" t="str">
        <f>""</f>
        <v/>
      </c>
      <c r="BZ1785" t="str">
        <f>""</f>
        <v/>
      </c>
      <c r="CA1785" t="s">
        <v>4262</v>
      </c>
      <c r="CB1785" t="s">
        <v>135</v>
      </c>
      <c r="CC1785" t="s">
        <v>133</v>
      </c>
      <c r="CE1785" t="s">
        <v>847</v>
      </c>
      <c r="CF1785" t="s">
        <v>131</v>
      </c>
      <c r="CH1785" t="str">
        <f>"N/A"</f>
        <v>N/A</v>
      </c>
      <c r="CI1785" t="s">
        <v>135</v>
      </c>
      <c r="CJ1785">
        <v>60</v>
      </c>
      <c r="CK1785" t="s">
        <v>131</v>
      </c>
      <c r="CL1785" t="str">
        <f>""</f>
        <v/>
      </c>
      <c r="CM1785" t="str">
        <f>""</f>
        <v/>
      </c>
      <c r="CN1785" t="str">
        <f>""</f>
        <v/>
      </c>
      <c r="CO1785" t="str">
        <f>""</f>
        <v/>
      </c>
      <c r="CP1785" t="str">
        <f>"15-1132.00"</f>
        <v>15-1132.00</v>
      </c>
      <c r="CQ1785" t="s">
        <v>198</v>
      </c>
      <c r="CR1785" t="s">
        <v>849</v>
      </c>
      <c r="CS1785" t="s">
        <v>131</v>
      </c>
      <c r="CU1785" t="s">
        <v>833</v>
      </c>
      <c r="CV1785" t="s">
        <v>850</v>
      </c>
      <c r="CW1785" t="s">
        <v>835</v>
      </c>
      <c r="CX1785" t="s">
        <v>276</v>
      </c>
      <c r="CZ1785" s="3" t="str">
        <f>"07095"</f>
        <v>07095</v>
      </c>
      <c r="DA1785" t="s">
        <v>131</v>
      </c>
      <c r="DB1785" t="str">
        <f>""</f>
        <v/>
      </c>
      <c r="DF1785" t="str">
        <f>""</f>
        <v/>
      </c>
    </row>
    <row r="1786" spans="1:110" ht="15" customHeight="1" x14ac:dyDescent="0.35">
      <c r="A1786" t="s">
        <v>12512</v>
      </c>
      <c r="B1786" t="s">
        <v>138</v>
      </c>
      <c r="C1786" s="1">
        <v>44348</v>
      </c>
      <c r="G1786" s="1">
        <v>44352</v>
      </c>
      <c r="H1786" t="s">
        <v>125</v>
      </c>
      <c r="I1786" t="s">
        <v>10051</v>
      </c>
      <c r="J1786" t="s">
        <v>12513</v>
      </c>
      <c r="K1786" t="s">
        <v>12514</v>
      </c>
      <c r="L1786" t="s">
        <v>3767</v>
      </c>
      <c r="M1786" t="s">
        <v>12515</v>
      </c>
      <c r="O1786" t="s">
        <v>4862</v>
      </c>
      <c r="P1786" t="s">
        <v>273</v>
      </c>
      <c r="Q1786" s="3">
        <v>8540</v>
      </c>
      <c r="R1786" t="s">
        <v>128</v>
      </c>
      <c r="T1786" s="4">
        <v>16097315233</v>
      </c>
      <c r="V1786" t="s">
        <v>12516</v>
      </c>
      <c r="W1786" t="s">
        <v>12517</v>
      </c>
      <c r="X1786" t="s">
        <v>6102</v>
      </c>
      <c r="Y1786" t="s">
        <v>12515</v>
      </c>
      <c r="AA1786" t="s">
        <v>4862</v>
      </c>
      <c r="AB1786" t="s">
        <v>276</v>
      </c>
      <c r="AC1786" s="3" t="str">
        <f>"08540"</f>
        <v>08540</v>
      </c>
      <c r="AD1786" t="s">
        <v>128</v>
      </c>
      <c r="AF1786" s="4">
        <v>16092035634</v>
      </c>
      <c r="AH1786" t="str">
        <f>"624410"</f>
        <v>624410</v>
      </c>
      <c r="AI1786" t="s">
        <v>167</v>
      </c>
      <c r="AX1786" t="s">
        <v>131</v>
      </c>
      <c r="AY1786" t="s">
        <v>131</v>
      </c>
      <c r="AZ1786" t="s">
        <v>131</v>
      </c>
      <c r="BA1786" t="s">
        <v>131</v>
      </c>
      <c r="BB1786" t="s">
        <v>131</v>
      </c>
      <c r="BC1786" t="s">
        <v>131</v>
      </c>
      <c r="BD1786" t="s">
        <v>131</v>
      </c>
      <c r="BE1786" t="s">
        <v>132</v>
      </c>
      <c r="BH1786" t="s">
        <v>7134</v>
      </c>
      <c r="BI1786" t="s">
        <v>131</v>
      </c>
      <c r="BL1786" t="s">
        <v>401</v>
      </c>
      <c r="BO1786" t="s">
        <v>131</v>
      </c>
      <c r="BP1786" t="s">
        <v>134</v>
      </c>
      <c r="BQ1786" t="s">
        <v>131</v>
      </c>
      <c r="BS1786" t="str">
        <f t="shared" si="106"/>
        <v>N/A</v>
      </c>
      <c r="BT1786" t="s">
        <v>135</v>
      </c>
      <c r="BU1786">
        <v>12</v>
      </c>
      <c r="BV1786" t="str">
        <f>"Nanny"</f>
        <v>Nanny</v>
      </c>
      <c r="BW1786" t="s">
        <v>135</v>
      </c>
      <c r="BX1786" t="str">
        <f>""</f>
        <v/>
      </c>
      <c r="BY1786" t="str">
        <f>""</f>
        <v/>
      </c>
      <c r="BZ1786" t="str">
        <f>""</f>
        <v/>
      </c>
      <c r="CA1786" t="str">
        <f>"The ability to cook."</f>
        <v>The ability to cook.</v>
      </c>
      <c r="CB1786" t="s">
        <v>131</v>
      </c>
      <c r="CF1786" t="s">
        <v>131</v>
      </c>
      <c r="CH1786" t="str">
        <f>""</f>
        <v/>
      </c>
      <c r="CI1786" t="s">
        <v>131</v>
      </c>
      <c r="CK1786" t="s">
        <v>131</v>
      </c>
      <c r="CL1786" t="str">
        <f>""</f>
        <v/>
      </c>
      <c r="CM1786" t="str">
        <f>""</f>
        <v/>
      </c>
      <c r="CN1786" t="str">
        <f>""</f>
        <v/>
      </c>
      <c r="CO1786" t="str">
        <f>""</f>
        <v/>
      </c>
      <c r="CP1786" t="str">
        <f>"39-9011.01"</f>
        <v>39-9011.01</v>
      </c>
      <c r="CQ1786" t="s">
        <v>339</v>
      </c>
      <c r="CS1786" t="s">
        <v>135</v>
      </c>
      <c r="CT1786" t="s">
        <v>12518</v>
      </c>
      <c r="CU1786" t="s">
        <v>12519</v>
      </c>
      <c r="CW1786" t="s">
        <v>4862</v>
      </c>
      <c r="CX1786" t="s">
        <v>276</v>
      </c>
      <c r="CZ1786" s="3" t="str">
        <f>"08540"</f>
        <v>08540</v>
      </c>
      <c r="DA1786" t="s">
        <v>131</v>
      </c>
      <c r="DB1786" t="str">
        <f>""</f>
        <v/>
      </c>
      <c r="DF1786" t="str">
        <f>""</f>
        <v/>
      </c>
    </row>
    <row r="1787" spans="1:110" ht="15" customHeight="1" x14ac:dyDescent="0.35">
      <c r="A1787" t="s">
        <v>18888</v>
      </c>
      <c r="B1787" t="s">
        <v>138</v>
      </c>
      <c r="C1787" s="1">
        <v>44348</v>
      </c>
      <c r="G1787" s="1">
        <v>44350</v>
      </c>
      <c r="H1787" t="s">
        <v>125</v>
      </c>
      <c r="I1787" t="s">
        <v>18889</v>
      </c>
      <c r="J1787" t="s">
        <v>18890</v>
      </c>
      <c r="K1787" t="s">
        <v>10918</v>
      </c>
      <c r="L1787" t="s">
        <v>395</v>
      </c>
      <c r="M1787" t="s">
        <v>10919</v>
      </c>
      <c r="O1787" t="s">
        <v>2348</v>
      </c>
      <c r="P1787" t="s">
        <v>178</v>
      </c>
      <c r="Q1787" s="3">
        <v>90019</v>
      </c>
      <c r="R1787" t="s">
        <v>128</v>
      </c>
      <c r="T1787" s="4">
        <v>13239338271</v>
      </c>
      <c r="V1787" t="s">
        <v>10920</v>
      </c>
      <c r="W1787" t="s">
        <v>10921</v>
      </c>
      <c r="X1787" t="s">
        <v>18891</v>
      </c>
      <c r="Y1787" t="s">
        <v>18892</v>
      </c>
      <c r="AA1787" t="s">
        <v>476</v>
      </c>
      <c r="AB1787" t="s">
        <v>172</v>
      </c>
      <c r="AC1787" s="3" t="str">
        <f>"90019"</f>
        <v>90019</v>
      </c>
      <c r="AD1787" t="s">
        <v>128</v>
      </c>
      <c r="AF1787" s="4">
        <v>13239339271</v>
      </c>
      <c r="AH1787" t="str">
        <f>"621610"</f>
        <v>621610</v>
      </c>
      <c r="AI1787" t="s">
        <v>130</v>
      </c>
      <c r="AJ1787" t="s">
        <v>3682</v>
      </c>
      <c r="AK1787" t="s">
        <v>10498</v>
      </c>
      <c r="AM1787" t="s">
        <v>6520</v>
      </c>
      <c r="AO1787" t="s">
        <v>2348</v>
      </c>
      <c r="AP1787" t="s">
        <v>172</v>
      </c>
      <c r="AQ1787" s="5">
        <v>90064</v>
      </c>
      <c r="AR1787" t="s">
        <v>128</v>
      </c>
      <c r="AT1787" s="4">
        <v>12133843300</v>
      </c>
      <c r="AV1787" t="s">
        <v>6521</v>
      </c>
      <c r="AW1787" t="s">
        <v>6522</v>
      </c>
      <c r="AX1787" t="s">
        <v>131</v>
      </c>
      <c r="AY1787" t="s">
        <v>131</v>
      </c>
      <c r="AZ1787" t="s">
        <v>131</v>
      </c>
      <c r="BA1787" t="s">
        <v>131</v>
      </c>
      <c r="BB1787" t="s">
        <v>131</v>
      </c>
      <c r="BC1787" t="s">
        <v>131</v>
      </c>
      <c r="BD1787" t="s">
        <v>131</v>
      </c>
      <c r="BE1787" t="s">
        <v>132</v>
      </c>
      <c r="BH1787" t="s">
        <v>9392</v>
      </c>
      <c r="BI1787" t="s">
        <v>131</v>
      </c>
      <c r="BL1787" t="s">
        <v>167</v>
      </c>
      <c r="BO1787" t="s">
        <v>131</v>
      </c>
      <c r="BP1787" t="s">
        <v>134</v>
      </c>
      <c r="BQ1787" t="s">
        <v>131</v>
      </c>
      <c r="BS1787" t="str">
        <f t="shared" si="106"/>
        <v>N/A</v>
      </c>
      <c r="BT1787" t="s">
        <v>131</v>
      </c>
      <c r="BV1787" t="str">
        <f>""</f>
        <v/>
      </c>
      <c r="BW1787" t="s">
        <v>131</v>
      </c>
      <c r="BX1787" t="str">
        <f>""</f>
        <v/>
      </c>
      <c r="BY1787" t="str">
        <f>""</f>
        <v/>
      </c>
      <c r="BZ1787" t="str">
        <f>""</f>
        <v/>
      </c>
      <c r="CA1787" t="str">
        <f>""</f>
        <v/>
      </c>
      <c r="CB1787" t="s">
        <v>131</v>
      </c>
      <c r="CF1787" t="s">
        <v>131</v>
      </c>
      <c r="CH1787" t="str">
        <f>""</f>
        <v/>
      </c>
      <c r="CI1787" t="s">
        <v>131</v>
      </c>
      <c r="CK1787" t="s">
        <v>131</v>
      </c>
      <c r="CL1787" t="str">
        <f>""</f>
        <v/>
      </c>
      <c r="CM1787" t="str">
        <f>""</f>
        <v/>
      </c>
      <c r="CN1787" t="str">
        <f>""</f>
        <v/>
      </c>
      <c r="CO1787" t="str">
        <f>""</f>
        <v/>
      </c>
      <c r="CP1787" t="str">
        <f>"31-1011.00"</f>
        <v>31-1011.00</v>
      </c>
      <c r="CQ1787" t="s">
        <v>499</v>
      </c>
      <c r="CR1787" t="s">
        <v>395</v>
      </c>
      <c r="CS1787" t="s">
        <v>131</v>
      </c>
      <c r="CU1787" t="s">
        <v>10922</v>
      </c>
      <c r="CW1787" t="s">
        <v>2348</v>
      </c>
      <c r="CX1787" t="s">
        <v>172</v>
      </c>
      <c r="CZ1787" s="3" t="str">
        <f>"90019"</f>
        <v>90019</v>
      </c>
      <c r="DA1787" t="s">
        <v>131</v>
      </c>
      <c r="DB1787" t="str">
        <f>""</f>
        <v/>
      </c>
      <c r="DF1787" t="str">
        <f>""</f>
        <v/>
      </c>
    </row>
    <row r="1788" spans="1:110" ht="15" customHeight="1" x14ac:dyDescent="0.35">
      <c r="A1788" t="s">
        <v>18430</v>
      </c>
      <c r="B1788" t="s">
        <v>138</v>
      </c>
      <c r="C1788" s="1">
        <v>44348</v>
      </c>
      <c r="G1788" s="1">
        <v>44348</v>
      </c>
      <c r="H1788" t="s">
        <v>125</v>
      </c>
      <c r="I1788" t="s">
        <v>13044</v>
      </c>
      <c r="J1788" t="s">
        <v>15196</v>
      </c>
      <c r="K1788" t="s">
        <v>840</v>
      </c>
      <c r="L1788" t="s">
        <v>2350</v>
      </c>
      <c r="M1788" t="s">
        <v>3325</v>
      </c>
      <c r="N1788" t="s">
        <v>3326</v>
      </c>
      <c r="O1788" t="s">
        <v>3327</v>
      </c>
      <c r="P1788" t="s">
        <v>273</v>
      </c>
      <c r="Q1788" s="3">
        <v>8091</v>
      </c>
      <c r="R1788" t="s">
        <v>128</v>
      </c>
      <c r="T1788" s="4">
        <v>18568739950</v>
      </c>
      <c r="V1788" t="s">
        <v>13288</v>
      </c>
      <c r="W1788" t="s">
        <v>3324</v>
      </c>
      <c r="Y1788" t="s">
        <v>3325</v>
      </c>
      <c r="Z1788" t="s">
        <v>3326</v>
      </c>
      <c r="AA1788" t="s">
        <v>3327</v>
      </c>
      <c r="AB1788" t="s">
        <v>276</v>
      </c>
      <c r="AC1788" s="3" t="str">
        <f>"08091"</f>
        <v>08091</v>
      </c>
      <c r="AD1788" t="s">
        <v>128</v>
      </c>
      <c r="AF1788" s="4">
        <v>18568739950</v>
      </c>
      <c r="AH1788" t="str">
        <f>"5419"</f>
        <v>5419</v>
      </c>
      <c r="AI1788" t="s">
        <v>130</v>
      </c>
      <c r="AJ1788" t="s">
        <v>838</v>
      </c>
      <c r="AK1788" t="s">
        <v>839</v>
      </c>
      <c r="AL1788" t="s">
        <v>840</v>
      </c>
      <c r="AM1788" t="s">
        <v>841</v>
      </c>
      <c r="AN1788" t="s">
        <v>842</v>
      </c>
      <c r="AO1788" t="s">
        <v>843</v>
      </c>
      <c r="AP1788" t="s">
        <v>276</v>
      </c>
      <c r="AQ1788" s="5">
        <v>7080</v>
      </c>
      <c r="AR1788" t="s">
        <v>128</v>
      </c>
      <c r="AT1788" s="4">
        <v>17328327978</v>
      </c>
      <c r="AV1788" t="s">
        <v>844</v>
      </c>
      <c r="AW1788" t="s">
        <v>845</v>
      </c>
      <c r="AX1788" t="s">
        <v>131</v>
      </c>
      <c r="AY1788" t="s">
        <v>131</v>
      </c>
      <c r="AZ1788" t="s">
        <v>131</v>
      </c>
      <c r="BA1788" t="s">
        <v>131</v>
      </c>
      <c r="BB1788" t="s">
        <v>131</v>
      </c>
      <c r="BC1788" t="s">
        <v>131</v>
      </c>
      <c r="BD1788" t="s">
        <v>131</v>
      </c>
      <c r="BE1788" t="s">
        <v>132</v>
      </c>
      <c r="BH1788" t="s">
        <v>3291</v>
      </c>
      <c r="BI1788" t="s">
        <v>131</v>
      </c>
      <c r="BL1788" t="s">
        <v>188</v>
      </c>
      <c r="BN1788" t="s">
        <v>8441</v>
      </c>
      <c r="BO1788" t="s">
        <v>131</v>
      </c>
      <c r="BP1788" t="s">
        <v>134</v>
      </c>
      <c r="BQ1788" t="s">
        <v>131</v>
      </c>
      <c r="BS1788" t="str">
        <f t="shared" si="106"/>
        <v>N/A</v>
      </c>
      <c r="BT1788" t="s">
        <v>135</v>
      </c>
      <c r="BU1788">
        <v>12</v>
      </c>
      <c r="BV1788" t="str">
        <f>"JOB OFFERED OR RELATED OCCUPATION"</f>
        <v>JOB OFFERED OR RELATED OCCUPATION</v>
      </c>
      <c r="BW1788" t="s">
        <v>131</v>
      </c>
      <c r="BX1788" t="str">
        <f>""</f>
        <v/>
      </c>
      <c r="BY1788" t="str">
        <f>""</f>
        <v/>
      </c>
      <c r="BZ1788" t="str">
        <f>""</f>
        <v/>
      </c>
      <c r="CA1788" t="str">
        <f>""</f>
        <v/>
      </c>
      <c r="CB1788" t="s">
        <v>135</v>
      </c>
      <c r="CC1788" t="s">
        <v>133</v>
      </c>
      <c r="CE1788" t="s">
        <v>8441</v>
      </c>
      <c r="CF1788" t="s">
        <v>131</v>
      </c>
      <c r="CH1788" t="str">
        <f>"N/A"</f>
        <v>N/A</v>
      </c>
      <c r="CI1788" t="s">
        <v>135</v>
      </c>
      <c r="CJ1788">
        <v>60</v>
      </c>
      <c r="CK1788" t="s">
        <v>135</v>
      </c>
      <c r="CL1788" t="str">
        <f>""</f>
        <v/>
      </c>
      <c r="CM1788" t="str">
        <f>""</f>
        <v/>
      </c>
      <c r="CN1788" t="str">
        <f>""</f>
        <v/>
      </c>
      <c r="CO1788" t="s">
        <v>8442</v>
      </c>
      <c r="CP1788" t="str">
        <f>"15-1121.00"</f>
        <v>15-1121.00</v>
      </c>
      <c r="CQ1788" t="s">
        <v>283</v>
      </c>
      <c r="CR1788" t="s">
        <v>849</v>
      </c>
      <c r="CS1788" t="s">
        <v>131</v>
      </c>
      <c r="CU1788" t="s">
        <v>3325</v>
      </c>
      <c r="CV1788" t="s">
        <v>8443</v>
      </c>
      <c r="CW1788" t="s">
        <v>3327</v>
      </c>
      <c r="CX1788" t="s">
        <v>276</v>
      </c>
      <c r="CZ1788" s="3" t="str">
        <f>"08091"</f>
        <v>08091</v>
      </c>
      <c r="DA1788" t="s">
        <v>131</v>
      </c>
      <c r="DB1788" t="str">
        <f>""</f>
        <v/>
      </c>
      <c r="DF1788" t="str">
        <f>""</f>
        <v/>
      </c>
    </row>
    <row r="1789" spans="1:110" ht="15" customHeight="1" x14ac:dyDescent="0.35">
      <c r="A1789" t="s">
        <v>20018</v>
      </c>
      <c r="B1789" t="s">
        <v>138</v>
      </c>
      <c r="C1789" s="1">
        <v>44348</v>
      </c>
      <c r="G1789" s="1">
        <v>44349</v>
      </c>
      <c r="H1789" t="s">
        <v>125</v>
      </c>
      <c r="I1789" t="s">
        <v>20019</v>
      </c>
      <c r="J1789" t="s">
        <v>20020</v>
      </c>
      <c r="L1789" t="s">
        <v>20021</v>
      </c>
      <c r="M1789" t="s">
        <v>9225</v>
      </c>
      <c r="O1789" t="s">
        <v>220</v>
      </c>
      <c r="P1789" t="s">
        <v>178</v>
      </c>
      <c r="Q1789" s="3">
        <v>94111</v>
      </c>
      <c r="R1789" t="s">
        <v>128</v>
      </c>
      <c r="T1789" s="4">
        <v>1415399603</v>
      </c>
      <c r="V1789" t="s">
        <v>8899</v>
      </c>
      <c r="W1789" t="s">
        <v>17651</v>
      </c>
      <c r="Y1789" t="s">
        <v>6685</v>
      </c>
      <c r="AA1789" t="s">
        <v>494</v>
      </c>
      <c r="AB1789" t="s">
        <v>129</v>
      </c>
      <c r="AC1789" s="3" t="str">
        <f>"10022"</f>
        <v>10022</v>
      </c>
      <c r="AD1789" t="s">
        <v>128</v>
      </c>
      <c r="AF1789" s="4">
        <v>12122057952</v>
      </c>
      <c r="AH1789" t="str">
        <f>"523110"</f>
        <v>523110</v>
      </c>
      <c r="AI1789" t="s">
        <v>167</v>
      </c>
      <c r="AX1789" t="s">
        <v>131</v>
      </c>
      <c r="AY1789" t="s">
        <v>131</v>
      </c>
      <c r="AZ1789" t="s">
        <v>131</v>
      </c>
      <c r="BA1789" t="s">
        <v>131</v>
      </c>
      <c r="BB1789" t="s">
        <v>131</v>
      </c>
      <c r="BC1789" t="s">
        <v>131</v>
      </c>
      <c r="BD1789" t="s">
        <v>131</v>
      </c>
      <c r="BE1789" t="s">
        <v>132</v>
      </c>
      <c r="BH1789" t="s">
        <v>3206</v>
      </c>
      <c r="BI1789" t="s">
        <v>131</v>
      </c>
      <c r="BL1789" t="s">
        <v>133</v>
      </c>
      <c r="BN1789" s="2" t="s">
        <v>20022</v>
      </c>
      <c r="BO1789" t="s">
        <v>131</v>
      </c>
      <c r="BP1789" t="s">
        <v>134</v>
      </c>
      <c r="BQ1789" t="s">
        <v>131</v>
      </c>
      <c r="BS1789" t="str">
        <f t="shared" si="106"/>
        <v>N/A</v>
      </c>
      <c r="BT1789" t="s">
        <v>135</v>
      </c>
      <c r="BU1789">
        <v>60</v>
      </c>
      <c r="BV1789" t="str">
        <f>"in job offered or related occupation"</f>
        <v>in job offered or related occupation</v>
      </c>
      <c r="BW1789" t="s">
        <v>131</v>
      </c>
      <c r="BX1789" t="str">
        <f>""</f>
        <v/>
      </c>
      <c r="BY1789" t="str">
        <f>""</f>
        <v/>
      </c>
      <c r="BZ1789" t="str">
        <f>""</f>
        <v/>
      </c>
      <c r="CA1789" t="str">
        <f>""</f>
        <v/>
      </c>
      <c r="CB1789" t="s">
        <v>131</v>
      </c>
      <c r="CF1789" t="s">
        <v>131</v>
      </c>
      <c r="CH1789" t="str">
        <f>""</f>
        <v/>
      </c>
      <c r="CI1789" t="s">
        <v>131</v>
      </c>
      <c r="CK1789" t="s">
        <v>131</v>
      </c>
      <c r="CL1789" t="str">
        <f>""</f>
        <v/>
      </c>
      <c r="CM1789" t="str">
        <f>""</f>
        <v/>
      </c>
      <c r="CN1789" t="str">
        <f>""</f>
        <v/>
      </c>
      <c r="CO1789" t="str">
        <f>""</f>
        <v/>
      </c>
      <c r="CP1789" t="str">
        <f>"15-1132.00"</f>
        <v>15-1132.00</v>
      </c>
      <c r="CQ1789" t="s">
        <v>198</v>
      </c>
      <c r="CS1789" t="s">
        <v>131</v>
      </c>
      <c r="CU1789" t="s">
        <v>17650</v>
      </c>
      <c r="CW1789" t="s">
        <v>494</v>
      </c>
      <c r="CX1789" t="s">
        <v>129</v>
      </c>
      <c r="CZ1789" s="3" t="str">
        <f>"10022"</f>
        <v>10022</v>
      </c>
      <c r="DA1789" t="s">
        <v>131</v>
      </c>
      <c r="DB1789" t="str">
        <f>""</f>
        <v/>
      </c>
      <c r="DF1789" t="str">
        <f>""</f>
        <v/>
      </c>
    </row>
    <row r="1790" spans="1:110" ht="15" customHeight="1" x14ac:dyDescent="0.35">
      <c r="A1790" t="s">
        <v>19364</v>
      </c>
      <c r="B1790" t="s">
        <v>138</v>
      </c>
      <c r="C1790" s="1">
        <v>44348</v>
      </c>
      <c r="G1790" s="1">
        <v>44349</v>
      </c>
      <c r="H1790" t="s">
        <v>125</v>
      </c>
      <c r="I1790" t="s">
        <v>860</v>
      </c>
      <c r="J1790" t="s">
        <v>19365</v>
      </c>
      <c r="L1790" t="s">
        <v>7755</v>
      </c>
      <c r="M1790" t="s">
        <v>19366</v>
      </c>
      <c r="N1790" t="s">
        <v>19367</v>
      </c>
      <c r="O1790" t="s">
        <v>3874</v>
      </c>
      <c r="P1790" t="s">
        <v>1760</v>
      </c>
      <c r="Q1790" s="3">
        <v>70806</v>
      </c>
      <c r="R1790" t="s">
        <v>128</v>
      </c>
      <c r="T1790" s="4">
        <v>12257575344</v>
      </c>
      <c r="V1790" t="s">
        <v>19368</v>
      </c>
      <c r="W1790" t="s">
        <v>19369</v>
      </c>
      <c r="X1790" t="s">
        <v>19369</v>
      </c>
      <c r="Y1790" t="s">
        <v>19370</v>
      </c>
      <c r="Z1790" t="s">
        <v>19371</v>
      </c>
      <c r="AA1790" t="s">
        <v>12035</v>
      </c>
      <c r="AB1790" t="s">
        <v>1763</v>
      </c>
      <c r="AC1790" s="3" t="str">
        <f>"70806"</f>
        <v>70806</v>
      </c>
      <c r="AD1790" t="s">
        <v>128</v>
      </c>
      <c r="AF1790" s="4">
        <v>12257575344</v>
      </c>
      <c r="AH1790" t="str">
        <f>"541511"</f>
        <v>541511</v>
      </c>
      <c r="AI1790" t="s">
        <v>130</v>
      </c>
      <c r="AJ1790" t="s">
        <v>3588</v>
      </c>
      <c r="AK1790" t="s">
        <v>250</v>
      </c>
      <c r="AL1790" t="s">
        <v>3589</v>
      </c>
      <c r="AM1790" t="s">
        <v>3590</v>
      </c>
      <c r="AN1790" t="s">
        <v>3591</v>
      </c>
      <c r="AO1790" t="s">
        <v>399</v>
      </c>
      <c r="AP1790" t="s">
        <v>400</v>
      </c>
      <c r="AQ1790" s="5">
        <v>75287</v>
      </c>
      <c r="AR1790" t="s">
        <v>128</v>
      </c>
      <c r="AT1790" s="4">
        <v>19722414698</v>
      </c>
      <c r="AV1790" t="s">
        <v>3592</v>
      </c>
      <c r="AW1790" t="s">
        <v>3593</v>
      </c>
      <c r="AX1790" t="s">
        <v>131</v>
      </c>
      <c r="AY1790" t="s">
        <v>131</v>
      </c>
      <c r="AZ1790" t="s">
        <v>131</v>
      </c>
      <c r="BA1790" t="s">
        <v>131</v>
      </c>
      <c r="BB1790" t="s">
        <v>131</v>
      </c>
      <c r="BC1790" t="s">
        <v>131</v>
      </c>
      <c r="BD1790" t="s">
        <v>131</v>
      </c>
      <c r="BE1790" t="s">
        <v>132</v>
      </c>
      <c r="BH1790" t="s">
        <v>16805</v>
      </c>
      <c r="BI1790" t="s">
        <v>131</v>
      </c>
      <c r="BL1790" t="s">
        <v>188</v>
      </c>
      <c r="BN1790" t="s">
        <v>19372</v>
      </c>
      <c r="BO1790" t="s">
        <v>131</v>
      </c>
      <c r="BP1790" t="s">
        <v>134</v>
      </c>
      <c r="BQ1790" t="s">
        <v>131</v>
      </c>
      <c r="BS1790" t="str">
        <f t="shared" si="106"/>
        <v>N/A</v>
      </c>
      <c r="BT1790" t="s">
        <v>131</v>
      </c>
      <c r="BV1790" t="str">
        <f>""</f>
        <v/>
      </c>
      <c r="BW1790" t="s">
        <v>131</v>
      </c>
      <c r="BX1790" t="str">
        <f>""</f>
        <v/>
      </c>
      <c r="BY1790" t="str">
        <f>""</f>
        <v/>
      </c>
      <c r="BZ1790" t="str">
        <f>""</f>
        <v/>
      </c>
      <c r="CA1790" t="str">
        <f>""</f>
        <v/>
      </c>
      <c r="CB1790" t="s">
        <v>131</v>
      </c>
      <c r="CF1790" t="s">
        <v>131</v>
      </c>
      <c r="CH1790" t="str">
        <f>""</f>
        <v/>
      </c>
      <c r="CI1790" t="s">
        <v>131</v>
      </c>
      <c r="CK1790" t="s">
        <v>131</v>
      </c>
      <c r="CL1790" t="str">
        <f>""</f>
        <v/>
      </c>
      <c r="CM1790" t="str">
        <f>""</f>
        <v/>
      </c>
      <c r="CN1790" t="str">
        <f>""</f>
        <v/>
      </c>
      <c r="CO1790" t="str">
        <f>""</f>
        <v/>
      </c>
      <c r="CP1790" t="str">
        <f>"15-1132.00"</f>
        <v>15-1132.00</v>
      </c>
      <c r="CQ1790" t="s">
        <v>198</v>
      </c>
      <c r="CS1790" t="s">
        <v>135</v>
      </c>
      <c r="CT1790" t="s">
        <v>3595</v>
      </c>
      <c r="CU1790" t="s">
        <v>19373</v>
      </c>
      <c r="CV1790" t="s">
        <v>3595</v>
      </c>
      <c r="CW1790" t="s">
        <v>3874</v>
      </c>
      <c r="CX1790" t="s">
        <v>1763</v>
      </c>
      <c r="CZ1790" s="3" t="str">
        <f>"70806"</f>
        <v>70806</v>
      </c>
      <c r="DA1790" t="s">
        <v>131</v>
      </c>
      <c r="DB1790" t="str">
        <f>""</f>
        <v/>
      </c>
      <c r="DF1790" t="str">
        <f>""</f>
        <v/>
      </c>
    </row>
    <row r="1791" spans="1:110" ht="15" customHeight="1" x14ac:dyDescent="0.35">
      <c r="A1791" t="s">
        <v>19358</v>
      </c>
      <c r="B1791" t="s">
        <v>138</v>
      </c>
      <c r="C1791" s="1">
        <v>44348</v>
      </c>
      <c r="G1791" s="1">
        <v>44349</v>
      </c>
      <c r="H1791" t="s">
        <v>125</v>
      </c>
      <c r="I1791" t="s">
        <v>3026</v>
      </c>
      <c r="J1791" t="s">
        <v>3027</v>
      </c>
      <c r="K1791" t="s">
        <v>19359</v>
      </c>
      <c r="L1791" t="s">
        <v>19360</v>
      </c>
      <c r="M1791" t="s">
        <v>12694</v>
      </c>
      <c r="N1791" t="s">
        <v>2511</v>
      </c>
      <c r="O1791" t="s">
        <v>523</v>
      </c>
      <c r="P1791" t="s">
        <v>178</v>
      </c>
      <c r="Q1791" s="3">
        <v>94111</v>
      </c>
      <c r="R1791" t="s">
        <v>128</v>
      </c>
      <c r="T1791" s="4">
        <v>14153996036</v>
      </c>
      <c r="V1791" t="s">
        <v>8899</v>
      </c>
      <c r="W1791" t="s">
        <v>3025</v>
      </c>
      <c r="X1791" t="s">
        <v>13743</v>
      </c>
      <c r="Y1791" t="s">
        <v>19361</v>
      </c>
      <c r="AA1791" t="s">
        <v>709</v>
      </c>
      <c r="AB1791" t="s">
        <v>172</v>
      </c>
      <c r="AC1791" s="3" t="str">
        <f>"94043"</f>
        <v>94043</v>
      </c>
      <c r="AD1791" t="s">
        <v>128</v>
      </c>
      <c r="AF1791" s="4">
        <v>16509354030</v>
      </c>
      <c r="AH1791" t="str">
        <f>"45411"</f>
        <v>45411</v>
      </c>
      <c r="AI1791" t="s">
        <v>167</v>
      </c>
      <c r="AX1791" t="s">
        <v>131</v>
      </c>
      <c r="AY1791" t="s">
        <v>131</v>
      </c>
      <c r="AZ1791" t="s">
        <v>131</v>
      </c>
      <c r="BA1791" t="s">
        <v>131</v>
      </c>
      <c r="BB1791" t="s">
        <v>131</v>
      </c>
      <c r="BC1791" t="s">
        <v>131</v>
      </c>
      <c r="BD1791" t="s">
        <v>131</v>
      </c>
      <c r="BE1791" t="s">
        <v>132</v>
      </c>
      <c r="BH1791" t="s">
        <v>542</v>
      </c>
      <c r="BI1791" t="s">
        <v>131</v>
      </c>
      <c r="BL1791" t="s">
        <v>133</v>
      </c>
      <c r="BN1791" t="s">
        <v>19362</v>
      </c>
      <c r="BO1791" t="s">
        <v>131</v>
      </c>
      <c r="BP1791" t="s">
        <v>134</v>
      </c>
      <c r="BQ1791" t="s">
        <v>131</v>
      </c>
      <c r="BS1791" t="str">
        <f t="shared" si="106"/>
        <v>N/A</v>
      </c>
      <c r="BT1791" t="s">
        <v>131</v>
      </c>
      <c r="BV1791" t="str">
        <f>""</f>
        <v/>
      </c>
      <c r="BW1791" t="s">
        <v>131</v>
      </c>
      <c r="BX1791" t="str">
        <f>""</f>
        <v/>
      </c>
      <c r="BY1791" t="str">
        <f>""</f>
        <v/>
      </c>
      <c r="BZ1791" t="str">
        <f>""</f>
        <v/>
      </c>
      <c r="CA1791" t="str">
        <f>""</f>
        <v/>
      </c>
      <c r="CB1791" t="s">
        <v>131</v>
      </c>
      <c r="CF1791" t="s">
        <v>131</v>
      </c>
      <c r="CH1791" t="str">
        <f>""</f>
        <v/>
      </c>
      <c r="CI1791" t="s">
        <v>131</v>
      </c>
      <c r="CK1791" t="s">
        <v>131</v>
      </c>
      <c r="CL1791" t="str">
        <f>""</f>
        <v/>
      </c>
      <c r="CM1791" t="str">
        <f>""</f>
        <v/>
      </c>
      <c r="CN1791" t="str">
        <f>""</f>
        <v/>
      </c>
      <c r="CO1791" t="str">
        <f>""</f>
        <v/>
      </c>
      <c r="CP1791" t="str">
        <f>"15-1133.00"</f>
        <v>15-1133.00</v>
      </c>
      <c r="CQ1791" t="s">
        <v>648</v>
      </c>
      <c r="CS1791" t="s">
        <v>131</v>
      </c>
      <c r="CU1791" t="s">
        <v>15741</v>
      </c>
      <c r="CW1791" t="s">
        <v>371</v>
      </c>
      <c r="CX1791" t="s">
        <v>149</v>
      </c>
      <c r="CZ1791" s="3" t="str">
        <f>"98101"</f>
        <v>98101</v>
      </c>
      <c r="DA1791" t="s">
        <v>131</v>
      </c>
      <c r="DB1791" t="str">
        <f>""</f>
        <v/>
      </c>
      <c r="DF1791" t="str">
        <f>""</f>
        <v/>
      </c>
    </row>
    <row r="1792" spans="1:110" ht="15" customHeight="1" x14ac:dyDescent="0.35">
      <c r="A1792" t="s">
        <v>18706</v>
      </c>
      <c r="B1792" t="s">
        <v>138</v>
      </c>
      <c r="C1792" s="1">
        <v>44349</v>
      </c>
      <c r="G1792" s="1">
        <v>44377</v>
      </c>
      <c r="H1792" t="s">
        <v>125</v>
      </c>
      <c r="I1792" t="s">
        <v>139</v>
      </c>
      <c r="J1792" t="s">
        <v>140</v>
      </c>
      <c r="L1792" t="s">
        <v>2788</v>
      </c>
      <c r="M1792" t="s">
        <v>142</v>
      </c>
      <c r="O1792" t="s">
        <v>143</v>
      </c>
      <c r="P1792" t="s">
        <v>144</v>
      </c>
      <c r="Q1792" s="3">
        <v>98052</v>
      </c>
      <c r="R1792" t="s">
        <v>128</v>
      </c>
      <c r="T1792" s="4">
        <v>14258828080</v>
      </c>
      <c r="V1792" t="s">
        <v>145</v>
      </c>
      <c r="W1792" t="s">
        <v>146</v>
      </c>
      <c r="Y1792" t="s">
        <v>147</v>
      </c>
      <c r="AA1792" t="s">
        <v>143</v>
      </c>
      <c r="AB1792" t="s">
        <v>149</v>
      </c>
      <c r="AC1792" s="3" t="str">
        <f>"98052"</f>
        <v>98052</v>
      </c>
      <c r="AD1792" t="s">
        <v>128</v>
      </c>
      <c r="AF1792" s="4">
        <v>14257067916</v>
      </c>
      <c r="AH1792" t="str">
        <f>"51121"</f>
        <v>51121</v>
      </c>
      <c r="AI1792" t="s">
        <v>130</v>
      </c>
      <c r="AJ1792" t="s">
        <v>5223</v>
      </c>
      <c r="AK1792" t="s">
        <v>1454</v>
      </c>
      <c r="AL1792" t="s">
        <v>415</v>
      </c>
      <c r="AM1792" t="s">
        <v>2789</v>
      </c>
      <c r="AN1792" t="s">
        <v>2790</v>
      </c>
      <c r="AO1792" t="s">
        <v>476</v>
      </c>
      <c r="AP1792" t="s">
        <v>172</v>
      </c>
      <c r="AQ1792" s="5">
        <v>90013</v>
      </c>
      <c r="AR1792" t="s">
        <v>128</v>
      </c>
      <c r="AT1792" s="4">
        <v>12136247500</v>
      </c>
      <c r="AV1792" t="s">
        <v>2791</v>
      </c>
      <c r="AW1792" t="s">
        <v>2774</v>
      </c>
      <c r="AX1792" t="s">
        <v>131</v>
      </c>
      <c r="AY1792" t="s">
        <v>131</v>
      </c>
      <c r="AZ1792" t="s">
        <v>131</v>
      </c>
      <c r="BA1792" t="s">
        <v>131</v>
      </c>
      <c r="BB1792" t="s">
        <v>131</v>
      </c>
      <c r="BC1792" t="s">
        <v>131</v>
      </c>
      <c r="BD1792" t="s">
        <v>131</v>
      </c>
      <c r="BE1792" t="s">
        <v>132</v>
      </c>
      <c r="BH1792" t="s">
        <v>1589</v>
      </c>
      <c r="BI1792" t="s">
        <v>131</v>
      </c>
      <c r="BL1792" t="s">
        <v>188</v>
      </c>
      <c r="BN1792" t="s">
        <v>3132</v>
      </c>
      <c r="BO1792" t="s">
        <v>131</v>
      </c>
      <c r="BP1792" t="s">
        <v>134</v>
      </c>
      <c r="BQ1792" t="s">
        <v>131</v>
      </c>
      <c r="BS1792" t="str">
        <f t="shared" si="106"/>
        <v>N/A</v>
      </c>
      <c r="BT1792" t="s">
        <v>135</v>
      </c>
      <c r="BU1792">
        <v>36</v>
      </c>
      <c r="BV1792" t="str">
        <f>"See E.A.5."</f>
        <v>See E.A.5.</v>
      </c>
      <c r="BW1792" t="s">
        <v>135</v>
      </c>
      <c r="BX1792" t="str">
        <f>""</f>
        <v/>
      </c>
      <c r="BY1792" t="str">
        <f>""</f>
        <v/>
      </c>
      <c r="BZ1792" t="str">
        <f>""</f>
        <v/>
      </c>
      <c r="CA1792" t="s">
        <v>11702</v>
      </c>
      <c r="CB1792" t="s">
        <v>131</v>
      </c>
      <c r="CF1792" t="s">
        <v>131</v>
      </c>
      <c r="CH1792" t="str">
        <f>""</f>
        <v/>
      </c>
      <c r="CI1792" t="s">
        <v>131</v>
      </c>
      <c r="CK1792" t="s">
        <v>131</v>
      </c>
      <c r="CL1792" t="str">
        <f>""</f>
        <v/>
      </c>
      <c r="CM1792" t="str">
        <f>""</f>
        <v/>
      </c>
      <c r="CN1792" t="str">
        <f>""</f>
        <v/>
      </c>
      <c r="CO1792" t="str">
        <f>""</f>
        <v/>
      </c>
      <c r="CP1792" t="str">
        <f>"15-1199.09"</f>
        <v>15-1199.09</v>
      </c>
      <c r="CQ1792" t="s">
        <v>697</v>
      </c>
      <c r="CR1792" t="s">
        <v>7023</v>
      </c>
      <c r="CS1792" t="s">
        <v>131</v>
      </c>
      <c r="CU1792" t="s">
        <v>142</v>
      </c>
      <c r="CW1792" t="s">
        <v>143</v>
      </c>
      <c r="CX1792" t="s">
        <v>149</v>
      </c>
      <c r="CZ1792" s="3" t="str">
        <f>"98052"</f>
        <v>98052</v>
      </c>
      <c r="DA1792" t="s">
        <v>131</v>
      </c>
      <c r="DB1792" t="str">
        <f>""</f>
        <v/>
      </c>
      <c r="DF1792" t="str">
        <f>""</f>
        <v/>
      </c>
    </row>
    <row r="1793" spans="1:110" ht="15" customHeight="1" x14ac:dyDescent="0.35">
      <c r="A1793" t="s">
        <v>3129</v>
      </c>
      <c r="B1793" t="s">
        <v>138</v>
      </c>
      <c r="C1793" s="1">
        <v>44349</v>
      </c>
      <c r="G1793" s="1">
        <v>44377</v>
      </c>
      <c r="H1793" t="s">
        <v>125</v>
      </c>
      <c r="I1793" t="s">
        <v>139</v>
      </c>
      <c r="J1793" t="s">
        <v>140</v>
      </c>
      <c r="L1793" t="s">
        <v>2788</v>
      </c>
      <c r="M1793" t="s">
        <v>142</v>
      </c>
      <c r="O1793" t="s">
        <v>143</v>
      </c>
      <c r="P1793" t="s">
        <v>144</v>
      </c>
      <c r="Q1793" s="3">
        <v>98052</v>
      </c>
      <c r="R1793" t="s">
        <v>128</v>
      </c>
      <c r="T1793" s="4">
        <v>14258828080</v>
      </c>
      <c r="V1793" t="s">
        <v>145</v>
      </c>
      <c r="W1793" t="s">
        <v>146</v>
      </c>
      <c r="Y1793" t="s">
        <v>147</v>
      </c>
      <c r="AA1793" t="s">
        <v>143</v>
      </c>
      <c r="AB1793" t="s">
        <v>149</v>
      </c>
      <c r="AC1793" s="3" t="str">
        <f>"98052"</f>
        <v>98052</v>
      </c>
      <c r="AD1793" t="s">
        <v>128</v>
      </c>
      <c r="AF1793" s="4">
        <v>14257067916</v>
      </c>
      <c r="AH1793" t="str">
        <f>"51121"</f>
        <v>51121</v>
      </c>
      <c r="AI1793" t="s">
        <v>130</v>
      </c>
      <c r="AJ1793" t="s">
        <v>901</v>
      </c>
      <c r="AK1793" t="s">
        <v>2124</v>
      </c>
      <c r="AL1793" t="s">
        <v>3130</v>
      </c>
      <c r="AM1793" t="s">
        <v>2789</v>
      </c>
      <c r="AN1793" t="s">
        <v>2790</v>
      </c>
      <c r="AO1793" t="s">
        <v>476</v>
      </c>
      <c r="AP1793" t="s">
        <v>172</v>
      </c>
      <c r="AQ1793" s="5">
        <v>90013</v>
      </c>
      <c r="AR1793" t="s">
        <v>128</v>
      </c>
      <c r="AT1793" s="4">
        <v>12136247500</v>
      </c>
      <c r="AV1793" t="s">
        <v>2791</v>
      </c>
      <c r="AW1793" t="s">
        <v>2774</v>
      </c>
      <c r="AX1793" t="s">
        <v>131</v>
      </c>
      <c r="AY1793" t="s">
        <v>131</v>
      </c>
      <c r="AZ1793" t="s">
        <v>131</v>
      </c>
      <c r="BA1793" t="s">
        <v>131</v>
      </c>
      <c r="BB1793" t="s">
        <v>131</v>
      </c>
      <c r="BC1793" t="s">
        <v>131</v>
      </c>
      <c r="BD1793" t="s">
        <v>131</v>
      </c>
      <c r="BE1793" t="s">
        <v>132</v>
      </c>
      <c r="BH1793" t="s">
        <v>3131</v>
      </c>
      <c r="BI1793" t="s">
        <v>131</v>
      </c>
      <c r="BL1793" t="s">
        <v>188</v>
      </c>
      <c r="BN1793" t="s">
        <v>3132</v>
      </c>
      <c r="BO1793" t="s">
        <v>131</v>
      </c>
      <c r="BP1793" t="s">
        <v>134</v>
      </c>
      <c r="BQ1793" t="s">
        <v>131</v>
      </c>
      <c r="BS1793" t="str">
        <f t="shared" si="106"/>
        <v>N/A</v>
      </c>
      <c r="BT1793" t="s">
        <v>135</v>
      </c>
      <c r="BU1793">
        <v>24</v>
      </c>
      <c r="BV1793" t="str">
        <f>"See E.A.5."</f>
        <v>See E.A.5.</v>
      </c>
      <c r="BW1793" t="s">
        <v>135</v>
      </c>
      <c r="BX1793" t="str">
        <f>""</f>
        <v/>
      </c>
      <c r="BY1793" t="str">
        <f>""</f>
        <v/>
      </c>
      <c r="BZ1793" t="str">
        <f>""</f>
        <v/>
      </c>
      <c r="CA1793" t="s">
        <v>3133</v>
      </c>
      <c r="CB1793" t="s">
        <v>131</v>
      </c>
      <c r="CF1793" t="s">
        <v>131</v>
      </c>
      <c r="CH1793" t="str">
        <f>""</f>
        <v/>
      </c>
      <c r="CI1793" t="s">
        <v>131</v>
      </c>
      <c r="CK1793" t="s">
        <v>131</v>
      </c>
      <c r="CL1793" t="str">
        <f>""</f>
        <v/>
      </c>
      <c r="CM1793" t="str">
        <f>""</f>
        <v/>
      </c>
      <c r="CN1793" t="str">
        <f>""</f>
        <v/>
      </c>
      <c r="CO1793" t="str">
        <f>""</f>
        <v/>
      </c>
      <c r="CP1793" t="str">
        <f>"15-2041.00"</f>
        <v>15-2041.00</v>
      </c>
      <c r="CQ1793" t="s">
        <v>379</v>
      </c>
      <c r="CR1793" t="s">
        <v>3134</v>
      </c>
      <c r="CS1793" t="s">
        <v>131</v>
      </c>
      <c r="CU1793" t="s">
        <v>142</v>
      </c>
      <c r="CW1793" t="s">
        <v>143</v>
      </c>
      <c r="CX1793" t="s">
        <v>149</v>
      </c>
      <c r="CZ1793" s="3" t="str">
        <f>"98052"</f>
        <v>98052</v>
      </c>
      <c r="DA1793" t="s">
        <v>131</v>
      </c>
      <c r="DB1793" t="str">
        <f>""</f>
        <v/>
      </c>
      <c r="DF1793" t="str">
        <f>""</f>
        <v/>
      </c>
    </row>
    <row r="1794" spans="1:110" ht="15" customHeight="1" x14ac:dyDescent="0.35">
      <c r="A1794" t="s">
        <v>15950</v>
      </c>
      <c r="B1794" t="s">
        <v>138</v>
      </c>
      <c r="C1794" s="1">
        <v>44349</v>
      </c>
      <c r="G1794" s="1">
        <v>44350</v>
      </c>
      <c r="H1794" t="s">
        <v>125</v>
      </c>
      <c r="I1794" t="s">
        <v>4532</v>
      </c>
      <c r="J1794" t="s">
        <v>4533</v>
      </c>
      <c r="L1794" t="s">
        <v>4534</v>
      </c>
      <c r="M1794" t="s">
        <v>1347</v>
      </c>
      <c r="O1794" t="s">
        <v>1348</v>
      </c>
      <c r="P1794" t="s">
        <v>539</v>
      </c>
      <c r="Q1794" s="3">
        <v>60015</v>
      </c>
      <c r="R1794" t="s">
        <v>128</v>
      </c>
      <c r="T1794" s="4">
        <v>12244053726</v>
      </c>
      <c r="V1794" t="s">
        <v>4535</v>
      </c>
      <c r="W1794" t="s">
        <v>1350</v>
      </c>
      <c r="Y1794" t="s">
        <v>1351</v>
      </c>
      <c r="AA1794" t="s">
        <v>1348</v>
      </c>
      <c r="AB1794" t="s">
        <v>263</v>
      </c>
      <c r="AC1794" s="3" t="str">
        <f>"60015"</f>
        <v>60015</v>
      </c>
      <c r="AD1794" t="s">
        <v>128</v>
      </c>
      <c r="AF1794" s="4">
        <v>12244053726</v>
      </c>
      <c r="AG1794">
        <v>0</v>
      </c>
      <c r="AH1794" t="str">
        <f>"522210"</f>
        <v>522210</v>
      </c>
      <c r="AI1794" t="s">
        <v>130</v>
      </c>
      <c r="AJ1794" t="s">
        <v>1352</v>
      </c>
      <c r="AK1794" t="s">
        <v>260</v>
      </c>
      <c r="AM1794" t="s">
        <v>493</v>
      </c>
      <c r="AO1794" t="s">
        <v>494</v>
      </c>
      <c r="AP1794" t="s">
        <v>129</v>
      </c>
      <c r="AQ1794" s="5">
        <v>10018</v>
      </c>
      <c r="AR1794" t="s">
        <v>128</v>
      </c>
      <c r="AT1794" s="4">
        <v>12126888555</v>
      </c>
      <c r="AV1794" t="s">
        <v>1353</v>
      </c>
      <c r="AW1794" t="s">
        <v>386</v>
      </c>
      <c r="AX1794" t="s">
        <v>131</v>
      </c>
      <c r="AY1794" t="s">
        <v>131</v>
      </c>
      <c r="AZ1794" t="s">
        <v>131</v>
      </c>
      <c r="BA1794" t="s">
        <v>131</v>
      </c>
      <c r="BB1794" t="s">
        <v>131</v>
      </c>
      <c r="BC1794" t="s">
        <v>131</v>
      </c>
      <c r="BD1794" t="s">
        <v>131</v>
      </c>
      <c r="BE1794" t="s">
        <v>160</v>
      </c>
      <c r="BF1794" t="s">
        <v>11393</v>
      </c>
      <c r="BG1794" s="1">
        <v>44044</v>
      </c>
      <c r="BH1794" t="s">
        <v>1354</v>
      </c>
      <c r="BI1794" t="s">
        <v>131</v>
      </c>
      <c r="BL1794" t="s">
        <v>133</v>
      </c>
      <c r="BN1794" t="s">
        <v>15951</v>
      </c>
      <c r="BO1794" t="s">
        <v>131</v>
      </c>
      <c r="BP1794" t="s">
        <v>134</v>
      </c>
      <c r="BQ1794" t="s">
        <v>131</v>
      </c>
      <c r="BS1794" t="str">
        <f t="shared" si="106"/>
        <v>N/A</v>
      </c>
      <c r="BT1794" t="s">
        <v>135</v>
      </c>
      <c r="BU1794">
        <v>48</v>
      </c>
      <c r="BV1794" t="str">
        <f>"Market Research Analyst or related."</f>
        <v>Market Research Analyst or related.</v>
      </c>
      <c r="BW1794" t="s">
        <v>135</v>
      </c>
      <c r="BX1794" t="str">
        <f>""</f>
        <v/>
      </c>
      <c r="BY1794" t="str">
        <f>""</f>
        <v/>
      </c>
      <c r="BZ1794" t="str">
        <f>""</f>
        <v/>
      </c>
      <c r="CA1794" t="s">
        <v>11394</v>
      </c>
      <c r="CB1794" t="s">
        <v>135</v>
      </c>
      <c r="CC1794" t="s">
        <v>188</v>
      </c>
      <c r="CE1794" t="s">
        <v>15951</v>
      </c>
      <c r="CF1794" t="s">
        <v>131</v>
      </c>
      <c r="CH1794" t="str">
        <f>"N/A"</f>
        <v>N/A</v>
      </c>
      <c r="CI1794" t="s">
        <v>135</v>
      </c>
      <c r="CJ1794">
        <v>24</v>
      </c>
      <c r="CK1794" t="s">
        <v>135</v>
      </c>
      <c r="CL1794" t="str">
        <f>""</f>
        <v/>
      </c>
      <c r="CM1794" t="str">
        <f>""</f>
        <v/>
      </c>
      <c r="CN1794" t="str">
        <f>""</f>
        <v/>
      </c>
      <c r="CO1794" t="s">
        <v>11394</v>
      </c>
      <c r="CP1794" t="str">
        <f>"15-2041.00"</f>
        <v>15-2041.00</v>
      </c>
      <c r="CQ1794" t="s">
        <v>379</v>
      </c>
      <c r="CR1794" t="s">
        <v>11395</v>
      </c>
      <c r="CS1794" t="s">
        <v>131</v>
      </c>
      <c r="CU1794" t="s">
        <v>1347</v>
      </c>
      <c r="CW1794" t="s">
        <v>1348</v>
      </c>
      <c r="CX1794" t="s">
        <v>263</v>
      </c>
      <c r="CZ1794" s="3" t="str">
        <f>"60015"</f>
        <v>60015</v>
      </c>
      <c r="DA1794" t="s">
        <v>131</v>
      </c>
      <c r="DB1794" t="str">
        <f>""</f>
        <v/>
      </c>
      <c r="DF1794" t="str">
        <f>""</f>
        <v/>
      </c>
    </row>
    <row r="1795" spans="1:110" ht="15" customHeight="1" x14ac:dyDescent="0.35">
      <c r="A1795" t="s">
        <v>17270</v>
      </c>
      <c r="B1795" t="s">
        <v>138</v>
      </c>
      <c r="C1795" s="1">
        <v>44349</v>
      </c>
      <c r="G1795" s="1">
        <v>44350</v>
      </c>
      <c r="H1795" t="s">
        <v>125</v>
      </c>
      <c r="I1795" t="s">
        <v>4532</v>
      </c>
      <c r="J1795" t="s">
        <v>4533</v>
      </c>
      <c r="L1795" t="s">
        <v>4534</v>
      </c>
      <c r="M1795" t="s">
        <v>1347</v>
      </c>
      <c r="O1795" t="s">
        <v>1348</v>
      </c>
      <c r="P1795" t="s">
        <v>539</v>
      </c>
      <c r="Q1795" s="3">
        <v>60015</v>
      </c>
      <c r="R1795" t="s">
        <v>128</v>
      </c>
      <c r="T1795" s="4">
        <v>12244053726</v>
      </c>
      <c r="V1795" t="s">
        <v>4535</v>
      </c>
      <c r="W1795" t="s">
        <v>1350</v>
      </c>
      <c r="Y1795" t="s">
        <v>1351</v>
      </c>
      <c r="AA1795" t="s">
        <v>1348</v>
      </c>
      <c r="AB1795" t="s">
        <v>263</v>
      </c>
      <c r="AC1795" s="3" t="str">
        <f>"60015"</f>
        <v>60015</v>
      </c>
      <c r="AD1795" t="s">
        <v>128</v>
      </c>
      <c r="AF1795" s="4">
        <v>12244053726</v>
      </c>
      <c r="AG1795">
        <v>0</v>
      </c>
      <c r="AH1795" t="str">
        <f>"522210"</f>
        <v>522210</v>
      </c>
      <c r="AI1795" t="s">
        <v>130</v>
      </c>
      <c r="AJ1795" t="s">
        <v>1352</v>
      </c>
      <c r="AK1795" t="s">
        <v>260</v>
      </c>
      <c r="AM1795" t="s">
        <v>493</v>
      </c>
      <c r="AO1795" t="s">
        <v>494</v>
      </c>
      <c r="AP1795" t="s">
        <v>129</v>
      </c>
      <c r="AQ1795" s="5">
        <v>10018</v>
      </c>
      <c r="AR1795" t="s">
        <v>128</v>
      </c>
      <c r="AT1795" s="4">
        <v>12126888555</v>
      </c>
      <c r="AV1795" t="s">
        <v>1353</v>
      </c>
      <c r="AW1795" t="s">
        <v>386</v>
      </c>
      <c r="AX1795" t="s">
        <v>131</v>
      </c>
      <c r="AY1795" t="s">
        <v>131</v>
      </c>
      <c r="AZ1795" t="s">
        <v>131</v>
      </c>
      <c r="BA1795" t="s">
        <v>131</v>
      </c>
      <c r="BB1795" t="s">
        <v>131</v>
      </c>
      <c r="BC1795" t="s">
        <v>131</v>
      </c>
      <c r="BD1795" t="s">
        <v>131</v>
      </c>
      <c r="BE1795" t="s">
        <v>160</v>
      </c>
      <c r="BF1795" t="s">
        <v>11393</v>
      </c>
      <c r="BG1795" s="1">
        <v>44044</v>
      </c>
      <c r="BH1795" t="s">
        <v>1354</v>
      </c>
      <c r="BI1795" t="s">
        <v>131</v>
      </c>
      <c r="BL1795" t="s">
        <v>133</v>
      </c>
      <c r="BN1795" t="s">
        <v>15951</v>
      </c>
      <c r="BO1795" t="s">
        <v>131</v>
      </c>
      <c r="BP1795" t="s">
        <v>134</v>
      </c>
      <c r="BQ1795" t="s">
        <v>131</v>
      </c>
      <c r="BS1795" t="str">
        <f t="shared" si="106"/>
        <v>N/A</v>
      </c>
      <c r="BT1795" t="s">
        <v>135</v>
      </c>
      <c r="BU1795">
        <v>48</v>
      </c>
      <c r="BV1795" t="str">
        <f>"Market Research Analyst or related."</f>
        <v>Market Research Analyst or related.</v>
      </c>
      <c r="BW1795" t="s">
        <v>135</v>
      </c>
      <c r="BX1795" t="str">
        <f>""</f>
        <v/>
      </c>
      <c r="BY1795" t="str">
        <f>""</f>
        <v/>
      </c>
      <c r="BZ1795" t="str">
        <f>""</f>
        <v/>
      </c>
      <c r="CA1795" t="s">
        <v>11394</v>
      </c>
      <c r="CB1795" t="s">
        <v>135</v>
      </c>
      <c r="CC1795" t="s">
        <v>188</v>
      </c>
      <c r="CE1795" t="s">
        <v>15951</v>
      </c>
      <c r="CF1795" t="s">
        <v>131</v>
      </c>
      <c r="CH1795" t="str">
        <f>"N/A"</f>
        <v>N/A</v>
      </c>
      <c r="CI1795" t="s">
        <v>135</v>
      </c>
      <c r="CJ1795">
        <v>24</v>
      </c>
      <c r="CK1795" t="s">
        <v>135</v>
      </c>
      <c r="CL1795" t="str">
        <f>""</f>
        <v/>
      </c>
      <c r="CM1795" t="str">
        <f>""</f>
        <v/>
      </c>
      <c r="CN1795" t="str">
        <f>""</f>
        <v/>
      </c>
      <c r="CO1795" t="s">
        <v>11394</v>
      </c>
      <c r="CP1795" t="str">
        <f>"15-2041.00"</f>
        <v>15-2041.00</v>
      </c>
      <c r="CQ1795" t="s">
        <v>379</v>
      </c>
      <c r="CR1795" t="s">
        <v>11395</v>
      </c>
      <c r="CS1795" t="s">
        <v>131</v>
      </c>
      <c r="CU1795" t="s">
        <v>1347</v>
      </c>
      <c r="CW1795" t="s">
        <v>1348</v>
      </c>
      <c r="CX1795" t="s">
        <v>263</v>
      </c>
      <c r="CZ1795" s="3" t="str">
        <f>"60015"</f>
        <v>60015</v>
      </c>
      <c r="DA1795" t="s">
        <v>131</v>
      </c>
      <c r="DB1795" t="str">
        <f>""</f>
        <v/>
      </c>
      <c r="DF1795" t="str">
        <f>""</f>
        <v/>
      </c>
    </row>
    <row r="1796" spans="1:110" ht="15" customHeight="1" x14ac:dyDescent="0.35">
      <c r="A1796" t="s">
        <v>18608</v>
      </c>
      <c r="B1796" t="s">
        <v>138</v>
      </c>
      <c r="C1796" s="1">
        <v>44349</v>
      </c>
      <c r="G1796" s="1">
        <v>44350</v>
      </c>
      <c r="H1796" t="s">
        <v>125</v>
      </c>
      <c r="I1796" t="s">
        <v>4532</v>
      </c>
      <c r="J1796" t="s">
        <v>4533</v>
      </c>
      <c r="L1796" t="s">
        <v>4534</v>
      </c>
      <c r="M1796" t="s">
        <v>1347</v>
      </c>
      <c r="O1796" t="s">
        <v>1348</v>
      </c>
      <c r="P1796" t="s">
        <v>539</v>
      </c>
      <c r="Q1796" s="3">
        <v>60015</v>
      </c>
      <c r="R1796" t="s">
        <v>128</v>
      </c>
      <c r="T1796" s="4">
        <v>12244053726</v>
      </c>
      <c r="V1796" t="s">
        <v>4535</v>
      </c>
      <c r="W1796" t="s">
        <v>1350</v>
      </c>
      <c r="Y1796" t="s">
        <v>1351</v>
      </c>
      <c r="AA1796" t="s">
        <v>1348</v>
      </c>
      <c r="AB1796" t="s">
        <v>263</v>
      </c>
      <c r="AC1796" s="3" t="str">
        <f>"60015"</f>
        <v>60015</v>
      </c>
      <c r="AD1796" t="s">
        <v>128</v>
      </c>
      <c r="AF1796" s="4">
        <v>12244053726</v>
      </c>
      <c r="AG1796">
        <v>0</v>
      </c>
      <c r="AH1796" t="str">
        <f>"522210"</f>
        <v>522210</v>
      </c>
      <c r="AI1796" t="s">
        <v>130</v>
      </c>
      <c r="AJ1796" t="s">
        <v>1352</v>
      </c>
      <c r="AK1796" t="s">
        <v>260</v>
      </c>
      <c r="AM1796" t="s">
        <v>493</v>
      </c>
      <c r="AO1796" t="s">
        <v>494</v>
      </c>
      <c r="AP1796" t="s">
        <v>129</v>
      </c>
      <c r="AQ1796" s="5">
        <v>10018</v>
      </c>
      <c r="AR1796" t="s">
        <v>128</v>
      </c>
      <c r="AT1796" s="4">
        <v>12126888555</v>
      </c>
      <c r="AV1796" t="s">
        <v>1353</v>
      </c>
      <c r="AW1796" t="s">
        <v>386</v>
      </c>
      <c r="AX1796" t="s">
        <v>131</v>
      </c>
      <c r="AY1796" t="s">
        <v>131</v>
      </c>
      <c r="AZ1796" t="s">
        <v>131</v>
      </c>
      <c r="BA1796" t="s">
        <v>131</v>
      </c>
      <c r="BB1796" t="s">
        <v>131</v>
      </c>
      <c r="BC1796" t="s">
        <v>131</v>
      </c>
      <c r="BD1796" t="s">
        <v>131</v>
      </c>
      <c r="BE1796" t="s">
        <v>160</v>
      </c>
      <c r="BF1796" t="s">
        <v>11393</v>
      </c>
      <c r="BG1796" s="1">
        <v>44044</v>
      </c>
      <c r="BH1796" t="s">
        <v>1354</v>
      </c>
      <c r="BI1796" t="s">
        <v>131</v>
      </c>
      <c r="BL1796" t="s">
        <v>133</v>
      </c>
      <c r="BN1796" t="s">
        <v>18609</v>
      </c>
      <c r="BO1796" t="s">
        <v>131</v>
      </c>
      <c r="BP1796" t="s">
        <v>134</v>
      </c>
      <c r="BQ1796" t="s">
        <v>131</v>
      </c>
      <c r="BS1796" t="str">
        <f t="shared" si="106"/>
        <v>N/A</v>
      </c>
      <c r="BT1796" t="s">
        <v>135</v>
      </c>
      <c r="BU1796">
        <v>48</v>
      </c>
      <c r="BV1796" t="str">
        <f>"Lead Data Analyst; Senior Data Analyst; Data Scientist; Associate, Data Scientist or related."</f>
        <v>Lead Data Analyst; Senior Data Analyst; Data Scientist; Associate, Data Scientist or related.</v>
      </c>
      <c r="BW1796" t="s">
        <v>135</v>
      </c>
      <c r="BX1796" t="str">
        <f>""</f>
        <v/>
      </c>
      <c r="BY1796" t="str">
        <f>""</f>
        <v/>
      </c>
      <c r="BZ1796" t="str">
        <f>""</f>
        <v/>
      </c>
      <c r="CA1796" t="s">
        <v>17413</v>
      </c>
      <c r="CB1796" t="s">
        <v>135</v>
      </c>
      <c r="CC1796" t="s">
        <v>188</v>
      </c>
      <c r="CE1796" t="s">
        <v>18610</v>
      </c>
      <c r="CF1796" t="s">
        <v>131</v>
      </c>
      <c r="CH1796" t="str">
        <f>"N/A"</f>
        <v>N/A</v>
      </c>
      <c r="CI1796" t="s">
        <v>135</v>
      </c>
      <c r="CJ1796">
        <v>24</v>
      </c>
      <c r="CK1796" t="s">
        <v>135</v>
      </c>
      <c r="CL1796" t="str">
        <f>""</f>
        <v/>
      </c>
      <c r="CM1796" t="str">
        <f>""</f>
        <v/>
      </c>
      <c r="CN1796" t="str">
        <f>""</f>
        <v/>
      </c>
      <c r="CO1796" t="s">
        <v>17413</v>
      </c>
      <c r="CP1796" t="str">
        <f>"15-2041.00"</f>
        <v>15-2041.00</v>
      </c>
      <c r="CQ1796" t="s">
        <v>379</v>
      </c>
      <c r="CR1796" t="s">
        <v>8304</v>
      </c>
      <c r="CS1796" t="s">
        <v>131</v>
      </c>
      <c r="CU1796" t="s">
        <v>17414</v>
      </c>
      <c r="CW1796" t="s">
        <v>807</v>
      </c>
      <c r="CX1796" t="s">
        <v>808</v>
      </c>
      <c r="CZ1796" s="3" t="str">
        <f>"85027"</f>
        <v>85027</v>
      </c>
      <c r="DA1796" t="s">
        <v>131</v>
      </c>
      <c r="DB1796" t="str">
        <f>""</f>
        <v/>
      </c>
      <c r="DF1796" t="str">
        <f>""</f>
        <v/>
      </c>
    </row>
    <row r="1797" spans="1:110" ht="15" customHeight="1" x14ac:dyDescent="0.35">
      <c r="A1797" t="s">
        <v>12427</v>
      </c>
      <c r="B1797" t="s">
        <v>138</v>
      </c>
      <c r="C1797" s="1">
        <v>44349</v>
      </c>
      <c r="G1797" s="1">
        <v>44349</v>
      </c>
      <c r="H1797" t="s">
        <v>125</v>
      </c>
      <c r="I1797" t="s">
        <v>5679</v>
      </c>
      <c r="J1797" t="s">
        <v>5680</v>
      </c>
      <c r="L1797" t="s">
        <v>5681</v>
      </c>
      <c r="M1797" t="s">
        <v>12428</v>
      </c>
      <c r="N1797" t="s">
        <v>5520</v>
      </c>
      <c r="O1797" t="s">
        <v>5684</v>
      </c>
      <c r="P1797" t="s">
        <v>720</v>
      </c>
      <c r="Q1797" s="3">
        <v>1923</v>
      </c>
      <c r="R1797" t="s">
        <v>128</v>
      </c>
      <c r="T1797" s="4">
        <v>19785367400</v>
      </c>
      <c r="V1797" t="s">
        <v>5685</v>
      </c>
      <c r="W1797" t="s">
        <v>5686</v>
      </c>
      <c r="Y1797" t="s">
        <v>5687</v>
      </c>
      <c r="Z1797" t="s">
        <v>5520</v>
      </c>
      <c r="AA1797" t="s">
        <v>5688</v>
      </c>
      <c r="AB1797" t="s">
        <v>377</v>
      </c>
      <c r="AC1797" s="3" t="str">
        <f>"01923"</f>
        <v>01923</v>
      </c>
      <c r="AD1797" t="s">
        <v>128</v>
      </c>
      <c r="AF1797" s="4">
        <v>19785367400</v>
      </c>
      <c r="AH1797" t="str">
        <f>"621"</f>
        <v>621</v>
      </c>
      <c r="AI1797" t="s">
        <v>130</v>
      </c>
      <c r="AJ1797" t="s">
        <v>1688</v>
      </c>
      <c r="AK1797" t="s">
        <v>3299</v>
      </c>
      <c r="AL1797" t="s">
        <v>3300</v>
      </c>
      <c r="AM1797" t="s">
        <v>3301</v>
      </c>
      <c r="AN1797" t="s">
        <v>2377</v>
      </c>
      <c r="AO1797" t="s">
        <v>642</v>
      </c>
      <c r="AP1797" t="s">
        <v>643</v>
      </c>
      <c r="AQ1797" s="5">
        <v>30339</v>
      </c>
      <c r="AR1797" t="s">
        <v>128</v>
      </c>
      <c r="AT1797" s="4">
        <v>14043482829</v>
      </c>
      <c r="AV1797" t="s">
        <v>3302</v>
      </c>
      <c r="AW1797" t="s">
        <v>3303</v>
      </c>
      <c r="AX1797" t="s">
        <v>131</v>
      </c>
      <c r="AY1797" t="s">
        <v>131</v>
      </c>
      <c r="AZ1797" t="s">
        <v>131</v>
      </c>
      <c r="BA1797" t="s">
        <v>131</v>
      </c>
      <c r="BB1797" t="s">
        <v>131</v>
      </c>
      <c r="BC1797" t="s">
        <v>131</v>
      </c>
      <c r="BD1797" t="s">
        <v>131</v>
      </c>
      <c r="BE1797" t="s">
        <v>132</v>
      </c>
      <c r="BH1797" t="s">
        <v>5689</v>
      </c>
      <c r="BI1797" t="s">
        <v>131</v>
      </c>
      <c r="BL1797" t="s">
        <v>188</v>
      </c>
      <c r="BN1797" t="s">
        <v>5690</v>
      </c>
      <c r="BO1797" t="s">
        <v>131</v>
      </c>
      <c r="BP1797" t="s">
        <v>134</v>
      </c>
      <c r="BQ1797" t="s">
        <v>131</v>
      </c>
      <c r="BS1797" t="str">
        <f t="shared" si="106"/>
        <v>N/A</v>
      </c>
      <c r="BT1797" t="s">
        <v>135</v>
      </c>
      <c r="BU1797">
        <v>12</v>
      </c>
      <c r="BV1797" t="str">
        <f>"Job-related experience (any title)."</f>
        <v>Job-related experience (any title).</v>
      </c>
      <c r="BW1797" t="s">
        <v>135</v>
      </c>
      <c r="BX1797" t="str">
        <f>""</f>
        <v/>
      </c>
      <c r="BY1797" t="str">
        <f>""</f>
        <v/>
      </c>
      <c r="BZ1797" t="str">
        <f>""</f>
        <v/>
      </c>
      <c r="CA1797" t="str">
        <f>"Experience to include working with Nerve Stimulator-Mapper-Locator, Oxygen analyser, Radio Frequency Bipolar Units. "</f>
        <v xml:space="preserve">Experience to include working with Nerve Stimulator-Mapper-Locator, Oxygen analyser, Radio Frequency Bipolar Units. </v>
      </c>
      <c r="CB1797" t="s">
        <v>131</v>
      </c>
      <c r="CF1797" t="s">
        <v>131</v>
      </c>
      <c r="CH1797" t="str">
        <f>""</f>
        <v/>
      </c>
      <c r="CI1797" t="s">
        <v>131</v>
      </c>
      <c r="CK1797" t="s">
        <v>131</v>
      </c>
      <c r="CL1797" t="str">
        <f>""</f>
        <v/>
      </c>
      <c r="CM1797" t="str">
        <f>""</f>
        <v/>
      </c>
      <c r="CN1797" t="str">
        <f>""</f>
        <v/>
      </c>
      <c r="CO1797" t="str">
        <f>""</f>
        <v/>
      </c>
      <c r="CP1797" t="str">
        <f>"17-2031.00"</f>
        <v>17-2031.00</v>
      </c>
      <c r="CQ1797" t="s">
        <v>1919</v>
      </c>
      <c r="CS1797" t="s">
        <v>131</v>
      </c>
      <c r="CU1797" t="s">
        <v>5691</v>
      </c>
      <c r="CV1797" t="s">
        <v>788</v>
      </c>
      <c r="CW1797" t="s">
        <v>2412</v>
      </c>
      <c r="CX1797" t="s">
        <v>812</v>
      </c>
      <c r="CZ1797" s="3" t="str">
        <f>"29201"</f>
        <v>29201</v>
      </c>
      <c r="DA1797" t="s">
        <v>131</v>
      </c>
      <c r="DB1797" t="str">
        <f>""</f>
        <v/>
      </c>
      <c r="DF1797" t="str">
        <f>""</f>
        <v/>
      </c>
    </row>
    <row r="1798" spans="1:110" ht="15" customHeight="1" x14ac:dyDescent="0.35">
      <c r="A1798" t="s">
        <v>5678</v>
      </c>
      <c r="B1798" t="s">
        <v>138</v>
      </c>
      <c r="C1798" s="1">
        <v>44349</v>
      </c>
      <c r="G1798" s="1">
        <v>44354</v>
      </c>
      <c r="H1798" t="s">
        <v>125</v>
      </c>
      <c r="I1798" t="s">
        <v>5679</v>
      </c>
      <c r="J1798" t="s">
        <v>5680</v>
      </c>
      <c r="L1798" t="s">
        <v>5681</v>
      </c>
      <c r="M1798" t="s">
        <v>5682</v>
      </c>
      <c r="N1798" t="s">
        <v>5683</v>
      </c>
      <c r="O1798" t="s">
        <v>5684</v>
      </c>
      <c r="P1798" t="s">
        <v>720</v>
      </c>
      <c r="Q1798" s="3">
        <v>1923</v>
      </c>
      <c r="R1798" t="s">
        <v>128</v>
      </c>
      <c r="T1798" s="4">
        <v>19785367400</v>
      </c>
      <c r="V1798" t="s">
        <v>5685</v>
      </c>
      <c r="W1798" t="s">
        <v>5686</v>
      </c>
      <c r="Y1798" t="s">
        <v>5687</v>
      </c>
      <c r="Z1798" t="s">
        <v>5520</v>
      </c>
      <c r="AA1798" t="s">
        <v>5688</v>
      </c>
      <c r="AB1798" t="s">
        <v>377</v>
      </c>
      <c r="AC1798" s="3" t="str">
        <f>"01923"</f>
        <v>01923</v>
      </c>
      <c r="AD1798" t="s">
        <v>128</v>
      </c>
      <c r="AF1798" s="4">
        <v>19785367400</v>
      </c>
      <c r="AH1798" t="str">
        <f>"6215"</f>
        <v>6215</v>
      </c>
      <c r="AI1798" t="s">
        <v>130</v>
      </c>
      <c r="AJ1798" t="s">
        <v>1688</v>
      </c>
      <c r="AK1798" t="s">
        <v>3299</v>
      </c>
      <c r="AL1798" t="s">
        <v>3300</v>
      </c>
      <c r="AM1798" t="s">
        <v>3301</v>
      </c>
      <c r="AN1798" t="s">
        <v>2377</v>
      </c>
      <c r="AO1798" t="s">
        <v>642</v>
      </c>
      <c r="AP1798" t="s">
        <v>643</v>
      </c>
      <c r="AQ1798" s="5">
        <v>30339</v>
      </c>
      <c r="AR1798" t="s">
        <v>128</v>
      </c>
      <c r="AS1798" t="s">
        <v>643</v>
      </c>
      <c r="AT1798" s="4">
        <v>14043482829</v>
      </c>
      <c r="AV1798" t="s">
        <v>3302</v>
      </c>
      <c r="AW1798" t="s">
        <v>3303</v>
      </c>
      <c r="AX1798" t="s">
        <v>131</v>
      </c>
      <c r="AY1798" t="s">
        <v>131</v>
      </c>
      <c r="AZ1798" t="s">
        <v>131</v>
      </c>
      <c r="BA1798" t="s">
        <v>131</v>
      </c>
      <c r="BB1798" t="s">
        <v>131</v>
      </c>
      <c r="BC1798" t="s">
        <v>131</v>
      </c>
      <c r="BD1798" t="s">
        <v>131</v>
      </c>
      <c r="BE1798" t="s">
        <v>132</v>
      </c>
      <c r="BH1798" t="s">
        <v>5689</v>
      </c>
      <c r="BI1798" t="s">
        <v>131</v>
      </c>
      <c r="BL1798" t="s">
        <v>188</v>
      </c>
      <c r="BN1798" t="s">
        <v>5690</v>
      </c>
      <c r="BO1798" t="s">
        <v>131</v>
      </c>
      <c r="BP1798" t="s">
        <v>134</v>
      </c>
      <c r="BQ1798" t="s">
        <v>131</v>
      </c>
      <c r="BS1798" t="str">
        <f t="shared" si="106"/>
        <v>N/A</v>
      </c>
      <c r="BT1798" t="s">
        <v>135</v>
      </c>
      <c r="BU1798">
        <v>12</v>
      </c>
      <c r="BV1798" t="str">
        <f>"Job-related experience (any title)."</f>
        <v>Job-related experience (any title).</v>
      </c>
      <c r="BW1798" t="s">
        <v>135</v>
      </c>
      <c r="BX1798" t="str">
        <f>""</f>
        <v/>
      </c>
      <c r="BY1798" t="str">
        <f>""</f>
        <v/>
      </c>
      <c r="BZ1798" t="str">
        <f>""</f>
        <v/>
      </c>
      <c r="CA1798" t="str">
        <f>"Experience to include working with Nerve Stimulator-Mapper-Locator, Oxygen analyser, Radio Frequency Bipolar Units. "</f>
        <v xml:space="preserve">Experience to include working with Nerve Stimulator-Mapper-Locator, Oxygen analyser, Radio Frequency Bipolar Units. </v>
      </c>
      <c r="CB1798" t="s">
        <v>131</v>
      </c>
      <c r="CF1798" t="s">
        <v>131</v>
      </c>
      <c r="CH1798" t="str">
        <f>""</f>
        <v/>
      </c>
      <c r="CI1798" t="s">
        <v>131</v>
      </c>
      <c r="CK1798" t="s">
        <v>131</v>
      </c>
      <c r="CL1798" t="str">
        <f>""</f>
        <v/>
      </c>
      <c r="CM1798" t="str">
        <f>""</f>
        <v/>
      </c>
      <c r="CN1798" t="str">
        <f>""</f>
        <v/>
      </c>
      <c r="CO1798" t="str">
        <f>""</f>
        <v/>
      </c>
      <c r="CP1798" t="str">
        <f>"17-2031.00"</f>
        <v>17-2031.00</v>
      </c>
      <c r="CQ1798" t="s">
        <v>1919</v>
      </c>
      <c r="CS1798" t="s">
        <v>131</v>
      </c>
      <c r="CU1798" t="s">
        <v>5691</v>
      </c>
      <c r="CV1798" t="s">
        <v>788</v>
      </c>
      <c r="CW1798" t="s">
        <v>2412</v>
      </c>
      <c r="CX1798" t="s">
        <v>812</v>
      </c>
      <c r="CZ1798" s="3" t="str">
        <f>"29201"</f>
        <v>29201</v>
      </c>
      <c r="DA1798" t="s">
        <v>131</v>
      </c>
      <c r="DB1798" t="str">
        <f>""</f>
        <v/>
      </c>
      <c r="DF1798" t="str">
        <f>""</f>
        <v/>
      </c>
    </row>
    <row r="1799" spans="1:110" ht="15" customHeight="1" x14ac:dyDescent="0.35">
      <c r="A1799" t="s">
        <v>16824</v>
      </c>
      <c r="B1799" t="s">
        <v>138</v>
      </c>
      <c r="C1799" s="1">
        <v>44349</v>
      </c>
      <c r="G1799" s="1">
        <v>44354</v>
      </c>
      <c r="H1799" t="s">
        <v>125</v>
      </c>
      <c r="I1799" t="s">
        <v>9780</v>
      </c>
      <c r="J1799" t="s">
        <v>13404</v>
      </c>
      <c r="L1799" t="s">
        <v>2612</v>
      </c>
      <c r="M1799" t="s">
        <v>9782</v>
      </c>
      <c r="O1799" t="s">
        <v>13406</v>
      </c>
      <c r="P1799" t="s">
        <v>539</v>
      </c>
      <c r="Q1799" s="3">
        <v>60202</v>
      </c>
      <c r="R1799" t="s">
        <v>128</v>
      </c>
      <c r="T1799" s="4">
        <v>18472576084</v>
      </c>
      <c r="V1799" t="s">
        <v>9783</v>
      </c>
      <c r="W1799" t="s">
        <v>16825</v>
      </c>
      <c r="Y1799" t="s">
        <v>16826</v>
      </c>
      <c r="AA1799" t="s">
        <v>16827</v>
      </c>
      <c r="AB1799" t="s">
        <v>263</v>
      </c>
      <c r="AC1799" s="3" t="str">
        <f>"60401"</f>
        <v>60401</v>
      </c>
      <c r="AD1799" t="s">
        <v>128</v>
      </c>
      <c r="AF1799" s="4">
        <v>17089462600</v>
      </c>
      <c r="AH1799" t="str">
        <f>"623110"</f>
        <v>623110</v>
      </c>
      <c r="AI1799" t="s">
        <v>130</v>
      </c>
      <c r="AJ1799" t="s">
        <v>9780</v>
      </c>
      <c r="AK1799" t="s">
        <v>13404</v>
      </c>
      <c r="AM1799" t="s">
        <v>16828</v>
      </c>
      <c r="AO1799" t="s">
        <v>3537</v>
      </c>
      <c r="AP1799" t="s">
        <v>263</v>
      </c>
      <c r="AQ1799" s="5">
        <v>60202</v>
      </c>
      <c r="AR1799" t="s">
        <v>128</v>
      </c>
      <c r="AT1799" s="4">
        <v>18472576084</v>
      </c>
      <c r="AV1799" t="s">
        <v>9783</v>
      </c>
      <c r="AW1799" t="s">
        <v>16829</v>
      </c>
      <c r="AX1799" t="s">
        <v>131</v>
      </c>
      <c r="AY1799" t="s">
        <v>131</v>
      </c>
      <c r="AZ1799" t="s">
        <v>131</v>
      </c>
      <c r="BA1799" t="s">
        <v>131</v>
      </c>
      <c r="BB1799" t="s">
        <v>131</v>
      </c>
      <c r="BC1799" t="s">
        <v>131</v>
      </c>
      <c r="BD1799" t="s">
        <v>131</v>
      </c>
      <c r="BE1799" t="s">
        <v>132</v>
      </c>
      <c r="BH1799" t="s">
        <v>230</v>
      </c>
      <c r="BI1799" t="s">
        <v>131</v>
      </c>
      <c r="BL1799" t="s">
        <v>307</v>
      </c>
      <c r="BN1799" t="s">
        <v>3386</v>
      </c>
      <c r="BO1799" t="s">
        <v>131</v>
      </c>
      <c r="BP1799" t="s">
        <v>134</v>
      </c>
      <c r="BQ1799" t="s">
        <v>131</v>
      </c>
      <c r="BS1799" t="str">
        <f t="shared" si="106"/>
        <v>N/A</v>
      </c>
      <c r="BT1799" t="s">
        <v>131</v>
      </c>
      <c r="BV1799" t="str">
        <f>""</f>
        <v/>
      </c>
      <c r="BW1799" t="s">
        <v>135</v>
      </c>
      <c r="BX1799" t="str">
        <f>"CGFNS, NCLEX OR STATE LICENSE AS A REGISTERED NURSE"</f>
        <v>CGFNS, NCLEX OR STATE LICENSE AS A REGISTERED NURSE</v>
      </c>
      <c r="BY1799" t="str">
        <f>""</f>
        <v/>
      </c>
      <c r="BZ1799" t="str">
        <f>""</f>
        <v/>
      </c>
      <c r="CA1799" t="str">
        <f>""</f>
        <v/>
      </c>
      <c r="CB1799" t="s">
        <v>131</v>
      </c>
      <c r="CF1799" t="s">
        <v>131</v>
      </c>
      <c r="CH1799" t="str">
        <f>""</f>
        <v/>
      </c>
      <c r="CI1799" t="s">
        <v>131</v>
      </c>
      <c r="CK1799" t="s">
        <v>131</v>
      </c>
      <c r="CL1799" t="str">
        <f>""</f>
        <v/>
      </c>
      <c r="CM1799" t="str">
        <f>""</f>
        <v/>
      </c>
      <c r="CN1799" t="str">
        <f>""</f>
        <v/>
      </c>
      <c r="CO1799" t="str">
        <f>""</f>
        <v/>
      </c>
      <c r="CP1799" t="str">
        <f>"29-1141.00"</f>
        <v>29-1141.00</v>
      </c>
      <c r="CQ1799" t="s">
        <v>232</v>
      </c>
      <c r="CR1799" t="s">
        <v>9784</v>
      </c>
      <c r="CS1799" t="s">
        <v>131</v>
      </c>
      <c r="CU1799" t="s">
        <v>16830</v>
      </c>
      <c r="CW1799" t="s">
        <v>16831</v>
      </c>
      <c r="CX1799" t="s">
        <v>263</v>
      </c>
      <c r="CZ1799" s="3" t="str">
        <f>"60401"</f>
        <v>60401</v>
      </c>
      <c r="DA1799" t="s">
        <v>131</v>
      </c>
      <c r="DB1799" t="str">
        <f>""</f>
        <v/>
      </c>
      <c r="DF1799" t="str">
        <f>""</f>
        <v/>
      </c>
    </row>
    <row r="1800" spans="1:110" ht="15" customHeight="1" x14ac:dyDescent="0.35">
      <c r="A1800" t="s">
        <v>16158</v>
      </c>
      <c r="B1800" t="s">
        <v>138</v>
      </c>
      <c r="C1800" s="1">
        <v>44349</v>
      </c>
      <c r="G1800" s="1">
        <v>44376</v>
      </c>
      <c r="H1800" t="s">
        <v>125</v>
      </c>
      <c r="I1800" t="s">
        <v>16159</v>
      </c>
      <c r="J1800" t="s">
        <v>16160</v>
      </c>
      <c r="L1800" t="s">
        <v>1105</v>
      </c>
      <c r="M1800" t="s">
        <v>16161</v>
      </c>
      <c r="N1800" t="s">
        <v>11374</v>
      </c>
      <c r="O1800" t="s">
        <v>494</v>
      </c>
      <c r="P1800" t="s">
        <v>127</v>
      </c>
      <c r="Q1800" s="3">
        <v>10022</v>
      </c>
      <c r="R1800" t="s">
        <v>128</v>
      </c>
      <c r="T1800" s="4">
        <v>12123712947</v>
      </c>
      <c r="V1800" t="s">
        <v>16162</v>
      </c>
      <c r="W1800" t="s">
        <v>16163</v>
      </c>
      <c r="X1800" t="s">
        <v>16164</v>
      </c>
      <c r="Y1800" t="s">
        <v>16161</v>
      </c>
      <c r="Z1800" t="s">
        <v>11374</v>
      </c>
      <c r="AA1800" t="s">
        <v>494</v>
      </c>
      <c r="AB1800" t="s">
        <v>129</v>
      </c>
      <c r="AC1800" s="3" t="str">
        <f>"10022"</f>
        <v>10022</v>
      </c>
      <c r="AD1800" t="s">
        <v>128</v>
      </c>
      <c r="AF1800" s="4">
        <v>12123712947</v>
      </c>
      <c r="AH1800" t="str">
        <f>"72251"</f>
        <v>72251</v>
      </c>
      <c r="AI1800" t="s">
        <v>130</v>
      </c>
      <c r="AJ1800" t="s">
        <v>8753</v>
      </c>
      <c r="AK1800" t="s">
        <v>839</v>
      </c>
      <c r="AL1800" t="s">
        <v>268</v>
      </c>
      <c r="AM1800" t="s">
        <v>8754</v>
      </c>
      <c r="AN1800" t="s">
        <v>8755</v>
      </c>
      <c r="AO1800" t="s">
        <v>129</v>
      </c>
      <c r="AP1800" t="s">
        <v>129</v>
      </c>
      <c r="AQ1800" s="5">
        <v>10036</v>
      </c>
      <c r="AR1800" t="s">
        <v>128</v>
      </c>
      <c r="AS1800" t="s">
        <v>129</v>
      </c>
      <c r="AT1800" s="4">
        <v>12127364430</v>
      </c>
      <c r="AV1800" t="s">
        <v>8756</v>
      </c>
      <c r="AW1800" t="s">
        <v>8757</v>
      </c>
      <c r="AX1800" t="s">
        <v>131</v>
      </c>
      <c r="AY1800" t="s">
        <v>131</v>
      </c>
      <c r="AZ1800" t="s">
        <v>131</v>
      </c>
      <c r="BA1800" t="s">
        <v>131</v>
      </c>
      <c r="BB1800" t="s">
        <v>131</v>
      </c>
      <c r="BC1800" t="s">
        <v>131</v>
      </c>
      <c r="BD1800" t="s">
        <v>131</v>
      </c>
      <c r="BE1800" t="s">
        <v>132</v>
      </c>
      <c r="BH1800" t="s">
        <v>16165</v>
      </c>
      <c r="BI1800" t="s">
        <v>131</v>
      </c>
      <c r="BL1800" t="s">
        <v>167</v>
      </c>
      <c r="BO1800" t="s">
        <v>131</v>
      </c>
      <c r="BP1800" t="s">
        <v>134</v>
      </c>
      <c r="BQ1800" t="s">
        <v>131</v>
      </c>
      <c r="BS1800" t="str">
        <f t="shared" si="106"/>
        <v>N/A</v>
      </c>
      <c r="BT1800" t="s">
        <v>135</v>
      </c>
      <c r="BU1800">
        <v>24</v>
      </c>
      <c r="BV1800" t="str">
        <f>"Head Cook, Asian Cuisine"</f>
        <v>Head Cook, Asian Cuisine</v>
      </c>
      <c r="BW1800" t="s">
        <v>131</v>
      </c>
      <c r="BX1800" t="str">
        <f>""</f>
        <v/>
      </c>
      <c r="BY1800" t="str">
        <f>""</f>
        <v/>
      </c>
      <c r="BZ1800" t="str">
        <f>""</f>
        <v/>
      </c>
      <c r="CA1800" t="str">
        <f>""</f>
        <v/>
      </c>
      <c r="CB1800" t="s">
        <v>131</v>
      </c>
      <c r="CF1800" t="s">
        <v>131</v>
      </c>
      <c r="CH1800" t="str">
        <f>""</f>
        <v/>
      </c>
      <c r="CI1800" t="s">
        <v>131</v>
      </c>
      <c r="CK1800" t="s">
        <v>131</v>
      </c>
      <c r="CL1800" t="str">
        <f>""</f>
        <v/>
      </c>
      <c r="CM1800" t="str">
        <f>""</f>
        <v/>
      </c>
      <c r="CN1800" t="str">
        <f>""</f>
        <v/>
      </c>
      <c r="CO1800" t="str">
        <f>""</f>
        <v/>
      </c>
      <c r="CP1800" t="str">
        <f>"35-1011.00"</f>
        <v>35-1011.00</v>
      </c>
      <c r="CQ1800" t="s">
        <v>1392</v>
      </c>
      <c r="CR1800" t="s">
        <v>1105</v>
      </c>
      <c r="CS1800" t="s">
        <v>131</v>
      </c>
      <c r="CU1800" t="s">
        <v>16161</v>
      </c>
      <c r="CV1800" t="s">
        <v>11374</v>
      </c>
      <c r="CW1800" t="s">
        <v>494</v>
      </c>
      <c r="CX1800" t="s">
        <v>129</v>
      </c>
      <c r="CZ1800" s="3" t="str">
        <f>"10022"</f>
        <v>10022</v>
      </c>
      <c r="DA1800" t="s">
        <v>131</v>
      </c>
      <c r="DB1800" t="str">
        <f>""</f>
        <v/>
      </c>
      <c r="DF1800" t="str">
        <f>""</f>
        <v/>
      </c>
    </row>
    <row r="1801" spans="1:110" ht="15" customHeight="1" x14ac:dyDescent="0.35">
      <c r="A1801" t="s">
        <v>13287</v>
      </c>
      <c r="B1801" t="s">
        <v>138</v>
      </c>
      <c r="C1801" s="1">
        <v>44349</v>
      </c>
      <c r="G1801" s="1">
        <v>44370</v>
      </c>
      <c r="H1801" t="s">
        <v>125</v>
      </c>
      <c r="I1801" t="s">
        <v>8133</v>
      </c>
      <c r="J1801" t="s">
        <v>8134</v>
      </c>
      <c r="L1801" t="s">
        <v>530</v>
      </c>
      <c r="M1801" t="s">
        <v>3263</v>
      </c>
      <c r="N1801" t="s">
        <v>8135</v>
      </c>
      <c r="O1801" t="s">
        <v>494</v>
      </c>
      <c r="P1801" t="s">
        <v>127</v>
      </c>
      <c r="Q1801" s="3">
        <v>10004</v>
      </c>
      <c r="R1801" t="s">
        <v>128</v>
      </c>
      <c r="T1801" s="4">
        <v>16464458187</v>
      </c>
      <c r="V1801" t="s">
        <v>8136</v>
      </c>
      <c r="W1801" t="s">
        <v>1095</v>
      </c>
      <c r="Y1801" t="s">
        <v>1096</v>
      </c>
      <c r="Z1801" t="s">
        <v>1097</v>
      </c>
      <c r="AA1801" t="s">
        <v>129</v>
      </c>
      <c r="AB1801" t="s">
        <v>129</v>
      </c>
      <c r="AC1801" s="3" t="str">
        <f>"10004"</f>
        <v>10004</v>
      </c>
      <c r="AD1801" t="s">
        <v>128</v>
      </c>
      <c r="AF1801" s="4">
        <v>16464458187</v>
      </c>
      <c r="AG1801">
        <v>0</v>
      </c>
      <c r="AH1801" t="str">
        <f>"541511"</f>
        <v>541511</v>
      </c>
      <c r="AI1801" t="s">
        <v>130</v>
      </c>
      <c r="AJ1801" t="s">
        <v>1098</v>
      </c>
      <c r="AK1801" t="s">
        <v>913</v>
      </c>
      <c r="AM1801" t="s">
        <v>493</v>
      </c>
      <c r="AO1801" t="s">
        <v>494</v>
      </c>
      <c r="AP1801" t="s">
        <v>129</v>
      </c>
      <c r="AQ1801" s="5">
        <v>10018</v>
      </c>
      <c r="AR1801" t="s">
        <v>128</v>
      </c>
      <c r="AT1801" s="4">
        <v>12126888555</v>
      </c>
      <c r="AV1801" t="s">
        <v>8137</v>
      </c>
      <c r="AW1801" t="s">
        <v>386</v>
      </c>
      <c r="AX1801" t="s">
        <v>131</v>
      </c>
      <c r="AY1801" t="s">
        <v>131</v>
      </c>
      <c r="AZ1801" t="s">
        <v>131</v>
      </c>
      <c r="BA1801" t="s">
        <v>131</v>
      </c>
      <c r="BB1801" t="s">
        <v>131</v>
      </c>
      <c r="BC1801" t="s">
        <v>131</v>
      </c>
      <c r="BD1801" t="s">
        <v>131</v>
      </c>
      <c r="BE1801" t="s">
        <v>132</v>
      </c>
      <c r="BH1801" t="s">
        <v>541</v>
      </c>
      <c r="BI1801" t="s">
        <v>131</v>
      </c>
      <c r="BL1801" t="s">
        <v>133</v>
      </c>
      <c r="BN1801" t="s">
        <v>8138</v>
      </c>
      <c r="BO1801" t="s">
        <v>131</v>
      </c>
      <c r="BP1801" t="s">
        <v>134</v>
      </c>
      <c r="BQ1801" t="s">
        <v>131</v>
      </c>
      <c r="BS1801" t="str">
        <f t="shared" ref="BS1801:BS1864" si="107">"N/A"</f>
        <v>N/A</v>
      </c>
      <c r="BT1801" t="s">
        <v>135</v>
      </c>
      <c r="BU1801">
        <v>60</v>
      </c>
      <c r="BV1801" t="str">
        <f>"Programmer Analyst or related."</f>
        <v>Programmer Analyst or related.</v>
      </c>
      <c r="BW1801" t="s">
        <v>135</v>
      </c>
      <c r="BX1801" t="str">
        <f>""</f>
        <v/>
      </c>
      <c r="BY1801" t="str">
        <f>""</f>
        <v/>
      </c>
      <c r="BZ1801" t="str">
        <f>""</f>
        <v/>
      </c>
      <c r="CA1801" t="s">
        <v>8139</v>
      </c>
      <c r="CB1801" t="s">
        <v>131</v>
      </c>
      <c r="CF1801" t="s">
        <v>131</v>
      </c>
      <c r="CH1801" t="str">
        <f>""</f>
        <v/>
      </c>
      <c r="CI1801" t="s">
        <v>131</v>
      </c>
      <c r="CK1801" t="s">
        <v>131</v>
      </c>
      <c r="CL1801" t="str">
        <f>""</f>
        <v/>
      </c>
      <c r="CM1801" t="str">
        <f>""</f>
        <v/>
      </c>
      <c r="CN1801" t="str">
        <f>""</f>
        <v/>
      </c>
      <c r="CO1801" t="str">
        <f>""</f>
        <v/>
      </c>
      <c r="CP1801" t="str">
        <f>"15-1132.00"</f>
        <v>15-1132.00</v>
      </c>
      <c r="CQ1801" t="s">
        <v>198</v>
      </c>
      <c r="CR1801" t="s">
        <v>8140</v>
      </c>
      <c r="CS1801" t="s">
        <v>131</v>
      </c>
      <c r="CU1801" t="s">
        <v>8141</v>
      </c>
      <c r="CV1801" t="s">
        <v>4675</v>
      </c>
      <c r="CW1801" t="s">
        <v>742</v>
      </c>
      <c r="CX1801" t="s">
        <v>172</v>
      </c>
      <c r="CZ1801" s="3" t="str">
        <f>"94804"</f>
        <v>94804</v>
      </c>
      <c r="DA1801" t="s">
        <v>131</v>
      </c>
      <c r="DB1801" t="str">
        <f>""</f>
        <v/>
      </c>
      <c r="DF1801" t="str">
        <f>""</f>
        <v/>
      </c>
    </row>
    <row r="1802" spans="1:110" ht="15" customHeight="1" x14ac:dyDescent="0.35">
      <c r="A1802" t="s">
        <v>17871</v>
      </c>
      <c r="B1802" t="s">
        <v>138</v>
      </c>
      <c r="C1802" s="1">
        <v>44349</v>
      </c>
      <c r="G1802" s="1">
        <v>44369</v>
      </c>
      <c r="H1802" t="s">
        <v>125</v>
      </c>
      <c r="I1802" t="s">
        <v>3995</v>
      </c>
      <c r="J1802" t="s">
        <v>2115</v>
      </c>
      <c r="L1802" t="s">
        <v>3996</v>
      </c>
      <c r="M1802" t="s">
        <v>3997</v>
      </c>
      <c r="O1802" t="s">
        <v>3998</v>
      </c>
      <c r="P1802" t="s">
        <v>539</v>
      </c>
      <c r="Q1802" s="3">
        <v>61265</v>
      </c>
      <c r="R1802" t="s">
        <v>128</v>
      </c>
      <c r="T1802" s="4">
        <v>18449014762</v>
      </c>
      <c r="V1802" t="s">
        <v>3999</v>
      </c>
      <c r="W1802" t="s">
        <v>4000</v>
      </c>
      <c r="Y1802" t="s">
        <v>4001</v>
      </c>
      <c r="AA1802" t="s">
        <v>3998</v>
      </c>
      <c r="AB1802" t="s">
        <v>263</v>
      </c>
      <c r="AC1802" s="3" t="str">
        <f>"61265"</f>
        <v>61265</v>
      </c>
      <c r="AD1802" t="s">
        <v>128</v>
      </c>
      <c r="AF1802" s="4">
        <v>13097654160</v>
      </c>
      <c r="AH1802" t="str">
        <f>"33311"</f>
        <v>33311</v>
      </c>
      <c r="AI1802" t="s">
        <v>130</v>
      </c>
      <c r="AJ1802" t="s">
        <v>1598</v>
      </c>
      <c r="AK1802" t="s">
        <v>4002</v>
      </c>
      <c r="AM1802" t="s">
        <v>4003</v>
      </c>
      <c r="AN1802">
        <v>3425</v>
      </c>
      <c r="AO1802" t="s">
        <v>262</v>
      </c>
      <c r="AP1802" t="s">
        <v>263</v>
      </c>
      <c r="AQ1802" s="5">
        <v>60603</v>
      </c>
      <c r="AR1802" t="s">
        <v>128</v>
      </c>
      <c r="AS1802" t="s">
        <v>539</v>
      </c>
      <c r="AT1802" s="4">
        <v>13128312127</v>
      </c>
      <c r="AV1802" t="s">
        <v>4004</v>
      </c>
      <c r="AW1802" t="s">
        <v>4005</v>
      </c>
      <c r="AX1802" t="s">
        <v>131</v>
      </c>
      <c r="AY1802" t="s">
        <v>131</v>
      </c>
      <c r="AZ1802" t="s">
        <v>131</v>
      </c>
      <c r="BA1802" t="s">
        <v>131</v>
      </c>
      <c r="BB1802" t="s">
        <v>131</v>
      </c>
      <c r="BC1802" t="s">
        <v>131</v>
      </c>
      <c r="BD1802" t="s">
        <v>131</v>
      </c>
      <c r="BE1802" t="s">
        <v>132</v>
      </c>
      <c r="BH1802" t="s">
        <v>542</v>
      </c>
      <c r="BI1802" t="s">
        <v>131</v>
      </c>
      <c r="BL1802" t="s">
        <v>133</v>
      </c>
      <c r="BN1802" t="s">
        <v>4006</v>
      </c>
      <c r="BO1802" t="s">
        <v>131</v>
      </c>
      <c r="BP1802" t="s">
        <v>134</v>
      </c>
      <c r="BQ1802" t="s">
        <v>131</v>
      </c>
      <c r="BS1802" t="str">
        <f t="shared" si="107"/>
        <v>N/A</v>
      </c>
      <c r="BT1802" t="s">
        <v>135</v>
      </c>
      <c r="BU1802">
        <v>36</v>
      </c>
      <c r="BV1802" t="str">
        <f>"ERP Analyst/Developer or related position"</f>
        <v>ERP Analyst/Developer or related position</v>
      </c>
      <c r="BW1802" t="s">
        <v>135</v>
      </c>
      <c r="BX1802" t="str">
        <f>""</f>
        <v/>
      </c>
      <c r="BY1802" t="str">
        <f>""</f>
        <v/>
      </c>
      <c r="BZ1802" t="str">
        <f>""</f>
        <v/>
      </c>
      <c r="CA1802" t="s">
        <v>17872</v>
      </c>
      <c r="CB1802" t="s">
        <v>131</v>
      </c>
      <c r="CF1802" t="s">
        <v>131</v>
      </c>
      <c r="CH1802" t="str">
        <f>""</f>
        <v/>
      </c>
      <c r="CI1802" t="s">
        <v>131</v>
      </c>
      <c r="CK1802" t="s">
        <v>131</v>
      </c>
      <c r="CL1802" t="str">
        <f>""</f>
        <v/>
      </c>
      <c r="CM1802" t="str">
        <f>""</f>
        <v/>
      </c>
      <c r="CN1802" t="str">
        <f>""</f>
        <v/>
      </c>
      <c r="CO1802" t="str">
        <f>""</f>
        <v/>
      </c>
      <c r="CP1802" t="str">
        <f>"15-1132.00"</f>
        <v>15-1132.00</v>
      </c>
      <c r="CQ1802" t="s">
        <v>198</v>
      </c>
      <c r="CR1802" t="s">
        <v>4007</v>
      </c>
      <c r="CS1802" t="s">
        <v>135</v>
      </c>
      <c r="CT1802" t="s">
        <v>3163</v>
      </c>
      <c r="CU1802" t="s">
        <v>4001</v>
      </c>
      <c r="CW1802" t="s">
        <v>3998</v>
      </c>
      <c r="CX1802" t="s">
        <v>263</v>
      </c>
      <c r="CZ1802" s="3" t="str">
        <f>"61265"</f>
        <v>61265</v>
      </c>
      <c r="DA1802" t="s">
        <v>131</v>
      </c>
      <c r="DB1802" t="str">
        <f>""</f>
        <v/>
      </c>
      <c r="DF1802" t="str">
        <f>""</f>
        <v/>
      </c>
    </row>
    <row r="1803" spans="1:110" ht="15" customHeight="1" x14ac:dyDescent="0.35">
      <c r="A1803" t="s">
        <v>14828</v>
      </c>
      <c r="B1803" t="s">
        <v>138</v>
      </c>
      <c r="C1803" s="1">
        <v>44349</v>
      </c>
      <c r="G1803" s="1">
        <v>44349</v>
      </c>
      <c r="H1803" t="s">
        <v>125</v>
      </c>
      <c r="I1803" t="s">
        <v>1025</v>
      </c>
      <c r="J1803" t="s">
        <v>5078</v>
      </c>
      <c r="L1803" t="s">
        <v>5079</v>
      </c>
      <c r="M1803" t="s">
        <v>4819</v>
      </c>
      <c r="O1803" t="s">
        <v>4820</v>
      </c>
      <c r="P1803" t="s">
        <v>194</v>
      </c>
      <c r="Q1803" s="3">
        <v>32714</v>
      </c>
      <c r="R1803" t="s">
        <v>128</v>
      </c>
      <c r="T1803" s="4">
        <v>14073572656</v>
      </c>
      <c r="V1803" t="s">
        <v>4821</v>
      </c>
      <c r="W1803" t="s">
        <v>12588</v>
      </c>
      <c r="X1803" t="s">
        <v>14829</v>
      </c>
      <c r="Y1803" t="s">
        <v>14830</v>
      </c>
      <c r="AA1803" t="s">
        <v>13173</v>
      </c>
      <c r="AB1803" t="s">
        <v>195</v>
      </c>
      <c r="AC1803" s="3" t="str">
        <f>"32714"</f>
        <v>32714</v>
      </c>
      <c r="AD1803" t="s">
        <v>128</v>
      </c>
      <c r="AF1803" s="4">
        <v>14073572656</v>
      </c>
      <c r="AH1803" t="str">
        <f>"62211"</f>
        <v>62211</v>
      </c>
      <c r="AI1803" t="s">
        <v>130</v>
      </c>
      <c r="AJ1803" t="s">
        <v>4823</v>
      </c>
      <c r="AK1803" t="s">
        <v>4824</v>
      </c>
      <c r="AM1803" t="s">
        <v>4825</v>
      </c>
      <c r="AN1803" t="s">
        <v>5080</v>
      </c>
      <c r="AO1803" t="s">
        <v>4826</v>
      </c>
      <c r="AP1803" t="s">
        <v>195</v>
      </c>
      <c r="AQ1803" s="5">
        <v>33131</v>
      </c>
      <c r="AR1803" t="s">
        <v>128</v>
      </c>
      <c r="AT1803" s="4">
        <v>13052130897</v>
      </c>
      <c r="AV1803" t="s">
        <v>4821</v>
      </c>
      <c r="AW1803" t="s">
        <v>4827</v>
      </c>
      <c r="AX1803" t="s">
        <v>131</v>
      </c>
      <c r="AY1803" t="s">
        <v>131</v>
      </c>
      <c r="AZ1803" t="s">
        <v>131</v>
      </c>
      <c r="BA1803" t="s">
        <v>131</v>
      </c>
      <c r="BB1803" t="s">
        <v>131</v>
      </c>
      <c r="BC1803" t="s">
        <v>131</v>
      </c>
      <c r="BD1803" t="s">
        <v>131</v>
      </c>
      <c r="BE1803" t="s">
        <v>132</v>
      </c>
      <c r="BH1803" t="s">
        <v>14831</v>
      </c>
      <c r="BI1803" t="s">
        <v>131</v>
      </c>
      <c r="BL1803" t="s">
        <v>133</v>
      </c>
      <c r="BN1803" t="s">
        <v>12589</v>
      </c>
      <c r="BO1803" t="s">
        <v>131</v>
      </c>
      <c r="BP1803" t="s">
        <v>134</v>
      </c>
      <c r="BQ1803" t="s">
        <v>131</v>
      </c>
      <c r="BS1803" t="str">
        <f t="shared" si="107"/>
        <v>N/A</v>
      </c>
      <c r="BT1803" t="s">
        <v>135</v>
      </c>
      <c r="BU1803">
        <v>60</v>
      </c>
      <c r="BV1803" t="str">
        <f>"IT Service Management (ITSM) Developer, Software Developer or related field"</f>
        <v>IT Service Management (ITSM) Developer, Software Developer or related field</v>
      </c>
      <c r="BW1803" t="s">
        <v>135</v>
      </c>
      <c r="BX1803" t="str">
        <f>""</f>
        <v/>
      </c>
      <c r="BY1803" t="str">
        <f>""</f>
        <v/>
      </c>
      <c r="BZ1803" t="str">
        <f>""</f>
        <v/>
      </c>
      <c r="CA1803" t="str">
        <f>"Knowledge in coding languages JavaScript, HTML and CSS. Either possess, or in the process of obtaining, ITIL 4 Foundations. "</f>
        <v xml:space="preserve">Knowledge in coding languages JavaScript, HTML and CSS. Either possess, or in the process of obtaining, ITIL 4 Foundations. </v>
      </c>
      <c r="CB1803" t="s">
        <v>135</v>
      </c>
      <c r="CC1803" t="s">
        <v>188</v>
      </c>
      <c r="CE1803" t="s">
        <v>12590</v>
      </c>
      <c r="CF1803" t="s">
        <v>131</v>
      </c>
      <c r="CH1803" t="str">
        <f>"N/A"</f>
        <v>N/A</v>
      </c>
      <c r="CI1803" t="s">
        <v>131</v>
      </c>
      <c r="CK1803" t="s">
        <v>135</v>
      </c>
      <c r="CL1803" t="str">
        <f>""</f>
        <v/>
      </c>
      <c r="CM1803" t="str">
        <f>""</f>
        <v/>
      </c>
      <c r="CN1803" t="str">
        <f>""</f>
        <v/>
      </c>
      <c r="CO1803" t="str">
        <f>"Knowledge in coding languages JavaScript, HTML and CSS. Either possess, or in the process of obtaining, ITIL 4 Foundations. "</f>
        <v xml:space="preserve">Knowledge in coding languages JavaScript, HTML and CSS. Either possess, or in the process of obtaining, ITIL 4 Foundations. </v>
      </c>
      <c r="CP1803" t="str">
        <f>"15-1121.00"</f>
        <v>15-1121.00</v>
      </c>
      <c r="CQ1803" t="s">
        <v>283</v>
      </c>
      <c r="CR1803" t="s">
        <v>12591</v>
      </c>
      <c r="CS1803" t="s">
        <v>131</v>
      </c>
      <c r="CU1803" t="s">
        <v>5081</v>
      </c>
      <c r="CW1803" t="s">
        <v>4820</v>
      </c>
      <c r="CX1803" t="s">
        <v>195</v>
      </c>
      <c r="CZ1803" s="3" t="str">
        <f>"32714"</f>
        <v>32714</v>
      </c>
      <c r="DA1803" t="s">
        <v>131</v>
      </c>
      <c r="DB1803" t="str">
        <f>""</f>
        <v/>
      </c>
      <c r="DF1803" t="str">
        <f>""</f>
        <v/>
      </c>
    </row>
    <row r="1804" spans="1:110" ht="15" customHeight="1" x14ac:dyDescent="0.35">
      <c r="A1804" t="s">
        <v>19245</v>
      </c>
      <c r="B1804" t="s">
        <v>138</v>
      </c>
      <c r="C1804" s="1">
        <v>44349</v>
      </c>
      <c r="G1804" s="1">
        <v>44349</v>
      </c>
      <c r="H1804" t="s">
        <v>125</v>
      </c>
      <c r="I1804" t="s">
        <v>860</v>
      </c>
      <c r="J1804" t="s">
        <v>662</v>
      </c>
      <c r="K1804" t="s">
        <v>2930</v>
      </c>
      <c r="L1804" t="s">
        <v>2931</v>
      </c>
      <c r="M1804" t="s">
        <v>2932</v>
      </c>
      <c r="O1804" t="s">
        <v>2150</v>
      </c>
      <c r="P1804" t="s">
        <v>778</v>
      </c>
      <c r="Q1804" s="3">
        <v>37214</v>
      </c>
      <c r="R1804" t="s">
        <v>128</v>
      </c>
      <c r="T1804" s="4">
        <v>16153918416</v>
      </c>
      <c r="V1804" t="s">
        <v>2933</v>
      </c>
      <c r="W1804" t="s">
        <v>2934</v>
      </c>
      <c r="Y1804" t="s">
        <v>2935</v>
      </c>
      <c r="AA1804" t="s">
        <v>600</v>
      </c>
      <c r="AB1804" t="s">
        <v>594</v>
      </c>
      <c r="AC1804" s="3" t="str">
        <f>"28202"</f>
        <v>28202</v>
      </c>
      <c r="AD1804" t="s">
        <v>128</v>
      </c>
      <c r="AF1804" s="4">
        <v>16153918416</v>
      </c>
      <c r="AH1804" t="str">
        <f>"522110"</f>
        <v>522110</v>
      </c>
      <c r="AI1804" t="s">
        <v>130</v>
      </c>
      <c r="AJ1804" t="s">
        <v>2936</v>
      </c>
      <c r="AK1804" t="s">
        <v>2937</v>
      </c>
      <c r="AM1804" t="s">
        <v>2938</v>
      </c>
      <c r="AN1804" t="s">
        <v>2939</v>
      </c>
      <c r="AO1804" t="s">
        <v>642</v>
      </c>
      <c r="AP1804" t="s">
        <v>643</v>
      </c>
      <c r="AQ1804" s="5">
        <v>30309</v>
      </c>
      <c r="AR1804" t="s">
        <v>128</v>
      </c>
      <c r="AT1804" s="4">
        <v>14048817375</v>
      </c>
      <c r="AU1804">
        <v>7375</v>
      </c>
      <c r="AV1804" t="s">
        <v>2940</v>
      </c>
      <c r="AW1804" t="s">
        <v>2939</v>
      </c>
      <c r="AX1804" t="s">
        <v>131</v>
      </c>
      <c r="AY1804" t="s">
        <v>131</v>
      </c>
      <c r="AZ1804" t="s">
        <v>131</v>
      </c>
      <c r="BA1804" t="s">
        <v>131</v>
      </c>
      <c r="BB1804" t="s">
        <v>131</v>
      </c>
      <c r="BC1804" t="s">
        <v>131</v>
      </c>
      <c r="BD1804" t="s">
        <v>131</v>
      </c>
      <c r="BE1804" t="s">
        <v>132</v>
      </c>
      <c r="BH1804" t="s">
        <v>2478</v>
      </c>
      <c r="BI1804" t="s">
        <v>131</v>
      </c>
      <c r="BL1804" t="s">
        <v>133</v>
      </c>
      <c r="BN1804" t="s">
        <v>8462</v>
      </c>
      <c r="BO1804" t="s">
        <v>131</v>
      </c>
      <c r="BP1804" t="s">
        <v>134</v>
      </c>
      <c r="BQ1804" t="s">
        <v>131</v>
      </c>
      <c r="BS1804" t="str">
        <f t="shared" si="107"/>
        <v>N/A</v>
      </c>
      <c r="BT1804" t="s">
        <v>135</v>
      </c>
      <c r="BU1804">
        <v>60</v>
      </c>
      <c r="BV1804" t="str">
        <f>"progressive experience in software engineering or IT consulting positions"</f>
        <v>progressive experience in software engineering or IT consulting positions</v>
      </c>
      <c r="BW1804" t="s">
        <v>135</v>
      </c>
      <c r="BX1804" t="str">
        <f>""</f>
        <v/>
      </c>
      <c r="BY1804" t="str">
        <f>""</f>
        <v/>
      </c>
      <c r="BZ1804" t="str">
        <f>""</f>
        <v/>
      </c>
      <c r="CA1804" t="s">
        <v>11482</v>
      </c>
      <c r="CB1804" t="s">
        <v>131</v>
      </c>
      <c r="CF1804" t="s">
        <v>131</v>
      </c>
      <c r="CH1804" t="str">
        <f>""</f>
        <v/>
      </c>
      <c r="CI1804" t="s">
        <v>131</v>
      </c>
      <c r="CK1804" t="s">
        <v>131</v>
      </c>
      <c r="CL1804" t="str">
        <f>""</f>
        <v/>
      </c>
      <c r="CM1804" t="str">
        <f>""</f>
        <v/>
      </c>
      <c r="CN1804" t="str">
        <f>""</f>
        <v/>
      </c>
      <c r="CO1804" t="str">
        <f>""</f>
        <v/>
      </c>
      <c r="CP1804" t="str">
        <f>"15-1132.00"</f>
        <v>15-1132.00</v>
      </c>
      <c r="CQ1804" t="s">
        <v>198</v>
      </c>
      <c r="CS1804" t="s">
        <v>131</v>
      </c>
      <c r="CU1804" t="s">
        <v>12849</v>
      </c>
      <c r="CV1804" t="s">
        <v>375</v>
      </c>
      <c r="CW1804" t="s">
        <v>2245</v>
      </c>
      <c r="CX1804" t="s">
        <v>594</v>
      </c>
      <c r="CZ1804" s="3" t="str">
        <f>"27893"</f>
        <v>27893</v>
      </c>
      <c r="DA1804" t="s">
        <v>131</v>
      </c>
      <c r="DB1804" t="str">
        <f>""</f>
        <v/>
      </c>
      <c r="DF1804" t="str">
        <f>""</f>
        <v/>
      </c>
    </row>
    <row r="1805" spans="1:110" ht="15" customHeight="1" x14ac:dyDescent="0.35">
      <c r="A1805" t="s">
        <v>16884</v>
      </c>
      <c r="B1805" t="s">
        <v>138</v>
      </c>
      <c r="C1805" s="1">
        <v>44349</v>
      </c>
      <c r="G1805" s="1">
        <v>44354</v>
      </c>
      <c r="H1805" t="s">
        <v>125</v>
      </c>
      <c r="I1805" t="s">
        <v>9780</v>
      </c>
      <c r="J1805" t="s">
        <v>9781</v>
      </c>
      <c r="L1805" t="s">
        <v>2612</v>
      </c>
      <c r="M1805" t="s">
        <v>9782</v>
      </c>
      <c r="O1805" t="s">
        <v>13406</v>
      </c>
      <c r="P1805" t="s">
        <v>539</v>
      </c>
      <c r="Q1805" s="3">
        <v>60202</v>
      </c>
      <c r="R1805" t="s">
        <v>128</v>
      </c>
      <c r="T1805" s="4">
        <v>18472576084</v>
      </c>
      <c r="V1805" t="s">
        <v>9783</v>
      </c>
      <c r="W1805" t="s">
        <v>16885</v>
      </c>
      <c r="Y1805" t="s">
        <v>16886</v>
      </c>
      <c r="AA1805" t="s">
        <v>6097</v>
      </c>
      <c r="AB1805" t="s">
        <v>263</v>
      </c>
      <c r="AC1805" s="3" t="str">
        <f>"60459"</f>
        <v>60459</v>
      </c>
      <c r="AD1805" t="s">
        <v>128</v>
      </c>
      <c r="AF1805" s="4">
        <v>17084231200</v>
      </c>
      <c r="AH1805" t="str">
        <f>"623110"</f>
        <v>623110</v>
      </c>
      <c r="AI1805" t="s">
        <v>130</v>
      </c>
      <c r="AJ1805" t="s">
        <v>9780</v>
      </c>
      <c r="AK1805" t="s">
        <v>9781</v>
      </c>
      <c r="AL1805" t="s">
        <v>9780</v>
      </c>
      <c r="AM1805" t="s">
        <v>9782</v>
      </c>
      <c r="AO1805" t="s">
        <v>3537</v>
      </c>
      <c r="AP1805" t="s">
        <v>263</v>
      </c>
      <c r="AQ1805" s="5">
        <v>60202</v>
      </c>
      <c r="AR1805" t="s">
        <v>128</v>
      </c>
      <c r="AT1805" s="4">
        <v>13125025053</v>
      </c>
      <c r="AV1805" t="s">
        <v>16887</v>
      </c>
      <c r="AW1805" t="s">
        <v>16888</v>
      </c>
      <c r="AX1805" t="s">
        <v>131</v>
      </c>
      <c r="AY1805" t="s">
        <v>131</v>
      </c>
      <c r="AZ1805" t="s">
        <v>131</v>
      </c>
      <c r="BA1805" t="s">
        <v>131</v>
      </c>
      <c r="BB1805" t="s">
        <v>131</v>
      </c>
      <c r="BC1805" t="s">
        <v>131</v>
      </c>
      <c r="BD1805" t="s">
        <v>131</v>
      </c>
      <c r="BE1805" t="s">
        <v>132</v>
      </c>
      <c r="BH1805" t="s">
        <v>230</v>
      </c>
      <c r="BI1805" t="s">
        <v>131</v>
      </c>
      <c r="BL1805" t="s">
        <v>307</v>
      </c>
      <c r="BN1805" t="s">
        <v>1451</v>
      </c>
      <c r="BO1805" t="s">
        <v>131</v>
      </c>
      <c r="BP1805" t="s">
        <v>134</v>
      </c>
      <c r="BQ1805" t="s">
        <v>131</v>
      </c>
      <c r="BS1805" t="str">
        <f t="shared" si="107"/>
        <v>N/A</v>
      </c>
      <c r="BT1805" t="s">
        <v>131</v>
      </c>
      <c r="BV1805" t="str">
        <f>""</f>
        <v/>
      </c>
      <c r="BW1805" t="s">
        <v>131</v>
      </c>
      <c r="BX1805" t="str">
        <f>""</f>
        <v/>
      </c>
      <c r="BY1805" t="str">
        <f>""</f>
        <v/>
      </c>
      <c r="BZ1805" t="str">
        <f>""</f>
        <v/>
      </c>
      <c r="CA1805" t="str">
        <f>""</f>
        <v/>
      </c>
      <c r="CB1805" t="s">
        <v>131</v>
      </c>
      <c r="CF1805" t="s">
        <v>131</v>
      </c>
      <c r="CH1805" t="str">
        <f>""</f>
        <v/>
      </c>
      <c r="CI1805" t="s">
        <v>131</v>
      </c>
      <c r="CK1805" t="s">
        <v>131</v>
      </c>
      <c r="CL1805" t="str">
        <f>""</f>
        <v/>
      </c>
      <c r="CM1805" t="str">
        <f>""</f>
        <v/>
      </c>
      <c r="CN1805" t="str">
        <f>""</f>
        <v/>
      </c>
      <c r="CO1805" t="str">
        <f>""</f>
        <v/>
      </c>
      <c r="CP1805" t="str">
        <f>"29-1141.00"</f>
        <v>29-1141.00</v>
      </c>
      <c r="CQ1805" t="s">
        <v>232</v>
      </c>
      <c r="CR1805" t="s">
        <v>13410</v>
      </c>
      <c r="CS1805" t="s">
        <v>131</v>
      </c>
      <c r="CU1805" t="s">
        <v>16886</v>
      </c>
      <c r="CW1805" t="s">
        <v>16889</v>
      </c>
      <c r="CX1805" t="s">
        <v>263</v>
      </c>
      <c r="CZ1805" s="3" t="str">
        <f>"60459"</f>
        <v>60459</v>
      </c>
      <c r="DA1805" t="s">
        <v>131</v>
      </c>
      <c r="DB1805" t="str">
        <f>""</f>
        <v/>
      </c>
      <c r="DF1805" t="str">
        <f>""</f>
        <v/>
      </c>
    </row>
    <row r="1806" spans="1:110" ht="15" customHeight="1" x14ac:dyDescent="0.35">
      <c r="A1806" t="s">
        <v>3654</v>
      </c>
      <c r="B1806" t="s">
        <v>138</v>
      </c>
      <c r="C1806" s="1">
        <v>44349</v>
      </c>
      <c r="G1806" s="1">
        <v>44354</v>
      </c>
      <c r="H1806" t="s">
        <v>125</v>
      </c>
      <c r="I1806" t="s">
        <v>1801</v>
      </c>
      <c r="J1806" t="s">
        <v>1157</v>
      </c>
      <c r="L1806" t="s">
        <v>3655</v>
      </c>
      <c r="M1806" t="s">
        <v>3656</v>
      </c>
      <c r="O1806" t="s">
        <v>1720</v>
      </c>
      <c r="P1806" t="s">
        <v>857</v>
      </c>
      <c r="Q1806" s="3">
        <v>85034</v>
      </c>
      <c r="R1806" t="s">
        <v>128</v>
      </c>
      <c r="T1806" s="4">
        <v>16024706379</v>
      </c>
      <c r="V1806" t="s">
        <v>3657</v>
      </c>
      <c r="W1806" t="s">
        <v>3658</v>
      </c>
      <c r="Y1806" t="s">
        <v>3659</v>
      </c>
      <c r="AA1806" t="s">
        <v>1720</v>
      </c>
      <c r="AB1806" t="s">
        <v>808</v>
      </c>
      <c r="AC1806" s="3" t="str">
        <f>"85034"</f>
        <v>85034</v>
      </c>
      <c r="AD1806" t="s">
        <v>128</v>
      </c>
      <c r="AF1806" s="4">
        <v>16024702886</v>
      </c>
      <c r="AH1806" t="str">
        <f>"33324"</f>
        <v>33324</v>
      </c>
      <c r="AI1806" t="s">
        <v>130</v>
      </c>
      <c r="AJ1806" t="s">
        <v>802</v>
      </c>
      <c r="AK1806" t="s">
        <v>803</v>
      </c>
      <c r="AL1806" t="s">
        <v>655</v>
      </c>
      <c r="AM1806" t="s">
        <v>805</v>
      </c>
      <c r="AN1806" t="s">
        <v>806</v>
      </c>
      <c r="AO1806" t="s">
        <v>807</v>
      </c>
      <c r="AP1806" t="s">
        <v>808</v>
      </c>
      <c r="AQ1806" s="5">
        <v>85020</v>
      </c>
      <c r="AR1806" t="s">
        <v>128</v>
      </c>
      <c r="AT1806" s="4">
        <v>16022661825</v>
      </c>
      <c r="AV1806" t="s">
        <v>3660</v>
      </c>
      <c r="AW1806" t="s">
        <v>548</v>
      </c>
      <c r="AX1806" t="s">
        <v>131</v>
      </c>
      <c r="AY1806" t="s">
        <v>131</v>
      </c>
      <c r="AZ1806" t="s">
        <v>131</v>
      </c>
      <c r="BA1806" t="s">
        <v>131</v>
      </c>
      <c r="BB1806" t="s">
        <v>131</v>
      </c>
      <c r="BC1806" t="s">
        <v>131</v>
      </c>
      <c r="BD1806" t="s">
        <v>131</v>
      </c>
      <c r="BE1806" t="s">
        <v>132</v>
      </c>
      <c r="BH1806" t="s">
        <v>3661</v>
      </c>
      <c r="BI1806" t="s">
        <v>131</v>
      </c>
      <c r="BL1806" t="s">
        <v>447</v>
      </c>
      <c r="BN1806" t="s">
        <v>3662</v>
      </c>
      <c r="BO1806" t="s">
        <v>131</v>
      </c>
      <c r="BP1806" t="s">
        <v>134</v>
      </c>
      <c r="BQ1806" t="s">
        <v>131</v>
      </c>
      <c r="BS1806" t="str">
        <f t="shared" si="107"/>
        <v>N/A</v>
      </c>
      <c r="BT1806" t="s">
        <v>135</v>
      </c>
      <c r="BU1806">
        <v>24</v>
      </c>
      <c r="BV1806" t="str">
        <f>"job offered or related"</f>
        <v>job offered or related</v>
      </c>
      <c r="BW1806" t="s">
        <v>135</v>
      </c>
      <c r="BX1806" t="str">
        <f>""</f>
        <v/>
      </c>
      <c r="BY1806" t="str">
        <f>""</f>
        <v/>
      </c>
      <c r="BZ1806" t="str">
        <f>""</f>
        <v/>
      </c>
      <c r="CA1806" t="str">
        <f>"(1) Fluid dynamics simulation
(2) Thermal analysis
(3) Epitaxial process
(4) Optical design
(5) CAD modeling
"</f>
        <v xml:space="preserve">(1) Fluid dynamics simulation
(2) Thermal analysis
(3) Epitaxial process
(4) Optical design
(5) CAD modeling
</v>
      </c>
      <c r="CB1806" t="s">
        <v>131</v>
      </c>
      <c r="CF1806" t="s">
        <v>131</v>
      </c>
      <c r="CH1806" t="str">
        <f>""</f>
        <v/>
      </c>
      <c r="CI1806" t="s">
        <v>131</v>
      </c>
      <c r="CK1806" t="s">
        <v>131</v>
      </c>
      <c r="CL1806" t="str">
        <f>""</f>
        <v/>
      </c>
      <c r="CM1806" t="str">
        <f>""</f>
        <v/>
      </c>
      <c r="CN1806" t="str">
        <f>""</f>
        <v/>
      </c>
      <c r="CO1806" t="str">
        <f>""</f>
        <v/>
      </c>
      <c r="CP1806" t="str">
        <f>"17-2141.00"</f>
        <v>17-2141.00</v>
      </c>
      <c r="CQ1806" t="s">
        <v>518</v>
      </c>
      <c r="CR1806" t="s">
        <v>3663</v>
      </c>
      <c r="CS1806" t="s">
        <v>131</v>
      </c>
      <c r="CU1806" t="s">
        <v>3664</v>
      </c>
      <c r="CW1806" t="s">
        <v>807</v>
      </c>
      <c r="CX1806" t="s">
        <v>808</v>
      </c>
      <c r="CZ1806" s="3" t="str">
        <f>"85034"</f>
        <v>85034</v>
      </c>
      <c r="DA1806" t="s">
        <v>131</v>
      </c>
      <c r="DB1806" t="str">
        <f>""</f>
        <v/>
      </c>
      <c r="DF1806" t="str">
        <f>""</f>
        <v/>
      </c>
    </row>
    <row r="1807" spans="1:110" ht="15" customHeight="1" x14ac:dyDescent="0.35">
      <c r="A1807" t="s">
        <v>19102</v>
      </c>
      <c r="B1807" t="s">
        <v>138</v>
      </c>
      <c r="C1807" s="1">
        <v>44349</v>
      </c>
      <c r="G1807" s="1">
        <v>44350</v>
      </c>
      <c r="H1807" t="s">
        <v>125</v>
      </c>
      <c r="I1807" t="s">
        <v>4634</v>
      </c>
      <c r="J1807" t="s">
        <v>4635</v>
      </c>
      <c r="L1807" t="s">
        <v>6055</v>
      </c>
      <c r="M1807" t="s">
        <v>4637</v>
      </c>
      <c r="N1807" t="s">
        <v>997</v>
      </c>
      <c r="O1807" t="s">
        <v>1546</v>
      </c>
      <c r="P1807" t="s">
        <v>720</v>
      </c>
      <c r="Q1807" s="3">
        <v>2139</v>
      </c>
      <c r="R1807" t="s">
        <v>128</v>
      </c>
      <c r="T1807" s="4">
        <v>16178697212</v>
      </c>
      <c r="V1807" t="s">
        <v>4638</v>
      </c>
      <c r="W1807" t="s">
        <v>19103</v>
      </c>
      <c r="X1807" t="s">
        <v>134</v>
      </c>
      <c r="Y1807" t="s">
        <v>4637</v>
      </c>
      <c r="Z1807" t="s">
        <v>997</v>
      </c>
      <c r="AA1807" t="s">
        <v>1546</v>
      </c>
      <c r="AB1807" t="s">
        <v>377</v>
      </c>
      <c r="AC1807" s="3" t="str">
        <f>"02139"</f>
        <v>02139</v>
      </c>
      <c r="AD1807" t="s">
        <v>128</v>
      </c>
      <c r="AF1807" s="4">
        <v>16178697212</v>
      </c>
      <c r="AH1807" t="str">
        <f>"32541"</f>
        <v>32541</v>
      </c>
      <c r="AI1807" t="s">
        <v>130</v>
      </c>
      <c r="AJ1807" t="s">
        <v>4639</v>
      </c>
      <c r="AK1807" t="s">
        <v>704</v>
      </c>
      <c r="AL1807" t="s">
        <v>435</v>
      </c>
      <c r="AM1807" t="s">
        <v>4640</v>
      </c>
      <c r="AO1807" t="s">
        <v>1546</v>
      </c>
      <c r="AP1807" t="s">
        <v>377</v>
      </c>
      <c r="AQ1807" s="5">
        <v>2140</v>
      </c>
      <c r="AR1807" t="s">
        <v>128</v>
      </c>
      <c r="AT1807" s="4">
        <v>16174980900</v>
      </c>
      <c r="AV1807" t="s">
        <v>4641</v>
      </c>
      <c r="AW1807" t="s">
        <v>4642</v>
      </c>
      <c r="AX1807" t="s">
        <v>131</v>
      </c>
      <c r="AY1807" t="s">
        <v>131</v>
      </c>
      <c r="AZ1807" t="s">
        <v>131</v>
      </c>
      <c r="BA1807" t="s">
        <v>131</v>
      </c>
      <c r="BB1807" t="s">
        <v>131</v>
      </c>
      <c r="BC1807" t="s">
        <v>131</v>
      </c>
      <c r="BD1807" t="s">
        <v>131</v>
      </c>
      <c r="BE1807" t="s">
        <v>132</v>
      </c>
      <c r="BH1807" t="s">
        <v>19104</v>
      </c>
      <c r="BI1807" t="s">
        <v>135</v>
      </c>
      <c r="BJ1807" t="s">
        <v>19105</v>
      </c>
      <c r="BK1807" t="s">
        <v>19106</v>
      </c>
      <c r="BL1807" t="s">
        <v>447</v>
      </c>
      <c r="BN1807" t="s">
        <v>19107</v>
      </c>
      <c r="BO1807" t="s">
        <v>131</v>
      </c>
      <c r="BP1807" t="s">
        <v>134</v>
      </c>
      <c r="BQ1807" t="s">
        <v>131</v>
      </c>
      <c r="BS1807" t="str">
        <f t="shared" si="107"/>
        <v>N/A</v>
      </c>
      <c r="BT1807" t="s">
        <v>135</v>
      </c>
      <c r="BU1807">
        <v>48</v>
      </c>
      <c r="BV1807" t="str">
        <f>"Researcher, Molecular biologist and related."</f>
        <v>Researcher, Molecular biologist and related.</v>
      </c>
      <c r="BW1807" t="s">
        <v>135</v>
      </c>
      <c r="BX1807" t="str">
        <f>""</f>
        <v/>
      </c>
      <c r="BY1807" t="str">
        <f>""</f>
        <v/>
      </c>
      <c r="BZ1807" t="str">
        <f>""</f>
        <v/>
      </c>
      <c r="CA1807" s="2" t="s">
        <v>9264</v>
      </c>
      <c r="CB1807" t="s">
        <v>131</v>
      </c>
      <c r="CF1807" t="s">
        <v>131</v>
      </c>
      <c r="CH1807" t="str">
        <f>""</f>
        <v/>
      </c>
      <c r="CI1807" t="s">
        <v>131</v>
      </c>
      <c r="CK1807" t="s">
        <v>131</v>
      </c>
      <c r="CL1807" t="str">
        <f>""</f>
        <v/>
      </c>
      <c r="CM1807" t="str">
        <f>""</f>
        <v/>
      </c>
      <c r="CN1807" t="str">
        <f>""</f>
        <v/>
      </c>
      <c r="CO1807" t="str">
        <f>""</f>
        <v/>
      </c>
      <c r="CP1807" t="str">
        <f>"19-1029.02"</f>
        <v>19-1029.02</v>
      </c>
      <c r="CQ1807" t="s">
        <v>4429</v>
      </c>
      <c r="CR1807" t="s">
        <v>19104</v>
      </c>
      <c r="CS1807" t="s">
        <v>131</v>
      </c>
      <c r="CU1807" t="s">
        <v>4637</v>
      </c>
      <c r="CW1807" t="s">
        <v>1546</v>
      </c>
      <c r="CX1807" t="s">
        <v>377</v>
      </c>
      <c r="CZ1807" s="3" t="str">
        <f>"02139"</f>
        <v>02139</v>
      </c>
      <c r="DA1807" t="s">
        <v>131</v>
      </c>
      <c r="DB1807" t="str">
        <f>""</f>
        <v/>
      </c>
      <c r="DF1807" t="str">
        <f>""</f>
        <v/>
      </c>
    </row>
    <row r="1808" spans="1:110" ht="15" customHeight="1" x14ac:dyDescent="0.35">
      <c r="A1808" t="s">
        <v>17342</v>
      </c>
      <c r="B1808" t="s">
        <v>138</v>
      </c>
      <c r="C1808" s="1">
        <v>44349</v>
      </c>
      <c r="G1808" s="1">
        <v>44350</v>
      </c>
      <c r="H1808" t="s">
        <v>125</v>
      </c>
      <c r="I1808" t="s">
        <v>3464</v>
      </c>
      <c r="J1808" t="s">
        <v>3465</v>
      </c>
      <c r="L1808" t="s">
        <v>1092</v>
      </c>
      <c r="M1808" t="s">
        <v>3466</v>
      </c>
      <c r="O1808" t="s">
        <v>661</v>
      </c>
      <c r="P1808" t="s">
        <v>178</v>
      </c>
      <c r="Q1808" s="3">
        <v>94404</v>
      </c>
      <c r="R1808" t="s">
        <v>128</v>
      </c>
      <c r="T1808" s="4">
        <v>16504328837</v>
      </c>
      <c r="V1808" t="s">
        <v>3467</v>
      </c>
      <c r="W1808" t="s">
        <v>4748</v>
      </c>
      <c r="Y1808" t="s">
        <v>3466</v>
      </c>
      <c r="AA1808" t="s">
        <v>661</v>
      </c>
      <c r="AB1808" t="s">
        <v>172</v>
      </c>
      <c r="AC1808" s="3" t="str">
        <f>"94404"</f>
        <v>94404</v>
      </c>
      <c r="AD1808" t="s">
        <v>128</v>
      </c>
      <c r="AF1808" s="4">
        <v>16504328837</v>
      </c>
      <c r="AH1808" t="str">
        <f>"52232"</f>
        <v>52232</v>
      </c>
      <c r="AI1808" t="s">
        <v>130</v>
      </c>
      <c r="AJ1808" t="s">
        <v>7332</v>
      </c>
      <c r="AK1808" t="s">
        <v>3468</v>
      </c>
      <c r="AL1808" t="s">
        <v>896</v>
      </c>
      <c r="AM1808" t="s">
        <v>3469</v>
      </c>
      <c r="AN1808" t="s">
        <v>619</v>
      </c>
      <c r="AO1808" t="s">
        <v>650</v>
      </c>
      <c r="AP1808" t="s">
        <v>172</v>
      </c>
      <c r="AQ1808" s="5">
        <v>95054</v>
      </c>
      <c r="AR1808" t="s">
        <v>128</v>
      </c>
      <c r="AT1808" s="4">
        <v>14692909903</v>
      </c>
      <c r="AV1808" t="s">
        <v>3470</v>
      </c>
      <c r="AW1808" t="s">
        <v>367</v>
      </c>
      <c r="AX1808" t="s">
        <v>131</v>
      </c>
      <c r="AY1808" t="s">
        <v>131</v>
      </c>
      <c r="AZ1808" t="s">
        <v>131</v>
      </c>
      <c r="BA1808" t="s">
        <v>131</v>
      </c>
      <c r="BB1808" t="s">
        <v>131</v>
      </c>
      <c r="BC1808" t="s">
        <v>131</v>
      </c>
      <c r="BD1808" t="s">
        <v>131</v>
      </c>
      <c r="BE1808" t="s">
        <v>132</v>
      </c>
      <c r="BH1808" t="s">
        <v>3471</v>
      </c>
      <c r="BI1808" t="s">
        <v>131</v>
      </c>
      <c r="BL1808" t="s">
        <v>133</v>
      </c>
      <c r="BN1808" t="s">
        <v>1317</v>
      </c>
      <c r="BO1808" t="s">
        <v>131</v>
      </c>
      <c r="BP1808" t="s">
        <v>134</v>
      </c>
      <c r="BQ1808" t="s">
        <v>131</v>
      </c>
      <c r="BS1808" t="str">
        <f t="shared" si="107"/>
        <v>N/A</v>
      </c>
      <c r="BT1808" t="s">
        <v>135</v>
      </c>
      <c r="BU1808">
        <v>60</v>
      </c>
      <c r="BV1808" t="str">
        <f>"See F.b.5.a"</f>
        <v>See F.b.5.a</v>
      </c>
      <c r="BW1808" t="s">
        <v>135</v>
      </c>
      <c r="BX1808" t="str">
        <f>""</f>
        <v/>
      </c>
      <c r="BY1808" t="str">
        <f>""</f>
        <v/>
      </c>
      <c r="BZ1808" t="str">
        <f>""</f>
        <v/>
      </c>
      <c r="CA1808" t="s">
        <v>17343</v>
      </c>
      <c r="CB1808" t="s">
        <v>135</v>
      </c>
      <c r="CC1808" t="s">
        <v>188</v>
      </c>
      <c r="CE1808" t="s">
        <v>1317</v>
      </c>
      <c r="CF1808" t="s">
        <v>131</v>
      </c>
      <c r="CH1808" t="str">
        <f>"N/A"</f>
        <v>N/A</v>
      </c>
      <c r="CI1808" t="s">
        <v>135</v>
      </c>
      <c r="CJ1808">
        <v>36</v>
      </c>
      <c r="CK1808" t="s">
        <v>135</v>
      </c>
      <c r="CL1808" t="str">
        <f>""</f>
        <v/>
      </c>
      <c r="CM1808" t="str">
        <f>""</f>
        <v/>
      </c>
      <c r="CN1808" t="str">
        <f>""</f>
        <v/>
      </c>
      <c r="CO1808" t="str">
        <f>"See F.b.5.a"</f>
        <v>See F.b.5.a</v>
      </c>
      <c r="CP1808" t="str">
        <f>"15-1132.00"</f>
        <v>15-1132.00</v>
      </c>
      <c r="CQ1808" t="s">
        <v>198</v>
      </c>
      <c r="CS1808" t="s">
        <v>131</v>
      </c>
      <c r="CU1808" t="s">
        <v>17344</v>
      </c>
      <c r="CV1808" t="s">
        <v>3472</v>
      </c>
      <c r="CW1808" t="s">
        <v>1040</v>
      </c>
      <c r="CX1808" t="s">
        <v>400</v>
      </c>
      <c r="CZ1808" s="3" t="str">
        <f>"78759"</f>
        <v>78759</v>
      </c>
      <c r="DA1808" t="s">
        <v>131</v>
      </c>
      <c r="DB1808" t="str">
        <f>""</f>
        <v/>
      </c>
      <c r="DF1808" t="str">
        <f>""</f>
        <v/>
      </c>
    </row>
    <row r="1809" spans="1:110" ht="15" customHeight="1" x14ac:dyDescent="0.35">
      <c r="A1809" t="s">
        <v>9259</v>
      </c>
      <c r="B1809" t="s">
        <v>138</v>
      </c>
      <c r="C1809" s="1">
        <v>44349</v>
      </c>
      <c r="G1809" s="1">
        <v>44349</v>
      </c>
      <c r="H1809" t="s">
        <v>125</v>
      </c>
      <c r="I1809" t="s">
        <v>4634</v>
      </c>
      <c r="J1809" t="s">
        <v>4635</v>
      </c>
      <c r="L1809" t="s">
        <v>4636</v>
      </c>
      <c r="M1809" t="s">
        <v>4637</v>
      </c>
      <c r="N1809" t="s">
        <v>997</v>
      </c>
      <c r="O1809" t="s">
        <v>7353</v>
      </c>
      <c r="P1809" t="s">
        <v>720</v>
      </c>
      <c r="Q1809" s="3">
        <v>2139</v>
      </c>
      <c r="R1809" t="s">
        <v>128</v>
      </c>
      <c r="T1809" s="4">
        <v>16178697212</v>
      </c>
      <c r="V1809" t="s">
        <v>9260</v>
      </c>
      <c r="W1809" t="s">
        <v>9261</v>
      </c>
      <c r="Y1809" t="s">
        <v>4637</v>
      </c>
      <c r="Z1809" t="s">
        <v>997</v>
      </c>
      <c r="AA1809" t="s">
        <v>1546</v>
      </c>
      <c r="AB1809" t="s">
        <v>377</v>
      </c>
      <c r="AC1809" s="3" t="str">
        <f>"02139"</f>
        <v>02139</v>
      </c>
      <c r="AD1809" t="s">
        <v>128</v>
      </c>
      <c r="AF1809" s="4">
        <v>16178697212</v>
      </c>
      <c r="AH1809" t="str">
        <f>"32541"</f>
        <v>32541</v>
      </c>
      <c r="AI1809" t="s">
        <v>130</v>
      </c>
      <c r="AJ1809" t="s">
        <v>4639</v>
      </c>
      <c r="AK1809" t="s">
        <v>704</v>
      </c>
      <c r="AL1809" t="s">
        <v>435</v>
      </c>
      <c r="AM1809" t="s">
        <v>4640</v>
      </c>
      <c r="AO1809" t="s">
        <v>1546</v>
      </c>
      <c r="AP1809" t="s">
        <v>377</v>
      </c>
      <c r="AQ1809" s="5">
        <v>2140</v>
      </c>
      <c r="AR1809" t="s">
        <v>128</v>
      </c>
      <c r="AT1809" s="4">
        <v>16174980900</v>
      </c>
      <c r="AV1809" t="s">
        <v>4641</v>
      </c>
      <c r="AW1809" t="s">
        <v>4642</v>
      </c>
      <c r="AX1809" t="s">
        <v>131</v>
      </c>
      <c r="AY1809" t="s">
        <v>131</v>
      </c>
      <c r="AZ1809" t="s">
        <v>131</v>
      </c>
      <c r="BA1809" t="s">
        <v>131</v>
      </c>
      <c r="BB1809" t="s">
        <v>131</v>
      </c>
      <c r="BC1809" t="s">
        <v>131</v>
      </c>
      <c r="BD1809" t="s">
        <v>131</v>
      </c>
      <c r="BE1809" t="s">
        <v>132</v>
      </c>
      <c r="BH1809" t="s">
        <v>9262</v>
      </c>
      <c r="BI1809" t="s">
        <v>135</v>
      </c>
      <c r="BJ1809" t="s">
        <v>4428</v>
      </c>
      <c r="BK1809" t="s">
        <v>4429</v>
      </c>
      <c r="BL1809" t="s">
        <v>447</v>
      </c>
      <c r="BN1809" t="s">
        <v>9263</v>
      </c>
      <c r="BO1809" t="s">
        <v>131</v>
      </c>
      <c r="BP1809" t="s">
        <v>134</v>
      </c>
      <c r="BQ1809" t="s">
        <v>131</v>
      </c>
      <c r="BS1809" t="str">
        <f t="shared" si="107"/>
        <v>N/A</v>
      </c>
      <c r="BT1809" t="s">
        <v>135</v>
      </c>
      <c r="BU1809">
        <v>48</v>
      </c>
      <c r="BV1809" t="str">
        <f>"Any relevant researcher occupation generally in the molecular and cellular biologist field."</f>
        <v>Any relevant researcher occupation generally in the molecular and cellular biologist field.</v>
      </c>
      <c r="BW1809" t="s">
        <v>135</v>
      </c>
      <c r="BX1809" t="str">
        <f>""</f>
        <v/>
      </c>
      <c r="BY1809" t="str">
        <f>""</f>
        <v/>
      </c>
      <c r="BZ1809" t="str">
        <f>""</f>
        <v/>
      </c>
      <c r="CA1809" s="2" t="s">
        <v>9264</v>
      </c>
      <c r="CB1809" t="s">
        <v>131</v>
      </c>
      <c r="CF1809" t="s">
        <v>131</v>
      </c>
      <c r="CH1809" t="str">
        <f>""</f>
        <v/>
      </c>
      <c r="CI1809" t="s">
        <v>131</v>
      </c>
      <c r="CK1809" t="s">
        <v>131</v>
      </c>
      <c r="CL1809" t="str">
        <f>""</f>
        <v/>
      </c>
      <c r="CM1809" t="str">
        <f>""</f>
        <v/>
      </c>
      <c r="CN1809" t="str">
        <f>""</f>
        <v/>
      </c>
      <c r="CO1809" t="str">
        <f>""</f>
        <v/>
      </c>
      <c r="CP1809" t="str">
        <f>"19-1029.02"</f>
        <v>19-1029.02</v>
      </c>
      <c r="CQ1809" t="s">
        <v>4429</v>
      </c>
      <c r="CR1809" t="s">
        <v>9265</v>
      </c>
      <c r="CS1809" t="s">
        <v>131</v>
      </c>
      <c r="CU1809" t="s">
        <v>4637</v>
      </c>
      <c r="CV1809" t="s">
        <v>997</v>
      </c>
      <c r="CW1809" t="s">
        <v>1546</v>
      </c>
      <c r="CX1809" t="s">
        <v>377</v>
      </c>
      <c r="CZ1809" s="3" t="str">
        <f>"02139"</f>
        <v>02139</v>
      </c>
      <c r="DA1809" t="s">
        <v>131</v>
      </c>
      <c r="DB1809" t="str">
        <f>""</f>
        <v/>
      </c>
      <c r="DF1809" t="str">
        <f>""</f>
        <v/>
      </c>
    </row>
    <row r="1810" spans="1:110" ht="15" customHeight="1" x14ac:dyDescent="0.35">
      <c r="A1810" t="s">
        <v>14817</v>
      </c>
      <c r="B1810" t="s">
        <v>138</v>
      </c>
      <c r="C1810" s="1">
        <v>44349</v>
      </c>
      <c r="G1810" s="1">
        <v>44356</v>
      </c>
      <c r="H1810" t="s">
        <v>125</v>
      </c>
      <c r="I1810" t="s">
        <v>12547</v>
      </c>
      <c r="J1810" t="s">
        <v>12548</v>
      </c>
      <c r="L1810" t="s">
        <v>12549</v>
      </c>
      <c r="M1810" t="s">
        <v>10539</v>
      </c>
      <c r="N1810" t="s">
        <v>985</v>
      </c>
      <c r="O1810" t="s">
        <v>523</v>
      </c>
      <c r="P1810" t="s">
        <v>178</v>
      </c>
      <c r="Q1810" s="3">
        <v>94104</v>
      </c>
      <c r="R1810" t="s">
        <v>128</v>
      </c>
      <c r="T1810" s="4">
        <v>14158396885</v>
      </c>
      <c r="V1810" t="s">
        <v>14818</v>
      </c>
      <c r="W1810" t="s">
        <v>12551</v>
      </c>
      <c r="Y1810" t="s">
        <v>10539</v>
      </c>
      <c r="Z1810" t="s">
        <v>985</v>
      </c>
      <c r="AA1810" t="s">
        <v>220</v>
      </c>
      <c r="AB1810" t="s">
        <v>172</v>
      </c>
      <c r="AC1810" s="3" t="str">
        <f>"94104"</f>
        <v>94104</v>
      </c>
      <c r="AD1810" t="s">
        <v>128</v>
      </c>
      <c r="AF1810" s="4">
        <v>14158396885</v>
      </c>
      <c r="AH1810" t="str">
        <f>"51119"</f>
        <v>51119</v>
      </c>
      <c r="AI1810" t="s">
        <v>130</v>
      </c>
      <c r="AJ1810" t="s">
        <v>1775</v>
      </c>
      <c r="AK1810" t="s">
        <v>804</v>
      </c>
      <c r="AL1810" t="s">
        <v>474</v>
      </c>
      <c r="AM1810" t="s">
        <v>5092</v>
      </c>
      <c r="AN1810" t="s">
        <v>2823</v>
      </c>
      <c r="AO1810" t="s">
        <v>523</v>
      </c>
      <c r="AP1810" t="s">
        <v>172</v>
      </c>
      <c r="AQ1810" s="5">
        <v>94111</v>
      </c>
      <c r="AR1810" t="s">
        <v>128</v>
      </c>
      <c r="AT1810" s="4">
        <v>14153959331</v>
      </c>
      <c r="AU1810">
        <v>320</v>
      </c>
      <c r="AV1810" t="s">
        <v>12552</v>
      </c>
      <c r="AW1810" t="s">
        <v>5094</v>
      </c>
      <c r="AX1810" t="s">
        <v>131</v>
      </c>
      <c r="AY1810" t="s">
        <v>131</v>
      </c>
      <c r="AZ1810" t="s">
        <v>131</v>
      </c>
      <c r="BA1810" t="s">
        <v>131</v>
      </c>
      <c r="BB1810" t="s">
        <v>131</v>
      </c>
      <c r="BC1810" t="s">
        <v>131</v>
      </c>
      <c r="BD1810" t="s">
        <v>131</v>
      </c>
      <c r="BE1810" t="s">
        <v>132</v>
      </c>
      <c r="BH1810" t="s">
        <v>2693</v>
      </c>
      <c r="BI1810" t="s">
        <v>131</v>
      </c>
      <c r="BL1810" t="s">
        <v>188</v>
      </c>
      <c r="BN1810" t="s">
        <v>14819</v>
      </c>
      <c r="BO1810" t="s">
        <v>131</v>
      </c>
      <c r="BP1810" t="s">
        <v>134</v>
      </c>
      <c r="BQ1810" t="s">
        <v>131</v>
      </c>
      <c r="BS1810" t="str">
        <f t="shared" si="107"/>
        <v>N/A</v>
      </c>
      <c r="BT1810" t="s">
        <v>135</v>
      </c>
      <c r="BU1810">
        <v>24</v>
      </c>
      <c r="BV1810" t="str">
        <f>"An occupation involving experience building data products and workflows to deliver data insights."</f>
        <v>An occupation involving experience building data products and workflows to deliver data insights.</v>
      </c>
      <c r="BW1810" t="s">
        <v>135</v>
      </c>
      <c r="BX1810" t="str">
        <f>""</f>
        <v/>
      </c>
      <c r="BY1810" t="str">
        <f>""</f>
        <v/>
      </c>
      <c r="BZ1810" t="str">
        <f>""</f>
        <v/>
      </c>
      <c r="CA1810" t="s">
        <v>14820</v>
      </c>
      <c r="CB1810" t="s">
        <v>135</v>
      </c>
      <c r="CC1810" t="s">
        <v>133</v>
      </c>
      <c r="CE1810" t="s">
        <v>14819</v>
      </c>
      <c r="CF1810" t="s">
        <v>131</v>
      </c>
      <c r="CH1810" t="str">
        <f>"N/A"</f>
        <v>N/A</v>
      </c>
      <c r="CI1810" t="s">
        <v>135</v>
      </c>
      <c r="CJ1810">
        <v>60</v>
      </c>
      <c r="CK1810" t="s">
        <v>135</v>
      </c>
      <c r="CL1810" t="str">
        <f>""</f>
        <v/>
      </c>
      <c r="CM1810" t="str">
        <f>""</f>
        <v/>
      </c>
      <c r="CN1810" t="str">
        <f>""</f>
        <v/>
      </c>
      <c r="CO1810" t="s">
        <v>14820</v>
      </c>
      <c r="CP1810" t="str">
        <f>"15-2041.00"</f>
        <v>15-2041.00</v>
      </c>
      <c r="CQ1810" t="s">
        <v>379</v>
      </c>
      <c r="CR1810" t="s">
        <v>12216</v>
      </c>
      <c r="CS1810" t="s">
        <v>131</v>
      </c>
      <c r="CU1810" t="s">
        <v>14821</v>
      </c>
      <c r="CV1810" t="s">
        <v>14822</v>
      </c>
      <c r="CW1810" t="s">
        <v>3034</v>
      </c>
      <c r="CX1810" t="s">
        <v>129</v>
      </c>
      <c r="CZ1810" s="3" t="str">
        <f>"11109"</f>
        <v>11109</v>
      </c>
      <c r="DA1810" t="s">
        <v>131</v>
      </c>
      <c r="DB1810" t="str">
        <f>""</f>
        <v/>
      </c>
      <c r="DF1810" t="str">
        <f>""</f>
        <v/>
      </c>
    </row>
    <row r="1811" spans="1:110" ht="15" customHeight="1" x14ac:dyDescent="0.35">
      <c r="A1811" t="s">
        <v>18295</v>
      </c>
      <c r="B1811" t="s">
        <v>138</v>
      </c>
      <c r="C1811" s="1">
        <v>44349</v>
      </c>
      <c r="G1811" s="1">
        <v>44349</v>
      </c>
      <c r="H1811" t="s">
        <v>125</v>
      </c>
      <c r="I1811" t="s">
        <v>18296</v>
      </c>
      <c r="J1811" t="s">
        <v>12492</v>
      </c>
      <c r="L1811" t="s">
        <v>460</v>
      </c>
      <c r="M1811" t="s">
        <v>18297</v>
      </c>
      <c r="O1811" t="s">
        <v>1206</v>
      </c>
      <c r="P1811" t="s">
        <v>194</v>
      </c>
      <c r="Q1811" s="3">
        <v>34237</v>
      </c>
      <c r="R1811" t="s">
        <v>128</v>
      </c>
      <c r="T1811" s="4">
        <v>19413665648</v>
      </c>
      <c r="V1811" t="s">
        <v>18298</v>
      </c>
      <c r="W1811" t="s">
        <v>18299</v>
      </c>
      <c r="X1811" t="s">
        <v>18300</v>
      </c>
      <c r="Y1811" t="s">
        <v>18297</v>
      </c>
      <c r="AA1811" t="s">
        <v>1206</v>
      </c>
      <c r="AB1811" t="s">
        <v>195</v>
      </c>
      <c r="AC1811" s="3" t="str">
        <f>"34236"</f>
        <v>34236</v>
      </c>
      <c r="AD1811" t="s">
        <v>128</v>
      </c>
      <c r="AF1811" s="4">
        <v>19413665648</v>
      </c>
      <c r="AH1811" t="str">
        <f>"722511"</f>
        <v>722511</v>
      </c>
      <c r="AI1811" t="s">
        <v>130</v>
      </c>
      <c r="AJ1811" t="s">
        <v>18301</v>
      </c>
      <c r="AK1811" t="s">
        <v>18302</v>
      </c>
      <c r="AM1811" t="s">
        <v>18303</v>
      </c>
      <c r="AO1811" t="s">
        <v>1206</v>
      </c>
      <c r="AP1811" t="s">
        <v>195</v>
      </c>
      <c r="AQ1811" s="5">
        <v>34237</v>
      </c>
      <c r="AR1811" t="s">
        <v>128</v>
      </c>
      <c r="AT1811" s="4">
        <v>19413669841</v>
      </c>
      <c r="AV1811" t="s">
        <v>18304</v>
      </c>
      <c r="AW1811" t="s">
        <v>18305</v>
      </c>
      <c r="AX1811" t="s">
        <v>131</v>
      </c>
      <c r="AY1811" t="s">
        <v>131</v>
      </c>
      <c r="AZ1811" t="s">
        <v>131</v>
      </c>
      <c r="BA1811" t="s">
        <v>131</v>
      </c>
      <c r="BB1811" t="s">
        <v>131</v>
      </c>
      <c r="BC1811" t="s">
        <v>131</v>
      </c>
      <c r="BD1811" t="s">
        <v>131</v>
      </c>
      <c r="BE1811" t="s">
        <v>132</v>
      </c>
      <c r="BH1811" t="s">
        <v>18306</v>
      </c>
      <c r="BI1811" t="s">
        <v>135</v>
      </c>
      <c r="BJ1811" t="s">
        <v>14297</v>
      </c>
      <c r="BK1811" t="s">
        <v>14298</v>
      </c>
      <c r="BL1811" t="s">
        <v>167</v>
      </c>
      <c r="BO1811" t="s">
        <v>131</v>
      </c>
      <c r="BP1811" t="s">
        <v>134</v>
      </c>
      <c r="BQ1811" t="s">
        <v>131</v>
      </c>
      <c r="BS1811" t="str">
        <f t="shared" si="107"/>
        <v>N/A</v>
      </c>
      <c r="BT1811" t="s">
        <v>135</v>
      </c>
      <c r="BU1811">
        <v>24</v>
      </c>
      <c r="BV1811" t="str">
        <f>"Italian Restaurant Manager  "</f>
        <v xml:space="preserve">Italian Restaurant Manager  </v>
      </c>
      <c r="BW1811" t="s">
        <v>131</v>
      </c>
      <c r="BX1811" t="str">
        <f>""</f>
        <v/>
      </c>
      <c r="BY1811" t="str">
        <f>""</f>
        <v/>
      </c>
      <c r="BZ1811" t="str">
        <f>""</f>
        <v/>
      </c>
      <c r="CA1811" t="str">
        <f>""</f>
        <v/>
      </c>
      <c r="CB1811" t="s">
        <v>131</v>
      </c>
      <c r="CF1811" t="s">
        <v>131</v>
      </c>
      <c r="CH1811" t="str">
        <f>""</f>
        <v/>
      </c>
      <c r="CI1811" t="s">
        <v>131</v>
      </c>
      <c r="CK1811" t="s">
        <v>131</v>
      </c>
      <c r="CL1811" t="str">
        <f>""</f>
        <v/>
      </c>
      <c r="CM1811" t="str">
        <f>""</f>
        <v/>
      </c>
      <c r="CN1811" t="str">
        <f>""</f>
        <v/>
      </c>
      <c r="CO1811" t="str">
        <f>""</f>
        <v/>
      </c>
      <c r="CP1811" t="str">
        <f>"11-9051.00"</f>
        <v>11-9051.00</v>
      </c>
      <c r="CQ1811" t="s">
        <v>4761</v>
      </c>
      <c r="CR1811" t="s">
        <v>1205</v>
      </c>
      <c r="CS1811" t="s">
        <v>131</v>
      </c>
      <c r="CU1811" t="s">
        <v>18297</v>
      </c>
      <c r="CW1811" t="s">
        <v>1206</v>
      </c>
      <c r="CX1811" t="s">
        <v>195</v>
      </c>
      <c r="CZ1811" s="3" t="str">
        <f>"34236"</f>
        <v>34236</v>
      </c>
      <c r="DA1811" t="s">
        <v>131</v>
      </c>
      <c r="DB1811" t="str">
        <f>""</f>
        <v/>
      </c>
      <c r="DF1811" t="str">
        <f>""</f>
        <v/>
      </c>
    </row>
    <row r="1812" spans="1:110" ht="15" customHeight="1" x14ac:dyDescent="0.35">
      <c r="A1812" t="s">
        <v>19566</v>
      </c>
      <c r="B1812" t="s">
        <v>138</v>
      </c>
      <c r="C1812" s="1">
        <v>44349</v>
      </c>
      <c r="G1812" s="1">
        <v>44350</v>
      </c>
      <c r="H1812" t="s">
        <v>125</v>
      </c>
      <c r="I1812" t="s">
        <v>293</v>
      </c>
      <c r="J1812" t="s">
        <v>294</v>
      </c>
      <c r="K1812" t="s">
        <v>295</v>
      </c>
      <c r="L1812" t="s">
        <v>296</v>
      </c>
      <c r="M1812" t="s">
        <v>224</v>
      </c>
      <c r="N1812" t="s">
        <v>297</v>
      </c>
      <c r="O1812" t="s">
        <v>228</v>
      </c>
      <c r="P1812" t="s">
        <v>226</v>
      </c>
      <c r="Q1812" s="3">
        <v>46278</v>
      </c>
      <c r="R1812" t="s">
        <v>128</v>
      </c>
      <c r="T1812" s="4">
        <v>13173282866</v>
      </c>
      <c r="V1812" t="s">
        <v>298</v>
      </c>
      <c r="W1812" t="s">
        <v>299</v>
      </c>
      <c r="X1812" t="s">
        <v>300</v>
      </c>
      <c r="Y1812" t="s">
        <v>224</v>
      </c>
      <c r="Z1812" t="s">
        <v>297</v>
      </c>
      <c r="AA1812" t="s">
        <v>228</v>
      </c>
      <c r="AB1812" t="s">
        <v>229</v>
      </c>
      <c r="AC1812" s="3" t="str">
        <f>"46278"</f>
        <v>46278</v>
      </c>
      <c r="AD1812" t="s">
        <v>128</v>
      </c>
      <c r="AF1812" s="4">
        <v>13173282866</v>
      </c>
      <c r="AH1812" t="str">
        <f>"561330"</f>
        <v>561330</v>
      </c>
      <c r="AI1812" t="s">
        <v>167</v>
      </c>
      <c r="AX1812" t="s">
        <v>131</v>
      </c>
      <c r="AY1812" t="s">
        <v>131</v>
      </c>
      <c r="AZ1812" t="s">
        <v>131</v>
      </c>
      <c r="BA1812" t="s">
        <v>131</v>
      </c>
      <c r="BB1812" t="s">
        <v>131</v>
      </c>
      <c r="BC1812" t="s">
        <v>131</v>
      </c>
      <c r="BD1812" t="s">
        <v>131</v>
      </c>
      <c r="BE1812" t="s">
        <v>132</v>
      </c>
      <c r="BH1812" t="s">
        <v>230</v>
      </c>
      <c r="BI1812" t="s">
        <v>131</v>
      </c>
      <c r="BL1812" t="s">
        <v>307</v>
      </c>
      <c r="BN1812" t="s">
        <v>3386</v>
      </c>
      <c r="BO1812" t="s">
        <v>131</v>
      </c>
      <c r="BP1812" t="s">
        <v>134</v>
      </c>
      <c r="BQ1812" t="s">
        <v>131</v>
      </c>
      <c r="BS1812" t="str">
        <f t="shared" si="107"/>
        <v>N/A</v>
      </c>
      <c r="BT1812" t="s">
        <v>131</v>
      </c>
      <c r="BV1812" t="str">
        <f>""</f>
        <v/>
      </c>
      <c r="BW1812" t="s">
        <v>135</v>
      </c>
      <c r="BX1812" t="str">
        <f>"NCLEX PASSER OR POSSESSES A US RN LICENSE. COMPACT RN STATE LICENSE ACCEPTABLE. ELIGIBLE TO PRACTICE AS A REGISTERED NURSE.
"</f>
        <v xml:space="preserve">NCLEX PASSER OR POSSESSES A US RN LICENSE. COMPACT RN STATE LICENSE ACCEPTABLE. ELIGIBLE TO PRACTICE AS A REGISTERED NURSE.
</v>
      </c>
      <c r="BY1812" t="str">
        <f>""</f>
        <v/>
      </c>
      <c r="BZ1812" t="str">
        <f>""</f>
        <v/>
      </c>
      <c r="CA1812" t="str">
        <f>""</f>
        <v/>
      </c>
      <c r="CB1812" t="s">
        <v>131</v>
      </c>
      <c r="CF1812" t="s">
        <v>131</v>
      </c>
      <c r="CH1812" t="str">
        <f>""</f>
        <v/>
      </c>
      <c r="CI1812" t="s">
        <v>131</v>
      </c>
      <c r="CK1812" t="s">
        <v>131</v>
      </c>
      <c r="CL1812" t="str">
        <f>""</f>
        <v/>
      </c>
      <c r="CM1812" t="str">
        <f>""</f>
        <v/>
      </c>
      <c r="CN1812" t="str">
        <f>""</f>
        <v/>
      </c>
      <c r="CO1812" t="str">
        <f>""</f>
        <v/>
      </c>
      <c r="CP1812" t="str">
        <f>"29-1141.00"</f>
        <v>29-1141.00</v>
      </c>
      <c r="CQ1812" t="s">
        <v>232</v>
      </c>
      <c r="CR1812" t="s">
        <v>233</v>
      </c>
      <c r="CS1812" t="s">
        <v>131</v>
      </c>
      <c r="CU1812" t="s">
        <v>10107</v>
      </c>
      <c r="CV1812" t="s">
        <v>10108</v>
      </c>
      <c r="CW1812" t="s">
        <v>10109</v>
      </c>
      <c r="CX1812" t="s">
        <v>808</v>
      </c>
      <c r="CZ1812" s="3" t="str">
        <f>"86504"</f>
        <v>86504</v>
      </c>
      <c r="DA1812" t="s">
        <v>131</v>
      </c>
      <c r="DB1812" t="str">
        <f>""</f>
        <v/>
      </c>
      <c r="DF1812" t="str">
        <f>""</f>
        <v/>
      </c>
    </row>
    <row r="1813" spans="1:110" ht="15" customHeight="1" x14ac:dyDescent="0.35">
      <c r="A1813" t="s">
        <v>7971</v>
      </c>
      <c r="B1813" t="s">
        <v>138</v>
      </c>
      <c r="C1813" s="1">
        <v>44349</v>
      </c>
      <c r="G1813" s="1">
        <v>44350</v>
      </c>
      <c r="H1813" t="s">
        <v>125</v>
      </c>
      <c r="I1813" t="s">
        <v>1552</v>
      </c>
      <c r="J1813" t="s">
        <v>1553</v>
      </c>
      <c r="L1813" t="s">
        <v>1554</v>
      </c>
      <c r="M1813" t="s">
        <v>1555</v>
      </c>
      <c r="O1813" t="s">
        <v>1556</v>
      </c>
      <c r="P1813" t="s">
        <v>178</v>
      </c>
      <c r="Q1813" s="3">
        <v>95014</v>
      </c>
      <c r="R1813" t="s">
        <v>128</v>
      </c>
      <c r="T1813" s="4">
        <v>14089742562</v>
      </c>
      <c r="V1813" t="s">
        <v>1564</v>
      </c>
      <c r="W1813" t="s">
        <v>1558</v>
      </c>
      <c r="Y1813" t="s">
        <v>1559</v>
      </c>
      <c r="AA1813" t="s">
        <v>1560</v>
      </c>
      <c r="AB1813" t="s">
        <v>172</v>
      </c>
      <c r="AC1813" s="3" t="str">
        <f>"95014"</f>
        <v>95014</v>
      </c>
      <c r="AD1813" t="s">
        <v>128</v>
      </c>
      <c r="AF1813" s="4">
        <v>14089742562</v>
      </c>
      <c r="AH1813" t="str">
        <f>"33411"</f>
        <v>33411</v>
      </c>
      <c r="AI1813" t="s">
        <v>130</v>
      </c>
      <c r="AJ1813" t="s">
        <v>3295</v>
      </c>
      <c r="AK1813" t="s">
        <v>2739</v>
      </c>
      <c r="AM1813" t="s">
        <v>1563</v>
      </c>
      <c r="AN1813" t="s">
        <v>997</v>
      </c>
      <c r="AO1813" t="s">
        <v>944</v>
      </c>
      <c r="AP1813" t="s">
        <v>172</v>
      </c>
      <c r="AQ1813" s="5">
        <v>94111</v>
      </c>
      <c r="AR1813" t="s">
        <v>128</v>
      </c>
      <c r="AT1813" s="4">
        <v>14159861446</v>
      </c>
      <c r="AV1813" t="s">
        <v>1564</v>
      </c>
      <c r="AW1813" t="s">
        <v>386</v>
      </c>
      <c r="AX1813" t="s">
        <v>131</v>
      </c>
      <c r="AY1813" t="s">
        <v>131</v>
      </c>
      <c r="AZ1813" t="s">
        <v>131</v>
      </c>
      <c r="BA1813" t="s">
        <v>131</v>
      </c>
      <c r="BB1813" t="s">
        <v>131</v>
      </c>
      <c r="BC1813" t="s">
        <v>131</v>
      </c>
      <c r="BD1813" t="s">
        <v>131</v>
      </c>
      <c r="BE1813" t="s">
        <v>160</v>
      </c>
      <c r="BF1813" t="s">
        <v>2242</v>
      </c>
      <c r="BG1813" s="1">
        <v>44270</v>
      </c>
      <c r="BH1813" t="s">
        <v>3907</v>
      </c>
      <c r="BI1813" t="s">
        <v>131</v>
      </c>
      <c r="BL1813" t="s">
        <v>188</v>
      </c>
      <c r="BN1813" t="s">
        <v>3069</v>
      </c>
      <c r="BO1813" t="s">
        <v>131</v>
      </c>
      <c r="BP1813" t="s">
        <v>134</v>
      </c>
      <c r="BQ1813" t="s">
        <v>131</v>
      </c>
      <c r="BS1813" t="str">
        <f t="shared" si="107"/>
        <v>N/A</v>
      </c>
      <c r="BT1813" t="s">
        <v>135</v>
      </c>
      <c r="BU1813">
        <v>6</v>
      </c>
      <c r="BV1813" t="str">
        <f>"See Section F.a.2"</f>
        <v>See Section F.a.2</v>
      </c>
      <c r="BW1813" t="s">
        <v>135</v>
      </c>
      <c r="BX1813" t="str">
        <f>""</f>
        <v/>
      </c>
      <c r="BY1813" t="str">
        <f>""</f>
        <v/>
      </c>
      <c r="BZ1813" t="str">
        <f>""</f>
        <v/>
      </c>
      <c r="CA1813" t="str">
        <f>"See Section F.a.2"</f>
        <v>See Section F.a.2</v>
      </c>
      <c r="CB1813" t="s">
        <v>131</v>
      </c>
      <c r="CF1813" t="s">
        <v>131</v>
      </c>
      <c r="CH1813" t="str">
        <f>""</f>
        <v/>
      </c>
      <c r="CI1813" t="s">
        <v>131</v>
      </c>
      <c r="CK1813" t="s">
        <v>131</v>
      </c>
      <c r="CL1813" t="str">
        <f>""</f>
        <v/>
      </c>
      <c r="CM1813" t="str">
        <f>""</f>
        <v/>
      </c>
      <c r="CN1813" t="str">
        <f>""</f>
        <v/>
      </c>
      <c r="CO1813" t="str">
        <f>""</f>
        <v/>
      </c>
      <c r="CP1813" t="str">
        <f>"15-1133.00"</f>
        <v>15-1133.00</v>
      </c>
      <c r="CQ1813" t="s">
        <v>648</v>
      </c>
      <c r="CR1813" t="s">
        <v>7972</v>
      </c>
      <c r="CS1813" t="s">
        <v>131</v>
      </c>
      <c r="CU1813" t="s">
        <v>1555</v>
      </c>
      <c r="CW1813" t="s">
        <v>1556</v>
      </c>
      <c r="CX1813" t="s">
        <v>172</v>
      </c>
      <c r="CZ1813" s="3" t="str">
        <f>"95014"</f>
        <v>95014</v>
      </c>
      <c r="DA1813" t="s">
        <v>131</v>
      </c>
      <c r="DB1813" t="str">
        <f>""</f>
        <v/>
      </c>
      <c r="DF1813" t="str">
        <f>""</f>
        <v/>
      </c>
    </row>
    <row r="1814" spans="1:110" ht="15" customHeight="1" x14ac:dyDescent="0.35">
      <c r="A1814" t="s">
        <v>19838</v>
      </c>
      <c r="B1814" t="s">
        <v>138</v>
      </c>
      <c r="C1814" s="1">
        <v>44349</v>
      </c>
      <c r="G1814" s="1">
        <v>44350</v>
      </c>
      <c r="H1814" t="s">
        <v>125</v>
      </c>
      <c r="I1814" t="s">
        <v>293</v>
      </c>
      <c r="J1814" t="s">
        <v>294</v>
      </c>
      <c r="K1814" t="s">
        <v>295</v>
      </c>
      <c r="L1814" t="s">
        <v>296</v>
      </c>
      <c r="M1814" t="s">
        <v>224</v>
      </c>
      <c r="N1814" t="s">
        <v>297</v>
      </c>
      <c r="O1814" t="s">
        <v>228</v>
      </c>
      <c r="P1814" t="s">
        <v>226</v>
      </c>
      <c r="Q1814" s="3">
        <v>46278</v>
      </c>
      <c r="R1814" t="s">
        <v>128</v>
      </c>
      <c r="T1814" s="4">
        <v>13173282866</v>
      </c>
      <c r="V1814" t="s">
        <v>298</v>
      </c>
      <c r="W1814" t="s">
        <v>299</v>
      </c>
      <c r="X1814" t="s">
        <v>300</v>
      </c>
      <c r="Y1814" t="s">
        <v>224</v>
      </c>
      <c r="Z1814" t="s">
        <v>297</v>
      </c>
      <c r="AA1814" t="s">
        <v>228</v>
      </c>
      <c r="AB1814" t="s">
        <v>229</v>
      </c>
      <c r="AC1814" s="3" t="str">
        <f>"46278"</f>
        <v>46278</v>
      </c>
      <c r="AD1814" t="s">
        <v>128</v>
      </c>
      <c r="AF1814" s="4">
        <v>13173282866</v>
      </c>
      <c r="AH1814" t="str">
        <f>"561330"</f>
        <v>561330</v>
      </c>
      <c r="AI1814" t="s">
        <v>167</v>
      </c>
      <c r="AX1814" t="s">
        <v>131</v>
      </c>
      <c r="AY1814" t="s">
        <v>131</v>
      </c>
      <c r="AZ1814" t="s">
        <v>131</v>
      </c>
      <c r="BA1814" t="s">
        <v>131</v>
      </c>
      <c r="BB1814" t="s">
        <v>131</v>
      </c>
      <c r="BC1814" t="s">
        <v>131</v>
      </c>
      <c r="BD1814" t="s">
        <v>131</v>
      </c>
      <c r="BE1814" t="s">
        <v>132</v>
      </c>
      <c r="BH1814" t="s">
        <v>230</v>
      </c>
      <c r="BI1814" t="s">
        <v>131</v>
      </c>
      <c r="BL1814" t="s">
        <v>307</v>
      </c>
      <c r="BN1814" s="2" t="s">
        <v>231</v>
      </c>
      <c r="BO1814" t="s">
        <v>131</v>
      </c>
      <c r="BP1814" t="s">
        <v>134</v>
      </c>
      <c r="BQ1814" t="s">
        <v>131</v>
      </c>
      <c r="BS1814" t="str">
        <f t="shared" si="107"/>
        <v>N/A</v>
      </c>
      <c r="BT1814" t="s">
        <v>131</v>
      </c>
      <c r="BV1814" t="str">
        <f>""</f>
        <v/>
      </c>
      <c r="BW1814" t="s">
        <v>135</v>
      </c>
      <c r="BX1814" t="str">
        <f>"NCLEX PASSER OR POSSESSES A US RN LICENSE. COMPACT RN STATE LICENSE ACCEPTABLE. ELIGIBLE TO PRACTICE AS A REGISTERED NURSE.
"</f>
        <v xml:space="preserve">NCLEX PASSER OR POSSESSES A US RN LICENSE. COMPACT RN STATE LICENSE ACCEPTABLE. ELIGIBLE TO PRACTICE AS A REGISTERED NURSE.
</v>
      </c>
      <c r="BY1814" t="str">
        <f>""</f>
        <v/>
      </c>
      <c r="BZ1814" t="str">
        <f>""</f>
        <v/>
      </c>
      <c r="CA1814" t="str">
        <f>""</f>
        <v/>
      </c>
      <c r="CB1814" t="s">
        <v>131</v>
      </c>
      <c r="CF1814" t="s">
        <v>131</v>
      </c>
      <c r="CH1814" t="str">
        <f>""</f>
        <v/>
      </c>
      <c r="CI1814" t="s">
        <v>131</v>
      </c>
      <c r="CK1814" t="s">
        <v>131</v>
      </c>
      <c r="CL1814" t="str">
        <f>""</f>
        <v/>
      </c>
      <c r="CM1814" t="str">
        <f>""</f>
        <v/>
      </c>
      <c r="CN1814" t="str">
        <f>""</f>
        <v/>
      </c>
      <c r="CO1814" t="str">
        <f>""</f>
        <v/>
      </c>
      <c r="CP1814" t="str">
        <f>"29-1141.00"</f>
        <v>29-1141.00</v>
      </c>
      <c r="CQ1814" t="s">
        <v>232</v>
      </c>
      <c r="CR1814" t="s">
        <v>233</v>
      </c>
      <c r="CS1814" t="s">
        <v>131</v>
      </c>
      <c r="CU1814" t="s">
        <v>2536</v>
      </c>
      <c r="CV1814" t="s">
        <v>2537</v>
      </c>
      <c r="CW1814" t="s">
        <v>2538</v>
      </c>
      <c r="CX1814" t="s">
        <v>808</v>
      </c>
      <c r="CZ1814" s="3" t="str">
        <f>"86510"</f>
        <v>86510</v>
      </c>
      <c r="DA1814" t="s">
        <v>131</v>
      </c>
      <c r="DB1814" t="str">
        <f>""</f>
        <v/>
      </c>
      <c r="DF1814" t="str">
        <f>""</f>
        <v/>
      </c>
    </row>
    <row r="1815" spans="1:110" ht="15" customHeight="1" x14ac:dyDescent="0.35">
      <c r="A1815" t="s">
        <v>8181</v>
      </c>
      <c r="B1815" t="s">
        <v>138</v>
      </c>
      <c r="C1815" s="1">
        <v>44349</v>
      </c>
      <c r="G1815" s="1">
        <v>44350</v>
      </c>
      <c r="H1815" t="s">
        <v>125</v>
      </c>
      <c r="I1815" t="s">
        <v>8182</v>
      </c>
      <c r="J1815" t="s">
        <v>1059</v>
      </c>
      <c r="L1815" t="s">
        <v>395</v>
      </c>
      <c r="M1815" t="s">
        <v>8183</v>
      </c>
      <c r="O1815" t="s">
        <v>642</v>
      </c>
      <c r="P1815" t="s">
        <v>818</v>
      </c>
      <c r="Q1815" s="3">
        <v>30340</v>
      </c>
      <c r="R1815" t="s">
        <v>128</v>
      </c>
      <c r="T1815" s="4">
        <v>17702420045</v>
      </c>
      <c r="V1815" t="s">
        <v>8184</v>
      </c>
      <c r="W1815" t="s">
        <v>8185</v>
      </c>
      <c r="Y1815" t="s">
        <v>8183</v>
      </c>
      <c r="AA1815" t="s">
        <v>642</v>
      </c>
      <c r="AB1815" t="s">
        <v>643</v>
      </c>
      <c r="AC1815" s="3" t="str">
        <f>"30340"</f>
        <v>30340</v>
      </c>
      <c r="AD1815" t="s">
        <v>128</v>
      </c>
      <c r="AF1815" s="4">
        <v>17702420045</v>
      </c>
      <c r="AH1815" t="str">
        <f>"4233"</f>
        <v>4233</v>
      </c>
      <c r="AI1815" t="s">
        <v>130</v>
      </c>
      <c r="AJ1815" t="s">
        <v>8186</v>
      </c>
      <c r="AK1815" t="s">
        <v>8187</v>
      </c>
      <c r="AL1815" t="s">
        <v>8188</v>
      </c>
      <c r="AM1815" t="s">
        <v>3396</v>
      </c>
      <c r="AN1815" t="s">
        <v>884</v>
      </c>
      <c r="AO1815" t="s">
        <v>642</v>
      </c>
      <c r="AP1815" t="s">
        <v>643</v>
      </c>
      <c r="AQ1815" s="5">
        <v>30324</v>
      </c>
      <c r="AR1815" t="s">
        <v>128</v>
      </c>
      <c r="AT1815" s="4">
        <v>14045238141</v>
      </c>
      <c r="AV1815" t="s">
        <v>8189</v>
      </c>
      <c r="AW1815" t="s">
        <v>3398</v>
      </c>
      <c r="AX1815" t="s">
        <v>131</v>
      </c>
      <c r="AY1815" t="s">
        <v>131</v>
      </c>
      <c r="AZ1815" t="s">
        <v>131</v>
      </c>
      <c r="BA1815" t="s">
        <v>131</v>
      </c>
      <c r="BB1815" t="s">
        <v>131</v>
      </c>
      <c r="BC1815" t="s">
        <v>131</v>
      </c>
      <c r="BD1815" t="s">
        <v>131</v>
      </c>
      <c r="BE1815" t="s">
        <v>132</v>
      </c>
      <c r="BH1815" t="s">
        <v>8190</v>
      </c>
      <c r="BI1815" t="s">
        <v>131</v>
      </c>
      <c r="BL1815" t="s">
        <v>167</v>
      </c>
      <c r="BO1815" t="s">
        <v>131</v>
      </c>
      <c r="BP1815" t="s">
        <v>134</v>
      </c>
      <c r="BQ1815" t="s">
        <v>131</v>
      </c>
      <c r="BS1815" t="str">
        <f t="shared" si="107"/>
        <v>N/A</v>
      </c>
      <c r="BT1815" t="s">
        <v>135</v>
      </c>
      <c r="BU1815">
        <v>24</v>
      </c>
      <c r="BV1815" t="str">
        <f>"See F.b.5"</f>
        <v>See F.b.5</v>
      </c>
      <c r="BW1815" t="s">
        <v>135</v>
      </c>
      <c r="BX1815" t="str">
        <f>""</f>
        <v/>
      </c>
      <c r="BY1815" t="str">
        <f>""</f>
        <v/>
      </c>
      <c r="BZ1815" t="str">
        <f>""</f>
        <v/>
      </c>
      <c r="CA1815" t="s">
        <v>8191</v>
      </c>
      <c r="CB1815" t="s">
        <v>131</v>
      </c>
      <c r="CF1815" t="s">
        <v>131</v>
      </c>
      <c r="CH1815" t="str">
        <f>""</f>
        <v/>
      </c>
      <c r="CI1815" t="s">
        <v>131</v>
      </c>
      <c r="CK1815" t="s">
        <v>131</v>
      </c>
      <c r="CL1815" t="str">
        <f>""</f>
        <v/>
      </c>
      <c r="CM1815" t="str">
        <f>""</f>
        <v/>
      </c>
      <c r="CN1815" t="str">
        <f>""</f>
        <v/>
      </c>
      <c r="CO1815" t="str">
        <f>""</f>
        <v/>
      </c>
      <c r="CP1815" t="str">
        <f>"51-7042.00"</f>
        <v>51-7042.00</v>
      </c>
      <c r="CQ1815" t="s">
        <v>8192</v>
      </c>
      <c r="CR1815" t="s">
        <v>395</v>
      </c>
      <c r="CS1815" t="s">
        <v>131</v>
      </c>
      <c r="CU1815" t="s">
        <v>8183</v>
      </c>
      <c r="CW1815" t="s">
        <v>642</v>
      </c>
      <c r="CX1815" t="s">
        <v>643</v>
      </c>
      <c r="CZ1815" s="3" t="str">
        <f>"30340"</f>
        <v>30340</v>
      </c>
      <c r="DA1815" t="s">
        <v>131</v>
      </c>
      <c r="DB1815" t="str">
        <f>""</f>
        <v/>
      </c>
      <c r="DF1815" t="str">
        <f>""</f>
        <v/>
      </c>
    </row>
    <row r="1816" spans="1:110" ht="15" customHeight="1" x14ac:dyDescent="0.35">
      <c r="A1816" t="s">
        <v>3603</v>
      </c>
      <c r="B1816" t="s">
        <v>138</v>
      </c>
      <c r="C1816" s="1">
        <v>44349</v>
      </c>
      <c r="G1816" s="1">
        <v>44350</v>
      </c>
      <c r="H1816" t="s">
        <v>125</v>
      </c>
      <c r="I1816" t="s">
        <v>293</v>
      </c>
      <c r="J1816" t="s">
        <v>294</v>
      </c>
      <c r="K1816" t="s">
        <v>295</v>
      </c>
      <c r="L1816" t="s">
        <v>296</v>
      </c>
      <c r="M1816" t="s">
        <v>224</v>
      </c>
      <c r="N1816" t="s">
        <v>297</v>
      </c>
      <c r="O1816" t="s">
        <v>228</v>
      </c>
      <c r="P1816" t="s">
        <v>226</v>
      </c>
      <c r="Q1816" s="3">
        <v>46278</v>
      </c>
      <c r="R1816" t="s">
        <v>128</v>
      </c>
      <c r="S1816" t="s">
        <v>229</v>
      </c>
      <c r="T1816" s="4">
        <v>13173282866</v>
      </c>
      <c r="V1816" t="s">
        <v>298</v>
      </c>
      <c r="W1816" t="s">
        <v>299</v>
      </c>
      <c r="X1816" t="s">
        <v>300</v>
      </c>
      <c r="Y1816" t="s">
        <v>224</v>
      </c>
      <c r="Z1816" t="s">
        <v>297</v>
      </c>
      <c r="AA1816" t="s">
        <v>228</v>
      </c>
      <c r="AB1816" t="s">
        <v>229</v>
      </c>
      <c r="AC1816" s="3" t="str">
        <f>"46278"</f>
        <v>46278</v>
      </c>
      <c r="AD1816" t="s">
        <v>128</v>
      </c>
      <c r="AF1816" s="4">
        <v>13173282866</v>
      </c>
      <c r="AH1816" t="str">
        <f>"561330"</f>
        <v>561330</v>
      </c>
      <c r="AI1816" t="s">
        <v>167</v>
      </c>
      <c r="AX1816" t="s">
        <v>131</v>
      </c>
      <c r="AY1816" t="s">
        <v>131</v>
      </c>
      <c r="AZ1816" t="s">
        <v>131</v>
      </c>
      <c r="BA1816" t="s">
        <v>131</v>
      </c>
      <c r="BB1816" t="s">
        <v>131</v>
      </c>
      <c r="BC1816" t="s">
        <v>131</v>
      </c>
      <c r="BD1816" t="s">
        <v>131</v>
      </c>
      <c r="BE1816" t="s">
        <v>132</v>
      </c>
      <c r="BH1816" t="s">
        <v>230</v>
      </c>
      <c r="BI1816" t="s">
        <v>131</v>
      </c>
      <c r="BL1816" t="s">
        <v>307</v>
      </c>
      <c r="BN1816" s="2" t="s">
        <v>231</v>
      </c>
      <c r="BO1816" t="s">
        <v>131</v>
      </c>
      <c r="BP1816" t="s">
        <v>134</v>
      </c>
      <c r="BQ1816" t="s">
        <v>131</v>
      </c>
      <c r="BS1816" t="str">
        <f t="shared" si="107"/>
        <v>N/A</v>
      </c>
      <c r="BT1816" t="s">
        <v>131</v>
      </c>
      <c r="BV1816" t="str">
        <f>""</f>
        <v/>
      </c>
      <c r="BW1816" t="s">
        <v>135</v>
      </c>
      <c r="BX1816" t="str">
        <f>"NCLEX PASSER OR POSSESSES A US RN LICENSE. COMPACT RN STATE LICENSE ACCEPTABLE. ELIGIBLE TO PRACTICE AS A REGISTERED NURSE.
"</f>
        <v xml:space="preserve">NCLEX PASSER OR POSSESSES A US RN LICENSE. COMPACT RN STATE LICENSE ACCEPTABLE. ELIGIBLE TO PRACTICE AS A REGISTERED NURSE.
</v>
      </c>
      <c r="BY1816" t="str">
        <f>""</f>
        <v/>
      </c>
      <c r="BZ1816" t="str">
        <f>""</f>
        <v/>
      </c>
      <c r="CA1816" t="str">
        <f>""</f>
        <v/>
      </c>
      <c r="CB1816" t="s">
        <v>131</v>
      </c>
      <c r="CF1816" t="s">
        <v>131</v>
      </c>
      <c r="CH1816" t="str">
        <f>""</f>
        <v/>
      </c>
      <c r="CI1816" t="s">
        <v>131</v>
      </c>
      <c r="CK1816" t="s">
        <v>131</v>
      </c>
      <c r="CL1816" t="str">
        <f>""</f>
        <v/>
      </c>
      <c r="CM1816" t="str">
        <f>""</f>
        <v/>
      </c>
      <c r="CN1816" t="str">
        <f>""</f>
        <v/>
      </c>
      <c r="CO1816" t="str">
        <f>""</f>
        <v/>
      </c>
      <c r="CP1816" t="str">
        <f>"29-1141.00"</f>
        <v>29-1141.00</v>
      </c>
      <c r="CQ1816" t="s">
        <v>232</v>
      </c>
      <c r="CS1816" t="s">
        <v>131</v>
      </c>
      <c r="CU1816" t="s">
        <v>2536</v>
      </c>
      <c r="CV1816" t="s">
        <v>2537</v>
      </c>
      <c r="CW1816" t="s">
        <v>2538</v>
      </c>
      <c r="CX1816" t="s">
        <v>808</v>
      </c>
      <c r="CZ1816" s="3" t="str">
        <f>"86510"</f>
        <v>86510</v>
      </c>
      <c r="DA1816" t="s">
        <v>131</v>
      </c>
      <c r="DB1816" t="str">
        <f>""</f>
        <v/>
      </c>
      <c r="DF1816" t="str">
        <f>""</f>
        <v/>
      </c>
    </row>
    <row r="1817" spans="1:110" ht="15" customHeight="1" x14ac:dyDescent="0.35">
      <c r="A1817" t="s">
        <v>15242</v>
      </c>
      <c r="B1817" t="s">
        <v>138</v>
      </c>
      <c r="C1817" s="1">
        <v>44349</v>
      </c>
      <c r="G1817" s="1">
        <v>44350</v>
      </c>
      <c r="H1817" t="s">
        <v>125</v>
      </c>
      <c r="I1817" t="s">
        <v>293</v>
      </c>
      <c r="J1817" t="s">
        <v>294</v>
      </c>
      <c r="K1817" t="s">
        <v>295</v>
      </c>
      <c r="L1817" t="s">
        <v>296</v>
      </c>
      <c r="M1817" t="s">
        <v>224</v>
      </c>
      <c r="N1817" t="s">
        <v>297</v>
      </c>
      <c r="O1817" t="s">
        <v>228</v>
      </c>
      <c r="P1817" t="s">
        <v>226</v>
      </c>
      <c r="Q1817" s="3">
        <v>46278</v>
      </c>
      <c r="R1817" t="s">
        <v>128</v>
      </c>
      <c r="T1817" s="4">
        <v>13173282866</v>
      </c>
      <c r="V1817" t="s">
        <v>298</v>
      </c>
      <c r="W1817" t="s">
        <v>299</v>
      </c>
      <c r="X1817" t="s">
        <v>300</v>
      </c>
      <c r="Y1817" t="s">
        <v>224</v>
      </c>
      <c r="Z1817" t="s">
        <v>297</v>
      </c>
      <c r="AA1817" t="s">
        <v>228</v>
      </c>
      <c r="AB1817" t="s">
        <v>229</v>
      </c>
      <c r="AC1817" s="3" t="str">
        <f>"46278"</f>
        <v>46278</v>
      </c>
      <c r="AD1817" t="s">
        <v>128</v>
      </c>
      <c r="AF1817" s="4">
        <v>13173282866</v>
      </c>
      <c r="AH1817" t="str">
        <f>"561330"</f>
        <v>561330</v>
      </c>
      <c r="AI1817" t="s">
        <v>167</v>
      </c>
      <c r="AX1817" t="s">
        <v>131</v>
      </c>
      <c r="AY1817" t="s">
        <v>131</v>
      </c>
      <c r="AZ1817" t="s">
        <v>131</v>
      </c>
      <c r="BA1817" t="s">
        <v>131</v>
      </c>
      <c r="BB1817" t="s">
        <v>131</v>
      </c>
      <c r="BC1817" t="s">
        <v>131</v>
      </c>
      <c r="BD1817" t="s">
        <v>131</v>
      </c>
      <c r="BE1817" t="s">
        <v>132</v>
      </c>
      <c r="BH1817" t="s">
        <v>230</v>
      </c>
      <c r="BI1817" t="s">
        <v>131</v>
      </c>
      <c r="BL1817" t="s">
        <v>307</v>
      </c>
      <c r="BN1817" s="2" t="s">
        <v>231</v>
      </c>
      <c r="BO1817" t="s">
        <v>131</v>
      </c>
      <c r="BP1817" t="s">
        <v>134</v>
      </c>
      <c r="BQ1817" t="s">
        <v>131</v>
      </c>
      <c r="BS1817" t="str">
        <f t="shared" si="107"/>
        <v>N/A</v>
      </c>
      <c r="BT1817" t="s">
        <v>131</v>
      </c>
      <c r="BV1817" t="str">
        <f>""</f>
        <v/>
      </c>
      <c r="BW1817" t="s">
        <v>135</v>
      </c>
      <c r="BX1817" t="str">
        <f>"NCLEX PASSER OR POSSESSES A US RN LICENSE. COMPACT RN STATE LICENSE ACCEPTABLE. ELIGIBLE TO PRACTICE AS A REGISTERED NURSE.
"</f>
        <v xml:space="preserve">NCLEX PASSER OR POSSESSES A US RN LICENSE. COMPACT RN STATE LICENSE ACCEPTABLE. ELIGIBLE TO PRACTICE AS A REGISTERED NURSE.
</v>
      </c>
      <c r="BY1817" t="str">
        <f>""</f>
        <v/>
      </c>
      <c r="BZ1817" t="str">
        <f>""</f>
        <v/>
      </c>
      <c r="CA1817" t="str">
        <f>""</f>
        <v/>
      </c>
      <c r="CB1817" t="s">
        <v>131</v>
      </c>
      <c r="CF1817" t="s">
        <v>131</v>
      </c>
      <c r="CH1817" t="str">
        <f>""</f>
        <v/>
      </c>
      <c r="CI1817" t="s">
        <v>131</v>
      </c>
      <c r="CK1817" t="s">
        <v>131</v>
      </c>
      <c r="CL1817" t="str">
        <f>""</f>
        <v/>
      </c>
      <c r="CM1817" t="str">
        <f>""</f>
        <v/>
      </c>
      <c r="CN1817" t="str">
        <f>""</f>
        <v/>
      </c>
      <c r="CO1817" t="str">
        <f>""</f>
        <v/>
      </c>
      <c r="CP1817" t="str">
        <f>"29-1141.00"</f>
        <v>29-1141.00</v>
      </c>
      <c r="CQ1817" t="s">
        <v>232</v>
      </c>
      <c r="CR1817" t="s">
        <v>233</v>
      </c>
      <c r="CS1817" t="s">
        <v>131</v>
      </c>
      <c r="CU1817" t="s">
        <v>2101</v>
      </c>
      <c r="CV1817" t="s">
        <v>2102</v>
      </c>
      <c r="CW1817" t="s">
        <v>2103</v>
      </c>
      <c r="CX1817" t="s">
        <v>808</v>
      </c>
      <c r="CZ1817" s="3" t="str">
        <f>"85390"</f>
        <v>85390</v>
      </c>
      <c r="DA1817" t="s">
        <v>131</v>
      </c>
      <c r="DB1817" t="str">
        <f>""</f>
        <v/>
      </c>
      <c r="DF1817" t="str">
        <f>""</f>
        <v/>
      </c>
    </row>
    <row r="1818" spans="1:110" ht="15" customHeight="1" x14ac:dyDescent="0.35">
      <c r="A1818" t="s">
        <v>12605</v>
      </c>
      <c r="B1818" t="s">
        <v>138</v>
      </c>
      <c r="C1818" s="1">
        <v>44349</v>
      </c>
      <c r="G1818" s="1">
        <v>44355</v>
      </c>
      <c r="H1818" t="s">
        <v>125</v>
      </c>
      <c r="I1818" t="s">
        <v>5097</v>
      </c>
      <c r="J1818" t="s">
        <v>718</v>
      </c>
      <c r="L1818" t="s">
        <v>5098</v>
      </c>
      <c r="M1818" t="s">
        <v>5099</v>
      </c>
      <c r="O1818" t="s">
        <v>4122</v>
      </c>
      <c r="P1818" t="s">
        <v>311</v>
      </c>
      <c r="Q1818" s="3">
        <v>18104</v>
      </c>
      <c r="R1818" t="s">
        <v>128</v>
      </c>
      <c r="T1818" s="4">
        <v>16105305000</v>
      </c>
      <c r="V1818" t="s">
        <v>5100</v>
      </c>
      <c r="W1818" t="s">
        <v>5101</v>
      </c>
      <c r="Y1818" t="s">
        <v>5102</v>
      </c>
      <c r="Z1818">
        <v>300</v>
      </c>
      <c r="AA1818" t="s">
        <v>4122</v>
      </c>
      <c r="AB1818" t="s">
        <v>312</v>
      </c>
      <c r="AC1818" s="3" t="str">
        <f>"18104"</f>
        <v>18104</v>
      </c>
      <c r="AD1818" t="s">
        <v>128</v>
      </c>
      <c r="AF1818" s="4">
        <v>17176513188</v>
      </c>
      <c r="AH1818" t="str">
        <f>"54151"</f>
        <v>54151</v>
      </c>
      <c r="AI1818" t="s">
        <v>130</v>
      </c>
      <c r="AJ1818" t="s">
        <v>3300</v>
      </c>
      <c r="AK1818" t="s">
        <v>852</v>
      </c>
      <c r="AL1818" t="s">
        <v>5103</v>
      </c>
      <c r="AM1818" t="s">
        <v>1608</v>
      </c>
      <c r="AN1818" t="s">
        <v>1609</v>
      </c>
      <c r="AO1818" t="s">
        <v>766</v>
      </c>
      <c r="AP1818" t="s">
        <v>263</v>
      </c>
      <c r="AQ1818" s="5">
        <v>60690</v>
      </c>
      <c r="AR1818" t="s">
        <v>128</v>
      </c>
      <c r="AT1818" s="4">
        <v>13126516100</v>
      </c>
      <c r="AV1818" t="s">
        <v>1610</v>
      </c>
      <c r="AW1818" t="s">
        <v>1611</v>
      </c>
      <c r="AX1818" t="s">
        <v>131</v>
      </c>
      <c r="AY1818" t="s">
        <v>131</v>
      </c>
      <c r="AZ1818" t="s">
        <v>131</v>
      </c>
      <c r="BA1818" t="s">
        <v>131</v>
      </c>
      <c r="BB1818" t="s">
        <v>131</v>
      </c>
      <c r="BC1818" t="s">
        <v>131</v>
      </c>
      <c r="BD1818" t="s">
        <v>131</v>
      </c>
      <c r="BE1818" t="s">
        <v>132</v>
      </c>
      <c r="BH1818" t="s">
        <v>3092</v>
      </c>
      <c r="BI1818" t="s">
        <v>131</v>
      </c>
      <c r="BL1818" t="s">
        <v>133</v>
      </c>
      <c r="BN1818" t="s">
        <v>12606</v>
      </c>
      <c r="BO1818" t="s">
        <v>131</v>
      </c>
      <c r="BP1818" t="s">
        <v>134</v>
      </c>
      <c r="BQ1818" t="s">
        <v>131</v>
      </c>
      <c r="BS1818" t="str">
        <f t="shared" si="107"/>
        <v>N/A</v>
      </c>
      <c r="BT1818" t="s">
        <v>135</v>
      </c>
      <c r="BU1818">
        <v>60</v>
      </c>
      <c r="BV1818" t="str">
        <f>"Related occupation."</f>
        <v>Related occupation.</v>
      </c>
      <c r="BW1818" t="s">
        <v>135</v>
      </c>
      <c r="BX1818" t="str">
        <f>""</f>
        <v/>
      </c>
      <c r="BY1818" t="str">
        <f>""</f>
        <v/>
      </c>
      <c r="BZ1818" t="str">
        <f>""</f>
        <v/>
      </c>
      <c r="CA1818" t="s">
        <v>12607</v>
      </c>
      <c r="CB1818" t="s">
        <v>131</v>
      </c>
      <c r="CF1818" t="s">
        <v>131</v>
      </c>
      <c r="CH1818" t="str">
        <f>""</f>
        <v/>
      </c>
      <c r="CI1818" t="s">
        <v>131</v>
      </c>
      <c r="CK1818" t="s">
        <v>131</v>
      </c>
      <c r="CL1818" t="str">
        <f>""</f>
        <v/>
      </c>
      <c r="CM1818" t="str">
        <f>""</f>
        <v/>
      </c>
      <c r="CN1818" t="str">
        <f>""</f>
        <v/>
      </c>
      <c r="CO1818" t="str">
        <f>""</f>
        <v/>
      </c>
      <c r="CP1818" t="str">
        <f>"15-1131.00"</f>
        <v>15-1131.00</v>
      </c>
      <c r="CQ1818" t="s">
        <v>2782</v>
      </c>
      <c r="CR1818" t="s">
        <v>2519</v>
      </c>
      <c r="CS1818" t="s">
        <v>135</v>
      </c>
      <c r="CT1818" t="s">
        <v>12608</v>
      </c>
      <c r="CU1818" t="s">
        <v>5099</v>
      </c>
      <c r="CW1818" t="s">
        <v>4122</v>
      </c>
      <c r="CX1818" t="s">
        <v>312</v>
      </c>
      <c r="CZ1818" s="3" t="str">
        <f>"18104"</f>
        <v>18104</v>
      </c>
      <c r="DA1818" t="s">
        <v>131</v>
      </c>
      <c r="DB1818" t="str">
        <f>""</f>
        <v/>
      </c>
      <c r="DF1818" t="str">
        <f>""</f>
        <v/>
      </c>
    </row>
    <row r="1819" spans="1:110" ht="15" customHeight="1" x14ac:dyDescent="0.35">
      <c r="A1819" t="s">
        <v>15115</v>
      </c>
      <c r="B1819" t="s">
        <v>138</v>
      </c>
      <c r="C1819" s="1">
        <v>44349</v>
      </c>
      <c r="G1819" s="1">
        <v>44352</v>
      </c>
      <c r="H1819" t="s">
        <v>125</v>
      </c>
      <c r="I1819" t="s">
        <v>12913</v>
      </c>
      <c r="J1819" t="s">
        <v>10498</v>
      </c>
      <c r="L1819" t="s">
        <v>1264</v>
      </c>
      <c r="M1819" t="s">
        <v>12916</v>
      </c>
      <c r="O1819" t="s">
        <v>2617</v>
      </c>
      <c r="P1819" t="s">
        <v>857</v>
      </c>
      <c r="Q1819" s="3">
        <v>85382</v>
      </c>
      <c r="R1819" t="s">
        <v>128</v>
      </c>
      <c r="T1819" s="4">
        <v>16233263391</v>
      </c>
      <c r="V1819" t="s">
        <v>12914</v>
      </c>
      <c r="W1819" t="s">
        <v>12915</v>
      </c>
      <c r="Y1819" t="s">
        <v>12916</v>
      </c>
      <c r="AA1819" t="s">
        <v>2617</v>
      </c>
      <c r="AB1819" t="s">
        <v>808</v>
      </c>
      <c r="AC1819" s="3" t="str">
        <f>"85382"</f>
        <v>85382</v>
      </c>
      <c r="AD1819" t="s">
        <v>128</v>
      </c>
      <c r="AF1819" s="4">
        <v>16233263391</v>
      </c>
      <c r="AH1819" t="str">
        <f>"53121"</f>
        <v>53121</v>
      </c>
      <c r="AI1819" t="s">
        <v>130</v>
      </c>
      <c r="AJ1819" t="s">
        <v>12917</v>
      </c>
      <c r="AK1819" t="s">
        <v>7073</v>
      </c>
      <c r="AL1819" t="s">
        <v>695</v>
      </c>
      <c r="AM1819" t="s">
        <v>12918</v>
      </c>
      <c r="AN1819" t="s">
        <v>12919</v>
      </c>
      <c r="AO1819" t="s">
        <v>1677</v>
      </c>
      <c r="AP1819" t="s">
        <v>808</v>
      </c>
      <c r="AQ1819" s="5">
        <v>85254</v>
      </c>
      <c r="AR1819" t="s">
        <v>128</v>
      </c>
      <c r="AT1819" s="4">
        <v>14805517020</v>
      </c>
      <c r="AV1819" t="s">
        <v>12920</v>
      </c>
      <c r="AW1819" t="s">
        <v>12921</v>
      </c>
      <c r="AX1819" t="s">
        <v>131</v>
      </c>
      <c r="AY1819" t="s">
        <v>131</v>
      </c>
      <c r="AZ1819" t="s">
        <v>131</v>
      </c>
      <c r="BA1819" t="s">
        <v>131</v>
      </c>
      <c r="BB1819" t="s">
        <v>131</v>
      </c>
      <c r="BC1819" t="s">
        <v>131</v>
      </c>
      <c r="BD1819" t="s">
        <v>131</v>
      </c>
      <c r="BE1819" t="s">
        <v>132</v>
      </c>
      <c r="BH1819" t="s">
        <v>12922</v>
      </c>
      <c r="BI1819" t="s">
        <v>131</v>
      </c>
      <c r="BL1819" t="s">
        <v>188</v>
      </c>
      <c r="BN1819" t="s">
        <v>15116</v>
      </c>
      <c r="BO1819" t="s">
        <v>131</v>
      </c>
      <c r="BP1819" t="s">
        <v>134</v>
      </c>
      <c r="BQ1819" t="s">
        <v>131</v>
      </c>
      <c r="BS1819" t="str">
        <f t="shared" si="107"/>
        <v>N/A</v>
      </c>
      <c r="BT1819" t="s">
        <v>131</v>
      </c>
      <c r="BV1819" t="str">
        <f>""</f>
        <v/>
      </c>
      <c r="BW1819" t="s">
        <v>131</v>
      </c>
      <c r="BX1819" t="str">
        <f>""</f>
        <v/>
      </c>
      <c r="BY1819" t="str">
        <f>""</f>
        <v/>
      </c>
      <c r="BZ1819" t="str">
        <f>""</f>
        <v/>
      </c>
      <c r="CA1819" t="str">
        <f>""</f>
        <v/>
      </c>
      <c r="CB1819" t="s">
        <v>131</v>
      </c>
      <c r="CF1819" t="s">
        <v>131</v>
      </c>
      <c r="CH1819" t="str">
        <f>""</f>
        <v/>
      </c>
      <c r="CI1819" t="s">
        <v>131</v>
      </c>
      <c r="CK1819" t="s">
        <v>131</v>
      </c>
      <c r="CL1819" t="str">
        <f>""</f>
        <v/>
      </c>
      <c r="CM1819" t="str">
        <f>""</f>
        <v/>
      </c>
      <c r="CN1819" t="str">
        <f>""</f>
        <v/>
      </c>
      <c r="CO1819" t="str">
        <f>""</f>
        <v/>
      </c>
      <c r="CP1819" t="str">
        <f>"13-2011.01"</f>
        <v>13-2011.01</v>
      </c>
      <c r="CQ1819" t="s">
        <v>1796</v>
      </c>
      <c r="CR1819" t="s">
        <v>12923</v>
      </c>
      <c r="CS1819" t="s">
        <v>131</v>
      </c>
      <c r="CU1819" t="s">
        <v>12916</v>
      </c>
      <c r="CW1819" t="s">
        <v>2617</v>
      </c>
      <c r="CX1819" t="s">
        <v>808</v>
      </c>
      <c r="CZ1819" s="3" t="str">
        <f>"85382"</f>
        <v>85382</v>
      </c>
      <c r="DA1819" t="s">
        <v>131</v>
      </c>
      <c r="DB1819" t="str">
        <f>""</f>
        <v/>
      </c>
      <c r="DF1819" t="str">
        <f>""</f>
        <v/>
      </c>
    </row>
    <row r="1820" spans="1:110" ht="15" customHeight="1" x14ac:dyDescent="0.35">
      <c r="A1820" t="s">
        <v>10652</v>
      </c>
      <c r="B1820" t="s">
        <v>138</v>
      </c>
      <c r="C1820" s="1">
        <v>44349</v>
      </c>
      <c r="G1820" s="1">
        <v>44358</v>
      </c>
      <c r="H1820" t="s">
        <v>125</v>
      </c>
      <c r="I1820" t="s">
        <v>1552</v>
      </c>
      <c r="J1820" t="s">
        <v>1553</v>
      </c>
      <c r="L1820" t="s">
        <v>1554</v>
      </c>
      <c r="M1820" t="s">
        <v>1555</v>
      </c>
      <c r="O1820" t="s">
        <v>1556</v>
      </c>
      <c r="P1820" t="s">
        <v>178</v>
      </c>
      <c r="Q1820" s="3">
        <v>95014</v>
      </c>
      <c r="R1820" t="s">
        <v>128</v>
      </c>
      <c r="T1820" s="4">
        <v>14089742562</v>
      </c>
      <c r="V1820" t="s">
        <v>1564</v>
      </c>
      <c r="W1820" t="s">
        <v>1558</v>
      </c>
      <c r="Y1820" t="s">
        <v>1559</v>
      </c>
      <c r="AA1820" t="s">
        <v>1560</v>
      </c>
      <c r="AB1820" t="s">
        <v>172</v>
      </c>
      <c r="AC1820" s="3" t="str">
        <f>"95014"</f>
        <v>95014</v>
      </c>
      <c r="AD1820" t="s">
        <v>128</v>
      </c>
      <c r="AF1820" s="4">
        <v>14089742562</v>
      </c>
      <c r="AH1820" t="str">
        <f>"334111"</f>
        <v>334111</v>
      </c>
      <c r="AI1820" t="s">
        <v>130</v>
      </c>
      <c r="AJ1820" t="s">
        <v>2239</v>
      </c>
      <c r="AK1820" t="s">
        <v>2240</v>
      </c>
      <c r="AL1820" t="s">
        <v>2241</v>
      </c>
      <c r="AM1820" t="s">
        <v>1563</v>
      </c>
      <c r="AN1820" t="s">
        <v>997</v>
      </c>
      <c r="AO1820" t="s">
        <v>220</v>
      </c>
      <c r="AP1820" t="s">
        <v>172</v>
      </c>
      <c r="AQ1820" s="5">
        <v>94111</v>
      </c>
      <c r="AR1820" t="s">
        <v>128</v>
      </c>
      <c r="AT1820" s="4">
        <v>14159861446</v>
      </c>
      <c r="AV1820" t="s">
        <v>1564</v>
      </c>
      <c r="AW1820" t="s">
        <v>386</v>
      </c>
      <c r="AX1820" t="s">
        <v>131</v>
      </c>
      <c r="AY1820" t="s">
        <v>131</v>
      </c>
      <c r="AZ1820" t="s">
        <v>131</v>
      </c>
      <c r="BA1820" t="s">
        <v>131</v>
      </c>
      <c r="BB1820" t="s">
        <v>131</v>
      </c>
      <c r="BC1820" t="s">
        <v>131</v>
      </c>
      <c r="BD1820" t="s">
        <v>131</v>
      </c>
      <c r="BE1820" t="s">
        <v>160</v>
      </c>
      <c r="BF1820" t="s">
        <v>2499</v>
      </c>
      <c r="BG1820" s="1">
        <v>44270</v>
      </c>
      <c r="BH1820" t="s">
        <v>1316</v>
      </c>
      <c r="BI1820" t="s">
        <v>131</v>
      </c>
      <c r="BL1820" t="s">
        <v>188</v>
      </c>
      <c r="BN1820" t="s">
        <v>2243</v>
      </c>
      <c r="BO1820" t="s">
        <v>131</v>
      </c>
      <c r="BP1820" t="s">
        <v>134</v>
      </c>
      <c r="BQ1820" t="s">
        <v>131</v>
      </c>
      <c r="BS1820" t="str">
        <f t="shared" si="107"/>
        <v>N/A</v>
      </c>
      <c r="BT1820" t="s">
        <v>135</v>
      </c>
      <c r="BU1820">
        <v>24</v>
      </c>
      <c r="BV1820" t="str">
        <f>"See Job Duties (Sect.F.a.2.)"</f>
        <v>See Job Duties (Sect.F.a.2.)</v>
      </c>
      <c r="BW1820" t="s">
        <v>135</v>
      </c>
      <c r="BX1820" t="str">
        <f>""</f>
        <v/>
      </c>
      <c r="BY1820" t="str">
        <f>""</f>
        <v/>
      </c>
      <c r="BZ1820" t="str">
        <f>""</f>
        <v/>
      </c>
      <c r="CA1820" t="str">
        <f>"See Job Duties (Sect.F.a.2.)"</f>
        <v>See Job Duties (Sect.F.a.2.)</v>
      </c>
      <c r="CB1820" t="s">
        <v>135</v>
      </c>
      <c r="CC1820" t="s">
        <v>133</v>
      </c>
      <c r="CE1820" t="s">
        <v>2243</v>
      </c>
      <c r="CF1820" t="s">
        <v>131</v>
      </c>
      <c r="CH1820" t="str">
        <f>"N/A"</f>
        <v>N/A</v>
      </c>
      <c r="CI1820" t="s">
        <v>135</v>
      </c>
      <c r="CJ1820">
        <v>60</v>
      </c>
      <c r="CK1820" t="s">
        <v>135</v>
      </c>
      <c r="CL1820" t="str">
        <f>""</f>
        <v/>
      </c>
      <c r="CM1820" t="str">
        <f>""</f>
        <v/>
      </c>
      <c r="CN1820" t="str">
        <f>""</f>
        <v/>
      </c>
      <c r="CO1820" t="str">
        <f>"See Job Duties (Sect.F.a.2.)"</f>
        <v>See Job Duties (Sect.F.a.2.)</v>
      </c>
      <c r="CP1820" t="str">
        <f>"15-1133.00"</f>
        <v>15-1133.00</v>
      </c>
      <c r="CQ1820" t="s">
        <v>648</v>
      </c>
      <c r="CR1820" t="s">
        <v>460</v>
      </c>
      <c r="CS1820" t="s">
        <v>131</v>
      </c>
      <c r="CU1820" t="s">
        <v>1555</v>
      </c>
      <c r="CW1820" t="s">
        <v>1556</v>
      </c>
      <c r="CX1820" t="s">
        <v>172</v>
      </c>
      <c r="CZ1820" s="3" t="str">
        <f>"95014"</f>
        <v>95014</v>
      </c>
      <c r="DA1820" t="s">
        <v>131</v>
      </c>
      <c r="DB1820" t="str">
        <f>""</f>
        <v/>
      </c>
      <c r="DF1820" t="str">
        <f>""</f>
        <v/>
      </c>
    </row>
    <row r="1821" spans="1:110" ht="15" customHeight="1" x14ac:dyDescent="0.35">
      <c r="A1821" t="s">
        <v>14059</v>
      </c>
      <c r="B1821" t="s">
        <v>138</v>
      </c>
      <c r="C1821" s="1">
        <v>44349</v>
      </c>
      <c r="G1821" s="1">
        <v>44350</v>
      </c>
      <c r="H1821" t="s">
        <v>125</v>
      </c>
      <c r="I1821" t="s">
        <v>8194</v>
      </c>
      <c r="J1821" t="s">
        <v>8195</v>
      </c>
      <c r="K1821" t="s">
        <v>8196</v>
      </c>
      <c r="L1821" t="s">
        <v>8197</v>
      </c>
      <c r="M1821" t="s">
        <v>14060</v>
      </c>
      <c r="N1821" t="s">
        <v>14061</v>
      </c>
      <c r="O1821" t="s">
        <v>975</v>
      </c>
      <c r="P1821" t="s">
        <v>593</v>
      </c>
      <c r="Q1821" s="3">
        <v>27615</v>
      </c>
      <c r="R1821" t="s">
        <v>128</v>
      </c>
      <c r="T1821" s="4">
        <v>19193426329</v>
      </c>
      <c r="V1821" t="s">
        <v>14062</v>
      </c>
      <c r="W1821" t="s">
        <v>14063</v>
      </c>
      <c r="Y1821" t="s">
        <v>8199</v>
      </c>
      <c r="Z1821" t="s">
        <v>14061</v>
      </c>
      <c r="AA1821" t="s">
        <v>1034</v>
      </c>
      <c r="AB1821" t="s">
        <v>594</v>
      </c>
      <c r="AC1821" s="3" t="str">
        <f>"27615"</f>
        <v>27615</v>
      </c>
      <c r="AD1821" t="s">
        <v>128</v>
      </c>
      <c r="AF1821" s="4">
        <v>19193426329</v>
      </c>
      <c r="AH1821" t="str">
        <f>"54151"</f>
        <v>54151</v>
      </c>
      <c r="AI1821" t="s">
        <v>130</v>
      </c>
      <c r="AJ1821" t="s">
        <v>4574</v>
      </c>
      <c r="AK1821" t="s">
        <v>4575</v>
      </c>
      <c r="AL1821" t="s">
        <v>1799</v>
      </c>
      <c r="AM1821" t="s">
        <v>4576</v>
      </c>
      <c r="AN1821" t="s">
        <v>4577</v>
      </c>
      <c r="AO1821" t="s">
        <v>4578</v>
      </c>
      <c r="AP1821" t="s">
        <v>172</v>
      </c>
      <c r="AQ1821" s="5">
        <v>94568</v>
      </c>
      <c r="AR1821" t="s">
        <v>128</v>
      </c>
      <c r="AS1821" t="s">
        <v>178</v>
      </c>
      <c r="AT1821" s="4">
        <v>15102924166</v>
      </c>
      <c r="AU1821">
        <v>0</v>
      </c>
      <c r="AV1821" t="s">
        <v>4579</v>
      </c>
      <c r="AW1821" t="s">
        <v>4580</v>
      </c>
      <c r="AX1821" t="s">
        <v>131</v>
      </c>
      <c r="AY1821" t="s">
        <v>131</v>
      </c>
      <c r="AZ1821" t="s">
        <v>131</v>
      </c>
      <c r="BA1821" t="s">
        <v>131</v>
      </c>
      <c r="BB1821" t="s">
        <v>131</v>
      </c>
      <c r="BC1821" t="s">
        <v>131</v>
      </c>
      <c r="BD1821" t="s">
        <v>131</v>
      </c>
      <c r="BE1821" t="s">
        <v>132</v>
      </c>
      <c r="BH1821" t="s">
        <v>10155</v>
      </c>
      <c r="BI1821" t="s">
        <v>131</v>
      </c>
      <c r="BL1821" t="s">
        <v>188</v>
      </c>
      <c r="BN1821" t="s">
        <v>14064</v>
      </c>
      <c r="BO1821" t="s">
        <v>131</v>
      </c>
      <c r="BP1821" t="s">
        <v>134</v>
      </c>
      <c r="BQ1821" t="s">
        <v>131</v>
      </c>
      <c r="BS1821" t="str">
        <f t="shared" si="107"/>
        <v>N/A</v>
      </c>
      <c r="BT1821" t="s">
        <v>135</v>
      </c>
      <c r="BU1821">
        <v>24</v>
      </c>
      <c r="BV1821" t="str">
        <f>"Computer Systems Analyst, Software Engineer or related"</f>
        <v>Computer Systems Analyst, Software Engineer or related</v>
      </c>
      <c r="BW1821" t="s">
        <v>135</v>
      </c>
      <c r="BX1821" t="str">
        <f>""</f>
        <v/>
      </c>
      <c r="BY1821" t="str">
        <f>""</f>
        <v/>
      </c>
      <c r="BZ1821" t="str">
        <f>""</f>
        <v/>
      </c>
      <c r="CA1821" t="str">
        <f>"BIOVIA (ELN, LES), CRMS. Any suitable combination of education, training or experience is accepted."</f>
        <v>BIOVIA (ELN, LES), CRMS. Any suitable combination of education, training or experience is accepted.</v>
      </c>
      <c r="CB1821" t="s">
        <v>135</v>
      </c>
      <c r="CC1821" t="s">
        <v>133</v>
      </c>
      <c r="CE1821" t="s">
        <v>14065</v>
      </c>
      <c r="CF1821" t="s">
        <v>131</v>
      </c>
      <c r="CH1821" t="str">
        <f>"N/A"</f>
        <v>N/A</v>
      </c>
      <c r="CI1821" t="s">
        <v>135</v>
      </c>
      <c r="CJ1821">
        <v>60</v>
      </c>
      <c r="CK1821" t="s">
        <v>135</v>
      </c>
      <c r="CL1821" t="str">
        <f>""</f>
        <v/>
      </c>
      <c r="CM1821" t="str">
        <f>""</f>
        <v/>
      </c>
      <c r="CN1821" t="str">
        <f>""</f>
        <v/>
      </c>
      <c r="CO1821" t="str">
        <f>"BIOVIA (ELN, LES), CRMS. Any suitable combination of education, training or experience is accepted."</f>
        <v>BIOVIA (ELN, LES), CRMS. Any suitable combination of education, training or experience is accepted.</v>
      </c>
      <c r="CP1821" t="str">
        <f>"15-1132.00"</f>
        <v>15-1132.00</v>
      </c>
      <c r="CQ1821" t="s">
        <v>198</v>
      </c>
      <c r="CS1821" t="s">
        <v>135</v>
      </c>
      <c r="CT1821" t="s">
        <v>14066</v>
      </c>
      <c r="CU1821" t="s">
        <v>8198</v>
      </c>
      <c r="CV1821" t="s">
        <v>14061</v>
      </c>
      <c r="CW1821" t="s">
        <v>975</v>
      </c>
      <c r="CX1821" t="s">
        <v>594</v>
      </c>
      <c r="CZ1821" s="3" t="str">
        <f>"27615"</f>
        <v>27615</v>
      </c>
      <c r="DA1821" t="s">
        <v>131</v>
      </c>
      <c r="DB1821" t="str">
        <f>""</f>
        <v/>
      </c>
      <c r="DF1821" t="str">
        <f>""</f>
        <v/>
      </c>
    </row>
    <row r="1822" spans="1:110" ht="15" customHeight="1" x14ac:dyDescent="0.35">
      <c r="A1822" t="s">
        <v>15208</v>
      </c>
      <c r="B1822" t="s">
        <v>138</v>
      </c>
      <c r="C1822" s="1">
        <v>44349</v>
      </c>
      <c r="G1822" s="1">
        <v>44351</v>
      </c>
      <c r="H1822" t="s">
        <v>125</v>
      </c>
      <c r="I1822" t="s">
        <v>901</v>
      </c>
      <c r="J1822" t="s">
        <v>1653</v>
      </c>
      <c r="L1822" t="s">
        <v>395</v>
      </c>
      <c r="M1822" t="s">
        <v>1654</v>
      </c>
      <c r="O1822" t="s">
        <v>1655</v>
      </c>
      <c r="P1822" t="s">
        <v>178</v>
      </c>
      <c r="Q1822" s="3">
        <v>90058</v>
      </c>
      <c r="R1822" t="s">
        <v>128</v>
      </c>
      <c r="T1822" s="4">
        <v>13239732600</v>
      </c>
      <c r="V1822" t="s">
        <v>1656</v>
      </c>
      <c r="W1822" t="s">
        <v>1657</v>
      </c>
      <c r="Y1822" t="s">
        <v>1654</v>
      </c>
      <c r="AA1822" t="s">
        <v>1655</v>
      </c>
      <c r="AB1822" t="s">
        <v>172</v>
      </c>
      <c r="AC1822" s="3" t="str">
        <f>"90058"</f>
        <v>90058</v>
      </c>
      <c r="AD1822" t="s">
        <v>128</v>
      </c>
      <c r="AF1822" s="4">
        <v>13239732600</v>
      </c>
      <c r="AH1822" t="str">
        <f>"4243"</f>
        <v>4243</v>
      </c>
      <c r="AI1822" t="s">
        <v>130</v>
      </c>
      <c r="AJ1822" t="s">
        <v>1658</v>
      </c>
      <c r="AK1822" t="s">
        <v>1659</v>
      </c>
      <c r="AL1822" t="s">
        <v>1660</v>
      </c>
      <c r="AM1822" t="s">
        <v>1661</v>
      </c>
      <c r="AN1822" t="s">
        <v>1662</v>
      </c>
      <c r="AO1822" t="s">
        <v>1663</v>
      </c>
      <c r="AP1822" t="s">
        <v>172</v>
      </c>
      <c r="AQ1822" s="5">
        <v>90010</v>
      </c>
      <c r="AR1822" t="s">
        <v>128</v>
      </c>
      <c r="AT1822" s="4">
        <v>12137380928</v>
      </c>
      <c r="AV1822" t="s">
        <v>1664</v>
      </c>
      <c r="AW1822" t="s">
        <v>1665</v>
      </c>
      <c r="AX1822" t="s">
        <v>131</v>
      </c>
      <c r="AY1822" t="s">
        <v>131</v>
      </c>
      <c r="AZ1822" t="s">
        <v>131</v>
      </c>
      <c r="BA1822" t="s">
        <v>131</v>
      </c>
      <c r="BB1822" t="s">
        <v>131</v>
      </c>
      <c r="BC1822" t="s">
        <v>131</v>
      </c>
      <c r="BD1822" t="s">
        <v>131</v>
      </c>
      <c r="BE1822" t="s">
        <v>132</v>
      </c>
      <c r="BH1822" t="s">
        <v>1666</v>
      </c>
      <c r="BI1822" t="s">
        <v>131</v>
      </c>
      <c r="BL1822" t="s">
        <v>133</v>
      </c>
      <c r="BN1822" t="s">
        <v>13450</v>
      </c>
      <c r="BO1822" t="s">
        <v>131</v>
      </c>
      <c r="BP1822" t="s">
        <v>134</v>
      </c>
      <c r="BQ1822" t="s">
        <v>131</v>
      </c>
      <c r="BS1822" t="str">
        <f t="shared" si="107"/>
        <v>N/A</v>
      </c>
      <c r="BT1822" t="s">
        <v>131</v>
      </c>
      <c r="BV1822" t="str">
        <f>""</f>
        <v/>
      </c>
      <c r="BW1822" t="s">
        <v>131</v>
      </c>
      <c r="BX1822" t="str">
        <f>""</f>
        <v/>
      </c>
      <c r="BY1822" t="str">
        <f>""</f>
        <v/>
      </c>
      <c r="BZ1822" t="str">
        <f>""</f>
        <v/>
      </c>
      <c r="CA1822" t="str">
        <f>""</f>
        <v/>
      </c>
      <c r="CB1822" t="s">
        <v>131</v>
      </c>
      <c r="CF1822" t="s">
        <v>131</v>
      </c>
      <c r="CH1822" t="str">
        <f>""</f>
        <v/>
      </c>
      <c r="CI1822" t="s">
        <v>131</v>
      </c>
      <c r="CK1822" t="s">
        <v>131</v>
      </c>
      <c r="CL1822" t="str">
        <f>""</f>
        <v/>
      </c>
      <c r="CM1822" t="str">
        <f>""</f>
        <v/>
      </c>
      <c r="CN1822" t="str">
        <f>""</f>
        <v/>
      </c>
      <c r="CO1822" t="str">
        <f>""</f>
        <v/>
      </c>
      <c r="CP1822" t="str">
        <f>"27-1022.00"</f>
        <v>27-1022.00</v>
      </c>
      <c r="CQ1822" t="s">
        <v>1667</v>
      </c>
      <c r="CR1822" t="s">
        <v>1205</v>
      </c>
      <c r="CS1822" t="s">
        <v>131</v>
      </c>
      <c r="CU1822" t="s">
        <v>1654</v>
      </c>
      <c r="CW1822" t="s">
        <v>1655</v>
      </c>
      <c r="CX1822" t="s">
        <v>172</v>
      </c>
      <c r="CZ1822" s="3" t="str">
        <f>"90058"</f>
        <v>90058</v>
      </c>
      <c r="DA1822" t="s">
        <v>131</v>
      </c>
      <c r="DB1822" t="str">
        <f>""</f>
        <v/>
      </c>
      <c r="DF1822" t="str">
        <f>""</f>
        <v/>
      </c>
    </row>
    <row r="1823" spans="1:110" ht="15" customHeight="1" x14ac:dyDescent="0.35">
      <c r="A1823" t="s">
        <v>15117</v>
      </c>
      <c r="B1823" t="s">
        <v>138</v>
      </c>
      <c r="C1823" s="1">
        <v>44350</v>
      </c>
      <c r="G1823" s="1">
        <v>44350</v>
      </c>
      <c r="H1823" t="s">
        <v>125</v>
      </c>
      <c r="I1823" t="s">
        <v>5004</v>
      </c>
      <c r="J1823" t="s">
        <v>1723</v>
      </c>
      <c r="K1823" t="s">
        <v>192</v>
      </c>
      <c r="L1823" t="s">
        <v>5005</v>
      </c>
      <c r="M1823" t="s">
        <v>5006</v>
      </c>
      <c r="O1823" t="s">
        <v>647</v>
      </c>
      <c r="P1823" t="s">
        <v>178</v>
      </c>
      <c r="Q1823" s="3">
        <v>94538</v>
      </c>
      <c r="R1823" t="s">
        <v>128</v>
      </c>
      <c r="T1823" s="4">
        <v>15105720200</v>
      </c>
      <c r="V1823" t="s">
        <v>5007</v>
      </c>
      <c r="W1823" t="s">
        <v>5008</v>
      </c>
      <c r="Y1823" t="s">
        <v>5006</v>
      </c>
      <c r="AA1823" t="s">
        <v>647</v>
      </c>
      <c r="AB1823" t="s">
        <v>172</v>
      </c>
      <c r="AC1823" s="3" t="str">
        <f>"94538"</f>
        <v>94538</v>
      </c>
      <c r="AD1823" t="s">
        <v>128</v>
      </c>
      <c r="AF1823" s="4">
        <v>15105720200</v>
      </c>
      <c r="AH1823" t="str">
        <f>"33441"</f>
        <v>33441</v>
      </c>
      <c r="AI1823" t="s">
        <v>130</v>
      </c>
      <c r="AJ1823" t="s">
        <v>5009</v>
      </c>
      <c r="AK1823" t="s">
        <v>645</v>
      </c>
      <c r="AL1823" t="s">
        <v>1036</v>
      </c>
      <c r="AM1823" t="s">
        <v>239</v>
      </c>
      <c r="AN1823" t="s">
        <v>240</v>
      </c>
      <c r="AO1823" t="s">
        <v>241</v>
      </c>
      <c r="AQ1823" s="5" t="s">
        <v>242</v>
      </c>
      <c r="AR1823" t="s">
        <v>156</v>
      </c>
      <c r="AS1823" t="s">
        <v>243</v>
      </c>
      <c r="AT1823" s="4">
        <v>16048067182</v>
      </c>
      <c r="AV1823" t="s">
        <v>5007</v>
      </c>
      <c r="AW1823" t="s">
        <v>218</v>
      </c>
      <c r="AX1823" t="s">
        <v>131</v>
      </c>
      <c r="AY1823" t="s">
        <v>131</v>
      </c>
      <c r="AZ1823" t="s">
        <v>131</v>
      </c>
      <c r="BA1823" t="s">
        <v>131</v>
      </c>
      <c r="BB1823" t="s">
        <v>131</v>
      </c>
      <c r="BC1823" t="s">
        <v>131</v>
      </c>
      <c r="BD1823" t="s">
        <v>131</v>
      </c>
      <c r="BE1823" t="s">
        <v>132</v>
      </c>
      <c r="BH1823" t="s">
        <v>359</v>
      </c>
      <c r="BI1823" t="s">
        <v>131</v>
      </c>
      <c r="BL1823" t="s">
        <v>188</v>
      </c>
      <c r="BN1823" t="s">
        <v>15118</v>
      </c>
      <c r="BO1823" t="s">
        <v>131</v>
      </c>
      <c r="BP1823" t="s">
        <v>134</v>
      </c>
      <c r="BQ1823" t="s">
        <v>131</v>
      </c>
      <c r="BS1823" t="str">
        <f t="shared" si="107"/>
        <v>N/A</v>
      </c>
      <c r="BT1823" t="s">
        <v>131</v>
      </c>
      <c r="BV1823" t="str">
        <f>""</f>
        <v/>
      </c>
      <c r="BW1823" t="s">
        <v>135</v>
      </c>
      <c r="BX1823" t="str">
        <f>""</f>
        <v/>
      </c>
      <c r="BY1823" t="str">
        <f>""</f>
        <v/>
      </c>
      <c r="BZ1823" t="str">
        <f>""</f>
        <v/>
      </c>
      <c r="CA1823" s="2" t="s">
        <v>15119</v>
      </c>
      <c r="CB1823" t="s">
        <v>131</v>
      </c>
      <c r="CF1823" t="s">
        <v>131</v>
      </c>
      <c r="CH1823" t="str">
        <f>""</f>
        <v/>
      </c>
      <c r="CI1823" t="s">
        <v>131</v>
      </c>
      <c r="CK1823" t="s">
        <v>131</v>
      </c>
      <c r="CL1823" t="str">
        <f>""</f>
        <v/>
      </c>
      <c r="CM1823" t="str">
        <f>""</f>
        <v/>
      </c>
      <c r="CN1823" t="str">
        <f>""</f>
        <v/>
      </c>
      <c r="CO1823" t="str">
        <f>""</f>
        <v/>
      </c>
      <c r="CP1823" t="str">
        <f>"17-2041.00"</f>
        <v>17-2041.00</v>
      </c>
      <c r="CQ1823" t="s">
        <v>3162</v>
      </c>
      <c r="CR1823" t="s">
        <v>136</v>
      </c>
      <c r="CS1823" t="s">
        <v>135</v>
      </c>
      <c r="CT1823" t="s">
        <v>11956</v>
      </c>
      <c r="CU1823" t="s">
        <v>5006</v>
      </c>
      <c r="CW1823" t="s">
        <v>647</v>
      </c>
      <c r="CX1823" t="s">
        <v>172</v>
      </c>
      <c r="CZ1823" s="3" t="str">
        <f>"94538"</f>
        <v>94538</v>
      </c>
      <c r="DA1823" t="s">
        <v>131</v>
      </c>
      <c r="DB1823" t="str">
        <f>""</f>
        <v/>
      </c>
      <c r="DF1823" t="str">
        <f>""</f>
        <v/>
      </c>
    </row>
    <row r="1824" spans="1:110" ht="15" customHeight="1" x14ac:dyDescent="0.35">
      <c r="A1824" t="s">
        <v>19768</v>
      </c>
      <c r="B1824" t="s">
        <v>138</v>
      </c>
      <c r="C1824" s="1">
        <v>44350</v>
      </c>
      <c r="G1824" s="1">
        <v>44371</v>
      </c>
      <c r="H1824" t="s">
        <v>125</v>
      </c>
      <c r="I1824" t="s">
        <v>1826</v>
      </c>
      <c r="J1824" t="s">
        <v>1827</v>
      </c>
      <c r="K1824" t="s">
        <v>387</v>
      </c>
      <c r="L1824" t="s">
        <v>1828</v>
      </c>
      <c r="M1824" t="s">
        <v>1829</v>
      </c>
      <c r="O1824" t="s">
        <v>1830</v>
      </c>
      <c r="P1824" t="s">
        <v>396</v>
      </c>
      <c r="Q1824" s="3">
        <v>72712</v>
      </c>
      <c r="R1824" t="s">
        <v>128</v>
      </c>
      <c r="T1824" s="4">
        <v>14792047224</v>
      </c>
      <c r="V1824" t="s">
        <v>1831</v>
      </c>
      <c r="W1824" t="s">
        <v>1832</v>
      </c>
      <c r="Y1824" t="s">
        <v>1833</v>
      </c>
      <c r="Z1824" t="s">
        <v>1834</v>
      </c>
      <c r="AA1824" t="s">
        <v>1835</v>
      </c>
      <c r="AB1824" t="s">
        <v>397</v>
      </c>
      <c r="AC1824" s="3" t="str">
        <f>"72716"</f>
        <v>72716</v>
      </c>
      <c r="AD1824" t="s">
        <v>128</v>
      </c>
      <c r="AF1824" s="4">
        <v>14792731993</v>
      </c>
      <c r="AH1824" t="str">
        <f>"452210"</f>
        <v>452210</v>
      </c>
      <c r="AI1824" t="s">
        <v>130</v>
      </c>
      <c r="AJ1824" t="s">
        <v>1836</v>
      </c>
      <c r="AK1824" t="s">
        <v>1837</v>
      </c>
      <c r="AM1824" t="s">
        <v>1838</v>
      </c>
      <c r="AN1824" t="s">
        <v>517</v>
      </c>
      <c r="AO1824" t="s">
        <v>129</v>
      </c>
      <c r="AP1824" t="s">
        <v>129</v>
      </c>
      <c r="AQ1824" s="5">
        <v>10018</v>
      </c>
      <c r="AR1824" t="s">
        <v>128</v>
      </c>
      <c r="AT1824" s="4">
        <v>12126888555</v>
      </c>
      <c r="AV1824" t="s">
        <v>1839</v>
      </c>
      <c r="AW1824" t="s">
        <v>1840</v>
      </c>
      <c r="AX1824" t="s">
        <v>131</v>
      </c>
      <c r="AY1824" t="s">
        <v>131</v>
      </c>
      <c r="AZ1824" t="s">
        <v>131</v>
      </c>
      <c r="BA1824" t="s">
        <v>131</v>
      </c>
      <c r="BB1824" t="s">
        <v>131</v>
      </c>
      <c r="BC1824" t="s">
        <v>131</v>
      </c>
      <c r="BD1824" t="s">
        <v>131</v>
      </c>
      <c r="BE1824" t="s">
        <v>132</v>
      </c>
      <c r="BH1824" t="s">
        <v>3380</v>
      </c>
      <c r="BI1824" t="s">
        <v>135</v>
      </c>
      <c r="BJ1824" t="s">
        <v>10283</v>
      </c>
      <c r="BK1824" t="s">
        <v>10284</v>
      </c>
      <c r="BL1824" t="s">
        <v>188</v>
      </c>
      <c r="BN1824" t="s">
        <v>1842</v>
      </c>
      <c r="BO1824" t="s">
        <v>131</v>
      </c>
      <c r="BP1824" t="s">
        <v>134</v>
      </c>
      <c r="BQ1824" t="s">
        <v>131</v>
      </c>
      <c r="BS1824" t="str">
        <f t="shared" si="107"/>
        <v>N/A</v>
      </c>
      <c r="BT1824" t="s">
        <v>135</v>
      </c>
      <c r="BU1824">
        <v>36</v>
      </c>
      <c r="BV1824" t="str">
        <f>"Software engineering or related experience"</f>
        <v>Software engineering or related experience</v>
      </c>
      <c r="BW1824" t="s">
        <v>135</v>
      </c>
      <c r="BX1824" t="str">
        <f>""</f>
        <v/>
      </c>
      <c r="BY1824" t="str">
        <f>""</f>
        <v/>
      </c>
      <c r="BZ1824" t="str">
        <f>""</f>
        <v/>
      </c>
      <c r="CA1824" t="s">
        <v>19769</v>
      </c>
      <c r="CB1824" t="s">
        <v>135</v>
      </c>
      <c r="CC1824" t="s">
        <v>133</v>
      </c>
      <c r="CE1824" t="s">
        <v>7200</v>
      </c>
      <c r="CF1824" t="s">
        <v>131</v>
      </c>
      <c r="CH1824" t="str">
        <f>"N/A"</f>
        <v>N/A</v>
      </c>
      <c r="CI1824" t="s">
        <v>135</v>
      </c>
      <c r="CJ1824">
        <v>72</v>
      </c>
      <c r="CK1824" t="s">
        <v>135</v>
      </c>
      <c r="CL1824" t="str">
        <f>""</f>
        <v/>
      </c>
      <c r="CM1824" t="str">
        <f>""</f>
        <v/>
      </c>
      <c r="CN1824" t="str">
        <f>""</f>
        <v/>
      </c>
      <c r="CO1824" t="s">
        <v>19769</v>
      </c>
      <c r="CP1824" t="str">
        <f>"15-1132.00"</f>
        <v>15-1132.00</v>
      </c>
      <c r="CQ1824" t="s">
        <v>198</v>
      </c>
      <c r="CR1824" t="s">
        <v>5165</v>
      </c>
      <c r="CS1824" t="s">
        <v>131</v>
      </c>
      <c r="CU1824" t="s">
        <v>3030</v>
      </c>
      <c r="CW1824" t="s">
        <v>1830</v>
      </c>
      <c r="CX1824" t="s">
        <v>397</v>
      </c>
      <c r="CZ1824" s="3" t="str">
        <f>"72716"</f>
        <v>72716</v>
      </c>
      <c r="DA1824" t="s">
        <v>131</v>
      </c>
      <c r="DB1824" t="str">
        <f>""</f>
        <v/>
      </c>
      <c r="DF1824" t="str">
        <f>""</f>
        <v/>
      </c>
    </row>
    <row r="1825" spans="1:110" ht="15" customHeight="1" x14ac:dyDescent="0.35">
      <c r="A1825" t="s">
        <v>16101</v>
      </c>
      <c r="B1825" t="s">
        <v>138</v>
      </c>
      <c r="C1825" s="1">
        <v>44350</v>
      </c>
      <c r="G1825" s="1">
        <v>44350</v>
      </c>
      <c r="H1825" t="s">
        <v>125</v>
      </c>
      <c r="I1825" t="s">
        <v>4532</v>
      </c>
      <c r="J1825" t="s">
        <v>4533</v>
      </c>
      <c r="L1825" t="s">
        <v>4534</v>
      </c>
      <c r="M1825" t="s">
        <v>1347</v>
      </c>
      <c r="O1825" t="s">
        <v>1348</v>
      </c>
      <c r="P1825" t="s">
        <v>539</v>
      </c>
      <c r="Q1825" s="3">
        <v>60015</v>
      </c>
      <c r="R1825" t="s">
        <v>128</v>
      </c>
      <c r="T1825" s="4">
        <v>12244053726</v>
      </c>
      <c r="V1825" t="s">
        <v>4535</v>
      </c>
      <c r="W1825" t="s">
        <v>4536</v>
      </c>
      <c r="Y1825" t="s">
        <v>1351</v>
      </c>
      <c r="AA1825" t="s">
        <v>1348</v>
      </c>
      <c r="AB1825" t="s">
        <v>263</v>
      </c>
      <c r="AC1825" s="3" t="str">
        <f>"60015"</f>
        <v>60015</v>
      </c>
      <c r="AD1825" t="s">
        <v>128</v>
      </c>
      <c r="AF1825" s="4">
        <v>12244053726</v>
      </c>
      <c r="AG1825">
        <v>0</v>
      </c>
      <c r="AH1825" t="str">
        <f>"522291"</f>
        <v>522291</v>
      </c>
      <c r="AI1825" t="s">
        <v>130</v>
      </c>
      <c r="AJ1825" t="s">
        <v>1352</v>
      </c>
      <c r="AK1825" t="s">
        <v>260</v>
      </c>
      <c r="AM1825" t="s">
        <v>493</v>
      </c>
      <c r="AO1825" t="s">
        <v>494</v>
      </c>
      <c r="AP1825" t="s">
        <v>129</v>
      </c>
      <c r="AQ1825" s="5">
        <v>10018</v>
      </c>
      <c r="AR1825" t="s">
        <v>128</v>
      </c>
      <c r="AT1825" s="4">
        <v>12126888555</v>
      </c>
      <c r="AV1825" t="s">
        <v>6738</v>
      </c>
      <c r="AW1825" t="s">
        <v>386</v>
      </c>
      <c r="AX1825" t="s">
        <v>131</v>
      </c>
      <c r="AY1825" t="s">
        <v>131</v>
      </c>
      <c r="AZ1825" t="s">
        <v>131</v>
      </c>
      <c r="BA1825" t="s">
        <v>131</v>
      </c>
      <c r="BB1825" t="s">
        <v>131</v>
      </c>
      <c r="BC1825" t="s">
        <v>131</v>
      </c>
      <c r="BD1825" t="s">
        <v>131</v>
      </c>
      <c r="BE1825" t="s">
        <v>132</v>
      </c>
      <c r="BH1825" t="s">
        <v>16102</v>
      </c>
      <c r="BI1825" t="s">
        <v>131</v>
      </c>
      <c r="BL1825" t="s">
        <v>133</v>
      </c>
      <c r="BN1825" t="s">
        <v>16103</v>
      </c>
      <c r="BO1825" t="s">
        <v>131</v>
      </c>
      <c r="BP1825" t="s">
        <v>134</v>
      </c>
      <c r="BQ1825" t="s">
        <v>131</v>
      </c>
      <c r="BS1825" t="str">
        <f t="shared" si="107"/>
        <v>N/A</v>
      </c>
      <c r="BT1825" t="s">
        <v>135</v>
      </c>
      <c r="BU1825">
        <v>48</v>
      </c>
      <c r="BV1825" t="str">
        <f>"Manager - Projects or related."</f>
        <v>Manager - Projects or related.</v>
      </c>
      <c r="BW1825" t="s">
        <v>135</v>
      </c>
      <c r="BX1825" t="str">
        <f>""</f>
        <v/>
      </c>
      <c r="BY1825" t="str">
        <f>""</f>
        <v/>
      </c>
      <c r="BZ1825" t="str">
        <f>""</f>
        <v/>
      </c>
      <c r="CA1825" t="s">
        <v>15613</v>
      </c>
      <c r="CB1825" t="s">
        <v>131</v>
      </c>
      <c r="CF1825" t="s">
        <v>131</v>
      </c>
      <c r="CH1825" t="str">
        <f>""</f>
        <v/>
      </c>
      <c r="CI1825" t="s">
        <v>131</v>
      </c>
      <c r="CK1825" t="s">
        <v>131</v>
      </c>
      <c r="CL1825" t="str">
        <f>""</f>
        <v/>
      </c>
      <c r="CM1825" t="str">
        <f>""</f>
        <v/>
      </c>
      <c r="CN1825" t="str">
        <f>""</f>
        <v/>
      </c>
      <c r="CO1825" t="str">
        <f>""</f>
        <v/>
      </c>
      <c r="CP1825" t="str">
        <f>"15-1132.00"</f>
        <v>15-1132.00</v>
      </c>
      <c r="CQ1825" t="s">
        <v>198</v>
      </c>
      <c r="CR1825" t="s">
        <v>1079</v>
      </c>
      <c r="CS1825" t="s">
        <v>131</v>
      </c>
      <c r="CU1825" t="s">
        <v>1347</v>
      </c>
      <c r="CW1825" t="s">
        <v>1348</v>
      </c>
      <c r="CX1825" t="s">
        <v>263</v>
      </c>
      <c r="CZ1825" s="3" t="str">
        <f>"60015"</f>
        <v>60015</v>
      </c>
      <c r="DA1825" t="s">
        <v>131</v>
      </c>
      <c r="DB1825" t="str">
        <f>""</f>
        <v/>
      </c>
      <c r="DF1825" t="str">
        <f>""</f>
        <v/>
      </c>
    </row>
    <row r="1826" spans="1:110" ht="15" customHeight="1" x14ac:dyDescent="0.35">
      <c r="A1826" t="s">
        <v>15122</v>
      </c>
      <c r="B1826" t="s">
        <v>138</v>
      </c>
      <c r="C1826" s="1">
        <v>44350</v>
      </c>
      <c r="G1826" s="1">
        <v>44351</v>
      </c>
      <c r="H1826" t="s">
        <v>125</v>
      </c>
      <c r="I1826" t="s">
        <v>3377</v>
      </c>
      <c r="J1826" t="s">
        <v>140</v>
      </c>
      <c r="L1826" t="s">
        <v>3378</v>
      </c>
      <c r="M1826" t="s">
        <v>142</v>
      </c>
      <c r="O1826" t="s">
        <v>143</v>
      </c>
      <c r="P1826" t="s">
        <v>144</v>
      </c>
      <c r="Q1826" s="3">
        <v>98052</v>
      </c>
      <c r="R1826" t="s">
        <v>128</v>
      </c>
      <c r="T1826" s="4">
        <v>14255383872</v>
      </c>
      <c r="V1826" t="s">
        <v>145</v>
      </c>
      <c r="W1826" t="s">
        <v>1411</v>
      </c>
      <c r="Y1826" t="s">
        <v>142</v>
      </c>
      <c r="AA1826" t="s">
        <v>143</v>
      </c>
      <c r="AB1826" t="s">
        <v>149</v>
      </c>
      <c r="AC1826" s="3" t="str">
        <f>"98052"</f>
        <v>98052</v>
      </c>
      <c r="AD1826" t="s">
        <v>128</v>
      </c>
      <c r="AF1826" s="4">
        <v>14255383872</v>
      </c>
      <c r="AH1826" t="str">
        <f>"511210"</f>
        <v>511210</v>
      </c>
      <c r="AI1826" t="s">
        <v>130</v>
      </c>
      <c r="AJ1826" t="s">
        <v>1412</v>
      </c>
      <c r="AK1826" t="s">
        <v>1413</v>
      </c>
      <c r="AM1826" t="s">
        <v>1414</v>
      </c>
      <c r="AN1826" t="s">
        <v>698</v>
      </c>
      <c r="AO1826" t="s">
        <v>1415</v>
      </c>
      <c r="AP1826" t="s">
        <v>382</v>
      </c>
      <c r="AQ1826" s="5">
        <v>21117</v>
      </c>
      <c r="AR1826" t="s">
        <v>128</v>
      </c>
      <c r="AT1826" s="4">
        <v>14103565440</v>
      </c>
      <c r="AU1826">
        <v>274</v>
      </c>
      <c r="AV1826" t="s">
        <v>3379</v>
      </c>
      <c r="AW1826" t="s">
        <v>1416</v>
      </c>
      <c r="AX1826" t="s">
        <v>131</v>
      </c>
      <c r="AY1826" t="s">
        <v>131</v>
      </c>
      <c r="AZ1826" t="s">
        <v>131</v>
      </c>
      <c r="BA1826" t="s">
        <v>131</v>
      </c>
      <c r="BB1826" t="s">
        <v>131</v>
      </c>
      <c r="BC1826" t="s">
        <v>131</v>
      </c>
      <c r="BD1826" t="s">
        <v>131</v>
      </c>
      <c r="BE1826" t="s">
        <v>132</v>
      </c>
      <c r="BH1826" t="s">
        <v>2256</v>
      </c>
      <c r="BI1826" t="s">
        <v>131</v>
      </c>
      <c r="BL1826" t="s">
        <v>133</v>
      </c>
      <c r="BN1826" t="s">
        <v>7231</v>
      </c>
      <c r="BO1826" t="s">
        <v>131</v>
      </c>
      <c r="BP1826" t="s">
        <v>134</v>
      </c>
      <c r="BQ1826" t="s">
        <v>131</v>
      </c>
      <c r="BS1826" t="str">
        <f t="shared" si="107"/>
        <v>N/A</v>
      </c>
      <c r="BT1826" t="s">
        <v>135</v>
      </c>
      <c r="BU1826">
        <v>36</v>
      </c>
      <c r="BV1826" t="str">
        <f>"Any computer-related occupation"</f>
        <v>Any computer-related occupation</v>
      </c>
      <c r="BW1826" t="s">
        <v>135</v>
      </c>
      <c r="BX1826" t="str">
        <f>""</f>
        <v/>
      </c>
      <c r="BY1826" t="str">
        <f>""</f>
        <v/>
      </c>
      <c r="BZ1826" t="str">
        <f>""</f>
        <v/>
      </c>
      <c r="CA1826" t="str">
        <f>"Requires 36 months of experience in Mobile development, Android, CI/CD (Continuous Integration/Continuous Delivery), Git, Eclipse/XCode/IntelliJ IDEA, and Database Management; and 24 months of experience in Unit Testing."</f>
        <v>Requires 36 months of experience in Mobile development, Android, CI/CD (Continuous Integration/Continuous Delivery), Git, Eclipse/XCode/IntelliJ IDEA, and Database Management; and 24 months of experience in Unit Testing.</v>
      </c>
      <c r="CB1826" t="s">
        <v>131</v>
      </c>
      <c r="CF1826" t="s">
        <v>131</v>
      </c>
      <c r="CH1826" t="str">
        <f>""</f>
        <v/>
      </c>
      <c r="CI1826" t="s">
        <v>131</v>
      </c>
      <c r="CK1826" t="s">
        <v>131</v>
      </c>
      <c r="CL1826" t="str">
        <f>""</f>
        <v/>
      </c>
      <c r="CM1826" t="str">
        <f>""</f>
        <v/>
      </c>
      <c r="CN1826" t="str">
        <f>""</f>
        <v/>
      </c>
      <c r="CO1826" t="str">
        <f>""</f>
        <v/>
      </c>
      <c r="CP1826" t="str">
        <f>"15-1132.00"</f>
        <v>15-1132.00</v>
      </c>
      <c r="CQ1826" t="s">
        <v>198</v>
      </c>
      <c r="CR1826" t="s">
        <v>10823</v>
      </c>
      <c r="CS1826" t="s">
        <v>131</v>
      </c>
      <c r="CU1826" t="s">
        <v>142</v>
      </c>
      <c r="CW1826" t="s">
        <v>143</v>
      </c>
      <c r="CX1826" t="s">
        <v>149</v>
      </c>
      <c r="CZ1826" s="3" t="str">
        <f>"98052"</f>
        <v>98052</v>
      </c>
      <c r="DA1826" t="s">
        <v>131</v>
      </c>
      <c r="DB1826" t="str">
        <f>""</f>
        <v/>
      </c>
      <c r="DF1826" t="str">
        <f>""</f>
        <v/>
      </c>
    </row>
    <row r="1827" spans="1:110" ht="15" customHeight="1" x14ac:dyDescent="0.35">
      <c r="A1827" t="s">
        <v>20051</v>
      </c>
      <c r="B1827" t="s">
        <v>138</v>
      </c>
      <c r="C1827" s="1">
        <v>44350</v>
      </c>
      <c r="G1827" s="1">
        <v>44350</v>
      </c>
      <c r="H1827" t="s">
        <v>125</v>
      </c>
      <c r="I1827" t="s">
        <v>860</v>
      </c>
      <c r="J1827" t="s">
        <v>2428</v>
      </c>
      <c r="L1827" t="s">
        <v>20052</v>
      </c>
      <c r="M1827" t="s">
        <v>17168</v>
      </c>
      <c r="O1827" t="s">
        <v>2150</v>
      </c>
      <c r="P1827" t="s">
        <v>778</v>
      </c>
      <c r="Q1827" s="3">
        <v>37201</v>
      </c>
      <c r="R1827" t="s">
        <v>128</v>
      </c>
      <c r="T1827" s="4">
        <v>16157708103</v>
      </c>
      <c r="V1827" t="s">
        <v>6323</v>
      </c>
      <c r="W1827" t="s">
        <v>20053</v>
      </c>
      <c r="Y1827" t="s">
        <v>17168</v>
      </c>
      <c r="AA1827" t="s">
        <v>2150</v>
      </c>
      <c r="AB1827" t="s">
        <v>779</v>
      </c>
      <c r="AC1827" s="3" t="str">
        <f>"37201"</f>
        <v>37201</v>
      </c>
      <c r="AD1827" t="s">
        <v>128</v>
      </c>
      <c r="AF1827" s="4">
        <v>16157708103</v>
      </c>
      <c r="AH1827" t="str">
        <f>"54131"</f>
        <v>54131</v>
      </c>
      <c r="AI1827" t="s">
        <v>130</v>
      </c>
      <c r="AJ1827" t="s">
        <v>1541</v>
      </c>
      <c r="AK1827" t="s">
        <v>1542</v>
      </c>
      <c r="AL1827" t="s">
        <v>840</v>
      </c>
      <c r="AM1827" t="s">
        <v>973</v>
      </c>
      <c r="AN1827" t="s">
        <v>974</v>
      </c>
      <c r="AO1827" t="s">
        <v>975</v>
      </c>
      <c r="AP1827" t="s">
        <v>594</v>
      </c>
      <c r="AQ1827" s="5">
        <v>27615</v>
      </c>
      <c r="AR1827" t="s">
        <v>128</v>
      </c>
      <c r="AT1827" s="4">
        <v>19197879700</v>
      </c>
      <c r="AV1827" t="s">
        <v>6326</v>
      </c>
      <c r="AW1827" t="s">
        <v>976</v>
      </c>
      <c r="AX1827" t="s">
        <v>131</v>
      </c>
      <c r="AY1827" t="s">
        <v>131</v>
      </c>
      <c r="AZ1827" t="s">
        <v>131</v>
      </c>
      <c r="BA1827" t="s">
        <v>131</v>
      </c>
      <c r="BB1827" t="s">
        <v>131</v>
      </c>
      <c r="BC1827" t="s">
        <v>131</v>
      </c>
      <c r="BD1827" t="s">
        <v>131</v>
      </c>
      <c r="BE1827" t="s">
        <v>132</v>
      </c>
      <c r="BH1827" t="s">
        <v>20054</v>
      </c>
      <c r="BI1827" t="s">
        <v>131</v>
      </c>
      <c r="BL1827" t="s">
        <v>188</v>
      </c>
      <c r="BN1827" t="s">
        <v>20055</v>
      </c>
      <c r="BO1827" t="s">
        <v>131</v>
      </c>
      <c r="BP1827" t="s">
        <v>134</v>
      </c>
      <c r="BQ1827" t="s">
        <v>131</v>
      </c>
      <c r="BS1827" t="str">
        <f t="shared" si="107"/>
        <v>N/A</v>
      </c>
      <c r="BT1827" t="s">
        <v>135</v>
      </c>
      <c r="BU1827">
        <v>24</v>
      </c>
      <c r="BV1827" t="str">
        <f>"In the job offered or related occupation"</f>
        <v>In the job offered or related occupation</v>
      </c>
      <c r="BW1827" t="s">
        <v>135</v>
      </c>
      <c r="BX1827" t="str">
        <f>""</f>
        <v/>
      </c>
      <c r="BY1827" t="str">
        <f>""</f>
        <v/>
      </c>
      <c r="BZ1827" t="str">
        <f>""</f>
        <v/>
      </c>
      <c r="CA1827" s="2" t="s">
        <v>20056</v>
      </c>
      <c r="CB1827" t="s">
        <v>135</v>
      </c>
      <c r="CC1827" t="s">
        <v>133</v>
      </c>
      <c r="CE1827" t="s">
        <v>20057</v>
      </c>
      <c r="CF1827" t="s">
        <v>131</v>
      </c>
      <c r="CH1827" t="str">
        <f>"N/A"</f>
        <v>N/A</v>
      </c>
      <c r="CI1827" t="s">
        <v>135</v>
      </c>
      <c r="CJ1827">
        <v>36</v>
      </c>
      <c r="CK1827" t="s">
        <v>135</v>
      </c>
      <c r="CL1827" t="str">
        <f>""</f>
        <v/>
      </c>
      <c r="CM1827" t="str">
        <f>""</f>
        <v/>
      </c>
      <c r="CN1827" t="str">
        <f>""</f>
        <v/>
      </c>
      <c r="CO1827" s="2" t="s">
        <v>20058</v>
      </c>
      <c r="CP1827" t="str">
        <f>"17-1011.00"</f>
        <v>17-1011.00</v>
      </c>
      <c r="CQ1827" t="s">
        <v>2670</v>
      </c>
      <c r="CR1827" t="s">
        <v>2668</v>
      </c>
      <c r="CS1827" t="s">
        <v>131</v>
      </c>
      <c r="CU1827" t="s">
        <v>17168</v>
      </c>
      <c r="CW1827" t="s">
        <v>2150</v>
      </c>
      <c r="CX1827" t="s">
        <v>779</v>
      </c>
      <c r="CZ1827" s="3" t="str">
        <f>"37201"</f>
        <v>37201</v>
      </c>
      <c r="DA1827" t="s">
        <v>131</v>
      </c>
      <c r="DB1827" t="str">
        <f>""</f>
        <v/>
      </c>
      <c r="DF1827" t="str">
        <f>""</f>
        <v/>
      </c>
    </row>
    <row r="1828" spans="1:110" ht="15" customHeight="1" x14ac:dyDescent="0.35">
      <c r="A1828" t="s">
        <v>4872</v>
      </c>
      <c r="B1828" t="s">
        <v>138</v>
      </c>
      <c r="C1828" s="1">
        <v>44350</v>
      </c>
      <c r="G1828" s="1">
        <v>44355</v>
      </c>
      <c r="H1828" t="s">
        <v>125</v>
      </c>
      <c r="I1828" t="s">
        <v>4873</v>
      </c>
      <c r="J1828" t="s">
        <v>4874</v>
      </c>
      <c r="L1828" t="s">
        <v>4875</v>
      </c>
      <c r="M1828" t="s">
        <v>4876</v>
      </c>
      <c r="O1828" t="s">
        <v>2072</v>
      </c>
      <c r="P1828" t="s">
        <v>178</v>
      </c>
      <c r="Q1828" s="3">
        <v>94568</v>
      </c>
      <c r="R1828" t="s">
        <v>128</v>
      </c>
      <c r="T1828" s="4">
        <v>15103525000</v>
      </c>
      <c r="V1828" t="s">
        <v>4877</v>
      </c>
      <c r="W1828" t="s">
        <v>4878</v>
      </c>
      <c r="Y1828" t="s">
        <v>4876</v>
      </c>
      <c r="AA1828" t="s">
        <v>2072</v>
      </c>
      <c r="AB1828" t="s">
        <v>172</v>
      </c>
      <c r="AC1828" s="3" t="str">
        <f>"94568"</f>
        <v>94568</v>
      </c>
      <c r="AD1828" t="s">
        <v>128</v>
      </c>
      <c r="AF1828" s="4">
        <v>15103525000</v>
      </c>
      <c r="AH1828" t="str">
        <f>"56133"</f>
        <v>56133</v>
      </c>
      <c r="AI1828" t="s">
        <v>130</v>
      </c>
      <c r="AJ1828" t="s">
        <v>1915</v>
      </c>
      <c r="AK1828" t="s">
        <v>522</v>
      </c>
      <c r="AL1828" t="s">
        <v>1254</v>
      </c>
      <c r="AM1828" t="s">
        <v>4879</v>
      </c>
      <c r="AN1828" t="s">
        <v>4880</v>
      </c>
      <c r="AO1828" t="s">
        <v>1200</v>
      </c>
      <c r="AP1828" t="s">
        <v>172</v>
      </c>
      <c r="AQ1828" s="5">
        <v>91301</v>
      </c>
      <c r="AR1828" t="s">
        <v>128</v>
      </c>
      <c r="AT1828" s="4">
        <v>18189146482</v>
      </c>
      <c r="AV1828" t="s">
        <v>1201</v>
      </c>
      <c r="AW1828" t="s">
        <v>1202</v>
      </c>
      <c r="AX1828" t="s">
        <v>131</v>
      </c>
      <c r="AY1828" t="s">
        <v>131</v>
      </c>
      <c r="AZ1828" t="s">
        <v>131</v>
      </c>
      <c r="BA1828" t="s">
        <v>131</v>
      </c>
      <c r="BB1828" t="s">
        <v>131</v>
      </c>
      <c r="BC1828" t="s">
        <v>131</v>
      </c>
      <c r="BD1828" t="s">
        <v>131</v>
      </c>
      <c r="BE1828" t="s">
        <v>132</v>
      </c>
      <c r="BH1828" t="s">
        <v>4881</v>
      </c>
      <c r="BI1828" t="s">
        <v>131</v>
      </c>
      <c r="BL1828" t="s">
        <v>188</v>
      </c>
      <c r="BN1828" t="s">
        <v>459</v>
      </c>
      <c r="BO1828" t="s">
        <v>131</v>
      </c>
      <c r="BP1828" t="s">
        <v>134</v>
      </c>
      <c r="BQ1828" t="s">
        <v>131</v>
      </c>
      <c r="BS1828" t="str">
        <f t="shared" si="107"/>
        <v>N/A</v>
      </c>
      <c r="BT1828" t="s">
        <v>135</v>
      </c>
      <c r="BU1828">
        <v>36</v>
      </c>
      <c r="BV1828" t="str">
        <f>"See F.a.2"</f>
        <v>See F.a.2</v>
      </c>
      <c r="BW1828" t="s">
        <v>135</v>
      </c>
      <c r="BX1828" t="str">
        <f>""</f>
        <v/>
      </c>
      <c r="BY1828" t="str">
        <f>""</f>
        <v/>
      </c>
      <c r="BZ1828" t="str">
        <f>""</f>
        <v/>
      </c>
      <c r="CA1828" s="2" t="s">
        <v>4882</v>
      </c>
      <c r="CB1828" t="s">
        <v>135</v>
      </c>
      <c r="CC1828" t="s">
        <v>133</v>
      </c>
      <c r="CE1828" t="s">
        <v>459</v>
      </c>
      <c r="CF1828" t="s">
        <v>131</v>
      </c>
      <c r="CH1828" t="str">
        <f>"N/A"</f>
        <v>N/A</v>
      </c>
      <c r="CI1828" t="s">
        <v>135</v>
      </c>
      <c r="CJ1828">
        <v>60</v>
      </c>
      <c r="CK1828" t="s">
        <v>135</v>
      </c>
      <c r="CL1828" t="str">
        <f>""</f>
        <v/>
      </c>
      <c r="CM1828" t="str">
        <f>""</f>
        <v/>
      </c>
      <c r="CN1828" t="str">
        <f>""</f>
        <v/>
      </c>
      <c r="CO1828" s="2" t="s">
        <v>4883</v>
      </c>
      <c r="CP1828" t="str">
        <f>"15-1199.02"</f>
        <v>15-1199.02</v>
      </c>
      <c r="CQ1828" t="s">
        <v>2269</v>
      </c>
      <c r="CR1828" t="s">
        <v>4884</v>
      </c>
      <c r="CS1828" t="s">
        <v>135</v>
      </c>
      <c r="CT1828" s="2" t="s">
        <v>4885</v>
      </c>
      <c r="CU1828" t="s">
        <v>4886</v>
      </c>
      <c r="CW1828" t="s">
        <v>4887</v>
      </c>
      <c r="CX1828" t="s">
        <v>400</v>
      </c>
      <c r="CZ1828" s="3" t="str">
        <f>"78727"</f>
        <v>78727</v>
      </c>
      <c r="DA1828" t="s">
        <v>131</v>
      </c>
      <c r="DB1828" t="str">
        <f>""</f>
        <v/>
      </c>
      <c r="DF1828" t="str">
        <f>""</f>
        <v/>
      </c>
    </row>
    <row r="1829" spans="1:110" ht="15" customHeight="1" x14ac:dyDescent="0.35">
      <c r="A1829" t="s">
        <v>15880</v>
      </c>
      <c r="B1829" t="s">
        <v>138</v>
      </c>
      <c r="C1829" s="1">
        <v>44350</v>
      </c>
      <c r="G1829" s="1">
        <v>44350</v>
      </c>
      <c r="H1829" t="s">
        <v>125</v>
      </c>
      <c r="I1829" t="s">
        <v>15881</v>
      </c>
      <c r="J1829" t="s">
        <v>4988</v>
      </c>
      <c r="L1829" t="s">
        <v>701</v>
      </c>
      <c r="M1829" t="s">
        <v>15882</v>
      </c>
      <c r="N1829" t="s">
        <v>398</v>
      </c>
      <c r="O1829" t="s">
        <v>1043</v>
      </c>
      <c r="P1829" t="s">
        <v>702</v>
      </c>
      <c r="Q1829" s="3">
        <v>6902</v>
      </c>
      <c r="R1829" t="s">
        <v>128</v>
      </c>
      <c r="T1829" s="4">
        <v>12035905380</v>
      </c>
      <c r="V1829" t="s">
        <v>10735</v>
      </c>
      <c r="W1829" t="s">
        <v>15883</v>
      </c>
      <c r="Y1829" t="s">
        <v>15882</v>
      </c>
      <c r="Z1829" t="s">
        <v>398</v>
      </c>
      <c r="AA1829" t="s">
        <v>1043</v>
      </c>
      <c r="AB1829" t="s">
        <v>703</v>
      </c>
      <c r="AC1829" s="3" t="str">
        <f>"06902"</f>
        <v>06902</v>
      </c>
      <c r="AD1829" t="s">
        <v>128</v>
      </c>
      <c r="AF1829" s="4">
        <v>12035902035</v>
      </c>
      <c r="AH1829" t="str">
        <f>"33792"</f>
        <v>33792</v>
      </c>
      <c r="AI1829" t="s">
        <v>130</v>
      </c>
      <c r="AJ1829" t="s">
        <v>7382</v>
      </c>
      <c r="AK1829" t="s">
        <v>618</v>
      </c>
      <c r="AL1829" t="s">
        <v>1624</v>
      </c>
      <c r="AM1829" t="s">
        <v>7383</v>
      </c>
      <c r="AN1829" t="s">
        <v>788</v>
      </c>
      <c r="AO1829" t="s">
        <v>975</v>
      </c>
      <c r="AP1829" t="s">
        <v>594</v>
      </c>
      <c r="AQ1829" s="5">
        <v>27612</v>
      </c>
      <c r="AR1829" t="s">
        <v>128</v>
      </c>
      <c r="AT1829" s="4">
        <v>19197551800</v>
      </c>
      <c r="AV1829" t="s">
        <v>7384</v>
      </c>
      <c r="AW1829" t="s">
        <v>7385</v>
      </c>
      <c r="AX1829" t="s">
        <v>131</v>
      </c>
      <c r="AY1829" t="s">
        <v>131</v>
      </c>
      <c r="AZ1829" t="s">
        <v>131</v>
      </c>
      <c r="BA1829" t="s">
        <v>131</v>
      </c>
      <c r="BB1829" t="s">
        <v>131</v>
      </c>
      <c r="BC1829" t="s">
        <v>131</v>
      </c>
      <c r="BD1829" t="s">
        <v>131</v>
      </c>
      <c r="BE1829" t="s">
        <v>132</v>
      </c>
      <c r="BH1829" t="s">
        <v>15884</v>
      </c>
      <c r="BI1829" t="s">
        <v>131</v>
      </c>
      <c r="BL1829" t="s">
        <v>133</v>
      </c>
      <c r="BN1829" t="s">
        <v>2702</v>
      </c>
      <c r="BO1829" t="s">
        <v>131</v>
      </c>
      <c r="BP1829" t="s">
        <v>134</v>
      </c>
      <c r="BQ1829" t="s">
        <v>131</v>
      </c>
      <c r="BS1829" t="str">
        <f t="shared" si="107"/>
        <v>N/A</v>
      </c>
      <c r="BT1829" t="s">
        <v>135</v>
      </c>
      <c r="BU1829">
        <v>60</v>
      </c>
      <c r="BV1829" t="str">
        <f>"Product Engineering"</f>
        <v>Product Engineering</v>
      </c>
      <c r="BW1829" t="s">
        <v>135</v>
      </c>
      <c r="BX1829" t="str">
        <f>""</f>
        <v/>
      </c>
      <c r="BY1829" t="str">
        <f>""</f>
        <v/>
      </c>
      <c r="BZ1829" t="str">
        <f>""</f>
        <v/>
      </c>
      <c r="CA1829" t="str">
        <f>"At least 60 months of experience conducting market and customer research in the window coverings industry"</f>
        <v>At least 60 months of experience conducting market and customer research in the window coverings industry</v>
      </c>
      <c r="CB1829" t="s">
        <v>131</v>
      </c>
      <c r="CF1829" t="s">
        <v>131</v>
      </c>
      <c r="CH1829" t="str">
        <f>""</f>
        <v/>
      </c>
      <c r="CI1829" t="s">
        <v>131</v>
      </c>
      <c r="CK1829" t="s">
        <v>131</v>
      </c>
      <c r="CL1829" t="str">
        <f>""</f>
        <v/>
      </c>
      <c r="CM1829" t="str">
        <f>""</f>
        <v/>
      </c>
      <c r="CN1829" t="str">
        <f>""</f>
        <v/>
      </c>
      <c r="CO1829" t="str">
        <f>""</f>
        <v/>
      </c>
      <c r="CP1829" t="str">
        <f>"17-2072.00"</f>
        <v>17-2072.00</v>
      </c>
      <c r="CQ1829" t="s">
        <v>865</v>
      </c>
      <c r="CR1829" t="s">
        <v>15885</v>
      </c>
      <c r="CS1829" t="s">
        <v>135</v>
      </c>
      <c r="CT1829" t="s">
        <v>15886</v>
      </c>
      <c r="CU1829" t="s">
        <v>15882</v>
      </c>
      <c r="CV1829" t="s">
        <v>398</v>
      </c>
      <c r="CW1829" t="s">
        <v>1043</v>
      </c>
      <c r="CX1829" t="s">
        <v>703</v>
      </c>
      <c r="CZ1829" s="3" t="str">
        <f>"06902"</f>
        <v>06902</v>
      </c>
      <c r="DA1829" t="s">
        <v>131</v>
      </c>
      <c r="DB1829" t="str">
        <f>""</f>
        <v/>
      </c>
      <c r="DF1829" t="str">
        <f>""</f>
        <v/>
      </c>
    </row>
    <row r="1830" spans="1:110" ht="15" customHeight="1" x14ac:dyDescent="0.35">
      <c r="A1830" t="s">
        <v>5286</v>
      </c>
      <c r="B1830" t="s">
        <v>138</v>
      </c>
      <c r="C1830" s="1">
        <v>44350</v>
      </c>
      <c r="G1830" s="1">
        <v>44350</v>
      </c>
      <c r="H1830" t="s">
        <v>125</v>
      </c>
      <c r="I1830" t="s">
        <v>745</v>
      </c>
      <c r="J1830" t="s">
        <v>5287</v>
      </c>
      <c r="L1830" t="s">
        <v>5288</v>
      </c>
      <c r="M1830" t="s">
        <v>5289</v>
      </c>
      <c r="N1830" t="s">
        <v>734</v>
      </c>
      <c r="O1830" t="s">
        <v>799</v>
      </c>
      <c r="P1830" t="s">
        <v>3393</v>
      </c>
      <c r="Q1830" s="3">
        <v>20037</v>
      </c>
      <c r="R1830" t="s">
        <v>128</v>
      </c>
      <c r="T1830" s="4">
        <v>12024954749</v>
      </c>
      <c r="V1830" t="s">
        <v>5290</v>
      </c>
      <c r="W1830" t="s">
        <v>5291</v>
      </c>
      <c r="Y1830" t="s">
        <v>5292</v>
      </c>
      <c r="AA1830" t="s">
        <v>799</v>
      </c>
      <c r="AB1830" t="s">
        <v>595</v>
      </c>
      <c r="AC1830" s="3" t="str">
        <f>"20037"</f>
        <v>20037</v>
      </c>
      <c r="AD1830" t="s">
        <v>128</v>
      </c>
      <c r="AF1830" s="4">
        <v>12024954749</v>
      </c>
      <c r="AH1830" t="str">
        <f>"813312"</f>
        <v>813312</v>
      </c>
      <c r="AI1830" t="s">
        <v>130</v>
      </c>
      <c r="AJ1830" t="s">
        <v>5293</v>
      </c>
      <c r="AK1830" t="s">
        <v>1723</v>
      </c>
      <c r="AM1830" t="s">
        <v>5294</v>
      </c>
      <c r="AN1830" t="s">
        <v>3673</v>
      </c>
      <c r="AO1830" t="s">
        <v>799</v>
      </c>
      <c r="AP1830" t="s">
        <v>595</v>
      </c>
      <c r="AQ1830" s="5">
        <v>20006</v>
      </c>
      <c r="AR1830" t="s">
        <v>128</v>
      </c>
      <c r="AT1830" s="4">
        <v>12023319450</v>
      </c>
      <c r="AV1830" t="s">
        <v>5295</v>
      </c>
      <c r="AW1830" t="s">
        <v>5296</v>
      </c>
      <c r="AX1830" t="s">
        <v>135</v>
      </c>
      <c r="AY1830" t="s">
        <v>131</v>
      </c>
      <c r="AZ1830" t="s">
        <v>135</v>
      </c>
      <c r="BA1830" t="s">
        <v>131</v>
      </c>
      <c r="BB1830" t="s">
        <v>131</v>
      </c>
      <c r="BC1830" t="s">
        <v>131</v>
      </c>
      <c r="BD1830" t="s">
        <v>131</v>
      </c>
      <c r="BE1830" t="s">
        <v>132</v>
      </c>
      <c r="BH1830" t="s">
        <v>5297</v>
      </c>
      <c r="BI1830" t="s">
        <v>135</v>
      </c>
      <c r="BJ1830" t="s">
        <v>5298</v>
      </c>
      <c r="BK1830" t="s">
        <v>5299</v>
      </c>
      <c r="BL1830" t="s">
        <v>658</v>
      </c>
      <c r="BM1830" t="s">
        <v>5300</v>
      </c>
      <c r="BN1830" t="s">
        <v>3562</v>
      </c>
      <c r="BO1830" t="s">
        <v>131</v>
      </c>
      <c r="BP1830" t="s">
        <v>134</v>
      </c>
      <c r="BQ1830" t="s">
        <v>131</v>
      </c>
      <c r="BS1830" t="str">
        <f t="shared" si="107"/>
        <v>N/A</v>
      </c>
      <c r="BT1830" t="s">
        <v>135</v>
      </c>
      <c r="BU1830">
        <v>96</v>
      </c>
      <c r="BV1830" t="str">
        <f>"Ombudsperson "</f>
        <v xml:space="preserve">Ombudsperson </v>
      </c>
      <c r="BW1830" t="s">
        <v>131</v>
      </c>
      <c r="BX1830" t="str">
        <f>""</f>
        <v/>
      </c>
      <c r="BY1830" t="str">
        <f>""</f>
        <v/>
      </c>
      <c r="BZ1830" t="str">
        <f>""</f>
        <v/>
      </c>
      <c r="CA1830" t="str">
        <f>""</f>
        <v/>
      </c>
      <c r="CB1830" t="s">
        <v>131</v>
      </c>
      <c r="CF1830" t="s">
        <v>131</v>
      </c>
      <c r="CH1830" t="str">
        <f>""</f>
        <v/>
      </c>
      <c r="CI1830" t="s">
        <v>131</v>
      </c>
      <c r="CK1830" t="s">
        <v>131</v>
      </c>
      <c r="CL1830" t="str">
        <f>""</f>
        <v/>
      </c>
      <c r="CM1830" t="str">
        <f>""</f>
        <v/>
      </c>
      <c r="CN1830" t="str">
        <f>""</f>
        <v/>
      </c>
      <c r="CO1830" t="str">
        <f>""</f>
        <v/>
      </c>
      <c r="CP1830" t="str">
        <f>"23-1022.00"</f>
        <v>23-1022.00</v>
      </c>
      <c r="CQ1830" t="s">
        <v>5299</v>
      </c>
      <c r="CR1830" t="s">
        <v>5301</v>
      </c>
      <c r="CS1830" t="s">
        <v>135</v>
      </c>
      <c r="CT1830" t="s">
        <v>5302</v>
      </c>
      <c r="CU1830" t="s">
        <v>5289</v>
      </c>
      <c r="CW1830" t="s">
        <v>799</v>
      </c>
      <c r="CX1830" t="s">
        <v>595</v>
      </c>
      <c r="CZ1830" s="3" t="str">
        <f>"20037"</f>
        <v>20037</v>
      </c>
      <c r="DA1830" t="s">
        <v>131</v>
      </c>
      <c r="DB1830" t="str">
        <f>""</f>
        <v/>
      </c>
      <c r="DF1830" t="str">
        <f>""</f>
        <v/>
      </c>
    </row>
    <row r="1831" spans="1:110" ht="15" customHeight="1" x14ac:dyDescent="0.35">
      <c r="A1831" t="s">
        <v>12423</v>
      </c>
      <c r="B1831" t="s">
        <v>138</v>
      </c>
      <c r="C1831" s="1">
        <v>44350</v>
      </c>
      <c r="G1831" s="1">
        <v>44362</v>
      </c>
      <c r="H1831" t="s">
        <v>125</v>
      </c>
      <c r="I1831" t="s">
        <v>694</v>
      </c>
      <c r="J1831" t="s">
        <v>1949</v>
      </c>
      <c r="L1831" t="s">
        <v>1310</v>
      </c>
      <c r="M1831" t="s">
        <v>11355</v>
      </c>
      <c r="O1831" t="s">
        <v>494</v>
      </c>
      <c r="P1831" t="s">
        <v>127</v>
      </c>
      <c r="Q1831" s="3">
        <v>10001</v>
      </c>
      <c r="R1831" t="s">
        <v>128</v>
      </c>
      <c r="T1831" s="4">
        <v>13104014340</v>
      </c>
      <c r="V1831" t="s">
        <v>11356</v>
      </c>
      <c r="W1831" t="s">
        <v>11357</v>
      </c>
      <c r="Y1831" t="s">
        <v>11358</v>
      </c>
      <c r="AA1831" t="s">
        <v>494</v>
      </c>
      <c r="AB1831" t="s">
        <v>129</v>
      </c>
      <c r="AC1831" s="3" t="str">
        <f>"10001"</f>
        <v>10001</v>
      </c>
      <c r="AD1831" t="s">
        <v>128</v>
      </c>
      <c r="AF1831" s="4">
        <v>13104014340</v>
      </c>
      <c r="AH1831" t="str">
        <f>"511210"</f>
        <v>511210</v>
      </c>
      <c r="AI1831" t="s">
        <v>130</v>
      </c>
      <c r="AJ1831" t="s">
        <v>11359</v>
      </c>
      <c r="AK1831" t="s">
        <v>5232</v>
      </c>
      <c r="AL1831" t="s">
        <v>8316</v>
      </c>
      <c r="AM1831" t="s">
        <v>11360</v>
      </c>
      <c r="AO1831" t="s">
        <v>371</v>
      </c>
      <c r="AP1831" t="s">
        <v>149</v>
      </c>
      <c r="AQ1831" s="5">
        <v>98101</v>
      </c>
      <c r="AR1831" t="s">
        <v>128</v>
      </c>
      <c r="AT1831" s="4">
        <v>12063598663</v>
      </c>
      <c r="AV1831" t="s">
        <v>5083</v>
      </c>
      <c r="AW1831" t="s">
        <v>5084</v>
      </c>
      <c r="AX1831" t="s">
        <v>131</v>
      </c>
      <c r="AY1831" t="s">
        <v>131</v>
      </c>
      <c r="AZ1831" t="s">
        <v>131</v>
      </c>
      <c r="BA1831" t="s">
        <v>131</v>
      </c>
      <c r="BB1831" t="s">
        <v>131</v>
      </c>
      <c r="BC1831" t="s">
        <v>131</v>
      </c>
      <c r="BD1831" t="s">
        <v>131</v>
      </c>
      <c r="BE1831" t="s">
        <v>132</v>
      </c>
      <c r="BH1831" t="s">
        <v>11361</v>
      </c>
      <c r="BI1831" t="s">
        <v>131</v>
      </c>
      <c r="BL1831" t="s">
        <v>188</v>
      </c>
      <c r="BN1831" t="s">
        <v>11362</v>
      </c>
      <c r="BO1831" t="s">
        <v>131</v>
      </c>
      <c r="BP1831" t="s">
        <v>134</v>
      </c>
      <c r="BQ1831" t="s">
        <v>131</v>
      </c>
      <c r="BS1831" t="str">
        <f t="shared" si="107"/>
        <v>N/A</v>
      </c>
      <c r="BT1831" t="s">
        <v>135</v>
      </c>
      <c r="BU1831">
        <v>24</v>
      </c>
      <c r="BV1831" t="str">
        <f>"Design Lead or related occupations"</f>
        <v>Design Lead or related occupations</v>
      </c>
      <c r="BW1831" t="s">
        <v>135</v>
      </c>
      <c r="BX1831" t="str">
        <f>""</f>
        <v/>
      </c>
      <c r="BY1831" t="str">
        <f>""</f>
        <v/>
      </c>
      <c r="BZ1831" t="str">
        <f>""</f>
        <v/>
      </c>
      <c r="CA1831" s="2" t="s">
        <v>12424</v>
      </c>
      <c r="CB1831" t="s">
        <v>131</v>
      </c>
      <c r="CF1831" t="s">
        <v>131</v>
      </c>
      <c r="CH1831" t="str">
        <f>""</f>
        <v/>
      </c>
      <c r="CI1831" t="s">
        <v>131</v>
      </c>
      <c r="CK1831" t="s">
        <v>131</v>
      </c>
      <c r="CL1831" t="str">
        <f>""</f>
        <v/>
      </c>
      <c r="CM1831" t="str">
        <f>""</f>
        <v/>
      </c>
      <c r="CN1831" t="str">
        <f>""</f>
        <v/>
      </c>
      <c r="CO1831" t="str">
        <f>""</f>
        <v/>
      </c>
      <c r="CP1831" t="str">
        <f>"17-2112.01"</f>
        <v>17-2112.01</v>
      </c>
      <c r="CQ1831" t="s">
        <v>6517</v>
      </c>
      <c r="CR1831" t="s">
        <v>1310</v>
      </c>
      <c r="CS1831" t="s">
        <v>131</v>
      </c>
      <c r="CU1831" t="s">
        <v>11363</v>
      </c>
      <c r="CW1831" t="s">
        <v>494</v>
      </c>
      <c r="CX1831" t="s">
        <v>129</v>
      </c>
      <c r="CZ1831" s="3" t="str">
        <f>"10001"</f>
        <v>10001</v>
      </c>
      <c r="DA1831" t="s">
        <v>131</v>
      </c>
      <c r="DB1831" t="str">
        <f>""</f>
        <v/>
      </c>
      <c r="DF1831" t="str">
        <f>""</f>
        <v/>
      </c>
    </row>
    <row r="1832" spans="1:110" ht="15" customHeight="1" x14ac:dyDescent="0.35">
      <c r="A1832" t="s">
        <v>18508</v>
      </c>
      <c r="B1832" t="s">
        <v>138</v>
      </c>
      <c r="C1832" s="1">
        <v>44350</v>
      </c>
      <c r="G1832" s="1">
        <v>44355</v>
      </c>
      <c r="H1832" t="s">
        <v>125</v>
      </c>
      <c r="I1832" t="s">
        <v>10073</v>
      </c>
      <c r="J1832" t="s">
        <v>10074</v>
      </c>
      <c r="K1832" t="s">
        <v>10075</v>
      </c>
      <c r="L1832" t="s">
        <v>126</v>
      </c>
      <c r="M1832" t="s">
        <v>10076</v>
      </c>
      <c r="N1832" t="s">
        <v>8344</v>
      </c>
      <c r="O1832" t="s">
        <v>4084</v>
      </c>
      <c r="P1832" t="s">
        <v>311</v>
      </c>
      <c r="Q1832" s="3">
        <v>19104</v>
      </c>
      <c r="R1832" t="s">
        <v>128</v>
      </c>
      <c r="T1832" s="4">
        <v>12159778264</v>
      </c>
      <c r="V1832" t="s">
        <v>10077</v>
      </c>
      <c r="W1832" t="s">
        <v>10078</v>
      </c>
      <c r="Y1832" t="s">
        <v>10079</v>
      </c>
      <c r="AA1832" t="s">
        <v>10080</v>
      </c>
      <c r="AB1832" t="s">
        <v>276</v>
      </c>
      <c r="AC1832" s="3" t="str">
        <f>"08069"</f>
        <v>08069</v>
      </c>
      <c r="AD1832" t="s">
        <v>128</v>
      </c>
      <c r="AF1832" s="4">
        <v>18564913089</v>
      </c>
      <c r="AH1832" t="str">
        <f>"2383"</f>
        <v>2383</v>
      </c>
      <c r="AI1832" t="s">
        <v>130</v>
      </c>
      <c r="AJ1832" t="s">
        <v>10073</v>
      </c>
      <c r="AK1832" t="s">
        <v>10074</v>
      </c>
      <c r="AL1832" t="s">
        <v>10075</v>
      </c>
      <c r="AM1832" t="s">
        <v>10076</v>
      </c>
      <c r="AN1832" t="s">
        <v>8344</v>
      </c>
      <c r="AO1832" t="s">
        <v>4084</v>
      </c>
      <c r="AP1832" t="s">
        <v>312</v>
      </c>
      <c r="AQ1832" s="5">
        <v>19104</v>
      </c>
      <c r="AR1832" t="s">
        <v>128</v>
      </c>
      <c r="AT1832" s="4">
        <v>12159778264</v>
      </c>
      <c r="AV1832" t="s">
        <v>10077</v>
      </c>
      <c r="AW1832" t="s">
        <v>10081</v>
      </c>
      <c r="AX1832" t="s">
        <v>131</v>
      </c>
      <c r="AY1832" t="s">
        <v>131</v>
      </c>
      <c r="AZ1832" t="s">
        <v>131</v>
      </c>
      <c r="BA1832" t="s">
        <v>131</v>
      </c>
      <c r="BB1832" t="s">
        <v>131</v>
      </c>
      <c r="BC1832" t="s">
        <v>131</v>
      </c>
      <c r="BD1832" t="s">
        <v>131</v>
      </c>
      <c r="BE1832" t="s">
        <v>132</v>
      </c>
      <c r="BH1832" t="s">
        <v>10082</v>
      </c>
      <c r="BI1832" t="s">
        <v>135</v>
      </c>
      <c r="BJ1832" t="s">
        <v>4807</v>
      </c>
      <c r="BK1832" t="s">
        <v>4677</v>
      </c>
      <c r="BL1832" t="s">
        <v>167</v>
      </c>
      <c r="BO1832" t="s">
        <v>131</v>
      </c>
      <c r="BP1832" t="s">
        <v>134</v>
      </c>
      <c r="BQ1832" t="s">
        <v>131</v>
      </c>
      <c r="BS1832" t="str">
        <f t="shared" si="107"/>
        <v>N/A</v>
      </c>
      <c r="BT1832" t="s">
        <v>135</v>
      </c>
      <c r="BU1832">
        <v>24</v>
      </c>
      <c r="BV1832" t="str">
        <f>"SUPERVISORS: MASTER CARPENTERS"</f>
        <v>SUPERVISORS: MASTER CARPENTERS</v>
      </c>
      <c r="BW1832" t="s">
        <v>135</v>
      </c>
      <c r="BX1832" t="str">
        <f>""</f>
        <v/>
      </c>
      <c r="BY1832" t="str">
        <f>""</f>
        <v/>
      </c>
      <c r="BZ1832" t="str">
        <f>""</f>
        <v/>
      </c>
      <c r="CA1832" t="s">
        <v>18509</v>
      </c>
      <c r="CB1832" t="s">
        <v>131</v>
      </c>
      <c r="CF1832" t="s">
        <v>131</v>
      </c>
      <c r="CH1832" t="str">
        <f>""</f>
        <v/>
      </c>
      <c r="CI1832" t="s">
        <v>131</v>
      </c>
      <c r="CK1832" t="s">
        <v>131</v>
      </c>
      <c r="CL1832" t="str">
        <f>""</f>
        <v/>
      </c>
      <c r="CM1832" t="str">
        <f>""</f>
        <v/>
      </c>
      <c r="CN1832" t="str">
        <f>""</f>
        <v/>
      </c>
      <c r="CO1832" t="str">
        <f>""</f>
        <v/>
      </c>
      <c r="CP1832" t="str">
        <f>"47-1011.00"</f>
        <v>47-1011.00</v>
      </c>
      <c r="CQ1832" t="s">
        <v>4677</v>
      </c>
      <c r="CR1832" t="s">
        <v>1031</v>
      </c>
      <c r="CS1832" t="s">
        <v>135</v>
      </c>
      <c r="CT1832" t="s">
        <v>18510</v>
      </c>
      <c r="CU1832" t="s">
        <v>10079</v>
      </c>
      <c r="CW1832" t="s">
        <v>10080</v>
      </c>
      <c r="CX1832" t="s">
        <v>276</v>
      </c>
      <c r="CZ1832" s="3" t="str">
        <f>"08069"</f>
        <v>08069</v>
      </c>
      <c r="DA1832" t="s">
        <v>131</v>
      </c>
      <c r="DB1832" t="str">
        <f>""</f>
        <v/>
      </c>
      <c r="DF1832" t="str">
        <f>""</f>
        <v/>
      </c>
    </row>
    <row r="1833" spans="1:110" ht="15" customHeight="1" x14ac:dyDescent="0.35">
      <c r="A1833" t="s">
        <v>18176</v>
      </c>
      <c r="B1833" t="s">
        <v>138</v>
      </c>
      <c r="C1833" s="1">
        <v>44350</v>
      </c>
      <c r="G1833" s="1">
        <v>44365</v>
      </c>
      <c r="H1833" t="s">
        <v>125</v>
      </c>
      <c r="I1833" t="s">
        <v>17457</v>
      </c>
      <c r="J1833" t="s">
        <v>4032</v>
      </c>
      <c r="L1833" t="s">
        <v>18177</v>
      </c>
      <c r="M1833" t="s">
        <v>17458</v>
      </c>
      <c r="O1833" t="s">
        <v>9537</v>
      </c>
      <c r="P1833" t="s">
        <v>2848</v>
      </c>
      <c r="Q1833" s="3">
        <v>3101</v>
      </c>
      <c r="R1833" t="s">
        <v>128</v>
      </c>
      <c r="T1833" s="4">
        <v>16036269473</v>
      </c>
      <c r="V1833" t="s">
        <v>17459</v>
      </c>
      <c r="W1833" t="s">
        <v>17460</v>
      </c>
      <c r="Y1833" t="s">
        <v>17461</v>
      </c>
      <c r="AA1833" t="s">
        <v>9537</v>
      </c>
      <c r="AB1833" t="s">
        <v>2849</v>
      </c>
      <c r="AC1833" s="3" t="str">
        <f>"03106"</f>
        <v>03106</v>
      </c>
      <c r="AD1833" t="s">
        <v>128</v>
      </c>
      <c r="AF1833" s="4">
        <v>16036443126</v>
      </c>
      <c r="AH1833" t="str">
        <f>"611310"</f>
        <v>611310</v>
      </c>
      <c r="AI1833" t="s">
        <v>130</v>
      </c>
      <c r="AJ1833" t="s">
        <v>2245</v>
      </c>
      <c r="AK1833" t="s">
        <v>1060</v>
      </c>
      <c r="AL1833" t="s">
        <v>301</v>
      </c>
      <c r="AM1833" t="s">
        <v>9536</v>
      </c>
      <c r="AO1833" t="s">
        <v>9537</v>
      </c>
      <c r="AP1833" t="s">
        <v>2849</v>
      </c>
      <c r="AQ1833" s="5">
        <v>3105</v>
      </c>
      <c r="AR1833" t="s">
        <v>128</v>
      </c>
      <c r="AT1833" s="4">
        <v>16032281277</v>
      </c>
      <c r="AV1833" t="s">
        <v>9538</v>
      </c>
      <c r="AW1833" t="s">
        <v>11868</v>
      </c>
      <c r="AX1833" t="s">
        <v>135</v>
      </c>
      <c r="AY1833" t="s">
        <v>135</v>
      </c>
      <c r="AZ1833" t="s">
        <v>131</v>
      </c>
      <c r="BA1833" t="s">
        <v>131</v>
      </c>
      <c r="BB1833" t="s">
        <v>134</v>
      </c>
      <c r="BC1833" t="s">
        <v>131</v>
      </c>
      <c r="BD1833" t="s">
        <v>131</v>
      </c>
      <c r="BE1833" t="s">
        <v>132</v>
      </c>
      <c r="BH1833" t="s">
        <v>18178</v>
      </c>
      <c r="BI1833" t="s">
        <v>135</v>
      </c>
      <c r="BJ1833" t="s">
        <v>17462</v>
      </c>
      <c r="BK1833" t="s">
        <v>17463</v>
      </c>
      <c r="BL1833" t="s">
        <v>133</v>
      </c>
      <c r="BN1833" t="s">
        <v>18179</v>
      </c>
      <c r="BO1833" t="s">
        <v>131</v>
      </c>
      <c r="BP1833" t="s">
        <v>134</v>
      </c>
      <c r="BQ1833" t="s">
        <v>131</v>
      </c>
      <c r="BS1833" t="str">
        <f t="shared" si="107"/>
        <v>N/A</v>
      </c>
      <c r="BT1833" t="s">
        <v>135</v>
      </c>
      <c r="BU1833">
        <v>60</v>
      </c>
      <c r="BV1833" t="str">
        <f>"Senior Manager,  Analyst, or related"</f>
        <v>Senior Manager,  Analyst, or related</v>
      </c>
      <c r="BW1833" t="s">
        <v>135</v>
      </c>
      <c r="BX1833" t="str">
        <f>""</f>
        <v/>
      </c>
      <c r="BY1833" t="str">
        <f>""</f>
        <v/>
      </c>
      <c r="BZ1833" t="str">
        <f>""</f>
        <v/>
      </c>
      <c r="CA1833" s="2" t="s">
        <v>17464</v>
      </c>
      <c r="CB1833" t="s">
        <v>131</v>
      </c>
      <c r="CF1833" t="s">
        <v>131</v>
      </c>
      <c r="CH1833" t="str">
        <f>""</f>
        <v/>
      </c>
      <c r="CI1833" t="s">
        <v>131</v>
      </c>
      <c r="CK1833" t="s">
        <v>131</v>
      </c>
      <c r="CL1833" t="str">
        <f>""</f>
        <v/>
      </c>
      <c r="CM1833" t="str">
        <f>""</f>
        <v/>
      </c>
      <c r="CN1833" t="str">
        <f>""</f>
        <v/>
      </c>
      <c r="CO1833" t="str">
        <f>""</f>
        <v/>
      </c>
      <c r="CP1833" t="str">
        <f>"11-3021.00"</f>
        <v>11-3021.00</v>
      </c>
      <c r="CQ1833" t="s">
        <v>598</v>
      </c>
      <c r="CR1833" t="s">
        <v>17465</v>
      </c>
      <c r="CS1833" t="s">
        <v>135</v>
      </c>
      <c r="CT1833" t="s">
        <v>17466</v>
      </c>
      <c r="CU1833" t="s">
        <v>17458</v>
      </c>
      <c r="CW1833" t="s">
        <v>9537</v>
      </c>
      <c r="CX1833" t="s">
        <v>2849</v>
      </c>
      <c r="CZ1833" s="3" t="str">
        <f>"03101"</f>
        <v>03101</v>
      </c>
      <c r="DA1833" t="s">
        <v>131</v>
      </c>
      <c r="DB1833" t="str">
        <f>""</f>
        <v/>
      </c>
      <c r="DF1833" t="str">
        <f>""</f>
        <v/>
      </c>
    </row>
    <row r="1834" spans="1:110" ht="15" customHeight="1" x14ac:dyDescent="0.35">
      <c r="A1834" t="s">
        <v>12672</v>
      </c>
      <c r="B1834" t="s">
        <v>138</v>
      </c>
      <c r="C1834" s="1">
        <v>44350</v>
      </c>
      <c r="G1834" s="1">
        <v>44350</v>
      </c>
      <c r="H1834" t="s">
        <v>125</v>
      </c>
      <c r="I1834" t="s">
        <v>9170</v>
      </c>
      <c r="J1834" t="s">
        <v>2361</v>
      </c>
      <c r="L1834" t="s">
        <v>1793</v>
      </c>
      <c r="M1834" t="s">
        <v>3656</v>
      </c>
      <c r="O1834" t="s">
        <v>1720</v>
      </c>
      <c r="P1834" t="s">
        <v>857</v>
      </c>
      <c r="Q1834" s="3">
        <v>85034</v>
      </c>
      <c r="R1834" t="s">
        <v>128</v>
      </c>
      <c r="T1834" s="4">
        <v>16024702943</v>
      </c>
      <c r="V1834" t="s">
        <v>3657</v>
      </c>
      <c r="W1834" t="s">
        <v>3658</v>
      </c>
      <c r="Y1834" t="s">
        <v>3659</v>
      </c>
      <c r="AA1834" t="s">
        <v>1720</v>
      </c>
      <c r="AB1834" t="s">
        <v>808</v>
      </c>
      <c r="AC1834" s="3" t="str">
        <f>"85034"</f>
        <v>85034</v>
      </c>
      <c r="AD1834" t="s">
        <v>128</v>
      </c>
      <c r="AF1834" s="4">
        <v>16024702886</v>
      </c>
      <c r="AH1834" t="str">
        <f>"33324"</f>
        <v>33324</v>
      </c>
      <c r="AI1834" t="s">
        <v>130</v>
      </c>
      <c r="AJ1834" t="s">
        <v>802</v>
      </c>
      <c r="AK1834" t="s">
        <v>803</v>
      </c>
      <c r="AL1834" t="s">
        <v>655</v>
      </c>
      <c r="AM1834" t="s">
        <v>805</v>
      </c>
      <c r="AN1834" t="s">
        <v>806</v>
      </c>
      <c r="AO1834" t="s">
        <v>807</v>
      </c>
      <c r="AP1834" t="s">
        <v>808</v>
      </c>
      <c r="AQ1834" s="5">
        <v>85020</v>
      </c>
      <c r="AR1834" t="s">
        <v>128</v>
      </c>
      <c r="AT1834" s="4">
        <v>16022661825</v>
      </c>
      <c r="AV1834" t="s">
        <v>9171</v>
      </c>
      <c r="AW1834" t="s">
        <v>548</v>
      </c>
      <c r="AX1834" t="s">
        <v>131</v>
      </c>
      <c r="AY1834" t="s">
        <v>131</v>
      </c>
      <c r="AZ1834" t="s">
        <v>131</v>
      </c>
      <c r="BA1834" t="s">
        <v>131</v>
      </c>
      <c r="BB1834" t="s">
        <v>131</v>
      </c>
      <c r="BC1834" t="s">
        <v>131</v>
      </c>
      <c r="BD1834" t="s">
        <v>131</v>
      </c>
      <c r="BE1834" t="s">
        <v>160</v>
      </c>
      <c r="BF1834" t="s">
        <v>9172</v>
      </c>
      <c r="BG1834" s="1">
        <v>44075</v>
      </c>
      <c r="BH1834" t="s">
        <v>9173</v>
      </c>
      <c r="BI1834" t="s">
        <v>131</v>
      </c>
      <c r="BL1834" t="s">
        <v>133</v>
      </c>
      <c r="BN1834" t="s">
        <v>12673</v>
      </c>
      <c r="BO1834" t="s">
        <v>131</v>
      </c>
      <c r="BP1834" t="s">
        <v>134</v>
      </c>
      <c r="BQ1834" t="s">
        <v>131</v>
      </c>
      <c r="BS1834" t="str">
        <f t="shared" si="107"/>
        <v>N/A</v>
      </c>
      <c r="BT1834" t="s">
        <v>131</v>
      </c>
      <c r="BV1834" t="str">
        <f>""</f>
        <v/>
      </c>
      <c r="BW1834" t="s">
        <v>135</v>
      </c>
      <c r="BX1834" t="str">
        <f>""</f>
        <v/>
      </c>
      <c r="BY1834" t="str">
        <f>""</f>
        <v/>
      </c>
      <c r="BZ1834" t="str">
        <f>""</f>
        <v/>
      </c>
      <c r="CA1834" t="str">
        <f>"1.	Electrical Trouble Shooting
2.	Mechanical Trouble Shooting
3.	Working knowledge of Oscilloscope’s and DVM’s 
"</f>
        <v xml:space="preserve">1.	Electrical Trouble Shooting
2.	Mechanical Trouble Shooting
3.	Working knowledge of Oscilloscope’s and DVM’s 
</v>
      </c>
      <c r="CB1834" t="s">
        <v>135</v>
      </c>
      <c r="CC1834" t="s">
        <v>167</v>
      </c>
      <c r="CF1834" t="s">
        <v>131</v>
      </c>
      <c r="CH1834" t="str">
        <f>"N/A"</f>
        <v>N/A</v>
      </c>
      <c r="CI1834" t="s">
        <v>135</v>
      </c>
      <c r="CJ1834">
        <v>72</v>
      </c>
      <c r="CK1834" t="s">
        <v>135</v>
      </c>
      <c r="CL1834" t="str">
        <f>""</f>
        <v/>
      </c>
      <c r="CM1834" t="str">
        <f>""</f>
        <v/>
      </c>
      <c r="CN1834" t="str">
        <f>""</f>
        <v/>
      </c>
      <c r="CO1834" t="str">
        <f>"1.	Electrical Trouble Shooting
2.	Mechanical Trouble Shooting
3.    Working knowledge of Oscilloscope’s and DVM’s 
4.    6 years of experience in the semiconductor industry as a field service engineer."</f>
        <v>1.	Electrical Trouble Shooting
2.	Mechanical Trouble Shooting
3.    Working knowledge of Oscilloscope’s and DVM’s 
4.    6 years of experience in the semiconductor industry as a field service engineer.</v>
      </c>
      <c r="CP1834" t="str">
        <f>"17-3024.00"</f>
        <v>17-3024.00</v>
      </c>
      <c r="CQ1834" t="s">
        <v>9174</v>
      </c>
      <c r="CR1834" t="s">
        <v>9173</v>
      </c>
      <c r="CS1834" t="s">
        <v>135</v>
      </c>
      <c r="CT1834" s="2" t="s">
        <v>9459</v>
      </c>
      <c r="CU1834" t="s">
        <v>9176</v>
      </c>
      <c r="CW1834" t="s">
        <v>807</v>
      </c>
      <c r="CX1834" t="s">
        <v>808</v>
      </c>
      <c r="CZ1834" s="3" t="str">
        <f>"85034"</f>
        <v>85034</v>
      </c>
      <c r="DA1834" t="s">
        <v>131</v>
      </c>
      <c r="DB1834" t="str">
        <f>""</f>
        <v/>
      </c>
      <c r="DF1834" t="str">
        <f>""</f>
        <v/>
      </c>
    </row>
    <row r="1835" spans="1:110" ht="15" customHeight="1" x14ac:dyDescent="0.35">
      <c r="A1835" t="s">
        <v>9663</v>
      </c>
      <c r="B1835" t="s">
        <v>138</v>
      </c>
      <c r="C1835" s="1">
        <v>44350</v>
      </c>
      <c r="G1835" s="1">
        <v>44350</v>
      </c>
      <c r="H1835" t="s">
        <v>125</v>
      </c>
      <c r="I1835" t="s">
        <v>293</v>
      </c>
      <c r="J1835" t="s">
        <v>294</v>
      </c>
      <c r="K1835" t="s">
        <v>295</v>
      </c>
      <c r="L1835" t="s">
        <v>296</v>
      </c>
      <c r="M1835" t="s">
        <v>224</v>
      </c>
      <c r="N1835" t="s">
        <v>297</v>
      </c>
      <c r="O1835" t="s">
        <v>228</v>
      </c>
      <c r="P1835" t="s">
        <v>226</v>
      </c>
      <c r="Q1835" s="3">
        <v>46278</v>
      </c>
      <c r="R1835" t="s">
        <v>128</v>
      </c>
      <c r="T1835" s="4">
        <v>13173282866</v>
      </c>
      <c r="V1835" t="s">
        <v>298</v>
      </c>
      <c r="W1835" t="s">
        <v>299</v>
      </c>
      <c r="X1835" t="s">
        <v>300</v>
      </c>
      <c r="Y1835" t="s">
        <v>224</v>
      </c>
      <c r="Z1835" t="s">
        <v>297</v>
      </c>
      <c r="AA1835" t="s">
        <v>228</v>
      </c>
      <c r="AB1835" t="s">
        <v>229</v>
      </c>
      <c r="AC1835" s="3" t="str">
        <f>"46278"</f>
        <v>46278</v>
      </c>
      <c r="AD1835" t="s">
        <v>128</v>
      </c>
      <c r="AF1835" s="4">
        <v>13173282866</v>
      </c>
      <c r="AH1835" t="str">
        <f>"561330"</f>
        <v>561330</v>
      </c>
      <c r="AI1835" t="s">
        <v>167</v>
      </c>
      <c r="AX1835" t="s">
        <v>131</v>
      </c>
      <c r="AY1835" t="s">
        <v>131</v>
      </c>
      <c r="AZ1835" t="s">
        <v>131</v>
      </c>
      <c r="BA1835" t="s">
        <v>131</v>
      </c>
      <c r="BB1835" t="s">
        <v>131</v>
      </c>
      <c r="BC1835" t="s">
        <v>131</v>
      </c>
      <c r="BD1835" t="s">
        <v>131</v>
      </c>
      <c r="BE1835" t="s">
        <v>132</v>
      </c>
      <c r="BH1835" t="s">
        <v>230</v>
      </c>
      <c r="BI1835" t="s">
        <v>131</v>
      </c>
      <c r="BL1835" t="s">
        <v>307</v>
      </c>
      <c r="BN1835" s="2" t="s">
        <v>231</v>
      </c>
      <c r="BO1835" t="s">
        <v>131</v>
      </c>
      <c r="BP1835" t="s">
        <v>134</v>
      </c>
      <c r="BQ1835" t="s">
        <v>131</v>
      </c>
      <c r="BS1835" t="str">
        <f t="shared" si="107"/>
        <v>N/A</v>
      </c>
      <c r="BT1835" t="s">
        <v>131</v>
      </c>
      <c r="BV1835" t="str">
        <f>""</f>
        <v/>
      </c>
      <c r="BW1835" t="s">
        <v>135</v>
      </c>
      <c r="BX1835" t="str">
        <f>"NCLEX PASSER OR POSSESSES A US RN LICENSE. COMPACT RN STATE LICENSE ACCEPTABLE. ELIGIBLE TO PRACTICE AS A REGISTERED NURSE.
"</f>
        <v xml:space="preserve">NCLEX PASSER OR POSSESSES A US RN LICENSE. COMPACT RN STATE LICENSE ACCEPTABLE. ELIGIBLE TO PRACTICE AS A REGISTERED NURSE.
</v>
      </c>
      <c r="BY1835" t="str">
        <f>""</f>
        <v/>
      </c>
      <c r="BZ1835" t="str">
        <f>""</f>
        <v/>
      </c>
      <c r="CA1835" t="str">
        <f>""</f>
        <v/>
      </c>
      <c r="CB1835" t="s">
        <v>131</v>
      </c>
      <c r="CF1835" t="s">
        <v>131</v>
      </c>
      <c r="CH1835" t="str">
        <f>""</f>
        <v/>
      </c>
      <c r="CI1835" t="s">
        <v>131</v>
      </c>
      <c r="CK1835" t="s">
        <v>131</v>
      </c>
      <c r="CL1835" t="str">
        <f>""</f>
        <v/>
      </c>
      <c r="CM1835" t="str">
        <f>""</f>
        <v/>
      </c>
      <c r="CN1835" t="str">
        <f>""</f>
        <v/>
      </c>
      <c r="CO1835" t="str">
        <f>""</f>
        <v/>
      </c>
      <c r="CP1835" t="str">
        <f>"29-1141.00"</f>
        <v>29-1141.00</v>
      </c>
      <c r="CQ1835" t="s">
        <v>232</v>
      </c>
      <c r="CR1835" t="s">
        <v>233</v>
      </c>
      <c r="CS1835" t="s">
        <v>131</v>
      </c>
      <c r="CU1835" t="s">
        <v>2978</v>
      </c>
      <c r="CV1835" t="s">
        <v>2979</v>
      </c>
      <c r="CW1835" t="s">
        <v>2980</v>
      </c>
      <c r="CX1835" t="s">
        <v>643</v>
      </c>
      <c r="CZ1835" s="3" t="str">
        <f>"31788"</f>
        <v>31788</v>
      </c>
      <c r="DA1835" t="s">
        <v>131</v>
      </c>
      <c r="DB1835" t="str">
        <f>""</f>
        <v/>
      </c>
      <c r="DF1835" t="str">
        <f>""</f>
        <v/>
      </c>
    </row>
    <row r="1836" spans="1:110" ht="15" customHeight="1" x14ac:dyDescent="0.35">
      <c r="A1836" t="s">
        <v>9455</v>
      </c>
      <c r="B1836" t="s">
        <v>138</v>
      </c>
      <c r="C1836" s="1">
        <v>44350</v>
      </c>
      <c r="G1836" s="1">
        <v>44361</v>
      </c>
      <c r="H1836" t="s">
        <v>125</v>
      </c>
      <c r="I1836" t="s">
        <v>9170</v>
      </c>
      <c r="J1836" t="s">
        <v>2361</v>
      </c>
      <c r="L1836" t="s">
        <v>1793</v>
      </c>
      <c r="M1836" t="s">
        <v>3656</v>
      </c>
      <c r="O1836" t="s">
        <v>1720</v>
      </c>
      <c r="P1836" t="s">
        <v>857</v>
      </c>
      <c r="Q1836" s="3">
        <v>85034</v>
      </c>
      <c r="R1836" t="s">
        <v>128</v>
      </c>
      <c r="T1836" s="4">
        <v>16024702943</v>
      </c>
      <c r="V1836" t="s">
        <v>3657</v>
      </c>
      <c r="W1836" t="s">
        <v>3658</v>
      </c>
      <c r="Y1836" t="s">
        <v>3659</v>
      </c>
      <c r="AA1836" t="s">
        <v>1720</v>
      </c>
      <c r="AB1836" t="s">
        <v>808</v>
      </c>
      <c r="AC1836" s="3" t="str">
        <f>"85034"</f>
        <v>85034</v>
      </c>
      <c r="AD1836" t="s">
        <v>128</v>
      </c>
      <c r="AF1836" s="4">
        <v>16024702886</v>
      </c>
      <c r="AH1836" t="str">
        <f>"33324"</f>
        <v>33324</v>
      </c>
      <c r="AI1836" t="s">
        <v>130</v>
      </c>
      <c r="AJ1836" t="s">
        <v>802</v>
      </c>
      <c r="AK1836" t="s">
        <v>803</v>
      </c>
      <c r="AL1836" t="s">
        <v>655</v>
      </c>
      <c r="AM1836" t="s">
        <v>805</v>
      </c>
      <c r="AN1836" t="s">
        <v>806</v>
      </c>
      <c r="AO1836" t="s">
        <v>807</v>
      </c>
      <c r="AP1836" t="s">
        <v>808</v>
      </c>
      <c r="AQ1836" s="5">
        <v>85020</v>
      </c>
      <c r="AR1836" t="s">
        <v>128</v>
      </c>
      <c r="AT1836" s="4">
        <v>16022661825</v>
      </c>
      <c r="AV1836" t="s">
        <v>9171</v>
      </c>
      <c r="AW1836" t="s">
        <v>548</v>
      </c>
      <c r="AX1836" t="s">
        <v>131</v>
      </c>
      <c r="AY1836" t="s">
        <v>131</v>
      </c>
      <c r="AZ1836" t="s">
        <v>131</v>
      </c>
      <c r="BA1836" t="s">
        <v>131</v>
      </c>
      <c r="BB1836" t="s">
        <v>131</v>
      </c>
      <c r="BC1836" t="s">
        <v>131</v>
      </c>
      <c r="BD1836" t="s">
        <v>131</v>
      </c>
      <c r="BE1836" t="s">
        <v>160</v>
      </c>
      <c r="BF1836" t="s">
        <v>9456</v>
      </c>
      <c r="BG1836" s="1">
        <v>44075</v>
      </c>
      <c r="BH1836" t="s">
        <v>9457</v>
      </c>
      <c r="BI1836" t="s">
        <v>131</v>
      </c>
      <c r="BL1836" t="s">
        <v>133</v>
      </c>
      <c r="BN1836" t="s">
        <v>9458</v>
      </c>
      <c r="BO1836" t="s">
        <v>131</v>
      </c>
      <c r="BP1836" t="s">
        <v>134</v>
      </c>
      <c r="BQ1836" t="s">
        <v>131</v>
      </c>
      <c r="BS1836" t="str">
        <f t="shared" si="107"/>
        <v>N/A</v>
      </c>
      <c r="BT1836" t="s">
        <v>131</v>
      </c>
      <c r="BV1836" t="str">
        <f>""</f>
        <v/>
      </c>
      <c r="BW1836" t="s">
        <v>135</v>
      </c>
      <c r="BX1836" t="str">
        <f>""</f>
        <v/>
      </c>
      <c r="BY1836" t="str">
        <f>""</f>
        <v/>
      </c>
      <c r="BZ1836" t="str">
        <f>""</f>
        <v/>
      </c>
      <c r="CA1836" t="str">
        <f>"1. Electrical Trouble Shooting
2. Mechanical Trouble Shooting
3. Working knowledge of oscilloscope's and DVM's "</f>
        <v xml:space="preserve">1. Electrical Trouble Shooting
2. Mechanical Trouble Shooting
3. Working knowledge of oscilloscope's and DVM's </v>
      </c>
      <c r="CB1836" t="s">
        <v>135</v>
      </c>
      <c r="CC1836" t="s">
        <v>167</v>
      </c>
      <c r="CF1836" t="s">
        <v>131</v>
      </c>
      <c r="CH1836" t="str">
        <f>"N/A"</f>
        <v>N/A</v>
      </c>
      <c r="CI1836" t="s">
        <v>135</v>
      </c>
      <c r="CJ1836">
        <v>72</v>
      </c>
      <c r="CK1836" t="s">
        <v>135</v>
      </c>
      <c r="CL1836" t="str">
        <f>""</f>
        <v/>
      </c>
      <c r="CM1836" t="str">
        <f>""</f>
        <v/>
      </c>
      <c r="CN1836" t="str">
        <f>""</f>
        <v/>
      </c>
      <c r="CO1836" t="str">
        <f>"1. Electrical Trouble Shooting
2. Mechanical Trouble Shooting
3. Working knowledge of Oscilloscope's and DVM's
4. 6 years of experience in the semiconductor industry as a Field Service Engineer
"</f>
        <v xml:space="preserve">1. Electrical Trouble Shooting
2. Mechanical Trouble Shooting
3. Working knowledge of Oscilloscope's and DVM's
4. 6 years of experience in the semiconductor industry as a Field Service Engineer
</v>
      </c>
      <c r="CP1836" t="str">
        <f>"17-3024.00"</f>
        <v>17-3024.00</v>
      </c>
      <c r="CQ1836" t="s">
        <v>9174</v>
      </c>
      <c r="CR1836" t="s">
        <v>9173</v>
      </c>
      <c r="CS1836" t="s">
        <v>135</v>
      </c>
      <c r="CT1836" s="2" t="s">
        <v>9459</v>
      </c>
      <c r="CU1836" t="s">
        <v>9176</v>
      </c>
      <c r="CW1836" t="s">
        <v>807</v>
      </c>
      <c r="CX1836" t="s">
        <v>808</v>
      </c>
      <c r="CZ1836" s="3" t="str">
        <f>"85034"</f>
        <v>85034</v>
      </c>
      <c r="DA1836" t="s">
        <v>131</v>
      </c>
      <c r="DB1836" t="str">
        <f>""</f>
        <v/>
      </c>
      <c r="DF1836" t="str">
        <f>""</f>
        <v/>
      </c>
    </row>
    <row r="1837" spans="1:110" ht="15" customHeight="1" x14ac:dyDescent="0.35">
      <c r="A1837" t="s">
        <v>6354</v>
      </c>
      <c r="B1837" t="s">
        <v>138</v>
      </c>
      <c r="C1837" s="1">
        <v>44350</v>
      </c>
      <c r="G1837" s="1">
        <v>44364</v>
      </c>
      <c r="H1837" t="s">
        <v>125</v>
      </c>
      <c r="I1837" t="s">
        <v>6355</v>
      </c>
      <c r="J1837" t="s">
        <v>5146</v>
      </c>
      <c r="L1837" t="s">
        <v>395</v>
      </c>
      <c r="M1837" t="s">
        <v>6356</v>
      </c>
      <c r="N1837" t="s">
        <v>247</v>
      </c>
      <c r="O1837" t="s">
        <v>376</v>
      </c>
      <c r="P1837" t="s">
        <v>720</v>
      </c>
      <c r="Q1837" s="3" t="s">
        <v>6357</v>
      </c>
      <c r="R1837" t="s">
        <v>128</v>
      </c>
      <c r="T1837" s="4">
        <v>16174480206</v>
      </c>
      <c r="V1837" t="s">
        <v>6358</v>
      </c>
      <c r="W1837" t="s">
        <v>6359</v>
      </c>
      <c r="Y1837" t="s">
        <v>6356</v>
      </c>
      <c r="Z1837" t="s">
        <v>247</v>
      </c>
      <c r="AA1837" t="s">
        <v>376</v>
      </c>
      <c r="AB1837" t="s">
        <v>377</v>
      </c>
      <c r="AC1837" s="3" t="str">
        <f>"02115-2801"</f>
        <v>02115-2801</v>
      </c>
      <c r="AD1837" t="s">
        <v>128</v>
      </c>
      <c r="AF1837" s="4">
        <v>16174480206</v>
      </c>
      <c r="AH1837" t="str">
        <f>"5419"</f>
        <v>5419</v>
      </c>
      <c r="AI1837" t="s">
        <v>130</v>
      </c>
      <c r="AJ1837" t="s">
        <v>6360</v>
      </c>
      <c r="AK1837" t="s">
        <v>6361</v>
      </c>
      <c r="AL1837" t="s">
        <v>6362</v>
      </c>
      <c r="AM1837" t="s">
        <v>6363</v>
      </c>
      <c r="AN1837" t="s">
        <v>2967</v>
      </c>
      <c r="AO1837" t="s">
        <v>1257</v>
      </c>
      <c r="AP1837" t="s">
        <v>172</v>
      </c>
      <c r="AQ1837" s="5">
        <v>91436</v>
      </c>
      <c r="AR1837" t="s">
        <v>128</v>
      </c>
      <c r="AT1837" s="4">
        <v>18188495905</v>
      </c>
      <c r="AV1837" t="s">
        <v>6364</v>
      </c>
      <c r="AW1837" t="s">
        <v>6365</v>
      </c>
      <c r="AX1837" t="s">
        <v>131</v>
      </c>
      <c r="AY1837" t="s">
        <v>131</v>
      </c>
      <c r="AZ1837" t="s">
        <v>131</v>
      </c>
      <c r="BA1837" t="s">
        <v>131</v>
      </c>
      <c r="BB1837" t="s">
        <v>131</v>
      </c>
      <c r="BC1837" t="s">
        <v>131</v>
      </c>
      <c r="BD1837" t="s">
        <v>131</v>
      </c>
      <c r="BE1837" t="s">
        <v>132</v>
      </c>
      <c r="BH1837" t="s">
        <v>6366</v>
      </c>
      <c r="BI1837" t="s">
        <v>131</v>
      </c>
      <c r="BL1837" t="s">
        <v>133</v>
      </c>
      <c r="BN1837" t="s">
        <v>6367</v>
      </c>
      <c r="BO1837" t="s">
        <v>131</v>
      </c>
      <c r="BP1837" t="s">
        <v>134</v>
      </c>
      <c r="BQ1837" t="s">
        <v>131</v>
      </c>
      <c r="BS1837" t="str">
        <f t="shared" si="107"/>
        <v>N/A</v>
      </c>
      <c r="BT1837" t="s">
        <v>135</v>
      </c>
      <c r="BU1837">
        <v>36</v>
      </c>
      <c r="BV1837" t="str">
        <f>"In the job offered, or as a General Manager/Associate General Manager in the arts and culture sector, or in a related occupation in the arts and culture sector."</f>
        <v>In the job offered, or as a General Manager/Associate General Manager in the arts and culture sector, or in a related occupation in the arts and culture sector.</v>
      </c>
      <c r="BW1837" t="s">
        <v>135</v>
      </c>
      <c r="BX1837" t="str">
        <f>""</f>
        <v/>
      </c>
      <c r="BY1837" t="str">
        <f>""</f>
        <v/>
      </c>
      <c r="BZ1837" t="str">
        <f>""</f>
        <v/>
      </c>
      <c r="CA1837" t="s">
        <v>6368</v>
      </c>
      <c r="CB1837" t="s">
        <v>131</v>
      </c>
      <c r="CF1837" t="s">
        <v>131</v>
      </c>
      <c r="CH1837" t="str">
        <f>""</f>
        <v/>
      </c>
      <c r="CI1837" t="s">
        <v>131</v>
      </c>
      <c r="CK1837" t="s">
        <v>131</v>
      </c>
      <c r="CL1837" t="str">
        <f>""</f>
        <v/>
      </c>
      <c r="CM1837" t="str">
        <f>""</f>
        <v/>
      </c>
      <c r="CN1837" t="str">
        <f>""</f>
        <v/>
      </c>
      <c r="CO1837" t="str">
        <f>""</f>
        <v/>
      </c>
      <c r="CP1837" t="str">
        <f>"13-1111.00"</f>
        <v>13-1111.00</v>
      </c>
      <c r="CQ1837" t="s">
        <v>292</v>
      </c>
      <c r="CR1837" t="s">
        <v>6369</v>
      </c>
      <c r="CS1837" t="s">
        <v>135</v>
      </c>
      <c r="CT1837" t="s">
        <v>6370</v>
      </c>
      <c r="CU1837" t="s">
        <v>6371</v>
      </c>
      <c r="CV1837" t="s">
        <v>6372</v>
      </c>
      <c r="CW1837" t="s">
        <v>791</v>
      </c>
      <c r="CX1837" t="s">
        <v>172</v>
      </c>
      <c r="CZ1837" s="3" t="str">
        <f>"92101"</f>
        <v>92101</v>
      </c>
      <c r="DA1837" t="s">
        <v>131</v>
      </c>
      <c r="DB1837" t="str">
        <f>""</f>
        <v/>
      </c>
      <c r="DF1837" t="str">
        <f>""</f>
        <v/>
      </c>
    </row>
    <row r="1838" spans="1:110" ht="15" customHeight="1" x14ac:dyDescent="0.35">
      <c r="A1838" t="s">
        <v>14567</v>
      </c>
      <c r="B1838" t="s">
        <v>138</v>
      </c>
      <c r="C1838" s="1">
        <v>44350</v>
      </c>
      <c r="G1838" s="1">
        <v>44365</v>
      </c>
      <c r="H1838" t="s">
        <v>125</v>
      </c>
      <c r="I1838" t="s">
        <v>3882</v>
      </c>
      <c r="J1838" t="s">
        <v>524</v>
      </c>
      <c r="L1838" t="s">
        <v>8728</v>
      </c>
      <c r="M1838" t="s">
        <v>8729</v>
      </c>
      <c r="O1838" t="s">
        <v>8730</v>
      </c>
      <c r="P1838" t="s">
        <v>273</v>
      </c>
      <c r="Q1838" s="3">
        <v>7052</v>
      </c>
      <c r="R1838" t="s">
        <v>128</v>
      </c>
      <c r="T1838" s="4">
        <v>12152601874</v>
      </c>
      <c r="V1838" t="s">
        <v>7759</v>
      </c>
      <c r="W1838" t="s">
        <v>8731</v>
      </c>
      <c r="Y1838" t="s">
        <v>8732</v>
      </c>
      <c r="AA1838" t="s">
        <v>129</v>
      </c>
      <c r="AB1838" t="s">
        <v>129</v>
      </c>
      <c r="AC1838" s="3" t="str">
        <f>"10011"</f>
        <v>10011</v>
      </c>
      <c r="AD1838" t="s">
        <v>128</v>
      </c>
      <c r="AF1838" s="4">
        <v>12039126802</v>
      </c>
      <c r="AH1838" t="str">
        <f>"51121"</f>
        <v>51121</v>
      </c>
      <c r="AI1838" t="s">
        <v>130</v>
      </c>
      <c r="AJ1838" t="s">
        <v>6983</v>
      </c>
      <c r="AK1838" t="s">
        <v>618</v>
      </c>
      <c r="AM1838" t="s">
        <v>1884</v>
      </c>
      <c r="AN1838" t="s">
        <v>1885</v>
      </c>
      <c r="AO1838" t="s">
        <v>2022</v>
      </c>
      <c r="AP1838" t="s">
        <v>400</v>
      </c>
      <c r="AQ1838" s="5">
        <v>75001</v>
      </c>
      <c r="AR1838" t="s">
        <v>128</v>
      </c>
      <c r="AT1838" s="4">
        <v>19722336646</v>
      </c>
      <c r="AV1838" t="s">
        <v>7760</v>
      </c>
      <c r="AW1838" t="s">
        <v>386</v>
      </c>
      <c r="AX1838" t="s">
        <v>131</v>
      </c>
      <c r="AY1838" t="s">
        <v>131</v>
      </c>
      <c r="AZ1838" t="s">
        <v>131</v>
      </c>
      <c r="BA1838" t="s">
        <v>131</v>
      </c>
      <c r="BB1838" t="s">
        <v>131</v>
      </c>
      <c r="BC1838" t="s">
        <v>131</v>
      </c>
      <c r="BD1838" t="s">
        <v>131</v>
      </c>
      <c r="BE1838" t="s">
        <v>132</v>
      </c>
      <c r="BH1838" t="s">
        <v>14568</v>
      </c>
      <c r="BI1838" t="s">
        <v>131</v>
      </c>
      <c r="BL1838" t="s">
        <v>133</v>
      </c>
      <c r="BN1838" t="s">
        <v>14569</v>
      </c>
      <c r="BO1838" t="s">
        <v>131</v>
      </c>
      <c r="BP1838" t="s">
        <v>134</v>
      </c>
      <c r="BQ1838" t="s">
        <v>131</v>
      </c>
      <c r="BS1838" t="str">
        <f t="shared" si="107"/>
        <v>N/A</v>
      </c>
      <c r="BT1838" t="s">
        <v>135</v>
      </c>
      <c r="BU1838">
        <v>72</v>
      </c>
      <c r="BV1838" t="str">
        <f>"Software, Developer, Applications, IT, or related fields."</f>
        <v>Software, Developer, Applications, IT, or related fields.</v>
      </c>
      <c r="BW1838" t="s">
        <v>135</v>
      </c>
      <c r="BX1838" t="str">
        <f>""</f>
        <v/>
      </c>
      <c r="BY1838" t="str">
        <f>""</f>
        <v/>
      </c>
      <c r="BZ1838" t="str">
        <f>""</f>
        <v/>
      </c>
      <c r="CA1838" t="s">
        <v>14570</v>
      </c>
      <c r="CB1838" t="s">
        <v>131</v>
      </c>
      <c r="CF1838" t="s">
        <v>131</v>
      </c>
      <c r="CH1838" t="str">
        <f>""</f>
        <v/>
      </c>
      <c r="CI1838" t="s">
        <v>131</v>
      </c>
      <c r="CK1838" t="s">
        <v>131</v>
      </c>
      <c r="CL1838" t="str">
        <f>""</f>
        <v/>
      </c>
      <c r="CM1838" t="str">
        <f>""</f>
        <v/>
      </c>
      <c r="CN1838" t="str">
        <f>""</f>
        <v/>
      </c>
      <c r="CO1838" t="str">
        <f>""</f>
        <v/>
      </c>
      <c r="CP1838" t="str">
        <f>"15-1133.00"</f>
        <v>15-1133.00</v>
      </c>
      <c r="CQ1838" t="s">
        <v>648</v>
      </c>
      <c r="CS1838" t="s">
        <v>131</v>
      </c>
      <c r="CU1838" t="s">
        <v>14571</v>
      </c>
      <c r="CW1838" t="s">
        <v>494</v>
      </c>
      <c r="CX1838" t="s">
        <v>129</v>
      </c>
      <c r="CZ1838" s="3" t="str">
        <f>"10011"</f>
        <v>10011</v>
      </c>
      <c r="DA1838" t="s">
        <v>131</v>
      </c>
      <c r="DB1838" t="str">
        <f>""</f>
        <v/>
      </c>
      <c r="DF1838" t="str">
        <f>""</f>
        <v/>
      </c>
    </row>
    <row r="1839" spans="1:110" ht="15" customHeight="1" x14ac:dyDescent="0.35">
      <c r="A1839" t="s">
        <v>17632</v>
      </c>
      <c r="B1839" t="s">
        <v>138</v>
      </c>
      <c r="C1839" s="1">
        <v>44351</v>
      </c>
      <c r="G1839" s="1">
        <v>44355</v>
      </c>
      <c r="H1839" t="s">
        <v>125</v>
      </c>
      <c r="I1839" t="s">
        <v>4873</v>
      </c>
      <c r="J1839" t="s">
        <v>4874</v>
      </c>
      <c r="L1839" t="s">
        <v>4875</v>
      </c>
      <c r="M1839" t="s">
        <v>4876</v>
      </c>
      <c r="O1839" t="s">
        <v>2072</v>
      </c>
      <c r="P1839" t="s">
        <v>178</v>
      </c>
      <c r="Q1839" s="3">
        <v>94568</v>
      </c>
      <c r="R1839" t="s">
        <v>128</v>
      </c>
      <c r="T1839" s="4">
        <v>15103525000</v>
      </c>
      <c r="V1839" t="s">
        <v>4877</v>
      </c>
      <c r="W1839" t="s">
        <v>4878</v>
      </c>
      <c r="Y1839" t="s">
        <v>4876</v>
      </c>
      <c r="AA1839" t="s">
        <v>2072</v>
      </c>
      <c r="AB1839" t="s">
        <v>172</v>
      </c>
      <c r="AC1839" s="3" t="str">
        <f>"94568"</f>
        <v>94568</v>
      </c>
      <c r="AD1839" t="s">
        <v>128</v>
      </c>
      <c r="AF1839" s="4">
        <v>15103525000</v>
      </c>
      <c r="AH1839" t="str">
        <f>"56133"</f>
        <v>56133</v>
      </c>
      <c r="AI1839" t="s">
        <v>130</v>
      </c>
      <c r="AJ1839" t="s">
        <v>1915</v>
      </c>
      <c r="AK1839" t="s">
        <v>522</v>
      </c>
      <c r="AL1839" t="s">
        <v>1254</v>
      </c>
      <c r="AM1839" t="s">
        <v>4879</v>
      </c>
      <c r="AN1839" t="s">
        <v>4880</v>
      </c>
      <c r="AO1839" t="s">
        <v>1200</v>
      </c>
      <c r="AP1839" t="s">
        <v>172</v>
      </c>
      <c r="AQ1839" s="5">
        <v>91301</v>
      </c>
      <c r="AR1839" t="s">
        <v>128</v>
      </c>
      <c r="AT1839" s="4">
        <v>18189146482</v>
      </c>
      <c r="AV1839" t="s">
        <v>1201</v>
      </c>
      <c r="AW1839" t="s">
        <v>1202</v>
      </c>
      <c r="AX1839" t="s">
        <v>131</v>
      </c>
      <c r="AY1839" t="s">
        <v>131</v>
      </c>
      <c r="AZ1839" t="s">
        <v>131</v>
      </c>
      <c r="BA1839" t="s">
        <v>131</v>
      </c>
      <c r="BB1839" t="s">
        <v>131</v>
      </c>
      <c r="BC1839" t="s">
        <v>131</v>
      </c>
      <c r="BD1839" t="s">
        <v>131</v>
      </c>
      <c r="BE1839" t="s">
        <v>132</v>
      </c>
      <c r="BH1839" t="s">
        <v>16612</v>
      </c>
      <c r="BI1839" t="s">
        <v>135</v>
      </c>
      <c r="BJ1839" t="s">
        <v>5516</v>
      </c>
      <c r="BK1839" t="s">
        <v>5517</v>
      </c>
      <c r="BL1839" t="s">
        <v>188</v>
      </c>
      <c r="BN1839" t="s">
        <v>459</v>
      </c>
      <c r="BO1839" t="s">
        <v>131</v>
      </c>
      <c r="BP1839" t="s">
        <v>134</v>
      </c>
      <c r="BQ1839" t="s">
        <v>131</v>
      </c>
      <c r="BS1839" t="str">
        <f t="shared" si="107"/>
        <v>N/A</v>
      </c>
      <c r="BT1839" t="s">
        <v>135</v>
      </c>
      <c r="BU1839">
        <v>36</v>
      </c>
      <c r="BV1839" t="str">
        <f>"See F.a.2"</f>
        <v>See F.a.2</v>
      </c>
      <c r="BW1839" t="s">
        <v>135</v>
      </c>
      <c r="BX1839" t="str">
        <f>""</f>
        <v/>
      </c>
      <c r="BY1839" t="str">
        <f>""</f>
        <v/>
      </c>
      <c r="BZ1839" t="str">
        <f>""</f>
        <v/>
      </c>
      <c r="CA1839" t="str">
        <f>"Qualified candidates must also have demonstrable knowledge, skill, experience, and proficiency with the following:
1.Kubernetes
2.Agile Training
3.CICD Practices
4.PeopleTools
5.PeopleSoft
No travel. No telecommuting.
"</f>
        <v xml:space="preserve">Qualified candidates must also have demonstrable knowledge, skill, experience, and proficiency with the following:
1.Kubernetes
2.Agile Training
3.CICD Practices
4.PeopleTools
5.PeopleSoft
No travel. No telecommuting.
</v>
      </c>
      <c r="CB1839" t="s">
        <v>135</v>
      </c>
      <c r="CC1839" t="s">
        <v>133</v>
      </c>
      <c r="CE1839" t="s">
        <v>459</v>
      </c>
      <c r="CF1839" t="s">
        <v>131</v>
      </c>
      <c r="CH1839" t="str">
        <f>"N/A"</f>
        <v>N/A</v>
      </c>
      <c r="CI1839" t="s">
        <v>135</v>
      </c>
      <c r="CJ1839">
        <v>60</v>
      </c>
      <c r="CK1839" t="s">
        <v>135</v>
      </c>
      <c r="CL1839" t="str">
        <f>""</f>
        <v/>
      </c>
      <c r="CM1839" t="str">
        <f>""</f>
        <v/>
      </c>
      <c r="CN1839" t="str">
        <f>""</f>
        <v/>
      </c>
      <c r="CO1839" t="str">
        <f>"Qualified candidates must also have demonstrable knowledge, skill, experience, and proficiency with the following:
1.Kubernetes
2.Agile Training
3.CICD Practices
4.PeopleTools
5.PeopleSoft
No travel. No telecommuting.
"</f>
        <v xml:space="preserve">Qualified candidates must also have demonstrable knowledge, skill, experience, and proficiency with the following:
1.Kubernetes
2.Agile Training
3.CICD Practices
4.PeopleTools
5.PeopleSoft
No travel. No telecommuting.
</v>
      </c>
      <c r="CP1839" t="str">
        <f>"15-1199.09"</f>
        <v>15-1199.09</v>
      </c>
      <c r="CQ1839" t="s">
        <v>697</v>
      </c>
      <c r="CR1839" t="s">
        <v>3480</v>
      </c>
      <c r="CS1839" t="s">
        <v>131</v>
      </c>
      <c r="CU1839" t="s">
        <v>16613</v>
      </c>
      <c r="CW1839" t="s">
        <v>1040</v>
      </c>
      <c r="CX1839" t="s">
        <v>400</v>
      </c>
      <c r="CZ1839" s="3" t="str">
        <f>"78727"</f>
        <v>78727</v>
      </c>
      <c r="DA1839" t="s">
        <v>131</v>
      </c>
      <c r="DB1839" t="str">
        <f>""</f>
        <v/>
      </c>
      <c r="DF1839" t="str">
        <f>""</f>
        <v/>
      </c>
    </row>
    <row r="1840" spans="1:110" ht="15" customHeight="1" x14ac:dyDescent="0.35">
      <c r="A1840" t="s">
        <v>16696</v>
      </c>
      <c r="B1840" t="s">
        <v>138</v>
      </c>
      <c r="C1840" s="1">
        <v>44351</v>
      </c>
      <c r="G1840" s="1">
        <v>44351</v>
      </c>
      <c r="H1840" t="s">
        <v>125</v>
      </c>
      <c r="I1840" t="s">
        <v>16198</v>
      </c>
      <c r="J1840" t="s">
        <v>15595</v>
      </c>
      <c r="L1840" t="s">
        <v>395</v>
      </c>
      <c r="M1840" t="s">
        <v>16697</v>
      </c>
      <c r="N1840" t="s">
        <v>16698</v>
      </c>
      <c r="O1840" t="s">
        <v>10411</v>
      </c>
      <c r="P1840" t="s">
        <v>818</v>
      </c>
      <c r="Q1840" s="3">
        <v>30341</v>
      </c>
      <c r="R1840" t="s">
        <v>128</v>
      </c>
      <c r="T1840" s="4">
        <v>14049332140</v>
      </c>
      <c r="V1840" t="s">
        <v>16699</v>
      </c>
      <c r="W1840" t="s">
        <v>16700</v>
      </c>
      <c r="Y1840" t="s">
        <v>16697</v>
      </c>
      <c r="Z1840" t="s">
        <v>16698</v>
      </c>
      <c r="AA1840" t="s">
        <v>10411</v>
      </c>
      <c r="AB1840" t="s">
        <v>643</v>
      </c>
      <c r="AC1840" s="3" t="str">
        <f>"30341"</f>
        <v>30341</v>
      </c>
      <c r="AD1840" t="s">
        <v>128</v>
      </c>
      <c r="AF1840" s="4">
        <v>14049332140</v>
      </c>
      <c r="AH1840" t="str">
        <f>"541512"</f>
        <v>541512</v>
      </c>
      <c r="AI1840" t="s">
        <v>130</v>
      </c>
      <c r="AJ1840" t="s">
        <v>4164</v>
      </c>
      <c r="AK1840" t="s">
        <v>4165</v>
      </c>
      <c r="AM1840" t="s">
        <v>4166</v>
      </c>
      <c r="AN1840" t="s">
        <v>1641</v>
      </c>
      <c r="AO1840" t="s">
        <v>797</v>
      </c>
      <c r="AP1840" t="s">
        <v>306</v>
      </c>
      <c r="AQ1840" s="5">
        <v>20191</v>
      </c>
      <c r="AR1840" t="s">
        <v>128</v>
      </c>
      <c r="AT1840" s="4">
        <v>17032306800</v>
      </c>
      <c r="AV1840" t="s">
        <v>4167</v>
      </c>
      <c r="AW1840" t="s">
        <v>613</v>
      </c>
      <c r="AX1840" t="s">
        <v>131</v>
      </c>
      <c r="AY1840" t="s">
        <v>131</v>
      </c>
      <c r="AZ1840" t="s">
        <v>131</v>
      </c>
      <c r="BA1840" t="s">
        <v>131</v>
      </c>
      <c r="BB1840" t="s">
        <v>131</v>
      </c>
      <c r="BC1840" t="s">
        <v>131</v>
      </c>
      <c r="BD1840" t="s">
        <v>131</v>
      </c>
      <c r="BE1840" t="s">
        <v>132</v>
      </c>
      <c r="BH1840" t="s">
        <v>16701</v>
      </c>
      <c r="BI1840" t="s">
        <v>131</v>
      </c>
      <c r="BL1840" t="s">
        <v>188</v>
      </c>
      <c r="BN1840" t="s">
        <v>16702</v>
      </c>
      <c r="BO1840" t="s">
        <v>131</v>
      </c>
      <c r="BP1840" t="s">
        <v>134</v>
      </c>
      <c r="BQ1840" t="s">
        <v>131</v>
      </c>
      <c r="BS1840" t="str">
        <f t="shared" si="107"/>
        <v>N/A</v>
      </c>
      <c r="BT1840" t="s">
        <v>135</v>
      </c>
      <c r="BU1840">
        <v>12</v>
      </c>
      <c r="BV1840" t="str">
        <f>"JO/Application Development"</f>
        <v>JO/Application Development</v>
      </c>
      <c r="BW1840" t="s">
        <v>135</v>
      </c>
      <c r="BX1840" t="str">
        <f>""</f>
        <v/>
      </c>
      <c r="BY1840" t="str">
        <f>""</f>
        <v/>
      </c>
      <c r="BZ1840" t="str">
        <f>""</f>
        <v/>
      </c>
      <c r="CA1840" t="s">
        <v>16703</v>
      </c>
      <c r="CB1840" t="s">
        <v>135</v>
      </c>
      <c r="CC1840" t="s">
        <v>133</v>
      </c>
      <c r="CE1840" t="s">
        <v>16704</v>
      </c>
      <c r="CF1840" t="s">
        <v>131</v>
      </c>
      <c r="CH1840" t="str">
        <f>"N/A"</f>
        <v>N/A</v>
      </c>
      <c r="CI1840" t="s">
        <v>135</v>
      </c>
      <c r="CJ1840">
        <v>60</v>
      </c>
      <c r="CK1840" t="s">
        <v>135</v>
      </c>
      <c r="CL1840" t="str">
        <f>""</f>
        <v/>
      </c>
      <c r="CM1840" t="str">
        <f>""</f>
        <v/>
      </c>
      <c r="CN1840" t="str">
        <f>""</f>
        <v/>
      </c>
      <c r="CO1840" t="str">
        <f>"Please refer F.b.5.a.(iv)"</f>
        <v>Please refer F.b.5.a.(iv)</v>
      </c>
      <c r="CP1840" t="str">
        <f>"15-1132.00"</f>
        <v>15-1132.00</v>
      </c>
      <c r="CQ1840" t="s">
        <v>198</v>
      </c>
      <c r="CS1840" t="s">
        <v>131</v>
      </c>
      <c r="CU1840" t="s">
        <v>16705</v>
      </c>
      <c r="CV1840" t="s">
        <v>12036</v>
      </c>
      <c r="CW1840" t="s">
        <v>10411</v>
      </c>
      <c r="CX1840" t="s">
        <v>643</v>
      </c>
      <c r="CZ1840" s="3" t="str">
        <f>"30341"</f>
        <v>30341</v>
      </c>
      <c r="DA1840" t="s">
        <v>135</v>
      </c>
      <c r="DB1840" t="str">
        <f>""</f>
        <v/>
      </c>
      <c r="DF1840" t="str">
        <f>""</f>
        <v/>
      </c>
    </row>
    <row r="1841" spans="1:110" ht="15" customHeight="1" x14ac:dyDescent="0.35">
      <c r="A1841" t="s">
        <v>20180</v>
      </c>
      <c r="B1841" t="s">
        <v>138</v>
      </c>
      <c r="C1841" s="1">
        <v>44351</v>
      </c>
      <c r="G1841" s="1">
        <v>44351</v>
      </c>
      <c r="H1841" t="s">
        <v>125</v>
      </c>
      <c r="I1841" t="s">
        <v>20181</v>
      </c>
      <c r="J1841" t="s">
        <v>994</v>
      </c>
      <c r="L1841" t="s">
        <v>4407</v>
      </c>
      <c r="M1841" t="s">
        <v>18198</v>
      </c>
      <c r="N1841" t="s">
        <v>7846</v>
      </c>
      <c r="O1841" t="s">
        <v>1946</v>
      </c>
      <c r="P1841" t="s">
        <v>412</v>
      </c>
      <c r="Q1841" s="3">
        <v>77479</v>
      </c>
      <c r="R1841" t="s">
        <v>128</v>
      </c>
      <c r="T1841" s="4">
        <v>14802629702</v>
      </c>
      <c r="V1841" t="s">
        <v>20182</v>
      </c>
      <c r="W1841" t="s">
        <v>20183</v>
      </c>
      <c r="Y1841" t="s">
        <v>18198</v>
      </c>
      <c r="Z1841" t="s">
        <v>7846</v>
      </c>
      <c r="AA1841" t="s">
        <v>1946</v>
      </c>
      <c r="AB1841" t="s">
        <v>400</v>
      </c>
      <c r="AC1841" s="3" t="str">
        <f>"77479"</f>
        <v>77479</v>
      </c>
      <c r="AD1841" t="s">
        <v>128</v>
      </c>
      <c r="AF1841" s="4">
        <v>14802629702</v>
      </c>
      <c r="AH1841" t="str">
        <f>"541690"</f>
        <v>541690</v>
      </c>
      <c r="AI1841" t="s">
        <v>130</v>
      </c>
      <c r="AJ1841" t="s">
        <v>12893</v>
      </c>
      <c r="AK1841" t="s">
        <v>12894</v>
      </c>
      <c r="AM1841" t="s">
        <v>12895</v>
      </c>
      <c r="AN1841" t="s">
        <v>619</v>
      </c>
      <c r="AO1841" t="s">
        <v>885</v>
      </c>
      <c r="AP1841" t="s">
        <v>400</v>
      </c>
      <c r="AQ1841" s="5">
        <v>77027</v>
      </c>
      <c r="AR1841" t="s">
        <v>128</v>
      </c>
      <c r="AT1841" s="4">
        <v>17137397272</v>
      </c>
      <c r="AV1841" t="s">
        <v>12896</v>
      </c>
      <c r="AW1841" t="s">
        <v>12897</v>
      </c>
      <c r="AX1841" t="s">
        <v>131</v>
      </c>
      <c r="AY1841" t="s">
        <v>131</v>
      </c>
      <c r="AZ1841" t="s">
        <v>131</v>
      </c>
      <c r="BA1841" t="s">
        <v>131</v>
      </c>
      <c r="BB1841" t="s">
        <v>131</v>
      </c>
      <c r="BC1841" t="s">
        <v>131</v>
      </c>
      <c r="BD1841" t="s">
        <v>131</v>
      </c>
      <c r="BE1841" t="s">
        <v>132</v>
      </c>
      <c r="BH1841" t="s">
        <v>1158</v>
      </c>
      <c r="BI1841" t="s">
        <v>135</v>
      </c>
      <c r="BJ1841" t="s">
        <v>4951</v>
      </c>
      <c r="BK1841" t="s">
        <v>393</v>
      </c>
      <c r="BL1841" t="s">
        <v>133</v>
      </c>
      <c r="BN1841" t="s">
        <v>19710</v>
      </c>
      <c r="BO1841" t="s">
        <v>131</v>
      </c>
      <c r="BP1841" t="s">
        <v>134</v>
      </c>
      <c r="BQ1841" t="s">
        <v>131</v>
      </c>
      <c r="BS1841" t="str">
        <f t="shared" si="107"/>
        <v>N/A</v>
      </c>
      <c r="BT1841" t="s">
        <v>135</v>
      </c>
      <c r="BU1841">
        <v>24</v>
      </c>
      <c r="BV1841" t="str">
        <f>"Construction Management"</f>
        <v>Construction Management</v>
      </c>
      <c r="BW1841" t="s">
        <v>135</v>
      </c>
      <c r="BX1841" t="str">
        <f>""</f>
        <v/>
      </c>
      <c r="BY1841" t="str">
        <f>""</f>
        <v/>
      </c>
      <c r="BZ1841" t="str">
        <f>""</f>
        <v/>
      </c>
      <c r="CA1841" s="2" t="s">
        <v>20184</v>
      </c>
      <c r="CB1841" t="s">
        <v>131</v>
      </c>
      <c r="CF1841" t="s">
        <v>131</v>
      </c>
      <c r="CH1841" t="str">
        <f>""</f>
        <v/>
      </c>
      <c r="CI1841" t="s">
        <v>131</v>
      </c>
      <c r="CK1841" t="s">
        <v>131</v>
      </c>
      <c r="CL1841" t="str">
        <f>""</f>
        <v/>
      </c>
      <c r="CM1841" t="str">
        <f>""</f>
        <v/>
      </c>
      <c r="CN1841" t="str">
        <f>""</f>
        <v/>
      </c>
      <c r="CO1841" t="str">
        <f>""</f>
        <v/>
      </c>
      <c r="CP1841" t="str">
        <f>"17-2051.00"</f>
        <v>17-2051.00</v>
      </c>
      <c r="CQ1841" t="s">
        <v>787</v>
      </c>
      <c r="CR1841" t="s">
        <v>1310</v>
      </c>
      <c r="CS1841" t="s">
        <v>135</v>
      </c>
      <c r="CT1841" t="s">
        <v>20185</v>
      </c>
      <c r="CU1841" t="s">
        <v>18198</v>
      </c>
      <c r="CV1841" t="s">
        <v>7846</v>
      </c>
      <c r="CW1841" t="s">
        <v>1946</v>
      </c>
      <c r="CX1841" t="s">
        <v>400</v>
      </c>
      <c r="CZ1841" s="3" t="str">
        <f>"77479"</f>
        <v>77479</v>
      </c>
      <c r="DA1841" t="s">
        <v>131</v>
      </c>
      <c r="DB1841" t="str">
        <f>""</f>
        <v/>
      </c>
      <c r="DF1841" t="str">
        <f>""</f>
        <v/>
      </c>
    </row>
    <row r="1842" spans="1:110" ht="15" customHeight="1" x14ac:dyDescent="0.35">
      <c r="A1842" t="s">
        <v>17307</v>
      </c>
      <c r="B1842" t="s">
        <v>138</v>
      </c>
      <c r="C1842" s="1">
        <v>44351</v>
      </c>
      <c r="G1842" s="1">
        <v>44365</v>
      </c>
      <c r="H1842" t="s">
        <v>125</v>
      </c>
      <c r="I1842" t="s">
        <v>14145</v>
      </c>
      <c r="J1842" t="s">
        <v>17308</v>
      </c>
      <c r="L1842" t="s">
        <v>4394</v>
      </c>
      <c r="M1842" t="s">
        <v>17309</v>
      </c>
      <c r="O1842" t="s">
        <v>9861</v>
      </c>
      <c r="P1842" t="s">
        <v>127</v>
      </c>
      <c r="Q1842" s="3">
        <v>11968</v>
      </c>
      <c r="R1842" t="s">
        <v>128</v>
      </c>
      <c r="T1842" s="4">
        <v>12032739727</v>
      </c>
      <c r="V1842" t="s">
        <v>17310</v>
      </c>
      <c r="W1842" t="s">
        <v>17311</v>
      </c>
      <c r="Y1842" t="s">
        <v>17309</v>
      </c>
      <c r="AA1842" t="s">
        <v>9861</v>
      </c>
      <c r="AB1842" t="s">
        <v>129</v>
      </c>
      <c r="AC1842" s="3" t="str">
        <f>"11968"</f>
        <v>11968</v>
      </c>
      <c r="AD1842" t="s">
        <v>128</v>
      </c>
      <c r="AF1842" s="4">
        <v>12032739727</v>
      </c>
      <c r="AH1842" t="str">
        <f>"814110"</f>
        <v>814110</v>
      </c>
      <c r="AI1842" t="s">
        <v>130</v>
      </c>
      <c r="AJ1842" t="s">
        <v>14696</v>
      </c>
      <c r="AK1842" t="s">
        <v>4670</v>
      </c>
      <c r="AM1842" t="s">
        <v>10422</v>
      </c>
      <c r="AO1842" t="s">
        <v>494</v>
      </c>
      <c r="AP1842" t="s">
        <v>129</v>
      </c>
      <c r="AQ1842" s="5">
        <v>10022</v>
      </c>
      <c r="AR1842" t="s">
        <v>128</v>
      </c>
      <c r="AT1842" s="4">
        <v>16462779516</v>
      </c>
      <c r="AV1842" t="s">
        <v>17312</v>
      </c>
      <c r="AW1842" t="s">
        <v>10424</v>
      </c>
      <c r="AX1842" t="s">
        <v>131</v>
      </c>
      <c r="AY1842" t="s">
        <v>131</v>
      </c>
      <c r="AZ1842" t="s">
        <v>131</v>
      </c>
      <c r="BA1842" t="s">
        <v>131</v>
      </c>
      <c r="BB1842" t="s">
        <v>131</v>
      </c>
      <c r="BC1842" t="s">
        <v>131</v>
      </c>
      <c r="BD1842" t="s">
        <v>131</v>
      </c>
      <c r="BE1842" t="s">
        <v>132</v>
      </c>
      <c r="BH1842" t="s">
        <v>2109</v>
      </c>
      <c r="BI1842" t="s">
        <v>131</v>
      </c>
      <c r="BL1842" t="s">
        <v>167</v>
      </c>
      <c r="BO1842" t="s">
        <v>131</v>
      </c>
      <c r="BP1842" t="s">
        <v>134</v>
      </c>
      <c r="BQ1842" t="s">
        <v>131</v>
      </c>
      <c r="BS1842" t="str">
        <f t="shared" si="107"/>
        <v>N/A</v>
      </c>
      <c r="BT1842" t="s">
        <v>135</v>
      </c>
      <c r="BU1842">
        <v>12</v>
      </c>
      <c r="BV1842" t="str">
        <f>"Nanny"</f>
        <v>Nanny</v>
      </c>
      <c r="BW1842" t="s">
        <v>131</v>
      </c>
      <c r="BX1842" t="str">
        <f>""</f>
        <v/>
      </c>
      <c r="BY1842" t="str">
        <f>""</f>
        <v/>
      </c>
      <c r="BZ1842" t="str">
        <f>""</f>
        <v/>
      </c>
      <c r="CA1842" t="str">
        <f>""</f>
        <v/>
      </c>
      <c r="CB1842" t="s">
        <v>131</v>
      </c>
      <c r="CF1842" t="s">
        <v>131</v>
      </c>
      <c r="CH1842" t="str">
        <f>""</f>
        <v/>
      </c>
      <c r="CI1842" t="s">
        <v>131</v>
      </c>
      <c r="CK1842" t="s">
        <v>131</v>
      </c>
      <c r="CL1842" t="str">
        <f>""</f>
        <v/>
      </c>
      <c r="CM1842" t="str">
        <f>""</f>
        <v/>
      </c>
      <c r="CN1842" t="str">
        <f>""</f>
        <v/>
      </c>
      <c r="CO1842" t="str">
        <f>""</f>
        <v/>
      </c>
      <c r="CP1842" t="str">
        <f>"39-9011.01"</f>
        <v>39-9011.01</v>
      </c>
      <c r="CQ1842" t="s">
        <v>339</v>
      </c>
      <c r="CS1842" t="s">
        <v>131</v>
      </c>
      <c r="CU1842" t="s">
        <v>17309</v>
      </c>
      <c r="CW1842" t="s">
        <v>9861</v>
      </c>
      <c r="CX1842" t="s">
        <v>129</v>
      </c>
      <c r="CZ1842" s="3" t="str">
        <f>"11968"</f>
        <v>11968</v>
      </c>
      <c r="DA1842" t="s">
        <v>131</v>
      </c>
      <c r="DB1842" t="str">
        <f>""</f>
        <v/>
      </c>
      <c r="DF1842" t="str">
        <f>""</f>
        <v/>
      </c>
    </row>
    <row r="1843" spans="1:110" ht="15" customHeight="1" x14ac:dyDescent="0.35">
      <c r="A1843" t="s">
        <v>18784</v>
      </c>
      <c r="B1843" t="s">
        <v>138</v>
      </c>
      <c r="C1843" s="1">
        <v>44351</v>
      </c>
      <c r="G1843" s="1">
        <v>44351</v>
      </c>
      <c r="H1843" t="s">
        <v>125</v>
      </c>
      <c r="I1843" t="s">
        <v>10154</v>
      </c>
      <c r="J1843" t="s">
        <v>700</v>
      </c>
      <c r="L1843" t="s">
        <v>18785</v>
      </c>
      <c r="M1843" t="s">
        <v>16029</v>
      </c>
      <c r="O1843" t="s">
        <v>220</v>
      </c>
      <c r="P1843" t="s">
        <v>178</v>
      </c>
      <c r="Q1843" s="3">
        <v>94133</v>
      </c>
      <c r="R1843" t="s">
        <v>128</v>
      </c>
      <c r="T1843" s="4">
        <v>16173151533</v>
      </c>
      <c r="V1843" t="s">
        <v>18786</v>
      </c>
      <c r="W1843" t="s">
        <v>18787</v>
      </c>
      <c r="X1843" t="s">
        <v>18788</v>
      </c>
      <c r="Y1843" t="s">
        <v>16029</v>
      </c>
      <c r="AA1843" t="s">
        <v>220</v>
      </c>
      <c r="AB1843" t="s">
        <v>172</v>
      </c>
      <c r="AC1843" s="3" t="str">
        <f>"94133"</f>
        <v>94133</v>
      </c>
      <c r="AD1843" t="s">
        <v>128</v>
      </c>
      <c r="AF1843" s="4">
        <v>16173151533</v>
      </c>
      <c r="AH1843" t="str">
        <f>"541820"</f>
        <v>541820</v>
      </c>
      <c r="AI1843" t="s">
        <v>130</v>
      </c>
      <c r="AJ1843" t="s">
        <v>2146</v>
      </c>
      <c r="AK1843" t="s">
        <v>2147</v>
      </c>
      <c r="AL1843" t="s">
        <v>134</v>
      </c>
      <c r="AM1843" t="s">
        <v>2123</v>
      </c>
      <c r="AN1843" t="s">
        <v>611</v>
      </c>
      <c r="AO1843" t="s">
        <v>376</v>
      </c>
      <c r="AP1843" t="s">
        <v>377</v>
      </c>
      <c r="AQ1843" s="5">
        <v>2210</v>
      </c>
      <c r="AR1843" t="s">
        <v>128</v>
      </c>
      <c r="AS1843" t="s">
        <v>134</v>
      </c>
      <c r="AT1843" s="4">
        <v>16179464814</v>
      </c>
      <c r="AV1843" t="s">
        <v>2148</v>
      </c>
      <c r="AW1843" t="s">
        <v>1083</v>
      </c>
      <c r="AX1843" t="s">
        <v>131</v>
      </c>
      <c r="AY1843" t="s">
        <v>131</v>
      </c>
      <c r="AZ1843" t="s">
        <v>131</v>
      </c>
      <c r="BA1843" t="s">
        <v>131</v>
      </c>
      <c r="BB1843" t="s">
        <v>131</v>
      </c>
      <c r="BC1843" t="s">
        <v>131</v>
      </c>
      <c r="BD1843" t="s">
        <v>131</v>
      </c>
      <c r="BE1843" t="s">
        <v>132</v>
      </c>
      <c r="BH1843" t="s">
        <v>18789</v>
      </c>
      <c r="BI1843" t="s">
        <v>131</v>
      </c>
      <c r="BL1843" t="s">
        <v>188</v>
      </c>
      <c r="BN1843" t="s">
        <v>18790</v>
      </c>
      <c r="BO1843" t="s">
        <v>131</v>
      </c>
      <c r="BP1843" t="s">
        <v>134</v>
      </c>
      <c r="BQ1843" t="s">
        <v>131</v>
      </c>
      <c r="BS1843" t="str">
        <f t="shared" si="107"/>
        <v>N/A</v>
      </c>
      <c r="BT1843" t="s">
        <v>135</v>
      </c>
      <c r="BU1843">
        <v>24</v>
      </c>
      <c r="BV1843" t="str">
        <f>"ML engineering experience with responsibility for MLOps infrastructure and automation in a public cloud environment"</f>
        <v>ML engineering experience with responsibility for MLOps infrastructure and automation in a public cloud environment</v>
      </c>
      <c r="BW1843" t="s">
        <v>135</v>
      </c>
      <c r="BX1843" t="str">
        <f>""</f>
        <v/>
      </c>
      <c r="BY1843" t="str">
        <f>""</f>
        <v/>
      </c>
      <c r="BZ1843" t="str">
        <f>""</f>
        <v/>
      </c>
      <c r="CA1843" t="s">
        <v>18791</v>
      </c>
      <c r="CB1843" t="s">
        <v>131</v>
      </c>
      <c r="CF1843" t="s">
        <v>131</v>
      </c>
      <c r="CH1843" t="str">
        <f>""</f>
        <v/>
      </c>
      <c r="CI1843" t="s">
        <v>131</v>
      </c>
      <c r="CK1843" t="s">
        <v>131</v>
      </c>
      <c r="CL1843" t="str">
        <f>""</f>
        <v/>
      </c>
      <c r="CM1843" t="str">
        <f>""</f>
        <v/>
      </c>
      <c r="CN1843" t="str">
        <f>""</f>
        <v/>
      </c>
      <c r="CO1843" t="str">
        <f>""</f>
        <v/>
      </c>
      <c r="CP1843" t="str">
        <f>"15-1133.00"</f>
        <v>15-1133.00</v>
      </c>
      <c r="CQ1843" t="s">
        <v>648</v>
      </c>
      <c r="CR1843" t="s">
        <v>18792</v>
      </c>
      <c r="CS1843" t="s">
        <v>131</v>
      </c>
      <c r="CU1843" t="s">
        <v>16072</v>
      </c>
      <c r="CV1843" t="s">
        <v>2290</v>
      </c>
      <c r="CW1843" t="s">
        <v>376</v>
      </c>
      <c r="CX1843" t="s">
        <v>377</v>
      </c>
      <c r="CZ1843" s="3" t="str">
        <f>"02108"</f>
        <v>02108</v>
      </c>
      <c r="DA1843" t="s">
        <v>131</v>
      </c>
      <c r="DB1843" t="str">
        <f>""</f>
        <v/>
      </c>
      <c r="DF1843" t="str">
        <f>""</f>
        <v/>
      </c>
    </row>
    <row r="1844" spans="1:110" ht="15" customHeight="1" x14ac:dyDescent="0.35">
      <c r="A1844" t="s">
        <v>12346</v>
      </c>
      <c r="B1844" t="s">
        <v>138</v>
      </c>
      <c r="C1844" s="1">
        <v>44351</v>
      </c>
      <c r="G1844" s="1">
        <v>44351</v>
      </c>
      <c r="H1844" t="s">
        <v>125</v>
      </c>
      <c r="I1844" t="s">
        <v>3960</v>
      </c>
      <c r="J1844" t="s">
        <v>3961</v>
      </c>
      <c r="L1844" t="s">
        <v>774</v>
      </c>
      <c r="M1844" t="s">
        <v>3962</v>
      </c>
      <c r="O1844" t="s">
        <v>3963</v>
      </c>
      <c r="P1844" t="s">
        <v>127</v>
      </c>
      <c r="Q1844" s="3">
        <v>10016</v>
      </c>
      <c r="R1844" t="s">
        <v>128</v>
      </c>
      <c r="T1844" s="4">
        <v>12129510430</v>
      </c>
      <c r="V1844" t="s">
        <v>3964</v>
      </c>
      <c r="W1844" t="s">
        <v>12347</v>
      </c>
      <c r="X1844" t="s">
        <v>12347</v>
      </c>
      <c r="Y1844" t="s">
        <v>3962</v>
      </c>
      <c r="AA1844" t="s">
        <v>3963</v>
      </c>
      <c r="AB1844" t="s">
        <v>129</v>
      </c>
      <c r="AC1844" s="3" t="str">
        <f>"10016"</f>
        <v>10016</v>
      </c>
      <c r="AD1844" t="s">
        <v>128</v>
      </c>
      <c r="AF1844" s="4">
        <v>12129510430</v>
      </c>
      <c r="AH1844" t="str">
        <f>"62134"</f>
        <v>62134</v>
      </c>
      <c r="AI1844" t="s">
        <v>130</v>
      </c>
      <c r="AJ1844" t="s">
        <v>3966</v>
      </c>
      <c r="AK1844" t="s">
        <v>3967</v>
      </c>
      <c r="AL1844" t="s">
        <v>3968</v>
      </c>
      <c r="AM1844" t="s">
        <v>3969</v>
      </c>
      <c r="AN1844" t="s">
        <v>3970</v>
      </c>
      <c r="AO1844" t="s">
        <v>494</v>
      </c>
      <c r="AP1844" t="s">
        <v>129</v>
      </c>
      <c r="AQ1844" s="5">
        <v>10038</v>
      </c>
      <c r="AR1844" t="s">
        <v>128</v>
      </c>
      <c r="AT1844" s="4">
        <v>12122678297</v>
      </c>
      <c r="AV1844" t="s">
        <v>3971</v>
      </c>
      <c r="AW1844" t="s">
        <v>11682</v>
      </c>
      <c r="AX1844" t="s">
        <v>131</v>
      </c>
      <c r="AY1844" t="s">
        <v>131</v>
      </c>
      <c r="AZ1844" t="s">
        <v>131</v>
      </c>
      <c r="BA1844" t="s">
        <v>131</v>
      </c>
      <c r="BB1844" t="s">
        <v>131</v>
      </c>
      <c r="BC1844" t="s">
        <v>131</v>
      </c>
      <c r="BD1844" t="s">
        <v>131</v>
      </c>
      <c r="BE1844" t="s">
        <v>132</v>
      </c>
      <c r="BH1844" t="s">
        <v>1450</v>
      </c>
      <c r="BI1844" t="s">
        <v>131</v>
      </c>
      <c r="BL1844" t="s">
        <v>307</v>
      </c>
      <c r="BN1844" t="s">
        <v>1451</v>
      </c>
      <c r="BO1844" t="s">
        <v>131</v>
      </c>
      <c r="BP1844" t="s">
        <v>134</v>
      </c>
      <c r="BQ1844" t="s">
        <v>131</v>
      </c>
      <c r="BS1844" t="str">
        <f t="shared" si="107"/>
        <v>N/A</v>
      </c>
      <c r="BT1844" t="s">
        <v>131</v>
      </c>
      <c r="BV1844" t="str">
        <f>""</f>
        <v/>
      </c>
      <c r="BW1844" t="s">
        <v>135</v>
      </c>
      <c r="BX1844" t="str">
        <f>""</f>
        <v/>
      </c>
      <c r="BY1844" t="str">
        <f>""</f>
        <v/>
      </c>
      <c r="BZ1844" t="str">
        <f>""</f>
        <v/>
      </c>
      <c r="CA1844" t="str">
        <f>"Must be NCLEX passer OR possess a New York State license to practice nursing OR have visa screen certificate"</f>
        <v>Must be NCLEX passer OR possess a New York State license to practice nursing OR have visa screen certificate</v>
      </c>
      <c r="CB1844" t="s">
        <v>131</v>
      </c>
      <c r="CF1844" t="s">
        <v>131</v>
      </c>
      <c r="CH1844" t="str">
        <f>""</f>
        <v/>
      </c>
      <c r="CI1844" t="s">
        <v>131</v>
      </c>
      <c r="CK1844" t="s">
        <v>131</v>
      </c>
      <c r="CL1844" t="str">
        <f>""</f>
        <v/>
      </c>
      <c r="CM1844" t="str">
        <f>""</f>
        <v/>
      </c>
      <c r="CN1844" t="str">
        <f>""</f>
        <v/>
      </c>
      <c r="CO1844" t="str">
        <f>""</f>
        <v/>
      </c>
      <c r="CP1844" t="str">
        <f>"29-1141.00"</f>
        <v>29-1141.00</v>
      </c>
      <c r="CQ1844" t="s">
        <v>232</v>
      </c>
      <c r="CR1844" t="s">
        <v>12348</v>
      </c>
      <c r="CS1844" t="s">
        <v>131</v>
      </c>
      <c r="CU1844" t="s">
        <v>7926</v>
      </c>
      <c r="CV1844" t="s">
        <v>7927</v>
      </c>
      <c r="CW1844" t="s">
        <v>310</v>
      </c>
      <c r="CX1844" t="s">
        <v>312</v>
      </c>
      <c r="CZ1844" s="3" t="str">
        <f>"19126"</f>
        <v>19126</v>
      </c>
      <c r="DA1844" t="s">
        <v>131</v>
      </c>
      <c r="DB1844" t="str">
        <f>""</f>
        <v/>
      </c>
      <c r="DF1844" t="str">
        <f>""</f>
        <v/>
      </c>
    </row>
    <row r="1845" spans="1:110" ht="15" customHeight="1" x14ac:dyDescent="0.35">
      <c r="A1845" t="s">
        <v>12609</v>
      </c>
      <c r="B1845" t="s">
        <v>138</v>
      </c>
      <c r="C1845" s="1">
        <v>44351</v>
      </c>
      <c r="G1845" s="1">
        <v>44351</v>
      </c>
      <c r="H1845" t="s">
        <v>125</v>
      </c>
      <c r="I1845" t="s">
        <v>3960</v>
      </c>
      <c r="J1845" t="s">
        <v>3961</v>
      </c>
      <c r="L1845" t="s">
        <v>774</v>
      </c>
      <c r="M1845" t="s">
        <v>3962</v>
      </c>
      <c r="O1845" t="s">
        <v>3963</v>
      </c>
      <c r="P1845" t="s">
        <v>127</v>
      </c>
      <c r="Q1845" s="3">
        <v>10016</v>
      </c>
      <c r="R1845" t="s">
        <v>128</v>
      </c>
      <c r="T1845" s="4">
        <v>12129510430</v>
      </c>
      <c r="V1845" t="s">
        <v>3964</v>
      </c>
      <c r="W1845" t="s">
        <v>12347</v>
      </c>
      <c r="X1845" t="s">
        <v>12347</v>
      </c>
      <c r="Y1845" t="s">
        <v>3962</v>
      </c>
      <c r="AA1845" t="s">
        <v>3963</v>
      </c>
      <c r="AB1845" t="s">
        <v>129</v>
      </c>
      <c r="AC1845" s="3" t="str">
        <f>"10016"</f>
        <v>10016</v>
      </c>
      <c r="AD1845" t="s">
        <v>128</v>
      </c>
      <c r="AF1845" s="4">
        <v>12129510430</v>
      </c>
      <c r="AH1845" t="str">
        <f>"62134"</f>
        <v>62134</v>
      </c>
      <c r="AI1845" t="s">
        <v>130</v>
      </c>
      <c r="AJ1845" t="s">
        <v>3966</v>
      </c>
      <c r="AK1845" t="s">
        <v>3967</v>
      </c>
      <c r="AL1845" t="s">
        <v>3968</v>
      </c>
      <c r="AM1845" t="s">
        <v>3969</v>
      </c>
      <c r="AN1845" t="s">
        <v>3970</v>
      </c>
      <c r="AO1845" t="s">
        <v>494</v>
      </c>
      <c r="AP1845" t="s">
        <v>129</v>
      </c>
      <c r="AQ1845" s="5">
        <v>10038</v>
      </c>
      <c r="AR1845" t="s">
        <v>128</v>
      </c>
      <c r="AT1845" s="4">
        <v>12122678297</v>
      </c>
      <c r="AV1845" t="s">
        <v>3971</v>
      </c>
      <c r="AW1845" t="s">
        <v>11682</v>
      </c>
      <c r="AX1845" t="s">
        <v>131</v>
      </c>
      <c r="AY1845" t="s">
        <v>131</v>
      </c>
      <c r="AZ1845" t="s">
        <v>131</v>
      </c>
      <c r="BA1845" t="s">
        <v>131</v>
      </c>
      <c r="BB1845" t="s">
        <v>131</v>
      </c>
      <c r="BC1845" t="s">
        <v>131</v>
      </c>
      <c r="BD1845" t="s">
        <v>131</v>
      </c>
      <c r="BE1845" t="s">
        <v>132</v>
      </c>
      <c r="BH1845" t="s">
        <v>1450</v>
      </c>
      <c r="BI1845" t="s">
        <v>131</v>
      </c>
      <c r="BL1845" t="s">
        <v>307</v>
      </c>
      <c r="BN1845" t="s">
        <v>1451</v>
      </c>
      <c r="BO1845" t="s">
        <v>131</v>
      </c>
      <c r="BP1845" t="s">
        <v>134</v>
      </c>
      <c r="BQ1845" t="s">
        <v>131</v>
      </c>
      <c r="BS1845" t="str">
        <f t="shared" si="107"/>
        <v>N/A</v>
      </c>
      <c r="BT1845" t="s">
        <v>131</v>
      </c>
      <c r="BV1845" t="str">
        <f>""</f>
        <v/>
      </c>
      <c r="BW1845" t="s">
        <v>135</v>
      </c>
      <c r="BX1845" t="str">
        <f>""</f>
        <v/>
      </c>
      <c r="BY1845" t="str">
        <f>""</f>
        <v/>
      </c>
      <c r="BZ1845" t="str">
        <f>""</f>
        <v/>
      </c>
      <c r="CA1845" t="str">
        <f>"Must be NCLEX passer OR possess a New York State license to practice nursing OR have visa screen certificate"</f>
        <v>Must be NCLEX passer OR possess a New York State license to practice nursing OR have visa screen certificate</v>
      </c>
      <c r="CB1845" t="s">
        <v>131</v>
      </c>
      <c r="CF1845" t="s">
        <v>131</v>
      </c>
      <c r="CH1845" t="str">
        <f>""</f>
        <v/>
      </c>
      <c r="CI1845" t="s">
        <v>131</v>
      </c>
      <c r="CK1845" t="s">
        <v>131</v>
      </c>
      <c r="CL1845" t="str">
        <f>""</f>
        <v/>
      </c>
      <c r="CM1845" t="str">
        <f>""</f>
        <v/>
      </c>
      <c r="CN1845" t="str">
        <f>""</f>
        <v/>
      </c>
      <c r="CO1845" t="str">
        <f>""</f>
        <v/>
      </c>
      <c r="CP1845" t="str">
        <f>"29-1141.00"</f>
        <v>29-1141.00</v>
      </c>
      <c r="CQ1845" t="s">
        <v>232</v>
      </c>
      <c r="CR1845" t="s">
        <v>3973</v>
      </c>
      <c r="CS1845" t="s">
        <v>131</v>
      </c>
      <c r="CU1845" t="s">
        <v>12610</v>
      </c>
      <c r="CV1845" t="s">
        <v>12611</v>
      </c>
      <c r="CW1845" t="s">
        <v>310</v>
      </c>
      <c r="CX1845" t="s">
        <v>312</v>
      </c>
      <c r="CZ1845" s="3" t="str">
        <f>"19126"</f>
        <v>19126</v>
      </c>
      <c r="DA1845" t="s">
        <v>131</v>
      </c>
      <c r="DB1845" t="str">
        <f>""</f>
        <v/>
      </c>
      <c r="DF1845" t="str">
        <f>""</f>
        <v/>
      </c>
    </row>
    <row r="1846" spans="1:110" ht="15" customHeight="1" x14ac:dyDescent="0.35">
      <c r="A1846" t="s">
        <v>20035</v>
      </c>
      <c r="B1846" t="s">
        <v>138</v>
      </c>
      <c r="C1846" s="1">
        <v>44351</v>
      </c>
      <c r="G1846" s="1">
        <v>44351</v>
      </c>
      <c r="H1846" t="s">
        <v>125</v>
      </c>
      <c r="I1846" t="s">
        <v>3960</v>
      </c>
      <c r="J1846" t="s">
        <v>3961</v>
      </c>
      <c r="L1846" t="s">
        <v>774</v>
      </c>
      <c r="M1846" t="s">
        <v>3962</v>
      </c>
      <c r="O1846" t="s">
        <v>3963</v>
      </c>
      <c r="P1846" t="s">
        <v>127</v>
      </c>
      <c r="Q1846" s="3">
        <v>10016</v>
      </c>
      <c r="R1846" t="s">
        <v>128</v>
      </c>
      <c r="T1846" s="4">
        <v>12129510430</v>
      </c>
      <c r="V1846" t="s">
        <v>3964</v>
      </c>
      <c r="W1846" t="s">
        <v>12347</v>
      </c>
      <c r="X1846" t="s">
        <v>12347</v>
      </c>
      <c r="Y1846" t="s">
        <v>3962</v>
      </c>
      <c r="AA1846" t="s">
        <v>3963</v>
      </c>
      <c r="AB1846" t="s">
        <v>129</v>
      </c>
      <c r="AC1846" s="3" t="str">
        <f>"10016"</f>
        <v>10016</v>
      </c>
      <c r="AD1846" t="s">
        <v>128</v>
      </c>
      <c r="AF1846" s="4">
        <v>12129510430</v>
      </c>
      <c r="AH1846" t="str">
        <f>"62134"</f>
        <v>62134</v>
      </c>
      <c r="AI1846" t="s">
        <v>130</v>
      </c>
      <c r="AJ1846" t="s">
        <v>3966</v>
      </c>
      <c r="AK1846" t="s">
        <v>3967</v>
      </c>
      <c r="AL1846" t="s">
        <v>3968</v>
      </c>
      <c r="AM1846" t="s">
        <v>3969</v>
      </c>
      <c r="AN1846" t="s">
        <v>3970</v>
      </c>
      <c r="AO1846" t="s">
        <v>494</v>
      </c>
      <c r="AP1846" t="s">
        <v>129</v>
      </c>
      <c r="AQ1846" s="5">
        <v>10038</v>
      </c>
      <c r="AR1846" t="s">
        <v>128</v>
      </c>
      <c r="AT1846" s="4">
        <v>12122678297</v>
      </c>
      <c r="AV1846" t="s">
        <v>3971</v>
      </c>
      <c r="AW1846" t="s">
        <v>3972</v>
      </c>
      <c r="AX1846" t="s">
        <v>131</v>
      </c>
      <c r="AY1846" t="s">
        <v>131</v>
      </c>
      <c r="AZ1846" t="s">
        <v>131</v>
      </c>
      <c r="BA1846" t="s">
        <v>131</v>
      </c>
      <c r="BB1846" t="s">
        <v>131</v>
      </c>
      <c r="BC1846" t="s">
        <v>131</v>
      </c>
      <c r="BD1846" t="s">
        <v>131</v>
      </c>
      <c r="BE1846" t="s">
        <v>132</v>
      </c>
      <c r="BH1846" t="s">
        <v>1450</v>
      </c>
      <c r="BI1846" t="s">
        <v>131</v>
      </c>
      <c r="BL1846" t="s">
        <v>307</v>
      </c>
      <c r="BN1846" t="s">
        <v>1451</v>
      </c>
      <c r="BO1846" t="s">
        <v>131</v>
      </c>
      <c r="BP1846" t="s">
        <v>134</v>
      </c>
      <c r="BQ1846" t="s">
        <v>131</v>
      </c>
      <c r="BS1846" t="str">
        <f t="shared" si="107"/>
        <v>N/A</v>
      </c>
      <c r="BT1846" t="s">
        <v>131</v>
      </c>
      <c r="BV1846" t="str">
        <f>""</f>
        <v/>
      </c>
      <c r="BW1846" t="s">
        <v>135</v>
      </c>
      <c r="BX1846" t="str">
        <f>""</f>
        <v/>
      </c>
      <c r="BY1846" t="str">
        <f>""</f>
        <v/>
      </c>
      <c r="BZ1846" t="str">
        <f>""</f>
        <v/>
      </c>
      <c r="CA1846" t="str">
        <f>"Must be NCLEX passer OR possess a New York State license to practice nursing OR have visa screen certificate "</f>
        <v xml:space="preserve">Must be NCLEX passer OR possess a New York State license to practice nursing OR have visa screen certificate </v>
      </c>
      <c r="CB1846" t="s">
        <v>131</v>
      </c>
      <c r="CF1846" t="s">
        <v>131</v>
      </c>
      <c r="CH1846" t="str">
        <f>""</f>
        <v/>
      </c>
      <c r="CI1846" t="s">
        <v>131</v>
      </c>
      <c r="CK1846" t="s">
        <v>131</v>
      </c>
      <c r="CL1846" t="str">
        <f>""</f>
        <v/>
      </c>
      <c r="CM1846" t="str">
        <f>""</f>
        <v/>
      </c>
      <c r="CN1846" t="str">
        <f>""</f>
        <v/>
      </c>
      <c r="CO1846" t="str">
        <f>""</f>
        <v/>
      </c>
      <c r="CP1846" t="str">
        <f>"29-1141.00"</f>
        <v>29-1141.00</v>
      </c>
      <c r="CQ1846" t="s">
        <v>232</v>
      </c>
      <c r="CR1846" t="s">
        <v>3973</v>
      </c>
      <c r="CS1846" t="s">
        <v>131</v>
      </c>
      <c r="CU1846" t="s">
        <v>14814</v>
      </c>
      <c r="CV1846" t="s">
        <v>12392</v>
      </c>
      <c r="CW1846" t="s">
        <v>3974</v>
      </c>
      <c r="CX1846" t="s">
        <v>312</v>
      </c>
      <c r="CZ1846" s="3" t="str">
        <f>"19139"</f>
        <v>19139</v>
      </c>
      <c r="DA1846" t="s">
        <v>131</v>
      </c>
      <c r="DB1846" t="str">
        <f>""</f>
        <v/>
      </c>
      <c r="DF1846" t="str">
        <f>""</f>
        <v/>
      </c>
    </row>
    <row r="1847" spans="1:110" ht="15" customHeight="1" x14ac:dyDescent="0.35">
      <c r="A1847" t="s">
        <v>14915</v>
      </c>
      <c r="B1847" t="s">
        <v>138</v>
      </c>
      <c r="C1847" s="1">
        <v>44351</v>
      </c>
      <c r="G1847" s="1">
        <v>44351</v>
      </c>
      <c r="H1847" t="s">
        <v>125</v>
      </c>
      <c r="I1847" t="s">
        <v>14916</v>
      </c>
      <c r="J1847" t="s">
        <v>3961</v>
      </c>
      <c r="L1847" t="s">
        <v>774</v>
      </c>
      <c r="M1847" t="s">
        <v>3962</v>
      </c>
      <c r="O1847" t="s">
        <v>3963</v>
      </c>
      <c r="P1847" t="s">
        <v>127</v>
      </c>
      <c r="Q1847" s="3">
        <v>10016</v>
      </c>
      <c r="R1847" t="s">
        <v>128</v>
      </c>
      <c r="T1847" s="4">
        <v>12129510430</v>
      </c>
      <c r="V1847" t="s">
        <v>3964</v>
      </c>
      <c r="W1847" t="s">
        <v>3965</v>
      </c>
      <c r="X1847" t="s">
        <v>12347</v>
      </c>
      <c r="Y1847" t="s">
        <v>3962</v>
      </c>
      <c r="AA1847" t="s">
        <v>3963</v>
      </c>
      <c r="AB1847" t="s">
        <v>129</v>
      </c>
      <c r="AC1847" s="3" t="str">
        <f>"10016"</f>
        <v>10016</v>
      </c>
      <c r="AD1847" t="s">
        <v>128</v>
      </c>
      <c r="AF1847" s="4">
        <v>12129510430</v>
      </c>
      <c r="AH1847" t="str">
        <f>"62134"</f>
        <v>62134</v>
      </c>
      <c r="AI1847" t="s">
        <v>130</v>
      </c>
      <c r="AJ1847" t="s">
        <v>3966</v>
      </c>
      <c r="AK1847" t="s">
        <v>3967</v>
      </c>
      <c r="AL1847" t="s">
        <v>3968</v>
      </c>
      <c r="AM1847" t="s">
        <v>3969</v>
      </c>
      <c r="AN1847" t="s">
        <v>3970</v>
      </c>
      <c r="AO1847" t="s">
        <v>494</v>
      </c>
      <c r="AP1847" t="s">
        <v>129</v>
      </c>
      <c r="AQ1847" s="5">
        <v>10038</v>
      </c>
      <c r="AR1847" t="s">
        <v>128</v>
      </c>
      <c r="AT1847" s="4">
        <v>12122678297</v>
      </c>
      <c r="AV1847" t="s">
        <v>3971</v>
      </c>
      <c r="AW1847" t="s">
        <v>3972</v>
      </c>
      <c r="AX1847" t="s">
        <v>131</v>
      </c>
      <c r="AY1847" t="s">
        <v>131</v>
      </c>
      <c r="AZ1847" t="s">
        <v>131</v>
      </c>
      <c r="BA1847" t="s">
        <v>131</v>
      </c>
      <c r="BB1847" t="s">
        <v>131</v>
      </c>
      <c r="BC1847" t="s">
        <v>131</v>
      </c>
      <c r="BD1847" t="s">
        <v>131</v>
      </c>
      <c r="BE1847" t="s">
        <v>132</v>
      </c>
      <c r="BH1847" t="s">
        <v>1450</v>
      </c>
      <c r="BI1847" t="s">
        <v>131</v>
      </c>
      <c r="BL1847" t="s">
        <v>307</v>
      </c>
      <c r="BN1847" t="s">
        <v>1451</v>
      </c>
      <c r="BO1847" t="s">
        <v>131</v>
      </c>
      <c r="BP1847" t="s">
        <v>134</v>
      </c>
      <c r="BQ1847" t="s">
        <v>131</v>
      </c>
      <c r="BS1847" t="str">
        <f t="shared" si="107"/>
        <v>N/A</v>
      </c>
      <c r="BT1847" t="s">
        <v>131</v>
      </c>
      <c r="BV1847" t="str">
        <f>""</f>
        <v/>
      </c>
      <c r="BW1847" t="s">
        <v>135</v>
      </c>
      <c r="BX1847" t="str">
        <f>""</f>
        <v/>
      </c>
      <c r="BY1847" t="str">
        <f>""</f>
        <v/>
      </c>
      <c r="BZ1847" t="str">
        <f>""</f>
        <v/>
      </c>
      <c r="CA1847" t="str">
        <f>"Must be NCLEX passer OR possess a New York State license to practice nursing OR have visa screen certificate "</f>
        <v xml:space="preserve">Must be NCLEX passer OR possess a New York State license to practice nursing OR have visa screen certificate </v>
      </c>
      <c r="CB1847" t="s">
        <v>131</v>
      </c>
      <c r="CF1847" t="s">
        <v>131</v>
      </c>
      <c r="CH1847" t="str">
        <f>""</f>
        <v/>
      </c>
      <c r="CI1847" t="s">
        <v>131</v>
      </c>
      <c r="CK1847" t="s">
        <v>131</v>
      </c>
      <c r="CL1847" t="str">
        <f>""</f>
        <v/>
      </c>
      <c r="CM1847" t="str">
        <f>""</f>
        <v/>
      </c>
      <c r="CN1847" t="str">
        <f>""</f>
        <v/>
      </c>
      <c r="CO1847" t="str">
        <f>""</f>
        <v/>
      </c>
      <c r="CP1847" t="str">
        <f>"29-1141.00"</f>
        <v>29-1141.00</v>
      </c>
      <c r="CQ1847" t="s">
        <v>232</v>
      </c>
      <c r="CR1847" t="s">
        <v>3973</v>
      </c>
      <c r="CS1847" t="s">
        <v>131</v>
      </c>
      <c r="CU1847" t="s">
        <v>14917</v>
      </c>
      <c r="CV1847" t="s">
        <v>12392</v>
      </c>
      <c r="CW1847" t="s">
        <v>3974</v>
      </c>
      <c r="CX1847" t="s">
        <v>312</v>
      </c>
      <c r="CZ1847" s="3" t="str">
        <f>"19144"</f>
        <v>19144</v>
      </c>
      <c r="DA1847" t="s">
        <v>131</v>
      </c>
      <c r="DB1847" t="str">
        <f>""</f>
        <v/>
      </c>
      <c r="DF1847" t="str">
        <f>""</f>
        <v/>
      </c>
    </row>
    <row r="1848" spans="1:110" ht="15" customHeight="1" x14ac:dyDescent="0.35">
      <c r="A1848" t="s">
        <v>17219</v>
      </c>
      <c r="B1848" t="s">
        <v>138</v>
      </c>
      <c r="C1848" s="1">
        <v>44351</v>
      </c>
      <c r="G1848" s="1">
        <v>44351</v>
      </c>
      <c r="H1848" t="s">
        <v>125</v>
      </c>
      <c r="I1848" t="s">
        <v>3960</v>
      </c>
      <c r="J1848" t="s">
        <v>3961</v>
      </c>
      <c r="L1848" t="s">
        <v>774</v>
      </c>
      <c r="M1848" t="s">
        <v>3962</v>
      </c>
      <c r="O1848" t="s">
        <v>3963</v>
      </c>
      <c r="P1848" t="s">
        <v>127</v>
      </c>
      <c r="Q1848" s="3">
        <v>10016</v>
      </c>
      <c r="R1848" t="s">
        <v>128</v>
      </c>
      <c r="T1848" s="4">
        <v>12129510430</v>
      </c>
      <c r="V1848" t="s">
        <v>3964</v>
      </c>
      <c r="W1848" t="s">
        <v>3965</v>
      </c>
      <c r="Y1848" t="s">
        <v>3962</v>
      </c>
      <c r="AA1848" t="s">
        <v>3963</v>
      </c>
      <c r="AB1848" t="s">
        <v>129</v>
      </c>
      <c r="AC1848" s="3" t="str">
        <f>"10016"</f>
        <v>10016</v>
      </c>
      <c r="AD1848" t="s">
        <v>128</v>
      </c>
      <c r="AF1848" s="4">
        <v>12129510430</v>
      </c>
      <c r="AH1848" t="str">
        <f>"62134"</f>
        <v>62134</v>
      </c>
      <c r="AI1848" t="s">
        <v>130</v>
      </c>
      <c r="AJ1848" t="s">
        <v>3966</v>
      </c>
      <c r="AK1848" t="s">
        <v>3967</v>
      </c>
      <c r="AL1848" t="s">
        <v>3968</v>
      </c>
      <c r="AM1848" t="s">
        <v>3969</v>
      </c>
      <c r="AN1848" t="s">
        <v>3970</v>
      </c>
      <c r="AO1848" t="s">
        <v>494</v>
      </c>
      <c r="AP1848" t="s">
        <v>129</v>
      </c>
      <c r="AQ1848" s="5">
        <v>10038</v>
      </c>
      <c r="AR1848" t="s">
        <v>128</v>
      </c>
      <c r="AT1848" s="4">
        <v>12122678297</v>
      </c>
      <c r="AV1848" t="s">
        <v>3971</v>
      </c>
      <c r="AW1848" t="s">
        <v>3972</v>
      </c>
      <c r="AX1848" t="s">
        <v>131</v>
      </c>
      <c r="AY1848" t="s">
        <v>131</v>
      </c>
      <c r="AZ1848" t="s">
        <v>131</v>
      </c>
      <c r="BA1848" t="s">
        <v>131</v>
      </c>
      <c r="BB1848" t="s">
        <v>131</v>
      </c>
      <c r="BC1848" t="s">
        <v>131</v>
      </c>
      <c r="BD1848" t="s">
        <v>131</v>
      </c>
      <c r="BE1848" t="s">
        <v>132</v>
      </c>
      <c r="BH1848" t="s">
        <v>1450</v>
      </c>
      <c r="BI1848" t="s">
        <v>131</v>
      </c>
      <c r="BL1848" t="s">
        <v>307</v>
      </c>
      <c r="BN1848" t="s">
        <v>1451</v>
      </c>
      <c r="BO1848" t="s">
        <v>131</v>
      </c>
      <c r="BP1848" t="s">
        <v>134</v>
      </c>
      <c r="BQ1848" t="s">
        <v>131</v>
      </c>
      <c r="BS1848" t="str">
        <f t="shared" si="107"/>
        <v>N/A</v>
      </c>
      <c r="BT1848" t="s">
        <v>131</v>
      </c>
      <c r="BV1848" t="str">
        <f>""</f>
        <v/>
      </c>
      <c r="BW1848" t="s">
        <v>135</v>
      </c>
      <c r="BX1848" t="str">
        <f>""</f>
        <v/>
      </c>
      <c r="BY1848" t="str">
        <f>""</f>
        <v/>
      </c>
      <c r="BZ1848" t="str">
        <f>""</f>
        <v/>
      </c>
      <c r="CA1848" t="str">
        <f>"Must be NCLEX passer OR possess a New York State license to practice nursing OR have visa screen certificate"</f>
        <v>Must be NCLEX passer OR possess a New York State license to practice nursing OR have visa screen certificate</v>
      </c>
      <c r="CB1848" t="s">
        <v>131</v>
      </c>
      <c r="CF1848" t="s">
        <v>131</v>
      </c>
      <c r="CH1848" t="str">
        <f>""</f>
        <v/>
      </c>
      <c r="CI1848" t="s">
        <v>131</v>
      </c>
      <c r="CK1848" t="s">
        <v>131</v>
      </c>
      <c r="CL1848" t="str">
        <f>""</f>
        <v/>
      </c>
      <c r="CM1848" t="str">
        <f>""</f>
        <v/>
      </c>
      <c r="CN1848" t="str">
        <f>""</f>
        <v/>
      </c>
      <c r="CO1848" t="str">
        <f>""</f>
        <v/>
      </c>
      <c r="CP1848" t="str">
        <f>"29-1141.00"</f>
        <v>29-1141.00</v>
      </c>
      <c r="CQ1848" t="s">
        <v>232</v>
      </c>
      <c r="CR1848" t="s">
        <v>3973</v>
      </c>
      <c r="CS1848" t="s">
        <v>131</v>
      </c>
      <c r="CU1848" t="s">
        <v>14814</v>
      </c>
      <c r="CV1848" t="s">
        <v>14815</v>
      </c>
      <c r="CW1848" t="s">
        <v>14816</v>
      </c>
      <c r="CX1848" t="s">
        <v>312</v>
      </c>
      <c r="CZ1848" s="3" t="str">
        <f>"17842"</f>
        <v>17842</v>
      </c>
      <c r="DA1848" t="s">
        <v>131</v>
      </c>
      <c r="DB1848" t="str">
        <f>""</f>
        <v/>
      </c>
      <c r="DF1848" t="str">
        <f>""</f>
        <v/>
      </c>
    </row>
    <row r="1849" spans="1:110" ht="15" customHeight="1" x14ac:dyDescent="0.35">
      <c r="A1849" t="s">
        <v>16006</v>
      </c>
      <c r="B1849" t="s">
        <v>138</v>
      </c>
      <c r="C1849" s="1">
        <v>44351</v>
      </c>
      <c r="G1849" s="1">
        <v>44351</v>
      </c>
      <c r="H1849" t="s">
        <v>125</v>
      </c>
      <c r="I1849" t="s">
        <v>2294</v>
      </c>
      <c r="J1849" t="s">
        <v>15095</v>
      </c>
      <c r="L1849" t="s">
        <v>15096</v>
      </c>
      <c r="M1849" t="s">
        <v>15097</v>
      </c>
      <c r="N1849" t="s">
        <v>2142</v>
      </c>
      <c r="O1849" t="s">
        <v>1134</v>
      </c>
      <c r="P1849" t="s">
        <v>178</v>
      </c>
      <c r="Q1849" s="3">
        <v>94404</v>
      </c>
      <c r="R1849" t="s">
        <v>128</v>
      </c>
      <c r="T1849" s="4">
        <v>16504544097</v>
      </c>
      <c r="V1849" t="s">
        <v>16007</v>
      </c>
      <c r="W1849" t="s">
        <v>15098</v>
      </c>
      <c r="X1849" t="s">
        <v>15099</v>
      </c>
      <c r="Y1849" t="s">
        <v>15100</v>
      </c>
      <c r="Z1849" t="s">
        <v>2142</v>
      </c>
      <c r="AA1849" t="s">
        <v>1134</v>
      </c>
      <c r="AB1849" t="s">
        <v>172</v>
      </c>
      <c r="AC1849" s="3" t="str">
        <f>"94404"</f>
        <v>94404</v>
      </c>
      <c r="AD1849" t="s">
        <v>128</v>
      </c>
      <c r="AF1849" s="4">
        <v>14086749930</v>
      </c>
      <c r="AH1849" t="str">
        <f>"511210"</f>
        <v>511210</v>
      </c>
      <c r="AI1849" t="s">
        <v>130</v>
      </c>
      <c r="AJ1849" t="s">
        <v>7098</v>
      </c>
      <c r="AK1849" t="s">
        <v>9098</v>
      </c>
      <c r="AL1849" t="s">
        <v>2210</v>
      </c>
      <c r="AM1849" t="s">
        <v>740</v>
      </c>
      <c r="AN1849" t="s">
        <v>432</v>
      </c>
      <c r="AO1849" t="s">
        <v>664</v>
      </c>
      <c r="AP1849" t="s">
        <v>172</v>
      </c>
      <c r="AQ1849" s="5">
        <v>95134</v>
      </c>
      <c r="AR1849" t="s">
        <v>128</v>
      </c>
      <c r="AT1849" s="4">
        <v>14084329200</v>
      </c>
      <c r="AV1849" t="s">
        <v>2127</v>
      </c>
      <c r="AW1849" t="s">
        <v>741</v>
      </c>
      <c r="AX1849" t="s">
        <v>131</v>
      </c>
      <c r="AY1849" t="s">
        <v>131</v>
      </c>
      <c r="AZ1849" t="s">
        <v>131</v>
      </c>
      <c r="BA1849" t="s">
        <v>131</v>
      </c>
      <c r="BB1849" t="s">
        <v>131</v>
      </c>
      <c r="BC1849" t="s">
        <v>131</v>
      </c>
      <c r="BD1849" t="s">
        <v>131</v>
      </c>
      <c r="BE1849" t="s">
        <v>132</v>
      </c>
      <c r="BH1849" t="s">
        <v>2512</v>
      </c>
      <c r="BI1849" t="s">
        <v>131</v>
      </c>
      <c r="BL1849" t="s">
        <v>188</v>
      </c>
      <c r="BN1849" t="s">
        <v>16008</v>
      </c>
      <c r="BO1849" t="s">
        <v>131</v>
      </c>
      <c r="BP1849" t="s">
        <v>134</v>
      </c>
      <c r="BQ1849" t="s">
        <v>131</v>
      </c>
      <c r="BS1849" t="str">
        <f t="shared" si="107"/>
        <v>N/A</v>
      </c>
      <c r="BT1849" t="s">
        <v>131</v>
      </c>
      <c r="BV1849" t="str">
        <f>""</f>
        <v/>
      </c>
      <c r="BW1849" t="s">
        <v>135</v>
      </c>
      <c r="BX1849" t="str">
        <f>""</f>
        <v/>
      </c>
      <c r="BY1849" t="str">
        <f>""</f>
        <v/>
      </c>
      <c r="BZ1849" t="str">
        <f>""</f>
        <v/>
      </c>
      <c r="CA1849" t="s">
        <v>16009</v>
      </c>
      <c r="CB1849" t="s">
        <v>131</v>
      </c>
      <c r="CF1849" t="s">
        <v>131</v>
      </c>
      <c r="CH1849" t="str">
        <f>""</f>
        <v/>
      </c>
      <c r="CI1849" t="s">
        <v>131</v>
      </c>
      <c r="CK1849" t="s">
        <v>131</v>
      </c>
      <c r="CL1849" t="str">
        <f>""</f>
        <v/>
      </c>
      <c r="CM1849" t="str">
        <f>""</f>
        <v/>
      </c>
      <c r="CN1849" t="str">
        <f>""</f>
        <v/>
      </c>
      <c r="CO1849" t="str">
        <f>""</f>
        <v/>
      </c>
      <c r="CP1849" t="str">
        <f>"15-2031.00"</f>
        <v>15-2031.00</v>
      </c>
      <c r="CQ1849" t="s">
        <v>887</v>
      </c>
      <c r="CS1849" t="s">
        <v>131</v>
      </c>
      <c r="CU1849" t="s">
        <v>15097</v>
      </c>
      <c r="CV1849" t="s">
        <v>788</v>
      </c>
      <c r="CW1849" t="s">
        <v>1134</v>
      </c>
      <c r="CX1849" t="s">
        <v>172</v>
      </c>
      <c r="CZ1849" s="3" t="str">
        <f>"94404"</f>
        <v>94404</v>
      </c>
      <c r="DA1849" t="s">
        <v>131</v>
      </c>
      <c r="DB1849" t="str">
        <f>""</f>
        <v/>
      </c>
      <c r="DF1849" t="str">
        <f>""</f>
        <v/>
      </c>
    </row>
    <row r="1850" spans="1:110" ht="15" customHeight="1" x14ac:dyDescent="0.35">
      <c r="A1850" t="s">
        <v>14080</v>
      </c>
      <c r="B1850" t="s">
        <v>138</v>
      </c>
      <c r="C1850" s="1">
        <v>44351</v>
      </c>
      <c r="G1850" s="1">
        <v>44377</v>
      </c>
      <c r="H1850" t="s">
        <v>125</v>
      </c>
      <c r="I1850" t="s">
        <v>139</v>
      </c>
      <c r="J1850" t="s">
        <v>140</v>
      </c>
      <c r="L1850" t="s">
        <v>2788</v>
      </c>
      <c r="M1850" t="s">
        <v>142</v>
      </c>
      <c r="O1850" t="s">
        <v>143</v>
      </c>
      <c r="P1850" t="s">
        <v>144</v>
      </c>
      <c r="Q1850" s="3">
        <v>98052</v>
      </c>
      <c r="R1850" t="s">
        <v>128</v>
      </c>
      <c r="T1850" s="4">
        <v>14258828080</v>
      </c>
      <c r="V1850" t="s">
        <v>145</v>
      </c>
      <c r="W1850" t="s">
        <v>146</v>
      </c>
      <c r="Y1850" t="s">
        <v>147</v>
      </c>
      <c r="AA1850" t="s">
        <v>143</v>
      </c>
      <c r="AB1850" t="s">
        <v>149</v>
      </c>
      <c r="AC1850" s="3" t="str">
        <f>"98052"</f>
        <v>98052</v>
      </c>
      <c r="AD1850" t="s">
        <v>128</v>
      </c>
      <c r="AF1850" s="4">
        <v>14257067916</v>
      </c>
      <c r="AH1850" t="str">
        <f>"51121"</f>
        <v>51121</v>
      </c>
      <c r="AI1850" t="s">
        <v>130</v>
      </c>
      <c r="AJ1850" t="s">
        <v>7022</v>
      </c>
      <c r="AK1850" t="s">
        <v>1060</v>
      </c>
      <c r="AL1850" t="s">
        <v>474</v>
      </c>
      <c r="AM1850" t="s">
        <v>2789</v>
      </c>
      <c r="AN1850" t="s">
        <v>2790</v>
      </c>
      <c r="AO1850" t="s">
        <v>476</v>
      </c>
      <c r="AP1850" t="s">
        <v>172</v>
      </c>
      <c r="AQ1850" s="5">
        <v>90013</v>
      </c>
      <c r="AR1850" t="s">
        <v>128</v>
      </c>
      <c r="AT1850" s="4">
        <v>12136247500</v>
      </c>
      <c r="AV1850" t="s">
        <v>2791</v>
      </c>
      <c r="AW1850" t="s">
        <v>2774</v>
      </c>
      <c r="AX1850" t="s">
        <v>131</v>
      </c>
      <c r="AY1850" t="s">
        <v>131</v>
      </c>
      <c r="AZ1850" t="s">
        <v>131</v>
      </c>
      <c r="BA1850" t="s">
        <v>131</v>
      </c>
      <c r="BB1850" t="s">
        <v>131</v>
      </c>
      <c r="BC1850" t="s">
        <v>131</v>
      </c>
      <c r="BD1850" t="s">
        <v>131</v>
      </c>
      <c r="BE1850" t="s">
        <v>132</v>
      </c>
      <c r="BH1850" t="s">
        <v>7488</v>
      </c>
      <c r="BI1850" t="s">
        <v>131</v>
      </c>
      <c r="BL1850" t="s">
        <v>133</v>
      </c>
      <c r="BN1850" t="s">
        <v>3132</v>
      </c>
      <c r="BO1850" t="s">
        <v>131</v>
      </c>
      <c r="BP1850" t="s">
        <v>134</v>
      </c>
      <c r="BQ1850" t="s">
        <v>131</v>
      </c>
      <c r="BS1850" t="str">
        <f t="shared" si="107"/>
        <v>N/A</v>
      </c>
      <c r="BT1850" t="s">
        <v>135</v>
      </c>
      <c r="BU1850">
        <v>24</v>
      </c>
      <c r="BV1850" t="str">
        <f>"See E.A.5."</f>
        <v>See E.A.5.</v>
      </c>
      <c r="BW1850" t="s">
        <v>135</v>
      </c>
      <c r="BX1850" t="str">
        <f>""</f>
        <v/>
      </c>
      <c r="BY1850" t="str">
        <f>""</f>
        <v/>
      </c>
      <c r="BZ1850" t="str">
        <f>""</f>
        <v/>
      </c>
      <c r="CA1850" t="s">
        <v>14081</v>
      </c>
      <c r="CB1850" t="s">
        <v>135</v>
      </c>
      <c r="CC1850" t="s">
        <v>167</v>
      </c>
      <c r="CF1850" t="s">
        <v>131</v>
      </c>
      <c r="CH1850" t="str">
        <f>"N/A"</f>
        <v>N/A</v>
      </c>
      <c r="CI1850" t="s">
        <v>135</v>
      </c>
      <c r="CJ1850">
        <v>48</v>
      </c>
      <c r="CK1850" t="s">
        <v>131</v>
      </c>
      <c r="CL1850" t="str">
        <f>""</f>
        <v/>
      </c>
      <c r="CM1850" t="str">
        <f>""</f>
        <v/>
      </c>
      <c r="CN1850" t="str">
        <f>""</f>
        <v/>
      </c>
      <c r="CO1850" t="str">
        <f>""</f>
        <v/>
      </c>
      <c r="CP1850" t="str">
        <f>"15-1199.02"</f>
        <v>15-1199.02</v>
      </c>
      <c r="CQ1850" t="s">
        <v>2269</v>
      </c>
      <c r="CR1850" t="s">
        <v>14082</v>
      </c>
      <c r="CS1850" t="s">
        <v>131</v>
      </c>
      <c r="CU1850" t="s">
        <v>7489</v>
      </c>
      <c r="CW1850" t="s">
        <v>1069</v>
      </c>
      <c r="CX1850" t="s">
        <v>400</v>
      </c>
      <c r="CZ1850" s="3" t="str">
        <f>"75039"</f>
        <v>75039</v>
      </c>
      <c r="DA1850" t="s">
        <v>131</v>
      </c>
      <c r="DB1850" t="str">
        <f>""</f>
        <v/>
      </c>
      <c r="DF1850" t="str">
        <f>""</f>
        <v/>
      </c>
    </row>
    <row r="1851" spans="1:110" ht="15" customHeight="1" x14ac:dyDescent="0.35">
      <c r="A1851" t="s">
        <v>17521</v>
      </c>
      <c r="B1851" t="s">
        <v>138</v>
      </c>
      <c r="C1851" s="1">
        <v>44351</v>
      </c>
      <c r="G1851" s="1">
        <v>44355</v>
      </c>
      <c r="H1851" t="s">
        <v>125</v>
      </c>
      <c r="I1851" t="s">
        <v>5107</v>
      </c>
      <c r="J1851" t="s">
        <v>4126</v>
      </c>
      <c r="L1851" t="s">
        <v>6238</v>
      </c>
      <c r="M1851" t="s">
        <v>13449</v>
      </c>
      <c r="O1851" t="s">
        <v>4762</v>
      </c>
      <c r="P1851" t="s">
        <v>178</v>
      </c>
      <c r="Q1851" s="3">
        <v>90232</v>
      </c>
      <c r="R1851" t="s">
        <v>128</v>
      </c>
      <c r="T1851" s="4">
        <v>13234006618</v>
      </c>
      <c r="V1851" t="s">
        <v>6240</v>
      </c>
      <c r="W1851" t="s">
        <v>6241</v>
      </c>
      <c r="Y1851" t="s">
        <v>6239</v>
      </c>
      <c r="AA1851" t="s">
        <v>4762</v>
      </c>
      <c r="AB1851" t="s">
        <v>172</v>
      </c>
      <c r="AC1851" s="3" t="str">
        <f>"90232"</f>
        <v>90232</v>
      </c>
      <c r="AD1851" t="s">
        <v>128</v>
      </c>
      <c r="AF1851" s="4">
        <v>13234006618</v>
      </c>
      <c r="AH1851" t="str">
        <f>"54151"</f>
        <v>54151</v>
      </c>
      <c r="AI1851" t="s">
        <v>130</v>
      </c>
      <c r="AJ1851" t="s">
        <v>3795</v>
      </c>
      <c r="AK1851" t="s">
        <v>3796</v>
      </c>
      <c r="AM1851" t="s">
        <v>564</v>
      </c>
      <c r="AN1851" t="s">
        <v>565</v>
      </c>
      <c r="AO1851" t="s">
        <v>220</v>
      </c>
      <c r="AP1851" t="s">
        <v>172</v>
      </c>
      <c r="AQ1851" s="5">
        <v>94104</v>
      </c>
      <c r="AR1851" t="s">
        <v>128</v>
      </c>
      <c r="AT1851" s="4">
        <v>14157717500</v>
      </c>
      <c r="AV1851" t="s">
        <v>13447</v>
      </c>
      <c r="AW1851" t="s">
        <v>251</v>
      </c>
      <c r="AX1851" t="s">
        <v>131</v>
      </c>
      <c r="AY1851" t="s">
        <v>131</v>
      </c>
      <c r="AZ1851" t="s">
        <v>131</v>
      </c>
      <c r="BA1851" t="s">
        <v>131</v>
      </c>
      <c r="BB1851" t="s">
        <v>131</v>
      </c>
      <c r="BC1851" t="s">
        <v>131</v>
      </c>
      <c r="BD1851" t="s">
        <v>131</v>
      </c>
      <c r="BE1851" t="s">
        <v>132</v>
      </c>
      <c r="BH1851" t="s">
        <v>13611</v>
      </c>
      <c r="BI1851" t="s">
        <v>135</v>
      </c>
      <c r="BJ1851" t="s">
        <v>5926</v>
      </c>
      <c r="BK1851" t="s">
        <v>5595</v>
      </c>
      <c r="BL1851" t="s">
        <v>133</v>
      </c>
      <c r="BN1851" t="s">
        <v>17522</v>
      </c>
      <c r="BO1851" t="s">
        <v>131</v>
      </c>
      <c r="BP1851" t="s">
        <v>134</v>
      </c>
      <c r="BQ1851" t="s">
        <v>131</v>
      </c>
      <c r="BS1851" t="str">
        <f t="shared" si="107"/>
        <v>N/A</v>
      </c>
      <c r="BT1851" t="s">
        <v>135</v>
      </c>
      <c r="BU1851">
        <v>36</v>
      </c>
      <c r="BV1851" t="str">
        <f>"in the offered job, in software project management, or in a related occupation."</f>
        <v>in the offered job, in software project management, or in a related occupation.</v>
      </c>
      <c r="BW1851" t="s">
        <v>135</v>
      </c>
      <c r="BX1851" t="str">
        <f>""</f>
        <v/>
      </c>
      <c r="BY1851" t="str">
        <f>""</f>
        <v/>
      </c>
      <c r="BZ1851" t="str">
        <f>""</f>
        <v/>
      </c>
      <c r="CA1851" s="2" t="s">
        <v>13612</v>
      </c>
      <c r="CB1851" t="s">
        <v>135</v>
      </c>
      <c r="CC1851" t="s">
        <v>167</v>
      </c>
      <c r="CF1851" t="s">
        <v>131</v>
      </c>
      <c r="CH1851" t="str">
        <f>"N/A"</f>
        <v>N/A</v>
      </c>
      <c r="CI1851" t="s">
        <v>135</v>
      </c>
      <c r="CJ1851">
        <v>60</v>
      </c>
      <c r="CK1851" t="s">
        <v>135</v>
      </c>
      <c r="CL1851" t="str">
        <f>""</f>
        <v/>
      </c>
      <c r="CM1851" t="str">
        <f>""</f>
        <v/>
      </c>
      <c r="CN1851" t="str">
        <f>""</f>
        <v/>
      </c>
      <c r="CO1851" s="2" t="s">
        <v>13612</v>
      </c>
      <c r="CP1851" t="str">
        <f>"15-1199.10"</f>
        <v>15-1199.10</v>
      </c>
      <c r="CQ1851" t="s">
        <v>5595</v>
      </c>
      <c r="CR1851" t="s">
        <v>17523</v>
      </c>
      <c r="CS1851" t="s">
        <v>135</v>
      </c>
      <c r="CT1851" t="s">
        <v>17524</v>
      </c>
      <c r="CU1851" t="s">
        <v>13449</v>
      </c>
      <c r="CV1851" t="s">
        <v>225</v>
      </c>
      <c r="CW1851" t="s">
        <v>4762</v>
      </c>
      <c r="CX1851" t="s">
        <v>172</v>
      </c>
      <c r="CZ1851" s="3" t="str">
        <f>"90232"</f>
        <v>90232</v>
      </c>
      <c r="DA1851" t="s">
        <v>131</v>
      </c>
      <c r="DB1851" t="str">
        <f>""</f>
        <v/>
      </c>
      <c r="DF1851" t="str">
        <f>""</f>
        <v/>
      </c>
    </row>
    <row r="1852" spans="1:110" ht="15" customHeight="1" x14ac:dyDescent="0.35">
      <c r="A1852" t="s">
        <v>20176</v>
      </c>
      <c r="B1852" t="s">
        <v>138</v>
      </c>
      <c r="C1852" s="1">
        <v>44351</v>
      </c>
      <c r="G1852" s="1">
        <v>44351</v>
      </c>
      <c r="H1852" t="s">
        <v>125</v>
      </c>
      <c r="I1852" t="s">
        <v>3464</v>
      </c>
      <c r="J1852" t="s">
        <v>3465</v>
      </c>
      <c r="L1852" t="s">
        <v>12126</v>
      </c>
      <c r="M1852" t="s">
        <v>3466</v>
      </c>
      <c r="O1852" t="s">
        <v>661</v>
      </c>
      <c r="P1852" t="s">
        <v>178</v>
      </c>
      <c r="Q1852" s="3">
        <v>94404</v>
      </c>
      <c r="R1852" t="s">
        <v>128</v>
      </c>
      <c r="T1852" s="4">
        <v>16504328837</v>
      </c>
      <c r="V1852" t="s">
        <v>3467</v>
      </c>
      <c r="W1852" t="s">
        <v>5521</v>
      </c>
      <c r="Y1852" t="s">
        <v>3353</v>
      </c>
      <c r="AA1852" t="s">
        <v>661</v>
      </c>
      <c r="AB1852" t="s">
        <v>172</v>
      </c>
      <c r="AC1852" s="3" t="str">
        <f>"94404"</f>
        <v>94404</v>
      </c>
      <c r="AD1852" t="s">
        <v>128</v>
      </c>
      <c r="AF1852" s="4">
        <v>16504328837</v>
      </c>
      <c r="AH1852" t="str">
        <f>"52232"</f>
        <v>52232</v>
      </c>
      <c r="AI1852" t="s">
        <v>130</v>
      </c>
      <c r="AJ1852" t="s">
        <v>7332</v>
      </c>
      <c r="AK1852" t="s">
        <v>3468</v>
      </c>
      <c r="AL1852" t="s">
        <v>896</v>
      </c>
      <c r="AM1852" t="s">
        <v>3469</v>
      </c>
      <c r="AN1852" t="s">
        <v>619</v>
      </c>
      <c r="AO1852" t="s">
        <v>650</v>
      </c>
      <c r="AP1852" t="s">
        <v>172</v>
      </c>
      <c r="AQ1852" s="5">
        <v>95054</v>
      </c>
      <c r="AR1852" t="s">
        <v>128</v>
      </c>
      <c r="AT1852" s="4">
        <v>14692909903</v>
      </c>
      <c r="AV1852" t="s">
        <v>3470</v>
      </c>
      <c r="AW1852" t="s">
        <v>367</v>
      </c>
      <c r="AX1852" t="s">
        <v>131</v>
      </c>
      <c r="AY1852" t="s">
        <v>131</v>
      </c>
      <c r="AZ1852" t="s">
        <v>131</v>
      </c>
      <c r="BA1852" t="s">
        <v>131</v>
      </c>
      <c r="BB1852" t="s">
        <v>131</v>
      </c>
      <c r="BC1852" t="s">
        <v>131</v>
      </c>
      <c r="BD1852" t="s">
        <v>131</v>
      </c>
      <c r="BE1852" t="s">
        <v>132</v>
      </c>
      <c r="BH1852" t="s">
        <v>4685</v>
      </c>
      <c r="BI1852" t="s">
        <v>131</v>
      </c>
      <c r="BL1852" t="s">
        <v>188</v>
      </c>
      <c r="BN1852" t="s">
        <v>1317</v>
      </c>
      <c r="BO1852" t="s">
        <v>131</v>
      </c>
      <c r="BP1852" t="s">
        <v>134</v>
      </c>
      <c r="BQ1852" t="s">
        <v>131</v>
      </c>
      <c r="BS1852" t="str">
        <f t="shared" si="107"/>
        <v>N/A</v>
      </c>
      <c r="BT1852" t="s">
        <v>135</v>
      </c>
      <c r="BU1852">
        <v>60</v>
      </c>
      <c r="BV1852" t="str">
        <f>"See F.b.5.a"</f>
        <v>See F.b.5.a</v>
      </c>
      <c r="BW1852" t="s">
        <v>135</v>
      </c>
      <c r="BX1852" t="str">
        <f>""</f>
        <v/>
      </c>
      <c r="BY1852" t="str">
        <f>""</f>
        <v/>
      </c>
      <c r="BZ1852" t="str">
        <f>""</f>
        <v/>
      </c>
      <c r="CA1852" s="2" t="s">
        <v>17399</v>
      </c>
      <c r="CB1852" t="s">
        <v>131</v>
      </c>
      <c r="CF1852" t="s">
        <v>131</v>
      </c>
      <c r="CH1852" t="str">
        <f>""</f>
        <v/>
      </c>
      <c r="CI1852" t="s">
        <v>131</v>
      </c>
      <c r="CK1852" t="s">
        <v>131</v>
      </c>
      <c r="CL1852" t="str">
        <f>""</f>
        <v/>
      </c>
      <c r="CM1852" t="str">
        <f>""</f>
        <v/>
      </c>
      <c r="CN1852" t="str">
        <f>""</f>
        <v/>
      </c>
      <c r="CO1852" t="str">
        <f>""</f>
        <v/>
      </c>
      <c r="CP1852" t="str">
        <f>"11-9041.00"</f>
        <v>11-9041.00</v>
      </c>
      <c r="CQ1852" t="s">
        <v>1498</v>
      </c>
      <c r="CS1852" t="s">
        <v>131</v>
      </c>
      <c r="CU1852" t="s">
        <v>3879</v>
      </c>
      <c r="CV1852" t="s">
        <v>656</v>
      </c>
      <c r="CW1852" t="s">
        <v>1605</v>
      </c>
      <c r="CX1852" t="s">
        <v>149</v>
      </c>
      <c r="CZ1852" s="3" t="str">
        <f>"98004"</f>
        <v>98004</v>
      </c>
      <c r="DA1852" t="s">
        <v>131</v>
      </c>
      <c r="DB1852" t="str">
        <f>""</f>
        <v/>
      </c>
      <c r="DF1852" t="str">
        <f>""</f>
        <v/>
      </c>
    </row>
    <row r="1853" spans="1:110" ht="15" customHeight="1" x14ac:dyDescent="0.35">
      <c r="A1853" t="s">
        <v>17398</v>
      </c>
      <c r="B1853" t="s">
        <v>138</v>
      </c>
      <c r="C1853" s="1">
        <v>44351</v>
      </c>
      <c r="G1853" s="1">
        <v>44351</v>
      </c>
      <c r="H1853" t="s">
        <v>125</v>
      </c>
      <c r="I1853" t="s">
        <v>3464</v>
      </c>
      <c r="J1853" t="s">
        <v>3465</v>
      </c>
      <c r="L1853" t="s">
        <v>12126</v>
      </c>
      <c r="M1853" t="s">
        <v>3466</v>
      </c>
      <c r="O1853" t="s">
        <v>661</v>
      </c>
      <c r="P1853" t="s">
        <v>178</v>
      </c>
      <c r="Q1853" s="3">
        <v>94404</v>
      </c>
      <c r="R1853" t="s">
        <v>128</v>
      </c>
      <c r="T1853" s="4">
        <v>16504328837</v>
      </c>
      <c r="V1853" t="s">
        <v>3467</v>
      </c>
      <c r="W1853" t="s">
        <v>5521</v>
      </c>
      <c r="Y1853" t="s">
        <v>3353</v>
      </c>
      <c r="AA1853" t="s">
        <v>661</v>
      </c>
      <c r="AB1853" t="s">
        <v>172</v>
      </c>
      <c r="AC1853" s="3" t="str">
        <f>"94404"</f>
        <v>94404</v>
      </c>
      <c r="AD1853" t="s">
        <v>128</v>
      </c>
      <c r="AF1853" s="4">
        <v>16504328837</v>
      </c>
      <c r="AH1853" t="str">
        <f>"52232"</f>
        <v>52232</v>
      </c>
      <c r="AI1853" t="s">
        <v>130</v>
      </c>
      <c r="AJ1853" t="s">
        <v>7332</v>
      </c>
      <c r="AK1853" t="s">
        <v>3468</v>
      </c>
      <c r="AL1853" t="s">
        <v>896</v>
      </c>
      <c r="AM1853" t="s">
        <v>3469</v>
      </c>
      <c r="AN1853" t="s">
        <v>619</v>
      </c>
      <c r="AO1853" t="s">
        <v>650</v>
      </c>
      <c r="AP1853" t="s">
        <v>172</v>
      </c>
      <c r="AQ1853" s="5">
        <v>95054</v>
      </c>
      <c r="AR1853" t="s">
        <v>128</v>
      </c>
      <c r="AT1853" s="4">
        <v>14692909903</v>
      </c>
      <c r="AV1853" t="s">
        <v>3470</v>
      </c>
      <c r="AW1853" t="s">
        <v>367</v>
      </c>
      <c r="AX1853" t="s">
        <v>131</v>
      </c>
      <c r="AY1853" t="s">
        <v>131</v>
      </c>
      <c r="AZ1853" t="s">
        <v>131</v>
      </c>
      <c r="BA1853" t="s">
        <v>131</v>
      </c>
      <c r="BB1853" t="s">
        <v>131</v>
      </c>
      <c r="BC1853" t="s">
        <v>131</v>
      </c>
      <c r="BD1853" t="s">
        <v>131</v>
      </c>
      <c r="BE1853" t="s">
        <v>132</v>
      </c>
      <c r="BH1853" t="s">
        <v>4685</v>
      </c>
      <c r="BI1853" t="s">
        <v>131</v>
      </c>
      <c r="BL1853" t="s">
        <v>188</v>
      </c>
      <c r="BN1853" t="s">
        <v>1317</v>
      </c>
      <c r="BO1853" t="s">
        <v>131</v>
      </c>
      <c r="BP1853" t="s">
        <v>134</v>
      </c>
      <c r="BQ1853" t="s">
        <v>131</v>
      </c>
      <c r="BS1853" t="str">
        <f t="shared" si="107"/>
        <v>N/A</v>
      </c>
      <c r="BT1853" t="s">
        <v>135</v>
      </c>
      <c r="BU1853">
        <v>60</v>
      </c>
      <c r="BV1853" t="str">
        <f>"See F.b.5.a"</f>
        <v>See F.b.5.a</v>
      </c>
      <c r="BW1853" t="s">
        <v>135</v>
      </c>
      <c r="BX1853" t="str">
        <f>""</f>
        <v/>
      </c>
      <c r="BY1853" t="str">
        <f>""</f>
        <v/>
      </c>
      <c r="BZ1853" t="str">
        <f>""</f>
        <v/>
      </c>
      <c r="CA1853" s="2" t="s">
        <v>17399</v>
      </c>
      <c r="CB1853" t="s">
        <v>131</v>
      </c>
      <c r="CF1853" t="s">
        <v>131</v>
      </c>
      <c r="CH1853" t="str">
        <f>""</f>
        <v/>
      </c>
      <c r="CI1853" t="s">
        <v>131</v>
      </c>
      <c r="CK1853" t="s">
        <v>131</v>
      </c>
      <c r="CL1853" t="str">
        <f>""</f>
        <v/>
      </c>
      <c r="CM1853" t="str">
        <f>""</f>
        <v/>
      </c>
      <c r="CN1853" t="str">
        <f>""</f>
        <v/>
      </c>
      <c r="CO1853" t="str">
        <f>""</f>
        <v/>
      </c>
      <c r="CP1853" t="str">
        <f>"15-1199.09"</f>
        <v>15-1199.09</v>
      </c>
      <c r="CQ1853" t="s">
        <v>697</v>
      </c>
      <c r="CS1853" t="s">
        <v>131</v>
      </c>
      <c r="CU1853" t="s">
        <v>3879</v>
      </c>
      <c r="CV1853" t="s">
        <v>656</v>
      </c>
      <c r="CW1853" t="s">
        <v>1605</v>
      </c>
      <c r="CX1853" t="s">
        <v>149</v>
      </c>
      <c r="CZ1853" s="3" t="str">
        <f>"98004"</f>
        <v>98004</v>
      </c>
      <c r="DA1853" t="s">
        <v>131</v>
      </c>
      <c r="DB1853" t="str">
        <f>""</f>
        <v/>
      </c>
      <c r="DF1853" t="str">
        <f>""</f>
        <v/>
      </c>
    </row>
    <row r="1854" spans="1:110" ht="15" customHeight="1" x14ac:dyDescent="0.35">
      <c r="A1854" t="s">
        <v>20094</v>
      </c>
      <c r="B1854" t="s">
        <v>138</v>
      </c>
      <c r="C1854" s="1">
        <v>44351</v>
      </c>
      <c r="G1854" s="1">
        <v>44354</v>
      </c>
      <c r="H1854" t="s">
        <v>125</v>
      </c>
      <c r="I1854" t="s">
        <v>7386</v>
      </c>
      <c r="J1854" t="s">
        <v>7387</v>
      </c>
      <c r="K1854" t="s">
        <v>651</v>
      </c>
      <c r="L1854" t="s">
        <v>451</v>
      </c>
      <c r="M1854" t="s">
        <v>7388</v>
      </c>
      <c r="O1854" t="s">
        <v>1647</v>
      </c>
      <c r="P1854" t="s">
        <v>720</v>
      </c>
      <c r="Q1854" s="3">
        <v>2451</v>
      </c>
      <c r="R1854" t="s">
        <v>128</v>
      </c>
      <c r="T1854" s="4">
        <v>17816639057</v>
      </c>
      <c r="V1854" t="s">
        <v>7389</v>
      </c>
      <c r="W1854" t="s">
        <v>18092</v>
      </c>
      <c r="Y1854" t="s">
        <v>7388</v>
      </c>
      <c r="AA1854" t="s">
        <v>1647</v>
      </c>
      <c r="AB1854" t="s">
        <v>377</v>
      </c>
      <c r="AC1854" s="3" t="str">
        <f>"02451"</f>
        <v>02451</v>
      </c>
      <c r="AD1854" t="s">
        <v>128</v>
      </c>
      <c r="AF1854" s="4">
        <v>17816639057</v>
      </c>
      <c r="AH1854" t="str">
        <f>"32541"</f>
        <v>32541</v>
      </c>
      <c r="AI1854" t="s">
        <v>130</v>
      </c>
      <c r="AJ1854" t="s">
        <v>7390</v>
      </c>
      <c r="AK1854" t="s">
        <v>879</v>
      </c>
      <c r="AL1854" t="s">
        <v>730</v>
      </c>
      <c r="AM1854" t="s">
        <v>5239</v>
      </c>
      <c r="AO1854" t="s">
        <v>799</v>
      </c>
      <c r="AP1854" t="s">
        <v>595</v>
      </c>
      <c r="AQ1854" s="5">
        <v>20037</v>
      </c>
      <c r="AR1854" t="s">
        <v>128</v>
      </c>
      <c r="AT1854" s="4">
        <v>12029551913</v>
      </c>
      <c r="AU1854">
        <v>0</v>
      </c>
      <c r="AV1854" t="s">
        <v>7391</v>
      </c>
      <c r="AW1854" t="s">
        <v>5240</v>
      </c>
      <c r="AX1854" t="s">
        <v>131</v>
      </c>
      <c r="AY1854" t="s">
        <v>131</v>
      </c>
      <c r="AZ1854" t="s">
        <v>131</v>
      </c>
      <c r="BA1854" t="s">
        <v>131</v>
      </c>
      <c r="BB1854" t="s">
        <v>131</v>
      </c>
      <c r="BC1854" t="s">
        <v>131</v>
      </c>
      <c r="BD1854" t="s">
        <v>131</v>
      </c>
      <c r="BE1854" t="s">
        <v>132</v>
      </c>
      <c r="BH1854" t="s">
        <v>11605</v>
      </c>
      <c r="BI1854" t="s">
        <v>131</v>
      </c>
      <c r="BL1854" t="s">
        <v>133</v>
      </c>
      <c r="BN1854" t="s">
        <v>18093</v>
      </c>
      <c r="BO1854" t="s">
        <v>131</v>
      </c>
      <c r="BP1854" t="s">
        <v>134</v>
      </c>
      <c r="BQ1854" t="s">
        <v>131</v>
      </c>
      <c r="BS1854" t="str">
        <f t="shared" si="107"/>
        <v>N/A</v>
      </c>
      <c r="BT1854" t="s">
        <v>135</v>
      </c>
      <c r="BU1854">
        <v>60</v>
      </c>
      <c r="BV1854" t="str">
        <f>"**See F.b.5. (Special Skills or Other Requirements)"</f>
        <v>**See F.b.5. (Special Skills or Other Requirements)</v>
      </c>
      <c r="BW1854" t="s">
        <v>135</v>
      </c>
      <c r="BX1854" t="str">
        <f>""</f>
        <v/>
      </c>
      <c r="BY1854" t="str">
        <f>""</f>
        <v/>
      </c>
      <c r="BZ1854" t="str">
        <f>""</f>
        <v/>
      </c>
      <c r="CA1854" s="2" t="s">
        <v>20095</v>
      </c>
      <c r="CB1854" t="s">
        <v>135</v>
      </c>
      <c r="CC1854" t="s">
        <v>188</v>
      </c>
      <c r="CE1854" t="s">
        <v>18093</v>
      </c>
      <c r="CF1854" t="s">
        <v>131</v>
      </c>
      <c r="CH1854" t="str">
        <f>"N/A"</f>
        <v>N/A</v>
      </c>
      <c r="CI1854" t="s">
        <v>131</v>
      </c>
      <c r="CK1854" t="s">
        <v>135</v>
      </c>
      <c r="CL1854" t="str">
        <f>""</f>
        <v/>
      </c>
      <c r="CM1854" t="str">
        <f>""</f>
        <v/>
      </c>
      <c r="CN1854" t="str">
        <f>""</f>
        <v/>
      </c>
      <c r="CO1854" s="2" t="s">
        <v>20096</v>
      </c>
      <c r="CP1854" t="str">
        <f>"19-1021.00"</f>
        <v>19-1021.00</v>
      </c>
      <c r="CQ1854" t="s">
        <v>665</v>
      </c>
      <c r="CR1854" t="s">
        <v>18094</v>
      </c>
      <c r="CS1854" t="s">
        <v>131</v>
      </c>
      <c r="CU1854" t="s">
        <v>18095</v>
      </c>
      <c r="CW1854" t="s">
        <v>1647</v>
      </c>
      <c r="CX1854" t="s">
        <v>377</v>
      </c>
      <c r="CZ1854" s="3" t="str">
        <f>"02451"</f>
        <v>02451</v>
      </c>
      <c r="DA1854" t="s">
        <v>131</v>
      </c>
      <c r="DB1854" t="str">
        <f>""</f>
        <v/>
      </c>
      <c r="DF1854" t="str">
        <f>""</f>
        <v/>
      </c>
    </row>
    <row r="1855" spans="1:110" ht="15" customHeight="1" x14ac:dyDescent="0.35">
      <c r="A1855" t="s">
        <v>11588</v>
      </c>
      <c r="B1855" t="s">
        <v>138</v>
      </c>
      <c r="C1855" s="1">
        <v>44351</v>
      </c>
      <c r="G1855" s="1">
        <v>44362</v>
      </c>
      <c r="H1855" t="s">
        <v>125</v>
      </c>
      <c r="I1855" t="s">
        <v>851</v>
      </c>
      <c r="J1855" t="s">
        <v>852</v>
      </c>
      <c r="L1855" t="s">
        <v>853</v>
      </c>
      <c r="M1855" t="s">
        <v>854</v>
      </c>
      <c r="N1855" t="s">
        <v>855</v>
      </c>
      <c r="O1855" t="s">
        <v>856</v>
      </c>
      <c r="P1855" t="s">
        <v>857</v>
      </c>
      <c r="Q1855" s="3">
        <v>85248</v>
      </c>
      <c r="R1855" t="s">
        <v>128</v>
      </c>
      <c r="T1855" s="4">
        <v>14807154205</v>
      </c>
      <c r="V1855" t="s">
        <v>1508</v>
      </c>
      <c r="W1855" t="s">
        <v>858</v>
      </c>
      <c r="X1855" t="s">
        <v>858</v>
      </c>
      <c r="Y1855" t="s">
        <v>859</v>
      </c>
      <c r="AA1855" t="s">
        <v>650</v>
      </c>
      <c r="AB1855" t="s">
        <v>172</v>
      </c>
      <c r="AC1855" s="3" t="str">
        <f>"95054"</f>
        <v>95054</v>
      </c>
      <c r="AD1855" t="s">
        <v>128</v>
      </c>
      <c r="AE1855" t="s">
        <v>134</v>
      </c>
      <c r="AF1855" s="4">
        <v>14087651681</v>
      </c>
      <c r="AH1855" t="str">
        <f>"3344"</f>
        <v>3344</v>
      </c>
      <c r="AI1855" t="s">
        <v>130</v>
      </c>
      <c r="AJ1855" t="s">
        <v>860</v>
      </c>
      <c r="AK1855" t="s">
        <v>800</v>
      </c>
      <c r="AM1855" t="s">
        <v>861</v>
      </c>
      <c r="AN1855" t="s">
        <v>806</v>
      </c>
      <c r="AO1855" t="s">
        <v>807</v>
      </c>
      <c r="AP1855" t="s">
        <v>808</v>
      </c>
      <c r="AQ1855" s="5">
        <v>85020</v>
      </c>
      <c r="AR1855" t="s">
        <v>128</v>
      </c>
      <c r="AT1855" s="4">
        <v>16022661825</v>
      </c>
      <c r="AV1855" t="s">
        <v>862</v>
      </c>
      <c r="AW1855" t="s">
        <v>548</v>
      </c>
      <c r="AX1855" t="s">
        <v>131</v>
      </c>
      <c r="AY1855" t="s">
        <v>131</v>
      </c>
      <c r="AZ1855" t="s">
        <v>131</v>
      </c>
      <c r="BA1855" t="s">
        <v>131</v>
      </c>
      <c r="BB1855" t="s">
        <v>131</v>
      </c>
      <c r="BC1855" t="s">
        <v>131</v>
      </c>
      <c r="BD1855" t="s">
        <v>131</v>
      </c>
      <c r="BE1855" t="s">
        <v>132</v>
      </c>
      <c r="BH1855" t="s">
        <v>542</v>
      </c>
      <c r="BI1855" t="s">
        <v>131</v>
      </c>
      <c r="BL1855" t="s">
        <v>133</v>
      </c>
      <c r="BN1855" t="s">
        <v>1509</v>
      </c>
      <c r="BO1855" t="s">
        <v>131</v>
      </c>
      <c r="BP1855" t="s">
        <v>134</v>
      </c>
      <c r="BQ1855" t="s">
        <v>131</v>
      </c>
      <c r="BS1855" t="str">
        <f t="shared" si="107"/>
        <v>N/A</v>
      </c>
      <c r="BT1855" t="s">
        <v>135</v>
      </c>
      <c r="BU1855">
        <v>12</v>
      </c>
      <c r="BV1855" t="str">
        <f>"Job Offered or Related "</f>
        <v xml:space="preserve">Job Offered or Related </v>
      </c>
      <c r="BW1855" t="s">
        <v>135</v>
      </c>
      <c r="BX1855" t="str">
        <f>""</f>
        <v/>
      </c>
      <c r="BY1855" t="str">
        <f>""</f>
        <v/>
      </c>
      <c r="BZ1855" t="str">
        <f>""</f>
        <v/>
      </c>
      <c r="CA1855" t="str">
        <f>"Algorithms/Machine Learning; Linux; Object Oriented Design/Development; Software Development Engineering; Java, and/or Python, and/or Perl Programming; UI (User Interface) Development"</f>
        <v>Algorithms/Machine Learning; Linux; Object Oriented Design/Development; Software Development Engineering; Java, and/or Python, and/or Perl Programming; UI (User Interface) Development</v>
      </c>
      <c r="CB1855" t="s">
        <v>131</v>
      </c>
      <c r="CF1855" t="s">
        <v>131</v>
      </c>
      <c r="CH1855" t="str">
        <f>""</f>
        <v/>
      </c>
      <c r="CI1855" t="s">
        <v>131</v>
      </c>
      <c r="CK1855" t="s">
        <v>131</v>
      </c>
      <c r="CL1855" t="str">
        <f>""</f>
        <v/>
      </c>
      <c r="CM1855" t="str">
        <f>""</f>
        <v/>
      </c>
      <c r="CN1855" t="str">
        <f>""</f>
        <v/>
      </c>
      <c r="CO1855" t="str">
        <f>""</f>
        <v/>
      </c>
      <c r="CP1855" t="str">
        <f>"15-1133.00"</f>
        <v>15-1133.00</v>
      </c>
      <c r="CQ1855" t="s">
        <v>648</v>
      </c>
      <c r="CR1855" t="s">
        <v>460</v>
      </c>
      <c r="CS1855" t="s">
        <v>131</v>
      </c>
      <c r="CU1855" t="s">
        <v>11589</v>
      </c>
      <c r="CW1855" t="s">
        <v>220</v>
      </c>
      <c r="CX1855" t="s">
        <v>172</v>
      </c>
      <c r="CZ1855" s="3" t="str">
        <f>"94111"</f>
        <v>94111</v>
      </c>
      <c r="DA1855" t="s">
        <v>131</v>
      </c>
      <c r="DB1855" t="str">
        <f>""</f>
        <v/>
      </c>
      <c r="DF1855" t="str">
        <f>""</f>
        <v/>
      </c>
    </row>
    <row r="1856" spans="1:110" ht="15" customHeight="1" x14ac:dyDescent="0.35">
      <c r="A1856" t="s">
        <v>18717</v>
      </c>
      <c r="B1856" t="s">
        <v>138</v>
      </c>
      <c r="C1856" s="1">
        <v>44351</v>
      </c>
      <c r="G1856" s="1">
        <v>44362</v>
      </c>
      <c r="H1856" t="s">
        <v>125</v>
      </c>
      <c r="I1856" t="s">
        <v>851</v>
      </c>
      <c r="J1856" t="s">
        <v>852</v>
      </c>
      <c r="L1856" t="s">
        <v>853</v>
      </c>
      <c r="M1856" t="s">
        <v>854</v>
      </c>
      <c r="N1856" t="s">
        <v>855</v>
      </c>
      <c r="O1856" t="s">
        <v>856</v>
      </c>
      <c r="P1856" t="s">
        <v>857</v>
      </c>
      <c r="Q1856" s="3">
        <v>85248</v>
      </c>
      <c r="R1856" t="s">
        <v>128</v>
      </c>
      <c r="T1856" s="4">
        <v>14807154205</v>
      </c>
      <c r="V1856" t="s">
        <v>1508</v>
      </c>
      <c r="W1856" t="s">
        <v>858</v>
      </c>
      <c r="X1856" t="s">
        <v>858</v>
      </c>
      <c r="Y1856" t="s">
        <v>859</v>
      </c>
      <c r="AA1856" t="s">
        <v>650</v>
      </c>
      <c r="AB1856" t="s">
        <v>172</v>
      </c>
      <c r="AC1856" s="3" t="str">
        <f>"95054"</f>
        <v>95054</v>
      </c>
      <c r="AD1856" t="s">
        <v>128</v>
      </c>
      <c r="AE1856" t="s">
        <v>134</v>
      </c>
      <c r="AF1856" s="4">
        <v>14087651681</v>
      </c>
      <c r="AH1856" t="str">
        <f>"3344"</f>
        <v>3344</v>
      </c>
      <c r="AI1856" t="s">
        <v>130</v>
      </c>
      <c r="AJ1856" t="s">
        <v>860</v>
      </c>
      <c r="AK1856" t="s">
        <v>800</v>
      </c>
      <c r="AM1856" t="s">
        <v>861</v>
      </c>
      <c r="AN1856" t="s">
        <v>806</v>
      </c>
      <c r="AO1856" t="s">
        <v>807</v>
      </c>
      <c r="AP1856" t="s">
        <v>808</v>
      </c>
      <c r="AQ1856" s="5">
        <v>85020</v>
      </c>
      <c r="AR1856" t="s">
        <v>128</v>
      </c>
      <c r="AT1856" s="4">
        <v>16022661825</v>
      </c>
      <c r="AV1856" t="s">
        <v>862</v>
      </c>
      <c r="AW1856" t="s">
        <v>548</v>
      </c>
      <c r="AX1856" t="s">
        <v>131</v>
      </c>
      <c r="AY1856" t="s">
        <v>131</v>
      </c>
      <c r="AZ1856" t="s">
        <v>131</v>
      </c>
      <c r="BA1856" t="s">
        <v>131</v>
      </c>
      <c r="BB1856" t="s">
        <v>131</v>
      </c>
      <c r="BC1856" t="s">
        <v>131</v>
      </c>
      <c r="BD1856" t="s">
        <v>131</v>
      </c>
      <c r="BE1856" t="s">
        <v>132</v>
      </c>
      <c r="BH1856" t="s">
        <v>542</v>
      </c>
      <c r="BI1856" t="s">
        <v>131</v>
      </c>
      <c r="BL1856" t="s">
        <v>188</v>
      </c>
      <c r="BN1856" t="s">
        <v>1509</v>
      </c>
      <c r="BO1856" t="s">
        <v>131</v>
      </c>
      <c r="BP1856" t="s">
        <v>134</v>
      </c>
      <c r="BQ1856" t="s">
        <v>131</v>
      </c>
      <c r="BS1856" t="str">
        <f t="shared" si="107"/>
        <v>N/A</v>
      </c>
      <c r="BT1856" t="s">
        <v>131</v>
      </c>
      <c r="BV1856" t="str">
        <f>""</f>
        <v/>
      </c>
      <c r="BW1856" t="s">
        <v>135</v>
      </c>
      <c r="BX1856" t="str">
        <f>""</f>
        <v/>
      </c>
      <c r="BY1856" t="str">
        <f>""</f>
        <v/>
      </c>
      <c r="BZ1856" t="str">
        <f>""</f>
        <v/>
      </c>
      <c r="CA1856" t="str">
        <f>"Algorithms/Machine Learning; Linux; Object Oriented Design/Development; Software Development Engineering; Java, and/or Python, and/or Perl Programming; UI (User Interface) Development"</f>
        <v>Algorithms/Machine Learning; Linux; Object Oriented Design/Development; Software Development Engineering; Java, and/or Python, and/or Perl Programming; UI (User Interface) Development</v>
      </c>
      <c r="CB1856" t="s">
        <v>131</v>
      </c>
      <c r="CF1856" t="s">
        <v>131</v>
      </c>
      <c r="CH1856" t="str">
        <f>""</f>
        <v/>
      </c>
      <c r="CI1856" t="s">
        <v>131</v>
      </c>
      <c r="CK1856" t="s">
        <v>131</v>
      </c>
      <c r="CL1856" t="str">
        <f>""</f>
        <v/>
      </c>
      <c r="CM1856" t="str">
        <f>""</f>
        <v/>
      </c>
      <c r="CN1856" t="str">
        <f>""</f>
        <v/>
      </c>
      <c r="CO1856" t="str">
        <f>""</f>
        <v/>
      </c>
      <c r="CP1856" t="str">
        <f>"15-1133.00"</f>
        <v>15-1133.00</v>
      </c>
      <c r="CQ1856" t="s">
        <v>648</v>
      </c>
      <c r="CR1856" t="s">
        <v>460</v>
      </c>
      <c r="CS1856" t="s">
        <v>131</v>
      </c>
      <c r="CU1856" t="s">
        <v>11589</v>
      </c>
      <c r="CW1856" t="s">
        <v>220</v>
      </c>
      <c r="CX1856" t="s">
        <v>172</v>
      </c>
      <c r="CZ1856" s="3" t="str">
        <f>"94111"</f>
        <v>94111</v>
      </c>
      <c r="DA1856" t="s">
        <v>131</v>
      </c>
      <c r="DB1856" t="str">
        <f>""</f>
        <v/>
      </c>
      <c r="DF1856" t="str">
        <f>""</f>
        <v/>
      </c>
    </row>
    <row r="1857" spans="1:110" ht="15" customHeight="1" x14ac:dyDescent="0.35">
      <c r="A1857" t="s">
        <v>13428</v>
      </c>
      <c r="B1857" t="s">
        <v>138</v>
      </c>
      <c r="C1857" s="1">
        <v>44351</v>
      </c>
      <c r="G1857" s="1">
        <v>44362</v>
      </c>
      <c r="H1857" t="s">
        <v>125</v>
      </c>
      <c r="I1857" t="s">
        <v>851</v>
      </c>
      <c r="J1857" t="s">
        <v>852</v>
      </c>
      <c r="L1857" t="s">
        <v>853</v>
      </c>
      <c r="M1857" t="s">
        <v>854</v>
      </c>
      <c r="N1857" t="s">
        <v>855</v>
      </c>
      <c r="O1857" t="s">
        <v>856</v>
      </c>
      <c r="P1857" t="s">
        <v>857</v>
      </c>
      <c r="Q1857" s="3">
        <v>85248</v>
      </c>
      <c r="R1857" t="s">
        <v>128</v>
      </c>
      <c r="T1857" s="4">
        <v>14807154205</v>
      </c>
      <c r="V1857" t="s">
        <v>1508</v>
      </c>
      <c r="W1857" t="s">
        <v>858</v>
      </c>
      <c r="X1857" t="s">
        <v>858</v>
      </c>
      <c r="Y1857" t="s">
        <v>859</v>
      </c>
      <c r="AA1857" t="s">
        <v>650</v>
      </c>
      <c r="AB1857" t="s">
        <v>172</v>
      </c>
      <c r="AC1857" s="3" t="str">
        <f>"95054"</f>
        <v>95054</v>
      </c>
      <c r="AD1857" t="s">
        <v>128</v>
      </c>
      <c r="AE1857" t="s">
        <v>134</v>
      </c>
      <c r="AF1857" s="4">
        <v>14087651681</v>
      </c>
      <c r="AH1857" t="str">
        <f>"3344"</f>
        <v>3344</v>
      </c>
      <c r="AI1857" t="s">
        <v>130</v>
      </c>
      <c r="AJ1857" t="s">
        <v>860</v>
      </c>
      <c r="AK1857" t="s">
        <v>800</v>
      </c>
      <c r="AM1857" t="s">
        <v>861</v>
      </c>
      <c r="AN1857" t="s">
        <v>806</v>
      </c>
      <c r="AO1857" t="s">
        <v>807</v>
      </c>
      <c r="AP1857" t="s">
        <v>808</v>
      </c>
      <c r="AQ1857" s="5">
        <v>85020</v>
      </c>
      <c r="AR1857" t="s">
        <v>128</v>
      </c>
      <c r="AT1857" s="4">
        <v>16022661825</v>
      </c>
      <c r="AV1857" t="s">
        <v>862</v>
      </c>
      <c r="AW1857" t="s">
        <v>548</v>
      </c>
      <c r="AX1857" t="s">
        <v>131</v>
      </c>
      <c r="AY1857" t="s">
        <v>131</v>
      </c>
      <c r="AZ1857" t="s">
        <v>131</v>
      </c>
      <c r="BA1857" t="s">
        <v>131</v>
      </c>
      <c r="BB1857" t="s">
        <v>131</v>
      </c>
      <c r="BC1857" t="s">
        <v>131</v>
      </c>
      <c r="BD1857" t="s">
        <v>131</v>
      </c>
      <c r="BE1857" t="s">
        <v>132</v>
      </c>
      <c r="BH1857" t="s">
        <v>542</v>
      </c>
      <c r="BI1857" t="s">
        <v>131</v>
      </c>
      <c r="BL1857" t="s">
        <v>188</v>
      </c>
      <c r="BN1857" t="s">
        <v>1509</v>
      </c>
      <c r="BO1857" t="s">
        <v>131</v>
      </c>
      <c r="BP1857" t="s">
        <v>134</v>
      </c>
      <c r="BQ1857" t="s">
        <v>131</v>
      </c>
      <c r="BS1857" t="str">
        <f t="shared" si="107"/>
        <v>N/A</v>
      </c>
      <c r="BT1857" t="s">
        <v>135</v>
      </c>
      <c r="BU1857">
        <v>6</v>
      </c>
      <c r="BV1857" t="str">
        <f>"Job Offered or Related "</f>
        <v xml:space="preserve">Job Offered or Related </v>
      </c>
      <c r="BW1857" t="s">
        <v>135</v>
      </c>
      <c r="BX1857" t="str">
        <f>""</f>
        <v/>
      </c>
      <c r="BY1857" t="str">
        <f>""</f>
        <v/>
      </c>
      <c r="BZ1857" t="str">
        <f>""</f>
        <v/>
      </c>
      <c r="CA1857" t="str">
        <f>"Algorithms/Machine Learning; Linux; Object Oriented Design/Development; Software Development Engineering; Java, and/or Python, and/or Perl Programming; UI (User Interface) Development"</f>
        <v>Algorithms/Machine Learning; Linux; Object Oriented Design/Development; Software Development Engineering; Java, and/or Python, and/or Perl Programming; UI (User Interface) Development</v>
      </c>
      <c r="CB1857" t="s">
        <v>131</v>
      </c>
      <c r="CF1857" t="s">
        <v>131</v>
      </c>
      <c r="CH1857" t="str">
        <f>""</f>
        <v/>
      </c>
      <c r="CI1857" t="s">
        <v>131</v>
      </c>
      <c r="CK1857" t="s">
        <v>131</v>
      </c>
      <c r="CL1857" t="str">
        <f>""</f>
        <v/>
      </c>
      <c r="CM1857" t="str">
        <f>""</f>
        <v/>
      </c>
      <c r="CN1857" t="str">
        <f>""</f>
        <v/>
      </c>
      <c r="CO1857" t="str">
        <f>""</f>
        <v/>
      </c>
      <c r="CP1857" t="str">
        <f>"15-1133.00"</f>
        <v>15-1133.00</v>
      </c>
      <c r="CQ1857" t="s">
        <v>648</v>
      </c>
      <c r="CR1857" t="s">
        <v>460</v>
      </c>
      <c r="CS1857" t="s">
        <v>131</v>
      </c>
      <c r="CU1857" t="s">
        <v>11589</v>
      </c>
      <c r="CW1857" t="s">
        <v>220</v>
      </c>
      <c r="CX1857" t="s">
        <v>172</v>
      </c>
      <c r="CZ1857" s="3" t="str">
        <f>"94111"</f>
        <v>94111</v>
      </c>
      <c r="DA1857" t="s">
        <v>131</v>
      </c>
      <c r="DB1857" t="str">
        <f>""</f>
        <v/>
      </c>
      <c r="DF1857" t="str">
        <f>""</f>
        <v/>
      </c>
    </row>
    <row r="1858" spans="1:110" ht="15" customHeight="1" x14ac:dyDescent="0.35">
      <c r="A1858" t="s">
        <v>19308</v>
      </c>
      <c r="B1858" t="s">
        <v>138</v>
      </c>
      <c r="C1858" s="1">
        <v>44351</v>
      </c>
      <c r="G1858" s="1">
        <v>44354</v>
      </c>
      <c r="H1858" t="s">
        <v>125</v>
      </c>
      <c r="I1858" t="s">
        <v>6330</v>
      </c>
      <c r="J1858" t="s">
        <v>1275</v>
      </c>
      <c r="L1858" t="s">
        <v>1646</v>
      </c>
      <c r="M1858" t="s">
        <v>15465</v>
      </c>
      <c r="N1858" t="s">
        <v>1722</v>
      </c>
      <c r="O1858" t="s">
        <v>2687</v>
      </c>
      <c r="P1858" t="s">
        <v>720</v>
      </c>
      <c r="Q1858" s="3" t="s">
        <v>15466</v>
      </c>
      <c r="R1858" t="s">
        <v>128</v>
      </c>
      <c r="T1858" s="4">
        <v>16176122055</v>
      </c>
      <c r="V1858" t="s">
        <v>15467</v>
      </c>
      <c r="W1858" t="s">
        <v>15468</v>
      </c>
      <c r="X1858">
        <v>43084417</v>
      </c>
      <c r="Y1858" t="s">
        <v>15465</v>
      </c>
      <c r="Z1858" t="s">
        <v>1722</v>
      </c>
      <c r="AA1858" t="s">
        <v>2687</v>
      </c>
      <c r="AB1858" t="s">
        <v>377</v>
      </c>
      <c r="AC1858" s="3" t="str">
        <f>"02472-2783"</f>
        <v>02472-2783</v>
      </c>
      <c r="AD1858" t="s">
        <v>128</v>
      </c>
      <c r="AF1858" s="4">
        <v>16176122055</v>
      </c>
      <c r="AH1858" t="str">
        <f>"518210"</f>
        <v>518210</v>
      </c>
      <c r="AI1858" t="s">
        <v>130</v>
      </c>
      <c r="AJ1858" t="s">
        <v>6998</v>
      </c>
      <c r="AK1858" t="s">
        <v>6999</v>
      </c>
      <c r="AL1858" t="s">
        <v>415</v>
      </c>
      <c r="AM1858" t="s">
        <v>374</v>
      </c>
      <c r="AN1858" t="s">
        <v>2690</v>
      </c>
      <c r="AO1858" t="s">
        <v>376</v>
      </c>
      <c r="AP1858" t="s">
        <v>377</v>
      </c>
      <c r="AQ1858" s="5">
        <v>2110</v>
      </c>
      <c r="AR1858" t="s">
        <v>128</v>
      </c>
      <c r="AT1858" s="4">
        <v>16174821775</v>
      </c>
      <c r="AV1858" t="s">
        <v>7000</v>
      </c>
      <c r="AW1858" t="s">
        <v>7001</v>
      </c>
      <c r="AX1858" t="s">
        <v>131</v>
      </c>
      <c r="AY1858" t="s">
        <v>131</v>
      </c>
      <c r="AZ1858" t="s">
        <v>131</v>
      </c>
      <c r="BA1858" t="s">
        <v>131</v>
      </c>
      <c r="BB1858" t="s">
        <v>131</v>
      </c>
      <c r="BC1858" t="s">
        <v>131</v>
      </c>
      <c r="BD1858" t="s">
        <v>131</v>
      </c>
      <c r="BE1858" t="s">
        <v>132</v>
      </c>
      <c r="BH1858" t="s">
        <v>2512</v>
      </c>
      <c r="BI1858" t="s">
        <v>131</v>
      </c>
      <c r="BL1858" t="s">
        <v>188</v>
      </c>
      <c r="BN1858" t="s">
        <v>7719</v>
      </c>
      <c r="BO1858" t="s">
        <v>131</v>
      </c>
      <c r="BP1858" t="s">
        <v>134</v>
      </c>
      <c r="BQ1858" t="s">
        <v>131</v>
      </c>
      <c r="BS1858" t="str">
        <f t="shared" si="107"/>
        <v>N/A</v>
      </c>
      <c r="BT1858" t="s">
        <v>135</v>
      </c>
      <c r="BU1858">
        <v>12</v>
      </c>
      <c r="BV1858" t="str">
        <f>"*Please see F.b.5."</f>
        <v>*Please see F.b.5.</v>
      </c>
      <c r="BW1858" t="s">
        <v>135</v>
      </c>
      <c r="BX1858" t="str">
        <f>""</f>
        <v/>
      </c>
      <c r="BY1858" t="str">
        <f>""</f>
        <v/>
      </c>
      <c r="BZ1858" t="str">
        <f>""</f>
        <v/>
      </c>
      <c r="CA1858" t="s">
        <v>19309</v>
      </c>
      <c r="CB1858" t="s">
        <v>135</v>
      </c>
      <c r="CC1858" t="s">
        <v>133</v>
      </c>
      <c r="CE1858" t="s">
        <v>14853</v>
      </c>
      <c r="CF1858" t="s">
        <v>131</v>
      </c>
      <c r="CH1858" t="str">
        <f>"N/A"</f>
        <v>N/A</v>
      </c>
      <c r="CI1858" t="s">
        <v>135</v>
      </c>
      <c r="CJ1858">
        <v>60</v>
      </c>
      <c r="CK1858" t="s">
        <v>135</v>
      </c>
      <c r="CL1858" t="str">
        <f>""</f>
        <v/>
      </c>
      <c r="CM1858" t="str">
        <f>""</f>
        <v/>
      </c>
      <c r="CN1858" t="str">
        <f>""</f>
        <v/>
      </c>
      <c r="CO1858" s="2" t="s">
        <v>19310</v>
      </c>
      <c r="CP1858" t="str">
        <f>"15-1132.00"</f>
        <v>15-1132.00</v>
      </c>
      <c r="CQ1858" t="s">
        <v>198</v>
      </c>
      <c r="CR1858" t="s">
        <v>13446</v>
      </c>
      <c r="CS1858" t="s">
        <v>131</v>
      </c>
      <c r="CU1858" t="s">
        <v>15465</v>
      </c>
      <c r="CV1858" t="s">
        <v>1722</v>
      </c>
      <c r="CW1858" t="s">
        <v>2687</v>
      </c>
      <c r="CX1858" t="s">
        <v>377</v>
      </c>
      <c r="CZ1858" s="3" t="str">
        <f>"02472-2783"</f>
        <v>02472-2783</v>
      </c>
      <c r="DA1858" t="s">
        <v>131</v>
      </c>
      <c r="DB1858" t="str">
        <f>""</f>
        <v/>
      </c>
      <c r="DF1858" t="str">
        <f>""</f>
        <v/>
      </c>
    </row>
    <row r="1859" spans="1:110" ht="15" customHeight="1" x14ac:dyDescent="0.35">
      <c r="A1859" t="s">
        <v>14337</v>
      </c>
      <c r="B1859" t="s">
        <v>138</v>
      </c>
      <c r="C1859" s="1">
        <v>44351</v>
      </c>
      <c r="G1859" s="1">
        <v>44351</v>
      </c>
      <c r="H1859" t="s">
        <v>125</v>
      </c>
      <c r="I1859" t="s">
        <v>8394</v>
      </c>
      <c r="J1859" t="s">
        <v>804</v>
      </c>
      <c r="L1859" t="s">
        <v>14311</v>
      </c>
      <c r="M1859" t="s">
        <v>14312</v>
      </c>
      <c r="N1859" t="s">
        <v>698</v>
      </c>
      <c r="O1859" t="s">
        <v>399</v>
      </c>
      <c r="P1859" t="s">
        <v>412</v>
      </c>
      <c r="Q1859" s="3">
        <v>75235</v>
      </c>
      <c r="R1859" t="s">
        <v>128</v>
      </c>
      <c r="T1859" s="4">
        <v>12144451139</v>
      </c>
      <c r="V1859" t="s">
        <v>14313</v>
      </c>
      <c r="W1859" t="s">
        <v>14314</v>
      </c>
      <c r="Y1859" t="s">
        <v>14312</v>
      </c>
      <c r="Z1859" t="s">
        <v>1798</v>
      </c>
      <c r="AA1859" t="s">
        <v>399</v>
      </c>
      <c r="AB1859" t="s">
        <v>400</v>
      </c>
      <c r="AC1859" s="3" t="str">
        <f>"75235"</f>
        <v>75235</v>
      </c>
      <c r="AD1859" t="s">
        <v>128</v>
      </c>
      <c r="AF1859" s="4">
        <v>12144451000</v>
      </c>
      <c r="AG1859">
        <v>0</v>
      </c>
      <c r="AH1859" t="str">
        <f>"7113"</f>
        <v>7113</v>
      </c>
      <c r="AI1859" t="s">
        <v>130</v>
      </c>
      <c r="AJ1859" t="s">
        <v>12213</v>
      </c>
      <c r="AK1859" t="s">
        <v>12214</v>
      </c>
      <c r="AM1859" t="s">
        <v>13413</v>
      </c>
      <c r="AO1859" t="s">
        <v>799</v>
      </c>
      <c r="AP1859" t="s">
        <v>595</v>
      </c>
      <c r="AQ1859" s="5">
        <v>20037</v>
      </c>
      <c r="AR1859" t="s">
        <v>128</v>
      </c>
      <c r="AT1859" s="4">
        <v>12029551593</v>
      </c>
      <c r="AV1859" t="s">
        <v>12215</v>
      </c>
      <c r="AW1859" t="s">
        <v>5240</v>
      </c>
      <c r="AX1859" t="s">
        <v>131</v>
      </c>
      <c r="AY1859" t="s">
        <v>131</v>
      </c>
      <c r="AZ1859" t="s">
        <v>131</v>
      </c>
      <c r="BA1859" t="s">
        <v>131</v>
      </c>
      <c r="BB1859" t="s">
        <v>131</v>
      </c>
      <c r="BC1859" t="s">
        <v>131</v>
      </c>
      <c r="BD1859" t="s">
        <v>131</v>
      </c>
      <c r="BE1859" t="s">
        <v>160</v>
      </c>
      <c r="BF1859" t="s">
        <v>14315</v>
      </c>
      <c r="BG1859" s="1">
        <v>44084</v>
      </c>
      <c r="BH1859" t="s">
        <v>5966</v>
      </c>
      <c r="BI1859" t="s">
        <v>131</v>
      </c>
      <c r="BL1859" t="s">
        <v>133</v>
      </c>
      <c r="BN1859" t="s">
        <v>14316</v>
      </c>
      <c r="BO1859" t="s">
        <v>131</v>
      </c>
      <c r="BP1859" t="s">
        <v>134</v>
      </c>
      <c r="BQ1859" t="s">
        <v>131</v>
      </c>
      <c r="BS1859" t="str">
        <f t="shared" si="107"/>
        <v>N/A</v>
      </c>
      <c r="BT1859" t="s">
        <v>135</v>
      </c>
      <c r="BU1859">
        <v>60</v>
      </c>
      <c r="BV1859" t="str">
        <f>"The role offered or similar senior-level position(s)"</f>
        <v>The role offered or similar senior-level position(s)</v>
      </c>
      <c r="BW1859" t="s">
        <v>135</v>
      </c>
      <c r="BX1859" t="str">
        <f>"Platform Developer I
Salesforce Certified Administrator"</f>
        <v>Platform Developer I
Salesforce Certified Administrator</v>
      </c>
      <c r="BY1859" t="str">
        <f>""</f>
        <v/>
      </c>
      <c r="BZ1859" t="str">
        <f>""</f>
        <v/>
      </c>
      <c r="CA1859" s="2" t="s">
        <v>14338</v>
      </c>
      <c r="CB1859" t="s">
        <v>131</v>
      </c>
      <c r="CF1859" t="s">
        <v>131</v>
      </c>
      <c r="CH1859" t="str">
        <f>""</f>
        <v/>
      </c>
      <c r="CI1859" t="s">
        <v>131</v>
      </c>
      <c r="CK1859" t="s">
        <v>131</v>
      </c>
      <c r="CL1859" t="str">
        <f>""</f>
        <v/>
      </c>
      <c r="CM1859" t="str">
        <f>""</f>
        <v/>
      </c>
      <c r="CN1859" t="str">
        <f>""</f>
        <v/>
      </c>
      <c r="CO1859" t="str">
        <f>""</f>
        <v/>
      </c>
      <c r="CP1859" t="str">
        <f>"15-1132.00"</f>
        <v>15-1132.00</v>
      </c>
      <c r="CQ1859" t="s">
        <v>198</v>
      </c>
      <c r="CR1859" t="s">
        <v>9060</v>
      </c>
      <c r="CS1859" t="s">
        <v>131</v>
      </c>
      <c r="CU1859" t="s">
        <v>14312</v>
      </c>
      <c r="CV1859" t="s">
        <v>698</v>
      </c>
      <c r="CW1859" t="s">
        <v>399</v>
      </c>
      <c r="CX1859" t="s">
        <v>400</v>
      </c>
      <c r="CZ1859" s="3" t="str">
        <f>"75235"</f>
        <v>75235</v>
      </c>
      <c r="DA1859" t="s">
        <v>131</v>
      </c>
      <c r="DB1859" t="str">
        <f>""</f>
        <v/>
      </c>
      <c r="DF1859" t="str">
        <f>""</f>
        <v/>
      </c>
    </row>
    <row r="1860" spans="1:110" ht="15" customHeight="1" x14ac:dyDescent="0.35">
      <c r="A1860" t="s">
        <v>17592</v>
      </c>
      <c r="B1860" t="s">
        <v>138</v>
      </c>
      <c r="C1860" s="1">
        <v>44351</v>
      </c>
      <c r="G1860" s="1">
        <v>44377</v>
      </c>
      <c r="H1860" t="s">
        <v>125</v>
      </c>
      <c r="I1860" t="s">
        <v>12054</v>
      </c>
      <c r="J1860" t="s">
        <v>1961</v>
      </c>
      <c r="L1860" t="s">
        <v>12055</v>
      </c>
      <c r="M1860" t="s">
        <v>12056</v>
      </c>
      <c r="N1860" t="s">
        <v>12057</v>
      </c>
      <c r="O1860" t="s">
        <v>494</v>
      </c>
      <c r="P1860" t="s">
        <v>127</v>
      </c>
      <c r="Q1860" s="3">
        <v>10029</v>
      </c>
      <c r="R1860" t="s">
        <v>128</v>
      </c>
      <c r="T1860" s="4">
        <v>12122418011</v>
      </c>
      <c r="V1860" t="s">
        <v>17593</v>
      </c>
      <c r="W1860" t="s">
        <v>16546</v>
      </c>
      <c r="Y1860" t="s">
        <v>12056</v>
      </c>
      <c r="AA1860" t="s">
        <v>494</v>
      </c>
      <c r="AB1860" t="s">
        <v>129</v>
      </c>
      <c r="AC1860" s="3" t="str">
        <f>"10029"</f>
        <v>10029</v>
      </c>
      <c r="AD1860" t="s">
        <v>128</v>
      </c>
      <c r="AF1860" s="4">
        <v>12122418300</v>
      </c>
      <c r="AH1860" t="str">
        <f>"622110"</f>
        <v>622110</v>
      </c>
      <c r="AI1860" t="s">
        <v>130</v>
      </c>
      <c r="AJ1860" t="s">
        <v>6139</v>
      </c>
      <c r="AK1860" t="s">
        <v>254</v>
      </c>
      <c r="AL1860" t="s">
        <v>655</v>
      </c>
      <c r="AM1860" t="s">
        <v>6140</v>
      </c>
      <c r="AN1860" t="s">
        <v>2119</v>
      </c>
      <c r="AO1860" t="s">
        <v>494</v>
      </c>
      <c r="AP1860" t="s">
        <v>129</v>
      </c>
      <c r="AQ1860" s="5">
        <v>10036</v>
      </c>
      <c r="AR1860" t="s">
        <v>128</v>
      </c>
      <c r="AS1860" t="s">
        <v>127</v>
      </c>
      <c r="AT1860" s="4">
        <v>12127159521</v>
      </c>
      <c r="AV1860" t="s">
        <v>6141</v>
      </c>
      <c r="AW1860" t="s">
        <v>6142</v>
      </c>
      <c r="AX1860" t="s">
        <v>135</v>
      </c>
      <c r="AY1860" t="s">
        <v>131</v>
      </c>
      <c r="AZ1860" t="s">
        <v>135</v>
      </c>
      <c r="BA1860" t="s">
        <v>131</v>
      </c>
      <c r="BB1860" t="s">
        <v>134</v>
      </c>
      <c r="BC1860" t="s">
        <v>131</v>
      </c>
      <c r="BD1860" t="s">
        <v>131</v>
      </c>
      <c r="BE1860" t="s">
        <v>132</v>
      </c>
      <c r="BH1860" t="s">
        <v>286</v>
      </c>
      <c r="BI1860" t="s">
        <v>131</v>
      </c>
      <c r="BL1860" t="s">
        <v>188</v>
      </c>
      <c r="BN1860" t="s">
        <v>10728</v>
      </c>
      <c r="BO1860" t="s">
        <v>131</v>
      </c>
      <c r="BP1860" t="s">
        <v>134</v>
      </c>
      <c r="BQ1860" t="s">
        <v>131</v>
      </c>
      <c r="BS1860" t="str">
        <f t="shared" si="107"/>
        <v>N/A</v>
      </c>
      <c r="BT1860" t="s">
        <v>135</v>
      </c>
      <c r="BU1860">
        <v>36</v>
      </c>
      <c r="BV1860" t="str">
        <f>"The position offered or in a program/project management position"</f>
        <v>The position offered or in a program/project management position</v>
      </c>
      <c r="BW1860" t="s">
        <v>135</v>
      </c>
      <c r="BX1860" t="str">
        <f>""</f>
        <v/>
      </c>
      <c r="BY1860" t="str">
        <f>""</f>
        <v/>
      </c>
      <c r="BZ1860" t="str">
        <f>""</f>
        <v/>
      </c>
      <c r="CA1860" s="2" t="s">
        <v>16547</v>
      </c>
      <c r="CB1860" t="s">
        <v>131</v>
      </c>
      <c r="CF1860" t="s">
        <v>131</v>
      </c>
      <c r="CH1860" t="str">
        <f>""</f>
        <v/>
      </c>
      <c r="CI1860" t="s">
        <v>131</v>
      </c>
      <c r="CK1860" t="s">
        <v>131</v>
      </c>
      <c r="CL1860" t="str">
        <f>""</f>
        <v/>
      </c>
      <c r="CM1860" t="str">
        <f>""</f>
        <v/>
      </c>
      <c r="CN1860" t="str">
        <f>""</f>
        <v/>
      </c>
      <c r="CO1860" t="str">
        <f>""</f>
        <v/>
      </c>
      <c r="CP1860" t="str">
        <f>"11-9121.00"</f>
        <v>11-9121.00</v>
      </c>
      <c r="CQ1860" t="s">
        <v>4063</v>
      </c>
      <c r="CR1860" t="s">
        <v>16548</v>
      </c>
      <c r="CS1860" t="s">
        <v>135</v>
      </c>
      <c r="CT1860" t="s">
        <v>16549</v>
      </c>
      <c r="CU1860" t="s">
        <v>12058</v>
      </c>
      <c r="CW1860" t="s">
        <v>494</v>
      </c>
      <c r="CX1860" t="s">
        <v>129</v>
      </c>
      <c r="CZ1860" s="3" t="str">
        <f>"10017"</f>
        <v>10017</v>
      </c>
      <c r="DA1860" t="s">
        <v>131</v>
      </c>
      <c r="DB1860" t="str">
        <f>""</f>
        <v/>
      </c>
      <c r="DF1860" t="str">
        <f>""</f>
        <v/>
      </c>
    </row>
    <row r="1861" spans="1:110" ht="15" customHeight="1" x14ac:dyDescent="0.35">
      <c r="A1861" t="s">
        <v>19829</v>
      </c>
      <c r="B1861" t="s">
        <v>138</v>
      </c>
      <c r="C1861" s="1">
        <v>44351</v>
      </c>
      <c r="G1861" s="1">
        <v>44351</v>
      </c>
      <c r="H1861" t="s">
        <v>125</v>
      </c>
      <c r="I1861" t="s">
        <v>9162</v>
      </c>
      <c r="J1861" t="s">
        <v>1459</v>
      </c>
      <c r="L1861" t="s">
        <v>3482</v>
      </c>
      <c r="M1861" t="s">
        <v>11914</v>
      </c>
      <c r="O1861" t="s">
        <v>694</v>
      </c>
      <c r="P1861" t="s">
        <v>178</v>
      </c>
      <c r="Q1861" s="3">
        <v>95008</v>
      </c>
      <c r="R1861" t="s">
        <v>128</v>
      </c>
      <c r="T1861" s="4">
        <v>14086095318</v>
      </c>
      <c r="V1861" t="s">
        <v>11915</v>
      </c>
      <c r="W1861" t="s">
        <v>15432</v>
      </c>
      <c r="Y1861" t="s">
        <v>11914</v>
      </c>
      <c r="AA1861" t="s">
        <v>694</v>
      </c>
      <c r="AB1861" t="s">
        <v>172</v>
      </c>
      <c r="AC1861" s="3" t="str">
        <f>"95008"</f>
        <v>95008</v>
      </c>
      <c r="AD1861" t="s">
        <v>128</v>
      </c>
      <c r="AF1861" s="4">
        <v>14086095318</v>
      </c>
      <c r="AH1861" t="str">
        <f>"517919"</f>
        <v>517919</v>
      </c>
      <c r="AI1861" t="s">
        <v>130</v>
      </c>
      <c r="AJ1861" t="s">
        <v>7983</v>
      </c>
      <c r="AK1861" t="s">
        <v>7984</v>
      </c>
      <c r="AM1861" t="s">
        <v>2626</v>
      </c>
      <c r="AN1861" t="s">
        <v>2627</v>
      </c>
      <c r="AO1861" t="s">
        <v>2628</v>
      </c>
      <c r="AP1861" t="s">
        <v>172</v>
      </c>
      <c r="AQ1861" s="5">
        <v>94607</v>
      </c>
      <c r="AR1861" t="s">
        <v>128</v>
      </c>
      <c r="AS1861" t="s">
        <v>172</v>
      </c>
      <c r="AT1861" s="4">
        <v>14153711800</v>
      </c>
      <c r="AV1861" t="s">
        <v>2629</v>
      </c>
      <c r="AW1861" t="s">
        <v>1062</v>
      </c>
      <c r="AX1861" t="s">
        <v>131</v>
      </c>
      <c r="AY1861" t="s">
        <v>131</v>
      </c>
      <c r="AZ1861" t="s">
        <v>131</v>
      </c>
      <c r="BA1861" t="s">
        <v>131</v>
      </c>
      <c r="BB1861" t="s">
        <v>131</v>
      </c>
      <c r="BC1861" t="s">
        <v>131</v>
      </c>
      <c r="BD1861" t="s">
        <v>131</v>
      </c>
      <c r="BE1861" t="s">
        <v>160</v>
      </c>
      <c r="BF1861" t="s">
        <v>1612</v>
      </c>
      <c r="BG1861" s="1">
        <v>44331</v>
      </c>
      <c r="BH1861" t="s">
        <v>15433</v>
      </c>
      <c r="BI1861" t="s">
        <v>131</v>
      </c>
      <c r="BL1861" t="s">
        <v>188</v>
      </c>
      <c r="BN1861" t="s">
        <v>15434</v>
      </c>
      <c r="BO1861" t="s">
        <v>131</v>
      </c>
      <c r="BP1861" t="s">
        <v>134</v>
      </c>
      <c r="BQ1861" t="s">
        <v>131</v>
      </c>
      <c r="BS1861" t="str">
        <f t="shared" si="107"/>
        <v>N/A</v>
      </c>
      <c r="BT1861" t="s">
        <v>131</v>
      </c>
      <c r="BV1861" t="str">
        <f>""</f>
        <v/>
      </c>
      <c r="BW1861" t="s">
        <v>135</v>
      </c>
      <c r="BX1861" t="str">
        <f>""</f>
        <v/>
      </c>
      <c r="BY1861" t="str">
        <f>""</f>
        <v/>
      </c>
      <c r="BZ1861" t="str">
        <f>""</f>
        <v/>
      </c>
      <c r="CA1861" t="s">
        <v>15435</v>
      </c>
      <c r="CB1861" t="s">
        <v>131</v>
      </c>
      <c r="CF1861" t="s">
        <v>131</v>
      </c>
      <c r="CH1861" t="str">
        <f>""</f>
        <v/>
      </c>
      <c r="CI1861" t="s">
        <v>131</v>
      </c>
      <c r="CK1861" t="s">
        <v>131</v>
      </c>
      <c r="CL1861" t="str">
        <f>""</f>
        <v/>
      </c>
      <c r="CM1861" t="str">
        <f>""</f>
        <v/>
      </c>
      <c r="CN1861" t="str">
        <f>""</f>
        <v/>
      </c>
      <c r="CO1861" t="str">
        <f>""</f>
        <v/>
      </c>
      <c r="CP1861" t="str">
        <f>"15-1143.00"</f>
        <v>15-1143.00</v>
      </c>
      <c r="CQ1861" t="s">
        <v>1065</v>
      </c>
      <c r="CR1861" t="s">
        <v>14737</v>
      </c>
      <c r="CS1861" t="s">
        <v>131</v>
      </c>
      <c r="CU1861" t="s">
        <v>19830</v>
      </c>
      <c r="CW1861" t="s">
        <v>694</v>
      </c>
      <c r="CX1861" t="s">
        <v>172</v>
      </c>
      <c r="CZ1861" s="3" t="str">
        <f>"95008"</f>
        <v>95008</v>
      </c>
      <c r="DA1861" t="s">
        <v>131</v>
      </c>
      <c r="DB1861" t="str">
        <f>""</f>
        <v/>
      </c>
      <c r="DF1861" t="str">
        <f>""</f>
        <v/>
      </c>
    </row>
    <row r="1862" spans="1:110" ht="15" customHeight="1" x14ac:dyDescent="0.35">
      <c r="A1862" t="s">
        <v>13017</v>
      </c>
      <c r="B1862" t="s">
        <v>138</v>
      </c>
      <c r="C1862" s="1">
        <v>44351</v>
      </c>
      <c r="G1862" s="1">
        <v>44358</v>
      </c>
      <c r="H1862" t="s">
        <v>125</v>
      </c>
      <c r="I1862" t="s">
        <v>441</v>
      </c>
      <c r="J1862" t="s">
        <v>8733</v>
      </c>
      <c r="K1862" t="s">
        <v>655</v>
      </c>
      <c r="L1862" t="s">
        <v>8825</v>
      </c>
      <c r="M1862" t="s">
        <v>8826</v>
      </c>
      <c r="N1862" t="s">
        <v>8827</v>
      </c>
      <c r="O1862" t="s">
        <v>8828</v>
      </c>
      <c r="P1862" t="s">
        <v>144</v>
      </c>
      <c r="Q1862" s="3">
        <v>98036</v>
      </c>
      <c r="R1862" t="s">
        <v>128</v>
      </c>
      <c r="T1862" s="4">
        <v>14256407101</v>
      </c>
      <c r="V1862" t="s">
        <v>8829</v>
      </c>
      <c r="W1862" t="s">
        <v>13018</v>
      </c>
      <c r="X1862" t="s">
        <v>134</v>
      </c>
      <c r="Y1862" t="s">
        <v>8826</v>
      </c>
      <c r="Z1862" t="s">
        <v>8827</v>
      </c>
      <c r="AA1862" t="s">
        <v>8828</v>
      </c>
      <c r="AB1862" t="s">
        <v>149</v>
      </c>
      <c r="AC1862" s="3" t="str">
        <f>"98036"</f>
        <v>98036</v>
      </c>
      <c r="AD1862" t="s">
        <v>128</v>
      </c>
      <c r="AF1862" s="4">
        <v>14256407101</v>
      </c>
      <c r="AH1862" t="str">
        <f>"54119"</f>
        <v>54119</v>
      </c>
      <c r="AI1862" t="s">
        <v>167</v>
      </c>
      <c r="AX1862" t="s">
        <v>131</v>
      </c>
      <c r="AY1862" t="s">
        <v>131</v>
      </c>
      <c r="AZ1862" t="s">
        <v>131</v>
      </c>
      <c r="BA1862" t="s">
        <v>131</v>
      </c>
      <c r="BB1862" t="s">
        <v>131</v>
      </c>
      <c r="BC1862" t="s">
        <v>131</v>
      </c>
      <c r="BD1862" t="s">
        <v>131</v>
      </c>
      <c r="BE1862" t="s">
        <v>132</v>
      </c>
      <c r="BH1862" t="s">
        <v>13019</v>
      </c>
      <c r="BI1862" t="s">
        <v>131</v>
      </c>
      <c r="BL1862" t="s">
        <v>167</v>
      </c>
      <c r="BO1862" t="s">
        <v>131</v>
      </c>
      <c r="BP1862" t="s">
        <v>134</v>
      </c>
      <c r="BQ1862" t="s">
        <v>131</v>
      </c>
      <c r="BS1862" t="str">
        <f t="shared" si="107"/>
        <v>N/A</v>
      </c>
      <c r="BT1862" t="s">
        <v>135</v>
      </c>
      <c r="BU1862">
        <v>12</v>
      </c>
      <c r="BV1862" t="str">
        <f>"ADMINISTRATIVE SPECIALIST"</f>
        <v>ADMINISTRATIVE SPECIALIST</v>
      </c>
      <c r="BW1862" t="s">
        <v>131</v>
      </c>
      <c r="BX1862" t="str">
        <f>""</f>
        <v/>
      </c>
      <c r="BY1862" t="str">
        <f>""</f>
        <v/>
      </c>
      <c r="BZ1862" t="str">
        <f>""</f>
        <v/>
      </c>
      <c r="CA1862" t="str">
        <f>""</f>
        <v/>
      </c>
      <c r="CB1862" t="s">
        <v>135</v>
      </c>
      <c r="CC1862" t="s">
        <v>307</v>
      </c>
      <c r="CE1862" t="s">
        <v>13020</v>
      </c>
      <c r="CF1862" t="s">
        <v>131</v>
      </c>
      <c r="CH1862" t="str">
        <f>"N/A"</f>
        <v>N/A</v>
      </c>
      <c r="CI1862" t="s">
        <v>131</v>
      </c>
      <c r="CK1862" t="s">
        <v>135</v>
      </c>
      <c r="CL1862" t="str">
        <f>""</f>
        <v/>
      </c>
      <c r="CM1862" t="str">
        <f>"Korean"</f>
        <v>Korean</v>
      </c>
      <c r="CN1862" t="str">
        <f>""</f>
        <v/>
      </c>
      <c r="CO1862" t="str">
        <f>""</f>
        <v/>
      </c>
      <c r="CP1862" t="str">
        <f>"43-6012.00"</f>
        <v>43-6012.00</v>
      </c>
      <c r="CQ1862" t="s">
        <v>9578</v>
      </c>
      <c r="CR1862" t="s">
        <v>13021</v>
      </c>
      <c r="CS1862" t="s">
        <v>135</v>
      </c>
      <c r="CT1862" t="s">
        <v>13022</v>
      </c>
      <c r="CU1862" t="s">
        <v>8830</v>
      </c>
      <c r="CV1862" t="s">
        <v>8827</v>
      </c>
      <c r="CW1862" t="s">
        <v>8828</v>
      </c>
      <c r="CX1862" t="s">
        <v>149</v>
      </c>
      <c r="CZ1862" s="3" t="str">
        <f>"98036"</f>
        <v>98036</v>
      </c>
      <c r="DA1862" t="s">
        <v>135</v>
      </c>
      <c r="DB1862" t="str">
        <f>""</f>
        <v/>
      </c>
      <c r="DF1862" t="str">
        <f>""</f>
        <v/>
      </c>
    </row>
    <row r="1863" spans="1:110" ht="15" customHeight="1" x14ac:dyDescent="0.35">
      <c r="A1863" t="s">
        <v>5246</v>
      </c>
      <c r="B1863" t="s">
        <v>138</v>
      </c>
      <c r="C1863" s="1">
        <v>44352</v>
      </c>
      <c r="G1863" s="1">
        <v>44352</v>
      </c>
      <c r="H1863" t="s">
        <v>125</v>
      </c>
      <c r="I1863" t="s">
        <v>651</v>
      </c>
      <c r="J1863" t="s">
        <v>2709</v>
      </c>
      <c r="L1863" t="s">
        <v>782</v>
      </c>
      <c r="M1863" t="s">
        <v>2710</v>
      </c>
      <c r="O1863" t="s">
        <v>1602</v>
      </c>
      <c r="P1863" t="s">
        <v>1217</v>
      </c>
      <c r="Q1863" s="3">
        <v>36832</v>
      </c>
      <c r="R1863" t="s">
        <v>128</v>
      </c>
      <c r="T1863" s="4">
        <v>13347347223</v>
      </c>
      <c r="V1863" t="s">
        <v>2711</v>
      </c>
      <c r="W1863" t="s">
        <v>2712</v>
      </c>
      <c r="Y1863" t="s">
        <v>2710</v>
      </c>
      <c r="AA1863" t="s">
        <v>1602</v>
      </c>
      <c r="AB1863" t="s">
        <v>1218</v>
      </c>
      <c r="AC1863" s="3" t="str">
        <f>"36832"</f>
        <v>36832</v>
      </c>
      <c r="AD1863" t="s">
        <v>128</v>
      </c>
      <c r="AF1863" s="4">
        <v>13348876720</v>
      </c>
      <c r="AH1863" t="str">
        <f>"3363"</f>
        <v>3363</v>
      </c>
      <c r="AI1863" t="s">
        <v>130</v>
      </c>
      <c r="AJ1863" t="s">
        <v>651</v>
      </c>
      <c r="AK1863" t="s">
        <v>1725</v>
      </c>
      <c r="AM1863" t="s">
        <v>2713</v>
      </c>
      <c r="AO1863" t="s">
        <v>5247</v>
      </c>
      <c r="AP1863" t="s">
        <v>1218</v>
      </c>
      <c r="AQ1863" s="5">
        <v>35476</v>
      </c>
      <c r="AR1863" t="s">
        <v>128</v>
      </c>
      <c r="AT1863" s="4">
        <v>12054623420</v>
      </c>
      <c r="AV1863" t="s">
        <v>1727</v>
      </c>
      <c r="AW1863" t="s">
        <v>1728</v>
      </c>
      <c r="AX1863" t="s">
        <v>131</v>
      </c>
      <c r="AY1863" t="s">
        <v>131</v>
      </c>
      <c r="AZ1863" t="s">
        <v>131</v>
      </c>
      <c r="BA1863" t="s">
        <v>131</v>
      </c>
      <c r="BB1863" t="s">
        <v>131</v>
      </c>
      <c r="BC1863" t="s">
        <v>131</v>
      </c>
      <c r="BD1863" t="s">
        <v>131</v>
      </c>
      <c r="BE1863" t="s">
        <v>132</v>
      </c>
      <c r="BH1863" t="s">
        <v>2714</v>
      </c>
      <c r="BI1863" t="s">
        <v>131</v>
      </c>
      <c r="BL1863" t="s">
        <v>133</v>
      </c>
      <c r="BN1863" t="s">
        <v>2715</v>
      </c>
      <c r="BO1863" t="s">
        <v>131</v>
      </c>
      <c r="BP1863" t="s">
        <v>134</v>
      </c>
      <c r="BQ1863" t="s">
        <v>131</v>
      </c>
      <c r="BS1863" t="str">
        <f t="shared" si="107"/>
        <v>N/A</v>
      </c>
      <c r="BT1863" t="s">
        <v>131</v>
      </c>
      <c r="BV1863" t="str">
        <f>""</f>
        <v/>
      </c>
      <c r="BW1863" t="s">
        <v>131</v>
      </c>
      <c r="BX1863" t="str">
        <f>""</f>
        <v/>
      </c>
      <c r="BY1863" t="str">
        <f>""</f>
        <v/>
      </c>
      <c r="BZ1863" t="str">
        <f>""</f>
        <v/>
      </c>
      <c r="CA1863" t="str">
        <f>""</f>
        <v/>
      </c>
      <c r="CB1863" t="s">
        <v>131</v>
      </c>
      <c r="CF1863" t="s">
        <v>131</v>
      </c>
      <c r="CH1863" t="str">
        <f>""</f>
        <v/>
      </c>
      <c r="CI1863" t="s">
        <v>131</v>
      </c>
      <c r="CK1863" t="s">
        <v>131</v>
      </c>
      <c r="CL1863" t="str">
        <f>""</f>
        <v/>
      </c>
      <c r="CM1863" t="str">
        <f>""</f>
        <v/>
      </c>
      <c r="CN1863" t="str">
        <f>""</f>
        <v/>
      </c>
      <c r="CO1863" t="str">
        <f>""</f>
        <v/>
      </c>
      <c r="CP1863" t="str">
        <f>"43-5061.00"</f>
        <v>43-5061.00</v>
      </c>
      <c r="CQ1863" t="s">
        <v>2716</v>
      </c>
      <c r="CS1863" t="s">
        <v>131</v>
      </c>
      <c r="CU1863" t="s">
        <v>2710</v>
      </c>
      <c r="CW1863" t="s">
        <v>1602</v>
      </c>
      <c r="CX1863" t="s">
        <v>1218</v>
      </c>
      <c r="CZ1863" s="3" t="str">
        <f>"36832"</f>
        <v>36832</v>
      </c>
      <c r="DA1863" t="s">
        <v>131</v>
      </c>
      <c r="DB1863" t="str">
        <f>""</f>
        <v/>
      </c>
      <c r="DF1863" t="str">
        <f>""</f>
        <v/>
      </c>
    </row>
    <row r="1864" spans="1:110" ht="15" customHeight="1" x14ac:dyDescent="0.35">
      <c r="A1864" t="s">
        <v>17873</v>
      </c>
      <c r="B1864" t="s">
        <v>138</v>
      </c>
      <c r="C1864" s="1">
        <v>44352</v>
      </c>
      <c r="G1864" s="1">
        <v>44352</v>
      </c>
      <c r="H1864" t="s">
        <v>125</v>
      </c>
      <c r="I1864" t="s">
        <v>896</v>
      </c>
      <c r="J1864" t="s">
        <v>8831</v>
      </c>
      <c r="L1864" t="s">
        <v>15840</v>
      </c>
      <c r="M1864" t="s">
        <v>15841</v>
      </c>
      <c r="N1864" t="s">
        <v>15842</v>
      </c>
      <c r="O1864" t="s">
        <v>4573</v>
      </c>
      <c r="P1864" t="s">
        <v>467</v>
      </c>
      <c r="Q1864" s="3">
        <v>80112</v>
      </c>
      <c r="R1864" t="s">
        <v>128</v>
      </c>
      <c r="T1864" s="4">
        <v>13032683923</v>
      </c>
      <c r="V1864" t="s">
        <v>5930</v>
      </c>
      <c r="W1864" t="s">
        <v>17874</v>
      </c>
      <c r="Y1864" t="s">
        <v>15841</v>
      </c>
      <c r="Z1864" t="s">
        <v>15842</v>
      </c>
      <c r="AA1864" t="s">
        <v>4573</v>
      </c>
      <c r="AB1864" t="s">
        <v>471</v>
      </c>
      <c r="AC1864" s="3" t="str">
        <f>"80112"</f>
        <v>80112</v>
      </c>
      <c r="AD1864" t="s">
        <v>128</v>
      </c>
      <c r="AF1864" s="4">
        <v>13032683923</v>
      </c>
      <c r="AH1864" t="str">
        <f>"511210"</f>
        <v>511210</v>
      </c>
      <c r="AI1864" t="s">
        <v>130</v>
      </c>
      <c r="AJ1864" t="s">
        <v>5928</v>
      </c>
      <c r="AK1864" t="s">
        <v>2937</v>
      </c>
      <c r="AL1864" t="s">
        <v>667</v>
      </c>
      <c r="AM1864" t="s">
        <v>5929</v>
      </c>
      <c r="AN1864" t="s">
        <v>3505</v>
      </c>
      <c r="AO1864" t="s">
        <v>476</v>
      </c>
      <c r="AP1864" t="s">
        <v>172</v>
      </c>
      <c r="AQ1864" s="5">
        <v>90017</v>
      </c>
      <c r="AR1864" t="s">
        <v>128</v>
      </c>
      <c r="AT1864" s="4">
        <v>12136740599</v>
      </c>
      <c r="AV1864" t="s">
        <v>5930</v>
      </c>
      <c r="AW1864" t="s">
        <v>5931</v>
      </c>
      <c r="AX1864" t="s">
        <v>131</v>
      </c>
      <c r="AY1864" t="s">
        <v>131</v>
      </c>
      <c r="AZ1864" t="s">
        <v>131</v>
      </c>
      <c r="BA1864" t="s">
        <v>131</v>
      </c>
      <c r="BB1864" t="s">
        <v>131</v>
      </c>
      <c r="BC1864" t="s">
        <v>131</v>
      </c>
      <c r="BD1864" t="s">
        <v>131</v>
      </c>
      <c r="BE1864" t="s">
        <v>132</v>
      </c>
      <c r="BH1864" t="s">
        <v>15843</v>
      </c>
      <c r="BI1864" t="s">
        <v>131</v>
      </c>
      <c r="BL1864" t="s">
        <v>133</v>
      </c>
      <c r="BN1864" t="s">
        <v>17875</v>
      </c>
      <c r="BO1864" t="s">
        <v>131</v>
      </c>
      <c r="BP1864" t="s">
        <v>134</v>
      </c>
      <c r="BQ1864" t="s">
        <v>131</v>
      </c>
      <c r="BS1864" t="str">
        <f t="shared" si="107"/>
        <v>N/A</v>
      </c>
      <c r="BT1864" t="s">
        <v>135</v>
      </c>
      <c r="BU1864">
        <v>24</v>
      </c>
      <c r="BV1864" t="str">
        <f>"Biomedical Applications Science, Bioinformatics Applications Scientist, or related"</f>
        <v>Biomedical Applications Science, Bioinformatics Applications Scientist, or related</v>
      </c>
      <c r="BW1864" t="s">
        <v>135</v>
      </c>
      <c r="BX1864" t="str">
        <f>""</f>
        <v/>
      </c>
      <c r="BY1864" t="str">
        <f>""</f>
        <v/>
      </c>
      <c r="BZ1864" t="str">
        <f>""</f>
        <v/>
      </c>
      <c r="CA1864" t="str">
        <f>"Experience with Vicon motion capture hardware installation for clinical applications. "</f>
        <v xml:space="preserve">Experience with Vicon motion capture hardware installation for clinical applications. </v>
      </c>
      <c r="CB1864" t="s">
        <v>131</v>
      </c>
      <c r="CF1864" t="s">
        <v>131</v>
      </c>
      <c r="CH1864" t="str">
        <f>""</f>
        <v/>
      </c>
      <c r="CI1864" t="s">
        <v>131</v>
      </c>
      <c r="CK1864" t="s">
        <v>131</v>
      </c>
      <c r="CL1864" t="str">
        <f>""</f>
        <v/>
      </c>
      <c r="CM1864" t="str">
        <f>""</f>
        <v/>
      </c>
      <c r="CN1864" t="str">
        <f>""</f>
        <v/>
      </c>
      <c r="CO1864" t="str">
        <f>""</f>
        <v/>
      </c>
      <c r="CP1864" t="str">
        <f>"19-1029.01"</f>
        <v>19-1029.01</v>
      </c>
      <c r="CQ1864" t="s">
        <v>3703</v>
      </c>
      <c r="CR1864" t="s">
        <v>15844</v>
      </c>
      <c r="CS1864" t="s">
        <v>135</v>
      </c>
      <c r="CT1864" t="s">
        <v>17876</v>
      </c>
      <c r="CU1864" t="s">
        <v>15841</v>
      </c>
      <c r="CV1864" t="s">
        <v>15842</v>
      </c>
      <c r="CW1864" t="s">
        <v>4573</v>
      </c>
      <c r="CX1864" t="s">
        <v>471</v>
      </c>
      <c r="CZ1864" s="3" t="str">
        <f>"80112"</f>
        <v>80112</v>
      </c>
      <c r="DA1864" t="s">
        <v>131</v>
      </c>
      <c r="DB1864" t="str">
        <f>""</f>
        <v/>
      </c>
      <c r="DF1864" t="str">
        <f>""</f>
        <v/>
      </c>
    </row>
    <row r="1865" spans="1:110" ht="15" customHeight="1" x14ac:dyDescent="0.35">
      <c r="A1865" t="s">
        <v>7861</v>
      </c>
      <c r="B1865" t="s">
        <v>138</v>
      </c>
      <c r="C1865" s="1">
        <v>44352</v>
      </c>
      <c r="G1865" s="1">
        <v>44353</v>
      </c>
      <c r="H1865" t="s">
        <v>125</v>
      </c>
      <c r="I1865" t="s">
        <v>3667</v>
      </c>
      <c r="J1865" t="s">
        <v>3668</v>
      </c>
      <c r="L1865" t="s">
        <v>395</v>
      </c>
      <c r="M1865" t="s">
        <v>3669</v>
      </c>
      <c r="N1865" t="s">
        <v>3670</v>
      </c>
      <c r="O1865" t="s">
        <v>433</v>
      </c>
      <c r="P1865" t="s">
        <v>412</v>
      </c>
      <c r="Q1865" s="3">
        <v>75234</v>
      </c>
      <c r="R1865" t="s">
        <v>128</v>
      </c>
      <c r="T1865" s="4">
        <v>12142543373</v>
      </c>
      <c r="V1865" t="s">
        <v>3671</v>
      </c>
      <c r="W1865" t="s">
        <v>3672</v>
      </c>
      <c r="Y1865" t="s">
        <v>3669</v>
      </c>
      <c r="Z1865" t="s">
        <v>3670</v>
      </c>
      <c r="AA1865" t="s">
        <v>433</v>
      </c>
      <c r="AB1865" t="s">
        <v>400</v>
      </c>
      <c r="AC1865" s="3" t="str">
        <f>"75234"</f>
        <v>75234</v>
      </c>
      <c r="AD1865" t="s">
        <v>128</v>
      </c>
      <c r="AF1865" s="4">
        <v>12142543373</v>
      </c>
      <c r="AH1865" t="str">
        <f>"541511"</f>
        <v>541511</v>
      </c>
      <c r="AI1865" t="s">
        <v>130</v>
      </c>
      <c r="AJ1865" t="s">
        <v>3186</v>
      </c>
      <c r="AK1865" t="s">
        <v>3187</v>
      </c>
      <c r="AM1865" t="s">
        <v>3188</v>
      </c>
      <c r="AN1865" t="s">
        <v>3189</v>
      </c>
      <c r="AO1865" t="s">
        <v>399</v>
      </c>
      <c r="AP1865" t="s">
        <v>400</v>
      </c>
      <c r="AQ1865" s="5">
        <v>75230</v>
      </c>
      <c r="AR1865" t="s">
        <v>128</v>
      </c>
      <c r="AT1865" s="4">
        <v>18889556634</v>
      </c>
      <c r="AV1865" t="s">
        <v>3190</v>
      </c>
      <c r="AW1865" t="s">
        <v>3191</v>
      </c>
      <c r="AX1865" t="s">
        <v>131</v>
      </c>
      <c r="AY1865" t="s">
        <v>131</v>
      </c>
      <c r="AZ1865" t="s">
        <v>131</v>
      </c>
      <c r="BA1865" t="s">
        <v>131</v>
      </c>
      <c r="BB1865" t="s">
        <v>131</v>
      </c>
      <c r="BC1865" t="s">
        <v>131</v>
      </c>
      <c r="BD1865" t="s">
        <v>131</v>
      </c>
      <c r="BE1865" t="s">
        <v>132</v>
      </c>
      <c r="BH1865" t="s">
        <v>1133</v>
      </c>
      <c r="BI1865" t="s">
        <v>131</v>
      </c>
      <c r="BL1865" t="s">
        <v>188</v>
      </c>
      <c r="BN1865" t="s">
        <v>3931</v>
      </c>
      <c r="BO1865" t="s">
        <v>131</v>
      </c>
      <c r="BP1865" t="s">
        <v>134</v>
      </c>
      <c r="BQ1865" t="s">
        <v>131</v>
      </c>
      <c r="BS1865" t="str">
        <f t="shared" ref="BS1865:BS1885" si="108">"N/A"</f>
        <v>N/A</v>
      </c>
      <c r="BT1865" t="s">
        <v>135</v>
      </c>
      <c r="BU1865">
        <v>6</v>
      </c>
      <c r="BV1865" t="str">
        <f>"Software Engineer/ Specialist/ Developer/ Intern or retaled "</f>
        <v xml:space="preserve">Software Engineer/ Specialist/ Developer/ Intern or retaled </v>
      </c>
      <c r="BW1865" t="s">
        <v>131</v>
      </c>
      <c r="BX1865" t="str">
        <f>""</f>
        <v/>
      </c>
      <c r="BY1865" t="str">
        <f>""</f>
        <v/>
      </c>
      <c r="BZ1865" t="str">
        <f>""</f>
        <v/>
      </c>
      <c r="CA1865" t="str">
        <f>""</f>
        <v/>
      </c>
      <c r="CB1865" t="s">
        <v>131</v>
      </c>
      <c r="CF1865" t="s">
        <v>131</v>
      </c>
      <c r="CH1865" t="str">
        <f>""</f>
        <v/>
      </c>
      <c r="CI1865" t="s">
        <v>131</v>
      </c>
      <c r="CK1865" t="s">
        <v>131</v>
      </c>
      <c r="CL1865" t="str">
        <f>""</f>
        <v/>
      </c>
      <c r="CM1865" t="str">
        <f>""</f>
        <v/>
      </c>
      <c r="CN1865" t="str">
        <f>""</f>
        <v/>
      </c>
      <c r="CO1865" t="str">
        <f>""</f>
        <v/>
      </c>
      <c r="CP1865" t="str">
        <f>"15-1132.00"</f>
        <v>15-1132.00</v>
      </c>
      <c r="CQ1865" t="s">
        <v>198</v>
      </c>
      <c r="CR1865" t="s">
        <v>587</v>
      </c>
      <c r="CS1865" t="s">
        <v>135</v>
      </c>
      <c r="CT1865" t="s">
        <v>7862</v>
      </c>
      <c r="CU1865" t="s">
        <v>3669</v>
      </c>
      <c r="CV1865" t="s">
        <v>3670</v>
      </c>
      <c r="CW1865" t="s">
        <v>433</v>
      </c>
      <c r="CX1865" t="s">
        <v>400</v>
      </c>
      <c r="CZ1865" s="3" t="str">
        <f>"75234"</f>
        <v>75234</v>
      </c>
      <c r="DA1865" t="s">
        <v>131</v>
      </c>
      <c r="DB1865" t="str">
        <f>""</f>
        <v/>
      </c>
      <c r="DF1865" t="str">
        <f>""</f>
        <v/>
      </c>
    </row>
    <row r="1866" spans="1:110" ht="15" customHeight="1" x14ac:dyDescent="0.35">
      <c r="A1866" t="s">
        <v>12212</v>
      </c>
      <c r="B1866" t="s">
        <v>138</v>
      </c>
      <c r="C1866" s="1">
        <v>44353</v>
      </c>
      <c r="G1866" s="1">
        <v>44355</v>
      </c>
      <c r="H1866" t="s">
        <v>125</v>
      </c>
      <c r="I1866" t="s">
        <v>3667</v>
      </c>
      <c r="J1866" t="s">
        <v>3668</v>
      </c>
      <c r="L1866" t="s">
        <v>395</v>
      </c>
      <c r="M1866" t="s">
        <v>3669</v>
      </c>
      <c r="N1866" t="s">
        <v>3670</v>
      </c>
      <c r="O1866" t="s">
        <v>433</v>
      </c>
      <c r="P1866" t="s">
        <v>412</v>
      </c>
      <c r="Q1866" s="3">
        <v>75234</v>
      </c>
      <c r="R1866" t="s">
        <v>128</v>
      </c>
      <c r="T1866" s="4">
        <v>12142543373</v>
      </c>
      <c r="V1866" t="s">
        <v>3671</v>
      </c>
      <c r="W1866" t="s">
        <v>3672</v>
      </c>
      <c r="Y1866" t="s">
        <v>3669</v>
      </c>
      <c r="Z1866" t="s">
        <v>3670</v>
      </c>
      <c r="AA1866" t="s">
        <v>433</v>
      </c>
      <c r="AB1866" t="s">
        <v>400</v>
      </c>
      <c r="AC1866" s="3" t="str">
        <f>"75234"</f>
        <v>75234</v>
      </c>
      <c r="AD1866" t="s">
        <v>128</v>
      </c>
      <c r="AF1866" s="4">
        <v>12142543373</v>
      </c>
      <c r="AH1866" t="str">
        <f>"541511"</f>
        <v>541511</v>
      </c>
      <c r="AI1866" t="s">
        <v>130</v>
      </c>
      <c r="AJ1866" t="s">
        <v>3186</v>
      </c>
      <c r="AK1866" t="s">
        <v>3187</v>
      </c>
      <c r="AM1866" t="s">
        <v>3188</v>
      </c>
      <c r="AN1866" t="s">
        <v>3189</v>
      </c>
      <c r="AO1866" t="s">
        <v>399</v>
      </c>
      <c r="AP1866" t="s">
        <v>400</v>
      </c>
      <c r="AQ1866" s="5">
        <v>75230</v>
      </c>
      <c r="AR1866" t="s">
        <v>128</v>
      </c>
      <c r="AT1866" s="4">
        <v>18889556634</v>
      </c>
      <c r="AV1866" t="s">
        <v>3190</v>
      </c>
      <c r="AW1866" t="s">
        <v>3191</v>
      </c>
      <c r="AX1866" t="s">
        <v>131</v>
      </c>
      <c r="AY1866" t="s">
        <v>131</v>
      </c>
      <c r="AZ1866" t="s">
        <v>131</v>
      </c>
      <c r="BA1866" t="s">
        <v>131</v>
      </c>
      <c r="BB1866" t="s">
        <v>131</v>
      </c>
      <c r="BC1866" t="s">
        <v>131</v>
      </c>
      <c r="BD1866" t="s">
        <v>131</v>
      </c>
      <c r="BE1866" t="s">
        <v>132</v>
      </c>
      <c r="BH1866" t="s">
        <v>1133</v>
      </c>
      <c r="BI1866" t="s">
        <v>131</v>
      </c>
      <c r="BL1866" t="s">
        <v>188</v>
      </c>
      <c r="BN1866" t="s">
        <v>3931</v>
      </c>
      <c r="BO1866" t="s">
        <v>131</v>
      </c>
      <c r="BP1866" t="s">
        <v>134</v>
      </c>
      <c r="BQ1866" t="s">
        <v>131</v>
      </c>
      <c r="BS1866" t="str">
        <f t="shared" si="108"/>
        <v>N/A</v>
      </c>
      <c r="BT1866" t="s">
        <v>135</v>
      </c>
      <c r="BU1866">
        <v>6</v>
      </c>
      <c r="BV1866" t="str">
        <f>"Software Engineer/ Specialist/ Developer/ Intern or retaled "</f>
        <v xml:space="preserve">Software Engineer/ Specialist/ Developer/ Intern or retaled </v>
      </c>
      <c r="BW1866" t="s">
        <v>131</v>
      </c>
      <c r="BX1866" t="str">
        <f>""</f>
        <v/>
      </c>
      <c r="BY1866" t="str">
        <f>""</f>
        <v/>
      </c>
      <c r="BZ1866" t="str">
        <f>""</f>
        <v/>
      </c>
      <c r="CA1866" t="str">
        <f>""</f>
        <v/>
      </c>
      <c r="CB1866" t="s">
        <v>131</v>
      </c>
      <c r="CF1866" t="s">
        <v>131</v>
      </c>
      <c r="CH1866" t="str">
        <f>""</f>
        <v/>
      </c>
      <c r="CI1866" t="s">
        <v>131</v>
      </c>
      <c r="CK1866" t="s">
        <v>131</v>
      </c>
      <c r="CL1866" t="str">
        <f>""</f>
        <v/>
      </c>
      <c r="CM1866" t="str">
        <f>""</f>
        <v/>
      </c>
      <c r="CN1866" t="str">
        <f>""</f>
        <v/>
      </c>
      <c r="CO1866" t="str">
        <f>""</f>
        <v/>
      </c>
      <c r="CP1866" t="str">
        <f>"15-1132.00"</f>
        <v>15-1132.00</v>
      </c>
      <c r="CQ1866" t="s">
        <v>198</v>
      </c>
      <c r="CR1866" t="s">
        <v>587</v>
      </c>
      <c r="CS1866" t="s">
        <v>135</v>
      </c>
      <c r="CT1866" t="s">
        <v>7862</v>
      </c>
      <c r="CU1866" t="s">
        <v>3669</v>
      </c>
      <c r="CV1866" t="s">
        <v>3670</v>
      </c>
      <c r="CW1866" t="s">
        <v>433</v>
      </c>
      <c r="CX1866" t="s">
        <v>400</v>
      </c>
      <c r="CZ1866" s="3" t="str">
        <f>"75234"</f>
        <v>75234</v>
      </c>
      <c r="DA1866" t="s">
        <v>131</v>
      </c>
      <c r="DB1866" t="str">
        <f>""</f>
        <v/>
      </c>
      <c r="DF1866" t="str">
        <f>""</f>
        <v/>
      </c>
    </row>
    <row r="1867" spans="1:110" ht="15" customHeight="1" x14ac:dyDescent="0.35">
      <c r="A1867" t="s">
        <v>18866</v>
      </c>
      <c r="B1867" t="s">
        <v>138</v>
      </c>
      <c r="C1867" s="1">
        <v>44354</v>
      </c>
      <c r="G1867" s="1">
        <v>44354</v>
      </c>
      <c r="H1867" t="s">
        <v>125</v>
      </c>
      <c r="I1867" t="s">
        <v>9780</v>
      </c>
      <c r="J1867" t="s">
        <v>13404</v>
      </c>
      <c r="L1867" t="s">
        <v>11751</v>
      </c>
      <c r="M1867" t="s">
        <v>13405</v>
      </c>
      <c r="O1867" t="s">
        <v>13406</v>
      </c>
      <c r="P1867" t="s">
        <v>539</v>
      </c>
      <c r="Q1867" s="3">
        <v>60202</v>
      </c>
      <c r="R1867" t="s">
        <v>128</v>
      </c>
      <c r="S1867" t="s">
        <v>6585</v>
      </c>
      <c r="T1867" s="4">
        <v>18472576084</v>
      </c>
      <c r="V1867" t="s">
        <v>9783</v>
      </c>
      <c r="W1867" t="s">
        <v>18867</v>
      </c>
      <c r="Y1867" t="s">
        <v>18868</v>
      </c>
      <c r="AA1867" t="s">
        <v>10856</v>
      </c>
      <c r="AB1867" t="s">
        <v>263</v>
      </c>
      <c r="AC1867" s="3" t="str">
        <f>"60527"</f>
        <v>60527</v>
      </c>
      <c r="AD1867" t="s">
        <v>128</v>
      </c>
      <c r="AF1867" s="4">
        <v>16303236380</v>
      </c>
      <c r="AH1867" t="str">
        <f>"623110"</f>
        <v>623110</v>
      </c>
      <c r="AI1867" t="s">
        <v>167</v>
      </c>
      <c r="AX1867" t="s">
        <v>131</v>
      </c>
      <c r="AY1867" t="s">
        <v>131</v>
      </c>
      <c r="AZ1867" t="s">
        <v>131</v>
      </c>
      <c r="BA1867" t="s">
        <v>131</v>
      </c>
      <c r="BB1867" t="s">
        <v>131</v>
      </c>
      <c r="BC1867" t="s">
        <v>131</v>
      </c>
      <c r="BD1867" t="s">
        <v>131</v>
      </c>
      <c r="BE1867" t="s">
        <v>132</v>
      </c>
      <c r="BH1867" t="s">
        <v>230</v>
      </c>
      <c r="BI1867" t="s">
        <v>131</v>
      </c>
      <c r="BL1867" t="s">
        <v>307</v>
      </c>
      <c r="BN1867" t="s">
        <v>1451</v>
      </c>
      <c r="BO1867" t="s">
        <v>131</v>
      </c>
      <c r="BP1867" t="s">
        <v>134</v>
      </c>
      <c r="BQ1867" t="s">
        <v>131</v>
      </c>
      <c r="BS1867" t="str">
        <f t="shared" si="108"/>
        <v>N/A</v>
      </c>
      <c r="BT1867" t="s">
        <v>131</v>
      </c>
      <c r="BV1867" t="str">
        <f>""</f>
        <v/>
      </c>
      <c r="BW1867" t="s">
        <v>131</v>
      </c>
      <c r="BX1867" t="str">
        <f>""</f>
        <v/>
      </c>
      <c r="BY1867" t="str">
        <f>""</f>
        <v/>
      </c>
      <c r="BZ1867" t="str">
        <f>""</f>
        <v/>
      </c>
      <c r="CA1867" t="str">
        <f>""</f>
        <v/>
      </c>
      <c r="CB1867" t="s">
        <v>131</v>
      </c>
      <c r="CF1867" t="s">
        <v>131</v>
      </c>
      <c r="CH1867" t="str">
        <f>""</f>
        <v/>
      </c>
      <c r="CI1867" t="s">
        <v>131</v>
      </c>
      <c r="CK1867" t="s">
        <v>131</v>
      </c>
      <c r="CL1867" t="str">
        <f>""</f>
        <v/>
      </c>
      <c r="CM1867" t="str">
        <f>""</f>
        <v/>
      </c>
      <c r="CN1867" t="str">
        <f>""</f>
        <v/>
      </c>
      <c r="CO1867" t="str">
        <f>""</f>
        <v/>
      </c>
      <c r="CP1867" t="str">
        <f>"29-1141.00"</f>
        <v>29-1141.00</v>
      </c>
      <c r="CQ1867" t="s">
        <v>232</v>
      </c>
      <c r="CR1867" t="s">
        <v>13410</v>
      </c>
      <c r="CS1867" t="s">
        <v>131</v>
      </c>
      <c r="CU1867" t="s">
        <v>18869</v>
      </c>
      <c r="CW1867" t="s">
        <v>10856</v>
      </c>
      <c r="CX1867" t="s">
        <v>263</v>
      </c>
      <c r="CZ1867" s="3" t="str">
        <f>"60527"</f>
        <v>60527</v>
      </c>
      <c r="DA1867" t="s">
        <v>131</v>
      </c>
      <c r="DB1867" t="str">
        <f>""</f>
        <v/>
      </c>
      <c r="DF1867" t="str">
        <f>""</f>
        <v/>
      </c>
    </row>
    <row r="1868" spans="1:110" ht="15" customHeight="1" x14ac:dyDescent="0.35">
      <c r="A1868" t="s">
        <v>12280</v>
      </c>
      <c r="B1868" t="s">
        <v>138</v>
      </c>
      <c r="C1868" s="1">
        <v>44354</v>
      </c>
      <c r="G1868" s="1">
        <v>44354</v>
      </c>
      <c r="H1868" t="s">
        <v>125</v>
      </c>
      <c r="I1868" t="s">
        <v>12281</v>
      </c>
      <c r="J1868" t="s">
        <v>6935</v>
      </c>
      <c r="L1868" t="s">
        <v>12282</v>
      </c>
      <c r="M1868" t="s">
        <v>12283</v>
      </c>
      <c r="O1868" t="s">
        <v>791</v>
      </c>
      <c r="P1868" t="s">
        <v>178</v>
      </c>
      <c r="Q1868" s="3">
        <v>92121</v>
      </c>
      <c r="R1868" t="s">
        <v>128</v>
      </c>
      <c r="T1868" s="4">
        <v>18589879866</v>
      </c>
      <c r="V1868" t="s">
        <v>12284</v>
      </c>
      <c r="W1868" t="s">
        <v>12285</v>
      </c>
      <c r="Y1868" t="s">
        <v>12283</v>
      </c>
      <c r="AA1868" t="s">
        <v>791</v>
      </c>
      <c r="AB1868" t="s">
        <v>172</v>
      </c>
      <c r="AC1868" s="3" t="str">
        <f>"92121"</f>
        <v>92121</v>
      </c>
      <c r="AD1868" t="s">
        <v>128</v>
      </c>
      <c r="AF1868" s="4">
        <v>18589879266</v>
      </c>
      <c r="AH1868" t="str">
        <f>"334210"</f>
        <v>334210</v>
      </c>
      <c r="AI1868" t="s">
        <v>130</v>
      </c>
      <c r="AJ1868" t="s">
        <v>4853</v>
      </c>
      <c r="AK1868" t="s">
        <v>615</v>
      </c>
      <c r="AL1868" t="s">
        <v>3946</v>
      </c>
      <c r="AM1868" t="s">
        <v>3195</v>
      </c>
      <c r="AN1868" t="s">
        <v>611</v>
      </c>
      <c r="AO1868" t="s">
        <v>791</v>
      </c>
      <c r="AP1868" t="s">
        <v>172</v>
      </c>
      <c r="AQ1868" s="5">
        <v>92121</v>
      </c>
      <c r="AR1868" t="s">
        <v>128</v>
      </c>
      <c r="AT1868" s="4">
        <v>18586420420</v>
      </c>
      <c r="AV1868" t="s">
        <v>4854</v>
      </c>
      <c r="AW1868" t="s">
        <v>3196</v>
      </c>
      <c r="AX1868" t="s">
        <v>131</v>
      </c>
      <c r="AY1868" t="s">
        <v>131</v>
      </c>
      <c r="AZ1868" t="s">
        <v>131</v>
      </c>
      <c r="BA1868" t="s">
        <v>131</v>
      </c>
      <c r="BB1868" t="s">
        <v>131</v>
      </c>
      <c r="BC1868" t="s">
        <v>131</v>
      </c>
      <c r="BD1868" t="s">
        <v>131</v>
      </c>
      <c r="BE1868" t="s">
        <v>132</v>
      </c>
      <c r="BH1868" t="s">
        <v>12286</v>
      </c>
      <c r="BI1868" t="s">
        <v>131</v>
      </c>
      <c r="BL1868" t="s">
        <v>188</v>
      </c>
      <c r="BN1868" t="s">
        <v>12287</v>
      </c>
      <c r="BO1868" t="s">
        <v>131</v>
      </c>
      <c r="BP1868" t="s">
        <v>134</v>
      </c>
      <c r="BQ1868" t="s">
        <v>131</v>
      </c>
      <c r="BS1868" t="str">
        <f t="shared" si="108"/>
        <v>N/A</v>
      </c>
      <c r="BT1868" t="s">
        <v>135</v>
      </c>
      <c r="BU1868">
        <v>48</v>
      </c>
      <c r="BV1868" t="str">
        <f>"4 years of experience in the job offered defined as Field Engineering or System Test Engineering with wireless or cellular systems."</f>
        <v>4 years of experience in the job offered defined as Field Engineering or System Test Engineering with wireless or cellular systems.</v>
      </c>
      <c r="BW1868" t="s">
        <v>135</v>
      </c>
      <c r="BX1868" t="str">
        <f>""</f>
        <v/>
      </c>
      <c r="BY1868" t="str">
        <f>""</f>
        <v/>
      </c>
      <c r="BZ1868" t="str">
        <f>""</f>
        <v/>
      </c>
      <c r="CA1868" s="2" t="s">
        <v>12288</v>
      </c>
      <c r="CB1868" t="s">
        <v>135</v>
      </c>
      <c r="CC1868" t="s">
        <v>133</v>
      </c>
      <c r="CE1868" t="s">
        <v>12287</v>
      </c>
      <c r="CF1868" t="s">
        <v>131</v>
      </c>
      <c r="CH1868" t="str">
        <f>"N/A"</f>
        <v>N/A</v>
      </c>
      <c r="CI1868" t="s">
        <v>135</v>
      </c>
      <c r="CJ1868">
        <v>84</v>
      </c>
      <c r="CK1868" t="s">
        <v>135</v>
      </c>
      <c r="CL1868" t="str">
        <f>""</f>
        <v/>
      </c>
      <c r="CM1868" t="str">
        <f>""</f>
        <v/>
      </c>
      <c r="CN1868" t="str">
        <f>""</f>
        <v/>
      </c>
      <c r="CO1868" s="2" t="s">
        <v>12289</v>
      </c>
      <c r="CP1868" t="str">
        <f>"17-2072.00"</f>
        <v>17-2072.00</v>
      </c>
      <c r="CQ1868" t="s">
        <v>865</v>
      </c>
      <c r="CR1868" t="s">
        <v>12290</v>
      </c>
      <c r="CS1868" t="s">
        <v>135</v>
      </c>
      <c r="CT1868" t="s">
        <v>12291</v>
      </c>
      <c r="CU1868" t="s">
        <v>12292</v>
      </c>
      <c r="CW1868" t="s">
        <v>791</v>
      </c>
      <c r="CX1868" t="s">
        <v>172</v>
      </c>
      <c r="CZ1868" s="3" t="str">
        <f>"92121"</f>
        <v>92121</v>
      </c>
      <c r="DA1868" t="s">
        <v>131</v>
      </c>
      <c r="DB1868" t="str">
        <f>""</f>
        <v/>
      </c>
      <c r="DF1868" t="str">
        <f>""</f>
        <v/>
      </c>
    </row>
    <row r="1869" spans="1:110" ht="15" customHeight="1" x14ac:dyDescent="0.35">
      <c r="A1869" t="s">
        <v>20189</v>
      </c>
      <c r="B1869" t="s">
        <v>138</v>
      </c>
      <c r="C1869" s="1">
        <v>44354</v>
      </c>
      <c r="G1869" s="1">
        <v>44354</v>
      </c>
      <c r="H1869" t="s">
        <v>125</v>
      </c>
      <c r="I1869" t="s">
        <v>5454</v>
      </c>
      <c r="J1869" t="s">
        <v>7308</v>
      </c>
      <c r="L1869" t="s">
        <v>4430</v>
      </c>
      <c r="M1869" t="s">
        <v>5455</v>
      </c>
      <c r="N1869" t="s">
        <v>5456</v>
      </c>
      <c r="O1869" t="s">
        <v>642</v>
      </c>
      <c r="P1869" t="s">
        <v>818</v>
      </c>
      <c r="Q1869" s="3">
        <v>30350</v>
      </c>
      <c r="R1869" t="s">
        <v>128</v>
      </c>
      <c r="T1869" s="4">
        <v>14049498147</v>
      </c>
      <c r="V1869" t="s">
        <v>7309</v>
      </c>
      <c r="W1869" t="s">
        <v>11644</v>
      </c>
      <c r="Y1869" t="s">
        <v>11645</v>
      </c>
      <c r="Z1869" t="s">
        <v>932</v>
      </c>
      <c r="AA1869" t="s">
        <v>642</v>
      </c>
      <c r="AB1869" t="s">
        <v>643</v>
      </c>
      <c r="AC1869" s="3" t="str">
        <f>"30328"</f>
        <v>30328</v>
      </c>
      <c r="AD1869" t="s">
        <v>128</v>
      </c>
      <c r="AF1869" s="4">
        <v>14043953040</v>
      </c>
      <c r="AH1869" t="str">
        <f>"56149"</f>
        <v>56149</v>
      </c>
      <c r="AI1869" t="s">
        <v>130</v>
      </c>
      <c r="AJ1869" t="s">
        <v>5457</v>
      </c>
      <c r="AK1869" t="s">
        <v>1487</v>
      </c>
      <c r="AM1869" t="s">
        <v>2836</v>
      </c>
      <c r="AN1869" t="s">
        <v>611</v>
      </c>
      <c r="AO1869" t="s">
        <v>642</v>
      </c>
      <c r="AP1869" t="s">
        <v>643</v>
      </c>
      <c r="AQ1869" s="5">
        <v>30350</v>
      </c>
      <c r="AR1869" t="s">
        <v>128</v>
      </c>
      <c r="AT1869" s="4">
        <v>14048168611</v>
      </c>
      <c r="AV1869" t="s">
        <v>5458</v>
      </c>
      <c r="AW1869" t="s">
        <v>5455</v>
      </c>
      <c r="AX1869" t="s">
        <v>131</v>
      </c>
      <c r="AY1869" t="s">
        <v>131</v>
      </c>
      <c r="AZ1869" t="s">
        <v>131</v>
      </c>
      <c r="BA1869" t="s">
        <v>131</v>
      </c>
      <c r="BB1869" t="s">
        <v>131</v>
      </c>
      <c r="BC1869" t="s">
        <v>131</v>
      </c>
      <c r="BD1869" t="s">
        <v>131</v>
      </c>
      <c r="BE1869" t="s">
        <v>132</v>
      </c>
      <c r="BH1869" t="s">
        <v>11646</v>
      </c>
      <c r="BI1869" t="s">
        <v>131</v>
      </c>
      <c r="BL1869" t="s">
        <v>188</v>
      </c>
      <c r="BN1869" t="s">
        <v>20190</v>
      </c>
      <c r="BO1869" t="s">
        <v>131</v>
      </c>
      <c r="BP1869" t="s">
        <v>134</v>
      </c>
      <c r="BQ1869" t="s">
        <v>131</v>
      </c>
      <c r="BS1869" t="str">
        <f t="shared" si="108"/>
        <v>N/A</v>
      </c>
      <c r="BT1869" t="s">
        <v>135</v>
      </c>
      <c r="BU1869">
        <v>36</v>
      </c>
      <c r="BV1869" t="str">
        <f>"Job offered or closely related position."</f>
        <v>Job offered or closely related position.</v>
      </c>
      <c r="BW1869" t="s">
        <v>135</v>
      </c>
      <c r="BX1869" t="str">
        <f>""</f>
        <v/>
      </c>
      <c r="BY1869" t="str">
        <f>""</f>
        <v/>
      </c>
      <c r="BZ1869" t="str">
        <f>""</f>
        <v/>
      </c>
      <c r="CA1869" t="str">
        <f>"Experience which may have been obtained concurrently must include three years’ experience in Pega Marketing/Pega Decisioning/Java."</f>
        <v>Experience which may have been obtained concurrently must include three years’ experience in Pega Marketing/Pega Decisioning/Java.</v>
      </c>
      <c r="CB1869" t="s">
        <v>135</v>
      </c>
      <c r="CC1869" t="s">
        <v>133</v>
      </c>
      <c r="CE1869" t="s">
        <v>20191</v>
      </c>
      <c r="CF1869" t="s">
        <v>131</v>
      </c>
      <c r="CH1869" t="str">
        <f>"N/A"</f>
        <v>N/A</v>
      </c>
      <c r="CI1869" t="s">
        <v>135</v>
      </c>
      <c r="CJ1869">
        <v>60</v>
      </c>
      <c r="CK1869" t="s">
        <v>131</v>
      </c>
      <c r="CL1869" t="str">
        <f>""</f>
        <v/>
      </c>
      <c r="CM1869" t="str">
        <f>""</f>
        <v/>
      </c>
      <c r="CN1869" t="str">
        <f>""</f>
        <v/>
      </c>
      <c r="CO1869" t="str">
        <f>""</f>
        <v/>
      </c>
      <c r="CP1869" t="str">
        <f>"15-1132.00"</f>
        <v>15-1132.00</v>
      </c>
      <c r="CQ1869" t="s">
        <v>198</v>
      </c>
      <c r="CR1869" t="s">
        <v>460</v>
      </c>
      <c r="CS1869" t="s">
        <v>131</v>
      </c>
      <c r="CU1869" t="s">
        <v>11645</v>
      </c>
      <c r="CV1869" t="s">
        <v>932</v>
      </c>
      <c r="CW1869" t="s">
        <v>642</v>
      </c>
      <c r="CX1869" t="s">
        <v>643</v>
      </c>
      <c r="CZ1869" s="3" t="str">
        <f>"30328"</f>
        <v>30328</v>
      </c>
      <c r="DA1869" t="s">
        <v>131</v>
      </c>
      <c r="DB1869" t="str">
        <f>""</f>
        <v/>
      </c>
      <c r="DF1869" t="str">
        <f>""</f>
        <v/>
      </c>
    </row>
    <row r="1870" spans="1:110" ht="15" customHeight="1" x14ac:dyDescent="0.35">
      <c r="A1870" t="s">
        <v>13403</v>
      </c>
      <c r="B1870" t="s">
        <v>138</v>
      </c>
      <c r="C1870" s="1">
        <v>44354</v>
      </c>
      <c r="G1870" s="1">
        <v>44354</v>
      </c>
      <c r="H1870" t="s">
        <v>125</v>
      </c>
      <c r="I1870" t="s">
        <v>13404</v>
      </c>
      <c r="J1870" t="s">
        <v>9780</v>
      </c>
      <c r="L1870" t="s">
        <v>11751</v>
      </c>
      <c r="M1870" t="s">
        <v>13405</v>
      </c>
      <c r="O1870" t="s">
        <v>13406</v>
      </c>
      <c r="P1870" t="s">
        <v>539</v>
      </c>
      <c r="Q1870" s="3">
        <v>60202</v>
      </c>
      <c r="R1870" t="s">
        <v>128</v>
      </c>
      <c r="T1870" s="4">
        <v>18472576084</v>
      </c>
      <c r="V1870" t="s">
        <v>9783</v>
      </c>
      <c r="W1870" t="s">
        <v>13407</v>
      </c>
      <c r="Y1870" t="s">
        <v>13408</v>
      </c>
      <c r="AA1870" t="s">
        <v>13409</v>
      </c>
      <c r="AB1870" t="s">
        <v>263</v>
      </c>
      <c r="AC1870" s="3" t="str">
        <f>"60439"</f>
        <v>60439</v>
      </c>
      <c r="AD1870" t="s">
        <v>128</v>
      </c>
      <c r="AF1870" s="4">
        <v>16302430400</v>
      </c>
      <c r="AH1870" t="str">
        <f>"623110"</f>
        <v>623110</v>
      </c>
      <c r="AI1870" t="s">
        <v>167</v>
      </c>
      <c r="AX1870" t="s">
        <v>131</v>
      </c>
      <c r="AY1870" t="s">
        <v>131</v>
      </c>
      <c r="AZ1870" t="s">
        <v>131</v>
      </c>
      <c r="BA1870" t="s">
        <v>131</v>
      </c>
      <c r="BB1870" t="s">
        <v>131</v>
      </c>
      <c r="BC1870" t="s">
        <v>131</v>
      </c>
      <c r="BD1870" t="s">
        <v>131</v>
      </c>
      <c r="BE1870" t="s">
        <v>132</v>
      </c>
      <c r="BH1870" t="s">
        <v>230</v>
      </c>
      <c r="BI1870" t="s">
        <v>131</v>
      </c>
      <c r="BL1870" t="s">
        <v>307</v>
      </c>
      <c r="BN1870" t="s">
        <v>1451</v>
      </c>
      <c r="BO1870" t="s">
        <v>131</v>
      </c>
      <c r="BP1870" t="s">
        <v>134</v>
      </c>
      <c r="BQ1870" t="s">
        <v>131</v>
      </c>
      <c r="BS1870" t="str">
        <f t="shared" si="108"/>
        <v>N/A</v>
      </c>
      <c r="BT1870" t="s">
        <v>131</v>
      </c>
      <c r="BV1870" t="str">
        <f>""</f>
        <v/>
      </c>
      <c r="BW1870" t="s">
        <v>131</v>
      </c>
      <c r="BX1870" t="str">
        <f>""</f>
        <v/>
      </c>
      <c r="BY1870" t="str">
        <f>""</f>
        <v/>
      </c>
      <c r="BZ1870" t="str">
        <f>""</f>
        <v/>
      </c>
      <c r="CA1870" t="str">
        <f>""</f>
        <v/>
      </c>
      <c r="CB1870" t="s">
        <v>131</v>
      </c>
      <c r="CF1870" t="s">
        <v>131</v>
      </c>
      <c r="CH1870" t="str">
        <f>""</f>
        <v/>
      </c>
      <c r="CI1870" t="s">
        <v>131</v>
      </c>
      <c r="CK1870" t="s">
        <v>131</v>
      </c>
      <c r="CL1870" t="str">
        <f>""</f>
        <v/>
      </c>
      <c r="CM1870" t="str">
        <f>""</f>
        <v/>
      </c>
      <c r="CN1870" t="str">
        <f>""</f>
        <v/>
      </c>
      <c r="CO1870" t="str">
        <f>""</f>
        <v/>
      </c>
      <c r="CP1870" t="str">
        <f>"29-1141.00"</f>
        <v>29-1141.00</v>
      </c>
      <c r="CQ1870" t="s">
        <v>232</v>
      </c>
      <c r="CR1870" t="s">
        <v>13410</v>
      </c>
      <c r="CS1870" t="s">
        <v>131</v>
      </c>
      <c r="CU1870" t="s">
        <v>13411</v>
      </c>
      <c r="CW1870" t="s">
        <v>13409</v>
      </c>
      <c r="CX1870" t="s">
        <v>263</v>
      </c>
      <c r="CZ1870" s="3" t="str">
        <f>"60439"</f>
        <v>60439</v>
      </c>
      <c r="DA1870" t="s">
        <v>131</v>
      </c>
      <c r="DB1870" t="str">
        <f>""</f>
        <v/>
      </c>
      <c r="DF1870" t="str">
        <f>""</f>
        <v/>
      </c>
    </row>
    <row r="1871" spans="1:110" ht="15" customHeight="1" x14ac:dyDescent="0.35">
      <c r="A1871" t="s">
        <v>16589</v>
      </c>
      <c r="B1871" t="s">
        <v>138</v>
      </c>
      <c r="C1871" s="1">
        <v>44354</v>
      </c>
      <c r="G1871" s="1">
        <v>44355</v>
      </c>
      <c r="H1871" t="s">
        <v>125</v>
      </c>
      <c r="I1871" t="s">
        <v>1907</v>
      </c>
      <c r="J1871" t="s">
        <v>1908</v>
      </c>
      <c r="L1871" t="s">
        <v>1909</v>
      </c>
      <c r="M1871" t="s">
        <v>1910</v>
      </c>
      <c r="O1871" t="s">
        <v>1911</v>
      </c>
      <c r="P1871" t="s">
        <v>178</v>
      </c>
      <c r="Q1871" s="3">
        <v>94070</v>
      </c>
      <c r="R1871" t="s">
        <v>128</v>
      </c>
      <c r="T1871" s="4">
        <v>19255705316</v>
      </c>
      <c r="V1871" t="s">
        <v>1912</v>
      </c>
      <c r="W1871" t="s">
        <v>1913</v>
      </c>
      <c r="Y1871" t="s">
        <v>1910</v>
      </c>
      <c r="AA1871" t="s">
        <v>1914</v>
      </c>
      <c r="AB1871" t="s">
        <v>172</v>
      </c>
      <c r="AC1871" s="3" t="str">
        <f>"94070"</f>
        <v>94070</v>
      </c>
      <c r="AD1871" t="s">
        <v>128</v>
      </c>
      <c r="AF1871" s="4">
        <v>19255705316</v>
      </c>
      <c r="AH1871" t="str">
        <f>"334517"</f>
        <v>334517</v>
      </c>
      <c r="AI1871" t="s">
        <v>130</v>
      </c>
      <c r="AJ1871" t="s">
        <v>1915</v>
      </c>
      <c r="AK1871" t="s">
        <v>522</v>
      </c>
      <c r="AL1871" t="s">
        <v>1254</v>
      </c>
      <c r="AM1871" t="s">
        <v>1199</v>
      </c>
      <c r="AO1871" t="s">
        <v>1200</v>
      </c>
      <c r="AP1871" t="s">
        <v>172</v>
      </c>
      <c r="AQ1871" s="5">
        <v>91301</v>
      </c>
      <c r="AR1871" t="s">
        <v>128</v>
      </c>
      <c r="AT1871" s="4">
        <v>18189146482</v>
      </c>
      <c r="AV1871" t="s">
        <v>1201</v>
      </c>
      <c r="AW1871" t="s">
        <v>1202</v>
      </c>
      <c r="AX1871" t="s">
        <v>131</v>
      </c>
      <c r="AY1871" t="s">
        <v>131</v>
      </c>
      <c r="AZ1871" t="s">
        <v>131</v>
      </c>
      <c r="BA1871" t="s">
        <v>131</v>
      </c>
      <c r="BB1871" t="s">
        <v>131</v>
      </c>
      <c r="BC1871" t="s">
        <v>131</v>
      </c>
      <c r="BD1871" t="s">
        <v>131</v>
      </c>
      <c r="BE1871" t="s">
        <v>132</v>
      </c>
      <c r="BH1871" t="s">
        <v>1917</v>
      </c>
      <c r="BI1871" t="s">
        <v>131</v>
      </c>
      <c r="BL1871" t="s">
        <v>133</v>
      </c>
      <c r="BN1871" t="s">
        <v>459</v>
      </c>
      <c r="BO1871" t="s">
        <v>131</v>
      </c>
      <c r="BP1871" t="s">
        <v>134</v>
      </c>
      <c r="BQ1871" t="s">
        <v>131</v>
      </c>
      <c r="BS1871" t="str">
        <f t="shared" si="108"/>
        <v>N/A</v>
      </c>
      <c r="BT1871" t="s">
        <v>135</v>
      </c>
      <c r="BU1871">
        <v>60</v>
      </c>
      <c r="BV1871" t="str">
        <f>"See F.a.2"</f>
        <v>See F.a.2</v>
      </c>
      <c r="BW1871" t="s">
        <v>135</v>
      </c>
      <c r="BX1871" t="str">
        <f>""</f>
        <v/>
      </c>
      <c r="BY1871" t="str">
        <f>""</f>
        <v/>
      </c>
      <c r="BZ1871" t="str">
        <f>""</f>
        <v/>
      </c>
      <c r="CA1871" s="2" t="s">
        <v>16590</v>
      </c>
      <c r="CB1871" t="s">
        <v>131</v>
      </c>
      <c r="CF1871" t="s">
        <v>131</v>
      </c>
      <c r="CH1871" t="str">
        <f>""</f>
        <v/>
      </c>
      <c r="CI1871" t="s">
        <v>131</v>
      </c>
      <c r="CK1871" t="s">
        <v>131</v>
      </c>
      <c r="CL1871" t="str">
        <f>""</f>
        <v/>
      </c>
      <c r="CM1871" t="str">
        <f>""</f>
        <v/>
      </c>
      <c r="CN1871" t="str">
        <f>""</f>
        <v/>
      </c>
      <c r="CO1871" t="str">
        <f>""</f>
        <v/>
      </c>
      <c r="CP1871" t="str">
        <f>"17-2031.00"</f>
        <v>17-2031.00</v>
      </c>
      <c r="CQ1871" t="s">
        <v>1919</v>
      </c>
      <c r="CR1871" t="s">
        <v>1920</v>
      </c>
      <c r="CS1871" t="s">
        <v>135</v>
      </c>
      <c r="CT1871" t="s">
        <v>16591</v>
      </c>
      <c r="CU1871" t="s">
        <v>1910</v>
      </c>
      <c r="CW1871" t="s">
        <v>1914</v>
      </c>
      <c r="CX1871" t="s">
        <v>172</v>
      </c>
      <c r="CZ1871" s="3" t="str">
        <f>"94070"</f>
        <v>94070</v>
      </c>
      <c r="DA1871" t="s">
        <v>131</v>
      </c>
      <c r="DB1871" t="str">
        <f>""</f>
        <v/>
      </c>
      <c r="DF1871" t="str">
        <f>""</f>
        <v/>
      </c>
    </row>
    <row r="1872" spans="1:110" ht="15" customHeight="1" x14ac:dyDescent="0.35">
      <c r="A1872" t="s">
        <v>19243</v>
      </c>
      <c r="B1872" t="s">
        <v>138</v>
      </c>
      <c r="C1872" s="1">
        <v>44354</v>
      </c>
      <c r="G1872" s="1">
        <v>44354</v>
      </c>
      <c r="H1872" t="s">
        <v>125</v>
      </c>
      <c r="I1872" t="s">
        <v>9109</v>
      </c>
      <c r="J1872" t="s">
        <v>3714</v>
      </c>
      <c r="L1872" t="s">
        <v>9110</v>
      </c>
      <c r="M1872" t="s">
        <v>9111</v>
      </c>
      <c r="N1872" t="s">
        <v>9112</v>
      </c>
      <c r="O1872" t="s">
        <v>944</v>
      </c>
      <c r="P1872" t="s">
        <v>178</v>
      </c>
      <c r="Q1872" s="3">
        <v>94143</v>
      </c>
      <c r="R1872" t="s">
        <v>128</v>
      </c>
      <c r="T1872" s="4">
        <v>14153534627</v>
      </c>
      <c r="V1872" t="s">
        <v>9113</v>
      </c>
      <c r="W1872" t="s">
        <v>9114</v>
      </c>
      <c r="Y1872" t="s">
        <v>9111</v>
      </c>
      <c r="Z1872" t="s">
        <v>9112</v>
      </c>
      <c r="AA1872" t="s">
        <v>944</v>
      </c>
      <c r="AB1872" t="s">
        <v>172</v>
      </c>
      <c r="AC1872" s="3" t="str">
        <f>"94143"</f>
        <v>94143</v>
      </c>
      <c r="AD1872" t="s">
        <v>128</v>
      </c>
      <c r="AF1872" s="4">
        <v>14153534627</v>
      </c>
      <c r="AH1872" t="str">
        <f>"62211"</f>
        <v>62211</v>
      </c>
      <c r="AI1872" t="s">
        <v>130</v>
      </c>
      <c r="AJ1872" t="s">
        <v>9115</v>
      </c>
      <c r="AK1872" t="s">
        <v>246</v>
      </c>
      <c r="AL1872" t="s">
        <v>651</v>
      </c>
      <c r="AM1872" t="s">
        <v>1328</v>
      </c>
      <c r="AN1872" t="s">
        <v>439</v>
      </c>
      <c r="AO1872" t="s">
        <v>220</v>
      </c>
      <c r="AP1872" t="s">
        <v>172</v>
      </c>
      <c r="AQ1872" s="5">
        <v>94104</v>
      </c>
      <c r="AR1872" t="s">
        <v>128</v>
      </c>
      <c r="AT1872" s="4">
        <v>14159813000</v>
      </c>
      <c r="AV1872" t="s">
        <v>9116</v>
      </c>
      <c r="AW1872" t="s">
        <v>9117</v>
      </c>
      <c r="AX1872" t="s">
        <v>131</v>
      </c>
      <c r="AY1872" t="s">
        <v>131</v>
      </c>
      <c r="AZ1872" t="s">
        <v>131</v>
      </c>
      <c r="BA1872" t="s">
        <v>131</v>
      </c>
      <c r="BB1872" t="s">
        <v>131</v>
      </c>
      <c r="BC1872" t="s">
        <v>131</v>
      </c>
      <c r="BD1872" t="s">
        <v>131</v>
      </c>
      <c r="BE1872" t="s">
        <v>132</v>
      </c>
      <c r="BH1872" t="s">
        <v>4178</v>
      </c>
      <c r="BI1872" t="s">
        <v>135</v>
      </c>
      <c r="BJ1872" t="s">
        <v>9118</v>
      </c>
      <c r="BK1872" t="s">
        <v>9119</v>
      </c>
      <c r="BL1872" t="s">
        <v>188</v>
      </c>
      <c r="BN1872" t="s">
        <v>9120</v>
      </c>
      <c r="BO1872" t="s">
        <v>131</v>
      </c>
      <c r="BP1872" t="s">
        <v>134</v>
      </c>
      <c r="BQ1872" t="s">
        <v>131</v>
      </c>
      <c r="BS1872" t="str">
        <f t="shared" si="108"/>
        <v>N/A</v>
      </c>
      <c r="BT1872" t="s">
        <v>135</v>
      </c>
      <c r="BU1872">
        <v>84</v>
      </c>
      <c r="BV1872" t="str">
        <f>"Industrial Engineer, Lean Consultant, Supply Chain Process Management, Supply Chain Operations Manager, or Business Analyst"</f>
        <v>Industrial Engineer, Lean Consultant, Supply Chain Process Management, Supply Chain Operations Manager, or Business Analyst</v>
      </c>
      <c r="BW1872" t="s">
        <v>135</v>
      </c>
      <c r="BX1872" t="str">
        <f>""</f>
        <v/>
      </c>
      <c r="BY1872" t="str">
        <f>""</f>
        <v/>
      </c>
      <c r="BZ1872" t="str">
        <f>""</f>
        <v/>
      </c>
      <c r="CA1872" t="str">
        <f>"7 years of work experience as an Industrial Engineer, Lean Consultant, Supply Chain Process Management, Supply Chain Operations Manager, or Business Analyst designing and implementing lean management systems at health care facility.  "</f>
        <v xml:space="preserve">7 years of work experience as an Industrial Engineer, Lean Consultant, Supply Chain Process Management, Supply Chain Operations Manager, or Business Analyst designing and implementing lean management systems at health care facility.  </v>
      </c>
      <c r="CB1872" t="s">
        <v>131</v>
      </c>
      <c r="CF1872" t="s">
        <v>131</v>
      </c>
      <c r="CH1872" t="str">
        <f>""</f>
        <v/>
      </c>
      <c r="CI1872" t="s">
        <v>131</v>
      </c>
      <c r="CK1872" t="s">
        <v>131</v>
      </c>
      <c r="CL1872" t="str">
        <f>""</f>
        <v/>
      </c>
      <c r="CM1872" t="str">
        <f>""</f>
        <v/>
      </c>
      <c r="CN1872" t="str">
        <f>""</f>
        <v/>
      </c>
      <c r="CO1872" t="str">
        <f>""</f>
        <v/>
      </c>
      <c r="CP1872" t="str">
        <f>"17-2112.00"</f>
        <v>17-2112.00</v>
      </c>
      <c r="CQ1872" t="s">
        <v>360</v>
      </c>
      <c r="CR1872" t="s">
        <v>9121</v>
      </c>
      <c r="CS1872" t="s">
        <v>131</v>
      </c>
      <c r="CU1872" t="s">
        <v>9122</v>
      </c>
      <c r="CW1872" t="s">
        <v>220</v>
      </c>
      <c r="CX1872" t="s">
        <v>172</v>
      </c>
      <c r="CZ1872" s="3" t="str">
        <f>"94117"</f>
        <v>94117</v>
      </c>
      <c r="DA1872" t="s">
        <v>131</v>
      </c>
      <c r="DB1872" t="str">
        <f>""</f>
        <v/>
      </c>
      <c r="DF1872" t="str">
        <f>""</f>
        <v/>
      </c>
    </row>
    <row r="1873" spans="1:110" ht="15" customHeight="1" x14ac:dyDescent="0.35">
      <c r="A1873" t="s">
        <v>5158</v>
      </c>
      <c r="B1873" t="s">
        <v>138</v>
      </c>
      <c r="C1873" s="1">
        <v>44354</v>
      </c>
      <c r="G1873" s="1">
        <v>44372</v>
      </c>
      <c r="H1873" t="s">
        <v>125</v>
      </c>
      <c r="I1873" t="s">
        <v>2264</v>
      </c>
      <c r="J1873" t="s">
        <v>202</v>
      </c>
      <c r="L1873" t="s">
        <v>203</v>
      </c>
      <c r="M1873" t="s">
        <v>204</v>
      </c>
      <c r="O1873" t="s">
        <v>205</v>
      </c>
      <c r="P1873" t="s">
        <v>194</v>
      </c>
      <c r="Q1873" s="3">
        <v>33607</v>
      </c>
      <c r="R1873" t="s">
        <v>128</v>
      </c>
      <c r="T1873" s="4">
        <v>18133487000</v>
      </c>
      <c r="V1873" t="s">
        <v>206</v>
      </c>
      <c r="W1873" t="s">
        <v>2265</v>
      </c>
      <c r="Y1873" t="s">
        <v>208</v>
      </c>
      <c r="AA1873" t="s">
        <v>205</v>
      </c>
      <c r="AB1873" t="s">
        <v>195</v>
      </c>
      <c r="AC1873" s="3" t="str">
        <f>"33607"</f>
        <v>33607</v>
      </c>
      <c r="AD1873" t="s">
        <v>128</v>
      </c>
      <c r="AF1873" s="4">
        <v>18133487000</v>
      </c>
      <c r="AH1873" t="str">
        <f>"541611"</f>
        <v>541611</v>
      </c>
      <c r="AI1873" t="s">
        <v>130</v>
      </c>
      <c r="AJ1873" t="s">
        <v>209</v>
      </c>
      <c r="AK1873" t="s">
        <v>210</v>
      </c>
      <c r="AL1873" t="s">
        <v>211</v>
      </c>
      <c r="AM1873" t="s">
        <v>212</v>
      </c>
      <c r="AN1873" t="s">
        <v>213</v>
      </c>
      <c r="AO1873" t="s">
        <v>214</v>
      </c>
      <c r="AQ1873" s="5" t="s">
        <v>215</v>
      </c>
      <c r="AR1873" t="s">
        <v>156</v>
      </c>
      <c r="AS1873" t="s">
        <v>216</v>
      </c>
      <c r="AT1873" s="4">
        <v>14169418383</v>
      </c>
      <c r="AV1873" t="s">
        <v>217</v>
      </c>
      <c r="AW1873" t="s">
        <v>218</v>
      </c>
      <c r="AX1873" t="s">
        <v>131</v>
      </c>
      <c r="AY1873" t="s">
        <v>131</v>
      </c>
      <c r="AZ1873" t="s">
        <v>131</v>
      </c>
      <c r="BA1873" t="s">
        <v>131</v>
      </c>
      <c r="BB1873" t="s">
        <v>131</v>
      </c>
      <c r="BC1873" t="s">
        <v>131</v>
      </c>
      <c r="BD1873" t="s">
        <v>131</v>
      </c>
      <c r="BE1873" t="s">
        <v>132</v>
      </c>
      <c r="BH1873" t="s">
        <v>5159</v>
      </c>
      <c r="BI1873" t="s">
        <v>135</v>
      </c>
      <c r="BJ1873" t="s">
        <v>5160</v>
      </c>
      <c r="BK1873" t="s">
        <v>711</v>
      </c>
      <c r="BL1873" t="s">
        <v>133</v>
      </c>
      <c r="BN1873" t="s">
        <v>5161</v>
      </c>
      <c r="BO1873" t="s">
        <v>131</v>
      </c>
      <c r="BP1873" t="s">
        <v>134</v>
      </c>
      <c r="BQ1873" t="s">
        <v>131</v>
      </c>
      <c r="BS1873" t="str">
        <f t="shared" si="108"/>
        <v>N/A</v>
      </c>
      <c r="BT1873" t="s">
        <v>135</v>
      </c>
      <c r="BU1873">
        <v>72</v>
      </c>
      <c r="BV1873" t="str">
        <f>"Information Systems Analysts or related occupation."</f>
        <v>Information Systems Analysts or related occupation.</v>
      </c>
      <c r="BW1873" t="s">
        <v>135</v>
      </c>
      <c r="BX1873" t="str">
        <f>""</f>
        <v/>
      </c>
      <c r="BY1873" t="str">
        <f>""</f>
        <v/>
      </c>
      <c r="BZ1873" t="str">
        <f>""</f>
        <v/>
      </c>
      <c r="CA1873" s="2" t="s">
        <v>5162</v>
      </c>
      <c r="CB1873" t="s">
        <v>135</v>
      </c>
      <c r="CC1873" t="s">
        <v>188</v>
      </c>
      <c r="CE1873" t="s">
        <v>5161</v>
      </c>
      <c r="CF1873" t="s">
        <v>131</v>
      </c>
      <c r="CH1873" t="str">
        <f>"N/A"</f>
        <v>N/A</v>
      </c>
      <c r="CI1873" t="s">
        <v>135</v>
      </c>
      <c r="CJ1873">
        <v>48</v>
      </c>
      <c r="CK1873" t="s">
        <v>135</v>
      </c>
      <c r="CL1873" t="str">
        <f>""</f>
        <v/>
      </c>
      <c r="CM1873" t="str">
        <f>""</f>
        <v/>
      </c>
      <c r="CN1873" t="str">
        <f>""</f>
        <v/>
      </c>
      <c r="CO1873" s="2" t="s">
        <v>5162</v>
      </c>
      <c r="CP1873" t="str">
        <f>"15-1122.00"</f>
        <v>15-1122.00</v>
      </c>
      <c r="CQ1873" t="s">
        <v>711</v>
      </c>
      <c r="CS1873" t="s">
        <v>135</v>
      </c>
      <c r="CT1873" t="s">
        <v>2266</v>
      </c>
      <c r="CU1873" t="s">
        <v>5163</v>
      </c>
      <c r="CW1873" t="s">
        <v>885</v>
      </c>
      <c r="CX1873" t="s">
        <v>400</v>
      </c>
      <c r="CZ1873" s="3" t="str">
        <f>"77002"</f>
        <v>77002</v>
      </c>
      <c r="DA1873" t="s">
        <v>131</v>
      </c>
      <c r="DB1873" t="str">
        <f>""</f>
        <v/>
      </c>
      <c r="DF1873" t="str">
        <f>""</f>
        <v/>
      </c>
    </row>
    <row r="1874" spans="1:110" ht="15" customHeight="1" x14ac:dyDescent="0.35">
      <c r="A1874" t="s">
        <v>10690</v>
      </c>
      <c r="B1874" t="s">
        <v>138</v>
      </c>
      <c r="C1874" s="1">
        <v>44354</v>
      </c>
      <c r="G1874" s="1">
        <v>44355</v>
      </c>
      <c r="H1874" t="s">
        <v>125</v>
      </c>
      <c r="I1874" t="s">
        <v>8447</v>
      </c>
      <c r="J1874" t="s">
        <v>1540</v>
      </c>
      <c r="L1874" t="s">
        <v>1105</v>
      </c>
      <c r="M1874" t="s">
        <v>10691</v>
      </c>
      <c r="O1874" t="s">
        <v>8657</v>
      </c>
      <c r="P1874" t="s">
        <v>588</v>
      </c>
      <c r="Q1874" s="3">
        <v>23188</v>
      </c>
      <c r="R1874" t="s">
        <v>128</v>
      </c>
      <c r="T1874" s="4">
        <v>17572531947</v>
      </c>
      <c r="V1874" t="s">
        <v>10692</v>
      </c>
      <c r="W1874" t="s">
        <v>10693</v>
      </c>
      <c r="Y1874" t="s">
        <v>10691</v>
      </c>
      <c r="AA1874" t="s">
        <v>8657</v>
      </c>
      <c r="AB1874" t="s">
        <v>306</v>
      </c>
      <c r="AC1874" s="3" t="str">
        <f>"23188"</f>
        <v>23188</v>
      </c>
      <c r="AD1874" t="s">
        <v>128</v>
      </c>
      <c r="AF1874" s="4">
        <v>17572531947</v>
      </c>
      <c r="AH1874" t="str">
        <f>"71394"</f>
        <v>71394</v>
      </c>
      <c r="AI1874" t="s">
        <v>130</v>
      </c>
      <c r="AJ1874" t="s">
        <v>10565</v>
      </c>
      <c r="AK1874" t="s">
        <v>10566</v>
      </c>
      <c r="AM1874" t="s">
        <v>10567</v>
      </c>
      <c r="AN1874" t="s">
        <v>10568</v>
      </c>
      <c r="AO1874" t="s">
        <v>742</v>
      </c>
      <c r="AP1874" t="s">
        <v>306</v>
      </c>
      <c r="AQ1874" s="5">
        <v>23230</v>
      </c>
      <c r="AR1874" t="s">
        <v>128</v>
      </c>
      <c r="AT1874" s="4">
        <v>18046732222</v>
      </c>
      <c r="AV1874" t="s">
        <v>10569</v>
      </c>
      <c r="AW1874" t="s">
        <v>10694</v>
      </c>
      <c r="AX1874" t="s">
        <v>131</v>
      </c>
      <c r="AY1874" t="s">
        <v>131</v>
      </c>
      <c r="AZ1874" t="s">
        <v>131</v>
      </c>
      <c r="BA1874" t="s">
        <v>131</v>
      </c>
      <c r="BB1874" t="s">
        <v>131</v>
      </c>
      <c r="BC1874" t="s">
        <v>131</v>
      </c>
      <c r="BD1874" t="s">
        <v>131</v>
      </c>
      <c r="BE1874" t="s">
        <v>132</v>
      </c>
      <c r="BH1874" t="s">
        <v>10695</v>
      </c>
      <c r="BI1874" t="s">
        <v>135</v>
      </c>
      <c r="BJ1874" t="s">
        <v>5284</v>
      </c>
      <c r="BK1874" t="s">
        <v>4698</v>
      </c>
      <c r="BL1874" t="s">
        <v>133</v>
      </c>
      <c r="BN1874" t="s">
        <v>10696</v>
      </c>
      <c r="BO1874" t="s">
        <v>131</v>
      </c>
      <c r="BP1874" t="s">
        <v>134</v>
      </c>
      <c r="BQ1874" t="s">
        <v>131</v>
      </c>
      <c r="BS1874" t="str">
        <f t="shared" si="108"/>
        <v>N/A</v>
      </c>
      <c r="BT1874" t="s">
        <v>131</v>
      </c>
      <c r="BV1874" t="str">
        <f>""</f>
        <v/>
      </c>
      <c r="BW1874" t="s">
        <v>135</v>
      </c>
      <c r="BX1874" t="str">
        <f>"U.S. Youth Futsal Organization Grassroots Level 1 Certification."</f>
        <v>U.S. Youth Futsal Organization Grassroots Level 1 Certification.</v>
      </c>
      <c r="BY1874" t="str">
        <f>""</f>
        <v/>
      </c>
      <c r="BZ1874" t="str">
        <f>""</f>
        <v/>
      </c>
      <c r="CA1874" t="str">
        <f>""</f>
        <v/>
      </c>
      <c r="CB1874" t="s">
        <v>131</v>
      </c>
      <c r="CF1874" t="s">
        <v>131</v>
      </c>
      <c r="CH1874" t="str">
        <f>""</f>
        <v/>
      </c>
      <c r="CI1874" t="s">
        <v>131</v>
      </c>
      <c r="CK1874" t="s">
        <v>131</v>
      </c>
      <c r="CL1874" t="str">
        <f>""</f>
        <v/>
      </c>
      <c r="CM1874" t="str">
        <f>""</f>
        <v/>
      </c>
      <c r="CN1874" t="str">
        <f>""</f>
        <v/>
      </c>
      <c r="CO1874" t="str">
        <f>""</f>
        <v/>
      </c>
      <c r="CP1874" t="str">
        <f>"39-9032.00"</f>
        <v>39-9032.00</v>
      </c>
      <c r="CQ1874" t="s">
        <v>9239</v>
      </c>
      <c r="CR1874" t="s">
        <v>303</v>
      </c>
      <c r="CS1874" t="s">
        <v>131</v>
      </c>
      <c r="CU1874" t="s">
        <v>10691</v>
      </c>
      <c r="CW1874" t="s">
        <v>8657</v>
      </c>
      <c r="CX1874" t="s">
        <v>306</v>
      </c>
      <c r="CZ1874" s="3" t="str">
        <f>"23188"</f>
        <v>23188</v>
      </c>
      <c r="DA1874" t="s">
        <v>131</v>
      </c>
      <c r="DB1874" t="str">
        <f>""</f>
        <v/>
      </c>
      <c r="DF1874" t="str">
        <f>""</f>
        <v/>
      </c>
    </row>
    <row r="1875" spans="1:110" ht="15" customHeight="1" x14ac:dyDescent="0.35">
      <c r="A1875" t="s">
        <v>16424</v>
      </c>
      <c r="B1875" t="s">
        <v>138</v>
      </c>
      <c r="C1875" s="1">
        <v>44354</v>
      </c>
      <c r="G1875" s="1">
        <v>44362</v>
      </c>
      <c r="H1875" t="s">
        <v>125</v>
      </c>
      <c r="I1875" t="s">
        <v>16425</v>
      </c>
      <c r="J1875" t="s">
        <v>16426</v>
      </c>
      <c r="L1875" t="s">
        <v>395</v>
      </c>
      <c r="M1875" t="s">
        <v>16427</v>
      </c>
      <c r="N1875" t="s">
        <v>9952</v>
      </c>
      <c r="O1875" t="s">
        <v>16428</v>
      </c>
      <c r="P1875" t="s">
        <v>412</v>
      </c>
      <c r="Q1875" s="3">
        <v>77642</v>
      </c>
      <c r="R1875" t="s">
        <v>128</v>
      </c>
      <c r="T1875" s="4">
        <v>17138556398</v>
      </c>
      <c r="V1875" t="s">
        <v>16429</v>
      </c>
      <c r="W1875" t="s">
        <v>16430</v>
      </c>
      <c r="Y1875" t="s">
        <v>16427</v>
      </c>
      <c r="Z1875" t="s">
        <v>9952</v>
      </c>
      <c r="AA1875" t="s">
        <v>16428</v>
      </c>
      <c r="AB1875" t="s">
        <v>400</v>
      </c>
      <c r="AC1875" s="3" t="str">
        <f>"77642"</f>
        <v>77642</v>
      </c>
      <c r="AD1875" t="s">
        <v>128</v>
      </c>
      <c r="AF1875" s="4">
        <v>17138556398</v>
      </c>
      <c r="AH1875" t="str">
        <f>"517312"</f>
        <v>517312</v>
      </c>
      <c r="AI1875" t="s">
        <v>130</v>
      </c>
      <c r="AJ1875" t="s">
        <v>10004</v>
      </c>
      <c r="AK1875" t="s">
        <v>9584</v>
      </c>
      <c r="AL1875" t="s">
        <v>1198</v>
      </c>
      <c r="AM1875" t="s">
        <v>10005</v>
      </c>
      <c r="AN1875" t="s">
        <v>788</v>
      </c>
      <c r="AO1875" t="s">
        <v>1946</v>
      </c>
      <c r="AP1875" t="s">
        <v>400</v>
      </c>
      <c r="AQ1875" s="5">
        <v>77479</v>
      </c>
      <c r="AR1875" t="s">
        <v>128</v>
      </c>
      <c r="AT1875" s="4">
        <v>12813136100</v>
      </c>
      <c r="AV1875" t="s">
        <v>15955</v>
      </c>
      <c r="AW1875" t="s">
        <v>5397</v>
      </c>
      <c r="AX1875" t="s">
        <v>131</v>
      </c>
      <c r="AY1875" t="s">
        <v>131</v>
      </c>
      <c r="AZ1875" t="s">
        <v>131</v>
      </c>
      <c r="BA1875" t="s">
        <v>131</v>
      </c>
      <c r="BB1875" t="s">
        <v>131</v>
      </c>
      <c r="BC1875" t="s">
        <v>131</v>
      </c>
      <c r="BD1875" t="s">
        <v>131</v>
      </c>
      <c r="BE1875" t="s">
        <v>132</v>
      </c>
      <c r="BH1875" t="s">
        <v>614</v>
      </c>
      <c r="BI1875" t="s">
        <v>131</v>
      </c>
      <c r="BL1875" t="s">
        <v>188</v>
      </c>
      <c r="BN1875" t="s">
        <v>14015</v>
      </c>
      <c r="BO1875" t="s">
        <v>131</v>
      </c>
      <c r="BP1875" t="s">
        <v>134</v>
      </c>
      <c r="BQ1875" t="s">
        <v>131</v>
      </c>
      <c r="BS1875" t="str">
        <f t="shared" si="108"/>
        <v>N/A</v>
      </c>
      <c r="BT1875" t="s">
        <v>131</v>
      </c>
      <c r="BV1875" t="str">
        <f>""</f>
        <v/>
      </c>
      <c r="BW1875" t="s">
        <v>131</v>
      </c>
      <c r="BX1875" t="str">
        <f>""</f>
        <v/>
      </c>
      <c r="BY1875" t="str">
        <f>""</f>
        <v/>
      </c>
      <c r="BZ1875" t="str">
        <f>""</f>
        <v/>
      </c>
      <c r="CA1875" t="str">
        <f>""</f>
        <v/>
      </c>
      <c r="CB1875" t="s">
        <v>135</v>
      </c>
      <c r="CC1875" t="s">
        <v>188</v>
      </c>
      <c r="CE1875" t="s">
        <v>5838</v>
      </c>
      <c r="CF1875" t="s">
        <v>131</v>
      </c>
      <c r="CH1875" t="str">
        <f>"N/A"</f>
        <v>N/A</v>
      </c>
      <c r="CI1875" t="s">
        <v>131</v>
      </c>
      <c r="CK1875" t="s">
        <v>131</v>
      </c>
      <c r="CL1875" t="str">
        <f>""</f>
        <v/>
      </c>
      <c r="CM1875" t="str">
        <f>""</f>
        <v/>
      </c>
      <c r="CN1875" t="str">
        <f>""</f>
        <v/>
      </c>
      <c r="CO1875" t="str">
        <f>""</f>
        <v/>
      </c>
      <c r="CP1875" t="str">
        <f>"13-1111.00"</f>
        <v>13-1111.00</v>
      </c>
      <c r="CQ1875" t="s">
        <v>292</v>
      </c>
      <c r="CS1875" t="s">
        <v>131</v>
      </c>
      <c r="CU1875" t="s">
        <v>16427</v>
      </c>
      <c r="CV1875" t="s">
        <v>9952</v>
      </c>
      <c r="CW1875" t="s">
        <v>16428</v>
      </c>
      <c r="CX1875" t="s">
        <v>400</v>
      </c>
      <c r="CZ1875" s="3" t="str">
        <f>"77642"</f>
        <v>77642</v>
      </c>
      <c r="DA1875" t="s">
        <v>131</v>
      </c>
      <c r="DB1875" t="str">
        <f>""</f>
        <v/>
      </c>
      <c r="DF1875" t="str">
        <f>""</f>
        <v/>
      </c>
    </row>
    <row r="1876" spans="1:110" ht="15" customHeight="1" x14ac:dyDescent="0.35">
      <c r="A1876" t="s">
        <v>18417</v>
      </c>
      <c r="B1876" t="s">
        <v>138</v>
      </c>
      <c r="C1876" s="1">
        <v>44354</v>
      </c>
      <c r="G1876" s="1">
        <v>44364</v>
      </c>
      <c r="H1876" t="s">
        <v>125</v>
      </c>
      <c r="I1876" t="s">
        <v>18418</v>
      </c>
      <c r="J1876" t="s">
        <v>6980</v>
      </c>
      <c r="L1876" t="s">
        <v>832</v>
      </c>
      <c r="M1876" t="s">
        <v>18419</v>
      </c>
      <c r="N1876" t="s">
        <v>227</v>
      </c>
      <c r="O1876" t="s">
        <v>843</v>
      </c>
      <c r="P1876" t="s">
        <v>273</v>
      </c>
      <c r="Q1876" s="3">
        <v>7080</v>
      </c>
      <c r="R1876" t="s">
        <v>128</v>
      </c>
      <c r="T1876" s="4">
        <v>19738428128</v>
      </c>
      <c r="V1876" t="s">
        <v>18420</v>
      </c>
      <c r="W1876" t="s">
        <v>18421</v>
      </c>
      <c r="Y1876" t="s">
        <v>18419</v>
      </c>
      <c r="Z1876" t="s">
        <v>227</v>
      </c>
      <c r="AA1876" t="s">
        <v>843</v>
      </c>
      <c r="AB1876" t="s">
        <v>276</v>
      </c>
      <c r="AC1876" s="3" t="str">
        <f>"07080"</f>
        <v>07080</v>
      </c>
      <c r="AD1876" t="s">
        <v>128</v>
      </c>
      <c r="AF1876" s="4">
        <v>19738428128</v>
      </c>
      <c r="AH1876" t="str">
        <f>"541511"</f>
        <v>541511</v>
      </c>
      <c r="AI1876" t="s">
        <v>130</v>
      </c>
      <c r="AJ1876" t="s">
        <v>425</v>
      </c>
      <c r="AK1876" t="s">
        <v>426</v>
      </c>
      <c r="AM1876" t="s">
        <v>427</v>
      </c>
      <c r="AN1876" t="s">
        <v>428</v>
      </c>
      <c r="AO1876" t="s">
        <v>429</v>
      </c>
      <c r="AP1876" t="s">
        <v>276</v>
      </c>
      <c r="AQ1876" s="5">
        <v>7054</v>
      </c>
      <c r="AR1876" t="s">
        <v>128</v>
      </c>
      <c r="AT1876" s="4">
        <v>12124571153</v>
      </c>
      <c r="AV1876" t="s">
        <v>430</v>
      </c>
      <c r="AW1876" t="s">
        <v>431</v>
      </c>
      <c r="AX1876" t="s">
        <v>131</v>
      </c>
      <c r="AY1876" t="s">
        <v>131</v>
      </c>
      <c r="AZ1876" t="s">
        <v>131</v>
      </c>
      <c r="BA1876" t="s">
        <v>131</v>
      </c>
      <c r="BB1876" t="s">
        <v>131</v>
      </c>
      <c r="BC1876" t="s">
        <v>131</v>
      </c>
      <c r="BD1876" t="s">
        <v>131</v>
      </c>
      <c r="BE1876" t="s">
        <v>132</v>
      </c>
      <c r="BH1876" t="s">
        <v>18422</v>
      </c>
      <c r="BI1876" t="s">
        <v>131</v>
      </c>
      <c r="BL1876" t="s">
        <v>188</v>
      </c>
      <c r="BN1876" t="s">
        <v>18423</v>
      </c>
      <c r="BO1876" t="s">
        <v>131</v>
      </c>
      <c r="BP1876" t="s">
        <v>134</v>
      </c>
      <c r="BQ1876" t="s">
        <v>131</v>
      </c>
      <c r="BS1876" t="str">
        <f t="shared" si="108"/>
        <v>N/A</v>
      </c>
      <c r="BT1876" t="s">
        <v>135</v>
      </c>
      <c r="BU1876">
        <v>36</v>
      </c>
      <c r="BV1876" t="str">
        <f>"Data/Bus. Systems Analyst, Consultant, Sr. Associate"</f>
        <v>Data/Bus. Systems Analyst, Consultant, Sr. Associate</v>
      </c>
      <c r="BW1876" t="s">
        <v>131</v>
      </c>
      <c r="BX1876" t="str">
        <f>""</f>
        <v/>
      </c>
      <c r="BY1876" t="str">
        <f>""</f>
        <v/>
      </c>
      <c r="BZ1876" t="str">
        <f>""</f>
        <v/>
      </c>
      <c r="CA1876" t="str">
        <f>""</f>
        <v/>
      </c>
      <c r="CB1876" t="s">
        <v>131</v>
      </c>
      <c r="CF1876" t="s">
        <v>131</v>
      </c>
      <c r="CH1876" t="str">
        <f>""</f>
        <v/>
      </c>
      <c r="CI1876" t="s">
        <v>131</v>
      </c>
      <c r="CK1876" t="s">
        <v>131</v>
      </c>
      <c r="CL1876" t="str">
        <f>""</f>
        <v/>
      </c>
      <c r="CM1876" t="str">
        <f>""</f>
        <v/>
      </c>
      <c r="CN1876" t="str">
        <f>""</f>
        <v/>
      </c>
      <c r="CO1876" t="str">
        <f>""</f>
        <v/>
      </c>
      <c r="CP1876" t="str">
        <f>"15-1132.00"</f>
        <v>15-1132.00</v>
      </c>
      <c r="CQ1876" t="s">
        <v>198</v>
      </c>
      <c r="CR1876" t="s">
        <v>18424</v>
      </c>
      <c r="CS1876" t="s">
        <v>131</v>
      </c>
      <c r="CU1876" t="s">
        <v>18419</v>
      </c>
      <c r="CV1876" t="s">
        <v>227</v>
      </c>
      <c r="CW1876" t="s">
        <v>843</v>
      </c>
      <c r="CX1876" t="s">
        <v>276</v>
      </c>
      <c r="CZ1876" s="3" t="str">
        <f>"07080"</f>
        <v>07080</v>
      </c>
      <c r="DA1876" t="s">
        <v>131</v>
      </c>
      <c r="DB1876" t="str">
        <f>""</f>
        <v/>
      </c>
      <c r="DF1876" t="str">
        <f>""</f>
        <v/>
      </c>
    </row>
    <row r="1877" spans="1:110" ht="15" customHeight="1" x14ac:dyDescent="0.35">
      <c r="A1877" t="s">
        <v>17533</v>
      </c>
      <c r="B1877" t="s">
        <v>138</v>
      </c>
      <c r="C1877" s="1">
        <v>44354</v>
      </c>
      <c r="G1877" s="1">
        <v>44355</v>
      </c>
      <c r="H1877" t="s">
        <v>125</v>
      </c>
      <c r="I1877" t="s">
        <v>6923</v>
      </c>
      <c r="J1877" t="s">
        <v>6924</v>
      </c>
      <c r="L1877" t="s">
        <v>130</v>
      </c>
      <c r="M1877" t="s">
        <v>6925</v>
      </c>
      <c r="O1877" t="s">
        <v>620</v>
      </c>
      <c r="P1877" t="s">
        <v>194</v>
      </c>
      <c r="Q1877" s="3">
        <v>33146</v>
      </c>
      <c r="R1877" t="s">
        <v>128</v>
      </c>
      <c r="S1877" t="s">
        <v>134</v>
      </c>
      <c r="T1877" s="4">
        <v>17037315940</v>
      </c>
      <c r="V1877" t="s">
        <v>6926</v>
      </c>
      <c r="W1877" t="s">
        <v>6922</v>
      </c>
      <c r="Y1877" t="s">
        <v>6921</v>
      </c>
      <c r="AA1877" t="s">
        <v>616</v>
      </c>
      <c r="AB1877" t="s">
        <v>195</v>
      </c>
      <c r="AC1877" s="3" t="str">
        <f>"33178"</f>
        <v>33178</v>
      </c>
      <c r="AD1877" t="s">
        <v>128</v>
      </c>
      <c r="AE1877" t="s">
        <v>134</v>
      </c>
      <c r="AF1877" s="4">
        <v>13055130484</v>
      </c>
      <c r="AH1877" t="str">
        <f>"425110"</f>
        <v>425110</v>
      </c>
      <c r="AI1877" t="s">
        <v>130</v>
      </c>
      <c r="AJ1877" t="s">
        <v>6923</v>
      </c>
      <c r="AK1877" t="s">
        <v>6924</v>
      </c>
      <c r="AM1877" t="s">
        <v>6925</v>
      </c>
      <c r="AO1877" t="s">
        <v>620</v>
      </c>
      <c r="AP1877" t="s">
        <v>195</v>
      </c>
      <c r="AQ1877" s="5">
        <v>33146</v>
      </c>
      <c r="AR1877" t="s">
        <v>128</v>
      </c>
      <c r="AT1877" s="4">
        <v>17037315940</v>
      </c>
      <c r="AV1877" t="s">
        <v>6926</v>
      </c>
      <c r="AW1877" t="s">
        <v>6927</v>
      </c>
      <c r="AX1877" t="s">
        <v>131</v>
      </c>
      <c r="AY1877" t="s">
        <v>131</v>
      </c>
      <c r="AZ1877" t="s">
        <v>131</v>
      </c>
      <c r="BA1877" t="s">
        <v>131</v>
      </c>
      <c r="BB1877" t="s">
        <v>131</v>
      </c>
      <c r="BC1877" t="s">
        <v>131</v>
      </c>
      <c r="BD1877" t="s">
        <v>131</v>
      </c>
      <c r="BE1877" t="s">
        <v>132</v>
      </c>
      <c r="BH1877" t="s">
        <v>17534</v>
      </c>
      <c r="BI1877" t="s">
        <v>131</v>
      </c>
      <c r="BL1877" t="s">
        <v>133</v>
      </c>
      <c r="BN1877" t="s">
        <v>6928</v>
      </c>
      <c r="BO1877" t="s">
        <v>131</v>
      </c>
      <c r="BP1877" t="s">
        <v>134</v>
      </c>
      <c r="BQ1877" t="s">
        <v>131</v>
      </c>
      <c r="BS1877" t="str">
        <f t="shared" si="108"/>
        <v>N/A</v>
      </c>
      <c r="BT1877" t="s">
        <v>131</v>
      </c>
      <c r="BV1877" t="str">
        <f>""</f>
        <v/>
      </c>
      <c r="BW1877" t="s">
        <v>131</v>
      </c>
      <c r="BX1877" t="str">
        <f>""</f>
        <v/>
      </c>
      <c r="BY1877" t="str">
        <f>""</f>
        <v/>
      </c>
      <c r="BZ1877" t="str">
        <f>""</f>
        <v/>
      </c>
      <c r="CA1877" t="str">
        <f>""</f>
        <v/>
      </c>
      <c r="CB1877" t="s">
        <v>131</v>
      </c>
      <c r="CF1877" t="s">
        <v>131</v>
      </c>
      <c r="CH1877" t="str">
        <f>""</f>
        <v/>
      </c>
      <c r="CI1877" t="s">
        <v>131</v>
      </c>
      <c r="CK1877" t="s">
        <v>131</v>
      </c>
      <c r="CL1877" t="str">
        <f>""</f>
        <v/>
      </c>
      <c r="CM1877" t="str">
        <f>""</f>
        <v/>
      </c>
      <c r="CN1877" t="str">
        <f>""</f>
        <v/>
      </c>
      <c r="CO1877" t="str">
        <f>""</f>
        <v/>
      </c>
      <c r="CP1877" t="str">
        <f>"13-1081.01"</f>
        <v>13-1081.01</v>
      </c>
      <c r="CQ1877" t="s">
        <v>1394</v>
      </c>
      <c r="CR1877" t="s">
        <v>4541</v>
      </c>
      <c r="CS1877" t="s">
        <v>131</v>
      </c>
      <c r="CU1877" t="s">
        <v>6921</v>
      </c>
      <c r="CW1877" t="s">
        <v>616</v>
      </c>
      <c r="CX1877" t="s">
        <v>195</v>
      </c>
      <c r="CZ1877" s="3" t="str">
        <f>"33178"</f>
        <v>33178</v>
      </c>
      <c r="DA1877" t="s">
        <v>131</v>
      </c>
      <c r="DB1877" t="str">
        <f>""</f>
        <v/>
      </c>
      <c r="DF1877" t="str">
        <f>""</f>
        <v/>
      </c>
    </row>
    <row r="1878" spans="1:110" ht="15" customHeight="1" x14ac:dyDescent="0.35">
      <c r="A1878" t="s">
        <v>13415</v>
      </c>
      <c r="B1878" t="s">
        <v>138</v>
      </c>
      <c r="C1878" s="1">
        <v>44354</v>
      </c>
      <c r="G1878" s="1">
        <v>44354</v>
      </c>
      <c r="H1878" t="s">
        <v>125</v>
      </c>
      <c r="I1878" t="s">
        <v>13416</v>
      </c>
      <c r="J1878" t="s">
        <v>13417</v>
      </c>
      <c r="L1878" t="s">
        <v>395</v>
      </c>
      <c r="M1878" t="s">
        <v>13418</v>
      </c>
      <c r="O1878" t="s">
        <v>2952</v>
      </c>
      <c r="P1878" t="s">
        <v>178</v>
      </c>
      <c r="Q1878" s="3">
        <v>90501</v>
      </c>
      <c r="R1878" t="s">
        <v>128</v>
      </c>
      <c r="T1878" s="4">
        <v>13108553522</v>
      </c>
      <c r="V1878" t="s">
        <v>13419</v>
      </c>
      <c r="W1878" t="s">
        <v>13420</v>
      </c>
      <c r="X1878" t="s">
        <v>13421</v>
      </c>
      <c r="Y1878" t="s">
        <v>13418</v>
      </c>
      <c r="AA1878" t="s">
        <v>2952</v>
      </c>
      <c r="AB1878" t="s">
        <v>172</v>
      </c>
      <c r="AC1878" s="3" t="str">
        <f>"90501"</f>
        <v>90501</v>
      </c>
      <c r="AD1878" t="s">
        <v>128</v>
      </c>
      <c r="AF1878" s="4">
        <v>13108553522</v>
      </c>
      <c r="AH1878" t="str">
        <f>"524210"</f>
        <v>524210</v>
      </c>
      <c r="AI1878" t="s">
        <v>130</v>
      </c>
      <c r="AJ1878" t="s">
        <v>2949</v>
      </c>
      <c r="AK1878" t="s">
        <v>2950</v>
      </c>
      <c r="AM1878" t="s">
        <v>2951</v>
      </c>
      <c r="AO1878" t="s">
        <v>2952</v>
      </c>
      <c r="AP1878" t="s">
        <v>172</v>
      </c>
      <c r="AQ1878" s="5">
        <v>90501</v>
      </c>
      <c r="AR1878" t="s">
        <v>128</v>
      </c>
      <c r="AT1878" s="4">
        <v>13106181818</v>
      </c>
      <c r="AV1878" t="s">
        <v>2953</v>
      </c>
      <c r="AW1878" t="s">
        <v>2954</v>
      </c>
      <c r="AX1878" t="s">
        <v>131</v>
      </c>
      <c r="AY1878" t="s">
        <v>131</v>
      </c>
      <c r="AZ1878" t="s">
        <v>131</v>
      </c>
      <c r="BA1878" t="s">
        <v>131</v>
      </c>
      <c r="BB1878" t="s">
        <v>131</v>
      </c>
      <c r="BC1878" t="s">
        <v>131</v>
      </c>
      <c r="BD1878" t="s">
        <v>131</v>
      </c>
      <c r="BE1878" t="s">
        <v>132</v>
      </c>
      <c r="BH1878" t="s">
        <v>5132</v>
      </c>
      <c r="BI1878" t="s">
        <v>131</v>
      </c>
      <c r="BL1878" t="s">
        <v>401</v>
      </c>
      <c r="BO1878" t="s">
        <v>131</v>
      </c>
      <c r="BP1878" t="s">
        <v>134</v>
      </c>
      <c r="BQ1878" t="s">
        <v>131</v>
      </c>
      <c r="BS1878" t="str">
        <f t="shared" si="108"/>
        <v>N/A</v>
      </c>
      <c r="BT1878" t="s">
        <v>135</v>
      </c>
      <c r="BU1878">
        <v>24</v>
      </c>
      <c r="BV1878" t="str">
        <f>"Business Development Specialist or any managerial experience"</f>
        <v>Business Development Specialist or any managerial experience</v>
      </c>
      <c r="BW1878" t="s">
        <v>131</v>
      </c>
      <c r="BX1878" t="str">
        <f>""</f>
        <v/>
      </c>
      <c r="BY1878" t="str">
        <f>""</f>
        <v/>
      </c>
      <c r="BZ1878" t="str">
        <f>""</f>
        <v/>
      </c>
      <c r="CA1878" t="str">
        <f>""</f>
        <v/>
      </c>
      <c r="CB1878" t="s">
        <v>131</v>
      </c>
      <c r="CF1878" t="s">
        <v>131</v>
      </c>
      <c r="CH1878" t="str">
        <f>""</f>
        <v/>
      </c>
      <c r="CI1878" t="s">
        <v>131</v>
      </c>
      <c r="CK1878" t="s">
        <v>131</v>
      </c>
      <c r="CL1878" t="str">
        <f>""</f>
        <v/>
      </c>
      <c r="CM1878" t="str">
        <f>""</f>
        <v/>
      </c>
      <c r="CN1878" t="str">
        <f>""</f>
        <v/>
      </c>
      <c r="CO1878" t="str">
        <f>""</f>
        <v/>
      </c>
      <c r="CP1878" t="str">
        <f>"13-1199.00"</f>
        <v>13-1199.00</v>
      </c>
      <c r="CQ1878" t="s">
        <v>5417</v>
      </c>
      <c r="CS1878" t="s">
        <v>131</v>
      </c>
      <c r="CU1878" t="s">
        <v>13422</v>
      </c>
      <c r="CW1878" t="s">
        <v>6723</v>
      </c>
      <c r="CX1878" t="s">
        <v>263</v>
      </c>
      <c r="CZ1878" s="3" t="str">
        <f>"60008"</f>
        <v>60008</v>
      </c>
      <c r="DA1878" t="s">
        <v>131</v>
      </c>
      <c r="DB1878" t="str">
        <f>""</f>
        <v/>
      </c>
      <c r="DF1878" t="str">
        <f>""</f>
        <v/>
      </c>
    </row>
    <row r="1879" spans="1:110" ht="15" customHeight="1" x14ac:dyDescent="0.35">
      <c r="A1879" t="s">
        <v>8258</v>
      </c>
      <c r="B1879" t="s">
        <v>138</v>
      </c>
      <c r="C1879" s="1">
        <v>44355</v>
      </c>
      <c r="G1879" s="1">
        <v>44356</v>
      </c>
      <c r="H1879" t="s">
        <v>125</v>
      </c>
      <c r="I1879" t="s">
        <v>1344</v>
      </c>
      <c r="J1879" t="s">
        <v>1345</v>
      </c>
      <c r="L1879" t="s">
        <v>8259</v>
      </c>
      <c r="M1879" t="s">
        <v>1347</v>
      </c>
      <c r="O1879" t="s">
        <v>1348</v>
      </c>
      <c r="P1879" t="s">
        <v>539</v>
      </c>
      <c r="Q1879" s="3">
        <v>60015</v>
      </c>
      <c r="R1879" t="s">
        <v>128</v>
      </c>
      <c r="T1879" s="4">
        <v>12244050900</v>
      </c>
      <c r="V1879" t="s">
        <v>4535</v>
      </c>
      <c r="W1879" t="s">
        <v>4536</v>
      </c>
      <c r="Y1879" t="s">
        <v>1351</v>
      </c>
      <c r="AA1879" t="s">
        <v>1348</v>
      </c>
      <c r="AB1879" t="s">
        <v>263</v>
      </c>
      <c r="AC1879" s="3" t="str">
        <f>"60015"</f>
        <v>60015</v>
      </c>
      <c r="AD1879" t="s">
        <v>128</v>
      </c>
      <c r="AF1879" s="4">
        <v>12244053726</v>
      </c>
      <c r="AG1879">
        <v>0</v>
      </c>
      <c r="AH1879" t="str">
        <f>"522291"</f>
        <v>522291</v>
      </c>
      <c r="AI1879" t="s">
        <v>130</v>
      </c>
      <c r="AJ1879" t="s">
        <v>1352</v>
      </c>
      <c r="AK1879" t="s">
        <v>260</v>
      </c>
      <c r="AM1879" t="s">
        <v>493</v>
      </c>
      <c r="AO1879" t="s">
        <v>494</v>
      </c>
      <c r="AP1879" t="s">
        <v>129</v>
      </c>
      <c r="AQ1879" s="5">
        <v>10018</v>
      </c>
      <c r="AR1879" t="s">
        <v>128</v>
      </c>
      <c r="AT1879" s="4">
        <v>12126888555</v>
      </c>
      <c r="AV1879" t="s">
        <v>1353</v>
      </c>
      <c r="AW1879" t="s">
        <v>386</v>
      </c>
      <c r="AX1879" t="s">
        <v>131</v>
      </c>
      <c r="AY1879" t="s">
        <v>131</v>
      </c>
      <c r="AZ1879" t="s">
        <v>131</v>
      </c>
      <c r="BA1879" t="s">
        <v>131</v>
      </c>
      <c r="BB1879" t="s">
        <v>131</v>
      </c>
      <c r="BC1879" t="s">
        <v>131</v>
      </c>
      <c r="BD1879" t="s">
        <v>131</v>
      </c>
      <c r="BE1879" t="s">
        <v>132</v>
      </c>
      <c r="BH1879" t="s">
        <v>5226</v>
      </c>
      <c r="BI1879" t="s">
        <v>131</v>
      </c>
      <c r="BL1879" t="s">
        <v>133</v>
      </c>
      <c r="BN1879" t="s">
        <v>8260</v>
      </c>
      <c r="BO1879" t="s">
        <v>131</v>
      </c>
      <c r="BP1879" t="s">
        <v>134</v>
      </c>
      <c r="BQ1879" t="s">
        <v>131</v>
      </c>
      <c r="BS1879" t="str">
        <f t="shared" si="108"/>
        <v>N/A</v>
      </c>
      <c r="BT1879" t="s">
        <v>135</v>
      </c>
      <c r="BU1879">
        <v>72</v>
      </c>
      <c r="BV1879" t="str">
        <f>"Consultant or related."</f>
        <v>Consultant or related.</v>
      </c>
      <c r="BW1879" t="s">
        <v>135</v>
      </c>
      <c r="BX1879" t="str">
        <f>""</f>
        <v/>
      </c>
      <c r="BY1879" t="str">
        <f>""</f>
        <v/>
      </c>
      <c r="BZ1879" t="str">
        <f>""</f>
        <v/>
      </c>
      <c r="CA1879" t="s">
        <v>5227</v>
      </c>
      <c r="CB1879" t="s">
        <v>131</v>
      </c>
      <c r="CF1879" t="s">
        <v>131</v>
      </c>
      <c r="CH1879" t="str">
        <f>""</f>
        <v/>
      </c>
      <c r="CI1879" t="s">
        <v>131</v>
      </c>
      <c r="CK1879" t="s">
        <v>131</v>
      </c>
      <c r="CL1879" t="str">
        <f>""</f>
        <v/>
      </c>
      <c r="CM1879" t="str">
        <f>""</f>
        <v/>
      </c>
      <c r="CN1879" t="str">
        <f>""</f>
        <v/>
      </c>
      <c r="CO1879" t="str">
        <f>""</f>
        <v/>
      </c>
      <c r="CP1879" t="str">
        <f>"15-1132.00"</f>
        <v>15-1132.00</v>
      </c>
      <c r="CQ1879" t="s">
        <v>198</v>
      </c>
      <c r="CR1879" t="s">
        <v>5228</v>
      </c>
      <c r="CS1879" t="s">
        <v>131</v>
      </c>
      <c r="CU1879" t="s">
        <v>1347</v>
      </c>
      <c r="CW1879" t="s">
        <v>1348</v>
      </c>
      <c r="CX1879" t="s">
        <v>263</v>
      </c>
      <c r="CZ1879" s="3" t="str">
        <f>"60015"</f>
        <v>60015</v>
      </c>
      <c r="DA1879" t="s">
        <v>131</v>
      </c>
      <c r="DB1879" t="str">
        <f>""</f>
        <v/>
      </c>
      <c r="DF1879" t="str">
        <f>""</f>
        <v/>
      </c>
    </row>
    <row r="1880" spans="1:110" ht="15" customHeight="1" x14ac:dyDescent="0.35">
      <c r="A1880" t="s">
        <v>13015</v>
      </c>
      <c r="B1880" t="s">
        <v>138</v>
      </c>
      <c r="C1880" s="1">
        <v>44355</v>
      </c>
      <c r="G1880" s="1">
        <v>44356</v>
      </c>
      <c r="H1880" t="s">
        <v>125</v>
      </c>
      <c r="I1880" t="s">
        <v>1344</v>
      </c>
      <c r="J1880" t="s">
        <v>1345</v>
      </c>
      <c r="L1880" t="s">
        <v>1346</v>
      </c>
      <c r="M1880" t="s">
        <v>1347</v>
      </c>
      <c r="O1880" t="s">
        <v>1348</v>
      </c>
      <c r="P1880" t="s">
        <v>539</v>
      </c>
      <c r="Q1880" s="3">
        <v>60015</v>
      </c>
      <c r="R1880" t="s">
        <v>128</v>
      </c>
      <c r="T1880" s="4">
        <v>12244050900</v>
      </c>
      <c r="V1880" t="s">
        <v>1349</v>
      </c>
      <c r="W1880" t="s">
        <v>1350</v>
      </c>
      <c r="Y1880" t="s">
        <v>1351</v>
      </c>
      <c r="AA1880" t="s">
        <v>1348</v>
      </c>
      <c r="AB1880" t="s">
        <v>263</v>
      </c>
      <c r="AC1880" s="3" t="str">
        <f>"60015"</f>
        <v>60015</v>
      </c>
      <c r="AD1880" t="s">
        <v>128</v>
      </c>
      <c r="AF1880" s="4">
        <v>12244053726</v>
      </c>
      <c r="AG1880">
        <v>0</v>
      </c>
      <c r="AH1880" t="str">
        <f>"522210"</f>
        <v>522210</v>
      </c>
      <c r="AI1880" t="s">
        <v>130</v>
      </c>
      <c r="AJ1880" t="s">
        <v>1352</v>
      </c>
      <c r="AK1880" t="s">
        <v>260</v>
      </c>
      <c r="AM1880" t="s">
        <v>493</v>
      </c>
      <c r="AO1880" t="s">
        <v>494</v>
      </c>
      <c r="AP1880" t="s">
        <v>129</v>
      </c>
      <c r="AQ1880" s="5">
        <v>10018</v>
      </c>
      <c r="AR1880" t="s">
        <v>128</v>
      </c>
      <c r="AT1880" s="4">
        <v>12126888555</v>
      </c>
      <c r="AV1880" t="s">
        <v>1353</v>
      </c>
      <c r="AW1880" t="s">
        <v>386</v>
      </c>
      <c r="AX1880" t="s">
        <v>131</v>
      </c>
      <c r="AY1880" t="s">
        <v>131</v>
      </c>
      <c r="AZ1880" t="s">
        <v>131</v>
      </c>
      <c r="BA1880" t="s">
        <v>131</v>
      </c>
      <c r="BB1880" t="s">
        <v>131</v>
      </c>
      <c r="BC1880" t="s">
        <v>131</v>
      </c>
      <c r="BD1880" t="s">
        <v>131</v>
      </c>
      <c r="BE1880" t="s">
        <v>132</v>
      </c>
      <c r="BH1880" t="s">
        <v>1354</v>
      </c>
      <c r="BI1880" t="s">
        <v>131</v>
      </c>
      <c r="BL1880" t="s">
        <v>133</v>
      </c>
      <c r="BN1880" t="s">
        <v>13016</v>
      </c>
      <c r="BO1880" t="s">
        <v>131</v>
      </c>
      <c r="BP1880" t="s">
        <v>134</v>
      </c>
      <c r="BQ1880" t="s">
        <v>131</v>
      </c>
      <c r="BS1880" t="str">
        <f t="shared" si="108"/>
        <v>N/A</v>
      </c>
      <c r="BT1880" t="s">
        <v>135</v>
      </c>
      <c r="BU1880">
        <v>48</v>
      </c>
      <c r="BV1880" t="str">
        <f>"Software Developer; Data Science Intern or related."</f>
        <v>Software Developer; Data Science Intern or related.</v>
      </c>
      <c r="BW1880" t="s">
        <v>135</v>
      </c>
      <c r="BX1880" t="str">
        <f>""</f>
        <v/>
      </c>
      <c r="BY1880" t="str">
        <f>""</f>
        <v/>
      </c>
      <c r="BZ1880" t="str">
        <f>""</f>
        <v/>
      </c>
      <c r="CA1880" t="s">
        <v>1356</v>
      </c>
      <c r="CB1880" t="s">
        <v>135</v>
      </c>
      <c r="CC1880" t="s">
        <v>188</v>
      </c>
      <c r="CE1880" t="s">
        <v>13016</v>
      </c>
      <c r="CF1880" t="s">
        <v>131</v>
      </c>
      <c r="CH1880" t="str">
        <f>"N/A"</f>
        <v>N/A</v>
      </c>
      <c r="CI1880" t="s">
        <v>135</v>
      </c>
      <c r="CJ1880">
        <v>24</v>
      </c>
      <c r="CK1880" t="s">
        <v>135</v>
      </c>
      <c r="CL1880" t="str">
        <f>""</f>
        <v/>
      </c>
      <c r="CM1880" t="str">
        <f>""</f>
        <v/>
      </c>
      <c r="CN1880" t="str">
        <f>""</f>
        <v/>
      </c>
      <c r="CO1880" t="s">
        <v>1357</v>
      </c>
      <c r="CP1880" t="str">
        <f>"15-2041.00"</f>
        <v>15-2041.00</v>
      </c>
      <c r="CQ1880" t="s">
        <v>379</v>
      </c>
      <c r="CR1880" t="s">
        <v>1358</v>
      </c>
      <c r="CS1880" t="s">
        <v>131</v>
      </c>
      <c r="CU1880" t="s">
        <v>1347</v>
      </c>
      <c r="CW1880" t="s">
        <v>1348</v>
      </c>
      <c r="CX1880" t="s">
        <v>263</v>
      </c>
      <c r="CZ1880" s="3" t="str">
        <f>"60015"</f>
        <v>60015</v>
      </c>
      <c r="DA1880" t="s">
        <v>131</v>
      </c>
      <c r="DB1880" t="str">
        <f>""</f>
        <v/>
      </c>
      <c r="DF1880" t="str">
        <f>""</f>
        <v/>
      </c>
    </row>
    <row r="1881" spans="1:110" ht="15" customHeight="1" x14ac:dyDescent="0.35">
      <c r="A1881" t="s">
        <v>3008</v>
      </c>
      <c r="B1881" t="s">
        <v>138</v>
      </c>
      <c r="C1881" s="1">
        <v>44355</v>
      </c>
      <c r="G1881" s="1">
        <v>44356</v>
      </c>
      <c r="H1881" t="s">
        <v>125</v>
      </c>
      <c r="I1881" t="s">
        <v>2124</v>
      </c>
      <c r="J1881" t="s">
        <v>3009</v>
      </c>
      <c r="L1881" t="s">
        <v>3010</v>
      </c>
      <c r="M1881" t="s">
        <v>3011</v>
      </c>
      <c r="N1881" t="s">
        <v>398</v>
      </c>
      <c r="O1881" t="s">
        <v>975</v>
      </c>
      <c r="P1881" t="s">
        <v>593</v>
      </c>
      <c r="Q1881" s="3">
        <v>27601</v>
      </c>
      <c r="R1881" t="s">
        <v>128</v>
      </c>
      <c r="T1881" s="4">
        <v>19842059436</v>
      </c>
      <c r="V1881" t="s">
        <v>3012</v>
      </c>
      <c r="W1881" t="s">
        <v>3013</v>
      </c>
      <c r="Y1881" t="s">
        <v>3011</v>
      </c>
      <c r="Z1881" t="s">
        <v>398</v>
      </c>
      <c r="AA1881" t="s">
        <v>975</v>
      </c>
      <c r="AB1881" t="s">
        <v>594</v>
      </c>
      <c r="AC1881" s="3" t="str">
        <f>"27601"</f>
        <v>27601</v>
      </c>
      <c r="AD1881" t="s">
        <v>128</v>
      </c>
      <c r="AF1881" s="4">
        <v>19842059436</v>
      </c>
      <c r="AH1881" t="str">
        <f>"5112"</f>
        <v>5112</v>
      </c>
      <c r="AI1881" t="s">
        <v>130</v>
      </c>
      <c r="AJ1881" t="s">
        <v>1477</v>
      </c>
      <c r="AK1881" t="s">
        <v>618</v>
      </c>
      <c r="AL1881" t="s">
        <v>3014</v>
      </c>
      <c r="AM1881" t="s">
        <v>3015</v>
      </c>
      <c r="AN1881" t="s">
        <v>2377</v>
      </c>
      <c r="AO1881" t="s">
        <v>1674</v>
      </c>
      <c r="AP1881" t="s">
        <v>1176</v>
      </c>
      <c r="AQ1881" s="5">
        <v>68508</v>
      </c>
      <c r="AR1881" t="s">
        <v>128</v>
      </c>
      <c r="AT1881" s="4">
        <v>14023289899</v>
      </c>
      <c r="AU1881">
        <v>0</v>
      </c>
      <c r="AV1881" t="s">
        <v>3016</v>
      </c>
      <c r="AW1881" t="s">
        <v>3017</v>
      </c>
      <c r="AX1881" t="s">
        <v>131</v>
      </c>
      <c r="AY1881" t="s">
        <v>131</v>
      </c>
      <c r="AZ1881" t="s">
        <v>131</v>
      </c>
      <c r="BA1881" t="s">
        <v>131</v>
      </c>
      <c r="BB1881" t="s">
        <v>131</v>
      </c>
      <c r="BC1881" t="s">
        <v>131</v>
      </c>
      <c r="BD1881" t="s">
        <v>131</v>
      </c>
      <c r="BE1881" t="s">
        <v>132</v>
      </c>
      <c r="BH1881" t="s">
        <v>3018</v>
      </c>
      <c r="BI1881" t="s">
        <v>131</v>
      </c>
      <c r="BL1881" t="s">
        <v>188</v>
      </c>
      <c r="BN1881" t="s">
        <v>3019</v>
      </c>
      <c r="BO1881" t="s">
        <v>131</v>
      </c>
      <c r="BP1881" t="s">
        <v>134</v>
      </c>
      <c r="BQ1881" t="s">
        <v>131</v>
      </c>
      <c r="BS1881" t="str">
        <f t="shared" si="108"/>
        <v>N/A</v>
      </c>
      <c r="BT1881" t="s">
        <v>135</v>
      </c>
      <c r="BU1881">
        <v>24</v>
      </c>
      <c r="BV1881" t="str">
        <f>"Job offered or relation positions. "</f>
        <v xml:space="preserve">Job offered or relation positions. </v>
      </c>
      <c r="BW1881" t="s">
        <v>135</v>
      </c>
      <c r="BX1881" t="str">
        <f>""</f>
        <v/>
      </c>
      <c r="BY1881" t="str">
        <f>""</f>
        <v/>
      </c>
      <c r="BZ1881" t="str">
        <f>""</f>
        <v/>
      </c>
      <c r="CA1881" t="s">
        <v>3020</v>
      </c>
      <c r="CB1881" t="s">
        <v>135</v>
      </c>
      <c r="CC1881" t="s">
        <v>133</v>
      </c>
      <c r="CE1881" t="s">
        <v>3021</v>
      </c>
      <c r="CF1881" t="s">
        <v>131</v>
      </c>
      <c r="CH1881" t="str">
        <f>"N/A"</f>
        <v>N/A</v>
      </c>
      <c r="CI1881" t="s">
        <v>135</v>
      </c>
      <c r="CJ1881">
        <v>60</v>
      </c>
      <c r="CK1881" t="s">
        <v>135</v>
      </c>
      <c r="CL1881" t="str">
        <f>""</f>
        <v/>
      </c>
      <c r="CM1881" t="str">
        <f>""</f>
        <v/>
      </c>
      <c r="CN1881" t="str">
        <f>""</f>
        <v/>
      </c>
      <c r="CO1881" t="s">
        <v>3020</v>
      </c>
      <c r="CP1881" t="str">
        <f>"15-1133.00"</f>
        <v>15-1133.00</v>
      </c>
      <c r="CQ1881" t="s">
        <v>648</v>
      </c>
      <c r="CR1881" t="s">
        <v>583</v>
      </c>
      <c r="CS1881" t="s">
        <v>131</v>
      </c>
      <c r="CU1881" t="s">
        <v>3011</v>
      </c>
      <c r="CV1881" t="s">
        <v>398</v>
      </c>
      <c r="CW1881" t="s">
        <v>975</v>
      </c>
      <c r="CX1881" t="s">
        <v>594</v>
      </c>
      <c r="CZ1881" s="3" t="str">
        <f>"27601"</f>
        <v>27601</v>
      </c>
      <c r="DA1881" t="s">
        <v>131</v>
      </c>
      <c r="DB1881" t="str">
        <f>""</f>
        <v/>
      </c>
      <c r="DF1881" t="str">
        <f>""</f>
        <v/>
      </c>
    </row>
    <row r="1882" spans="1:110" ht="15" customHeight="1" x14ac:dyDescent="0.35">
      <c r="A1882" t="s">
        <v>16178</v>
      </c>
      <c r="B1882" t="s">
        <v>138</v>
      </c>
      <c r="C1882" s="1">
        <v>44355</v>
      </c>
      <c r="G1882" s="1">
        <v>44355</v>
      </c>
      <c r="H1882" t="s">
        <v>125</v>
      </c>
      <c r="I1882" t="s">
        <v>1142</v>
      </c>
      <c r="J1882" t="s">
        <v>1143</v>
      </c>
      <c r="K1882" t="s">
        <v>355</v>
      </c>
      <c r="L1882" t="s">
        <v>130</v>
      </c>
      <c r="M1882" t="s">
        <v>1144</v>
      </c>
      <c r="N1882" t="s">
        <v>225</v>
      </c>
      <c r="O1882" t="s">
        <v>1145</v>
      </c>
      <c r="P1882" t="s">
        <v>194</v>
      </c>
      <c r="Q1882" s="3">
        <v>32607</v>
      </c>
      <c r="R1882" t="s">
        <v>128</v>
      </c>
      <c r="T1882" s="4">
        <v>13523317554</v>
      </c>
      <c r="V1882" t="s">
        <v>1146</v>
      </c>
      <c r="W1882" t="s">
        <v>1147</v>
      </c>
      <c r="Y1882" t="s">
        <v>7049</v>
      </c>
      <c r="Z1882" t="s">
        <v>134</v>
      </c>
      <c r="AA1882" t="s">
        <v>1148</v>
      </c>
      <c r="AB1882" t="s">
        <v>511</v>
      </c>
      <c r="AC1882" s="3" t="str">
        <f>"48331"</f>
        <v>48331</v>
      </c>
      <c r="AD1882" t="s">
        <v>128</v>
      </c>
      <c r="AF1882" s="4">
        <v>12488651177</v>
      </c>
      <c r="AH1882" t="str">
        <f>"62134"</f>
        <v>62134</v>
      </c>
      <c r="AI1882" t="s">
        <v>130</v>
      </c>
      <c r="AJ1882" t="s">
        <v>1142</v>
      </c>
      <c r="AK1882" t="s">
        <v>1143</v>
      </c>
      <c r="AL1882" t="s">
        <v>192</v>
      </c>
      <c r="AM1882" t="s">
        <v>1144</v>
      </c>
      <c r="AN1882" t="s">
        <v>225</v>
      </c>
      <c r="AO1882" t="s">
        <v>1145</v>
      </c>
      <c r="AP1882" t="s">
        <v>195</v>
      </c>
      <c r="AQ1882" s="5">
        <v>32607</v>
      </c>
      <c r="AR1882" t="s">
        <v>128</v>
      </c>
      <c r="AT1882" s="4">
        <v>13523317554</v>
      </c>
      <c r="AV1882" t="s">
        <v>1146</v>
      </c>
      <c r="AW1882" t="s">
        <v>1149</v>
      </c>
      <c r="AX1882" t="s">
        <v>131</v>
      </c>
      <c r="AY1882" t="s">
        <v>131</v>
      </c>
      <c r="AZ1882" t="s">
        <v>131</v>
      </c>
      <c r="BA1882" t="s">
        <v>131</v>
      </c>
      <c r="BB1882" t="s">
        <v>131</v>
      </c>
      <c r="BC1882" t="s">
        <v>131</v>
      </c>
      <c r="BD1882" t="s">
        <v>131</v>
      </c>
      <c r="BE1882" t="s">
        <v>132</v>
      </c>
      <c r="BH1882" t="s">
        <v>7050</v>
      </c>
      <c r="BI1882" t="s">
        <v>135</v>
      </c>
      <c r="BJ1882" t="s">
        <v>7051</v>
      </c>
      <c r="BK1882" t="s">
        <v>7052</v>
      </c>
      <c r="BL1882" t="s">
        <v>133</v>
      </c>
      <c r="BN1882" t="s">
        <v>1151</v>
      </c>
      <c r="BO1882" t="s">
        <v>131</v>
      </c>
      <c r="BP1882" t="s">
        <v>134</v>
      </c>
      <c r="BQ1882" t="s">
        <v>131</v>
      </c>
      <c r="BS1882" t="str">
        <f t="shared" si="108"/>
        <v>N/A</v>
      </c>
      <c r="BT1882" t="s">
        <v>135</v>
      </c>
      <c r="BU1882">
        <v>60</v>
      </c>
      <c r="BV1882" t="str">
        <f>"Physical Therapy"</f>
        <v>Physical Therapy</v>
      </c>
      <c r="BW1882" t="s">
        <v>135</v>
      </c>
      <c r="BX1882" t="str">
        <f>"Requires a Bachelor's Degree or foreign equivalent in physical therapy followed by 5 years of progressive experience as a physical therapist. Must possess or be eligible for a State of Michigan physical therapy license.
"</f>
        <v xml:space="preserve">Requires a Bachelor's Degree or foreign equivalent in physical therapy followed by 5 years of progressive experience as a physical therapist. Must possess or be eligible for a State of Michigan physical therapy license.
</v>
      </c>
      <c r="BY1882" t="str">
        <f>""</f>
        <v/>
      </c>
      <c r="BZ1882" t="str">
        <f>""</f>
        <v/>
      </c>
      <c r="CA1882" t="str">
        <f>""</f>
        <v/>
      </c>
      <c r="CB1882" t="s">
        <v>131</v>
      </c>
      <c r="CF1882" t="s">
        <v>131</v>
      </c>
      <c r="CH1882" t="str">
        <f>""</f>
        <v/>
      </c>
      <c r="CI1882" t="s">
        <v>131</v>
      </c>
      <c r="CK1882" t="s">
        <v>131</v>
      </c>
      <c r="CL1882" t="str">
        <f>""</f>
        <v/>
      </c>
      <c r="CM1882" t="str">
        <f>""</f>
        <v/>
      </c>
      <c r="CN1882" t="str">
        <f>""</f>
        <v/>
      </c>
      <c r="CO1882" t="str">
        <f>""</f>
        <v/>
      </c>
      <c r="CP1882" t="str">
        <f>"29-1123.00"</f>
        <v>29-1123.00</v>
      </c>
      <c r="CQ1882" t="s">
        <v>962</v>
      </c>
      <c r="CR1882" t="s">
        <v>7053</v>
      </c>
      <c r="CS1882" t="s">
        <v>131</v>
      </c>
      <c r="CU1882" t="s">
        <v>7054</v>
      </c>
      <c r="CW1882" t="s">
        <v>7055</v>
      </c>
      <c r="CX1882" t="s">
        <v>511</v>
      </c>
      <c r="CZ1882" s="3" t="str">
        <f>"48439"</f>
        <v>48439</v>
      </c>
      <c r="DA1882" t="s">
        <v>135</v>
      </c>
      <c r="DB1882" t="str">
        <f>""</f>
        <v/>
      </c>
      <c r="DF1882" t="str">
        <f>""</f>
        <v/>
      </c>
    </row>
    <row r="1883" spans="1:110" ht="15" customHeight="1" x14ac:dyDescent="0.35">
      <c r="A1883" t="s">
        <v>15038</v>
      </c>
      <c r="B1883" t="s">
        <v>138</v>
      </c>
      <c r="C1883" s="1">
        <v>44355</v>
      </c>
      <c r="G1883" s="1">
        <v>44355</v>
      </c>
      <c r="H1883" t="s">
        <v>125</v>
      </c>
      <c r="I1883" t="s">
        <v>2264</v>
      </c>
      <c r="J1883" t="s">
        <v>202</v>
      </c>
      <c r="L1883" t="s">
        <v>203</v>
      </c>
      <c r="M1883" t="s">
        <v>204</v>
      </c>
      <c r="O1883" t="s">
        <v>205</v>
      </c>
      <c r="P1883" t="s">
        <v>194</v>
      </c>
      <c r="Q1883" s="3">
        <v>33607</v>
      </c>
      <c r="R1883" t="s">
        <v>128</v>
      </c>
      <c r="T1883" s="4">
        <v>1813348700</v>
      </c>
      <c r="V1883" t="s">
        <v>206</v>
      </c>
      <c r="W1883" t="s">
        <v>207</v>
      </c>
      <c r="Y1883" t="s">
        <v>208</v>
      </c>
      <c r="AA1883" t="s">
        <v>205</v>
      </c>
      <c r="AB1883" t="s">
        <v>195</v>
      </c>
      <c r="AC1883" s="3" t="str">
        <f>"33607"</f>
        <v>33607</v>
      </c>
      <c r="AD1883" t="s">
        <v>128</v>
      </c>
      <c r="AF1883" s="4">
        <v>18133487000</v>
      </c>
      <c r="AH1883" t="str">
        <f>"54161"</f>
        <v>54161</v>
      </c>
      <c r="AI1883" t="s">
        <v>130</v>
      </c>
      <c r="AJ1883" t="s">
        <v>3390</v>
      </c>
      <c r="AK1883" t="s">
        <v>3391</v>
      </c>
      <c r="AL1883" t="s">
        <v>667</v>
      </c>
      <c r="AM1883" t="s">
        <v>1988</v>
      </c>
      <c r="AN1883" t="s">
        <v>1989</v>
      </c>
      <c r="AO1883" t="s">
        <v>1990</v>
      </c>
      <c r="AQ1883" s="5" t="s">
        <v>215</v>
      </c>
      <c r="AR1883" t="s">
        <v>156</v>
      </c>
      <c r="AS1883" t="s">
        <v>1991</v>
      </c>
      <c r="AT1883" s="4">
        <v>14169418383</v>
      </c>
      <c r="AV1883" t="s">
        <v>217</v>
      </c>
      <c r="AW1883" t="s">
        <v>218</v>
      </c>
      <c r="AX1883" t="s">
        <v>131</v>
      </c>
      <c r="AY1883" t="s">
        <v>131</v>
      </c>
      <c r="AZ1883" t="s">
        <v>131</v>
      </c>
      <c r="BA1883" t="s">
        <v>131</v>
      </c>
      <c r="BB1883" t="s">
        <v>131</v>
      </c>
      <c r="BC1883" t="s">
        <v>131</v>
      </c>
      <c r="BD1883" t="s">
        <v>131</v>
      </c>
      <c r="BE1883" t="s">
        <v>132</v>
      </c>
      <c r="BH1883" t="s">
        <v>15039</v>
      </c>
      <c r="BI1883" t="s">
        <v>135</v>
      </c>
      <c r="BJ1883" t="s">
        <v>5156</v>
      </c>
      <c r="BK1883" t="s">
        <v>887</v>
      </c>
      <c r="BL1883" t="s">
        <v>133</v>
      </c>
      <c r="BN1883" t="s">
        <v>8319</v>
      </c>
      <c r="BO1883" t="s">
        <v>131</v>
      </c>
      <c r="BP1883" t="s">
        <v>134</v>
      </c>
      <c r="BQ1883" t="s">
        <v>131</v>
      </c>
      <c r="BS1883" t="str">
        <f t="shared" si="108"/>
        <v>N/A</v>
      </c>
      <c r="BT1883" t="s">
        <v>135</v>
      </c>
      <c r="BU1883">
        <v>60</v>
      </c>
      <c r="BV1883" t="str">
        <f>"Operations Research Analysts or related occupation. "</f>
        <v xml:space="preserve">Operations Research Analysts or related occupation. </v>
      </c>
      <c r="BW1883" t="s">
        <v>135</v>
      </c>
      <c r="BX1883" t="str">
        <f>""</f>
        <v/>
      </c>
      <c r="BY1883" t="str">
        <f>""</f>
        <v/>
      </c>
      <c r="BZ1883" t="str">
        <f>""</f>
        <v/>
      </c>
      <c r="CA1883" s="2" t="s">
        <v>8320</v>
      </c>
      <c r="CB1883" t="s">
        <v>135</v>
      </c>
      <c r="CC1883" t="s">
        <v>188</v>
      </c>
      <c r="CE1883" t="s">
        <v>8319</v>
      </c>
      <c r="CF1883" t="s">
        <v>131</v>
      </c>
      <c r="CH1883" t="str">
        <f>"N/A"</f>
        <v>N/A</v>
      </c>
      <c r="CI1883" t="s">
        <v>135</v>
      </c>
      <c r="CJ1883">
        <v>36</v>
      </c>
      <c r="CK1883" t="s">
        <v>135</v>
      </c>
      <c r="CL1883" t="str">
        <f>""</f>
        <v/>
      </c>
      <c r="CM1883" t="str">
        <f>""</f>
        <v/>
      </c>
      <c r="CN1883" t="str">
        <f>""</f>
        <v/>
      </c>
      <c r="CO1883" s="2" t="s">
        <v>8320</v>
      </c>
      <c r="CP1883" t="str">
        <f>"15-2031.00"</f>
        <v>15-2031.00</v>
      </c>
      <c r="CQ1883" t="s">
        <v>887</v>
      </c>
      <c r="CS1883" t="s">
        <v>135</v>
      </c>
      <c r="CT1883" t="s">
        <v>2266</v>
      </c>
      <c r="CU1883" t="s">
        <v>5157</v>
      </c>
      <c r="CW1883" t="s">
        <v>476</v>
      </c>
      <c r="CX1883" t="s">
        <v>172</v>
      </c>
      <c r="CZ1883" s="3" t="str">
        <f>"90017"</f>
        <v>90017</v>
      </c>
      <c r="DA1883" t="s">
        <v>131</v>
      </c>
      <c r="DB1883" t="str">
        <f>""</f>
        <v/>
      </c>
      <c r="DF1883" t="str">
        <f>""</f>
        <v/>
      </c>
    </row>
    <row r="1884" spans="1:110" ht="15" customHeight="1" x14ac:dyDescent="0.35">
      <c r="A1884" t="s">
        <v>2881</v>
      </c>
      <c r="B1884" t="s">
        <v>138</v>
      </c>
      <c r="C1884" s="1">
        <v>44355</v>
      </c>
      <c r="G1884" s="1">
        <v>44361</v>
      </c>
      <c r="H1884" t="s">
        <v>125</v>
      </c>
      <c r="I1884" t="s">
        <v>2882</v>
      </c>
      <c r="J1884" t="s">
        <v>2804</v>
      </c>
      <c r="L1884" t="s">
        <v>2883</v>
      </c>
      <c r="M1884" t="s">
        <v>2884</v>
      </c>
      <c r="O1884" t="s">
        <v>2885</v>
      </c>
      <c r="P1884" t="s">
        <v>2886</v>
      </c>
      <c r="Q1884" s="3">
        <v>911</v>
      </c>
      <c r="R1884" t="s">
        <v>128</v>
      </c>
      <c r="T1884" s="4">
        <v>17877223174</v>
      </c>
      <c r="V1884" t="s">
        <v>2887</v>
      </c>
      <c r="W1884" t="s">
        <v>2888</v>
      </c>
      <c r="Y1884" t="s">
        <v>2889</v>
      </c>
      <c r="AA1884" t="s">
        <v>2885</v>
      </c>
      <c r="AB1884" t="s">
        <v>2890</v>
      </c>
      <c r="AC1884" s="3" t="str">
        <f>"00911"</f>
        <v>00911</v>
      </c>
      <c r="AD1884" t="s">
        <v>128</v>
      </c>
      <c r="AF1884" s="4">
        <v>17877223174</v>
      </c>
      <c r="AH1884" t="str">
        <f>"61163"</f>
        <v>61163</v>
      </c>
      <c r="AI1884" t="s">
        <v>130</v>
      </c>
      <c r="AJ1884" t="s">
        <v>2891</v>
      </c>
      <c r="AK1884" t="s">
        <v>2892</v>
      </c>
      <c r="AL1884" t="s">
        <v>2893</v>
      </c>
      <c r="AM1884" t="s">
        <v>2894</v>
      </c>
      <c r="AN1884" t="s">
        <v>2706</v>
      </c>
      <c r="AO1884" t="s">
        <v>2885</v>
      </c>
      <c r="AP1884" t="s">
        <v>2890</v>
      </c>
      <c r="AQ1884" s="5">
        <v>918</v>
      </c>
      <c r="AR1884" t="s">
        <v>128</v>
      </c>
      <c r="AT1884" s="4">
        <v>17877512510</v>
      </c>
      <c r="AV1884" t="s">
        <v>2895</v>
      </c>
      <c r="AW1884" t="s">
        <v>2896</v>
      </c>
      <c r="AX1884" t="s">
        <v>131</v>
      </c>
      <c r="AY1884" t="s">
        <v>131</v>
      </c>
      <c r="AZ1884" t="s">
        <v>131</v>
      </c>
      <c r="BA1884" t="s">
        <v>131</v>
      </c>
      <c r="BB1884" t="s">
        <v>131</v>
      </c>
      <c r="BC1884" t="s">
        <v>131</v>
      </c>
      <c r="BD1884" t="s">
        <v>131</v>
      </c>
      <c r="BE1884" t="s">
        <v>132</v>
      </c>
      <c r="BH1884" t="s">
        <v>2897</v>
      </c>
      <c r="BI1884" t="s">
        <v>131</v>
      </c>
      <c r="BL1884" t="s">
        <v>188</v>
      </c>
      <c r="BN1884" t="s">
        <v>2898</v>
      </c>
      <c r="BO1884" t="s">
        <v>131</v>
      </c>
      <c r="BP1884" t="s">
        <v>134</v>
      </c>
      <c r="BQ1884" t="s">
        <v>131</v>
      </c>
      <c r="BS1884" t="str">
        <f t="shared" si="108"/>
        <v>N/A</v>
      </c>
      <c r="BT1884" t="s">
        <v>135</v>
      </c>
      <c r="BU1884">
        <v>12</v>
      </c>
      <c r="BV1884" t="str">
        <f>"Professor of French as a Foreign Language"</f>
        <v>Professor of French as a Foreign Language</v>
      </c>
      <c r="BW1884" t="s">
        <v>135</v>
      </c>
      <c r="BX1884" t="str">
        <f>"DELF C1 LEVEL MINIMUM FOR NON NATIVE CANDIDATES"</f>
        <v>DELF C1 LEVEL MINIMUM FOR NON NATIVE CANDIDATES</v>
      </c>
      <c r="BY1884" t="str">
        <f>"FRENCH"</f>
        <v>FRENCH</v>
      </c>
      <c r="BZ1884" t="str">
        <f>""</f>
        <v/>
      </c>
      <c r="CA1884" t="str">
        <f>" Computer teaching platforms such as Visio conference’s tools, available to work rotating schedules that includes Saturday and night classes."</f>
        <v xml:space="preserve"> Computer teaching platforms such as Visio conference’s tools, available to work rotating schedules that includes Saturday and night classes.</v>
      </c>
      <c r="CB1884" t="s">
        <v>131</v>
      </c>
      <c r="CF1884" t="s">
        <v>131</v>
      </c>
      <c r="CH1884" t="str">
        <f>""</f>
        <v/>
      </c>
      <c r="CI1884" t="s">
        <v>131</v>
      </c>
      <c r="CK1884" t="s">
        <v>131</v>
      </c>
      <c r="CL1884" t="str">
        <f>""</f>
        <v/>
      </c>
      <c r="CM1884" t="str">
        <f>""</f>
        <v/>
      </c>
      <c r="CN1884" t="str">
        <f>""</f>
        <v/>
      </c>
      <c r="CO1884" t="str">
        <f>""</f>
        <v/>
      </c>
      <c r="CP1884" t="str">
        <f>"25-1124.00"</f>
        <v>25-1124.00</v>
      </c>
      <c r="CQ1884" t="s">
        <v>716</v>
      </c>
      <c r="CR1884" t="s">
        <v>2899</v>
      </c>
      <c r="CS1884" t="s">
        <v>131</v>
      </c>
      <c r="CU1884" t="s">
        <v>2889</v>
      </c>
      <c r="CW1884" t="s">
        <v>2885</v>
      </c>
      <c r="CX1884" t="s">
        <v>2890</v>
      </c>
      <c r="CZ1884" s="3" t="str">
        <f>"00911"</f>
        <v>00911</v>
      </c>
      <c r="DA1884" t="s">
        <v>131</v>
      </c>
      <c r="DB1884" t="str">
        <f>""</f>
        <v/>
      </c>
      <c r="DF1884" t="str">
        <f>""</f>
        <v/>
      </c>
    </row>
    <row r="1885" spans="1:110" ht="15" customHeight="1" x14ac:dyDescent="0.35">
      <c r="A1885" t="s">
        <v>13117</v>
      </c>
      <c r="B1885" t="s">
        <v>138</v>
      </c>
      <c r="C1885" s="1">
        <v>44355</v>
      </c>
      <c r="G1885" s="1">
        <v>44364</v>
      </c>
      <c r="H1885" t="s">
        <v>125</v>
      </c>
      <c r="I1885" t="s">
        <v>368</v>
      </c>
      <c r="J1885" t="s">
        <v>369</v>
      </c>
      <c r="L1885" t="s">
        <v>722</v>
      </c>
      <c r="M1885" t="s">
        <v>370</v>
      </c>
      <c r="O1885" t="s">
        <v>964</v>
      </c>
      <c r="P1885" t="s">
        <v>144</v>
      </c>
      <c r="Q1885" s="3">
        <v>98121</v>
      </c>
      <c r="R1885" t="s">
        <v>128</v>
      </c>
      <c r="S1885" t="s">
        <v>134</v>
      </c>
      <c r="T1885" s="4">
        <v>12062661000</v>
      </c>
      <c r="V1885" t="s">
        <v>372</v>
      </c>
      <c r="W1885" t="s">
        <v>7990</v>
      </c>
      <c r="X1885" t="s">
        <v>134</v>
      </c>
      <c r="Y1885" t="s">
        <v>370</v>
      </c>
      <c r="AA1885" t="s">
        <v>964</v>
      </c>
      <c r="AB1885" t="s">
        <v>149</v>
      </c>
      <c r="AC1885" s="3" t="str">
        <f>"98121"</f>
        <v>98121</v>
      </c>
      <c r="AD1885" t="s">
        <v>128</v>
      </c>
      <c r="AE1885" t="s">
        <v>134</v>
      </c>
      <c r="AF1885" s="4">
        <v>12062661000</v>
      </c>
      <c r="AH1885" t="str">
        <f>"45411"</f>
        <v>45411</v>
      </c>
      <c r="AI1885" t="s">
        <v>130</v>
      </c>
      <c r="AJ1885" t="s">
        <v>4017</v>
      </c>
      <c r="AK1885" t="s">
        <v>1049</v>
      </c>
      <c r="AM1885" t="s">
        <v>374</v>
      </c>
      <c r="AN1885" t="s">
        <v>375</v>
      </c>
      <c r="AO1885" t="s">
        <v>2424</v>
      </c>
      <c r="AP1885" t="s">
        <v>377</v>
      </c>
      <c r="AQ1885" s="5">
        <v>2110</v>
      </c>
      <c r="AR1885" t="s">
        <v>128</v>
      </c>
      <c r="AT1885" s="4">
        <v>16175740400</v>
      </c>
      <c r="AV1885" t="s">
        <v>372</v>
      </c>
      <c r="AW1885" t="s">
        <v>378</v>
      </c>
      <c r="AX1885" t="s">
        <v>131</v>
      </c>
      <c r="AY1885" t="s">
        <v>131</v>
      </c>
      <c r="AZ1885" t="s">
        <v>131</v>
      </c>
      <c r="BA1885" t="s">
        <v>131</v>
      </c>
      <c r="BB1885" t="s">
        <v>131</v>
      </c>
      <c r="BC1885" t="s">
        <v>131</v>
      </c>
      <c r="BD1885" t="s">
        <v>131</v>
      </c>
      <c r="BE1885" t="s">
        <v>132</v>
      </c>
      <c r="BH1885" t="s">
        <v>9465</v>
      </c>
      <c r="BI1885" t="s">
        <v>131</v>
      </c>
      <c r="BL1885" t="s">
        <v>133</v>
      </c>
      <c r="BN1885" t="s">
        <v>12961</v>
      </c>
      <c r="BO1885" t="s">
        <v>131</v>
      </c>
      <c r="BP1885" t="s">
        <v>134</v>
      </c>
      <c r="BQ1885" t="s">
        <v>131</v>
      </c>
      <c r="BS1885" t="str">
        <f t="shared" si="108"/>
        <v>N/A</v>
      </c>
      <c r="BT1885" t="s">
        <v>135</v>
      </c>
      <c r="BU1885">
        <v>12</v>
      </c>
      <c r="BV1885" t="str">
        <f>"Job offered or a related occupation"</f>
        <v>Job offered or a related occupation</v>
      </c>
      <c r="BW1885" t="s">
        <v>135</v>
      </c>
      <c r="BX1885" t="str">
        <f>""</f>
        <v/>
      </c>
      <c r="BY1885" t="str">
        <f>""</f>
        <v/>
      </c>
      <c r="BZ1885" t="str">
        <f>""</f>
        <v/>
      </c>
      <c r="CA1885" t="s">
        <v>13118</v>
      </c>
      <c r="CB1885" t="s">
        <v>131</v>
      </c>
      <c r="CF1885" t="s">
        <v>131</v>
      </c>
      <c r="CH1885" t="str">
        <f>""</f>
        <v/>
      </c>
      <c r="CI1885" t="s">
        <v>131</v>
      </c>
      <c r="CK1885" t="s">
        <v>131</v>
      </c>
      <c r="CL1885" t="str">
        <f>""</f>
        <v/>
      </c>
      <c r="CM1885" t="str">
        <f>""</f>
        <v/>
      </c>
      <c r="CN1885" t="str">
        <f>""</f>
        <v/>
      </c>
      <c r="CO1885" t="str">
        <f>""</f>
        <v/>
      </c>
      <c r="CP1885" t="str">
        <f>"15-1199.08"</f>
        <v>15-1199.08</v>
      </c>
      <c r="CQ1885" t="s">
        <v>265</v>
      </c>
      <c r="CS1885" t="s">
        <v>131</v>
      </c>
      <c r="CU1885" t="s">
        <v>370</v>
      </c>
      <c r="CW1885" t="s">
        <v>371</v>
      </c>
      <c r="CX1885" t="s">
        <v>149</v>
      </c>
      <c r="CZ1885" s="3" t="str">
        <f>"98121"</f>
        <v>98121</v>
      </c>
      <c r="DA1885" t="s">
        <v>131</v>
      </c>
      <c r="DB1885" t="str">
        <f>""</f>
        <v/>
      </c>
      <c r="DF1885" t="str">
        <f>""</f>
        <v/>
      </c>
    </row>
    <row r="1886" spans="1:110" ht="15" customHeight="1" x14ac:dyDescent="0.35">
      <c r="A1886" t="s">
        <v>3605</v>
      </c>
      <c r="B1886" t="s">
        <v>138</v>
      </c>
      <c r="C1886" s="1">
        <v>44355</v>
      </c>
      <c r="G1886" s="1">
        <v>44362</v>
      </c>
      <c r="H1886" t="s">
        <v>125</v>
      </c>
      <c r="I1886" t="s">
        <v>3606</v>
      </c>
      <c r="J1886" t="s">
        <v>3607</v>
      </c>
      <c r="K1886" t="s">
        <v>309</v>
      </c>
      <c r="L1886" t="s">
        <v>3608</v>
      </c>
      <c r="M1886" t="s">
        <v>3609</v>
      </c>
      <c r="N1886" t="s">
        <v>3610</v>
      </c>
      <c r="O1886" t="s">
        <v>494</v>
      </c>
      <c r="P1886" t="s">
        <v>127</v>
      </c>
      <c r="Q1886" s="3">
        <v>10018</v>
      </c>
      <c r="R1886" t="s">
        <v>128</v>
      </c>
      <c r="T1886" s="4">
        <v>16317601276</v>
      </c>
      <c r="V1886" t="s">
        <v>3611</v>
      </c>
      <c r="W1886" t="s">
        <v>3612</v>
      </c>
      <c r="X1886" t="s">
        <v>3613</v>
      </c>
      <c r="Y1886" t="s">
        <v>3614</v>
      </c>
      <c r="AA1886" t="s">
        <v>747</v>
      </c>
      <c r="AB1886" t="s">
        <v>400</v>
      </c>
      <c r="AC1886" s="3" t="str">
        <f>"77477"</f>
        <v>77477</v>
      </c>
      <c r="AD1886" t="s">
        <v>128</v>
      </c>
      <c r="AF1886" s="4">
        <v>16317601276</v>
      </c>
      <c r="AH1886" t="str">
        <f>"541511"</f>
        <v>541511</v>
      </c>
      <c r="AI1886" t="s">
        <v>130</v>
      </c>
      <c r="AJ1886" t="s">
        <v>3615</v>
      </c>
      <c r="AK1886" t="s">
        <v>737</v>
      </c>
      <c r="AL1886" t="s">
        <v>1861</v>
      </c>
      <c r="AM1886" t="s">
        <v>3616</v>
      </c>
      <c r="AN1886" t="s">
        <v>3617</v>
      </c>
      <c r="AO1886" t="s">
        <v>220</v>
      </c>
      <c r="AP1886" t="s">
        <v>172</v>
      </c>
      <c r="AQ1886" s="5">
        <v>94104</v>
      </c>
      <c r="AR1886" t="s">
        <v>128</v>
      </c>
      <c r="AT1886" s="4">
        <v>14154341161</v>
      </c>
      <c r="AU1886">
        <v>35</v>
      </c>
      <c r="AV1886" t="s">
        <v>3618</v>
      </c>
      <c r="AW1886" t="s">
        <v>3619</v>
      </c>
      <c r="AX1886" t="s">
        <v>131</v>
      </c>
      <c r="AY1886" t="s">
        <v>131</v>
      </c>
      <c r="AZ1886" t="s">
        <v>131</v>
      </c>
      <c r="BA1886" t="s">
        <v>131</v>
      </c>
      <c r="BB1886" t="s">
        <v>131</v>
      </c>
      <c r="BC1886" t="s">
        <v>131</v>
      </c>
      <c r="BD1886" t="s">
        <v>131</v>
      </c>
      <c r="BE1886" t="s">
        <v>132</v>
      </c>
      <c r="BH1886" t="s">
        <v>3620</v>
      </c>
      <c r="BI1886" t="s">
        <v>131</v>
      </c>
      <c r="BL1886" t="s">
        <v>133</v>
      </c>
      <c r="BN1886" t="s">
        <v>3621</v>
      </c>
      <c r="BO1886" t="s">
        <v>131</v>
      </c>
      <c r="BQ1886" t="s">
        <v>131</v>
      </c>
      <c r="BR1886">
        <v>0</v>
      </c>
      <c r="BS1886" t="str">
        <f>""</f>
        <v/>
      </c>
      <c r="BT1886" t="s">
        <v>135</v>
      </c>
      <c r="BU1886">
        <v>12</v>
      </c>
      <c r="BV1886" t="str">
        <f>"Software development operations engineering"</f>
        <v>Software development operations engineering</v>
      </c>
      <c r="BW1886" t="s">
        <v>135</v>
      </c>
      <c r="BX1886" t="str">
        <f>""</f>
        <v/>
      </c>
      <c r="BY1886" t="str">
        <f>""</f>
        <v/>
      </c>
      <c r="BZ1886" t="str">
        <f>""</f>
        <v/>
      </c>
      <c r="CA1886" t="s">
        <v>3622</v>
      </c>
      <c r="CB1886" t="s">
        <v>131</v>
      </c>
      <c r="CF1886" t="s">
        <v>131</v>
      </c>
      <c r="CG1886">
        <v>0</v>
      </c>
      <c r="CH1886" t="str">
        <f>""</f>
        <v/>
      </c>
      <c r="CI1886" t="s">
        <v>131</v>
      </c>
      <c r="CK1886" t="s">
        <v>131</v>
      </c>
      <c r="CL1886" t="str">
        <f>""</f>
        <v/>
      </c>
      <c r="CM1886" t="str">
        <f>""</f>
        <v/>
      </c>
      <c r="CN1886" t="str">
        <f>""</f>
        <v/>
      </c>
      <c r="CO1886" t="str">
        <f>""</f>
        <v/>
      </c>
      <c r="CP1886" t="str">
        <f>"15-1133.00"</f>
        <v>15-1133.00</v>
      </c>
      <c r="CQ1886" t="s">
        <v>648</v>
      </c>
      <c r="CR1886" t="s">
        <v>1263</v>
      </c>
      <c r="CS1886" t="s">
        <v>135</v>
      </c>
      <c r="CT1886" t="s">
        <v>3623</v>
      </c>
      <c r="CU1886" t="s">
        <v>3614</v>
      </c>
      <c r="CV1886" t="s">
        <v>3624</v>
      </c>
      <c r="CW1886" t="s">
        <v>747</v>
      </c>
      <c r="CX1886" t="s">
        <v>400</v>
      </c>
      <c r="CZ1886" s="3" t="str">
        <f>"77477"</f>
        <v>77477</v>
      </c>
      <c r="DA1886" t="s">
        <v>131</v>
      </c>
      <c r="DB1886" t="str">
        <f>""</f>
        <v/>
      </c>
      <c r="DF1886" t="str">
        <f>""</f>
        <v/>
      </c>
    </row>
    <row r="1887" spans="1:110" ht="15" customHeight="1" x14ac:dyDescent="0.35">
      <c r="A1887" t="s">
        <v>16183</v>
      </c>
      <c r="B1887" t="s">
        <v>138</v>
      </c>
      <c r="C1887" s="1">
        <v>44355</v>
      </c>
      <c r="G1887" s="1">
        <v>44363</v>
      </c>
      <c r="H1887" t="s">
        <v>125</v>
      </c>
      <c r="I1887" t="s">
        <v>967</v>
      </c>
      <c r="J1887" t="s">
        <v>246</v>
      </c>
      <c r="K1887" t="s">
        <v>610</v>
      </c>
      <c r="L1887" t="s">
        <v>968</v>
      </c>
      <c r="M1887" t="s">
        <v>969</v>
      </c>
      <c r="N1887" t="s">
        <v>970</v>
      </c>
      <c r="O1887" t="s">
        <v>262</v>
      </c>
      <c r="P1887" t="s">
        <v>539</v>
      </c>
      <c r="Q1887" s="3">
        <v>60603</v>
      </c>
      <c r="R1887" t="s">
        <v>128</v>
      </c>
      <c r="T1887" s="4">
        <v>13127322655</v>
      </c>
      <c r="V1887" t="s">
        <v>134</v>
      </c>
      <c r="W1887" t="s">
        <v>971</v>
      </c>
      <c r="Y1887" t="s">
        <v>969</v>
      </c>
      <c r="Z1887" t="s">
        <v>970</v>
      </c>
      <c r="AA1887" t="s">
        <v>262</v>
      </c>
      <c r="AB1887" t="s">
        <v>263</v>
      </c>
      <c r="AC1887" s="3" t="str">
        <f>"60603"</f>
        <v>60603</v>
      </c>
      <c r="AD1887" t="s">
        <v>128</v>
      </c>
      <c r="AF1887" s="4">
        <v>13127322655</v>
      </c>
      <c r="AH1887" t="str">
        <f>"551112"</f>
        <v>551112</v>
      </c>
      <c r="AI1887" t="s">
        <v>130</v>
      </c>
      <c r="AJ1887" t="s">
        <v>1493</v>
      </c>
      <c r="AK1887" t="s">
        <v>654</v>
      </c>
      <c r="AM1887" t="s">
        <v>973</v>
      </c>
      <c r="AN1887" t="s">
        <v>974</v>
      </c>
      <c r="AO1887" t="s">
        <v>975</v>
      </c>
      <c r="AP1887" t="s">
        <v>594</v>
      </c>
      <c r="AQ1887" s="5">
        <v>27615</v>
      </c>
      <c r="AR1887" t="s">
        <v>128</v>
      </c>
      <c r="AT1887" s="4">
        <v>19197879700</v>
      </c>
      <c r="AV1887" t="s">
        <v>7970</v>
      </c>
      <c r="AW1887" t="s">
        <v>976</v>
      </c>
      <c r="AX1887" t="s">
        <v>131</v>
      </c>
      <c r="AY1887" t="s">
        <v>131</v>
      </c>
      <c r="AZ1887" t="s">
        <v>131</v>
      </c>
      <c r="BA1887" t="s">
        <v>131</v>
      </c>
      <c r="BB1887" t="s">
        <v>131</v>
      </c>
      <c r="BC1887" t="s">
        <v>131</v>
      </c>
      <c r="BD1887" t="s">
        <v>131</v>
      </c>
      <c r="BE1887" t="s">
        <v>160</v>
      </c>
      <c r="BF1887" t="s">
        <v>977</v>
      </c>
      <c r="BG1887" s="1">
        <v>43891</v>
      </c>
      <c r="BH1887" t="s">
        <v>5811</v>
      </c>
      <c r="BI1887" t="s">
        <v>131</v>
      </c>
      <c r="BL1887" t="s">
        <v>188</v>
      </c>
      <c r="BN1887" t="s">
        <v>6826</v>
      </c>
      <c r="BO1887" t="s">
        <v>131</v>
      </c>
      <c r="BP1887" t="s">
        <v>134</v>
      </c>
      <c r="BQ1887" t="s">
        <v>131</v>
      </c>
      <c r="BS1887" t="str">
        <f t="shared" ref="BS1887:BS1918" si="109">"N/A"</f>
        <v>N/A</v>
      </c>
      <c r="BT1887" t="s">
        <v>135</v>
      </c>
      <c r="BU1887">
        <v>12</v>
      </c>
      <c r="BV1887" t="str">
        <f>"Software Engineer, Computer Systems Analyst, Application or Software Development, or related field of study."</f>
        <v>Software Engineer, Computer Systems Analyst, Application or Software Development, or related field of study.</v>
      </c>
      <c r="BW1887" t="s">
        <v>135</v>
      </c>
      <c r="BX1887" t="str">
        <f>""</f>
        <v/>
      </c>
      <c r="BY1887" t="str">
        <f>""</f>
        <v/>
      </c>
      <c r="BZ1887" t="str">
        <f>""</f>
        <v/>
      </c>
      <c r="CA1887" t="s">
        <v>6827</v>
      </c>
      <c r="CB1887" t="s">
        <v>135</v>
      </c>
      <c r="CC1887" t="s">
        <v>133</v>
      </c>
      <c r="CE1887" t="s">
        <v>6826</v>
      </c>
      <c r="CF1887" t="s">
        <v>131</v>
      </c>
      <c r="CH1887" t="str">
        <f>"N/A"</f>
        <v>N/A</v>
      </c>
      <c r="CI1887" t="s">
        <v>135</v>
      </c>
      <c r="CJ1887">
        <v>36</v>
      </c>
      <c r="CK1887" t="s">
        <v>135</v>
      </c>
      <c r="CL1887" t="str">
        <f>""</f>
        <v/>
      </c>
      <c r="CM1887" t="str">
        <f>""</f>
        <v/>
      </c>
      <c r="CN1887" t="str">
        <f>""</f>
        <v/>
      </c>
      <c r="CO1887" t="s">
        <v>6827</v>
      </c>
      <c r="CP1887" t="str">
        <f>"15-1132.00"</f>
        <v>15-1132.00</v>
      </c>
      <c r="CQ1887" t="s">
        <v>198</v>
      </c>
      <c r="CS1887" t="s">
        <v>131</v>
      </c>
      <c r="CU1887" t="s">
        <v>6828</v>
      </c>
      <c r="CW1887" t="s">
        <v>440</v>
      </c>
      <c r="CX1887" t="s">
        <v>444</v>
      </c>
      <c r="CZ1887" s="3" t="str">
        <f>"43219"</f>
        <v>43219</v>
      </c>
      <c r="DA1887" t="s">
        <v>131</v>
      </c>
      <c r="DB1887" t="str">
        <f>""</f>
        <v/>
      </c>
      <c r="DF1887" t="str">
        <f>""</f>
        <v/>
      </c>
    </row>
    <row r="1888" spans="1:110" ht="15" customHeight="1" x14ac:dyDescent="0.35">
      <c r="A1888" t="s">
        <v>16208</v>
      </c>
      <c r="B1888" t="s">
        <v>138</v>
      </c>
      <c r="C1888" s="1">
        <v>44355</v>
      </c>
      <c r="G1888" s="1">
        <v>44355</v>
      </c>
      <c r="H1888" t="s">
        <v>125</v>
      </c>
      <c r="I1888" t="s">
        <v>16209</v>
      </c>
      <c r="J1888" t="s">
        <v>348</v>
      </c>
      <c r="L1888" t="s">
        <v>349</v>
      </c>
      <c r="M1888" t="s">
        <v>16210</v>
      </c>
      <c r="N1888" t="s">
        <v>4425</v>
      </c>
      <c r="O1888" t="s">
        <v>376</v>
      </c>
      <c r="P1888" t="s">
        <v>720</v>
      </c>
      <c r="Q1888" s="3">
        <v>2108</v>
      </c>
      <c r="R1888" t="s">
        <v>128</v>
      </c>
      <c r="T1888" s="4">
        <v>16173380063</v>
      </c>
      <c r="V1888" t="s">
        <v>16211</v>
      </c>
      <c r="W1888" t="s">
        <v>16212</v>
      </c>
      <c r="Y1888" t="s">
        <v>16210</v>
      </c>
      <c r="Z1888" t="s">
        <v>16213</v>
      </c>
      <c r="AA1888" t="s">
        <v>376</v>
      </c>
      <c r="AB1888" t="s">
        <v>377</v>
      </c>
      <c r="AC1888" s="3" t="str">
        <f>"02108"</f>
        <v>02108</v>
      </c>
      <c r="AD1888" t="s">
        <v>128</v>
      </c>
      <c r="AF1888" s="4">
        <v>16173380063</v>
      </c>
      <c r="AH1888" t="str">
        <f>"54133"</f>
        <v>54133</v>
      </c>
      <c r="AI1888" t="s">
        <v>130</v>
      </c>
      <c r="AJ1888" t="s">
        <v>13563</v>
      </c>
      <c r="AK1888" t="s">
        <v>1816</v>
      </c>
      <c r="AL1888" t="s">
        <v>993</v>
      </c>
      <c r="AM1888" t="s">
        <v>16214</v>
      </c>
      <c r="AN1888" t="s">
        <v>698</v>
      </c>
      <c r="AO1888" t="s">
        <v>376</v>
      </c>
      <c r="AP1888" t="s">
        <v>377</v>
      </c>
      <c r="AQ1888" s="5">
        <v>2129</v>
      </c>
      <c r="AR1888" t="s">
        <v>128</v>
      </c>
      <c r="AT1888" s="4">
        <v>16174821010</v>
      </c>
      <c r="AV1888" t="s">
        <v>13564</v>
      </c>
      <c r="AW1888" t="s">
        <v>7227</v>
      </c>
      <c r="AX1888" t="s">
        <v>131</v>
      </c>
      <c r="AY1888" t="s">
        <v>131</v>
      </c>
      <c r="AZ1888" t="s">
        <v>131</v>
      </c>
      <c r="BA1888" t="s">
        <v>131</v>
      </c>
      <c r="BB1888" t="s">
        <v>131</v>
      </c>
      <c r="BC1888" t="s">
        <v>131</v>
      </c>
      <c r="BD1888" t="s">
        <v>131</v>
      </c>
      <c r="BE1888" t="s">
        <v>132</v>
      </c>
      <c r="BH1888" t="s">
        <v>6382</v>
      </c>
      <c r="BI1888" t="s">
        <v>131</v>
      </c>
      <c r="BL1888" t="s">
        <v>133</v>
      </c>
      <c r="BN1888" t="s">
        <v>16215</v>
      </c>
      <c r="BO1888" t="s">
        <v>131</v>
      </c>
      <c r="BP1888" t="s">
        <v>134</v>
      </c>
      <c r="BQ1888" t="s">
        <v>131</v>
      </c>
      <c r="BS1888" t="str">
        <f t="shared" si="109"/>
        <v>N/A</v>
      </c>
      <c r="BT1888" t="s">
        <v>135</v>
      </c>
      <c r="BU1888">
        <v>12</v>
      </c>
      <c r="BV1888" t="str">
        <f>"Engineer position involving transportation design "</f>
        <v xml:space="preserve">Engineer position involving transportation design </v>
      </c>
      <c r="BW1888" t="s">
        <v>135</v>
      </c>
      <c r="BX1888" t="str">
        <f>"Must have a Professional Engineer (PE) License"</f>
        <v>Must have a Professional Engineer (PE) License</v>
      </c>
      <c r="BY1888" t="str">
        <f>""</f>
        <v/>
      </c>
      <c r="BZ1888" t="str">
        <f>""</f>
        <v/>
      </c>
      <c r="CA1888" t="str">
        <f>"Knowledge of Manual on Uniform Traffic Control Devices (MUTCD), HCM, AASHTO, ITE guidelines.  Proficient with using AutoCAD Civil 3D  "</f>
        <v xml:space="preserve">Knowledge of Manual on Uniform Traffic Control Devices (MUTCD), HCM, AASHTO, ITE guidelines.  Proficient with using AutoCAD Civil 3D  </v>
      </c>
      <c r="CB1888" t="s">
        <v>131</v>
      </c>
      <c r="CF1888" t="s">
        <v>131</v>
      </c>
      <c r="CH1888" t="str">
        <f>""</f>
        <v/>
      </c>
      <c r="CI1888" t="s">
        <v>131</v>
      </c>
      <c r="CK1888" t="s">
        <v>131</v>
      </c>
      <c r="CL1888" t="str">
        <f>""</f>
        <v/>
      </c>
      <c r="CM1888" t="str">
        <f>""</f>
        <v/>
      </c>
      <c r="CN1888" t="str">
        <f>""</f>
        <v/>
      </c>
      <c r="CO1888" t="str">
        <f>""</f>
        <v/>
      </c>
      <c r="CP1888" t="str">
        <f>"17-2051.01"</f>
        <v>17-2051.01</v>
      </c>
      <c r="CQ1888" t="s">
        <v>5152</v>
      </c>
      <c r="CR1888" t="s">
        <v>16216</v>
      </c>
      <c r="CS1888" t="s">
        <v>131</v>
      </c>
      <c r="CU1888" t="s">
        <v>16210</v>
      </c>
      <c r="CW1888" t="s">
        <v>376</v>
      </c>
      <c r="CX1888" t="s">
        <v>377</v>
      </c>
      <c r="CZ1888" s="3" t="str">
        <f>"02108"</f>
        <v>02108</v>
      </c>
      <c r="DA1888" t="s">
        <v>131</v>
      </c>
      <c r="DB1888" t="str">
        <f>""</f>
        <v/>
      </c>
      <c r="DF1888" t="str">
        <f>""</f>
        <v/>
      </c>
    </row>
    <row r="1889" spans="1:110" ht="15" customHeight="1" x14ac:dyDescent="0.35">
      <c r="A1889" t="s">
        <v>17480</v>
      </c>
      <c r="B1889" t="s">
        <v>138</v>
      </c>
      <c r="C1889" s="1">
        <v>44355</v>
      </c>
      <c r="G1889" s="1">
        <v>44355</v>
      </c>
      <c r="H1889" t="s">
        <v>125</v>
      </c>
      <c r="I1889" t="s">
        <v>15291</v>
      </c>
      <c r="J1889" t="s">
        <v>6875</v>
      </c>
      <c r="L1889" t="s">
        <v>15292</v>
      </c>
      <c r="M1889" t="s">
        <v>15293</v>
      </c>
      <c r="N1889" t="s">
        <v>17481</v>
      </c>
      <c r="O1889" t="s">
        <v>7578</v>
      </c>
      <c r="P1889" t="s">
        <v>778</v>
      </c>
      <c r="Q1889" s="3">
        <v>37087</v>
      </c>
      <c r="R1889" t="s">
        <v>128</v>
      </c>
      <c r="T1889" s="4">
        <v>16154442562</v>
      </c>
      <c r="V1889" t="s">
        <v>15294</v>
      </c>
      <c r="W1889" t="s">
        <v>15295</v>
      </c>
      <c r="Y1889" t="s">
        <v>15293</v>
      </c>
      <c r="Z1889" t="s">
        <v>17481</v>
      </c>
      <c r="AA1889" t="s">
        <v>7578</v>
      </c>
      <c r="AB1889" t="s">
        <v>779</v>
      </c>
      <c r="AC1889" s="3" t="str">
        <f>"37087"</f>
        <v>37087</v>
      </c>
      <c r="AD1889" t="s">
        <v>128</v>
      </c>
      <c r="AF1889" s="4">
        <v>16155471225</v>
      </c>
      <c r="AH1889" t="str">
        <f>"611310"</f>
        <v>611310</v>
      </c>
      <c r="AI1889" t="s">
        <v>130</v>
      </c>
      <c r="AJ1889" t="s">
        <v>15296</v>
      </c>
      <c r="AK1889" t="s">
        <v>15297</v>
      </c>
      <c r="AM1889" t="s">
        <v>15511</v>
      </c>
      <c r="AN1889" t="s">
        <v>7937</v>
      </c>
      <c r="AO1889" t="s">
        <v>405</v>
      </c>
      <c r="AP1889" t="s">
        <v>195</v>
      </c>
      <c r="AQ1889" s="5">
        <v>32835</v>
      </c>
      <c r="AR1889" t="s">
        <v>128</v>
      </c>
      <c r="AT1889" s="4">
        <v>13212098282</v>
      </c>
      <c r="AV1889" t="s">
        <v>15298</v>
      </c>
      <c r="AW1889" t="s">
        <v>15299</v>
      </c>
      <c r="AX1889" t="s">
        <v>135</v>
      </c>
      <c r="AY1889" t="s">
        <v>135</v>
      </c>
      <c r="AZ1889" t="s">
        <v>131</v>
      </c>
      <c r="BA1889" t="s">
        <v>131</v>
      </c>
      <c r="BB1889" t="s">
        <v>134</v>
      </c>
      <c r="BC1889" t="s">
        <v>131</v>
      </c>
      <c r="BD1889" t="s">
        <v>131</v>
      </c>
      <c r="BE1889" t="s">
        <v>132</v>
      </c>
      <c r="BH1889" t="s">
        <v>17482</v>
      </c>
      <c r="BI1889" t="s">
        <v>131</v>
      </c>
      <c r="BL1889" t="s">
        <v>133</v>
      </c>
      <c r="BN1889" t="s">
        <v>17483</v>
      </c>
      <c r="BO1889" t="s">
        <v>131</v>
      </c>
      <c r="BP1889" t="s">
        <v>134</v>
      </c>
      <c r="BQ1889" t="s">
        <v>131</v>
      </c>
      <c r="BS1889" t="str">
        <f t="shared" si="109"/>
        <v>N/A</v>
      </c>
      <c r="BT1889" t="s">
        <v>131</v>
      </c>
      <c r="BV1889" t="str">
        <f>"on the job offered or any experience working directly with the public in hospitality industry or related field"</f>
        <v>on the job offered or any experience working directly with the public in hospitality industry or related field</v>
      </c>
      <c r="BW1889" t="s">
        <v>131</v>
      </c>
      <c r="BX1889" t="str">
        <f>""</f>
        <v/>
      </c>
      <c r="BY1889" t="str">
        <f>""</f>
        <v/>
      </c>
      <c r="BZ1889" t="str">
        <f>""</f>
        <v/>
      </c>
      <c r="CA1889" t="str">
        <f>""</f>
        <v/>
      </c>
      <c r="CB1889" t="s">
        <v>131</v>
      </c>
      <c r="CF1889" t="s">
        <v>131</v>
      </c>
      <c r="CH1889" t="str">
        <f>""</f>
        <v/>
      </c>
      <c r="CI1889" t="s">
        <v>131</v>
      </c>
      <c r="CK1889" t="s">
        <v>131</v>
      </c>
      <c r="CL1889" t="str">
        <f>""</f>
        <v/>
      </c>
      <c r="CM1889" t="str">
        <f>""</f>
        <v/>
      </c>
      <c r="CN1889" t="str">
        <f>""</f>
        <v/>
      </c>
      <c r="CO1889" t="str">
        <f>""</f>
        <v/>
      </c>
      <c r="CP1889" t="str">
        <f>"39-9041.00"</f>
        <v>39-9041.00</v>
      </c>
      <c r="CQ1889" t="s">
        <v>15300</v>
      </c>
      <c r="CR1889" t="s">
        <v>15301</v>
      </c>
      <c r="CS1889" t="s">
        <v>131</v>
      </c>
      <c r="CU1889" t="s">
        <v>15293</v>
      </c>
      <c r="CV1889" t="s">
        <v>17481</v>
      </c>
      <c r="CW1889" t="s">
        <v>7578</v>
      </c>
      <c r="CX1889" t="s">
        <v>779</v>
      </c>
      <c r="CZ1889" s="3" t="str">
        <f>"37087"</f>
        <v>37087</v>
      </c>
      <c r="DA1889" t="s">
        <v>131</v>
      </c>
      <c r="DB1889" t="str">
        <f>""</f>
        <v/>
      </c>
      <c r="DF1889" t="str">
        <f>""</f>
        <v/>
      </c>
    </row>
    <row r="1890" spans="1:110" ht="15" customHeight="1" x14ac:dyDescent="0.35">
      <c r="A1890" t="s">
        <v>10958</v>
      </c>
      <c r="B1890" t="s">
        <v>138</v>
      </c>
      <c r="C1890" s="1">
        <v>44355</v>
      </c>
      <c r="G1890" s="1">
        <v>44371</v>
      </c>
      <c r="H1890" t="s">
        <v>125</v>
      </c>
      <c r="I1890" t="s">
        <v>2009</v>
      </c>
      <c r="J1890" t="s">
        <v>560</v>
      </c>
      <c r="L1890" t="s">
        <v>2010</v>
      </c>
      <c r="M1890" t="s">
        <v>2011</v>
      </c>
      <c r="O1890" t="s">
        <v>2012</v>
      </c>
      <c r="P1890" t="s">
        <v>273</v>
      </c>
      <c r="Q1890" s="3">
        <v>7974</v>
      </c>
      <c r="R1890" t="s">
        <v>128</v>
      </c>
      <c r="T1890" s="4">
        <v>19086796820</v>
      </c>
      <c r="V1890" t="s">
        <v>2013</v>
      </c>
      <c r="W1890" t="s">
        <v>2014</v>
      </c>
      <c r="Y1890" t="s">
        <v>2015</v>
      </c>
      <c r="Z1890" t="s">
        <v>2016</v>
      </c>
      <c r="AA1890" t="s">
        <v>2017</v>
      </c>
      <c r="AB1890" t="s">
        <v>276</v>
      </c>
      <c r="AC1890" s="3" t="str">
        <f>"07974"</f>
        <v>07974</v>
      </c>
      <c r="AD1890" t="s">
        <v>128</v>
      </c>
      <c r="AF1890" s="4">
        <v>19085823041</v>
      </c>
      <c r="AH1890" t="str">
        <f>"51791"</f>
        <v>51791</v>
      </c>
      <c r="AI1890" t="s">
        <v>130</v>
      </c>
      <c r="AJ1890" t="s">
        <v>2018</v>
      </c>
      <c r="AK1890" t="s">
        <v>2019</v>
      </c>
      <c r="AM1890" t="s">
        <v>2020</v>
      </c>
      <c r="AN1890" t="s">
        <v>2021</v>
      </c>
      <c r="AO1890" t="s">
        <v>2022</v>
      </c>
      <c r="AP1890" t="s">
        <v>400</v>
      </c>
      <c r="AQ1890" s="5">
        <v>75001</v>
      </c>
      <c r="AR1890" t="s">
        <v>128</v>
      </c>
      <c r="AT1890" s="4">
        <v>19723869297</v>
      </c>
      <c r="AV1890" t="s">
        <v>2013</v>
      </c>
      <c r="AW1890" t="s">
        <v>2023</v>
      </c>
      <c r="AX1890" t="s">
        <v>131</v>
      </c>
      <c r="AY1890" t="s">
        <v>131</v>
      </c>
      <c r="AZ1890" t="s">
        <v>131</v>
      </c>
      <c r="BA1890" t="s">
        <v>131</v>
      </c>
      <c r="BB1890" t="s">
        <v>131</v>
      </c>
      <c r="BC1890" t="s">
        <v>131</v>
      </c>
      <c r="BD1890" t="s">
        <v>131</v>
      </c>
      <c r="BE1890" t="s">
        <v>160</v>
      </c>
      <c r="BF1890" t="s">
        <v>10647</v>
      </c>
      <c r="BG1890" s="1">
        <v>43891</v>
      </c>
      <c r="BH1890" t="s">
        <v>10959</v>
      </c>
      <c r="BI1890" t="s">
        <v>131</v>
      </c>
      <c r="BL1890" t="s">
        <v>133</v>
      </c>
      <c r="BN1890" t="s">
        <v>5243</v>
      </c>
      <c r="BO1890" t="s">
        <v>131</v>
      </c>
      <c r="BP1890" t="s">
        <v>134</v>
      </c>
      <c r="BQ1890" t="s">
        <v>131</v>
      </c>
      <c r="BS1890" t="str">
        <f t="shared" si="109"/>
        <v>N/A</v>
      </c>
      <c r="BT1890" t="s">
        <v>135</v>
      </c>
      <c r="BU1890">
        <v>60</v>
      </c>
      <c r="BV1890" t="str">
        <f>" Software, IT, Engineering or related fields"</f>
        <v xml:space="preserve"> Software, IT, Engineering or related fields</v>
      </c>
      <c r="BW1890" t="s">
        <v>135</v>
      </c>
      <c r="BX1890" t="str">
        <f>""</f>
        <v/>
      </c>
      <c r="BY1890" t="str">
        <f>""</f>
        <v/>
      </c>
      <c r="BZ1890" t="str">
        <f>""</f>
        <v/>
      </c>
      <c r="CA1890" t="s">
        <v>10960</v>
      </c>
      <c r="CB1890" t="s">
        <v>131</v>
      </c>
      <c r="CF1890" t="s">
        <v>131</v>
      </c>
      <c r="CH1890" t="str">
        <f>""</f>
        <v/>
      </c>
      <c r="CI1890" t="s">
        <v>131</v>
      </c>
      <c r="CK1890" t="s">
        <v>131</v>
      </c>
      <c r="CL1890" t="str">
        <f>""</f>
        <v/>
      </c>
      <c r="CM1890" t="str">
        <f>""</f>
        <v/>
      </c>
      <c r="CN1890" t="str">
        <f>""</f>
        <v/>
      </c>
      <c r="CO1890" t="str">
        <f>""</f>
        <v/>
      </c>
      <c r="CP1890" t="str">
        <f>"15-1132.00"</f>
        <v>15-1132.00</v>
      </c>
      <c r="CQ1890" t="s">
        <v>198</v>
      </c>
      <c r="CS1890" t="s">
        <v>131</v>
      </c>
      <c r="CU1890" t="s">
        <v>10961</v>
      </c>
      <c r="CV1890" t="s">
        <v>2558</v>
      </c>
      <c r="CW1890" t="s">
        <v>664</v>
      </c>
      <c r="CX1890" t="s">
        <v>172</v>
      </c>
      <c r="CZ1890" s="3" t="str">
        <f>"95110"</f>
        <v>95110</v>
      </c>
      <c r="DA1890" t="s">
        <v>131</v>
      </c>
      <c r="DB1890" t="str">
        <f>""</f>
        <v/>
      </c>
      <c r="DF1890" t="str">
        <f>""</f>
        <v/>
      </c>
    </row>
    <row r="1891" spans="1:110" ht="15" customHeight="1" x14ac:dyDescent="0.35">
      <c r="A1891" t="s">
        <v>19121</v>
      </c>
      <c r="B1891" t="s">
        <v>138</v>
      </c>
      <c r="C1891" s="1">
        <v>44355</v>
      </c>
      <c r="G1891" s="1">
        <v>44357</v>
      </c>
      <c r="H1891" t="s">
        <v>125</v>
      </c>
      <c r="I1891" t="s">
        <v>13474</v>
      </c>
      <c r="J1891" t="s">
        <v>3936</v>
      </c>
      <c r="L1891" t="s">
        <v>1640</v>
      </c>
      <c r="M1891" t="s">
        <v>13475</v>
      </c>
      <c r="O1891" t="s">
        <v>13476</v>
      </c>
      <c r="P1891" t="s">
        <v>539</v>
      </c>
      <c r="Q1891" s="3">
        <v>60093</v>
      </c>
      <c r="R1891" t="s">
        <v>128</v>
      </c>
      <c r="T1891" s="4">
        <v>18476434275</v>
      </c>
      <c r="V1891" t="s">
        <v>19122</v>
      </c>
      <c r="W1891" t="s">
        <v>16914</v>
      </c>
      <c r="Y1891" t="s">
        <v>13475</v>
      </c>
      <c r="AA1891" t="s">
        <v>13476</v>
      </c>
      <c r="AB1891" t="s">
        <v>263</v>
      </c>
      <c r="AC1891" s="3" t="str">
        <f>"60093"</f>
        <v>60093</v>
      </c>
      <c r="AD1891" t="s">
        <v>128</v>
      </c>
      <c r="AF1891" s="4">
        <v>18476434275</v>
      </c>
      <c r="AH1891" t="str">
        <f>"33911"</f>
        <v>33911</v>
      </c>
      <c r="AI1891" t="s">
        <v>130</v>
      </c>
      <c r="AJ1891" t="s">
        <v>1915</v>
      </c>
      <c r="AK1891" t="s">
        <v>522</v>
      </c>
      <c r="AL1891" t="s">
        <v>1916</v>
      </c>
      <c r="AM1891" t="s">
        <v>4879</v>
      </c>
      <c r="AN1891" t="s">
        <v>19123</v>
      </c>
      <c r="AO1891" t="s">
        <v>1200</v>
      </c>
      <c r="AP1891" t="s">
        <v>172</v>
      </c>
      <c r="AQ1891" s="5">
        <v>91301</v>
      </c>
      <c r="AR1891" t="s">
        <v>128</v>
      </c>
      <c r="AT1891" s="4">
        <v>18189146482</v>
      </c>
      <c r="AV1891" t="s">
        <v>1201</v>
      </c>
      <c r="AW1891" t="s">
        <v>1202</v>
      </c>
      <c r="AX1891" t="s">
        <v>131</v>
      </c>
      <c r="AY1891" t="s">
        <v>131</v>
      </c>
      <c r="AZ1891" t="s">
        <v>131</v>
      </c>
      <c r="BA1891" t="s">
        <v>131</v>
      </c>
      <c r="BB1891" t="s">
        <v>131</v>
      </c>
      <c r="BC1891" t="s">
        <v>131</v>
      </c>
      <c r="BD1891" t="s">
        <v>131</v>
      </c>
      <c r="BE1891" t="s">
        <v>132</v>
      </c>
      <c r="BH1891" t="s">
        <v>13480</v>
      </c>
      <c r="BI1891" t="s">
        <v>131</v>
      </c>
      <c r="BL1891" t="s">
        <v>188</v>
      </c>
      <c r="BN1891" t="s">
        <v>2513</v>
      </c>
      <c r="BO1891" t="s">
        <v>131</v>
      </c>
      <c r="BP1891" t="s">
        <v>134</v>
      </c>
      <c r="BQ1891" t="s">
        <v>131</v>
      </c>
      <c r="BS1891" t="str">
        <f t="shared" si="109"/>
        <v>N/A</v>
      </c>
      <c r="BT1891" t="s">
        <v>135</v>
      </c>
      <c r="BU1891">
        <v>36</v>
      </c>
      <c r="BV1891" t="str">
        <f>"See F.a.2."</f>
        <v>See F.a.2.</v>
      </c>
      <c r="BW1891" t="s">
        <v>135</v>
      </c>
      <c r="BX1891" t="str">
        <f>""</f>
        <v/>
      </c>
      <c r="BY1891" t="str">
        <f>""</f>
        <v/>
      </c>
      <c r="BZ1891" t="str">
        <f>""</f>
        <v/>
      </c>
      <c r="CA1891" s="2" t="s">
        <v>13481</v>
      </c>
      <c r="CB1891" t="s">
        <v>135</v>
      </c>
      <c r="CC1891" t="s">
        <v>133</v>
      </c>
      <c r="CE1891" t="s">
        <v>2513</v>
      </c>
      <c r="CF1891" t="s">
        <v>131</v>
      </c>
      <c r="CH1891" t="str">
        <f>"N/A"</f>
        <v>N/A</v>
      </c>
      <c r="CI1891" t="s">
        <v>131</v>
      </c>
      <c r="CK1891" t="s">
        <v>135</v>
      </c>
      <c r="CL1891" t="str">
        <f>""</f>
        <v/>
      </c>
      <c r="CM1891" t="str">
        <f>""</f>
        <v/>
      </c>
      <c r="CN1891" t="str">
        <f>""</f>
        <v/>
      </c>
      <c r="CO1891" t="str">
        <f>"See F.a.2"</f>
        <v>See F.a.2</v>
      </c>
      <c r="CP1891" t="str">
        <f>"15-1121.00"</f>
        <v>15-1121.00</v>
      </c>
      <c r="CQ1891" t="s">
        <v>283</v>
      </c>
      <c r="CR1891" t="s">
        <v>13482</v>
      </c>
      <c r="CS1891" t="s">
        <v>131</v>
      </c>
      <c r="CU1891" t="s">
        <v>13483</v>
      </c>
      <c r="CW1891" t="s">
        <v>13484</v>
      </c>
      <c r="CX1891" t="s">
        <v>263</v>
      </c>
      <c r="CZ1891" s="3" t="str">
        <f>"60060"</f>
        <v>60060</v>
      </c>
      <c r="DA1891" t="s">
        <v>131</v>
      </c>
      <c r="DB1891" t="str">
        <f>""</f>
        <v/>
      </c>
      <c r="DF1891" t="str">
        <f>""</f>
        <v/>
      </c>
    </row>
    <row r="1892" spans="1:110" ht="15" customHeight="1" x14ac:dyDescent="0.35">
      <c r="A1892" t="s">
        <v>8318</v>
      </c>
      <c r="B1892" t="s">
        <v>138</v>
      </c>
      <c r="C1892" s="1">
        <v>44355</v>
      </c>
      <c r="G1892" s="1">
        <v>44356</v>
      </c>
      <c r="H1892" t="s">
        <v>125</v>
      </c>
      <c r="I1892" t="s">
        <v>2264</v>
      </c>
      <c r="J1892" t="s">
        <v>202</v>
      </c>
      <c r="L1892" t="s">
        <v>203</v>
      </c>
      <c r="M1892" t="s">
        <v>204</v>
      </c>
      <c r="O1892" t="s">
        <v>205</v>
      </c>
      <c r="P1892" t="s">
        <v>194</v>
      </c>
      <c r="Q1892" s="3">
        <v>33607</v>
      </c>
      <c r="R1892" t="s">
        <v>128</v>
      </c>
      <c r="T1892" s="4">
        <v>18133487000</v>
      </c>
      <c r="V1892" t="s">
        <v>206</v>
      </c>
      <c r="W1892" t="s">
        <v>2265</v>
      </c>
      <c r="Y1892" t="s">
        <v>208</v>
      </c>
      <c r="AA1892" t="s">
        <v>205</v>
      </c>
      <c r="AB1892" t="s">
        <v>195</v>
      </c>
      <c r="AC1892" s="3" t="str">
        <f>"33607"</f>
        <v>33607</v>
      </c>
      <c r="AD1892" t="s">
        <v>128</v>
      </c>
      <c r="AF1892" s="4">
        <v>18133487000</v>
      </c>
      <c r="AH1892" t="str">
        <f>"541611"</f>
        <v>541611</v>
      </c>
      <c r="AI1892" t="s">
        <v>130</v>
      </c>
      <c r="AJ1892" t="s">
        <v>3390</v>
      </c>
      <c r="AK1892" t="s">
        <v>3391</v>
      </c>
      <c r="AL1892" t="s">
        <v>667</v>
      </c>
      <c r="AM1892" t="s">
        <v>1988</v>
      </c>
      <c r="AN1892" t="s">
        <v>1989</v>
      </c>
      <c r="AO1892" t="s">
        <v>1990</v>
      </c>
      <c r="AQ1892" s="5" t="s">
        <v>215</v>
      </c>
      <c r="AR1892" t="s">
        <v>156</v>
      </c>
      <c r="AS1892" t="s">
        <v>1991</v>
      </c>
      <c r="AT1892" s="4">
        <v>14169418383</v>
      </c>
      <c r="AV1892" t="s">
        <v>217</v>
      </c>
      <c r="AW1892" t="s">
        <v>218</v>
      </c>
      <c r="AX1892" t="s">
        <v>131</v>
      </c>
      <c r="AY1892" t="s">
        <v>131</v>
      </c>
      <c r="AZ1892" t="s">
        <v>131</v>
      </c>
      <c r="BA1892" t="s">
        <v>131</v>
      </c>
      <c r="BB1892" t="s">
        <v>131</v>
      </c>
      <c r="BC1892" t="s">
        <v>131</v>
      </c>
      <c r="BD1892" t="s">
        <v>131</v>
      </c>
      <c r="BE1892" t="s">
        <v>132</v>
      </c>
      <c r="BH1892" t="s">
        <v>5155</v>
      </c>
      <c r="BI1892" t="s">
        <v>135</v>
      </c>
      <c r="BJ1892" t="s">
        <v>5156</v>
      </c>
      <c r="BK1892" t="s">
        <v>887</v>
      </c>
      <c r="BL1892" t="s">
        <v>133</v>
      </c>
      <c r="BN1892" t="s">
        <v>8319</v>
      </c>
      <c r="BO1892" t="s">
        <v>131</v>
      </c>
      <c r="BP1892" t="s">
        <v>134</v>
      </c>
      <c r="BQ1892" t="s">
        <v>131</v>
      </c>
      <c r="BS1892" t="str">
        <f t="shared" si="109"/>
        <v>N/A</v>
      </c>
      <c r="BT1892" t="s">
        <v>135</v>
      </c>
      <c r="BU1892">
        <v>60</v>
      </c>
      <c r="BV1892" t="str">
        <f>"Operations Research Analysts or related occupation."</f>
        <v>Operations Research Analysts or related occupation.</v>
      </c>
      <c r="BW1892" t="s">
        <v>135</v>
      </c>
      <c r="BX1892" t="str">
        <f>""</f>
        <v/>
      </c>
      <c r="BY1892" t="str">
        <f>""</f>
        <v/>
      </c>
      <c r="BZ1892" t="str">
        <f>""</f>
        <v/>
      </c>
      <c r="CA1892" s="2" t="s">
        <v>8320</v>
      </c>
      <c r="CB1892" t="s">
        <v>135</v>
      </c>
      <c r="CC1892" t="s">
        <v>188</v>
      </c>
      <c r="CE1892" t="s">
        <v>8321</v>
      </c>
      <c r="CF1892" t="s">
        <v>131</v>
      </c>
      <c r="CH1892" t="str">
        <f>"N/A"</f>
        <v>N/A</v>
      </c>
      <c r="CI1892" t="s">
        <v>135</v>
      </c>
      <c r="CJ1892">
        <v>36</v>
      </c>
      <c r="CK1892" t="s">
        <v>135</v>
      </c>
      <c r="CL1892" t="str">
        <f>""</f>
        <v/>
      </c>
      <c r="CM1892" t="str">
        <f>""</f>
        <v/>
      </c>
      <c r="CN1892" t="str">
        <f>""</f>
        <v/>
      </c>
      <c r="CO1892" s="2" t="s">
        <v>8320</v>
      </c>
      <c r="CP1892" t="str">
        <f>"15-2031.00"</f>
        <v>15-2031.00</v>
      </c>
      <c r="CQ1892" t="s">
        <v>887</v>
      </c>
      <c r="CS1892" t="s">
        <v>135</v>
      </c>
      <c r="CT1892" t="s">
        <v>2266</v>
      </c>
      <c r="CU1892" t="s">
        <v>5157</v>
      </c>
      <c r="CW1892" t="s">
        <v>2348</v>
      </c>
      <c r="CX1892" t="s">
        <v>172</v>
      </c>
      <c r="CZ1892" s="3" t="str">
        <f>"90017"</f>
        <v>90017</v>
      </c>
      <c r="DA1892" t="s">
        <v>131</v>
      </c>
      <c r="DB1892" t="str">
        <f>""</f>
        <v/>
      </c>
      <c r="DF1892" t="str">
        <f>""</f>
        <v/>
      </c>
    </row>
    <row r="1893" spans="1:110" ht="15" customHeight="1" x14ac:dyDescent="0.35">
      <c r="A1893" t="s">
        <v>18226</v>
      </c>
      <c r="B1893" t="s">
        <v>138</v>
      </c>
      <c r="C1893" s="1">
        <v>44355</v>
      </c>
      <c r="G1893" s="1">
        <v>44370</v>
      </c>
      <c r="H1893" t="s">
        <v>125</v>
      </c>
      <c r="I1893" t="s">
        <v>13826</v>
      </c>
      <c r="J1893" t="s">
        <v>2381</v>
      </c>
      <c r="L1893" t="s">
        <v>13827</v>
      </c>
      <c r="M1893" t="s">
        <v>9523</v>
      </c>
      <c r="O1893" t="s">
        <v>6429</v>
      </c>
      <c r="P1893" t="s">
        <v>720</v>
      </c>
      <c r="Q1893" s="3">
        <v>1111</v>
      </c>
      <c r="R1893" t="s">
        <v>128</v>
      </c>
      <c r="T1893" s="4">
        <v>14137448460</v>
      </c>
      <c r="V1893" t="s">
        <v>18227</v>
      </c>
      <c r="W1893" t="s">
        <v>9525</v>
      </c>
      <c r="Y1893" t="s">
        <v>9523</v>
      </c>
      <c r="AA1893" t="s">
        <v>6429</v>
      </c>
      <c r="AB1893" t="s">
        <v>377</v>
      </c>
      <c r="AC1893" s="3" t="str">
        <f>"01111"</f>
        <v>01111</v>
      </c>
      <c r="AD1893" t="s">
        <v>128</v>
      </c>
      <c r="AF1893" s="4">
        <v>14137441755</v>
      </c>
      <c r="AH1893" t="str">
        <f>"52411"</f>
        <v>52411</v>
      </c>
      <c r="AI1893" t="s">
        <v>130</v>
      </c>
      <c r="AJ1893" t="s">
        <v>1922</v>
      </c>
      <c r="AK1893" t="s">
        <v>922</v>
      </c>
      <c r="AL1893" t="s">
        <v>302</v>
      </c>
      <c r="AM1893" t="s">
        <v>1923</v>
      </c>
      <c r="AN1893" t="s">
        <v>1924</v>
      </c>
      <c r="AO1893" t="s">
        <v>1925</v>
      </c>
      <c r="AP1893" t="s">
        <v>377</v>
      </c>
      <c r="AQ1893" s="5">
        <v>1060</v>
      </c>
      <c r="AR1893" t="s">
        <v>128</v>
      </c>
      <c r="AT1893" s="4">
        <v>14135843232</v>
      </c>
      <c r="AV1893" t="s">
        <v>1926</v>
      </c>
      <c r="AW1893" t="s">
        <v>1923</v>
      </c>
      <c r="AX1893" t="s">
        <v>131</v>
      </c>
      <c r="AY1893" t="s">
        <v>131</v>
      </c>
      <c r="AZ1893" t="s">
        <v>131</v>
      </c>
      <c r="BA1893" t="s">
        <v>131</v>
      </c>
      <c r="BB1893" t="s">
        <v>131</v>
      </c>
      <c r="BC1893" t="s">
        <v>131</v>
      </c>
      <c r="BD1893" t="s">
        <v>131</v>
      </c>
      <c r="BE1893" t="s">
        <v>132</v>
      </c>
      <c r="BH1893" t="s">
        <v>18228</v>
      </c>
      <c r="BI1893" t="s">
        <v>131</v>
      </c>
      <c r="BL1893" t="s">
        <v>188</v>
      </c>
      <c r="BN1893" t="s">
        <v>9442</v>
      </c>
      <c r="BO1893" t="s">
        <v>131</v>
      </c>
      <c r="BP1893" t="s">
        <v>134</v>
      </c>
      <c r="BQ1893" t="s">
        <v>131</v>
      </c>
      <c r="BS1893" t="str">
        <f t="shared" si="109"/>
        <v>N/A</v>
      </c>
      <c r="BT1893" t="s">
        <v>135</v>
      </c>
      <c r="BU1893">
        <v>12</v>
      </c>
      <c r="BV1893" t="str">
        <f>"Any suitable occupation involving data architecture and data management principles using traditional RDBMS, MPP appliances, columnar repositories, distributed-data technologies, or cloud platforms; us"</f>
        <v>Any suitable occupation involving data architecture and data management principles using traditional RDBMS, MPP appliances, columnar repositories, distributed-data technologies, or cloud platforms; us</v>
      </c>
      <c r="BW1893" t="s">
        <v>131</v>
      </c>
      <c r="BX1893" t="str">
        <f>""</f>
        <v/>
      </c>
      <c r="BY1893" t="str">
        <f>""</f>
        <v/>
      </c>
      <c r="BZ1893" t="str">
        <f>""</f>
        <v/>
      </c>
      <c r="CA1893" t="str">
        <f>""</f>
        <v/>
      </c>
      <c r="CB1893" t="s">
        <v>135</v>
      </c>
      <c r="CC1893" t="s">
        <v>133</v>
      </c>
      <c r="CE1893" t="s">
        <v>9442</v>
      </c>
      <c r="CF1893" t="s">
        <v>131</v>
      </c>
      <c r="CH1893" t="str">
        <f>"N/A"</f>
        <v>N/A</v>
      </c>
      <c r="CI1893" t="s">
        <v>135</v>
      </c>
      <c r="CJ1893">
        <v>60</v>
      </c>
      <c r="CK1893" t="s">
        <v>135</v>
      </c>
      <c r="CL1893" t="str">
        <f>""</f>
        <v/>
      </c>
      <c r="CM1893" t="str">
        <f>""</f>
        <v/>
      </c>
      <c r="CN1893" t="str">
        <f>""</f>
        <v/>
      </c>
      <c r="CO1893" t="s">
        <v>18229</v>
      </c>
      <c r="CP1893" t="str">
        <f>"15-1199.06"</f>
        <v>15-1199.06</v>
      </c>
      <c r="CQ1893" t="s">
        <v>988</v>
      </c>
      <c r="CR1893" t="s">
        <v>18230</v>
      </c>
      <c r="CS1893" t="s">
        <v>131</v>
      </c>
      <c r="CU1893" t="s">
        <v>9523</v>
      </c>
      <c r="CW1893" t="s">
        <v>6429</v>
      </c>
      <c r="CX1893" t="s">
        <v>377</v>
      </c>
      <c r="CZ1893" s="3" t="str">
        <f>"01111"</f>
        <v>01111</v>
      </c>
      <c r="DA1893" t="s">
        <v>131</v>
      </c>
      <c r="DB1893" t="str">
        <f>""</f>
        <v/>
      </c>
      <c r="DF1893" t="str">
        <f>""</f>
        <v/>
      </c>
    </row>
    <row r="1894" spans="1:110" ht="15" customHeight="1" x14ac:dyDescent="0.35">
      <c r="A1894" t="s">
        <v>12338</v>
      </c>
      <c r="B1894" t="s">
        <v>138</v>
      </c>
      <c r="C1894" s="1">
        <v>44355</v>
      </c>
      <c r="G1894" s="1">
        <v>44355</v>
      </c>
      <c r="H1894" t="s">
        <v>125</v>
      </c>
      <c r="I1894" t="s">
        <v>4219</v>
      </c>
      <c r="J1894" t="s">
        <v>700</v>
      </c>
      <c r="L1894" t="s">
        <v>587</v>
      </c>
      <c r="M1894" t="s">
        <v>12339</v>
      </c>
      <c r="O1894" t="s">
        <v>4221</v>
      </c>
      <c r="P1894" t="s">
        <v>256</v>
      </c>
      <c r="Q1894" s="3">
        <v>63043</v>
      </c>
      <c r="R1894" t="s">
        <v>128</v>
      </c>
      <c r="T1894" s="4">
        <v>13143012589</v>
      </c>
      <c r="V1894" t="s">
        <v>4222</v>
      </c>
      <c r="W1894" t="s">
        <v>10233</v>
      </c>
      <c r="Y1894" t="s">
        <v>10234</v>
      </c>
      <c r="AA1894" t="s">
        <v>4221</v>
      </c>
      <c r="AB1894" t="s">
        <v>258</v>
      </c>
      <c r="AC1894" s="3" t="str">
        <f>"63043"</f>
        <v>63043</v>
      </c>
      <c r="AD1894" t="s">
        <v>128</v>
      </c>
      <c r="AF1894" s="4">
        <v>13149191562</v>
      </c>
      <c r="AH1894" t="str">
        <f>"54151"</f>
        <v>54151</v>
      </c>
      <c r="AI1894" t="s">
        <v>130</v>
      </c>
      <c r="AJ1894" t="s">
        <v>4223</v>
      </c>
      <c r="AK1894" t="s">
        <v>4224</v>
      </c>
      <c r="AL1894" t="s">
        <v>1198</v>
      </c>
      <c r="AM1894" t="s">
        <v>257</v>
      </c>
      <c r="AN1894" t="s">
        <v>2558</v>
      </c>
      <c r="AO1894" t="s">
        <v>255</v>
      </c>
      <c r="AP1894" t="s">
        <v>258</v>
      </c>
      <c r="AQ1894" s="5">
        <v>63105</v>
      </c>
      <c r="AR1894" t="s">
        <v>128</v>
      </c>
      <c r="AT1894" s="4">
        <v>13147193006</v>
      </c>
      <c r="AV1894" t="s">
        <v>4225</v>
      </c>
      <c r="AW1894" t="s">
        <v>3531</v>
      </c>
      <c r="AX1894" t="s">
        <v>131</v>
      </c>
      <c r="AY1894" t="s">
        <v>131</v>
      </c>
      <c r="AZ1894" t="s">
        <v>131</v>
      </c>
      <c r="BA1894" t="s">
        <v>131</v>
      </c>
      <c r="BB1894" t="s">
        <v>131</v>
      </c>
      <c r="BC1894" t="s">
        <v>131</v>
      </c>
      <c r="BD1894" t="s">
        <v>131</v>
      </c>
      <c r="BE1894" t="s">
        <v>132</v>
      </c>
      <c r="BH1894" t="s">
        <v>12340</v>
      </c>
      <c r="BI1894" t="s">
        <v>131</v>
      </c>
      <c r="BL1894" t="s">
        <v>188</v>
      </c>
      <c r="BN1894" t="s">
        <v>10236</v>
      </c>
      <c r="BO1894" t="s">
        <v>131</v>
      </c>
      <c r="BP1894" t="s">
        <v>134</v>
      </c>
      <c r="BQ1894" t="s">
        <v>131</v>
      </c>
      <c r="BS1894" t="str">
        <f t="shared" si="109"/>
        <v>N/A</v>
      </c>
      <c r="BT1894" t="s">
        <v>135</v>
      </c>
      <c r="BU1894">
        <v>24</v>
      </c>
      <c r="BV1894" t="str">
        <f>"Two years of experience performing the duties of this position required."</f>
        <v>Two years of experience performing the duties of this position required.</v>
      </c>
      <c r="BW1894" t="s">
        <v>131</v>
      </c>
      <c r="BX1894" t="str">
        <f>""</f>
        <v/>
      </c>
      <c r="BY1894" t="str">
        <f>""</f>
        <v/>
      </c>
      <c r="BZ1894" t="str">
        <f>""</f>
        <v/>
      </c>
      <c r="CA1894" t="str">
        <f>""</f>
        <v/>
      </c>
      <c r="CB1894" t="s">
        <v>131</v>
      </c>
      <c r="CF1894" t="s">
        <v>131</v>
      </c>
      <c r="CH1894" t="str">
        <f>""</f>
        <v/>
      </c>
      <c r="CI1894" t="s">
        <v>131</v>
      </c>
      <c r="CK1894" t="s">
        <v>131</v>
      </c>
      <c r="CL1894" t="str">
        <f>""</f>
        <v/>
      </c>
      <c r="CM1894" t="str">
        <f>""</f>
        <v/>
      </c>
      <c r="CN1894" t="str">
        <f>""</f>
        <v/>
      </c>
      <c r="CO1894" t="str">
        <f>""</f>
        <v/>
      </c>
      <c r="CP1894" t="str">
        <f>"15-1132.00"</f>
        <v>15-1132.00</v>
      </c>
      <c r="CQ1894" t="s">
        <v>198</v>
      </c>
      <c r="CS1894" t="s">
        <v>131</v>
      </c>
      <c r="CU1894" t="s">
        <v>4220</v>
      </c>
      <c r="CW1894" t="s">
        <v>4221</v>
      </c>
      <c r="CX1894" t="s">
        <v>258</v>
      </c>
      <c r="CZ1894" s="3" t="str">
        <f>"63043"</f>
        <v>63043</v>
      </c>
      <c r="DA1894" t="s">
        <v>131</v>
      </c>
      <c r="DB1894" t="str">
        <f>""</f>
        <v/>
      </c>
      <c r="DF1894" t="str">
        <f>""</f>
        <v/>
      </c>
    </row>
    <row r="1895" spans="1:110" ht="15" customHeight="1" x14ac:dyDescent="0.35">
      <c r="A1895" t="s">
        <v>8803</v>
      </c>
      <c r="B1895" t="s">
        <v>138</v>
      </c>
      <c r="C1895" s="1">
        <v>44355</v>
      </c>
      <c r="G1895" s="1">
        <v>44362</v>
      </c>
      <c r="H1895" t="s">
        <v>125</v>
      </c>
      <c r="I1895" t="s">
        <v>851</v>
      </c>
      <c r="J1895" t="s">
        <v>852</v>
      </c>
      <c r="L1895" t="s">
        <v>853</v>
      </c>
      <c r="M1895" t="s">
        <v>854</v>
      </c>
      <c r="N1895" t="s">
        <v>855</v>
      </c>
      <c r="O1895" t="s">
        <v>856</v>
      </c>
      <c r="P1895" t="s">
        <v>857</v>
      </c>
      <c r="Q1895" s="3">
        <v>85248</v>
      </c>
      <c r="R1895" t="s">
        <v>128</v>
      </c>
      <c r="T1895" s="4">
        <v>14807154205</v>
      </c>
      <c r="V1895" t="s">
        <v>1508</v>
      </c>
      <c r="W1895" t="s">
        <v>858</v>
      </c>
      <c r="X1895" t="s">
        <v>858</v>
      </c>
      <c r="Y1895" t="s">
        <v>859</v>
      </c>
      <c r="AA1895" t="s">
        <v>650</v>
      </c>
      <c r="AB1895" t="s">
        <v>172</v>
      </c>
      <c r="AC1895" s="3" t="str">
        <f>"95054"</f>
        <v>95054</v>
      </c>
      <c r="AD1895" t="s">
        <v>128</v>
      </c>
      <c r="AE1895" t="s">
        <v>134</v>
      </c>
      <c r="AF1895" s="4">
        <v>14087651681</v>
      </c>
      <c r="AH1895" t="str">
        <f>"3344"</f>
        <v>3344</v>
      </c>
      <c r="AI1895" t="s">
        <v>130</v>
      </c>
      <c r="AJ1895" t="s">
        <v>860</v>
      </c>
      <c r="AK1895" t="s">
        <v>800</v>
      </c>
      <c r="AM1895" t="s">
        <v>861</v>
      </c>
      <c r="AN1895" t="s">
        <v>806</v>
      </c>
      <c r="AO1895" t="s">
        <v>807</v>
      </c>
      <c r="AP1895" t="s">
        <v>808</v>
      </c>
      <c r="AQ1895" s="5">
        <v>85020</v>
      </c>
      <c r="AR1895" t="s">
        <v>128</v>
      </c>
      <c r="AT1895" s="4">
        <v>16022661825</v>
      </c>
      <c r="AV1895" t="s">
        <v>862</v>
      </c>
      <c r="AW1895" t="s">
        <v>548</v>
      </c>
      <c r="AX1895" t="s">
        <v>131</v>
      </c>
      <c r="AY1895" t="s">
        <v>131</v>
      </c>
      <c r="AZ1895" t="s">
        <v>131</v>
      </c>
      <c r="BA1895" t="s">
        <v>131</v>
      </c>
      <c r="BB1895" t="s">
        <v>131</v>
      </c>
      <c r="BC1895" t="s">
        <v>131</v>
      </c>
      <c r="BD1895" t="s">
        <v>131</v>
      </c>
      <c r="BE1895" t="s">
        <v>132</v>
      </c>
      <c r="BH1895" t="s">
        <v>542</v>
      </c>
      <c r="BI1895" t="s">
        <v>131</v>
      </c>
      <c r="BL1895" t="s">
        <v>133</v>
      </c>
      <c r="BN1895" s="2" t="s">
        <v>6596</v>
      </c>
      <c r="BO1895" t="s">
        <v>131</v>
      </c>
      <c r="BP1895" t="s">
        <v>134</v>
      </c>
      <c r="BQ1895" t="s">
        <v>131</v>
      </c>
      <c r="BS1895" t="str">
        <f t="shared" si="109"/>
        <v>N/A</v>
      </c>
      <c r="BT1895" t="s">
        <v>135</v>
      </c>
      <c r="BU1895">
        <v>36</v>
      </c>
      <c r="BV1895" t="str">
        <f>"Job Offered or Related"</f>
        <v>Job Offered or Related</v>
      </c>
      <c r="BW1895" t="s">
        <v>135</v>
      </c>
      <c r="BX1895" t="str">
        <f>""</f>
        <v/>
      </c>
      <c r="BY1895" t="str">
        <f>""</f>
        <v/>
      </c>
      <c r="BZ1895" t="str">
        <f>""</f>
        <v/>
      </c>
      <c r="CA1895" t="s">
        <v>5627</v>
      </c>
      <c r="CB1895" t="s">
        <v>131</v>
      </c>
      <c r="CF1895" t="s">
        <v>131</v>
      </c>
      <c r="CH1895" t="str">
        <f>""</f>
        <v/>
      </c>
      <c r="CI1895" t="s">
        <v>131</v>
      </c>
      <c r="CK1895" t="s">
        <v>131</v>
      </c>
      <c r="CL1895" t="str">
        <f>""</f>
        <v/>
      </c>
      <c r="CM1895" t="str">
        <f>""</f>
        <v/>
      </c>
      <c r="CN1895" t="str">
        <f>""</f>
        <v/>
      </c>
      <c r="CO1895" t="str">
        <f>""</f>
        <v/>
      </c>
      <c r="CP1895" t="str">
        <f>"15-1133.00"</f>
        <v>15-1133.00</v>
      </c>
      <c r="CQ1895" t="s">
        <v>648</v>
      </c>
      <c r="CR1895" t="s">
        <v>460</v>
      </c>
      <c r="CS1895" t="s">
        <v>131</v>
      </c>
      <c r="CU1895" t="s">
        <v>7452</v>
      </c>
      <c r="CW1895" t="s">
        <v>220</v>
      </c>
      <c r="CX1895" t="s">
        <v>172</v>
      </c>
      <c r="CZ1895" s="3" t="str">
        <f>"94111"</f>
        <v>94111</v>
      </c>
      <c r="DA1895" t="s">
        <v>131</v>
      </c>
      <c r="DB1895" t="str">
        <f>""</f>
        <v/>
      </c>
      <c r="DF1895" t="str">
        <f>""</f>
        <v/>
      </c>
    </row>
    <row r="1896" spans="1:110" ht="15" customHeight="1" x14ac:dyDescent="0.35">
      <c r="A1896" t="s">
        <v>16184</v>
      </c>
      <c r="B1896" t="s">
        <v>138</v>
      </c>
      <c r="C1896" s="1">
        <v>44355</v>
      </c>
      <c r="G1896" s="1">
        <v>44362</v>
      </c>
      <c r="H1896" t="s">
        <v>125</v>
      </c>
      <c r="I1896" t="s">
        <v>851</v>
      </c>
      <c r="J1896" t="s">
        <v>852</v>
      </c>
      <c r="L1896" t="s">
        <v>853</v>
      </c>
      <c r="M1896" t="s">
        <v>854</v>
      </c>
      <c r="N1896" t="s">
        <v>855</v>
      </c>
      <c r="O1896" t="s">
        <v>856</v>
      </c>
      <c r="P1896" t="s">
        <v>857</v>
      </c>
      <c r="Q1896" s="3">
        <v>85248</v>
      </c>
      <c r="R1896" t="s">
        <v>128</v>
      </c>
      <c r="T1896" s="4">
        <v>14807154205</v>
      </c>
      <c r="V1896" t="s">
        <v>1508</v>
      </c>
      <c r="W1896" t="s">
        <v>858</v>
      </c>
      <c r="X1896" t="s">
        <v>858</v>
      </c>
      <c r="Y1896" t="s">
        <v>859</v>
      </c>
      <c r="AA1896" t="s">
        <v>650</v>
      </c>
      <c r="AB1896" t="s">
        <v>172</v>
      </c>
      <c r="AC1896" s="3" t="str">
        <f>"95054"</f>
        <v>95054</v>
      </c>
      <c r="AD1896" t="s">
        <v>128</v>
      </c>
      <c r="AE1896" t="s">
        <v>134</v>
      </c>
      <c r="AF1896" s="4">
        <v>14087651681</v>
      </c>
      <c r="AH1896" t="str">
        <f>"3344"</f>
        <v>3344</v>
      </c>
      <c r="AI1896" t="s">
        <v>130</v>
      </c>
      <c r="AJ1896" t="s">
        <v>860</v>
      </c>
      <c r="AK1896" t="s">
        <v>800</v>
      </c>
      <c r="AM1896" t="s">
        <v>861</v>
      </c>
      <c r="AN1896" t="s">
        <v>806</v>
      </c>
      <c r="AO1896" t="s">
        <v>807</v>
      </c>
      <c r="AP1896" t="s">
        <v>808</v>
      </c>
      <c r="AQ1896" s="5">
        <v>85020</v>
      </c>
      <c r="AR1896" t="s">
        <v>128</v>
      </c>
      <c r="AT1896" s="4">
        <v>16022661825</v>
      </c>
      <c r="AV1896" t="s">
        <v>862</v>
      </c>
      <c r="AW1896" t="s">
        <v>548</v>
      </c>
      <c r="AX1896" t="s">
        <v>131</v>
      </c>
      <c r="AY1896" t="s">
        <v>131</v>
      </c>
      <c r="AZ1896" t="s">
        <v>131</v>
      </c>
      <c r="BA1896" t="s">
        <v>131</v>
      </c>
      <c r="BB1896" t="s">
        <v>131</v>
      </c>
      <c r="BC1896" t="s">
        <v>131</v>
      </c>
      <c r="BD1896" t="s">
        <v>131</v>
      </c>
      <c r="BE1896" t="s">
        <v>132</v>
      </c>
      <c r="BH1896" t="s">
        <v>542</v>
      </c>
      <c r="BI1896" t="s">
        <v>131</v>
      </c>
      <c r="BL1896" t="s">
        <v>188</v>
      </c>
      <c r="BN1896" s="2" t="s">
        <v>6596</v>
      </c>
      <c r="BO1896" t="s">
        <v>131</v>
      </c>
      <c r="BP1896" t="s">
        <v>134</v>
      </c>
      <c r="BQ1896" t="s">
        <v>131</v>
      </c>
      <c r="BS1896" t="str">
        <f t="shared" si="109"/>
        <v>N/A</v>
      </c>
      <c r="BT1896" t="s">
        <v>131</v>
      </c>
      <c r="BV1896" t="str">
        <f>""</f>
        <v/>
      </c>
      <c r="BW1896" t="s">
        <v>135</v>
      </c>
      <c r="BX1896" t="str">
        <f>""</f>
        <v/>
      </c>
      <c r="BY1896" t="str">
        <f>""</f>
        <v/>
      </c>
      <c r="BZ1896" t="str">
        <f>""</f>
        <v/>
      </c>
      <c r="CA1896" t="s">
        <v>5627</v>
      </c>
      <c r="CB1896" t="s">
        <v>131</v>
      </c>
      <c r="CF1896" t="s">
        <v>131</v>
      </c>
      <c r="CH1896" t="str">
        <f>""</f>
        <v/>
      </c>
      <c r="CI1896" t="s">
        <v>131</v>
      </c>
      <c r="CK1896" t="s">
        <v>131</v>
      </c>
      <c r="CL1896" t="str">
        <f>""</f>
        <v/>
      </c>
      <c r="CM1896" t="str">
        <f>""</f>
        <v/>
      </c>
      <c r="CN1896" t="str">
        <f>""</f>
        <v/>
      </c>
      <c r="CO1896" t="str">
        <f>""</f>
        <v/>
      </c>
      <c r="CP1896" t="str">
        <f>"15-1133.00"</f>
        <v>15-1133.00</v>
      </c>
      <c r="CQ1896" t="s">
        <v>648</v>
      </c>
      <c r="CR1896" t="s">
        <v>460</v>
      </c>
      <c r="CS1896" t="s">
        <v>131</v>
      </c>
      <c r="CU1896" t="s">
        <v>7452</v>
      </c>
      <c r="CW1896" t="s">
        <v>220</v>
      </c>
      <c r="CX1896" t="s">
        <v>172</v>
      </c>
      <c r="CZ1896" s="3" t="str">
        <f>"94111"</f>
        <v>94111</v>
      </c>
      <c r="DA1896" t="s">
        <v>131</v>
      </c>
      <c r="DB1896" t="str">
        <f>""</f>
        <v/>
      </c>
      <c r="DF1896" t="str">
        <f>""</f>
        <v/>
      </c>
    </row>
    <row r="1897" spans="1:110" ht="15" customHeight="1" x14ac:dyDescent="0.35">
      <c r="A1897" t="s">
        <v>7451</v>
      </c>
      <c r="B1897" t="s">
        <v>138</v>
      </c>
      <c r="C1897" s="1">
        <v>44355</v>
      </c>
      <c r="G1897" s="1">
        <v>44362</v>
      </c>
      <c r="H1897" t="s">
        <v>125</v>
      </c>
      <c r="I1897" t="s">
        <v>851</v>
      </c>
      <c r="J1897" t="s">
        <v>852</v>
      </c>
      <c r="L1897" t="s">
        <v>853</v>
      </c>
      <c r="M1897" t="s">
        <v>854</v>
      </c>
      <c r="N1897" t="s">
        <v>855</v>
      </c>
      <c r="O1897" t="s">
        <v>856</v>
      </c>
      <c r="P1897" t="s">
        <v>857</v>
      </c>
      <c r="Q1897" s="3">
        <v>85248</v>
      </c>
      <c r="R1897" t="s">
        <v>128</v>
      </c>
      <c r="T1897" s="4">
        <v>14807154205</v>
      </c>
      <c r="V1897" t="s">
        <v>1508</v>
      </c>
      <c r="W1897" t="s">
        <v>858</v>
      </c>
      <c r="X1897" t="s">
        <v>858</v>
      </c>
      <c r="Y1897" t="s">
        <v>859</v>
      </c>
      <c r="AA1897" t="s">
        <v>650</v>
      </c>
      <c r="AB1897" t="s">
        <v>172</v>
      </c>
      <c r="AC1897" s="3" t="str">
        <f>"95054"</f>
        <v>95054</v>
      </c>
      <c r="AD1897" t="s">
        <v>128</v>
      </c>
      <c r="AE1897" t="s">
        <v>134</v>
      </c>
      <c r="AF1897" s="4">
        <v>14087651681</v>
      </c>
      <c r="AH1897" t="str">
        <f>"3344"</f>
        <v>3344</v>
      </c>
      <c r="AI1897" t="s">
        <v>130</v>
      </c>
      <c r="AJ1897" t="s">
        <v>860</v>
      </c>
      <c r="AK1897" t="s">
        <v>800</v>
      </c>
      <c r="AM1897" t="s">
        <v>861</v>
      </c>
      <c r="AN1897" t="s">
        <v>806</v>
      </c>
      <c r="AO1897" t="s">
        <v>807</v>
      </c>
      <c r="AP1897" t="s">
        <v>808</v>
      </c>
      <c r="AQ1897" s="5">
        <v>85020</v>
      </c>
      <c r="AR1897" t="s">
        <v>128</v>
      </c>
      <c r="AT1897" s="4">
        <v>16022661825</v>
      </c>
      <c r="AV1897" t="s">
        <v>862</v>
      </c>
      <c r="AW1897" t="s">
        <v>548</v>
      </c>
      <c r="AX1897" t="s">
        <v>131</v>
      </c>
      <c r="AY1897" t="s">
        <v>131</v>
      </c>
      <c r="AZ1897" t="s">
        <v>131</v>
      </c>
      <c r="BA1897" t="s">
        <v>131</v>
      </c>
      <c r="BB1897" t="s">
        <v>131</v>
      </c>
      <c r="BC1897" t="s">
        <v>131</v>
      </c>
      <c r="BD1897" t="s">
        <v>131</v>
      </c>
      <c r="BE1897" t="s">
        <v>132</v>
      </c>
      <c r="BH1897" t="s">
        <v>542</v>
      </c>
      <c r="BI1897" t="s">
        <v>131</v>
      </c>
      <c r="BL1897" t="s">
        <v>188</v>
      </c>
      <c r="BN1897" s="2" t="s">
        <v>6596</v>
      </c>
      <c r="BO1897" t="s">
        <v>131</v>
      </c>
      <c r="BP1897" t="s">
        <v>134</v>
      </c>
      <c r="BQ1897" t="s">
        <v>131</v>
      </c>
      <c r="BS1897" t="str">
        <f t="shared" si="109"/>
        <v>N/A</v>
      </c>
      <c r="BT1897" t="s">
        <v>135</v>
      </c>
      <c r="BU1897">
        <v>6</v>
      </c>
      <c r="BV1897" t="str">
        <f>"Job Offered or Related
"</f>
        <v xml:space="preserve">Job Offered or Related
</v>
      </c>
      <c r="BW1897" t="s">
        <v>135</v>
      </c>
      <c r="BX1897" t="str">
        <f>""</f>
        <v/>
      </c>
      <c r="BY1897" t="str">
        <f>""</f>
        <v/>
      </c>
      <c r="BZ1897" t="str">
        <f>""</f>
        <v/>
      </c>
      <c r="CA1897" t="s">
        <v>5627</v>
      </c>
      <c r="CB1897" t="s">
        <v>131</v>
      </c>
      <c r="CF1897" t="s">
        <v>131</v>
      </c>
      <c r="CH1897" t="str">
        <f>""</f>
        <v/>
      </c>
      <c r="CI1897" t="s">
        <v>131</v>
      </c>
      <c r="CK1897" t="s">
        <v>131</v>
      </c>
      <c r="CL1897" t="str">
        <f>""</f>
        <v/>
      </c>
      <c r="CM1897" t="str">
        <f>""</f>
        <v/>
      </c>
      <c r="CN1897" t="str">
        <f>""</f>
        <v/>
      </c>
      <c r="CO1897" t="str">
        <f>""</f>
        <v/>
      </c>
      <c r="CP1897" t="str">
        <f>"15-1133.00"</f>
        <v>15-1133.00</v>
      </c>
      <c r="CQ1897" t="s">
        <v>648</v>
      </c>
      <c r="CR1897" t="s">
        <v>460</v>
      </c>
      <c r="CS1897" t="s">
        <v>131</v>
      </c>
      <c r="CU1897" t="s">
        <v>7452</v>
      </c>
      <c r="CW1897" t="s">
        <v>220</v>
      </c>
      <c r="CX1897" t="s">
        <v>172</v>
      </c>
      <c r="CZ1897" s="3" t="str">
        <f>"94111"</f>
        <v>94111</v>
      </c>
      <c r="DA1897" t="s">
        <v>131</v>
      </c>
      <c r="DB1897" t="str">
        <f>""</f>
        <v/>
      </c>
      <c r="DF1897" t="str">
        <f>""</f>
        <v/>
      </c>
    </row>
    <row r="1898" spans="1:110" ht="15" customHeight="1" x14ac:dyDescent="0.35">
      <c r="A1898" t="s">
        <v>17914</v>
      </c>
      <c r="B1898" t="s">
        <v>138</v>
      </c>
      <c r="C1898" s="1">
        <v>44355</v>
      </c>
      <c r="G1898" s="1">
        <v>44356</v>
      </c>
      <c r="H1898" t="s">
        <v>125</v>
      </c>
      <c r="I1898" t="s">
        <v>17915</v>
      </c>
      <c r="J1898" t="s">
        <v>17894</v>
      </c>
      <c r="L1898" t="s">
        <v>587</v>
      </c>
      <c r="M1898" t="s">
        <v>17916</v>
      </c>
      <c r="N1898" t="s">
        <v>1462</v>
      </c>
      <c r="O1898" t="s">
        <v>6405</v>
      </c>
      <c r="P1898" t="s">
        <v>3393</v>
      </c>
      <c r="Q1898" s="3">
        <v>20005</v>
      </c>
      <c r="R1898" t="s">
        <v>128</v>
      </c>
      <c r="T1898" s="4">
        <v>12026449774</v>
      </c>
      <c r="V1898" t="s">
        <v>134</v>
      </c>
      <c r="W1898" t="s">
        <v>17895</v>
      </c>
      <c r="Y1898" t="s">
        <v>17917</v>
      </c>
      <c r="Z1898" t="s">
        <v>11321</v>
      </c>
      <c r="AA1898" t="s">
        <v>6405</v>
      </c>
      <c r="AB1898" t="s">
        <v>595</v>
      </c>
      <c r="AC1898" s="3" t="str">
        <f>"20005"</f>
        <v>20005</v>
      </c>
      <c r="AD1898" t="s">
        <v>128</v>
      </c>
      <c r="AF1898" s="4">
        <v>12026449774</v>
      </c>
      <c r="AH1898" t="str">
        <f>"541511"</f>
        <v>541511</v>
      </c>
      <c r="AI1898" t="s">
        <v>130</v>
      </c>
      <c r="AJ1898" t="s">
        <v>9926</v>
      </c>
      <c r="AK1898" t="s">
        <v>1419</v>
      </c>
      <c r="AL1898" t="s">
        <v>268</v>
      </c>
      <c r="AM1898" t="s">
        <v>4812</v>
      </c>
      <c r="AN1898" t="s">
        <v>17896</v>
      </c>
      <c r="AO1898" t="s">
        <v>4813</v>
      </c>
      <c r="AP1898" t="s">
        <v>172</v>
      </c>
      <c r="AQ1898" s="5">
        <v>91301</v>
      </c>
      <c r="AR1898" t="s">
        <v>128</v>
      </c>
      <c r="AT1898" s="4">
        <v>18189146482</v>
      </c>
      <c r="AV1898" t="s">
        <v>1201</v>
      </c>
      <c r="AW1898" t="s">
        <v>4814</v>
      </c>
      <c r="AX1898" t="s">
        <v>131</v>
      </c>
      <c r="AY1898" t="s">
        <v>131</v>
      </c>
      <c r="AZ1898" t="s">
        <v>131</v>
      </c>
      <c r="BA1898" t="s">
        <v>131</v>
      </c>
      <c r="BB1898" t="s">
        <v>131</v>
      </c>
      <c r="BC1898" t="s">
        <v>131</v>
      </c>
      <c r="BD1898" t="s">
        <v>131</v>
      </c>
      <c r="BE1898" t="s">
        <v>132</v>
      </c>
      <c r="BH1898" t="s">
        <v>17918</v>
      </c>
      <c r="BI1898" t="s">
        <v>135</v>
      </c>
      <c r="BJ1898" t="s">
        <v>17897</v>
      </c>
      <c r="BK1898" t="s">
        <v>17898</v>
      </c>
      <c r="BL1898" t="s">
        <v>188</v>
      </c>
      <c r="BN1898" t="s">
        <v>1284</v>
      </c>
      <c r="BO1898" t="s">
        <v>131</v>
      </c>
      <c r="BP1898" t="s">
        <v>134</v>
      </c>
      <c r="BQ1898" t="s">
        <v>131</v>
      </c>
      <c r="BS1898" t="str">
        <f t="shared" si="109"/>
        <v>N/A</v>
      </c>
      <c r="BT1898" t="s">
        <v>135</v>
      </c>
      <c r="BU1898">
        <v>36</v>
      </c>
      <c r="BV1898" t="str">
        <f>"See F.a.2. "</f>
        <v xml:space="preserve">See F.a.2. </v>
      </c>
      <c r="BW1898" t="s">
        <v>135</v>
      </c>
      <c r="BX1898" t="str">
        <f>""</f>
        <v/>
      </c>
      <c r="BY1898" t="str">
        <f>""</f>
        <v/>
      </c>
      <c r="BZ1898" t="str">
        <f>""</f>
        <v/>
      </c>
      <c r="CA1898" t="str">
        <f>"Qualified applicants must also have demonstrable proficiency, skill, experience, and knowledge with the following:
•	X2CRM 
•	GOVWIN 
•	Contract Portal 
•	ZoomInfo
•	SalesForce
•	Microsoft Suite
10% Domestic Travel, No Telecommuting.  
"</f>
        <v xml:space="preserve">Qualified applicants must also have demonstrable proficiency, skill, experience, and knowledge with the following:
•	X2CRM 
•	GOVWIN 
•	Contract Portal 
•	ZoomInfo
•	SalesForce
•	Microsoft Suite
10% Domestic Travel, No Telecommuting.  
</v>
      </c>
      <c r="CB1898" t="s">
        <v>135</v>
      </c>
      <c r="CC1898" t="s">
        <v>133</v>
      </c>
      <c r="CE1898" t="s">
        <v>1284</v>
      </c>
      <c r="CF1898" t="s">
        <v>131</v>
      </c>
      <c r="CH1898" t="str">
        <f>"N/A"</f>
        <v>N/A</v>
      </c>
      <c r="CI1898" t="s">
        <v>135</v>
      </c>
      <c r="CJ1898">
        <v>60</v>
      </c>
      <c r="CK1898" t="s">
        <v>135</v>
      </c>
      <c r="CL1898" t="str">
        <f>""</f>
        <v/>
      </c>
      <c r="CM1898" t="str">
        <f>""</f>
        <v/>
      </c>
      <c r="CN1898" t="str">
        <f>""</f>
        <v/>
      </c>
      <c r="CO1898" t="str">
        <f>"Qualified applicants must also have demonstrable proficiency, skill, experience, and knowledge with the following:
•	X2CRM 
•	GOVWIN 
•	Contract Portal 
•	ZoomInfo
•	SalesForce
•	Microsoft Suite
10% Domestic Travel, No Telecommuting.  
"</f>
        <v xml:space="preserve">Qualified applicants must also have demonstrable proficiency, skill, experience, and knowledge with the following:
•	X2CRM 
•	GOVWIN 
•	Contract Portal 
•	ZoomInfo
•	SalesForce
•	Microsoft Suite
10% Domestic Travel, No Telecommuting.  
</v>
      </c>
      <c r="CP1898" t="str">
        <f>"13-1161.00"</f>
        <v>13-1161.00</v>
      </c>
      <c r="CQ1898" t="s">
        <v>252</v>
      </c>
      <c r="CR1898" t="s">
        <v>17899</v>
      </c>
      <c r="CS1898" t="s">
        <v>135</v>
      </c>
      <c r="CT1898" t="s">
        <v>1284</v>
      </c>
      <c r="CU1898" t="s">
        <v>17916</v>
      </c>
      <c r="CV1898" t="s">
        <v>1462</v>
      </c>
      <c r="CW1898" t="s">
        <v>6405</v>
      </c>
      <c r="CX1898" t="s">
        <v>595</v>
      </c>
      <c r="CZ1898" s="3" t="str">
        <f>"20005"</f>
        <v>20005</v>
      </c>
      <c r="DA1898" t="s">
        <v>131</v>
      </c>
      <c r="DB1898" t="str">
        <f>""</f>
        <v/>
      </c>
      <c r="DF1898" t="str">
        <f>""</f>
        <v/>
      </c>
    </row>
    <row r="1899" spans="1:110" ht="15" customHeight="1" x14ac:dyDescent="0.35">
      <c r="A1899" t="s">
        <v>1343</v>
      </c>
      <c r="B1899" t="s">
        <v>138</v>
      </c>
      <c r="C1899" s="1">
        <v>44356</v>
      </c>
      <c r="G1899" s="1">
        <v>44356</v>
      </c>
      <c r="H1899" t="s">
        <v>125</v>
      </c>
      <c r="I1899" t="s">
        <v>1344</v>
      </c>
      <c r="J1899" t="s">
        <v>1345</v>
      </c>
      <c r="L1899" t="s">
        <v>1346</v>
      </c>
      <c r="M1899" t="s">
        <v>1347</v>
      </c>
      <c r="O1899" t="s">
        <v>1348</v>
      </c>
      <c r="P1899" t="s">
        <v>539</v>
      </c>
      <c r="Q1899" s="3">
        <v>60015</v>
      </c>
      <c r="R1899" t="s">
        <v>128</v>
      </c>
      <c r="T1899" s="4">
        <v>12244050900</v>
      </c>
      <c r="V1899" t="s">
        <v>1349</v>
      </c>
      <c r="W1899" t="s">
        <v>1350</v>
      </c>
      <c r="Y1899" t="s">
        <v>1351</v>
      </c>
      <c r="AA1899" t="s">
        <v>1348</v>
      </c>
      <c r="AB1899" t="s">
        <v>263</v>
      </c>
      <c r="AC1899" s="3" t="str">
        <f>"60015"</f>
        <v>60015</v>
      </c>
      <c r="AD1899" t="s">
        <v>128</v>
      </c>
      <c r="AF1899" s="4">
        <v>12244053726</v>
      </c>
      <c r="AG1899">
        <v>0</v>
      </c>
      <c r="AH1899" t="str">
        <f>"522210"</f>
        <v>522210</v>
      </c>
      <c r="AI1899" t="s">
        <v>130</v>
      </c>
      <c r="AJ1899" t="s">
        <v>1352</v>
      </c>
      <c r="AK1899" t="s">
        <v>260</v>
      </c>
      <c r="AM1899" t="s">
        <v>493</v>
      </c>
      <c r="AO1899" t="s">
        <v>494</v>
      </c>
      <c r="AP1899" t="s">
        <v>129</v>
      </c>
      <c r="AQ1899" s="5">
        <v>10018</v>
      </c>
      <c r="AR1899" t="s">
        <v>128</v>
      </c>
      <c r="AT1899" s="4">
        <v>12126888555</v>
      </c>
      <c r="AV1899" t="s">
        <v>1353</v>
      </c>
      <c r="AW1899" t="s">
        <v>386</v>
      </c>
      <c r="AX1899" t="s">
        <v>131</v>
      </c>
      <c r="AY1899" t="s">
        <v>131</v>
      </c>
      <c r="AZ1899" t="s">
        <v>131</v>
      </c>
      <c r="BA1899" t="s">
        <v>131</v>
      </c>
      <c r="BB1899" t="s">
        <v>131</v>
      </c>
      <c r="BC1899" t="s">
        <v>131</v>
      </c>
      <c r="BD1899" t="s">
        <v>131</v>
      </c>
      <c r="BE1899" t="s">
        <v>132</v>
      </c>
      <c r="BH1899" t="s">
        <v>1354</v>
      </c>
      <c r="BI1899" t="s">
        <v>131</v>
      </c>
      <c r="BL1899" t="s">
        <v>133</v>
      </c>
      <c r="BN1899" t="s">
        <v>1355</v>
      </c>
      <c r="BO1899" t="s">
        <v>131</v>
      </c>
      <c r="BP1899" t="s">
        <v>134</v>
      </c>
      <c r="BQ1899" t="s">
        <v>131</v>
      </c>
      <c r="BS1899" t="str">
        <f t="shared" si="109"/>
        <v>N/A</v>
      </c>
      <c r="BT1899" t="s">
        <v>135</v>
      </c>
      <c r="BU1899">
        <v>48</v>
      </c>
      <c r="BV1899" t="str">
        <f>"SOFTWARE DEVELOPER; DATA SCIENCE INTERN OR RELATED."</f>
        <v>SOFTWARE DEVELOPER; DATA SCIENCE INTERN OR RELATED.</v>
      </c>
      <c r="BW1899" t="s">
        <v>135</v>
      </c>
      <c r="BX1899" t="str">
        <f>""</f>
        <v/>
      </c>
      <c r="BY1899" t="str">
        <f>""</f>
        <v/>
      </c>
      <c r="BZ1899" t="str">
        <f>""</f>
        <v/>
      </c>
      <c r="CA1899" t="s">
        <v>1356</v>
      </c>
      <c r="CB1899" t="s">
        <v>135</v>
      </c>
      <c r="CC1899" t="s">
        <v>188</v>
      </c>
      <c r="CE1899" t="s">
        <v>1355</v>
      </c>
      <c r="CF1899" t="s">
        <v>131</v>
      </c>
      <c r="CH1899" t="str">
        <f>"N/A"</f>
        <v>N/A</v>
      </c>
      <c r="CI1899" t="s">
        <v>135</v>
      </c>
      <c r="CJ1899">
        <v>24</v>
      </c>
      <c r="CK1899" t="s">
        <v>135</v>
      </c>
      <c r="CL1899" t="str">
        <f>""</f>
        <v/>
      </c>
      <c r="CM1899" t="str">
        <f>""</f>
        <v/>
      </c>
      <c r="CN1899" t="str">
        <f>""</f>
        <v/>
      </c>
      <c r="CO1899" t="s">
        <v>1357</v>
      </c>
      <c r="CP1899" t="str">
        <f>"15-2041.00"</f>
        <v>15-2041.00</v>
      </c>
      <c r="CQ1899" t="s">
        <v>379</v>
      </c>
      <c r="CR1899" t="s">
        <v>1358</v>
      </c>
      <c r="CS1899" t="s">
        <v>131</v>
      </c>
      <c r="CU1899" t="s">
        <v>1347</v>
      </c>
      <c r="CW1899" t="s">
        <v>1348</v>
      </c>
      <c r="CX1899" t="s">
        <v>263</v>
      </c>
      <c r="CZ1899" s="3" t="str">
        <f>"60015"</f>
        <v>60015</v>
      </c>
      <c r="DA1899" t="s">
        <v>131</v>
      </c>
      <c r="DB1899" t="str">
        <f>""</f>
        <v/>
      </c>
      <c r="DF1899" t="str">
        <f>""</f>
        <v/>
      </c>
    </row>
    <row r="1900" spans="1:110" ht="15" customHeight="1" x14ac:dyDescent="0.35">
      <c r="A1900" t="s">
        <v>19646</v>
      </c>
      <c r="B1900" t="s">
        <v>138</v>
      </c>
      <c r="C1900" s="1">
        <v>44356</v>
      </c>
      <c r="G1900" s="1">
        <v>44361</v>
      </c>
      <c r="H1900" t="s">
        <v>125</v>
      </c>
      <c r="I1900" t="s">
        <v>4532</v>
      </c>
      <c r="J1900" t="s">
        <v>4533</v>
      </c>
      <c r="L1900" t="s">
        <v>4534</v>
      </c>
      <c r="M1900" t="s">
        <v>1347</v>
      </c>
      <c r="O1900" t="s">
        <v>1348</v>
      </c>
      <c r="P1900" t="s">
        <v>539</v>
      </c>
      <c r="Q1900" s="3">
        <v>60015</v>
      </c>
      <c r="R1900" t="s">
        <v>128</v>
      </c>
      <c r="T1900" s="4">
        <v>12244053726</v>
      </c>
      <c r="V1900" t="s">
        <v>4535</v>
      </c>
      <c r="W1900" t="s">
        <v>4536</v>
      </c>
      <c r="Y1900" t="s">
        <v>1351</v>
      </c>
      <c r="AA1900" t="s">
        <v>1348</v>
      </c>
      <c r="AB1900" t="s">
        <v>263</v>
      </c>
      <c r="AC1900" s="3" t="str">
        <f>"60015"</f>
        <v>60015</v>
      </c>
      <c r="AD1900" t="s">
        <v>128</v>
      </c>
      <c r="AF1900" s="4">
        <v>12244053726</v>
      </c>
      <c r="AG1900">
        <v>0</v>
      </c>
      <c r="AH1900" t="str">
        <f>"522291"</f>
        <v>522291</v>
      </c>
      <c r="AI1900" t="s">
        <v>130</v>
      </c>
      <c r="AJ1900" t="s">
        <v>1352</v>
      </c>
      <c r="AK1900" t="s">
        <v>260</v>
      </c>
      <c r="AM1900" t="s">
        <v>493</v>
      </c>
      <c r="AO1900" t="s">
        <v>494</v>
      </c>
      <c r="AP1900" t="s">
        <v>129</v>
      </c>
      <c r="AQ1900" s="5">
        <v>10018</v>
      </c>
      <c r="AR1900" t="s">
        <v>128</v>
      </c>
      <c r="AT1900" s="4">
        <v>12126888555</v>
      </c>
      <c r="AV1900" t="s">
        <v>1353</v>
      </c>
      <c r="AW1900" t="s">
        <v>386</v>
      </c>
      <c r="AX1900" t="s">
        <v>131</v>
      </c>
      <c r="AY1900" t="s">
        <v>131</v>
      </c>
      <c r="AZ1900" t="s">
        <v>131</v>
      </c>
      <c r="BA1900" t="s">
        <v>131</v>
      </c>
      <c r="BB1900" t="s">
        <v>131</v>
      </c>
      <c r="BC1900" t="s">
        <v>131</v>
      </c>
      <c r="BD1900" t="s">
        <v>131</v>
      </c>
      <c r="BE1900" t="s">
        <v>160</v>
      </c>
      <c r="BF1900" t="s">
        <v>9013</v>
      </c>
      <c r="BG1900" s="1">
        <v>43922</v>
      </c>
      <c r="BH1900" t="s">
        <v>10798</v>
      </c>
      <c r="BI1900" t="s">
        <v>131</v>
      </c>
      <c r="BL1900" t="s">
        <v>133</v>
      </c>
      <c r="BN1900" t="s">
        <v>7519</v>
      </c>
      <c r="BO1900" t="s">
        <v>131</v>
      </c>
      <c r="BP1900" t="s">
        <v>134</v>
      </c>
      <c r="BQ1900" t="s">
        <v>131</v>
      </c>
      <c r="BS1900" t="str">
        <f t="shared" si="109"/>
        <v>N/A</v>
      </c>
      <c r="BT1900" t="s">
        <v>135</v>
      </c>
      <c r="BU1900">
        <v>24</v>
      </c>
      <c r="BV1900" t="str">
        <f>"Quality Engineer Level II; Test Automation Analyst; Systems Analyst; Business Systems Analyst; Business Analyst or related."</f>
        <v>Quality Engineer Level II; Test Automation Analyst; Systems Analyst; Business Systems Analyst; Business Analyst or related.</v>
      </c>
      <c r="BW1900" t="s">
        <v>135</v>
      </c>
      <c r="BX1900" t="str">
        <f>""</f>
        <v/>
      </c>
      <c r="BY1900" t="str">
        <f>""</f>
        <v/>
      </c>
      <c r="BZ1900" t="str">
        <f>""</f>
        <v/>
      </c>
      <c r="CA1900" t="s">
        <v>13654</v>
      </c>
      <c r="CB1900" t="s">
        <v>135</v>
      </c>
      <c r="CC1900" t="s">
        <v>133</v>
      </c>
      <c r="CE1900" t="s">
        <v>10822</v>
      </c>
      <c r="CF1900" t="s">
        <v>131</v>
      </c>
      <c r="CH1900" t="str">
        <f>"N/A"</f>
        <v>N/A</v>
      </c>
      <c r="CI1900" t="s">
        <v>135</v>
      </c>
      <c r="CJ1900">
        <v>12</v>
      </c>
      <c r="CK1900" t="s">
        <v>135</v>
      </c>
      <c r="CL1900" t="str">
        <f>""</f>
        <v/>
      </c>
      <c r="CM1900" t="str">
        <f>""</f>
        <v/>
      </c>
      <c r="CN1900" t="str">
        <f>""</f>
        <v/>
      </c>
      <c r="CO1900" t="str">
        <f>"One (1) year of  Information Technology or Quality Assurance experience to satisfy the educational requirement."</f>
        <v>One (1) year of  Information Technology or Quality Assurance experience to satisfy the educational requirement.</v>
      </c>
      <c r="CP1900" t="str">
        <f>"15-1133.00"</f>
        <v>15-1133.00</v>
      </c>
      <c r="CQ1900" t="s">
        <v>648</v>
      </c>
      <c r="CR1900" t="s">
        <v>1079</v>
      </c>
      <c r="CS1900" t="s">
        <v>131</v>
      </c>
      <c r="CU1900" t="s">
        <v>1347</v>
      </c>
      <c r="CW1900" t="s">
        <v>1348</v>
      </c>
      <c r="CX1900" t="s">
        <v>263</v>
      </c>
      <c r="CZ1900" s="3" t="str">
        <f>"60015"</f>
        <v>60015</v>
      </c>
      <c r="DA1900" t="s">
        <v>131</v>
      </c>
      <c r="DB1900" t="str">
        <f>""</f>
        <v/>
      </c>
      <c r="DF1900" t="str">
        <f>""</f>
        <v/>
      </c>
    </row>
    <row r="1901" spans="1:110" ht="15" customHeight="1" x14ac:dyDescent="0.35">
      <c r="A1901" t="s">
        <v>17560</v>
      </c>
      <c r="B1901" t="s">
        <v>138</v>
      </c>
      <c r="C1901" s="1">
        <v>44356</v>
      </c>
      <c r="G1901" s="1">
        <v>44364</v>
      </c>
      <c r="H1901" t="s">
        <v>125</v>
      </c>
      <c r="I1901" t="s">
        <v>4046</v>
      </c>
      <c r="J1901" t="s">
        <v>7748</v>
      </c>
      <c r="L1901" t="s">
        <v>8720</v>
      </c>
      <c r="M1901" t="s">
        <v>8721</v>
      </c>
      <c r="N1901" t="s">
        <v>6343</v>
      </c>
      <c r="O1901" t="s">
        <v>494</v>
      </c>
      <c r="P1901" t="s">
        <v>127</v>
      </c>
      <c r="Q1901" s="3">
        <v>10010</v>
      </c>
      <c r="R1901" t="s">
        <v>128</v>
      </c>
      <c r="T1901" s="4">
        <v>16466540066</v>
      </c>
      <c r="V1901" t="s">
        <v>8722</v>
      </c>
      <c r="W1901" t="s">
        <v>8723</v>
      </c>
      <c r="Y1901" t="s">
        <v>8721</v>
      </c>
      <c r="AA1901" t="s">
        <v>494</v>
      </c>
      <c r="AB1901" t="s">
        <v>129</v>
      </c>
      <c r="AC1901" s="3" t="str">
        <f>"10010"</f>
        <v>10010</v>
      </c>
      <c r="AD1901" t="s">
        <v>128</v>
      </c>
      <c r="AF1901" s="4">
        <v>16466540066</v>
      </c>
      <c r="AH1901" t="str">
        <f>"5417"</f>
        <v>5417</v>
      </c>
      <c r="AI1901" t="s">
        <v>130</v>
      </c>
      <c r="AJ1901" t="s">
        <v>8724</v>
      </c>
      <c r="AK1901" t="s">
        <v>1906</v>
      </c>
      <c r="AM1901" t="s">
        <v>493</v>
      </c>
      <c r="AN1901" t="s">
        <v>5647</v>
      </c>
      <c r="AO1901" t="s">
        <v>494</v>
      </c>
      <c r="AP1901" t="s">
        <v>129</v>
      </c>
      <c r="AQ1901" s="5">
        <v>10018</v>
      </c>
      <c r="AR1901" t="s">
        <v>128</v>
      </c>
      <c r="AT1901" s="4">
        <v>12126888555</v>
      </c>
      <c r="AV1901" t="s">
        <v>8725</v>
      </c>
      <c r="AW1901" t="s">
        <v>548</v>
      </c>
      <c r="AX1901" t="s">
        <v>131</v>
      </c>
      <c r="AY1901" t="s">
        <v>131</v>
      </c>
      <c r="AZ1901" t="s">
        <v>131</v>
      </c>
      <c r="BA1901" t="s">
        <v>131</v>
      </c>
      <c r="BB1901" t="s">
        <v>131</v>
      </c>
      <c r="BC1901" t="s">
        <v>131</v>
      </c>
      <c r="BD1901" t="s">
        <v>131</v>
      </c>
      <c r="BE1901" t="s">
        <v>132</v>
      </c>
      <c r="BH1901" t="s">
        <v>1501</v>
      </c>
      <c r="BI1901" t="s">
        <v>131</v>
      </c>
      <c r="BL1901" t="s">
        <v>133</v>
      </c>
      <c r="BN1901" t="s">
        <v>4609</v>
      </c>
      <c r="BO1901" t="s">
        <v>131</v>
      </c>
      <c r="BP1901" t="s">
        <v>134</v>
      </c>
      <c r="BQ1901" t="s">
        <v>131</v>
      </c>
      <c r="BS1901" t="str">
        <f t="shared" si="109"/>
        <v>N/A</v>
      </c>
      <c r="BT1901" t="s">
        <v>135</v>
      </c>
      <c r="BU1901">
        <v>60</v>
      </c>
      <c r="BV1901" t="str">
        <f>"Senior Software Engineer"</f>
        <v>Senior Software Engineer</v>
      </c>
      <c r="BW1901" t="s">
        <v>135</v>
      </c>
      <c r="BX1901" t="str">
        <f>""</f>
        <v/>
      </c>
      <c r="BY1901" t="str">
        <f>""</f>
        <v/>
      </c>
      <c r="BZ1901" t="str">
        <f>""</f>
        <v/>
      </c>
      <c r="CA1901" t="s">
        <v>17561</v>
      </c>
      <c r="CB1901" t="s">
        <v>131</v>
      </c>
      <c r="CF1901" t="s">
        <v>131</v>
      </c>
      <c r="CH1901" t="str">
        <f>""</f>
        <v/>
      </c>
      <c r="CI1901" t="s">
        <v>131</v>
      </c>
      <c r="CK1901" t="s">
        <v>131</v>
      </c>
      <c r="CL1901" t="str">
        <f>""</f>
        <v/>
      </c>
      <c r="CM1901" t="str">
        <f>""</f>
        <v/>
      </c>
      <c r="CN1901" t="str">
        <f>""</f>
        <v/>
      </c>
      <c r="CO1901" t="str">
        <f>""</f>
        <v/>
      </c>
      <c r="CP1901" t="str">
        <f>"15-1132.00"</f>
        <v>15-1132.00</v>
      </c>
      <c r="CQ1901" t="s">
        <v>198</v>
      </c>
      <c r="CR1901" t="s">
        <v>8726</v>
      </c>
      <c r="CS1901" t="s">
        <v>131</v>
      </c>
      <c r="CU1901" t="s">
        <v>8727</v>
      </c>
      <c r="CW1901" t="s">
        <v>494</v>
      </c>
      <c r="CX1901" t="s">
        <v>129</v>
      </c>
      <c r="CZ1901" s="3" t="str">
        <f>"10010"</f>
        <v>10010</v>
      </c>
      <c r="DA1901" t="s">
        <v>131</v>
      </c>
      <c r="DB1901" t="str">
        <f>""</f>
        <v/>
      </c>
      <c r="DF1901" t="str">
        <f>""</f>
        <v/>
      </c>
    </row>
    <row r="1902" spans="1:110" ht="15" customHeight="1" x14ac:dyDescent="0.35">
      <c r="A1902" t="s">
        <v>15695</v>
      </c>
      <c r="B1902" t="s">
        <v>138</v>
      </c>
      <c r="C1902" s="1">
        <v>44356</v>
      </c>
      <c r="G1902" s="1">
        <v>44356</v>
      </c>
      <c r="H1902" t="s">
        <v>125</v>
      </c>
      <c r="I1902" t="s">
        <v>139</v>
      </c>
      <c r="J1902" t="s">
        <v>140</v>
      </c>
      <c r="L1902" t="s">
        <v>141</v>
      </c>
      <c r="M1902" t="s">
        <v>142</v>
      </c>
      <c r="O1902" t="s">
        <v>143</v>
      </c>
      <c r="P1902" t="s">
        <v>144</v>
      </c>
      <c r="Q1902" s="3">
        <v>98052</v>
      </c>
      <c r="R1902" t="s">
        <v>128</v>
      </c>
      <c r="T1902" s="4">
        <v>14255383872</v>
      </c>
      <c r="V1902" t="s">
        <v>145</v>
      </c>
      <c r="W1902" t="s">
        <v>1411</v>
      </c>
      <c r="Y1902" t="s">
        <v>142</v>
      </c>
      <c r="AA1902" t="s">
        <v>143</v>
      </c>
      <c r="AB1902" t="s">
        <v>149</v>
      </c>
      <c r="AC1902" s="3" t="str">
        <f>"98052"</f>
        <v>98052</v>
      </c>
      <c r="AD1902" t="s">
        <v>128</v>
      </c>
      <c r="AF1902" s="4">
        <v>14257067916</v>
      </c>
      <c r="AH1902" t="str">
        <f>"511210"</f>
        <v>511210</v>
      </c>
      <c r="AI1902" t="s">
        <v>130</v>
      </c>
      <c r="AJ1902" t="s">
        <v>1412</v>
      </c>
      <c r="AK1902" t="s">
        <v>1413</v>
      </c>
      <c r="AM1902" t="s">
        <v>1414</v>
      </c>
      <c r="AN1902" t="s">
        <v>698</v>
      </c>
      <c r="AO1902" t="s">
        <v>1415</v>
      </c>
      <c r="AP1902" t="s">
        <v>382</v>
      </c>
      <c r="AQ1902" s="5">
        <v>21117</v>
      </c>
      <c r="AR1902" t="s">
        <v>128</v>
      </c>
      <c r="AT1902" s="4">
        <v>14103565440</v>
      </c>
      <c r="AU1902">
        <v>265</v>
      </c>
      <c r="AV1902" t="s">
        <v>2263</v>
      </c>
      <c r="AW1902" t="s">
        <v>1416</v>
      </c>
      <c r="AX1902" t="s">
        <v>131</v>
      </c>
      <c r="AY1902" t="s">
        <v>131</v>
      </c>
      <c r="AZ1902" t="s">
        <v>131</v>
      </c>
      <c r="BA1902" t="s">
        <v>131</v>
      </c>
      <c r="BB1902" t="s">
        <v>131</v>
      </c>
      <c r="BC1902" t="s">
        <v>131</v>
      </c>
      <c r="BD1902" t="s">
        <v>131</v>
      </c>
      <c r="BE1902" t="s">
        <v>132</v>
      </c>
      <c r="BH1902" t="s">
        <v>15696</v>
      </c>
      <c r="BI1902" t="s">
        <v>131</v>
      </c>
      <c r="BL1902" t="s">
        <v>133</v>
      </c>
      <c r="BN1902" t="s">
        <v>15697</v>
      </c>
      <c r="BO1902" t="s">
        <v>131</v>
      </c>
      <c r="BP1902" t="s">
        <v>134</v>
      </c>
      <c r="BQ1902" t="s">
        <v>131</v>
      </c>
      <c r="BS1902" t="str">
        <f t="shared" si="109"/>
        <v>N/A</v>
      </c>
      <c r="BT1902" t="s">
        <v>135</v>
      </c>
      <c r="BU1902">
        <v>6</v>
      </c>
      <c r="BV1902" t="str">
        <f>"any computer related occupation."</f>
        <v>any computer related occupation.</v>
      </c>
      <c r="BW1902" t="s">
        <v>135</v>
      </c>
      <c r="BX1902" t="str">
        <f>""</f>
        <v/>
      </c>
      <c r="BY1902" t="str">
        <f>""</f>
        <v/>
      </c>
      <c r="BZ1902" t="str">
        <f>""</f>
        <v/>
      </c>
      <c r="CA1902" t="str">
        <f>"Education or Experience in:  Algorithms, Data Structures, Java, Linux, Unit Testing, Objective oriented programming and Azure is required. "</f>
        <v xml:space="preserve">Education or Experience in:  Algorithms, Data Structures, Java, Linux, Unit Testing, Objective oriented programming and Azure is required. </v>
      </c>
      <c r="CB1902" t="s">
        <v>131</v>
      </c>
      <c r="CF1902" t="s">
        <v>131</v>
      </c>
      <c r="CH1902" t="str">
        <f>""</f>
        <v/>
      </c>
      <c r="CI1902" t="s">
        <v>131</v>
      </c>
      <c r="CK1902" t="s">
        <v>131</v>
      </c>
      <c r="CL1902" t="str">
        <f>""</f>
        <v/>
      </c>
      <c r="CM1902" t="str">
        <f>""</f>
        <v/>
      </c>
      <c r="CN1902" t="str">
        <f>""</f>
        <v/>
      </c>
      <c r="CO1902" t="str">
        <f>""</f>
        <v/>
      </c>
      <c r="CP1902" t="str">
        <f>"15-1132.00"</f>
        <v>15-1132.00</v>
      </c>
      <c r="CQ1902" t="s">
        <v>198</v>
      </c>
      <c r="CR1902" t="s">
        <v>3884</v>
      </c>
      <c r="CS1902" t="s">
        <v>131</v>
      </c>
      <c r="CU1902" t="s">
        <v>142</v>
      </c>
      <c r="CW1902" t="s">
        <v>143</v>
      </c>
      <c r="CX1902" t="s">
        <v>149</v>
      </c>
      <c r="CZ1902" s="3" t="str">
        <f>"98052"</f>
        <v>98052</v>
      </c>
      <c r="DA1902" t="s">
        <v>131</v>
      </c>
      <c r="DB1902" t="str">
        <f>""</f>
        <v/>
      </c>
      <c r="DF1902" t="str">
        <f>""</f>
        <v/>
      </c>
    </row>
    <row r="1903" spans="1:110" ht="15" customHeight="1" x14ac:dyDescent="0.35">
      <c r="A1903" t="s">
        <v>14143</v>
      </c>
      <c r="B1903" t="s">
        <v>138</v>
      </c>
      <c r="C1903" s="1">
        <v>44356</v>
      </c>
      <c r="G1903" s="1">
        <v>44356</v>
      </c>
      <c r="H1903" t="s">
        <v>125</v>
      </c>
      <c r="I1903" t="s">
        <v>11507</v>
      </c>
      <c r="J1903" t="s">
        <v>1261</v>
      </c>
      <c r="K1903" t="s">
        <v>302</v>
      </c>
      <c r="L1903" t="s">
        <v>1105</v>
      </c>
      <c r="M1903" t="s">
        <v>11508</v>
      </c>
      <c r="N1903" t="s">
        <v>11509</v>
      </c>
      <c r="O1903" t="s">
        <v>11510</v>
      </c>
      <c r="P1903" t="s">
        <v>602</v>
      </c>
      <c r="Q1903" s="3">
        <v>57730</v>
      </c>
      <c r="R1903" t="s">
        <v>128</v>
      </c>
      <c r="T1903" s="4">
        <v>16054402269</v>
      </c>
      <c r="V1903" t="s">
        <v>11511</v>
      </c>
      <c r="W1903" t="s">
        <v>14144</v>
      </c>
      <c r="X1903" t="s">
        <v>11512</v>
      </c>
      <c r="Y1903" t="s">
        <v>11508</v>
      </c>
      <c r="Z1903" t="s">
        <v>11509</v>
      </c>
      <c r="AA1903" t="s">
        <v>11510</v>
      </c>
      <c r="AB1903" t="s">
        <v>603</v>
      </c>
      <c r="AC1903" s="3" t="str">
        <f>"57773"</f>
        <v>57773</v>
      </c>
      <c r="AD1903" t="s">
        <v>128</v>
      </c>
      <c r="AF1903" s="4">
        <v>16054402269</v>
      </c>
      <c r="AH1903" t="str">
        <f>"722511"</f>
        <v>722511</v>
      </c>
      <c r="AI1903" t="s">
        <v>130</v>
      </c>
      <c r="AJ1903" t="s">
        <v>1121</v>
      </c>
      <c r="AK1903" t="s">
        <v>1122</v>
      </c>
      <c r="AL1903" t="s">
        <v>332</v>
      </c>
      <c r="AM1903" t="s">
        <v>1123</v>
      </c>
      <c r="AN1903" t="s">
        <v>1124</v>
      </c>
      <c r="AO1903" t="s">
        <v>1125</v>
      </c>
      <c r="AP1903" t="s">
        <v>276</v>
      </c>
      <c r="AQ1903" s="5">
        <v>8034</v>
      </c>
      <c r="AR1903" t="s">
        <v>128</v>
      </c>
      <c r="AS1903" t="s">
        <v>1126</v>
      </c>
      <c r="AT1903" s="4">
        <v>18562819750</v>
      </c>
      <c r="AV1903" t="s">
        <v>1127</v>
      </c>
      <c r="AW1903" t="s">
        <v>1128</v>
      </c>
      <c r="AX1903" t="s">
        <v>131</v>
      </c>
      <c r="AY1903" t="s">
        <v>131</v>
      </c>
      <c r="AZ1903" t="s">
        <v>131</v>
      </c>
      <c r="BA1903" t="s">
        <v>131</v>
      </c>
      <c r="BB1903" t="s">
        <v>131</v>
      </c>
      <c r="BC1903" t="s">
        <v>131</v>
      </c>
      <c r="BD1903" t="s">
        <v>131</v>
      </c>
      <c r="BE1903" t="s">
        <v>132</v>
      </c>
      <c r="BH1903" t="s">
        <v>1080</v>
      </c>
      <c r="BI1903" t="s">
        <v>131</v>
      </c>
      <c r="BL1903" t="s">
        <v>167</v>
      </c>
      <c r="BO1903" t="s">
        <v>131</v>
      </c>
      <c r="BP1903" t="s">
        <v>134</v>
      </c>
      <c r="BQ1903" t="s">
        <v>131</v>
      </c>
      <c r="BS1903" t="str">
        <f t="shared" si="109"/>
        <v>N/A</v>
      </c>
      <c r="BT1903" t="s">
        <v>131</v>
      </c>
      <c r="BV1903" t="str">
        <f>""</f>
        <v/>
      </c>
      <c r="BW1903" t="s">
        <v>131</v>
      </c>
      <c r="BX1903" t="str">
        <f>""</f>
        <v/>
      </c>
      <c r="BY1903" t="str">
        <f>""</f>
        <v/>
      </c>
      <c r="BZ1903" t="str">
        <f>""</f>
        <v/>
      </c>
      <c r="CA1903" t="str">
        <f>""</f>
        <v/>
      </c>
      <c r="CB1903" t="s">
        <v>131</v>
      </c>
      <c r="CF1903" t="s">
        <v>131</v>
      </c>
      <c r="CH1903" t="str">
        <f>""</f>
        <v/>
      </c>
      <c r="CI1903" t="s">
        <v>131</v>
      </c>
      <c r="CK1903" t="s">
        <v>131</v>
      </c>
      <c r="CL1903" t="str">
        <f>""</f>
        <v/>
      </c>
      <c r="CM1903" t="str">
        <f>""</f>
        <v/>
      </c>
      <c r="CN1903" t="str">
        <f>""</f>
        <v/>
      </c>
      <c r="CO1903" t="str">
        <f>""</f>
        <v/>
      </c>
      <c r="CP1903" t="str">
        <f>"35-2014.00"</f>
        <v>35-2014.00</v>
      </c>
      <c r="CQ1903" t="s">
        <v>581</v>
      </c>
      <c r="CR1903" t="s">
        <v>460</v>
      </c>
      <c r="CS1903" t="s">
        <v>131</v>
      </c>
      <c r="CU1903" t="s">
        <v>11508</v>
      </c>
      <c r="CW1903" t="s">
        <v>11510</v>
      </c>
      <c r="CX1903" t="s">
        <v>603</v>
      </c>
      <c r="CZ1903" s="3" t="str">
        <f>"57730"</f>
        <v>57730</v>
      </c>
      <c r="DA1903" t="s">
        <v>131</v>
      </c>
      <c r="DB1903" t="str">
        <f>""</f>
        <v/>
      </c>
      <c r="DF1903" t="str">
        <f>""</f>
        <v/>
      </c>
    </row>
    <row r="1904" spans="1:110" ht="15" customHeight="1" x14ac:dyDescent="0.35">
      <c r="A1904" t="s">
        <v>4986</v>
      </c>
      <c r="B1904" t="s">
        <v>138</v>
      </c>
      <c r="C1904" s="1">
        <v>44356</v>
      </c>
      <c r="G1904" s="1">
        <v>44356</v>
      </c>
      <c r="H1904" t="s">
        <v>125</v>
      </c>
      <c r="I1904" t="s">
        <v>4987</v>
      </c>
      <c r="J1904" t="s">
        <v>4988</v>
      </c>
      <c r="L1904" t="s">
        <v>530</v>
      </c>
      <c r="M1904" t="s">
        <v>3849</v>
      </c>
      <c r="N1904" t="s">
        <v>4989</v>
      </c>
      <c r="O1904" t="s">
        <v>1479</v>
      </c>
      <c r="P1904" t="s">
        <v>273</v>
      </c>
      <c r="Q1904" s="3">
        <v>8817</v>
      </c>
      <c r="R1904" t="s">
        <v>128</v>
      </c>
      <c r="T1904" s="4">
        <v>17327101966</v>
      </c>
      <c r="V1904" t="s">
        <v>4990</v>
      </c>
      <c r="W1904" t="s">
        <v>4991</v>
      </c>
      <c r="Y1904" t="s">
        <v>3849</v>
      </c>
      <c r="Z1904" t="s">
        <v>4989</v>
      </c>
      <c r="AA1904" t="s">
        <v>1479</v>
      </c>
      <c r="AB1904" t="s">
        <v>276</v>
      </c>
      <c r="AC1904" s="3" t="str">
        <f>"08817"</f>
        <v>08817</v>
      </c>
      <c r="AD1904" t="s">
        <v>128</v>
      </c>
      <c r="AF1904" s="4">
        <v>17322486119</v>
      </c>
      <c r="AH1904" t="str">
        <f>"54133"</f>
        <v>54133</v>
      </c>
      <c r="AI1904" t="s">
        <v>130</v>
      </c>
      <c r="AJ1904" t="s">
        <v>3853</v>
      </c>
      <c r="AK1904" t="s">
        <v>3854</v>
      </c>
      <c r="AL1904" t="s">
        <v>314</v>
      </c>
      <c r="AM1904" t="s">
        <v>2851</v>
      </c>
      <c r="AO1904" t="s">
        <v>1730</v>
      </c>
      <c r="AP1904" t="s">
        <v>276</v>
      </c>
      <c r="AQ1904" s="5">
        <v>8837</v>
      </c>
      <c r="AR1904" t="s">
        <v>128</v>
      </c>
      <c r="AT1904" s="4">
        <v>17322058600</v>
      </c>
      <c r="AV1904" t="s">
        <v>3855</v>
      </c>
      <c r="AW1904" t="s">
        <v>2852</v>
      </c>
      <c r="AX1904" t="s">
        <v>131</v>
      </c>
      <c r="AY1904" t="s">
        <v>131</v>
      </c>
      <c r="AZ1904" t="s">
        <v>131</v>
      </c>
      <c r="BA1904" t="s">
        <v>131</v>
      </c>
      <c r="BB1904" t="s">
        <v>131</v>
      </c>
      <c r="BC1904" t="s">
        <v>131</v>
      </c>
      <c r="BD1904" t="s">
        <v>131</v>
      </c>
      <c r="BE1904" t="s">
        <v>132</v>
      </c>
      <c r="BH1904" t="s">
        <v>4992</v>
      </c>
      <c r="BI1904" t="s">
        <v>131</v>
      </c>
      <c r="BL1904" t="s">
        <v>133</v>
      </c>
      <c r="BN1904" t="s">
        <v>4993</v>
      </c>
      <c r="BO1904" t="s">
        <v>131</v>
      </c>
      <c r="BP1904" t="s">
        <v>134</v>
      </c>
      <c r="BQ1904" t="s">
        <v>131</v>
      </c>
      <c r="BS1904" t="str">
        <f t="shared" si="109"/>
        <v>N/A</v>
      </c>
      <c r="BT1904" t="s">
        <v>135</v>
      </c>
      <c r="BU1904">
        <v>24</v>
      </c>
      <c r="BV1904" t="str">
        <f>"Any related occupation"</f>
        <v>Any related occupation</v>
      </c>
      <c r="BW1904" t="s">
        <v>131</v>
      </c>
      <c r="BX1904" t="str">
        <f>""</f>
        <v/>
      </c>
      <c r="BY1904" t="str">
        <f>""</f>
        <v/>
      </c>
      <c r="BZ1904" t="str">
        <f>""</f>
        <v/>
      </c>
      <c r="CA1904" t="str">
        <f>""</f>
        <v/>
      </c>
      <c r="CB1904" t="s">
        <v>131</v>
      </c>
      <c r="CF1904" t="s">
        <v>131</v>
      </c>
      <c r="CH1904" t="str">
        <f>""</f>
        <v/>
      </c>
      <c r="CI1904" t="s">
        <v>131</v>
      </c>
      <c r="CK1904" t="s">
        <v>131</v>
      </c>
      <c r="CL1904" t="str">
        <f>""</f>
        <v/>
      </c>
      <c r="CM1904" t="str">
        <f>""</f>
        <v/>
      </c>
      <c r="CN1904" t="str">
        <f>""</f>
        <v/>
      </c>
      <c r="CO1904" t="str">
        <f>""</f>
        <v/>
      </c>
      <c r="CP1904" t="str">
        <f>"17-2071.00"</f>
        <v>17-2071.00</v>
      </c>
      <c r="CQ1904" t="s">
        <v>649</v>
      </c>
      <c r="CR1904" t="s">
        <v>4992</v>
      </c>
      <c r="CS1904" t="s">
        <v>135</v>
      </c>
      <c r="CT1904" t="s">
        <v>3856</v>
      </c>
      <c r="CU1904" t="s">
        <v>3849</v>
      </c>
      <c r="CV1904" t="s">
        <v>4994</v>
      </c>
      <c r="CW1904" t="s">
        <v>1479</v>
      </c>
      <c r="CX1904" t="s">
        <v>276</v>
      </c>
      <c r="CZ1904" s="3" t="str">
        <f>"08817"</f>
        <v>08817</v>
      </c>
      <c r="DA1904" t="s">
        <v>131</v>
      </c>
      <c r="DB1904" t="str">
        <f>""</f>
        <v/>
      </c>
      <c r="DF1904" t="str">
        <f>""</f>
        <v/>
      </c>
    </row>
    <row r="1905" spans="1:110" ht="15" customHeight="1" x14ac:dyDescent="0.35">
      <c r="A1905" t="s">
        <v>19244</v>
      </c>
      <c r="B1905" t="s">
        <v>138</v>
      </c>
      <c r="C1905" s="1">
        <v>44356</v>
      </c>
      <c r="G1905" s="1">
        <v>44356</v>
      </c>
      <c r="H1905" t="s">
        <v>125</v>
      </c>
      <c r="I1905" t="s">
        <v>2460</v>
      </c>
      <c r="J1905" t="s">
        <v>1444</v>
      </c>
      <c r="L1905" t="s">
        <v>923</v>
      </c>
      <c r="M1905" t="s">
        <v>2461</v>
      </c>
      <c r="N1905" t="s">
        <v>788</v>
      </c>
      <c r="O1905" t="s">
        <v>2462</v>
      </c>
      <c r="P1905" t="s">
        <v>178</v>
      </c>
      <c r="Q1905" s="3">
        <v>92630</v>
      </c>
      <c r="R1905" t="s">
        <v>128</v>
      </c>
      <c r="T1905" s="4">
        <v>15042208405</v>
      </c>
      <c r="V1905" t="s">
        <v>2463</v>
      </c>
      <c r="W1905" t="s">
        <v>2464</v>
      </c>
      <c r="Y1905" t="s">
        <v>2461</v>
      </c>
      <c r="Z1905" t="s">
        <v>788</v>
      </c>
      <c r="AA1905" t="s">
        <v>2462</v>
      </c>
      <c r="AB1905" t="s">
        <v>172</v>
      </c>
      <c r="AC1905" s="3" t="str">
        <f>"92630"</f>
        <v>92630</v>
      </c>
      <c r="AD1905" t="s">
        <v>128</v>
      </c>
      <c r="AE1905" t="s">
        <v>178</v>
      </c>
      <c r="AF1905" s="4">
        <v>19493391957</v>
      </c>
      <c r="AH1905" t="str">
        <f>"611110"</f>
        <v>611110</v>
      </c>
      <c r="AI1905" t="s">
        <v>130</v>
      </c>
      <c r="AJ1905" t="s">
        <v>2465</v>
      </c>
      <c r="AK1905" t="s">
        <v>2466</v>
      </c>
      <c r="AL1905" t="s">
        <v>2210</v>
      </c>
      <c r="AM1905" t="s">
        <v>2467</v>
      </c>
      <c r="AN1905" t="s">
        <v>2468</v>
      </c>
      <c r="AO1905" t="s">
        <v>399</v>
      </c>
      <c r="AP1905" t="s">
        <v>400</v>
      </c>
      <c r="AQ1905" s="5">
        <v>75231</v>
      </c>
      <c r="AR1905" t="s">
        <v>128</v>
      </c>
      <c r="AS1905" t="s">
        <v>412</v>
      </c>
      <c r="AT1905" s="4">
        <v>12149831181</v>
      </c>
      <c r="AV1905" t="s">
        <v>2469</v>
      </c>
      <c r="AW1905" t="s">
        <v>2470</v>
      </c>
      <c r="AX1905" t="s">
        <v>131</v>
      </c>
      <c r="AY1905" t="s">
        <v>131</v>
      </c>
      <c r="AZ1905" t="s">
        <v>131</v>
      </c>
      <c r="BA1905" t="s">
        <v>131</v>
      </c>
      <c r="BB1905" t="s">
        <v>131</v>
      </c>
      <c r="BC1905" t="s">
        <v>131</v>
      </c>
      <c r="BD1905" t="s">
        <v>131</v>
      </c>
      <c r="BE1905" t="s">
        <v>132</v>
      </c>
      <c r="BH1905" t="s">
        <v>4497</v>
      </c>
      <c r="BI1905" t="s">
        <v>131</v>
      </c>
      <c r="BL1905" t="s">
        <v>167</v>
      </c>
      <c r="BO1905" t="s">
        <v>131</v>
      </c>
      <c r="BP1905" t="s">
        <v>134</v>
      </c>
      <c r="BQ1905" t="s">
        <v>131</v>
      </c>
      <c r="BS1905" t="str">
        <f t="shared" si="109"/>
        <v>N/A</v>
      </c>
      <c r="BT1905" t="s">
        <v>135</v>
      </c>
      <c r="BU1905">
        <v>6</v>
      </c>
      <c r="BV1905" t="str">
        <f>"*Related occupational experience required. See F.b.5.a."</f>
        <v>*Related occupational experience required. See F.b.5.a.</v>
      </c>
      <c r="BW1905" t="s">
        <v>135</v>
      </c>
      <c r="BX1905" t="str">
        <f>""</f>
        <v/>
      </c>
      <c r="BY1905" t="str">
        <f>""</f>
        <v/>
      </c>
      <c r="BZ1905" t="str">
        <f>""</f>
        <v/>
      </c>
      <c r="CA1905" t="str">
        <f>"6 months of teaching experience in Montessori environment plus Montessori Primary Diploma from the Association Montessori Internationale, American Montessori Society, or equivalent."</f>
        <v>6 months of teaching experience in Montessori environment plus Montessori Primary Diploma from the Association Montessori Internationale, American Montessori Society, or equivalent.</v>
      </c>
      <c r="CB1905" t="s">
        <v>131</v>
      </c>
      <c r="CF1905" t="s">
        <v>131</v>
      </c>
      <c r="CH1905" t="str">
        <f>""</f>
        <v/>
      </c>
      <c r="CI1905" t="s">
        <v>131</v>
      </c>
      <c r="CK1905" t="s">
        <v>131</v>
      </c>
      <c r="CL1905" t="str">
        <f>""</f>
        <v/>
      </c>
      <c r="CM1905" t="str">
        <f>""</f>
        <v/>
      </c>
      <c r="CN1905" t="str">
        <f>""</f>
        <v/>
      </c>
      <c r="CO1905" t="str">
        <f>""</f>
        <v/>
      </c>
      <c r="CP1905" t="str">
        <f>"25-2012.00"</f>
        <v>25-2012.00</v>
      </c>
      <c r="CQ1905" t="s">
        <v>2471</v>
      </c>
      <c r="CR1905" t="s">
        <v>4497</v>
      </c>
      <c r="CS1905" t="s">
        <v>131</v>
      </c>
      <c r="CU1905" t="s">
        <v>19161</v>
      </c>
      <c r="CW1905" t="s">
        <v>1976</v>
      </c>
      <c r="CX1905" t="s">
        <v>306</v>
      </c>
      <c r="CZ1905" s="3" t="str">
        <f>"20151"</f>
        <v>20151</v>
      </c>
      <c r="DA1905" t="s">
        <v>131</v>
      </c>
      <c r="DB1905" t="str">
        <f>""</f>
        <v/>
      </c>
      <c r="DF1905" t="str">
        <f>""</f>
        <v/>
      </c>
    </row>
    <row r="1906" spans="1:110" ht="15" customHeight="1" x14ac:dyDescent="0.35">
      <c r="A1906" t="s">
        <v>18968</v>
      </c>
      <c r="B1906" t="s">
        <v>138</v>
      </c>
      <c r="C1906" s="1">
        <v>44356</v>
      </c>
      <c r="G1906" s="1">
        <v>44357</v>
      </c>
      <c r="H1906" t="s">
        <v>125</v>
      </c>
      <c r="I1906" t="s">
        <v>5082</v>
      </c>
      <c r="J1906" t="s">
        <v>5218</v>
      </c>
      <c r="K1906" t="s">
        <v>134</v>
      </c>
      <c r="L1906" t="s">
        <v>4687</v>
      </c>
      <c r="M1906" t="s">
        <v>5255</v>
      </c>
      <c r="N1906" t="s">
        <v>2290</v>
      </c>
      <c r="O1906" t="s">
        <v>171</v>
      </c>
      <c r="P1906" t="s">
        <v>178</v>
      </c>
      <c r="Q1906" s="3">
        <v>92612</v>
      </c>
      <c r="R1906" t="s">
        <v>128</v>
      </c>
      <c r="T1906" s="4">
        <v>19495020873</v>
      </c>
      <c r="V1906" t="s">
        <v>5220</v>
      </c>
      <c r="W1906" t="s">
        <v>5217</v>
      </c>
      <c r="X1906" t="s">
        <v>134</v>
      </c>
      <c r="Y1906" t="s">
        <v>18969</v>
      </c>
      <c r="AA1906" t="s">
        <v>709</v>
      </c>
      <c r="AB1906" t="s">
        <v>172</v>
      </c>
      <c r="AC1906" s="3" t="str">
        <f>"94043"</f>
        <v>94043</v>
      </c>
      <c r="AD1906" t="s">
        <v>128</v>
      </c>
      <c r="AF1906" s="4">
        <v>16506563441</v>
      </c>
      <c r="AH1906" t="str">
        <f>"336111"</f>
        <v>336111</v>
      </c>
      <c r="AI1906" t="s">
        <v>130</v>
      </c>
      <c r="AJ1906" t="s">
        <v>5082</v>
      </c>
      <c r="AK1906" t="s">
        <v>5218</v>
      </c>
      <c r="AM1906" t="s">
        <v>5219</v>
      </c>
      <c r="AN1906" t="s">
        <v>2290</v>
      </c>
      <c r="AO1906" t="s">
        <v>171</v>
      </c>
      <c r="AP1906" t="s">
        <v>172</v>
      </c>
      <c r="AQ1906" s="5">
        <v>92612</v>
      </c>
      <c r="AR1906" t="s">
        <v>128</v>
      </c>
      <c r="AT1906" s="4">
        <v>19495020873</v>
      </c>
      <c r="AV1906" t="s">
        <v>5220</v>
      </c>
      <c r="AW1906" t="s">
        <v>5221</v>
      </c>
      <c r="AX1906" t="s">
        <v>131</v>
      </c>
      <c r="AY1906" t="s">
        <v>131</v>
      </c>
      <c r="AZ1906" t="s">
        <v>131</v>
      </c>
      <c r="BA1906" t="s">
        <v>131</v>
      </c>
      <c r="BB1906" t="s">
        <v>131</v>
      </c>
      <c r="BC1906" t="s">
        <v>131</v>
      </c>
      <c r="BD1906" t="s">
        <v>131</v>
      </c>
      <c r="BE1906" t="s">
        <v>132</v>
      </c>
      <c r="BH1906" t="s">
        <v>542</v>
      </c>
      <c r="BI1906" t="s">
        <v>131</v>
      </c>
      <c r="BL1906" t="s">
        <v>188</v>
      </c>
      <c r="BN1906" t="s">
        <v>18970</v>
      </c>
      <c r="BO1906" t="s">
        <v>131</v>
      </c>
      <c r="BP1906" t="s">
        <v>134</v>
      </c>
      <c r="BQ1906" t="s">
        <v>131</v>
      </c>
      <c r="BS1906" t="str">
        <f t="shared" si="109"/>
        <v>N/A</v>
      </c>
      <c r="BT1906" t="s">
        <v>131</v>
      </c>
      <c r="BV1906" t="str">
        <f>""</f>
        <v/>
      </c>
      <c r="BW1906" t="s">
        <v>135</v>
      </c>
      <c r="BX1906" t="str">
        <f>""</f>
        <v/>
      </c>
      <c r="BY1906" t="str">
        <f>""</f>
        <v/>
      </c>
      <c r="BZ1906" t="str">
        <f>""</f>
        <v/>
      </c>
      <c r="CA1906" s="2" t="s">
        <v>18971</v>
      </c>
      <c r="CB1906" t="s">
        <v>131</v>
      </c>
      <c r="CF1906" t="s">
        <v>131</v>
      </c>
      <c r="CH1906" t="str">
        <f>""</f>
        <v/>
      </c>
      <c r="CI1906" t="s">
        <v>131</v>
      </c>
      <c r="CK1906" t="s">
        <v>131</v>
      </c>
      <c r="CL1906" t="str">
        <f>""</f>
        <v/>
      </c>
      <c r="CM1906" t="str">
        <f>""</f>
        <v/>
      </c>
      <c r="CN1906" t="str">
        <f>""</f>
        <v/>
      </c>
      <c r="CO1906" t="str">
        <f>""</f>
        <v/>
      </c>
      <c r="CP1906" t="str">
        <f>"15-1133.00"</f>
        <v>15-1133.00</v>
      </c>
      <c r="CQ1906" t="s">
        <v>648</v>
      </c>
      <c r="CR1906" t="s">
        <v>3274</v>
      </c>
      <c r="CS1906" t="s">
        <v>131</v>
      </c>
      <c r="CU1906" t="s">
        <v>5216</v>
      </c>
      <c r="CW1906" t="s">
        <v>709</v>
      </c>
      <c r="CX1906" t="s">
        <v>172</v>
      </c>
      <c r="CZ1906" s="3" t="str">
        <f>"94043"</f>
        <v>94043</v>
      </c>
      <c r="DA1906" t="s">
        <v>131</v>
      </c>
      <c r="DB1906" t="str">
        <f>""</f>
        <v/>
      </c>
      <c r="DF1906" t="str">
        <f>""</f>
        <v/>
      </c>
    </row>
    <row r="1907" spans="1:110" ht="15" customHeight="1" x14ac:dyDescent="0.35">
      <c r="A1907" t="s">
        <v>13645</v>
      </c>
      <c r="B1907" t="s">
        <v>138</v>
      </c>
      <c r="C1907" s="1">
        <v>44356</v>
      </c>
      <c r="G1907" s="1">
        <v>44361</v>
      </c>
      <c r="H1907" t="s">
        <v>125</v>
      </c>
      <c r="I1907" t="s">
        <v>2473</v>
      </c>
      <c r="J1907" t="s">
        <v>6703</v>
      </c>
      <c r="L1907" t="s">
        <v>2479</v>
      </c>
      <c r="M1907" t="s">
        <v>13646</v>
      </c>
      <c r="N1907" t="s">
        <v>619</v>
      </c>
      <c r="O1907" t="s">
        <v>2482</v>
      </c>
      <c r="P1907" t="s">
        <v>194</v>
      </c>
      <c r="Q1907" s="3">
        <v>32822</v>
      </c>
      <c r="R1907" t="s">
        <v>128</v>
      </c>
      <c r="T1907" s="4">
        <v>14073704664</v>
      </c>
      <c r="V1907" t="s">
        <v>12538</v>
      </c>
      <c r="W1907" t="s">
        <v>2483</v>
      </c>
      <c r="Y1907" t="s">
        <v>13646</v>
      </c>
      <c r="Z1907" t="s">
        <v>619</v>
      </c>
      <c r="AA1907" t="s">
        <v>2482</v>
      </c>
      <c r="AB1907" t="s">
        <v>195</v>
      </c>
      <c r="AC1907" s="3" t="str">
        <f>"32822"</f>
        <v>32822</v>
      </c>
      <c r="AD1907" t="s">
        <v>128</v>
      </c>
      <c r="AF1907" s="4">
        <v>14073704664</v>
      </c>
      <c r="AH1907" t="str">
        <f>"541614"</f>
        <v>541614</v>
      </c>
      <c r="AI1907" t="s">
        <v>130</v>
      </c>
      <c r="AJ1907" t="s">
        <v>1622</v>
      </c>
      <c r="AK1907" t="s">
        <v>1623</v>
      </c>
      <c r="AL1907" t="s">
        <v>1624</v>
      </c>
      <c r="AM1907" t="s">
        <v>4386</v>
      </c>
      <c r="AN1907" t="s">
        <v>4387</v>
      </c>
      <c r="AO1907" t="s">
        <v>719</v>
      </c>
      <c r="AP1907" t="s">
        <v>377</v>
      </c>
      <c r="AQ1907" s="5">
        <v>1701</v>
      </c>
      <c r="AR1907" t="s">
        <v>128</v>
      </c>
      <c r="AT1907" s="4">
        <v>15085323527</v>
      </c>
      <c r="AV1907" t="s">
        <v>4388</v>
      </c>
      <c r="AW1907" t="s">
        <v>4389</v>
      </c>
      <c r="AX1907" t="s">
        <v>131</v>
      </c>
      <c r="AY1907" t="s">
        <v>131</v>
      </c>
      <c r="AZ1907" t="s">
        <v>131</v>
      </c>
      <c r="BA1907" t="s">
        <v>131</v>
      </c>
      <c r="BB1907" t="s">
        <v>131</v>
      </c>
      <c r="BC1907" t="s">
        <v>131</v>
      </c>
      <c r="BD1907" t="s">
        <v>131</v>
      </c>
      <c r="BE1907" t="s">
        <v>132</v>
      </c>
      <c r="BH1907" t="s">
        <v>12539</v>
      </c>
      <c r="BI1907" t="s">
        <v>131</v>
      </c>
      <c r="BL1907" t="s">
        <v>133</v>
      </c>
      <c r="BN1907" t="s">
        <v>12540</v>
      </c>
      <c r="BO1907" t="s">
        <v>131</v>
      </c>
      <c r="BP1907" t="s">
        <v>134</v>
      </c>
      <c r="BQ1907" t="s">
        <v>131</v>
      </c>
      <c r="BS1907" t="str">
        <f t="shared" si="109"/>
        <v>N/A</v>
      </c>
      <c r="BT1907" t="s">
        <v>135</v>
      </c>
      <c r="BU1907">
        <v>48</v>
      </c>
      <c r="BV1907" t="str">
        <f>"job offered or a related position"</f>
        <v>job offered or a related position</v>
      </c>
      <c r="BW1907" t="s">
        <v>135</v>
      </c>
      <c r="BX1907" t="str">
        <f>""</f>
        <v/>
      </c>
      <c r="BY1907" t="str">
        <f>""</f>
        <v/>
      </c>
      <c r="BZ1907" t="str">
        <f>""</f>
        <v/>
      </c>
      <c r="CA1907" t="s">
        <v>12541</v>
      </c>
      <c r="CB1907" t="s">
        <v>135</v>
      </c>
      <c r="CC1907" t="s">
        <v>658</v>
      </c>
      <c r="CD1907" t="s">
        <v>12542</v>
      </c>
      <c r="CE1907" t="s">
        <v>13647</v>
      </c>
      <c r="CF1907" t="s">
        <v>131</v>
      </c>
      <c r="CH1907" t="str">
        <f>"N/A"</f>
        <v>N/A</v>
      </c>
      <c r="CI1907" t="s">
        <v>135</v>
      </c>
      <c r="CJ1907">
        <v>60</v>
      </c>
      <c r="CK1907" t="s">
        <v>135</v>
      </c>
      <c r="CL1907" t="str">
        <f>""</f>
        <v/>
      </c>
      <c r="CM1907" t="str">
        <f>""</f>
        <v/>
      </c>
      <c r="CN1907" t="str">
        <f>""</f>
        <v/>
      </c>
      <c r="CO1907" t="s">
        <v>12541</v>
      </c>
      <c r="CP1907" t="str">
        <f>"15-1121.00"</f>
        <v>15-1121.00</v>
      </c>
      <c r="CQ1907" t="s">
        <v>283</v>
      </c>
      <c r="CR1907" t="s">
        <v>12543</v>
      </c>
      <c r="CS1907" t="s">
        <v>131</v>
      </c>
      <c r="CU1907" t="s">
        <v>12544</v>
      </c>
      <c r="CV1907" t="s">
        <v>2558</v>
      </c>
      <c r="CW1907" t="s">
        <v>1069</v>
      </c>
      <c r="CX1907" t="s">
        <v>400</v>
      </c>
      <c r="CZ1907" s="3" t="str">
        <f>"75062"</f>
        <v>75062</v>
      </c>
      <c r="DA1907" t="s">
        <v>131</v>
      </c>
      <c r="DB1907" t="str">
        <f>""</f>
        <v/>
      </c>
      <c r="DF1907" t="str">
        <f>""</f>
        <v/>
      </c>
    </row>
    <row r="1908" spans="1:110" ht="15" customHeight="1" x14ac:dyDescent="0.35">
      <c r="A1908" t="s">
        <v>14521</v>
      </c>
      <c r="B1908" t="s">
        <v>138</v>
      </c>
      <c r="C1908" s="1">
        <v>44356</v>
      </c>
      <c r="G1908" s="1">
        <v>44356</v>
      </c>
      <c r="H1908" t="s">
        <v>125</v>
      </c>
      <c r="I1908" t="s">
        <v>7212</v>
      </c>
      <c r="J1908" t="s">
        <v>3832</v>
      </c>
      <c r="K1908" t="s">
        <v>610</v>
      </c>
      <c r="L1908" t="s">
        <v>1089</v>
      </c>
      <c r="M1908" t="s">
        <v>14522</v>
      </c>
      <c r="N1908" t="s">
        <v>904</v>
      </c>
      <c r="O1908" t="s">
        <v>791</v>
      </c>
      <c r="P1908" t="s">
        <v>720</v>
      </c>
      <c r="Q1908" s="3">
        <v>92121</v>
      </c>
      <c r="R1908" t="s">
        <v>128</v>
      </c>
      <c r="T1908" s="4">
        <v>16195418280</v>
      </c>
      <c r="V1908" t="s">
        <v>14523</v>
      </c>
      <c r="W1908" t="s">
        <v>14524</v>
      </c>
      <c r="Y1908" t="s">
        <v>14522</v>
      </c>
      <c r="Z1908" t="s">
        <v>904</v>
      </c>
      <c r="AA1908" t="s">
        <v>791</v>
      </c>
      <c r="AB1908" t="s">
        <v>172</v>
      </c>
      <c r="AC1908" s="3" t="str">
        <f>"92121"</f>
        <v>92121</v>
      </c>
      <c r="AD1908" t="s">
        <v>128</v>
      </c>
      <c r="AF1908" s="4">
        <v>16195418280</v>
      </c>
      <c r="AH1908" t="str">
        <f>"541330"</f>
        <v>541330</v>
      </c>
      <c r="AI1908" t="s">
        <v>130</v>
      </c>
      <c r="AJ1908" t="s">
        <v>2601</v>
      </c>
      <c r="AK1908" t="s">
        <v>260</v>
      </c>
      <c r="AM1908" t="s">
        <v>7303</v>
      </c>
      <c r="AN1908" t="s">
        <v>1256</v>
      </c>
      <c r="AO1908" t="s">
        <v>7304</v>
      </c>
      <c r="AP1908" t="s">
        <v>377</v>
      </c>
      <c r="AQ1908" s="5">
        <v>1970</v>
      </c>
      <c r="AR1908" t="s">
        <v>128</v>
      </c>
      <c r="AT1908" s="4">
        <v>19782195040</v>
      </c>
      <c r="AV1908" t="s">
        <v>2602</v>
      </c>
      <c r="AW1908" t="s">
        <v>2603</v>
      </c>
      <c r="AX1908" t="s">
        <v>131</v>
      </c>
      <c r="AY1908" t="s">
        <v>131</v>
      </c>
      <c r="AZ1908" t="s">
        <v>131</v>
      </c>
      <c r="BA1908" t="s">
        <v>131</v>
      </c>
      <c r="BB1908" t="s">
        <v>131</v>
      </c>
      <c r="BC1908" t="s">
        <v>131</v>
      </c>
      <c r="BD1908" t="s">
        <v>131</v>
      </c>
      <c r="BE1908" t="s">
        <v>132</v>
      </c>
      <c r="BH1908" t="s">
        <v>2768</v>
      </c>
      <c r="BI1908" t="s">
        <v>131</v>
      </c>
      <c r="BL1908" t="s">
        <v>188</v>
      </c>
      <c r="BN1908" t="s">
        <v>7305</v>
      </c>
      <c r="BO1908" t="s">
        <v>131</v>
      </c>
      <c r="BP1908" t="s">
        <v>134</v>
      </c>
      <c r="BQ1908" t="s">
        <v>131</v>
      </c>
      <c r="BS1908" t="str">
        <f t="shared" si="109"/>
        <v>N/A</v>
      </c>
      <c r="BT1908" t="s">
        <v>131</v>
      </c>
      <c r="BV1908" t="str">
        <f>""</f>
        <v/>
      </c>
      <c r="BW1908" t="s">
        <v>135</v>
      </c>
      <c r="BX1908" t="str">
        <f>""</f>
        <v/>
      </c>
      <c r="BY1908" t="str">
        <f>""</f>
        <v/>
      </c>
      <c r="BZ1908" t="str">
        <f>""</f>
        <v/>
      </c>
      <c r="CA1908" s="2" t="s">
        <v>14525</v>
      </c>
      <c r="CB1908" t="s">
        <v>131</v>
      </c>
      <c r="CF1908" t="s">
        <v>131</v>
      </c>
      <c r="CH1908" t="str">
        <f>""</f>
        <v/>
      </c>
      <c r="CI1908" t="s">
        <v>131</v>
      </c>
      <c r="CK1908" t="s">
        <v>131</v>
      </c>
      <c r="CL1908" t="str">
        <f>""</f>
        <v/>
      </c>
      <c r="CM1908" t="str">
        <f>""</f>
        <v/>
      </c>
      <c r="CN1908" t="str">
        <f>""</f>
        <v/>
      </c>
      <c r="CO1908" t="str">
        <f>""</f>
        <v/>
      </c>
      <c r="CP1908" t="str">
        <f>"17-2071.00"</f>
        <v>17-2071.00</v>
      </c>
      <c r="CQ1908" t="s">
        <v>649</v>
      </c>
      <c r="CR1908" t="s">
        <v>2768</v>
      </c>
      <c r="CS1908" t="s">
        <v>131</v>
      </c>
      <c r="CU1908" t="s">
        <v>14522</v>
      </c>
      <c r="CV1908" t="s">
        <v>904</v>
      </c>
      <c r="CW1908" t="s">
        <v>791</v>
      </c>
      <c r="CX1908" t="s">
        <v>172</v>
      </c>
      <c r="CZ1908" s="3" t="str">
        <f>"92121"</f>
        <v>92121</v>
      </c>
      <c r="DA1908" t="s">
        <v>131</v>
      </c>
      <c r="DB1908" t="str">
        <f>""</f>
        <v/>
      </c>
      <c r="DF1908" t="str">
        <f>""</f>
        <v/>
      </c>
    </row>
    <row r="1909" spans="1:110" ht="15" customHeight="1" x14ac:dyDescent="0.35">
      <c r="A1909" t="s">
        <v>10835</v>
      </c>
      <c r="B1909" t="s">
        <v>138</v>
      </c>
      <c r="C1909" s="1">
        <v>44356</v>
      </c>
      <c r="G1909" s="1">
        <v>44356</v>
      </c>
      <c r="H1909" t="s">
        <v>125</v>
      </c>
      <c r="I1909" t="s">
        <v>1311</v>
      </c>
      <c r="J1909" t="s">
        <v>704</v>
      </c>
      <c r="K1909" t="s">
        <v>474</v>
      </c>
      <c r="L1909" t="s">
        <v>3782</v>
      </c>
      <c r="M1909" t="s">
        <v>2007</v>
      </c>
      <c r="O1909" t="s">
        <v>458</v>
      </c>
      <c r="P1909" t="s">
        <v>412</v>
      </c>
      <c r="Q1909" s="3">
        <v>75081</v>
      </c>
      <c r="R1909" t="s">
        <v>128</v>
      </c>
      <c r="T1909" s="4">
        <v>19722355772</v>
      </c>
      <c r="V1909" t="s">
        <v>2008</v>
      </c>
      <c r="W1909" t="s">
        <v>5466</v>
      </c>
      <c r="Y1909" t="s">
        <v>5465</v>
      </c>
      <c r="AA1909" t="s">
        <v>1447</v>
      </c>
      <c r="AB1909" t="s">
        <v>400</v>
      </c>
      <c r="AC1909" s="3" t="str">
        <f>"75074"</f>
        <v>75074</v>
      </c>
      <c r="AD1909" t="s">
        <v>128</v>
      </c>
      <c r="AF1909" s="4">
        <v>12144401234</v>
      </c>
      <c r="AH1909" t="str">
        <f>"334418"</f>
        <v>334418</v>
      </c>
      <c r="AI1909" t="s">
        <v>130</v>
      </c>
      <c r="AJ1909" t="s">
        <v>1311</v>
      </c>
      <c r="AK1909" t="s">
        <v>704</v>
      </c>
      <c r="AL1909" t="s">
        <v>1568</v>
      </c>
      <c r="AM1909" t="s">
        <v>5467</v>
      </c>
      <c r="AO1909" t="s">
        <v>458</v>
      </c>
      <c r="AP1909" t="s">
        <v>400</v>
      </c>
      <c r="AQ1909" s="5">
        <v>75081</v>
      </c>
      <c r="AR1909" t="s">
        <v>128</v>
      </c>
      <c r="AT1909" s="4">
        <v>19722355772</v>
      </c>
      <c r="AV1909" t="s">
        <v>2008</v>
      </c>
      <c r="AW1909" t="s">
        <v>9085</v>
      </c>
      <c r="AX1909" t="s">
        <v>131</v>
      </c>
      <c r="AY1909" t="s">
        <v>131</v>
      </c>
      <c r="AZ1909" t="s">
        <v>131</v>
      </c>
      <c r="BA1909" t="s">
        <v>131</v>
      </c>
      <c r="BB1909" t="s">
        <v>131</v>
      </c>
      <c r="BC1909" t="s">
        <v>131</v>
      </c>
      <c r="BD1909" t="s">
        <v>131</v>
      </c>
      <c r="BE1909" t="s">
        <v>132</v>
      </c>
      <c r="BH1909" t="s">
        <v>5468</v>
      </c>
      <c r="BI1909" t="s">
        <v>131</v>
      </c>
      <c r="BL1909" t="s">
        <v>188</v>
      </c>
      <c r="BN1909" t="s">
        <v>2702</v>
      </c>
      <c r="BO1909" t="s">
        <v>131</v>
      </c>
      <c r="BP1909" t="s">
        <v>134</v>
      </c>
      <c r="BQ1909" t="s">
        <v>131</v>
      </c>
      <c r="BS1909" t="str">
        <f t="shared" si="109"/>
        <v>N/A</v>
      </c>
      <c r="BT1909" t="s">
        <v>135</v>
      </c>
      <c r="BU1909">
        <v>24</v>
      </c>
      <c r="BV1909" t="str">
        <f>"Electrical Engineer"</f>
        <v>Electrical Engineer</v>
      </c>
      <c r="BW1909" t="s">
        <v>131</v>
      </c>
      <c r="BX1909" t="str">
        <f>""</f>
        <v/>
      </c>
      <c r="BY1909" t="str">
        <f>""</f>
        <v/>
      </c>
      <c r="BZ1909" t="str">
        <f>""</f>
        <v/>
      </c>
      <c r="CA1909" t="str">
        <f>""</f>
        <v/>
      </c>
      <c r="CB1909" t="s">
        <v>131</v>
      </c>
      <c r="CF1909" t="s">
        <v>131</v>
      </c>
      <c r="CH1909" t="str">
        <f>""</f>
        <v/>
      </c>
      <c r="CI1909" t="s">
        <v>131</v>
      </c>
      <c r="CK1909" t="s">
        <v>131</v>
      </c>
      <c r="CL1909" t="str">
        <f>""</f>
        <v/>
      </c>
      <c r="CM1909" t="str">
        <f>""</f>
        <v/>
      </c>
      <c r="CN1909" t="str">
        <f>""</f>
        <v/>
      </c>
      <c r="CO1909" t="str">
        <f>""</f>
        <v/>
      </c>
      <c r="CP1909" t="str">
        <f>"17-2071.00"</f>
        <v>17-2071.00</v>
      </c>
      <c r="CQ1909" t="s">
        <v>649</v>
      </c>
      <c r="CR1909" t="s">
        <v>136</v>
      </c>
      <c r="CS1909" t="s">
        <v>131</v>
      </c>
      <c r="CU1909" t="s">
        <v>5465</v>
      </c>
      <c r="CW1909" t="s">
        <v>1447</v>
      </c>
      <c r="CX1909" t="s">
        <v>400</v>
      </c>
      <c r="CZ1909" s="3" t="str">
        <f>"75074"</f>
        <v>75074</v>
      </c>
      <c r="DA1909" t="s">
        <v>131</v>
      </c>
      <c r="DB1909" t="str">
        <f>""</f>
        <v/>
      </c>
      <c r="DF1909" t="str">
        <f>""</f>
        <v/>
      </c>
    </row>
    <row r="1910" spans="1:110" ht="15" customHeight="1" x14ac:dyDescent="0.35">
      <c r="A1910" t="s">
        <v>14354</v>
      </c>
      <c r="B1910" t="s">
        <v>138</v>
      </c>
      <c r="C1910" s="1">
        <v>44356</v>
      </c>
      <c r="G1910" s="1">
        <v>44357</v>
      </c>
      <c r="H1910" t="s">
        <v>125</v>
      </c>
      <c r="I1910" t="s">
        <v>9674</v>
      </c>
      <c r="J1910" t="s">
        <v>9675</v>
      </c>
      <c r="K1910" t="s">
        <v>474</v>
      </c>
      <c r="L1910" t="s">
        <v>9676</v>
      </c>
      <c r="M1910" t="s">
        <v>9677</v>
      </c>
      <c r="O1910" t="s">
        <v>9527</v>
      </c>
      <c r="P1910" t="s">
        <v>1760</v>
      </c>
      <c r="Q1910" s="3">
        <v>70508</v>
      </c>
      <c r="R1910" t="s">
        <v>128</v>
      </c>
      <c r="T1910" s="4">
        <v>13376091221</v>
      </c>
      <c r="V1910" t="s">
        <v>9678</v>
      </c>
      <c r="W1910" t="s">
        <v>9679</v>
      </c>
      <c r="Y1910" t="s">
        <v>9677</v>
      </c>
      <c r="AA1910" t="s">
        <v>9527</v>
      </c>
      <c r="AB1910" t="s">
        <v>1763</v>
      </c>
      <c r="AC1910" s="3" t="str">
        <f>"70508"</f>
        <v>70508</v>
      </c>
      <c r="AD1910" t="s">
        <v>128</v>
      </c>
      <c r="AF1910" s="4">
        <v>13376091221</v>
      </c>
      <c r="AH1910" t="str">
        <f>"56133"</f>
        <v>56133</v>
      </c>
      <c r="AI1910" t="s">
        <v>130</v>
      </c>
      <c r="AJ1910" t="s">
        <v>6983</v>
      </c>
      <c r="AK1910" t="s">
        <v>9680</v>
      </c>
      <c r="AL1910" t="s">
        <v>9681</v>
      </c>
      <c r="AM1910" t="s">
        <v>9682</v>
      </c>
      <c r="AN1910" t="s">
        <v>828</v>
      </c>
      <c r="AO1910" t="s">
        <v>2150</v>
      </c>
      <c r="AP1910" t="s">
        <v>779</v>
      </c>
      <c r="AQ1910" s="5">
        <v>37219</v>
      </c>
      <c r="AR1910" t="s">
        <v>128</v>
      </c>
      <c r="AT1910" s="4">
        <v>16158508936</v>
      </c>
      <c r="AV1910" t="s">
        <v>9683</v>
      </c>
      <c r="AW1910" t="s">
        <v>9684</v>
      </c>
      <c r="AX1910" t="s">
        <v>131</v>
      </c>
      <c r="AY1910" t="s">
        <v>131</v>
      </c>
      <c r="AZ1910" t="s">
        <v>131</v>
      </c>
      <c r="BA1910" t="s">
        <v>131</v>
      </c>
      <c r="BB1910" t="s">
        <v>131</v>
      </c>
      <c r="BC1910" t="s">
        <v>131</v>
      </c>
      <c r="BD1910" t="s">
        <v>131</v>
      </c>
      <c r="BE1910" t="s">
        <v>132</v>
      </c>
      <c r="BH1910" t="s">
        <v>4341</v>
      </c>
      <c r="BI1910" t="s">
        <v>131</v>
      </c>
      <c r="BL1910" t="s">
        <v>658</v>
      </c>
      <c r="BM1910" t="s">
        <v>14355</v>
      </c>
      <c r="BN1910" t="s">
        <v>659</v>
      </c>
      <c r="BO1910" t="s">
        <v>131</v>
      </c>
      <c r="BP1910" t="s">
        <v>134</v>
      </c>
      <c r="BQ1910" t="s">
        <v>131</v>
      </c>
      <c r="BS1910" t="str">
        <f t="shared" si="109"/>
        <v>N/A</v>
      </c>
      <c r="BT1910" t="s">
        <v>131</v>
      </c>
      <c r="BV1910" t="str">
        <f>""</f>
        <v/>
      </c>
      <c r="BW1910" t="s">
        <v>135</v>
      </c>
      <c r="BX1910" t="str">
        <f>"Board eligible or board certified in Internal Medicine or Family Medicine; and possess or eligible to apply for Indiana medical license"</f>
        <v>Board eligible or board certified in Internal Medicine or Family Medicine; and possess or eligible to apply for Indiana medical license</v>
      </c>
      <c r="BY1910" t="str">
        <f>""</f>
        <v/>
      </c>
      <c r="BZ1910" t="str">
        <f>"Completion of residency training in Internal Medicine or Family Medicine"</f>
        <v>Completion of residency training in Internal Medicine or Family Medicine</v>
      </c>
      <c r="CA1910" t="str">
        <f>""</f>
        <v/>
      </c>
      <c r="CB1910" t="s">
        <v>135</v>
      </c>
      <c r="CC1910" t="s">
        <v>658</v>
      </c>
      <c r="CD1910" t="s">
        <v>14356</v>
      </c>
      <c r="CE1910" t="s">
        <v>9160</v>
      </c>
      <c r="CF1910" t="s">
        <v>131</v>
      </c>
      <c r="CH1910" t="str">
        <f>"N/A"</f>
        <v>N/A</v>
      </c>
      <c r="CI1910" t="s">
        <v>131</v>
      </c>
      <c r="CK1910" t="s">
        <v>135</v>
      </c>
      <c r="CL1910" t="str">
        <f>"Board eligible or board certified in Internal Medicine or Family Medicine; and possess or eligible to apply for Indiana medical license"</f>
        <v>Board eligible or board certified in Internal Medicine or Family Medicine; and possess or eligible to apply for Indiana medical license</v>
      </c>
      <c r="CM1910" t="str">
        <f>""</f>
        <v/>
      </c>
      <c r="CN1910" t="str">
        <f>"Completion of residency training in Internal Medicine or Family Medicine"</f>
        <v>Completion of residency training in Internal Medicine or Family Medicine</v>
      </c>
      <c r="CO1910" t="str">
        <f>""</f>
        <v/>
      </c>
      <c r="CP1910" t="str">
        <f>"29-1063.00"</f>
        <v>29-1063.00</v>
      </c>
      <c r="CQ1910" t="s">
        <v>5210</v>
      </c>
      <c r="CR1910" t="s">
        <v>4341</v>
      </c>
      <c r="CS1910" t="s">
        <v>131</v>
      </c>
      <c r="CU1910" t="s">
        <v>9685</v>
      </c>
      <c r="CW1910" t="s">
        <v>9686</v>
      </c>
      <c r="CX1910" t="s">
        <v>229</v>
      </c>
      <c r="CZ1910" s="3" t="str">
        <f>"46350"</f>
        <v>46350</v>
      </c>
      <c r="DA1910" t="s">
        <v>135</v>
      </c>
      <c r="DB1910" t="str">
        <f>""</f>
        <v/>
      </c>
      <c r="DF1910" t="str">
        <f>""</f>
        <v/>
      </c>
    </row>
    <row r="1911" spans="1:110" ht="15" customHeight="1" x14ac:dyDescent="0.35">
      <c r="A1911" t="s">
        <v>14402</v>
      </c>
      <c r="B1911" t="s">
        <v>138</v>
      </c>
      <c r="C1911" s="1">
        <v>44356</v>
      </c>
      <c r="G1911" s="1">
        <v>44370</v>
      </c>
      <c r="H1911" t="s">
        <v>125</v>
      </c>
      <c r="I1911" t="s">
        <v>14403</v>
      </c>
      <c r="J1911" t="s">
        <v>14404</v>
      </c>
      <c r="L1911" t="s">
        <v>774</v>
      </c>
      <c r="M1911" t="s">
        <v>14405</v>
      </c>
      <c r="O1911" t="s">
        <v>14406</v>
      </c>
      <c r="P1911" t="s">
        <v>178</v>
      </c>
      <c r="Q1911" s="3">
        <v>95834</v>
      </c>
      <c r="R1911" t="s">
        <v>128</v>
      </c>
      <c r="T1911" s="4">
        <v>19166462080</v>
      </c>
      <c r="V1911" t="s">
        <v>14407</v>
      </c>
      <c r="W1911" t="s">
        <v>14408</v>
      </c>
      <c r="Y1911" t="s">
        <v>14409</v>
      </c>
      <c r="AA1911" t="s">
        <v>1259</v>
      </c>
      <c r="AB1911" t="s">
        <v>172</v>
      </c>
      <c r="AC1911" s="3" t="str">
        <f>"95834"</f>
        <v>95834</v>
      </c>
      <c r="AD1911" t="s">
        <v>128</v>
      </c>
      <c r="AF1911" s="4">
        <v>19166462080</v>
      </c>
      <c r="AH1911" t="str">
        <f>"541511"</f>
        <v>541511</v>
      </c>
      <c r="AI1911" t="s">
        <v>167</v>
      </c>
      <c r="AX1911" t="s">
        <v>131</v>
      </c>
      <c r="AY1911" t="s">
        <v>131</v>
      </c>
      <c r="AZ1911" t="s">
        <v>131</v>
      </c>
      <c r="BA1911" t="s">
        <v>131</v>
      </c>
      <c r="BB1911" t="s">
        <v>131</v>
      </c>
      <c r="BC1911" t="s">
        <v>131</v>
      </c>
      <c r="BD1911" t="s">
        <v>131</v>
      </c>
      <c r="BE1911" t="s">
        <v>1948</v>
      </c>
      <c r="BH1911" t="s">
        <v>10007</v>
      </c>
      <c r="BI1911" t="s">
        <v>131</v>
      </c>
      <c r="BL1911" t="s">
        <v>188</v>
      </c>
      <c r="BN1911" t="s">
        <v>14410</v>
      </c>
      <c r="BO1911" t="s">
        <v>131</v>
      </c>
      <c r="BP1911" t="s">
        <v>134</v>
      </c>
      <c r="BQ1911" t="s">
        <v>131</v>
      </c>
      <c r="BS1911" t="str">
        <f t="shared" si="109"/>
        <v>N/A</v>
      </c>
      <c r="BT1911" t="s">
        <v>131</v>
      </c>
      <c r="BV1911" t="str">
        <f>""</f>
        <v/>
      </c>
      <c r="BW1911" t="s">
        <v>131</v>
      </c>
      <c r="BX1911" t="str">
        <f>""</f>
        <v/>
      </c>
      <c r="BY1911" t="str">
        <f>""</f>
        <v/>
      </c>
      <c r="BZ1911" t="str">
        <f>""</f>
        <v/>
      </c>
      <c r="CA1911" t="str">
        <f>""</f>
        <v/>
      </c>
      <c r="CB1911" t="s">
        <v>131</v>
      </c>
      <c r="CF1911" t="s">
        <v>131</v>
      </c>
      <c r="CH1911" t="str">
        <f>""</f>
        <v/>
      </c>
      <c r="CI1911" t="s">
        <v>131</v>
      </c>
      <c r="CK1911" t="s">
        <v>131</v>
      </c>
      <c r="CL1911" t="str">
        <f>""</f>
        <v/>
      </c>
      <c r="CM1911" t="str">
        <f>""</f>
        <v/>
      </c>
      <c r="CN1911" t="str">
        <f>""</f>
        <v/>
      </c>
      <c r="CO1911" t="str">
        <f>""</f>
        <v/>
      </c>
      <c r="CP1911" t="str">
        <f>"13-1111.00"</f>
        <v>13-1111.00</v>
      </c>
      <c r="CQ1911" t="s">
        <v>292</v>
      </c>
      <c r="CR1911" t="s">
        <v>3278</v>
      </c>
      <c r="CS1911" t="s">
        <v>135</v>
      </c>
      <c r="CT1911" t="s">
        <v>14411</v>
      </c>
      <c r="CU1911" t="s">
        <v>14412</v>
      </c>
      <c r="CW1911" t="s">
        <v>1259</v>
      </c>
      <c r="CX1911" t="s">
        <v>172</v>
      </c>
      <c r="CZ1911" s="3" t="str">
        <f>"95834"</f>
        <v>95834</v>
      </c>
      <c r="DA1911" t="s">
        <v>131</v>
      </c>
      <c r="DB1911" t="str">
        <f>""</f>
        <v/>
      </c>
      <c r="DF1911" t="str">
        <f>""</f>
        <v/>
      </c>
    </row>
    <row r="1912" spans="1:110" ht="15" customHeight="1" x14ac:dyDescent="0.35">
      <c r="A1912" t="s">
        <v>13632</v>
      </c>
      <c r="B1912" t="s">
        <v>138</v>
      </c>
      <c r="C1912" s="1">
        <v>44356</v>
      </c>
      <c r="G1912" s="1">
        <v>44370</v>
      </c>
      <c r="H1912" t="s">
        <v>125</v>
      </c>
      <c r="I1912" t="s">
        <v>12547</v>
      </c>
      <c r="J1912" t="s">
        <v>12548</v>
      </c>
      <c r="L1912" t="s">
        <v>12549</v>
      </c>
      <c r="M1912" t="s">
        <v>10539</v>
      </c>
      <c r="N1912" t="s">
        <v>985</v>
      </c>
      <c r="O1912" t="s">
        <v>523</v>
      </c>
      <c r="P1912" t="s">
        <v>178</v>
      </c>
      <c r="Q1912" s="3">
        <v>94104</v>
      </c>
      <c r="R1912" t="s">
        <v>128</v>
      </c>
      <c r="T1912" s="4">
        <v>14158396885</v>
      </c>
      <c r="V1912" t="s">
        <v>12550</v>
      </c>
      <c r="W1912" t="s">
        <v>12551</v>
      </c>
      <c r="Y1912" t="s">
        <v>10539</v>
      </c>
      <c r="Z1912" t="s">
        <v>985</v>
      </c>
      <c r="AA1912" t="s">
        <v>220</v>
      </c>
      <c r="AB1912" t="s">
        <v>172</v>
      </c>
      <c r="AC1912" s="3" t="str">
        <f>"94104"</f>
        <v>94104</v>
      </c>
      <c r="AD1912" t="s">
        <v>128</v>
      </c>
      <c r="AF1912" s="4">
        <v>14158396885</v>
      </c>
      <c r="AH1912" t="str">
        <f>"51119"</f>
        <v>51119</v>
      </c>
      <c r="AI1912" t="s">
        <v>130</v>
      </c>
      <c r="AJ1912" t="s">
        <v>1775</v>
      </c>
      <c r="AK1912" t="s">
        <v>804</v>
      </c>
      <c r="AL1912" t="s">
        <v>474</v>
      </c>
      <c r="AM1912" t="s">
        <v>5092</v>
      </c>
      <c r="AN1912" t="s">
        <v>2823</v>
      </c>
      <c r="AO1912" t="s">
        <v>523</v>
      </c>
      <c r="AP1912" t="s">
        <v>172</v>
      </c>
      <c r="AQ1912" s="5">
        <v>94111</v>
      </c>
      <c r="AR1912" t="s">
        <v>128</v>
      </c>
      <c r="AT1912" s="4">
        <v>14153959331</v>
      </c>
      <c r="AU1912">
        <v>320</v>
      </c>
      <c r="AV1912" t="s">
        <v>12552</v>
      </c>
      <c r="AW1912" t="s">
        <v>5094</v>
      </c>
      <c r="AX1912" t="s">
        <v>131</v>
      </c>
      <c r="AY1912" t="s">
        <v>131</v>
      </c>
      <c r="AZ1912" t="s">
        <v>131</v>
      </c>
      <c r="BA1912" t="s">
        <v>131</v>
      </c>
      <c r="BB1912" t="s">
        <v>131</v>
      </c>
      <c r="BC1912" t="s">
        <v>131</v>
      </c>
      <c r="BD1912" t="s">
        <v>131</v>
      </c>
      <c r="BE1912" t="s">
        <v>132</v>
      </c>
      <c r="BH1912" t="s">
        <v>2693</v>
      </c>
      <c r="BI1912" t="s">
        <v>131</v>
      </c>
      <c r="BL1912" t="s">
        <v>188</v>
      </c>
      <c r="BN1912" t="s">
        <v>13633</v>
      </c>
      <c r="BO1912" t="s">
        <v>131</v>
      </c>
      <c r="BP1912" t="s">
        <v>134</v>
      </c>
      <c r="BQ1912" t="s">
        <v>131</v>
      </c>
      <c r="BS1912" t="str">
        <f t="shared" si="109"/>
        <v>N/A</v>
      </c>
      <c r="BT1912" t="s">
        <v>135</v>
      </c>
      <c r="BU1912">
        <v>24</v>
      </c>
      <c r="BV1912" t="str">
        <f>"An occupation involving experience building data products and workflows to deliver data insights. "</f>
        <v xml:space="preserve">An occupation involving experience building data products and workflows to deliver data insights. </v>
      </c>
      <c r="BW1912" t="s">
        <v>135</v>
      </c>
      <c r="BX1912" t="str">
        <f>""</f>
        <v/>
      </c>
      <c r="BY1912" t="str">
        <f>""</f>
        <v/>
      </c>
      <c r="BZ1912" t="str">
        <f>""</f>
        <v/>
      </c>
      <c r="CA1912" t="s">
        <v>13634</v>
      </c>
      <c r="CB1912" t="s">
        <v>135</v>
      </c>
      <c r="CC1912" t="s">
        <v>133</v>
      </c>
      <c r="CE1912" t="s">
        <v>13633</v>
      </c>
      <c r="CF1912" t="s">
        <v>131</v>
      </c>
      <c r="CH1912" t="str">
        <f>"N/A"</f>
        <v>N/A</v>
      </c>
      <c r="CI1912" t="s">
        <v>135</v>
      </c>
      <c r="CJ1912">
        <v>60</v>
      </c>
      <c r="CK1912" t="s">
        <v>135</v>
      </c>
      <c r="CL1912" t="str">
        <f>""</f>
        <v/>
      </c>
      <c r="CM1912" t="str">
        <f>""</f>
        <v/>
      </c>
      <c r="CN1912" t="str">
        <f>""</f>
        <v/>
      </c>
      <c r="CO1912" t="s">
        <v>13634</v>
      </c>
      <c r="CP1912" t="str">
        <f>"15-2041.00"</f>
        <v>15-2041.00</v>
      </c>
      <c r="CQ1912" t="s">
        <v>379</v>
      </c>
      <c r="CR1912" t="s">
        <v>12216</v>
      </c>
      <c r="CS1912" t="s">
        <v>131</v>
      </c>
      <c r="CU1912" t="s">
        <v>13635</v>
      </c>
      <c r="CV1912" t="s">
        <v>13636</v>
      </c>
      <c r="CW1912" t="s">
        <v>3034</v>
      </c>
      <c r="CX1912" t="s">
        <v>129</v>
      </c>
      <c r="CZ1912" s="3" t="str">
        <f>"11109"</f>
        <v>11109</v>
      </c>
      <c r="DA1912" t="s">
        <v>131</v>
      </c>
      <c r="DB1912" t="str">
        <f>""</f>
        <v/>
      </c>
      <c r="DF1912" t="str">
        <f>""</f>
        <v/>
      </c>
    </row>
    <row r="1913" spans="1:110" ht="15" customHeight="1" x14ac:dyDescent="0.35">
      <c r="A1913" t="s">
        <v>19295</v>
      </c>
      <c r="B1913" t="s">
        <v>138</v>
      </c>
      <c r="C1913" s="1">
        <v>44356</v>
      </c>
      <c r="G1913" s="1">
        <v>44357</v>
      </c>
      <c r="H1913" t="s">
        <v>125</v>
      </c>
      <c r="I1913" t="s">
        <v>19296</v>
      </c>
      <c r="J1913" t="s">
        <v>710</v>
      </c>
      <c r="L1913" t="s">
        <v>882</v>
      </c>
      <c r="M1913" t="s">
        <v>1697</v>
      </c>
      <c r="O1913" t="s">
        <v>1040</v>
      </c>
      <c r="P1913" t="s">
        <v>412</v>
      </c>
      <c r="Q1913" s="3">
        <v>78741</v>
      </c>
      <c r="R1913" t="s">
        <v>128</v>
      </c>
      <c r="T1913" s="4">
        <v>17378671000</v>
      </c>
      <c r="V1913" t="s">
        <v>4741</v>
      </c>
      <c r="W1913" t="s">
        <v>1698</v>
      </c>
      <c r="Y1913" t="s">
        <v>4742</v>
      </c>
      <c r="AA1913" t="s">
        <v>608</v>
      </c>
      <c r="AB1913" t="s">
        <v>400</v>
      </c>
      <c r="AC1913" s="3" t="str">
        <f>"78741"</f>
        <v>78741</v>
      </c>
      <c r="AD1913" t="s">
        <v>128</v>
      </c>
      <c r="AF1913" s="4">
        <v>17378671000</v>
      </c>
      <c r="AH1913" t="str">
        <f>"51121"</f>
        <v>51121</v>
      </c>
      <c r="AI1913" t="s">
        <v>130</v>
      </c>
      <c r="AJ1913" t="s">
        <v>901</v>
      </c>
      <c r="AK1913" t="s">
        <v>3161</v>
      </c>
      <c r="AL1913" t="s">
        <v>667</v>
      </c>
      <c r="AM1913" t="s">
        <v>2806</v>
      </c>
      <c r="AN1913" t="s">
        <v>1699</v>
      </c>
      <c r="AO1913" t="s">
        <v>220</v>
      </c>
      <c r="AP1913" t="s">
        <v>172</v>
      </c>
      <c r="AQ1913" s="5">
        <v>94111</v>
      </c>
      <c r="AR1913" t="s">
        <v>128</v>
      </c>
      <c r="AT1913" s="4">
        <v>14692909925</v>
      </c>
      <c r="AV1913" t="s">
        <v>4743</v>
      </c>
      <c r="AW1913" t="s">
        <v>367</v>
      </c>
      <c r="AX1913" t="s">
        <v>131</v>
      </c>
      <c r="AY1913" t="s">
        <v>131</v>
      </c>
      <c r="AZ1913" t="s">
        <v>131</v>
      </c>
      <c r="BA1913" t="s">
        <v>131</v>
      </c>
      <c r="BB1913" t="s">
        <v>131</v>
      </c>
      <c r="BC1913" t="s">
        <v>131</v>
      </c>
      <c r="BD1913" t="s">
        <v>131</v>
      </c>
      <c r="BE1913" t="s">
        <v>160</v>
      </c>
      <c r="BF1913" t="s">
        <v>161</v>
      </c>
      <c r="BG1913" s="1">
        <v>44331</v>
      </c>
      <c r="BH1913" t="s">
        <v>16249</v>
      </c>
      <c r="BI1913" t="s">
        <v>135</v>
      </c>
      <c r="BJ1913" t="s">
        <v>282</v>
      </c>
      <c r="BK1913" t="s">
        <v>283</v>
      </c>
      <c r="BL1913" t="s">
        <v>133</v>
      </c>
      <c r="BN1913" t="s">
        <v>19297</v>
      </c>
      <c r="BO1913" t="s">
        <v>131</v>
      </c>
      <c r="BP1913" t="s">
        <v>134</v>
      </c>
      <c r="BQ1913" t="s">
        <v>131</v>
      </c>
      <c r="BS1913" t="str">
        <f t="shared" si="109"/>
        <v>N/A</v>
      </c>
      <c r="BT1913" t="s">
        <v>135</v>
      </c>
      <c r="BU1913">
        <v>60</v>
      </c>
      <c r="BV1913" t="str">
        <f>"5 years of work exp in job offered or 5 years of work exp in a comp-related occu (*In lieu of a bachelor’s degree, employer will accept 2 years of work exp in job offered or in a comp-related occu)"</f>
        <v>5 years of work exp in job offered or 5 years of work exp in a comp-related occu (*In lieu of a bachelor’s degree, employer will accept 2 years of work exp in job offered or in a comp-related occu)</v>
      </c>
      <c r="BW1913" t="s">
        <v>135</v>
      </c>
      <c r="BX1913" t="str">
        <f>""</f>
        <v/>
      </c>
      <c r="BY1913" t="str">
        <f>""</f>
        <v/>
      </c>
      <c r="BZ1913" t="str">
        <f>""</f>
        <v/>
      </c>
      <c r="CA1913" t="str">
        <f>"1. SQL, PL/SQL, Java, HTML, and JavaScript languages;
2. Oracle v11 and Oracle v12 databases;
3. Cloud networking (cloud-cloud, cloud-ground), cloud storage, cloud security, and cloud platform services (e.g. database, serverless, containers)
"</f>
        <v xml:space="preserve">1. SQL, PL/SQL, Java, HTML, and JavaScript languages;
2. Oracle v11 and Oracle v12 databases;
3. Cloud networking (cloud-cloud, cloud-ground), cloud storage, cloud security, and cloud platform services (e.g. database, serverless, containers)
</v>
      </c>
      <c r="CB1913" t="s">
        <v>131</v>
      </c>
      <c r="CF1913" t="s">
        <v>131</v>
      </c>
      <c r="CH1913" t="str">
        <f>""</f>
        <v/>
      </c>
      <c r="CI1913" t="s">
        <v>131</v>
      </c>
      <c r="CK1913" t="s">
        <v>131</v>
      </c>
      <c r="CL1913" t="str">
        <f>""</f>
        <v/>
      </c>
      <c r="CM1913" t="str">
        <f>""</f>
        <v/>
      </c>
      <c r="CN1913" t="str">
        <f>""</f>
        <v/>
      </c>
      <c r="CO1913" t="str">
        <f>""</f>
        <v/>
      </c>
      <c r="CP1913" t="str">
        <f>"15-1199.09"</f>
        <v>15-1199.09</v>
      </c>
      <c r="CQ1913" t="s">
        <v>697</v>
      </c>
      <c r="CS1913" t="s">
        <v>131</v>
      </c>
      <c r="CU1913" t="s">
        <v>1697</v>
      </c>
      <c r="CW1913" t="s">
        <v>1040</v>
      </c>
      <c r="CX1913" t="s">
        <v>400</v>
      </c>
      <c r="CZ1913" s="3" t="str">
        <f>"78741"</f>
        <v>78741</v>
      </c>
      <c r="DA1913" t="s">
        <v>131</v>
      </c>
      <c r="DB1913" t="str">
        <f>""</f>
        <v/>
      </c>
      <c r="DF1913" t="str">
        <f>""</f>
        <v/>
      </c>
    </row>
    <row r="1914" spans="1:110" ht="15" customHeight="1" x14ac:dyDescent="0.35">
      <c r="A1914" t="s">
        <v>5250</v>
      </c>
      <c r="B1914" t="s">
        <v>138</v>
      </c>
      <c r="C1914" s="1">
        <v>44356</v>
      </c>
      <c r="G1914" s="1">
        <v>44357</v>
      </c>
      <c r="H1914" t="s">
        <v>125</v>
      </c>
      <c r="I1914" t="s">
        <v>1552</v>
      </c>
      <c r="J1914" t="s">
        <v>1553</v>
      </c>
      <c r="L1914" t="s">
        <v>1554</v>
      </c>
      <c r="M1914" t="s">
        <v>1555</v>
      </c>
      <c r="O1914" t="s">
        <v>1556</v>
      </c>
      <c r="P1914" t="s">
        <v>178</v>
      </c>
      <c r="Q1914" s="3">
        <v>95014</v>
      </c>
      <c r="R1914" t="s">
        <v>128</v>
      </c>
      <c r="T1914" s="4">
        <v>14089742562</v>
      </c>
      <c r="V1914" t="s">
        <v>1564</v>
      </c>
      <c r="W1914" t="s">
        <v>1558</v>
      </c>
      <c r="Y1914" t="s">
        <v>1559</v>
      </c>
      <c r="AA1914" t="s">
        <v>1560</v>
      </c>
      <c r="AB1914" t="s">
        <v>172</v>
      </c>
      <c r="AC1914" s="3" t="str">
        <f>"95014"</f>
        <v>95014</v>
      </c>
      <c r="AD1914" t="s">
        <v>128</v>
      </c>
      <c r="AF1914" s="4">
        <v>14089742562</v>
      </c>
      <c r="AH1914" t="str">
        <f>"334111"</f>
        <v>334111</v>
      </c>
      <c r="AI1914" t="s">
        <v>130</v>
      </c>
      <c r="AJ1914" t="s">
        <v>1787</v>
      </c>
      <c r="AK1914" t="s">
        <v>1788</v>
      </c>
      <c r="AL1914" t="s">
        <v>602</v>
      </c>
      <c r="AM1914" t="s">
        <v>1563</v>
      </c>
      <c r="AN1914" t="s">
        <v>997</v>
      </c>
      <c r="AO1914" t="s">
        <v>220</v>
      </c>
      <c r="AP1914" t="s">
        <v>172</v>
      </c>
      <c r="AQ1914" s="5">
        <v>94111</v>
      </c>
      <c r="AR1914" t="s">
        <v>128</v>
      </c>
      <c r="AT1914" s="4">
        <v>14159861446</v>
      </c>
      <c r="AV1914" t="s">
        <v>1564</v>
      </c>
      <c r="AW1914" t="s">
        <v>386</v>
      </c>
      <c r="AX1914" t="s">
        <v>131</v>
      </c>
      <c r="AY1914" t="s">
        <v>131</v>
      </c>
      <c r="AZ1914" t="s">
        <v>131</v>
      </c>
      <c r="BA1914" t="s">
        <v>131</v>
      </c>
      <c r="BB1914" t="s">
        <v>131</v>
      </c>
      <c r="BC1914" t="s">
        <v>131</v>
      </c>
      <c r="BD1914" t="s">
        <v>131</v>
      </c>
      <c r="BE1914" t="s">
        <v>160</v>
      </c>
      <c r="BF1914" t="s">
        <v>1789</v>
      </c>
      <c r="BG1914" s="1">
        <v>44331</v>
      </c>
      <c r="BH1914" t="s">
        <v>1790</v>
      </c>
      <c r="BI1914" t="s">
        <v>131</v>
      </c>
      <c r="BL1914" t="s">
        <v>188</v>
      </c>
      <c r="BN1914" t="s">
        <v>1566</v>
      </c>
      <c r="BO1914" t="s">
        <v>131</v>
      </c>
      <c r="BP1914" t="s">
        <v>134</v>
      </c>
      <c r="BQ1914" t="s">
        <v>131</v>
      </c>
      <c r="BS1914" t="str">
        <f t="shared" si="109"/>
        <v>N/A</v>
      </c>
      <c r="BT1914" t="s">
        <v>135</v>
      </c>
      <c r="BU1914">
        <v>24</v>
      </c>
      <c r="BV1914" t="str">
        <f>"Please See Section F.a.2."</f>
        <v>Please See Section F.a.2.</v>
      </c>
      <c r="BW1914" t="s">
        <v>135</v>
      </c>
      <c r="BX1914" t="str">
        <f>""</f>
        <v/>
      </c>
      <c r="BY1914" t="str">
        <f>""</f>
        <v/>
      </c>
      <c r="BZ1914" t="str">
        <f>""</f>
        <v/>
      </c>
      <c r="CA1914" t="str">
        <f>"Please See Section F.a.2."</f>
        <v>Please See Section F.a.2.</v>
      </c>
      <c r="CB1914" t="s">
        <v>135</v>
      </c>
      <c r="CC1914" t="s">
        <v>133</v>
      </c>
      <c r="CE1914" t="s">
        <v>1566</v>
      </c>
      <c r="CF1914" t="s">
        <v>131</v>
      </c>
      <c r="CH1914" t="str">
        <f t="shared" ref="CH1914:CH1919" si="110">"N/A"</f>
        <v>N/A</v>
      </c>
      <c r="CI1914" t="s">
        <v>135</v>
      </c>
      <c r="CJ1914">
        <v>60</v>
      </c>
      <c r="CK1914" t="s">
        <v>135</v>
      </c>
      <c r="CL1914" t="str">
        <f>""</f>
        <v/>
      </c>
      <c r="CM1914" t="str">
        <f>""</f>
        <v/>
      </c>
      <c r="CN1914" t="str">
        <f>""</f>
        <v/>
      </c>
      <c r="CO1914" t="str">
        <f>"Please See Section F.a.2."</f>
        <v>Please See Section F.a.2.</v>
      </c>
      <c r="CP1914" t="str">
        <f>"15-1199.01"</f>
        <v>15-1199.01</v>
      </c>
      <c r="CQ1914" t="s">
        <v>308</v>
      </c>
      <c r="CR1914" t="s">
        <v>460</v>
      </c>
      <c r="CS1914" t="s">
        <v>131</v>
      </c>
      <c r="CU1914" t="s">
        <v>1555</v>
      </c>
      <c r="CW1914" t="s">
        <v>1556</v>
      </c>
      <c r="CX1914" t="s">
        <v>172</v>
      </c>
      <c r="CZ1914" s="3" t="str">
        <f>"95014"</f>
        <v>95014</v>
      </c>
      <c r="DA1914" t="s">
        <v>131</v>
      </c>
      <c r="DB1914" t="str">
        <f>""</f>
        <v/>
      </c>
      <c r="DF1914" t="str">
        <f>""</f>
        <v/>
      </c>
    </row>
    <row r="1915" spans="1:110" ht="15" customHeight="1" x14ac:dyDescent="0.35">
      <c r="A1915" t="s">
        <v>19081</v>
      </c>
      <c r="B1915" t="s">
        <v>138</v>
      </c>
      <c r="C1915" s="1">
        <v>44356</v>
      </c>
      <c r="G1915" s="1">
        <v>44357</v>
      </c>
      <c r="H1915" t="s">
        <v>125</v>
      </c>
      <c r="I1915" t="s">
        <v>1552</v>
      </c>
      <c r="J1915" t="s">
        <v>1553</v>
      </c>
      <c r="L1915" t="s">
        <v>1554</v>
      </c>
      <c r="M1915" t="s">
        <v>1555</v>
      </c>
      <c r="O1915" t="s">
        <v>1556</v>
      </c>
      <c r="P1915" t="s">
        <v>178</v>
      </c>
      <c r="Q1915" s="3">
        <v>95014</v>
      </c>
      <c r="R1915" t="s">
        <v>128</v>
      </c>
      <c r="T1915" s="4">
        <v>14089742562</v>
      </c>
      <c r="V1915" t="s">
        <v>1564</v>
      </c>
      <c r="W1915" t="s">
        <v>1558</v>
      </c>
      <c r="Y1915" t="s">
        <v>1559</v>
      </c>
      <c r="AA1915" t="s">
        <v>1560</v>
      </c>
      <c r="AB1915" t="s">
        <v>172</v>
      </c>
      <c r="AC1915" s="3" t="str">
        <f>"95014"</f>
        <v>95014</v>
      </c>
      <c r="AD1915" t="s">
        <v>128</v>
      </c>
      <c r="AF1915" s="4">
        <v>14089742562</v>
      </c>
      <c r="AH1915" t="str">
        <f>"334111"</f>
        <v>334111</v>
      </c>
      <c r="AI1915" t="s">
        <v>130</v>
      </c>
      <c r="AJ1915" t="s">
        <v>1787</v>
      </c>
      <c r="AK1915" t="s">
        <v>1788</v>
      </c>
      <c r="AL1915" t="s">
        <v>602</v>
      </c>
      <c r="AM1915" t="s">
        <v>1563</v>
      </c>
      <c r="AN1915" t="s">
        <v>997</v>
      </c>
      <c r="AO1915" t="s">
        <v>220</v>
      </c>
      <c r="AP1915" t="s">
        <v>172</v>
      </c>
      <c r="AQ1915" s="5">
        <v>94111</v>
      </c>
      <c r="AR1915" t="s">
        <v>128</v>
      </c>
      <c r="AT1915" s="4">
        <v>14159861446</v>
      </c>
      <c r="AV1915" t="s">
        <v>1564</v>
      </c>
      <c r="AW1915" t="s">
        <v>386</v>
      </c>
      <c r="AX1915" t="s">
        <v>131</v>
      </c>
      <c r="AY1915" t="s">
        <v>131</v>
      </c>
      <c r="AZ1915" t="s">
        <v>131</v>
      </c>
      <c r="BA1915" t="s">
        <v>131</v>
      </c>
      <c r="BB1915" t="s">
        <v>131</v>
      </c>
      <c r="BC1915" t="s">
        <v>131</v>
      </c>
      <c r="BD1915" t="s">
        <v>131</v>
      </c>
      <c r="BE1915" t="s">
        <v>160</v>
      </c>
      <c r="BF1915" t="s">
        <v>1789</v>
      </c>
      <c r="BG1915" s="1">
        <v>44331</v>
      </c>
      <c r="BH1915" t="s">
        <v>1790</v>
      </c>
      <c r="BI1915" t="s">
        <v>131</v>
      </c>
      <c r="BL1915" t="s">
        <v>188</v>
      </c>
      <c r="BN1915" t="s">
        <v>1566</v>
      </c>
      <c r="BO1915" t="s">
        <v>131</v>
      </c>
      <c r="BP1915" t="s">
        <v>134</v>
      </c>
      <c r="BQ1915" t="s">
        <v>131</v>
      </c>
      <c r="BS1915" t="str">
        <f t="shared" si="109"/>
        <v>N/A</v>
      </c>
      <c r="BT1915" t="s">
        <v>135</v>
      </c>
      <c r="BU1915">
        <v>24</v>
      </c>
      <c r="BV1915" t="str">
        <f>"Please See Section F.a.2."</f>
        <v>Please See Section F.a.2.</v>
      </c>
      <c r="BW1915" t="s">
        <v>135</v>
      </c>
      <c r="BX1915" t="str">
        <f>""</f>
        <v/>
      </c>
      <c r="BY1915" t="str">
        <f>""</f>
        <v/>
      </c>
      <c r="BZ1915" t="str">
        <f>""</f>
        <v/>
      </c>
      <c r="CA1915" t="str">
        <f>"Please See Section F.a.2."</f>
        <v>Please See Section F.a.2.</v>
      </c>
      <c r="CB1915" t="s">
        <v>135</v>
      </c>
      <c r="CC1915" t="s">
        <v>133</v>
      </c>
      <c r="CE1915" t="s">
        <v>1566</v>
      </c>
      <c r="CF1915" t="s">
        <v>131</v>
      </c>
      <c r="CH1915" t="str">
        <f t="shared" si="110"/>
        <v>N/A</v>
      </c>
      <c r="CI1915" t="s">
        <v>135</v>
      </c>
      <c r="CJ1915">
        <v>60</v>
      </c>
      <c r="CK1915" t="s">
        <v>135</v>
      </c>
      <c r="CL1915" t="str">
        <f>""</f>
        <v/>
      </c>
      <c r="CM1915" t="str">
        <f>""</f>
        <v/>
      </c>
      <c r="CN1915" t="str">
        <f>""</f>
        <v/>
      </c>
      <c r="CO1915" t="str">
        <f>"Please See Section F.a.2."</f>
        <v>Please See Section F.a.2.</v>
      </c>
      <c r="CP1915" t="str">
        <f>"15-1133.00"</f>
        <v>15-1133.00</v>
      </c>
      <c r="CQ1915" t="s">
        <v>648</v>
      </c>
      <c r="CR1915" t="s">
        <v>460</v>
      </c>
      <c r="CS1915" t="s">
        <v>131</v>
      </c>
      <c r="CU1915" t="s">
        <v>1555</v>
      </c>
      <c r="CW1915" t="s">
        <v>1556</v>
      </c>
      <c r="CX1915" t="s">
        <v>172</v>
      </c>
      <c r="CZ1915" s="3" t="str">
        <f>"95014"</f>
        <v>95014</v>
      </c>
      <c r="DA1915" t="s">
        <v>131</v>
      </c>
      <c r="DB1915" t="str">
        <f>""</f>
        <v/>
      </c>
      <c r="DF1915" t="str">
        <f>""</f>
        <v/>
      </c>
    </row>
    <row r="1916" spans="1:110" ht="15" customHeight="1" x14ac:dyDescent="0.35">
      <c r="A1916" t="s">
        <v>12683</v>
      </c>
      <c r="B1916" t="s">
        <v>138</v>
      </c>
      <c r="C1916" s="1">
        <v>44357</v>
      </c>
      <c r="G1916" s="1">
        <v>44357</v>
      </c>
      <c r="H1916" t="s">
        <v>125</v>
      </c>
      <c r="I1916" t="s">
        <v>5004</v>
      </c>
      <c r="J1916" t="s">
        <v>1723</v>
      </c>
      <c r="K1916" t="s">
        <v>192</v>
      </c>
      <c r="L1916" t="s">
        <v>5005</v>
      </c>
      <c r="M1916" t="s">
        <v>5006</v>
      </c>
      <c r="O1916" t="s">
        <v>647</v>
      </c>
      <c r="P1916" t="s">
        <v>178</v>
      </c>
      <c r="Q1916" s="3">
        <v>94538</v>
      </c>
      <c r="R1916" t="s">
        <v>128</v>
      </c>
      <c r="T1916" s="4">
        <v>15105720200</v>
      </c>
      <c r="V1916" t="s">
        <v>5007</v>
      </c>
      <c r="W1916" t="s">
        <v>5008</v>
      </c>
      <c r="Y1916" t="s">
        <v>5006</v>
      </c>
      <c r="AA1916" t="s">
        <v>647</v>
      </c>
      <c r="AB1916" t="s">
        <v>172</v>
      </c>
      <c r="AC1916" s="3" t="str">
        <f>"94538"</f>
        <v>94538</v>
      </c>
      <c r="AD1916" t="s">
        <v>128</v>
      </c>
      <c r="AF1916" s="4">
        <v>15105720200</v>
      </c>
      <c r="AH1916" t="str">
        <f>"33441"</f>
        <v>33441</v>
      </c>
      <c r="AI1916" t="s">
        <v>130</v>
      </c>
      <c r="AJ1916" t="s">
        <v>5009</v>
      </c>
      <c r="AK1916" t="s">
        <v>645</v>
      </c>
      <c r="AL1916" t="s">
        <v>1036</v>
      </c>
      <c r="AM1916" t="s">
        <v>239</v>
      </c>
      <c r="AN1916" t="s">
        <v>240</v>
      </c>
      <c r="AO1916" t="s">
        <v>241</v>
      </c>
      <c r="AQ1916" s="5" t="s">
        <v>242</v>
      </c>
      <c r="AR1916" t="s">
        <v>156</v>
      </c>
      <c r="AS1916" t="s">
        <v>243</v>
      </c>
      <c r="AT1916" s="4">
        <v>16048067182</v>
      </c>
      <c r="AV1916" t="s">
        <v>5007</v>
      </c>
      <c r="AW1916" t="s">
        <v>218</v>
      </c>
      <c r="AX1916" t="s">
        <v>131</v>
      </c>
      <c r="AY1916" t="s">
        <v>131</v>
      </c>
      <c r="AZ1916" t="s">
        <v>131</v>
      </c>
      <c r="BA1916" t="s">
        <v>131</v>
      </c>
      <c r="BB1916" t="s">
        <v>131</v>
      </c>
      <c r="BC1916" t="s">
        <v>131</v>
      </c>
      <c r="BD1916" t="s">
        <v>131</v>
      </c>
      <c r="BE1916" t="s">
        <v>132</v>
      </c>
      <c r="BH1916" t="s">
        <v>12684</v>
      </c>
      <c r="BI1916" t="s">
        <v>131</v>
      </c>
      <c r="BL1916" t="s">
        <v>188</v>
      </c>
      <c r="BN1916" t="s">
        <v>12685</v>
      </c>
      <c r="BO1916" t="s">
        <v>131</v>
      </c>
      <c r="BP1916" t="s">
        <v>134</v>
      </c>
      <c r="BQ1916" t="s">
        <v>131</v>
      </c>
      <c r="BS1916" t="str">
        <f t="shared" si="109"/>
        <v>N/A</v>
      </c>
      <c r="BT1916" t="s">
        <v>135</v>
      </c>
      <c r="BU1916">
        <v>36</v>
      </c>
      <c r="BV1916" t="str">
        <f>"Business Systems Analyst or related occupation"</f>
        <v>Business Systems Analyst or related occupation</v>
      </c>
      <c r="BW1916" t="s">
        <v>135</v>
      </c>
      <c r="BX1916" t="str">
        <f>""</f>
        <v/>
      </c>
      <c r="BY1916" t="str">
        <f>""</f>
        <v/>
      </c>
      <c r="BZ1916" t="str">
        <f>""</f>
        <v/>
      </c>
      <c r="CA1916" t="s">
        <v>12686</v>
      </c>
      <c r="CB1916" t="s">
        <v>135</v>
      </c>
      <c r="CC1916" t="s">
        <v>133</v>
      </c>
      <c r="CE1916" t="s">
        <v>12685</v>
      </c>
      <c r="CF1916" t="s">
        <v>131</v>
      </c>
      <c r="CH1916" t="str">
        <f t="shared" si="110"/>
        <v>N/A</v>
      </c>
      <c r="CI1916" t="s">
        <v>135</v>
      </c>
      <c r="CJ1916">
        <v>60</v>
      </c>
      <c r="CK1916" t="s">
        <v>135</v>
      </c>
      <c r="CL1916" t="str">
        <f>""</f>
        <v/>
      </c>
      <c r="CM1916" t="str">
        <f>""</f>
        <v/>
      </c>
      <c r="CN1916" t="str">
        <f>""</f>
        <v/>
      </c>
      <c r="CO1916" t="s">
        <v>12686</v>
      </c>
      <c r="CP1916" t="str">
        <f>"15-1199.08"</f>
        <v>15-1199.08</v>
      </c>
      <c r="CQ1916" t="s">
        <v>265</v>
      </c>
      <c r="CR1916" t="s">
        <v>12687</v>
      </c>
      <c r="CS1916" t="s">
        <v>131</v>
      </c>
      <c r="CU1916" t="s">
        <v>5006</v>
      </c>
      <c r="CW1916" t="s">
        <v>647</v>
      </c>
      <c r="CX1916" t="s">
        <v>172</v>
      </c>
      <c r="CZ1916" s="3" t="str">
        <f>"94538"</f>
        <v>94538</v>
      </c>
      <c r="DA1916" t="s">
        <v>131</v>
      </c>
      <c r="DB1916" t="str">
        <f>""</f>
        <v/>
      </c>
      <c r="DF1916" t="str">
        <f>""</f>
        <v/>
      </c>
    </row>
    <row r="1917" spans="1:110" ht="15" customHeight="1" x14ac:dyDescent="0.35">
      <c r="A1917" t="s">
        <v>18993</v>
      </c>
      <c r="B1917" t="s">
        <v>138</v>
      </c>
      <c r="C1917" s="1">
        <v>44357</v>
      </c>
      <c r="G1917" s="1">
        <v>44357</v>
      </c>
      <c r="H1917" t="s">
        <v>125</v>
      </c>
      <c r="I1917" t="s">
        <v>5004</v>
      </c>
      <c r="J1917" t="s">
        <v>1723</v>
      </c>
      <c r="K1917" t="s">
        <v>192</v>
      </c>
      <c r="L1917" t="s">
        <v>5005</v>
      </c>
      <c r="M1917" t="s">
        <v>5006</v>
      </c>
      <c r="O1917" t="s">
        <v>647</v>
      </c>
      <c r="P1917" t="s">
        <v>178</v>
      </c>
      <c r="Q1917" s="3">
        <v>94538</v>
      </c>
      <c r="R1917" t="s">
        <v>128</v>
      </c>
      <c r="T1917" s="4">
        <v>15105720200</v>
      </c>
      <c r="V1917" t="s">
        <v>5007</v>
      </c>
      <c r="W1917" t="s">
        <v>5008</v>
      </c>
      <c r="Y1917" t="s">
        <v>5006</v>
      </c>
      <c r="AA1917" t="s">
        <v>647</v>
      </c>
      <c r="AB1917" t="s">
        <v>172</v>
      </c>
      <c r="AC1917" s="3" t="str">
        <f>"94538"</f>
        <v>94538</v>
      </c>
      <c r="AD1917" t="s">
        <v>128</v>
      </c>
      <c r="AF1917" s="4">
        <v>15105720200</v>
      </c>
      <c r="AH1917" t="str">
        <f>"33441"</f>
        <v>33441</v>
      </c>
      <c r="AI1917" t="s">
        <v>130</v>
      </c>
      <c r="AJ1917" t="s">
        <v>5009</v>
      </c>
      <c r="AK1917" t="s">
        <v>645</v>
      </c>
      <c r="AL1917" t="s">
        <v>1036</v>
      </c>
      <c r="AM1917" t="s">
        <v>239</v>
      </c>
      <c r="AN1917" t="s">
        <v>240</v>
      </c>
      <c r="AO1917" t="s">
        <v>241</v>
      </c>
      <c r="AQ1917" s="5" t="s">
        <v>242</v>
      </c>
      <c r="AR1917" t="s">
        <v>156</v>
      </c>
      <c r="AS1917" t="s">
        <v>243</v>
      </c>
      <c r="AT1917" s="4">
        <v>16048067182</v>
      </c>
      <c r="AV1917" t="s">
        <v>5007</v>
      </c>
      <c r="AW1917" t="s">
        <v>218</v>
      </c>
      <c r="AX1917" t="s">
        <v>131</v>
      </c>
      <c r="AY1917" t="s">
        <v>131</v>
      </c>
      <c r="AZ1917" t="s">
        <v>131</v>
      </c>
      <c r="BA1917" t="s">
        <v>131</v>
      </c>
      <c r="BB1917" t="s">
        <v>131</v>
      </c>
      <c r="BC1917" t="s">
        <v>131</v>
      </c>
      <c r="BD1917" t="s">
        <v>131</v>
      </c>
      <c r="BE1917" t="s">
        <v>132</v>
      </c>
      <c r="BH1917" t="s">
        <v>12684</v>
      </c>
      <c r="BI1917" t="s">
        <v>131</v>
      </c>
      <c r="BL1917" t="s">
        <v>188</v>
      </c>
      <c r="BN1917" t="s">
        <v>12685</v>
      </c>
      <c r="BO1917" t="s">
        <v>131</v>
      </c>
      <c r="BP1917" t="s">
        <v>134</v>
      </c>
      <c r="BQ1917" t="s">
        <v>131</v>
      </c>
      <c r="BS1917" t="str">
        <f t="shared" si="109"/>
        <v>N/A</v>
      </c>
      <c r="BT1917" t="s">
        <v>135</v>
      </c>
      <c r="BU1917">
        <v>36</v>
      </c>
      <c r="BV1917" t="str">
        <f>"Business Systems Analyst or related"</f>
        <v>Business Systems Analyst or related</v>
      </c>
      <c r="BW1917" t="s">
        <v>135</v>
      </c>
      <c r="BX1917" t="str">
        <f>""</f>
        <v/>
      </c>
      <c r="BY1917" t="str">
        <f>""</f>
        <v/>
      </c>
      <c r="BZ1917" t="str">
        <f>""</f>
        <v/>
      </c>
      <c r="CA1917" t="s">
        <v>12686</v>
      </c>
      <c r="CB1917" t="s">
        <v>135</v>
      </c>
      <c r="CC1917" t="s">
        <v>133</v>
      </c>
      <c r="CE1917" t="s">
        <v>12685</v>
      </c>
      <c r="CF1917" t="s">
        <v>131</v>
      </c>
      <c r="CH1917" t="str">
        <f t="shared" si="110"/>
        <v>N/A</v>
      </c>
      <c r="CI1917" t="s">
        <v>135</v>
      </c>
      <c r="CJ1917">
        <v>60</v>
      </c>
      <c r="CK1917" t="s">
        <v>135</v>
      </c>
      <c r="CL1917" t="str">
        <f>""</f>
        <v/>
      </c>
      <c r="CM1917" t="str">
        <f>""</f>
        <v/>
      </c>
      <c r="CN1917" t="str">
        <f>""</f>
        <v/>
      </c>
      <c r="CO1917" t="s">
        <v>12686</v>
      </c>
      <c r="CP1917" t="str">
        <f>"15-1199.08"</f>
        <v>15-1199.08</v>
      </c>
      <c r="CQ1917" t="s">
        <v>265</v>
      </c>
      <c r="CR1917" t="s">
        <v>7650</v>
      </c>
      <c r="CS1917" t="s">
        <v>131</v>
      </c>
      <c r="CU1917" t="s">
        <v>5006</v>
      </c>
      <c r="CW1917" t="s">
        <v>647</v>
      </c>
      <c r="CX1917" t="s">
        <v>172</v>
      </c>
      <c r="CZ1917" s="3" t="str">
        <f>"94538"</f>
        <v>94538</v>
      </c>
      <c r="DA1917" t="s">
        <v>131</v>
      </c>
      <c r="DB1917" t="str">
        <f>""</f>
        <v/>
      </c>
      <c r="DF1917" t="str">
        <f>""</f>
        <v/>
      </c>
    </row>
    <row r="1918" spans="1:110" ht="15" customHeight="1" x14ac:dyDescent="0.35">
      <c r="A1918" t="s">
        <v>17972</v>
      </c>
      <c r="B1918" t="s">
        <v>138</v>
      </c>
      <c r="C1918" s="1">
        <v>44357</v>
      </c>
      <c r="G1918" s="1">
        <v>44377</v>
      </c>
      <c r="H1918" t="s">
        <v>125</v>
      </c>
      <c r="I1918" t="s">
        <v>483</v>
      </c>
      <c r="J1918" t="s">
        <v>14787</v>
      </c>
      <c r="L1918" t="s">
        <v>11830</v>
      </c>
      <c r="M1918" t="s">
        <v>485</v>
      </c>
      <c r="O1918" t="s">
        <v>486</v>
      </c>
      <c r="P1918" t="s">
        <v>487</v>
      </c>
      <c r="Q1918" s="3">
        <v>19809</v>
      </c>
      <c r="R1918" t="s">
        <v>128</v>
      </c>
      <c r="T1918" s="4">
        <v>13027972000</v>
      </c>
      <c r="V1918" t="s">
        <v>488</v>
      </c>
      <c r="W1918" t="s">
        <v>489</v>
      </c>
      <c r="Y1918" t="s">
        <v>485</v>
      </c>
      <c r="AA1918" t="s">
        <v>486</v>
      </c>
      <c r="AB1918" t="s">
        <v>490</v>
      </c>
      <c r="AC1918" s="3" t="str">
        <f>"19809"</f>
        <v>19809</v>
      </c>
      <c r="AD1918" t="s">
        <v>128</v>
      </c>
      <c r="AF1918" s="4">
        <v>13027972000</v>
      </c>
      <c r="AH1918" t="str">
        <f>"52392"</f>
        <v>52392</v>
      </c>
      <c r="AI1918" t="s">
        <v>130</v>
      </c>
      <c r="AJ1918" t="s">
        <v>491</v>
      </c>
      <c r="AK1918" t="s">
        <v>492</v>
      </c>
      <c r="AM1918" t="s">
        <v>493</v>
      </c>
      <c r="AO1918" t="s">
        <v>494</v>
      </c>
      <c r="AP1918" t="s">
        <v>129</v>
      </c>
      <c r="AQ1918" s="5">
        <v>10018</v>
      </c>
      <c r="AR1918" t="s">
        <v>128</v>
      </c>
      <c r="AT1918" s="4">
        <v>12126888555</v>
      </c>
      <c r="AV1918" t="s">
        <v>495</v>
      </c>
      <c r="AW1918" t="s">
        <v>386</v>
      </c>
      <c r="AX1918" t="s">
        <v>131</v>
      </c>
      <c r="AY1918" t="s">
        <v>131</v>
      </c>
      <c r="AZ1918" t="s">
        <v>131</v>
      </c>
      <c r="BA1918" t="s">
        <v>131</v>
      </c>
      <c r="BB1918" t="s">
        <v>131</v>
      </c>
      <c r="BC1918" t="s">
        <v>131</v>
      </c>
      <c r="BD1918" t="s">
        <v>131</v>
      </c>
      <c r="BE1918" t="s">
        <v>132</v>
      </c>
      <c r="BH1918" t="s">
        <v>16498</v>
      </c>
      <c r="BI1918" t="s">
        <v>131</v>
      </c>
      <c r="BL1918" t="s">
        <v>188</v>
      </c>
      <c r="BN1918" t="s">
        <v>17973</v>
      </c>
      <c r="BO1918" t="s">
        <v>131</v>
      </c>
      <c r="BP1918" t="s">
        <v>134</v>
      </c>
      <c r="BQ1918" t="s">
        <v>131</v>
      </c>
      <c r="BS1918" t="str">
        <f t="shared" si="109"/>
        <v>N/A</v>
      </c>
      <c r="BT1918" t="s">
        <v>135</v>
      </c>
      <c r="BU1918">
        <v>36</v>
      </c>
      <c r="BV1918" t="str">
        <f>"Analyst or related."</f>
        <v>Analyst or related.</v>
      </c>
      <c r="BW1918" t="s">
        <v>135</v>
      </c>
      <c r="BX1918" t="str">
        <f>""</f>
        <v/>
      </c>
      <c r="BY1918" t="str">
        <f>""</f>
        <v/>
      </c>
      <c r="BZ1918" t="str">
        <f>""</f>
        <v/>
      </c>
      <c r="CA1918" t="s">
        <v>16499</v>
      </c>
      <c r="CB1918" t="s">
        <v>135</v>
      </c>
      <c r="CC1918" t="s">
        <v>133</v>
      </c>
      <c r="CE1918" t="s">
        <v>17973</v>
      </c>
      <c r="CF1918" t="s">
        <v>131</v>
      </c>
      <c r="CH1918" t="str">
        <f t="shared" si="110"/>
        <v>N/A</v>
      </c>
      <c r="CI1918" t="s">
        <v>135</v>
      </c>
      <c r="CJ1918">
        <v>60</v>
      </c>
      <c r="CK1918" t="s">
        <v>135</v>
      </c>
      <c r="CL1918" t="str">
        <f>""</f>
        <v/>
      </c>
      <c r="CM1918" t="str">
        <f>""</f>
        <v/>
      </c>
      <c r="CN1918" t="str">
        <f>""</f>
        <v/>
      </c>
      <c r="CO1918" t="s">
        <v>16500</v>
      </c>
      <c r="CP1918" t="str">
        <f>"13-2051.00"</f>
        <v>13-2051.00</v>
      </c>
      <c r="CQ1918" t="s">
        <v>245</v>
      </c>
      <c r="CR1918" t="s">
        <v>303</v>
      </c>
      <c r="CS1918" t="s">
        <v>131</v>
      </c>
      <c r="CU1918" t="s">
        <v>16501</v>
      </c>
      <c r="CW1918" t="s">
        <v>486</v>
      </c>
      <c r="CX1918" t="s">
        <v>490</v>
      </c>
      <c r="CZ1918" s="3" t="str">
        <f>"19809"</f>
        <v>19809</v>
      </c>
      <c r="DA1918" t="s">
        <v>131</v>
      </c>
      <c r="DB1918" t="str">
        <f>""</f>
        <v/>
      </c>
      <c r="DF1918" t="str">
        <f>""</f>
        <v/>
      </c>
    </row>
    <row r="1919" spans="1:110" ht="15" customHeight="1" x14ac:dyDescent="0.35">
      <c r="A1919" t="s">
        <v>16985</v>
      </c>
      <c r="B1919" t="s">
        <v>138</v>
      </c>
      <c r="C1919" s="1">
        <v>44357</v>
      </c>
      <c r="G1919" s="1">
        <v>44357</v>
      </c>
      <c r="H1919" t="s">
        <v>125</v>
      </c>
      <c r="I1919" t="s">
        <v>5483</v>
      </c>
      <c r="J1919" t="s">
        <v>1345</v>
      </c>
      <c r="L1919" t="s">
        <v>1346</v>
      </c>
      <c r="M1919" t="s">
        <v>1347</v>
      </c>
      <c r="O1919" t="s">
        <v>1348</v>
      </c>
      <c r="P1919" t="s">
        <v>539</v>
      </c>
      <c r="Q1919" s="3">
        <v>60015</v>
      </c>
      <c r="R1919" t="s">
        <v>128</v>
      </c>
      <c r="T1919" s="4">
        <v>12244050900</v>
      </c>
      <c r="V1919" t="s">
        <v>4535</v>
      </c>
      <c r="W1919" t="s">
        <v>4536</v>
      </c>
      <c r="Y1919" t="s">
        <v>1351</v>
      </c>
      <c r="AA1919" t="s">
        <v>1348</v>
      </c>
      <c r="AB1919" t="s">
        <v>263</v>
      </c>
      <c r="AC1919" s="3" t="str">
        <f>"60015"</f>
        <v>60015</v>
      </c>
      <c r="AD1919" t="s">
        <v>128</v>
      </c>
      <c r="AF1919" s="4">
        <v>12244053726</v>
      </c>
      <c r="AG1919">
        <v>0</v>
      </c>
      <c r="AH1919" t="str">
        <f>"522291"</f>
        <v>522291</v>
      </c>
      <c r="AI1919" t="s">
        <v>130</v>
      </c>
      <c r="AJ1919" t="s">
        <v>1352</v>
      </c>
      <c r="AK1919" t="s">
        <v>260</v>
      </c>
      <c r="AM1919" t="s">
        <v>493</v>
      </c>
      <c r="AO1919" t="s">
        <v>494</v>
      </c>
      <c r="AP1919" t="s">
        <v>129</v>
      </c>
      <c r="AQ1919" s="5">
        <v>10018</v>
      </c>
      <c r="AR1919" t="s">
        <v>128</v>
      </c>
      <c r="AT1919" s="4">
        <v>12126888555</v>
      </c>
      <c r="AV1919" t="s">
        <v>4537</v>
      </c>
      <c r="AW1919" t="s">
        <v>386</v>
      </c>
      <c r="AX1919" t="s">
        <v>131</v>
      </c>
      <c r="AY1919" t="s">
        <v>131</v>
      </c>
      <c r="AZ1919" t="s">
        <v>131</v>
      </c>
      <c r="BA1919" t="s">
        <v>131</v>
      </c>
      <c r="BB1919" t="s">
        <v>131</v>
      </c>
      <c r="BC1919" t="s">
        <v>131</v>
      </c>
      <c r="BD1919" t="s">
        <v>131</v>
      </c>
      <c r="BE1919" t="s">
        <v>132</v>
      </c>
      <c r="BH1919" t="s">
        <v>6568</v>
      </c>
      <c r="BI1919" t="s">
        <v>131</v>
      </c>
      <c r="BL1919" t="s">
        <v>133</v>
      </c>
      <c r="BN1919" t="s">
        <v>16986</v>
      </c>
      <c r="BO1919" t="s">
        <v>131</v>
      </c>
      <c r="BP1919" t="s">
        <v>134</v>
      </c>
      <c r="BQ1919" t="s">
        <v>131</v>
      </c>
      <c r="BS1919" t="str">
        <f t="shared" ref="BS1919:BS1950" si="111">"N/A"</f>
        <v>N/A</v>
      </c>
      <c r="BT1919" t="s">
        <v>135</v>
      </c>
      <c r="BU1919">
        <v>72</v>
      </c>
      <c r="BV1919" t="str">
        <f>"Senior Software Engineer; Software Developer or related."</f>
        <v>Senior Software Engineer; Software Developer or related.</v>
      </c>
      <c r="BW1919" t="s">
        <v>135</v>
      </c>
      <c r="BX1919" t="str">
        <f>""</f>
        <v/>
      </c>
      <c r="BY1919" t="str">
        <f>""</f>
        <v/>
      </c>
      <c r="BZ1919" t="str">
        <f>""</f>
        <v/>
      </c>
      <c r="CA1919" t="s">
        <v>16987</v>
      </c>
      <c r="CB1919" t="s">
        <v>135</v>
      </c>
      <c r="CC1919" t="s">
        <v>188</v>
      </c>
      <c r="CE1919" t="s">
        <v>16986</v>
      </c>
      <c r="CF1919" t="s">
        <v>131</v>
      </c>
      <c r="CH1919" t="str">
        <f t="shared" si="110"/>
        <v>N/A</v>
      </c>
      <c r="CI1919" t="s">
        <v>135</v>
      </c>
      <c r="CJ1919">
        <v>48</v>
      </c>
      <c r="CK1919" t="s">
        <v>135</v>
      </c>
      <c r="CL1919" t="str">
        <f>""</f>
        <v/>
      </c>
      <c r="CM1919" t="str">
        <f>""</f>
        <v/>
      </c>
      <c r="CN1919" t="str">
        <f>""</f>
        <v/>
      </c>
      <c r="CO1919" t="s">
        <v>16988</v>
      </c>
      <c r="CP1919" t="str">
        <f>"15-1132.00"</f>
        <v>15-1132.00</v>
      </c>
      <c r="CQ1919" t="s">
        <v>198</v>
      </c>
      <c r="CR1919" t="s">
        <v>5228</v>
      </c>
      <c r="CS1919" t="s">
        <v>131</v>
      </c>
      <c r="CU1919" t="s">
        <v>1347</v>
      </c>
      <c r="CW1919" t="s">
        <v>1348</v>
      </c>
      <c r="CX1919" t="s">
        <v>263</v>
      </c>
      <c r="CZ1919" s="3" t="str">
        <f>"60015"</f>
        <v>60015</v>
      </c>
      <c r="DA1919" t="s">
        <v>131</v>
      </c>
      <c r="DB1919" t="str">
        <f>""</f>
        <v/>
      </c>
      <c r="DF1919" t="str">
        <f>""</f>
        <v/>
      </c>
    </row>
    <row r="1920" spans="1:110" ht="15" customHeight="1" x14ac:dyDescent="0.35">
      <c r="A1920" t="s">
        <v>20124</v>
      </c>
      <c r="B1920" t="s">
        <v>138</v>
      </c>
      <c r="C1920" s="1">
        <v>44357</v>
      </c>
      <c r="G1920" s="1">
        <v>44361</v>
      </c>
      <c r="H1920" t="s">
        <v>125</v>
      </c>
      <c r="I1920" t="s">
        <v>5082</v>
      </c>
      <c r="J1920" t="s">
        <v>5218</v>
      </c>
      <c r="L1920" t="s">
        <v>4687</v>
      </c>
      <c r="M1920" t="s">
        <v>5255</v>
      </c>
      <c r="N1920" t="s">
        <v>2290</v>
      </c>
      <c r="O1920" t="s">
        <v>171</v>
      </c>
      <c r="P1920" t="s">
        <v>178</v>
      </c>
      <c r="Q1920" s="3">
        <v>92612</v>
      </c>
      <c r="R1920" t="s">
        <v>128</v>
      </c>
      <c r="T1920" s="4">
        <v>19495020873</v>
      </c>
      <c r="V1920" t="s">
        <v>5220</v>
      </c>
      <c r="W1920" t="s">
        <v>5217</v>
      </c>
      <c r="X1920" t="s">
        <v>134</v>
      </c>
      <c r="Y1920" t="s">
        <v>18969</v>
      </c>
      <c r="Z1920" t="s">
        <v>134</v>
      </c>
      <c r="AA1920" t="s">
        <v>709</v>
      </c>
      <c r="AB1920" t="s">
        <v>172</v>
      </c>
      <c r="AC1920" s="3" t="str">
        <f>"94043"</f>
        <v>94043</v>
      </c>
      <c r="AD1920" t="s">
        <v>128</v>
      </c>
      <c r="AF1920" s="4">
        <v>16506563441</v>
      </c>
      <c r="AH1920" t="str">
        <f>"336111"</f>
        <v>336111</v>
      </c>
      <c r="AI1920" t="s">
        <v>130</v>
      </c>
      <c r="AJ1920" t="s">
        <v>5082</v>
      </c>
      <c r="AK1920" t="s">
        <v>5218</v>
      </c>
      <c r="AM1920" t="s">
        <v>5219</v>
      </c>
      <c r="AN1920" t="s">
        <v>2290</v>
      </c>
      <c r="AO1920" t="s">
        <v>171</v>
      </c>
      <c r="AP1920" t="s">
        <v>172</v>
      </c>
      <c r="AQ1920" s="5">
        <v>92612</v>
      </c>
      <c r="AR1920" t="s">
        <v>128</v>
      </c>
      <c r="AT1920" s="4">
        <v>19495020873</v>
      </c>
      <c r="AV1920" t="s">
        <v>5220</v>
      </c>
      <c r="AW1920" t="s">
        <v>5221</v>
      </c>
      <c r="AX1920" t="s">
        <v>131</v>
      </c>
      <c r="AY1920" t="s">
        <v>131</v>
      </c>
      <c r="AZ1920" t="s">
        <v>131</v>
      </c>
      <c r="BA1920" t="s">
        <v>131</v>
      </c>
      <c r="BB1920" t="s">
        <v>131</v>
      </c>
      <c r="BC1920" t="s">
        <v>131</v>
      </c>
      <c r="BD1920" t="s">
        <v>131</v>
      </c>
      <c r="BE1920" t="s">
        <v>132</v>
      </c>
      <c r="BH1920" t="s">
        <v>542</v>
      </c>
      <c r="BI1920" t="s">
        <v>131</v>
      </c>
      <c r="BL1920" t="s">
        <v>188</v>
      </c>
      <c r="BN1920" t="s">
        <v>18970</v>
      </c>
      <c r="BO1920" t="s">
        <v>131</v>
      </c>
      <c r="BP1920" t="s">
        <v>134</v>
      </c>
      <c r="BQ1920" t="s">
        <v>131</v>
      </c>
      <c r="BS1920" t="str">
        <f t="shared" si="111"/>
        <v>N/A</v>
      </c>
      <c r="BT1920" t="s">
        <v>131</v>
      </c>
      <c r="BV1920" t="str">
        <f>""</f>
        <v/>
      </c>
      <c r="BW1920" t="s">
        <v>135</v>
      </c>
      <c r="BX1920" t="str">
        <f>""</f>
        <v/>
      </c>
      <c r="BY1920" t="str">
        <f>""</f>
        <v/>
      </c>
      <c r="BZ1920" t="str">
        <f>""</f>
        <v/>
      </c>
      <c r="CA1920" s="2" t="s">
        <v>18971</v>
      </c>
      <c r="CB1920" t="s">
        <v>131</v>
      </c>
      <c r="CF1920" t="s">
        <v>131</v>
      </c>
      <c r="CH1920" t="str">
        <f>""</f>
        <v/>
      </c>
      <c r="CI1920" t="s">
        <v>131</v>
      </c>
      <c r="CK1920" t="s">
        <v>131</v>
      </c>
      <c r="CL1920" t="str">
        <f>""</f>
        <v/>
      </c>
      <c r="CM1920" t="str">
        <f>""</f>
        <v/>
      </c>
      <c r="CN1920" t="str">
        <f>""</f>
        <v/>
      </c>
      <c r="CO1920" t="str">
        <f>""</f>
        <v/>
      </c>
      <c r="CP1920" t="str">
        <f>"15-1133.00"</f>
        <v>15-1133.00</v>
      </c>
      <c r="CQ1920" t="s">
        <v>648</v>
      </c>
      <c r="CR1920" t="s">
        <v>3274</v>
      </c>
      <c r="CS1920" t="s">
        <v>131</v>
      </c>
      <c r="CU1920" t="s">
        <v>5216</v>
      </c>
      <c r="CW1920" t="s">
        <v>709</v>
      </c>
      <c r="CX1920" t="s">
        <v>172</v>
      </c>
      <c r="CZ1920" s="3" t="str">
        <f>"94043"</f>
        <v>94043</v>
      </c>
      <c r="DA1920" t="s">
        <v>131</v>
      </c>
      <c r="DB1920" t="str">
        <f>""</f>
        <v/>
      </c>
      <c r="DF1920" t="str">
        <f>""</f>
        <v/>
      </c>
    </row>
    <row r="1921" spans="1:110" ht="15" customHeight="1" x14ac:dyDescent="0.35">
      <c r="A1921" t="s">
        <v>14125</v>
      </c>
      <c r="B1921" t="s">
        <v>138</v>
      </c>
      <c r="C1921" s="1">
        <v>44357</v>
      </c>
      <c r="G1921" s="1">
        <v>44357</v>
      </c>
      <c r="H1921" t="s">
        <v>125</v>
      </c>
      <c r="I1921" t="s">
        <v>14126</v>
      </c>
      <c r="J1921" t="s">
        <v>7284</v>
      </c>
      <c r="L1921" t="s">
        <v>3206</v>
      </c>
      <c r="M1921" t="s">
        <v>10225</v>
      </c>
      <c r="N1921" t="s">
        <v>14127</v>
      </c>
      <c r="O1921" t="s">
        <v>10224</v>
      </c>
      <c r="P1921" t="s">
        <v>178</v>
      </c>
      <c r="Q1921" s="3">
        <v>91436</v>
      </c>
      <c r="R1921" t="s">
        <v>128</v>
      </c>
      <c r="T1921" s="4">
        <v>18187899000</v>
      </c>
      <c r="V1921" t="s">
        <v>6126</v>
      </c>
      <c r="W1921" t="s">
        <v>10223</v>
      </c>
      <c r="X1921" t="s">
        <v>14128</v>
      </c>
      <c r="Y1921" t="s">
        <v>10225</v>
      </c>
      <c r="Z1921" t="s">
        <v>10226</v>
      </c>
      <c r="AA1921" t="s">
        <v>10224</v>
      </c>
      <c r="AB1921" t="s">
        <v>172</v>
      </c>
      <c r="AC1921" s="3" t="str">
        <f>"91436"</f>
        <v>91436</v>
      </c>
      <c r="AD1921" t="s">
        <v>128</v>
      </c>
      <c r="AF1921" s="4">
        <v>18187899000</v>
      </c>
      <c r="AH1921" t="str">
        <f>"541213"</f>
        <v>541213</v>
      </c>
      <c r="AI1921" t="s">
        <v>130</v>
      </c>
      <c r="AJ1921" t="s">
        <v>6121</v>
      </c>
      <c r="AK1921" t="s">
        <v>6122</v>
      </c>
      <c r="AL1921" t="s">
        <v>6123</v>
      </c>
      <c r="AM1921" t="s">
        <v>6124</v>
      </c>
      <c r="AN1921" t="s">
        <v>5053</v>
      </c>
      <c r="AO1921" t="s">
        <v>6125</v>
      </c>
      <c r="AP1921" t="s">
        <v>172</v>
      </c>
      <c r="AQ1921" s="5">
        <v>91602</v>
      </c>
      <c r="AR1921" t="s">
        <v>128</v>
      </c>
      <c r="AT1921" s="4">
        <v>18187620832</v>
      </c>
      <c r="AV1921" t="s">
        <v>6126</v>
      </c>
      <c r="AW1921" t="s">
        <v>8193</v>
      </c>
      <c r="AX1921" t="s">
        <v>131</v>
      </c>
      <c r="AY1921" t="s">
        <v>131</v>
      </c>
      <c r="AZ1921" t="s">
        <v>131</v>
      </c>
      <c r="BA1921" t="s">
        <v>131</v>
      </c>
      <c r="BB1921" t="s">
        <v>131</v>
      </c>
      <c r="BC1921" t="s">
        <v>131</v>
      </c>
      <c r="BD1921" t="s">
        <v>131</v>
      </c>
      <c r="BE1921" t="s">
        <v>132</v>
      </c>
      <c r="BH1921" t="s">
        <v>14129</v>
      </c>
      <c r="BI1921" t="s">
        <v>131</v>
      </c>
      <c r="BL1921" t="s">
        <v>167</v>
      </c>
      <c r="BO1921" t="s">
        <v>131</v>
      </c>
      <c r="BP1921" t="s">
        <v>134</v>
      </c>
      <c r="BQ1921" t="s">
        <v>131</v>
      </c>
      <c r="BS1921" t="str">
        <f t="shared" si="111"/>
        <v>N/A</v>
      </c>
      <c r="BT1921" t="s">
        <v>135</v>
      </c>
      <c r="BU1921">
        <v>12</v>
      </c>
      <c r="BV1921" t="str">
        <f>"none"</f>
        <v>none</v>
      </c>
      <c r="BW1921" t="s">
        <v>131</v>
      </c>
      <c r="BX1921" t="str">
        <f>""</f>
        <v/>
      </c>
      <c r="BY1921" t="str">
        <f>""</f>
        <v/>
      </c>
      <c r="BZ1921" t="str">
        <f>""</f>
        <v/>
      </c>
      <c r="CA1921" t="str">
        <f>""</f>
        <v/>
      </c>
      <c r="CB1921" t="s">
        <v>131</v>
      </c>
      <c r="CF1921" t="s">
        <v>131</v>
      </c>
      <c r="CH1921" t="str">
        <f>""</f>
        <v/>
      </c>
      <c r="CI1921" t="s">
        <v>131</v>
      </c>
      <c r="CK1921" t="s">
        <v>131</v>
      </c>
      <c r="CL1921" t="str">
        <f>""</f>
        <v/>
      </c>
      <c r="CM1921" t="str">
        <f>""</f>
        <v/>
      </c>
      <c r="CN1921" t="str">
        <f>""</f>
        <v/>
      </c>
      <c r="CO1921" t="str">
        <f>""</f>
        <v/>
      </c>
      <c r="CP1921" t="str">
        <f>"43-3031.00"</f>
        <v>43-3031.00</v>
      </c>
      <c r="CQ1921" t="s">
        <v>1783</v>
      </c>
      <c r="CR1921" t="s">
        <v>3206</v>
      </c>
      <c r="CS1921" t="s">
        <v>131</v>
      </c>
      <c r="CU1921" t="s">
        <v>14130</v>
      </c>
      <c r="CV1921" t="s">
        <v>14127</v>
      </c>
      <c r="CW1921" t="s">
        <v>10224</v>
      </c>
      <c r="CX1921" t="s">
        <v>172</v>
      </c>
      <c r="CZ1921" s="3" t="str">
        <f>"91436"</f>
        <v>91436</v>
      </c>
      <c r="DA1921" t="s">
        <v>131</v>
      </c>
      <c r="DB1921" t="str">
        <f>""</f>
        <v/>
      </c>
      <c r="DF1921" t="str">
        <f>""</f>
        <v/>
      </c>
    </row>
    <row r="1922" spans="1:110" ht="15" customHeight="1" x14ac:dyDescent="0.35">
      <c r="A1922" t="s">
        <v>14226</v>
      </c>
      <c r="B1922" t="s">
        <v>138</v>
      </c>
      <c r="C1922" s="1">
        <v>44357</v>
      </c>
      <c r="G1922" s="1">
        <v>44361</v>
      </c>
      <c r="H1922" t="s">
        <v>125</v>
      </c>
      <c r="I1922" t="s">
        <v>4633</v>
      </c>
      <c r="J1922" t="s">
        <v>1861</v>
      </c>
      <c r="L1922" t="s">
        <v>1599</v>
      </c>
      <c r="M1922" t="s">
        <v>7653</v>
      </c>
      <c r="O1922" t="s">
        <v>1069</v>
      </c>
      <c r="P1922" t="s">
        <v>412</v>
      </c>
      <c r="Q1922" s="3">
        <v>75038</v>
      </c>
      <c r="R1922" t="s">
        <v>128</v>
      </c>
      <c r="T1922" s="4">
        <v>14642822206</v>
      </c>
      <c r="V1922" t="s">
        <v>7654</v>
      </c>
      <c r="W1922" t="s">
        <v>7655</v>
      </c>
      <c r="Y1922" t="s">
        <v>7653</v>
      </c>
      <c r="AA1922" t="s">
        <v>1069</v>
      </c>
      <c r="AB1922" t="s">
        <v>400</v>
      </c>
      <c r="AC1922" s="3" t="str">
        <f>"75038"</f>
        <v>75038</v>
      </c>
      <c r="AD1922" t="s">
        <v>128</v>
      </c>
      <c r="AF1922" s="4">
        <v>14692822001</v>
      </c>
      <c r="AH1922" t="str">
        <f>"6221"</f>
        <v>6221</v>
      </c>
      <c r="AI1922" t="s">
        <v>130</v>
      </c>
      <c r="AJ1922" t="s">
        <v>7656</v>
      </c>
      <c r="AK1922" t="s">
        <v>1468</v>
      </c>
      <c r="AL1922" t="s">
        <v>1254</v>
      </c>
      <c r="AM1922" t="s">
        <v>7657</v>
      </c>
      <c r="AN1922" t="s">
        <v>932</v>
      </c>
      <c r="AO1922" t="s">
        <v>885</v>
      </c>
      <c r="AP1922" t="s">
        <v>400</v>
      </c>
      <c r="AQ1922" s="5">
        <v>77002</v>
      </c>
      <c r="AR1922" t="s">
        <v>128</v>
      </c>
      <c r="AS1922" t="s">
        <v>400</v>
      </c>
      <c r="AT1922" s="4">
        <v>17136555777</v>
      </c>
      <c r="AV1922" t="s">
        <v>7658</v>
      </c>
      <c r="AW1922" t="s">
        <v>976</v>
      </c>
      <c r="AX1922" t="s">
        <v>131</v>
      </c>
      <c r="AY1922" t="s">
        <v>131</v>
      </c>
      <c r="AZ1922" t="s">
        <v>131</v>
      </c>
      <c r="BA1922" t="s">
        <v>131</v>
      </c>
      <c r="BB1922" t="s">
        <v>131</v>
      </c>
      <c r="BC1922" t="s">
        <v>131</v>
      </c>
      <c r="BD1922" t="s">
        <v>131</v>
      </c>
      <c r="BE1922" t="s">
        <v>132</v>
      </c>
      <c r="BH1922" t="s">
        <v>9720</v>
      </c>
      <c r="BI1922" t="s">
        <v>131</v>
      </c>
      <c r="BL1922" t="s">
        <v>188</v>
      </c>
      <c r="BN1922" t="s">
        <v>9721</v>
      </c>
      <c r="BO1922" t="s">
        <v>131</v>
      </c>
      <c r="BP1922" t="s">
        <v>134</v>
      </c>
      <c r="BQ1922" t="s">
        <v>131</v>
      </c>
      <c r="BS1922" t="str">
        <f t="shared" si="111"/>
        <v>N/A</v>
      </c>
      <c r="BT1922" t="s">
        <v>135</v>
      </c>
      <c r="BU1922">
        <v>36</v>
      </c>
      <c r="BV1922" t="str">
        <f>"3 years experience in business intelligence development positions "</f>
        <v xml:space="preserve">3 years experience in business intelligence development positions </v>
      </c>
      <c r="BW1922" t="s">
        <v>135</v>
      </c>
      <c r="BX1922" t="str">
        <f>""</f>
        <v/>
      </c>
      <c r="BY1922" t="str">
        <f>""</f>
        <v/>
      </c>
      <c r="BZ1922" t="str">
        <f>""</f>
        <v/>
      </c>
      <c r="CA1922" s="2" t="s">
        <v>14227</v>
      </c>
      <c r="CB1922" t="s">
        <v>131</v>
      </c>
      <c r="CF1922" t="s">
        <v>131</v>
      </c>
      <c r="CH1922" t="str">
        <f>""</f>
        <v/>
      </c>
      <c r="CI1922" t="s">
        <v>131</v>
      </c>
      <c r="CK1922" t="s">
        <v>131</v>
      </c>
      <c r="CL1922" t="str">
        <f>""</f>
        <v/>
      </c>
      <c r="CM1922" t="str">
        <f>""</f>
        <v/>
      </c>
      <c r="CN1922" t="str">
        <f>""</f>
        <v/>
      </c>
      <c r="CO1922" t="str">
        <f>""</f>
        <v/>
      </c>
      <c r="CP1922" t="str">
        <f>"15-1199.08"</f>
        <v>15-1199.08</v>
      </c>
      <c r="CQ1922" t="s">
        <v>265</v>
      </c>
      <c r="CR1922" t="s">
        <v>9342</v>
      </c>
      <c r="CS1922" t="s">
        <v>131</v>
      </c>
      <c r="CU1922" t="s">
        <v>7653</v>
      </c>
      <c r="CW1922" t="s">
        <v>1069</v>
      </c>
      <c r="CX1922" t="s">
        <v>400</v>
      </c>
      <c r="CZ1922" s="3" t="str">
        <f>"75038"</f>
        <v>75038</v>
      </c>
      <c r="DA1922" t="s">
        <v>131</v>
      </c>
      <c r="DB1922" t="str">
        <f>""</f>
        <v/>
      </c>
      <c r="DF1922" t="str">
        <f>""</f>
        <v/>
      </c>
    </row>
    <row r="1923" spans="1:110" ht="15" customHeight="1" x14ac:dyDescent="0.35">
      <c r="A1923" t="s">
        <v>5271</v>
      </c>
      <c r="B1923" t="s">
        <v>138</v>
      </c>
      <c r="C1923" s="1">
        <v>44357</v>
      </c>
      <c r="G1923" s="1">
        <v>44357</v>
      </c>
      <c r="H1923" t="s">
        <v>125</v>
      </c>
      <c r="I1923" t="s">
        <v>293</v>
      </c>
      <c r="J1923" t="s">
        <v>294</v>
      </c>
      <c r="K1923" t="s">
        <v>295</v>
      </c>
      <c r="L1923" t="s">
        <v>296</v>
      </c>
      <c r="M1923" t="s">
        <v>224</v>
      </c>
      <c r="N1923" t="s">
        <v>297</v>
      </c>
      <c r="O1923" t="s">
        <v>228</v>
      </c>
      <c r="P1923" t="s">
        <v>226</v>
      </c>
      <c r="Q1923" s="3">
        <v>46278</v>
      </c>
      <c r="R1923" t="s">
        <v>128</v>
      </c>
      <c r="T1923" s="4">
        <v>13173282866</v>
      </c>
      <c r="V1923" t="s">
        <v>298</v>
      </c>
      <c r="W1923" t="s">
        <v>299</v>
      </c>
      <c r="X1923" t="s">
        <v>300</v>
      </c>
      <c r="Y1923" t="s">
        <v>224</v>
      </c>
      <c r="Z1923" t="s">
        <v>297</v>
      </c>
      <c r="AA1923" t="s">
        <v>228</v>
      </c>
      <c r="AB1923" t="s">
        <v>229</v>
      </c>
      <c r="AC1923" s="3" t="str">
        <f>"46278"</f>
        <v>46278</v>
      </c>
      <c r="AD1923" t="s">
        <v>128</v>
      </c>
      <c r="AF1923" s="4">
        <v>13173282866</v>
      </c>
      <c r="AH1923" t="str">
        <f>"561330"</f>
        <v>561330</v>
      </c>
      <c r="AI1923" t="s">
        <v>167</v>
      </c>
      <c r="AX1923" t="s">
        <v>131</v>
      </c>
      <c r="AY1923" t="s">
        <v>131</v>
      </c>
      <c r="AZ1923" t="s">
        <v>131</v>
      </c>
      <c r="BA1923" t="s">
        <v>131</v>
      </c>
      <c r="BB1923" t="s">
        <v>131</v>
      </c>
      <c r="BC1923" t="s">
        <v>131</v>
      </c>
      <c r="BD1923" t="s">
        <v>131</v>
      </c>
      <c r="BE1923" t="s">
        <v>132</v>
      </c>
      <c r="BH1923" t="s">
        <v>230</v>
      </c>
      <c r="BI1923" t="s">
        <v>131</v>
      </c>
      <c r="BL1923" t="s">
        <v>133</v>
      </c>
      <c r="BN1923" s="2" t="s">
        <v>231</v>
      </c>
      <c r="BO1923" t="s">
        <v>131</v>
      </c>
      <c r="BP1923" t="s">
        <v>134</v>
      </c>
      <c r="BQ1923" t="s">
        <v>131</v>
      </c>
      <c r="BS1923" t="str">
        <f t="shared" si="111"/>
        <v>N/A</v>
      </c>
      <c r="BT1923" t="s">
        <v>131</v>
      </c>
      <c r="BV1923" t="str">
        <f>""</f>
        <v/>
      </c>
      <c r="BW1923" t="s">
        <v>135</v>
      </c>
      <c r="BX1923" t="str">
        <f>"Must be NCLEX passer OR possess State license in the place of employment to practice nursing OR have Visa Screen Certificate
"</f>
        <v xml:space="preserve">Must be NCLEX passer OR possess State license in the place of employment to practice nursing OR have Visa Screen Certificate
</v>
      </c>
      <c r="BY1923" t="str">
        <f>""</f>
        <v/>
      </c>
      <c r="BZ1923" t="str">
        <f>""</f>
        <v/>
      </c>
      <c r="CA1923" t="str">
        <f>""</f>
        <v/>
      </c>
      <c r="CB1923" t="s">
        <v>131</v>
      </c>
      <c r="CF1923" t="s">
        <v>131</v>
      </c>
      <c r="CH1923" t="str">
        <f>""</f>
        <v/>
      </c>
      <c r="CI1923" t="s">
        <v>131</v>
      </c>
      <c r="CK1923" t="s">
        <v>131</v>
      </c>
      <c r="CL1923" t="str">
        <f>""</f>
        <v/>
      </c>
      <c r="CM1923" t="str">
        <f>""</f>
        <v/>
      </c>
      <c r="CN1923" t="str">
        <f>""</f>
        <v/>
      </c>
      <c r="CO1923" t="str">
        <f>""</f>
        <v/>
      </c>
      <c r="CP1923" t="str">
        <f>"29-1141.00"</f>
        <v>29-1141.00</v>
      </c>
      <c r="CQ1923" t="s">
        <v>232</v>
      </c>
      <c r="CR1923" t="s">
        <v>233</v>
      </c>
      <c r="CS1923" t="s">
        <v>131</v>
      </c>
      <c r="CU1923" t="s">
        <v>5272</v>
      </c>
      <c r="CV1923" t="s">
        <v>5273</v>
      </c>
      <c r="CW1923" t="s">
        <v>5274</v>
      </c>
      <c r="CX1923" t="s">
        <v>129</v>
      </c>
      <c r="CZ1923" s="3" t="str">
        <f>"10467"</f>
        <v>10467</v>
      </c>
      <c r="DA1923" t="s">
        <v>131</v>
      </c>
      <c r="DB1923" t="str">
        <f>""</f>
        <v/>
      </c>
      <c r="DF1923" t="str">
        <f>""</f>
        <v/>
      </c>
    </row>
    <row r="1924" spans="1:110" ht="15" customHeight="1" x14ac:dyDescent="0.35">
      <c r="A1924" t="s">
        <v>18628</v>
      </c>
      <c r="B1924" t="s">
        <v>138</v>
      </c>
      <c r="C1924" s="1">
        <v>44357</v>
      </c>
      <c r="G1924" s="1">
        <v>44357</v>
      </c>
      <c r="H1924" t="s">
        <v>125</v>
      </c>
      <c r="I1924" t="s">
        <v>1876</v>
      </c>
      <c r="J1924" t="s">
        <v>5232</v>
      </c>
      <c r="L1924" t="s">
        <v>4130</v>
      </c>
      <c r="M1924" t="s">
        <v>18629</v>
      </c>
      <c r="O1924" t="s">
        <v>16624</v>
      </c>
      <c r="P1924" t="s">
        <v>311</v>
      </c>
      <c r="Q1924" s="3">
        <v>16925</v>
      </c>
      <c r="R1924" t="s">
        <v>128</v>
      </c>
      <c r="T1924" s="4">
        <v>18883763152</v>
      </c>
      <c r="V1924" t="s">
        <v>18630</v>
      </c>
      <c r="W1924" t="s">
        <v>18631</v>
      </c>
      <c r="Y1924" t="s">
        <v>18629</v>
      </c>
      <c r="AA1924" t="s">
        <v>16624</v>
      </c>
      <c r="AB1924" t="s">
        <v>312</v>
      </c>
      <c r="AC1924" s="3" t="str">
        <f>"16925"</f>
        <v>16925</v>
      </c>
      <c r="AD1924" t="s">
        <v>128</v>
      </c>
      <c r="AF1924" s="4">
        <v>18883763152</v>
      </c>
      <c r="AH1924" t="str">
        <f>"311352"</f>
        <v>311352</v>
      </c>
      <c r="AI1924" t="s">
        <v>130</v>
      </c>
      <c r="AJ1924" t="s">
        <v>10298</v>
      </c>
      <c r="AK1924" t="s">
        <v>10299</v>
      </c>
      <c r="AM1924" t="s">
        <v>10300</v>
      </c>
      <c r="AO1924" t="s">
        <v>10297</v>
      </c>
      <c r="AP1924" t="s">
        <v>129</v>
      </c>
      <c r="AQ1924" s="5" t="s">
        <v>10301</v>
      </c>
      <c r="AR1924" t="s">
        <v>128</v>
      </c>
      <c r="AT1924" s="4">
        <v>16072734200</v>
      </c>
      <c r="AV1924" t="s">
        <v>10302</v>
      </c>
      <c r="AW1924" t="s">
        <v>10303</v>
      </c>
      <c r="AX1924" t="s">
        <v>131</v>
      </c>
      <c r="AY1924" t="s">
        <v>131</v>
      </c>
      <c r="AZ1924" t="s">
        <v>131</v>
      </c>
      <c r="BA1924" t="s">
        <v>131</v>
      </c>
      <c r="BB1924" t="s">
        <v>131</v>
      </c>
      <c r="BC1924" t="s">
        <v>131</v>
      </c>
      <c r="BD1924" t="s">
        <v>131</v>
      </c>
      <c r="BE1924" t="s">
        <v>132</v>
      </c>
      <c r="BH1924" t="s">
        <v>18632</v>
      </c>
      <c r="BI1924" t="s">
        <v>131</v>
      </c>
      <c r="BL1924" t="s">
        <v>167</v>
      </c>
      <c r="BO1924" t="s">
        <v>131</v>
      </c>
      <c r="BP1924" t="s">
        <v>134</v>
      </c>
      <c r="BQ1924" t="s">
        <v>131</v>
      </c>
      <c r="BS1924" t="str">
        <f t="shared" si="111"/>
        <v>N/A</v>
      </c>
      <c r="BT1924" t="s">
        <v>135</v>
      </c>
      <c r="BU1924">
        <v>24</v>
      </c>
      <c r="BV1924" t="str">
        <f>"Packaging and sealing bulk food products."</f>
        <v>Packaging and sealing bulk food products.</v>
      </c>
      <c r="BW1924" t="s">
        <v>135</v>
      </c>
      <c r="BX1924" t="str">
        <f>""</f>
        <v/>
      </c>
      <c r="BY1924" t="str">
        <f>""</f>
        <v/>
      </c>
      <c r="BZ1924" t="str">
        <f>""</f>
        <v/>
      </c>
      <c r="CA1924" t="str">
        <f>"Drug test required."</f>
        <v>Drug test required.</v>
      </c>
      <c r="CB1924" t="s">
        <v>131</v>
      </c>
      <c r="CF1924" t="s">
        <v>131</v>
      </c>
      <c r="CH1924" t="str">
        <f>""</f>
        <v/>
      </c>
      <c r="CI1924" t="s">
        <v>131</v>
      </c>
      <c r="CK1924" t="s">
        <v>131</v>
      </c>
      <c r="CL1924" t="str">
        <f>""</f>
        <v/>
      </c>
      <c r="CM1924" t="str">
        <f>""</f>
        <v/>
      </c>
      <c r="CN1924" t="str">
        <f>""</f>
        <v/>
      </c>
      <c r="CO1924" t="str">
        <f>""</f>
        <v/>
      </c>
      <c r="CP1924" t="str">
        <f>"51-3093.00"</f>
        <v>51-3093.00</v>
      </c>
      <c r="CQ1924" t="s">
        <v>15189</v>
      </c>
      <c r="CR1924" t="s">
        <v>4130</v>
      </c>
      <c r="CS1924" t="s">
        <v>131</v>
      </c>
      <c r="CU1924" t="s">
        <v>18629</v>
      </c>
      <c r="CW1924" t="s">
        <v>16624</v>
      </c>
      <c r="CX1924" t="s">
        <v>312</v>
      </c>
      <c r="CZ1924" s="3" t="str">
        <f>"16925"</f>
        <v>16925</v>
      </c>
      <c r="DA1924" t="s">
        <v>131</v>
      </c>
      <c r="DB1924" t="str">
        <f>""</f>
        <v/>
      </c>
      <c r="DF1924" t="str">
        <f>""</f>
        <v/>
      </c>
    </row>
    <row r="1925" spans="1:110" ht="15" customHeight="1" x14ac:dyDescent="0.35">
      <c r="A1925" t="s">
        <v>14560</v>
      </c>
      <c r="B1925" t="s">
        <v>138</v>
      </c>
      <c r="C1925" s="1">
        <v>44357</v>
      </c>
      <c r="G1925" s="1">
        <v>44357</v>
      </c>
      <c r="H1925" t="s">
        <v>125</v>
      </c>
      <c r="I1925" t="s">
        <v>14561</v>
      </c>
      <c r="J1925" t="s">
        <v>11989</v>
      </c>
      <c r="L1925" t="s">
        <v>11990</v>
      </c>
      <c r="M1925" t="s">
        <v>11991</v>
      </c>
      <c r="O1925" t="s">
        <v>928</v>
      </c>
      <c r="P1925" t="s">
        <v>1174</v>
      </c>
      <c r="Q1925" s="3">
        <v>97204</v>
      </c>
      <c r="R1925" t="s">
        <v>128</v>
      </c>
      <c r="T1925" s="4">
        <v>15034642390</v>
      </c>
      <c r="V1925" t="s">
        <v>14562</v>
      </c>
      <c r="W1925" t="s">
        <v>14563</v>
      </c>
      <c r="Y1925" t="s">
        <v>11991</v>
      </c>
      <c r="AA1925" t="s">
        <v>928</v>
      </c>
      <c r="AB1925" t="s">
        <v>1512</v>
      </c>
      <c r="AC1925" s="3" t="str">
        <f>"97204"</f>
        <v>97204</v>
      </c>
      <c r="AD1925" t="s">
        <v>128</v>
      </c>
      <c r="AF1925" s="4">
        <v>15034642390</v>
      </c>
      <c r="AH1925" t="str">
        <f>"22111"</f>
        <v>22111</v>
      </c>
      <c r="AI1925" t="s">
        <v>130</v>
      </c>
      <c r="AJ1925" t="s">
        <v>11992</v>
      </c>
      <c r="AK1925" t="s">
        <v>4811</v>
      </c>
      <c r="AM1925" t="s">
        <v>11993</v>
      </c>
      <c r="AN1925" t="s">
        <v>656</v>
      </c>
      <c r="AO1925" t="s">
        <v>928</v>
      </c>
      <c r="AP1925" t="s">
        <v>1512</v>
      </c>
      <c r="AQ1925" s="5" t="s">
        <v>11994</v>
      </c>
      <c r="AR1925" t="s">
        <v>128</v>
      </c>
      <c r="AT1925" s="4">
        <v>15032268622</v>
      </c>
      <c r="AV1925" t="s">
        <v>11995</v>
      </c>
      <c r="AW1925" t="s">
        <v>11996</v>
      </c>
      <c r="AX1925" t="s">
        <v>131</v>
      </c>
      <c r="AY1925" t="s">
        <v>131</v>
      </c>
      <c r="AZ1925" t="s">
        <v>131</v>
      </c>
      <c r="BA1925" t="s">
        <v>131</v>
      </c>
      <c r="BB1925" t="s">
        <v>131</v>
      </c>
      <c r="BC1925" t="s">
        <v>131</v>
      </c>
      <c r="BD1925" t="s">
        <v>131</v>
      </c>
      <c r="BE1925" t="s">
        <v>132</v>
      </c>
      <c r="BH1925" t="s">
        <v>11997</v>
      </c>
      <c r="BI1925" t="s">
        <v>131</v>
      </c>
      <c r="BL1925" t="s">
        <v>188</v>
      </c>
      <c r="BN1925" t="s">
        <v>2702</v>
      </c>
      <c r="BO1925" t="s">
        <v>131</v>
      </c>
      <c r="BP1925" t="s">
        <v>134</v>
      </c>
      <c r="BQ1925" t="s">
        <v>131</v>
      </c>
      <c r="BS1925" t="str">
        <f t="shared" si="111"/>
        <v>N/A</v>
      </c>
      <c r="BT1925" t="s">
        <v>135</v>
      </c>
      <c r="BU1925">
        <v>24</v>
      </c>
      <c r="BV1925" t="str">
        <f>"Electrical Engineer, Systems Engineer or related "</f>
        <v xml:space="preserve">Electrical Engineer, Systems Engineer or related </v>
      </c>
      <c r="BW1925" t="s">
        <v>135</v>
      </c>
      <c r="BX1925" t="str">
        <f>""</f>
        <v/>
      </c>
      <c r="BY1925" t="str">
        <f>""</f>
        <v/>
      </c>
      <c r="BZ1925" t="str">
        <f>""</f>
        <v/>
      </c>
      <c r="CA1925" t="s">
        <v>11998</v>
      </c>
      <c r="CB1925" t="s">
        <v>131</v>
      </c>
      <c r="CF1925" t="s">
        <v>131</v>
      </c>
      <c r="CH1925" t="str">
        <f>""</f>
        <v/>
      </c>
      <c r="CI1925" t="s">
        <v>131</v>
      </c>
      <c r="CK1925" t="s">
        <v>131</v>
      </c>
      <c r="CL1925" t="str">
        <f>""</f>
        <v/>
      </c>
      <c r="CM1925" t="str">
        <f>""</f>
        <v/>
      </c>
      <c r="CN1925" t="str">
        <f>""</f>
        <v/>
      </c>
      <c r="CO1925" t="str">
        <f>""</f>
        <v/>
      </c>
      <c r="CP1925" t="str">
        <f>"17-2071.00"</f>
        <v>17-2071.00</v>
      </c>
      <c r="CQ1925" t="s">
        <v>649</v>
      </c>
      <c r="CS1925" t="s">
        <v>131</v>
      </c>
      <c r="CU1925" t="s">
        <v>11991</v>
      </c>
      <c r="CW1925" t="s">
        <v>928</v>
      </c>
      <c r="CX1925" t="s">
        <v>1512</v>
      </c>
      <c r="CZ1925" s="3" t="str">
        <f>"97204"</f>
        <v>97204</v>
      </c>
      <c r="DA1925" t="s">
        <v>131</v>
      </c>
      <c r="DB1925" t="str">
        <f>""</f>
        <v/>
      </c>
      <c r="DF1925" t="str">
        <f>""</f>
        <v/>
      </c>
    </row>
    <row r="1926" spans="1:110" ht="15" customHeight="1" x14ac:dyDescent="0.35">
      <c r="A1926" t="s">
        <v>17652</v>
      </c>
      <c r="B1926" t="s">
        <v>138</v>
      </c>
      <c r="C1926" s="1">
        <v>44357</v>
      </c>
      <c r="G1926" s="1">
        <v>44364</v>
      </c>
      <c r="H1926" t="s">
        <v>125</v>
      </c>
      <c r="I1926" t="s">
        <v>17653</v>
      </c>
      <c r="J1926" t="s">
        <v>777</v>
      </c>
      <c r="L1926" t="s">
        <v>2754</v>
      </c>
      <c r="M1926" t="s">
        <v>17654</v>
      </c>
      <c r="O1926" t="s">
        <v>1156</v>
      </c>
      <c r="P1926" t="s">
        <v>487</v>
      </c>
      <c r="Q1926" s="3">
        <v>19711</v>
      </c>
      <c r="R1926" t="s">
        <v>128</v>
      </c>
      <c r="T1926" s="4">
        <v>13023698895</v>
      </c>
      <c r="V1926" t="s">
        <v>17655</v>
      </c>
      <c r="W1926" t="s">
        <v>17656</v>
      </c>
      <c r="Y1926" t="s">
        <v>17654</v>
      </c>
      <c r="AA1926" t="s">
        <v>1156</v>
      </c>
      <c r="AB1926" t="s">
        <v>490</v>
      </c>
      <c r="AC1926" s="3" t="str">
        <f>"19711"</f>
        <v>19711</v>
      </c>
      <c r="AD1926" t="s">
        <v>128</v>
      </c>
      <c r="AF1926" s="4">
        <v>13023698895</v>
      </c>
      <c r="AH1926" t="str">
        <f>"53131"</f>
        <v>53131</v>
      </c>
      <c r="AI1926" t="s">
        <v>130</v>
      </c>
      <c r="AJ1926" t="s">
        <v>4664</v>
      </c>
      <c r="AK1926" t="s">
        <v>4665</v>
      </c>
      <c r="AL1926" t="s">
        <v>1267</v>
      </c>
      <c r="AM1926" t="s">
        <v>4666</v>
      </c>
      <c r="AN1926" t="s">
        <v>3819</v>
      </c>
      <c r="AO1926" t="s">
        <v>4667</v>
      </c>
      <c r="AP1926" t="s">
        <v>312</v>
      </c>
      <c r="AQ1926" s="5">
        <v>19083</v>
      </c>
      <c r="AR1926" t="s">
        <v>128</v>
      </c>
      <c r="AT1926" s="4">
        <v>16104466992</v>
      </c>
      <c r="AV1926" t="s">
        <v>4668</v>
      </c>
      <c r="AW1926" t="s">
        <v>10183</v>
      </c>
      <c r="AX1926" t="s">
        <v>131</v>
      </c>
      <c r="AY1926" t="s">
        <v>131</v>
      </c>
      <c r="AZ1926" t="s">
        <v>131</v>
      </c>
      <c r="BA1926" t="s">
        <v>131</v>
      </c>
      <c r="BB1926" t="s">
        <v>131</v>
      </c>
      <c r="BC1926" t="s">
        <v>131</v>
      </c>
      <c r="BD1926" t="s">
        <v>131</v>
      </c>
      <c r="BE1926" t="s">
        <v>132</v>
      </c>
      <c r="BH1926" t="s">
        <v>793</v>
      </c>
      <c r="BI1926" t="s">
        <v>131</v>
      </c>
      <c r="BL1926" t="s">
        <v>167</v>
      </c>
      <c r="BO1926" t="s">
        <v>131</v>
      </c>
      <c r="BP1926" t="s">
        <v>134</v>
      </c>
      <c r="BQ1926" t="s">
        <v>131</v>
      </c>
      <c r="BS1926" t="str">
        <f t="shared" si="111"/>
        <v>N/A</v>
      </c>
      <c r="BT1926" t="s">
        <v>131</v>
      </c>
      <c r="BV1926" t="str">
        <f>""</f>
        <v/>
      </c>
      <c r="BW1926" t="s">
        <v>131</v>
      </c>
      <c r="BX1926" t="str">
        <f>""</f>
        <v/>
      </c>
      <c r="BY1926" t="str">
        <f>""</f>
        <v/>
      </c>
      <c r="BZ1926" t="str">
        <f>""</f>
        <v/>
      </c>
      <c r="CA1926" t="str">
        <f>""</f>
        <v/>
      </c>
      <c r="CB1926" t="s">
        <v>131</v>
      </c>
      <c r="CF1926" t="s">
        <v>131</v>
      </c>
      <c r="CH1926" t="str">
        <f>""</f>
        <v/>
      </c>
      <c r="CI1926" t="s">
        <v>131</v>
      </c>
      <c r="CK1926" t="s">
        <v>131</v>
      </c>
      <c r="CL1926" t="str">
        <f>""</f>
        <v/>
      </c>
      <c r="CM1926" t="str">
        <f>""</f>
        <v/>
      </c>
      <c r="CN1926" t="str">
        <f>""</f>
        <v/>
      </c>
      <c r="CO1926" t="str">
        <f>""</f>
        <v/>
      </c>
      <c r="CP1926" t="str">
        <f>"37-2011.00"</f>
        <v>37-2011.00</v>
      </c>
      <c r="CQ1926" t="s">
        <v>794</v>
      </c>
      <c r="CS1926" t="s">
        <v>135</v>
      </c>
      <c r="CT1926" t="s">
        <v>17657</v>
      </c>
      <c r="CU1926" t="s">
        <v>17654</v>
      </c>
      <c r="CW1926" t="s">
        <v>1156</v>
      </c>
      <c r="CX1926" t="s">
        <v>490</v>
      </c>
      <c r="CZ1926" s="3" t="str">
        <f>"19711"</f>
        <v>19711</v>
      </c>
      <c r="DA1926" t="s">
        <v>131</v>
      </c>
      <c r="DB1926" t="str">
        <f>""</f>
        <v/>
      </c>
      <c r="DF1926" t="str">
        <f>""</f>
        <v/>
      </c>
    </row>
    <row r="1927" spans="1:110" ht="15" customHeight="1" x14ac:dyDescent="0.35">
      <c r="A1927" t="s">
        <v>16512</v>
      </c>
      <c r="B1927" t="s">
        <v>138</v>
      </c>
      <c r="C1927" s="1">
        <v>44357</v>
      </c>
      <c r="G1927" s="1">
        <v>44358</v>
      </c>
      <c r="H1927" t="s">
        <v>125</v>
      </c>
      <c r="I1927" t="s">
        <v>16513</v>
      </c>
      <c r="J1927" t="s">
        <v>8835</v>
      </c>
      <c r="L1927" t="s">
        <v>460</v>
      </c>
      <c r="M1927" t="s">
        <v>16514</v>
      </c>
      <c r="O1927" t="s">
        <v>1521</v>
      </c>
      <c r="P1927" t="s">
        <v>194</v>
      </c>
      <c r="Q1927" s="3">
        <v>33178</v>
      </c>
      <c r="R1927" t="s">
        <v>128</v>
      </c>
      <c r="T1927" s="4">
        <v>13057184446</v>
      </c>
      <c r="V1927" t="s">
        <v>8837</v>
      </c>
      <c r="W1927" t="s">
        <v>16515</v>
      </c>
      <c r="Y1927" t="s">
        <v>8836</v>
      </c>
      <c r="AA1927" t="s">
        <v>1521</v>
      </c>
      <c r="AB1927" t="s">
        <v>195</v>
      </c>
      <c r="AC1927" s="3" t="str">
        <f>"33178"</f>
        <v>33178</v>
      </c>
      <c r="AD1927" t="s">
        <v>128</v>
      </c>
      <c r="AF1927" s="4">
        <v>13057184446</v>
      </c>
      <c r="AH1927" t="str">
        <f>"483113"</f>
        <v>483113</v>
      </c>
      <c r="AI1927" t="s">
        <v>287</v>
      </c>
      <c r="AJ1927" t="s">
        <v>8019</v>
      </c>
      <c r="AK1927" t="s">
        <v>585</v>
      </c>
      <c r="AL1927" t="s">
        <v>192</v>
      </c>
      <c r="AM1927" t="s">
        <v>8020</v>
      </c>
      <c r="AN1927" t="s">
        <v>8021</v>
      </c>
      <c r="AO1927" t="s">
        <v>584</v>
      </c>
      <c r="AP1927" t="s">
        <v>195</v>
      </c>
      <c r="AQ1927" s="5">
        <v>33172</v>
      </c>
      <c r="AR1927" t="s">
        <v>128</v>
      </c>
      <c r="AT1927" s="4">
        <v>17868063134</v>
      </c>
      <c r="AV1927" t="s">
        <v>8022</v>
      </c>
      <c r="AW1927" t="s">
        <v>8023</v>
      </c>
      <c r="AX1927" t="s">
        <v>131</v>
      </c>
      <c r="AY1927" t="s">
        <v>131</v>
      </c>
      <c r="AZ1927" t="s">
        <v>131</v>
      </c>
      <c r="BA1927" t="s">
        <v>131</v>
      </c>
      <c r="BB1927" t="s">
        <v>131</v>
      </c>
      <c r="BC1927" t="s">
        <v>131</v>
      </c>
      <c r="BD1927" t="s">
        <v>131</v>
      </c>
      <c r="BE1927" t="s">
        <v>132</v>
      </c>
      <c r="BH1927" t="s">
        <v>8838</v>
      </c>
      <c r="BI1927" t="s">
        <v>135</v>
      </c>
      <c r="BJ1927" t="s">
        <v>8839</v>
      </c>
      <c r="BK1927" t="s">
        <v>8840</v>
      </c>
      <c r="BL1927" t="s">
        <v>133</v>
      </c>
      <c r="BN1927" t="s">
        <v>6584</v>
      </c>
      <c r="BO1927" t="s">
        <v>131</v>
      </c>
      <c r="BP1927" t="s">
        <v>134</v>
      </c>
      <c r="BQ1927" t="s">
        <v>131</v>
      </c>
      <c r="BS1927" t="str">
        <f t="shared" si="111"/>
        <v>N/A</v>
      </c>
      <c r="BT1927" t="s">
        <v>135</v>
      </c>
      <c r="BU1927">
        <v>6</v>
      </c>
      <c r="BV1927" t="str">
        <f>"Administrative or Warehouse Supervisor"</f>
        <v>Administrative or Warehouse Supervisor</v>
      </c>
      <c r="BW1927" t="s">
        <v>131</v>
      </c>
      <c r="BX1927" t="str">
        <f>""</f>
        <v/>
      </c>
      <c r="BY1927" t="str">
        <f>""</f>
        <v/>
      </c>
      <c r="BZ1927" t="str">
        <f>""</f>
        <v/>
      </c>
      <c r="CA1927" t="str">
        <f>""</f>
        <v/>
      </c>
      <c r="CB1927" t="s">
        <v>131</v>
      </c>
      <c r="CF1927" t="s">
        <v>131</v>
      </c>
      <c r="CH1927" t="str">
        <f>""</f>
        <v/>
      </c>
      <c r="CI1927" t="s">
        <v>131</v>
      </c>
      <c r="CK1927" t="s">
        <v>131</v>
      </c>
      <c r="CL1927" t="str">
        <f>""</f>
        <v/>
      </c>
      <c r="CM1927" t="str">
        <f>""</f>
        <v/>
      </c>
      <c r="CN1927" t="str">
        <f>""</f>
        <v/>
      </c>
      <c r="CO1927" t="str">
        <f>""</f>
        <v/>
      </c>
      <c r="CP1927" t="str">
        <f>"43-1011.00"</f>
        <v>43-1011.00</v>
      </c>
      <c r="CQ1927" t="s">
        <v>6806</v>
      </c>
      <c r="CR1927" t="s">
        <v>460</v>
      </c>
      <c r="CS1927" t="s">
        <v>131</v>
      </c>
      <c r="CU1927" t="s">
        <v>16514</v>
      </c>
      <c r="CW1927" t="s">
        <v>1521</v>
      </c>
      <c r="CX1927" t="s">
        <v>195</v>
      </c>
      <c r="CZ1927" s="3" t="str">
        <f>"33178"</f>
        <v>33178</v>
      </c>
      <c r="DA1927" t="s">
        <v>131</v>
      </c>
      <c r="DB1927" t="str">
        <f>""</f>
        <v/>
      </c>
      <c r="DF1927" t="str">
        <f>""</f>
        <v/>
      </c>
    </row>
    <row r="1928" spans="1:110" ht="15" customHeight="1" x14ac:dyDescent="0.35">
      <c r="A1928" t="s">
        <v>7157</v>
      </c>
      <c r="B1928" t="s">
        <v>138</v>
      </c>
      <c r="C1928" s="1">
        <v>44357</v>
      </c>
      <c r="G1928" s="1">
        <v>44362</v>
      </c>
      <c r="H1928" t="s">
        <v>125</v>
      </c>
      <c r="I1928" t="s">
        <v>888</v>
      </c>
      <c r="J1928" t="s">
        <v>889</v>
      </c>
      <c r="L1928" t="s">
        <v>890</v>
      </c>
      <c r="M1928" t="s">
        <v>891</v>
      </c>
      <c r="O1928" t="s">
        <v>220</v>
      </c>
      <c r="P1928" t="s">
        <v>178</v>
      </c>
      <c r="Q1928" s="3">
        <v>94105</v>
      </c>
      <c r="R1928" t="s">
        <v>128</v>
      </c>
      <c r="T1928" s="4">
        <v>14154234215</v>
      </c>
      <c r="U1928">
        <v>0</v>
      </c>
      <c r="V1928" t="s">
        <v>892</v>
      </c>
      <c r="W1928" t="s">
        <v>893</v>
      </c>
      <c r="Y1928" t="s">
        <v>891</v>
      </c>
      <c r="AA1928" t="s">
        <v>220</v>
      </c>
      <c r="AB1928" t="s">
        <v>172</v>
      </c>
      <c r="AC1928" s="3" t="str">
        <f>"94105"</f>
        <v>94105</v>
      </c>
      <c r="AD1928" t="s">
        <v>128</v>
      </c>
      <c r="AF1928" s="4">
        <v>14154234215</v>
      </c>
      <c r="AG1928">
        <v>0</v>
      </c>
      <c r="AH1928" t="str">
        <f>"54151"</f>
        <v>54151</v>
      </c>
      <c r="AI1928" t="s">
        <v>287</v>
      </c>
      <c r="AJ1928" t="s">
        <v>894</v>
      </c>
      <c r="AK1928" t="s">
        <v>895</v>
      </c>
      <c r="AL1928" t="s">
        <v>589</v>
      </c>
      <c r="AM1928" t="s">
        <v>897</v>
      </c>
      <c r="AN1928" t="s">
        <v>898</v>
      </c>
      <c r="AO1928" t="s">
        <v>899</v>
      </c>
      <c r="AP1928" t="s">
        <v>306</v>
      </c>
      <c r="AQ1928" s="5">
        <v>22201</v>
      </c>
      <c r="AR1928" t="s">
        <v>128</v>
      </c>
      <c r="AT1928" s="4">
        <v>17036784000</v>
      </c>
      <c r="AV1928" t="s">
        <v>900</v>
      </c>
      <c r="AW1928" t="s">
        <v>692</v>
      </c>
      <c r="AX1928" t="s">
        <v>131</v>
      </c>
      <c r="AY1928" t="s">
        <v>131</v>
      </c>
      <c r="AZ1928" t="s">
        <v>131</v>
      </c>
      <c r="BA1928" t="s">
        <v>131</v>
      </c>
      <c r="BB1928" t="s">
        <v>131</v>
      </c>
      <c r="BC1928" t="s">
        <v>131</v>
      </c>
      <c r="BD1928" t="s">
        <v>131</v>
      </c>
      <c r="BE1928" t="s">
        <v>160</v>
      </c>
      <c r="BF1928" t="s">
        <v>1612</v>
      </c>
      <c r="BG1928" s="1">
        <v>44331</v>
      </c>
      <c r="BH1928" t="s">
        <v>2693</v>
      </c>
      <c r="BI1928" t="s">
        <v>131</v>
      </c>
      <c r="BL1928" t="s">
        <v>188</v>
      </c>
      <c r="BN1928" t="s">
        <v>1984</v>
      </c>
      <c r="BO1928" t="s">
        <v>131</v>
      </c>
      <c r="BP1928" t="s">
        <v>134</v>
      </c>
      <c r="BQ1928" t="s">
        <v>131</v>
      </c>
      <c r="BS1928" t="str">
        <f t="shared" si="111"/>
        <v>N/A</v>
      </c>
      <c r="BT1928" t="s">
        <v>131</v>
      </c>
      <c r="BV1928" t="str">
        <f>""</f>
        <v/>
      </c>
      <c r="BW1928" t="s">
        <v>135</v>
      </c>
      <c r="BX1928" t="str">
        <f>""</f>
        <v/>
      </c>
      <c r="BY1928" t="str">
        <f>""</f>
        <v/>
      </c>
      <c r="BZ1928" t="str">
        <f>""</f>
        <v/>
      </c>
      <c r="CA1928" t="s">
        <v>7158</v>
      </c>
      <c r="CB1928" t="s">
        <v>131</v>
      </c>
      <c r="CF1928" t="s">
        <v>131</v>
      </c>
      <c r="CH1928" t="str">
        <f>""</f>
        <v/>
      </c>
      <c r="CI1928" t="s">
        <v>131</v>
      </c>
      <c r="CK1928" t="s">
        <v>131</v>
      </c>
      <c r="CL1928" t="str">
        <f>""</f>
        <v/>
      </c>
      <c r="CM1928" t="str">
        <f>""</f>
        <v/>
      </c>
      <c r="CN1928" t="str">
        <f>""</f>
        <v/>
      </c>
      <c r="CO1928" t="str">
        <f>""</f>
        <v/>
      </c>
      <c r="CP1928" t="str">
        <f>"15-1111.00"</f>
        <v>15-1111.00</v>
      </c>
      <c r="CQ1928" t="s">
        <v>726</v>
      </c>
      <c r="CR1928" t="s">
        <v>7159</v>
      </c>
      <c r="CS1928" t="s">
        <v>131</v>
      </c>
      <c r="CU1928" t="s">
        <v>891</v>
      </c>
      <c r="CW1928" t="s">
        <v>220</v>
      </c>
      <c r="CX1928" t="s">
        <v>172</v>
      </c>
      <c r="CZ1928" s="3" t="str">
        <f>"94105"</f>
        <v>94105</v>
      </c>
      <c r="DA1928" t="s">
        <v>131</v>
      </c>
      <c r="DB1928" t="str">
        <f>""</f>
        <v/>
      </c>
      <c r="DF1928" t="str">
        <f>""</f>
        <v/>
      </c>
    </row>
    <row r="1929" spans="1:110" ht="15" customHeight="1" x14ac:dyDescent="0.35">
      <c r="A1929" t="s">
        <v>19084</v>
      </c>
      <c r="B1929" t="s">
        <v>138</v>
      </c>
      <c r="C1929" s="1">
        <v>44357</v>
      </c>
      <c r="G1929" s="1">
        <v>44361</v>
      </c>
      <c r="H1929" t="s">
        <v>125</v>
      </c>
      <c r="I1929" t="s">
        <v>19085</v>
      </c>
      <c r="J1929" t="s">
        <v>260</v>
      </c>
      <c r="K1929" t="s">
        <v>4830</v>
      </c>
      <c r="L1929" t="s">
        <v>13270</v>
      </c>
      <c r="M1929" t="s">
        <v>19086</v>
      </c>
      <c r="O1929" t="s">
        <v>523</v>
      </c>
      <c r="P1929" t="s">
        <v>178</v>
      </c>
      <c r="Q1929" s="3">
        <v>94103</v>
      </c>
      <c r="R1929" t="s">
        <v>128</v>
      </c>
      <c r="T1929" s="4">
        <v>14158499493</v>
      </c>
      <c r="V1929" t="s">
        <v>19087</v>
      </c>
      <c r="W1929" t="s">
        <v>19088</v>
      </c>
      <c r="X1929" t="s">
        <v>19089</v>
      </c>
      <c r="Y1929" t="s">
        <v>19086</v>
      </c>
      <c r="AA1929" t="s">
        <v>523</v>
      </c>
      <c r="AB1929" t="s">
        <v>172</v>
      </c>
      <c r="AC1929" s="3" t="str">
        <f>"94103"</f>
        <v>94103</v>
      </c>
      <c r="AD1929" t="s">
        <v>128</v>
      </c>
      <c r="AF1929" s="4">
        <v>14158499493</v>
      </c>
      <c r="AH1929" t="str">
        <f>"446130"</f>
        <v>446130</v>
      </c>
      <c r="AI1929" t="s">
        <v>130</v>
      </c>
      <c r="AJ1929" t="s">
        <v>13777</v>
      </c>
      <c r="AK1929" t="s">
        <v>246</v>
      </c>
      <c r="AL1929" t="s">
        <v>332</v>
      </c>
      <c r="AM1929" t="s">
        <v>13778</v>
      </c>
      <c r="AN1929" t="s">
        <v>15574</v>
      </c>
      <c r="AO1929" t="s">
        <v>2515</v>
      </c>
      <c r="AP1929" t="s">
        <v>172</v>
      </c>
      <c r="AQ1929" s="5">
        <v>92660</v>
      </c>
      <c r="AR1929" t="s">
        <v>128</v>
      </c>
      <c r="AT1929" s="4">
        <v>19497986298</v>
      </c>
      <c r="AV1929" t="s">
        <v>19090</v>
      </c>
      <c r="AW1929" t="s">
        <v>19091</v>
      </c>
      <c r="AX1929" t="s">
        <v>131</v>
      </c>
      <c r="AY1929" t="s">
        <v>131</v>
      </c>
      <c r="AZ1929" t="s">
        <v>131</v>
      </c>
      <c r="BA1929" t="s">
        <v>131</v>
      </c>
      <c r="BB1929" t="s">
        <v>131</v>
      </c>
      <c r="BC1929" t="s">
        <v>131</v>
      </c>
      <c r="BD1929" t="s">
        <v>131</v>
      </c>
      <c r="BE1929" t="s">
        <v>132</v>
      </c>
      <c r="BH1929" t="s">
        <v>19092</v>
      </c>
      <c r="BI1929" t="s">
        <v>131</v>
      </c>
      <c r="BL1929" t="s">
        <v>133</v>
      </c>
      <c r="BN1929" t="s">
        <v>19093</v>
      </c>
      <c r="BO1929" t="s">
        <v>131</v>
      </c>
      <c r="BP1929" t="s">
        <v>134</v>
      </c>
      <c r="BQ1929" t="s">
        <v>131</v>
      </c>
      <c r="BS1929" t="str">
        <f t="shared" si="111"/>
        <v>N/A</v>
      </c>
      <c r="BT1929" t="s">
        <v>135</v>
      </c>
      <c r="BU1929">
        <v>24</v>
      </c>
      <c r="BV1929" t="str">
        <f>"Industrial Engineering with a focus on data integration development "</f>
        <v xml:space="preserve">Industrial Engineering with a focus on data integration development </v>
      </c>
      <c r="BW1929" t="s">
        <v>135</v>
      </c>
      <c r="BX1929" t="str">
        <f>""</f>
        <v/>
      </c>
      <c r="BY1929" t="str">
        <f>""</f>
        <v/>
      </c>
      <c r="BZ1929" t="str">
        <f>""</f>
        <v/>
      </c>
      <c r="CA1929" t="s">
        <v>19094</v>
      </c>
      <c r="CB1929" t="s">
        <v>131</v>
      </c>
      <c r="CF1929" t="s">
        <v>131</v>
      </c>
      <c r="CH1929" t="str">
        <f>""</f>
        <v/>
      </c>
      <c r="CI1929" t="s">
        <v>131</v>
      </c>
      <c r="CK1929" t="s">
        <v>131</v>
      </c>
      <c r="CL1929" t="str">
        <f>""</f>
        <v/>
      </c>
      <c r="CM1929" t="str">
        <f>""</f>
        <v/>
      </c>
      <c r="CN1929" t="str">
        <f>""</f>
        <v/>
      </c>
      <c r="CO1929" t="str">
        <f>""</f>
        <v/>
      </c>
      <c r="CP1929" t="str">
        <f>"15-1199.02"</f>
        <v>15-1199.02</v>
      </c>
      <c r="CQ1929" t="s">
        <v>2269</v>
      </c>
      <c r="CR1929" t="s">
        <v>19095</v>
      </c>
      <c r="CS1929" t="s">
        <v>131</v>
      </c>
      <c r="CU1929" t="s">
        <v>19096</v>
      </c>
      <c r="CW1929" t="s">
        <v>523</v>
      </c>
      <c r="CX1929" t="s">
        <v>172</v>
      </c>
      <c r="CZ1929" s="3" t="str">
        <f>"94103"</f>
        <v>94103</v>
      </c>
      <c r="DA1929" t="s">
        <v>131</v>
      </c>
      <c r="DB1929" t="str">
        <f>""</f>
        <v/>
      </c>
      <c r="DF1929" t="str">
        <f>""</f>
        <v/>
      </c>
    </row>
    <row r="1930" spans="1:110" ht="15" customHeight="1" x14ac:dyDescent="0.35">
      <c r="A1930" t="s">
        <v>13473</v>
      </c>
      <c r="B1930" t="s">
        <v>138</v>
      </c>
      <c r="C1930" s="1">
        <v>44357</v>
      </c>
      <c r="G1930" s="1">
        <v>44363</v>
      </c>
      <c r="H1930" t="s">
        <v>125</v>
      </c>
      <c r="I1930" t="s">
        <v>13474</v>
      </c>
      <c r="J1930" t="s">
        <v>3936</v>
      </c>
      <c r="L1930" t="s">
        <v>1640</v>
      </c>
      <c r="M1930" t="s">
        <v>13475</v>
      </c>
      <c r="O1930" t="s">
        <v>13476</v>
      </c>
      <c r="P1930" t="s">
        <v>539</v>
      </c>
      <c r="Q1930" s="3">
        <v>60093</v>
      </c>
      <c r="R1930" t="s">
        <v>128</v>
      </c>
      <c r="T1930" s="4">
        <v>18476434275</v>
      </c>
      <c r="V1930" t="s">
        <v>13477</v>
      </c>
      <c r="W1930" t="s">
        <v>13478</v>
      </c>
      <c r="Y1930" t="s">
        <v>13475</v>
      </c>
      <c r="AA1930" t="s">
        <v>13476</v>
      </c>
      <c r="AB1930" t="s">
        <v>263</v>
      </c>
      <c r="AC1930" s="3" t="str">
        <f>"60093"</f>
        <v>60093</v>
      </c>
      <c r="AD1930" t="s">
        <v>128</v>
      </c>
      <c r="AF1930" s="4">
        <v>18476434275</v>
      </c>
      <c r="AH1930" t="str">
        <f>"33911"</f>
        <v>33911</v>
      </c>
      <c r="AI1930" t="s">
        <v>130</v>
      </c>
      <c r="AJ1930" t="s">
        <v>1915</v>
      </c>
      <c r="AK1930" t="s">
        <v>522</v>
      </c>
      <c r="AL1930" t="s">
        <v>1916</v>
      </c>
      <c r="AM1930" t="s">
        <v>4879</v>
      </c>
      <c r="AN1930" t="s">
        <v>13479</v>
      </c>
      <c r="AO1930" t="s">
        <v>1200</v>
      </c>
      <c r="AP1930" t="s">
        <v>172</v>
      </c>
      <c r="AQ1930" s="5">
        <v>91301</v>
      </c>
      <c r="AR1930" t="s">
        <v>128</v>
      </c>
      <c r="AT1930" s="4">
        <v>18189146482</v>
      </c>
      <c r="AV1930" t="s">
        <v>1201</v>
      </c>
      <c r="AW1930" t="s">
        <v>1202</v>
      </c>
      <c r="AX1930" t="s">
        <v>131</v>
      </c>
      <c r="AY1930" t="s">
        <v>131</v>
      </c>
      <c r="AZ1930" t="s">
        <v>131</v>
      </c>
      <c r="BA1930" t="s">
        <v>131</v>
      </c>
      <c r="BB1930" t="s">
        <v>131</v>
      </c>
      <c r="BC1930" t="s">
        <v>131</v>
      </c>
      <c r="BD1930" t="s">
        <v>131</v>
      </c>
      <c r="BE1930" t="s">
        <v>132</v>
      </c>
      <c r="BH1930" t="s">
        <v>13480</v>
      </c>
      <c r="BI1930" t="s">
        <v>131</v>
      </c>
      <c r="BL1930" t="s">
        <v>188</v>
      </c>
      <c r="BN1930" t="s">
        <v>2513</v>
      </c>
      <c r="BO1930" t="s">
        <v>131</v>
      </c>
      <c r="BP1930" t="s">
        <v>134</v>
      </c>
      <c r="BQ1930" t="s">
        <v>131</v>
      </c>
      <c r="BS1930" t="str">
        <f t="shared" si="111"/>
        <v>N/A</v>
      </c>
      <c r="BT1930" t="s">
        <v>135</v>
      </c>
      <c r="BU1930">
        <v>36</v>
      </c>
      <c r="BV1930" t="str">
        <f>"See F.a.2."</f>
        <v>See F.a.2.</v>
      </c>
      <c r="BW1930" t="s">
        <v>135</v>
      </c>
      <c r="BX1930" t="str">
        <f>""</f>
        <v/>
      </c>
      <c r="BY1930" t="str">
        <f>""</f>
        <v/>
      </c>
      <c r="BZ1930" t="str">
        <f>""</f>
        <v/>
      </c>
      <c r="CA1930" s="2" t="s">
        <v>13481</v>
      </c>
      <c r="CB1930" t="s">
        <v>135</v>
      </c>
      <c r="CC1930" t="s">
        <v>133</v>
      </c>
      <c r="CE1930" t="s">
        <v>2513</v>
      </c>
      <c r="CF1930" t="s">
        <v>131</v>
      </c>
      <c r="CH1930" t="str">
        <f>"N/A"</f>
        <v>N/A</v>
      </c>
      <c r="CI1930" t="s">
        <v>135</v>
      </c>
      <c r="CJ1930">
        <v>60</v>
      </c>
      <c r="CK1930" t="s">
        <v>135</v>
      </c>
      <c r="CL1930" t="str">
        <f>""</f>
        <v/>
      </c>
      <c r="CM1930" t="str">
        <f>""</f>
        <v/>
      </c>
      <c r="CN1930" t="str">
        <f>""</f>
        <v/>
      </c>
      <c r="CO1930" s="2" t="s">
        <v>13481</v>
      </c>
      <c r="CP1930" t="str">
        <f>"15-1121.00"</f>
        <v>15-1121.00</v>
      </c>
      <c r="CQ1930" t="s">
        <v>283</v>
      </c>
      <c r="CR1930" t="s">
        <v>13482</v>
      </c>
      <c r="CS1930" t="s">
        <v>131</v>
      </c>
      <c r="CU1930" t="s">
        <v>13483</v>
      </c>
      <c r="CW1930" t="s">
        <v>13484</v>
      </c>
      <c r="CX1930" t="s">
        <v>263</v>
      </c>
      <c r="CZ1930" s="3" t="str">
        <f>"60060"</f>
        <v>60060</v>
      </c>
      <c r="DA1930" t="s">
        <v>131</v>
      </c>
      <c r="DB1930" t="str">
        <f>""</f>
        <v/>
      </c>
      <c r="DF1930" t="str">
        <f>""</f>
        <v/>
      </c>
    </row>
    <row r="1931" spans="1:110" ht="15" customHeight="1" x14ac:dyDescent="0.35">
      <c r="A1931" t="s">
        <v>18994</v>
      </c>
      <c r="B1931" t="s">
        <v>138</v>
      </c>
      <c r="C1931" s="1">
        <v>44357</v>
      </c>
      <c r="G1931" s="1">
        <v>44364</v>
      </c>
      <c r="H1931" t="s">
        <v>125</v>
      </c>
      <c r="I1931" t="s">
        <v>12207</v>
      </c>
      <c r="J1931" t="s">
        <v>901</v>
      </c>
      <c r="L1931" t="s">
        <v>12208</v>
      </c>
      <c r="M1931" t="s">
        <v>18995</v>
      </c>
      <c r="N1931" t="s">
        <v>240</v>
      </c>
      <c r="O1931" t="s">
        <v>399</v>
      </c>
      <c r="P1931" t="s">
        <v>412</v>
      </c>
      <c r="Q1931" s="3">
        <v>75201</v>
      </c>
      <c r="R1931" t="s">
        <v>128</v>
      </c>
      <c r="T1931" s="4">
        <v>12148406764</v>
      </c>
      <c r="V1931" t="s">
        <v>12210</v>
      </c>
      <c r="W1931" t="s">
        <v>12211</v>
      </c>
      <c r="Y1931" t="s">
        <v>12209</v>
      </c>
      <c r="Z1931" t="s">
        <v>240</v>
      </c>
      <c r="AA1931" t="s">
        <v>399</v>
      </c>
      <c r="AB1931" t="s">
        <v>400</v>
      </c>
      <c r="AC1931" s="3" t="str">
        <f>"75201"</f>
        <v>75201</v>
      </c>
      <c r="AD1931" t="s">
        <v>128</v>
      </c>
      <c r="AF1931" s="4">
        <v>12148406764</v>
      </c>
      <c r="AH1931" t="str">
        <f>"54121"</f>
        <v>54121</v>
      </c>
      <c r="AI1931" t="s">
        <v>130</v>
      </c>
      <c r="AJ1931" t="s">
        <v>533</v>
      </c>
      <c r="AK1931" t="s">
        <v>9309</v>
      </c>
      <c r="AL1931" t="s">
        <v>1702</v>
      </c>
      <c r="AM1931" t="s">
        <v>9310</v>
      </c>
      <c r="AN1931" t="s">
        <v>1902</v>
      </c>
      <c r="AO1931" t="s">
        <v>214</v>
      </c>
      <c r="AQ1931" s="5" t="s">
        <v>9311</v>
      </c>
      <c r="AR1931" t="s">
        <v>156</v>
      </c>
      <c r="AS1931" t="s">
        <v>216</v>
      </c>
      <c r="AT1931" s="4">
        <v>14167778500</v>
      </c>
      <c r="AV1931" t="s">
        <v>9312</v>
      </c>
      <c r="AW1931" t="s">
        <v>9313</v>
      </c>
      <c r="AX1931" t="s">
        <v>131</v>
      </c>
      <c r="AY1931" t="s">
        <v>131</v>
      </c>
      <c r="AZ1931" t="s">
        <v>131</v>
      </c>
      <c r="BA1931" t="s">
        <v>131</v>
      </c>
      <c r="BB1931" t="s">
        <v>131</v>
      </c>
      <c r="BC1931" t="s">
        <v>131</v>
      </c>
      <c r="BD1931" t="s">
        <v>131</v>
      </c>
      <c r="BE1931" t="s">
        <v>132</v>
      </c>
      <c r="BH1931" t="s">
        <v>13515</v>
      </c>
      <c r="BI1931" t="s">
        <v>131</v>
      </c>
      <c r="BL1931" t="s">
        <v>188</v>
      </c>
      <c r="BN1931" t="s">
        <v>13516</v>
      </c>
      <c r="BO1931" t="s">
        <v>131</v>
      </c>
      <c r="BP1931" t="s">
        <v>134</v>
      </c>
      <c r="BQ1931" t="s">
        <v>131</v>
      </c>
      <c r="BS1931" t="str">
        <f t="shared" si="111"/>
        <v>N/A</v>
      </c>
      <c r="BT1931" t="s">
        <v>135</v>
      </c>
      <c r="BU1931">
        <v>24</v>
      </c>
      <c r="BV1931" t="str">
        <f>"Accountants &amp; Auditors - related "</f>
        <v xml:space="preserve">Accountants &amp; Auditors - related </v>
      </c>
      <c r="BW1931" t="s">
        <v>135</v>
      </c>
      <c r="BX1931" t="str">
        <f>"Must have an active North Carolina CPA license.  "</f>
        <v xml:space="preserve">Must have an active North Carolina CPA license.  </v>
      </c>
      <c r="BY1931" t="str">
        <f>""</f>
        <v/>
      </c>
      <c r="BZ1931" t="str">
        <f>""</f>
        <v/>
      </c>
      <c r="CA1931" t="s">
        <v>13517</v>
      </c>
      <c r="CB1931" t="s">
        <v>135</v>
      </c>
      <c r="CC1931" t="s">
        <v>133</v>
      </c>
      <c r="CE1931" t="s">
        <v>13516</v>
      </c>
      <c r="CF1931" t="s">
        <v>131</v>
      </c>
      <c r="CH1931" t="str">
        <f>"N/A"</f>
        <v>N/A</v>
      </c>
      <c r="CI1931" t="s">
        <v>135</v>
      </c>
      <c r="CJ1931">
        <v>60</v>
      </c>
      <c r="CK1931" t="s">
        <v>135</v>
      </c>
      <c r="CL1931" t="str">
        <f>""</f>
        <v/>
      </c>
      <c r="CM1931" t="str">
        <f>""</f>
        <v/>
      </c>
      <c r="CN1931" t="str">
        <f>""</f>
        <v/>
      </c>
      <c r="CO1931" t="s">
        <v>13517</v>
      </c>
      <c r="CP1931" t="str">
        <f>"13-2011.00"</f>
        <v>13-2011.00</v>
      </c>
      <c r="CQ1931" t="s">
        <v>672</v>
      </c>
      <c r="CS1931" t="s">
        <v>131</v>
      </c>
      <c r="CU1931" t="s">
        <v>12911</v>
      </c>
      <c r="CW1931" t="s">
        <v>600</v>
      </c>
      <c r="CX1931" t="s">
        <v>594</v>
      </c>
      <c r="CZ1931" s="3" t="str">
        <f>"28202"</f>
        <v>28202</v>
      </c>
      <c r="DA1931" t="s">
        <v>131</v>
      </c>
      <c r="DB1931" t="str">
        <f>""</f>
        <v/>
      </c>
      <c r="DF1931" t="str">
        <f>""</f>
        <v/>
      </c>
    </row>
    <row r="1932" spans="1:110" ht="15" customHeight="1" x14ac:dyDescent="0.35">
      <c r="A1932" t="s">
        <v>19374</v>
      </c>
      <c r="B1932" t="s">
        <v>138</v>
      </c>
      <c r="C1932" s="1">
        <v>44357</v>
      </c>
      <c r="G1932" s="1">
        <v>44363</v>
      </c>
      <c r="H1932" t="s">
        <v>125</v>
      </c>
      <c r="I1932" t="s">
        <v>19375</v>
      </c>
      <c r="J1932" t="s">
        <v>3936</v>
      </c>
      <c r="L1932" t="s">
        <v>1640</v>
      </c>
      <c r="M1932" t="s">
        <v>13475</v>
      </c>
      <c r="O1932" t="s">
        <v>13476</v>
      </c>
      <c r="P1932" t="s">
        <v>539</v>
      </c>
      <c r="Q1932" s="3">
        <v>60093</v>
      </c>
      <c r="R1932" t="s">
        <v>128</v>
      </c>
      <c r="T1932" s="4">
        <v>18476434275</v>
      </c>
      <c r="V1932" t="s">
        <v>13477</v>
      </c>
      <c r="W1932" t="s">
        <v>16914</v>
      </c>
      <c r="Y1932" t="s">
        <v>13475</v>
      </c>
      <c r="AA1932" t="s">
        <v>13476</v>
      </c>
      <c r="AB1932" t="s">
        <v>263</v>
      </c>
      <c r="AC1932" s="3" t="str">
        <f>"60093"</f>
        <v>60093</v>
      </c>
      <c r="AD1932" t="s">
        <v>128</v>
      </c>
      <c r="AF1932" s="4">
        <v>18476434275</v>
      </c>
      <c r="AH1932" t="str">
        <f>"33911"</f>
        <v>33911</v>
      </c>
      <c r="AI1932" t="s">
        <v>130</v>
      </c>
      <c r="AJ1932" t="s">
        <v>1915</v>
      </c>
      <c r="AK1932" t="s">
        <v>522</v>
      </c>
      <c r="AL1932" t="s">
        <v>3130</v>
      </c>
      <c r="AM1932" t="s">
        <v>4879</v>
      </c>
      <c r="AN1932" t="s">
        <v>13479</v>
      </c>
      <c r="AO1932" t="s">
        <v>4813</v>
      </c>
      <c r="AP1932" t="s">
        <v>172</v>
      </c>
      <c r="AQ1932" s="5">
        <v>91301</v>
      </c>
      <c r="AR1932" t="s">
        <v>128</v>
      </c>
      <c r="AT1932" s="4">
        <v>18189146482</v>
      </c>
      <c r="AV1932" t="s">
        <v>1201</v>
      </c>
      <c r="AW1932" t="s">
        <v>1202</v>
      </c>
      <c r="AX1932" t="s">
        <v>131</v>
      </c>
      <c r="AY1932" t="s">
        <v>131</v>
      </c>
      <c r="AZ1932" t="s">
        <v>131</v>
      </c>
      <c r="BA1932" t="s">
        <v>131</v>
      </c>
      <c r="BB1932" t="s">
        <v>131</v>
      </c>
      <c r="BC1932" t="s">
        <v>131</v>
      </c>
      <c r="BD1932" t="s">
        <v>131</v>
      </c>
      <c r="BE1932" t="s">
        <v>132</v>
      </c>
      <c r="BH1932" t="s">
        <v>19376</v>
      </c>
      <c r="BI1932" t="s">
        <v>131</v>
      </c>
      <c r="BL1932" t="s">
        <v>188</v>
      </c>
      <c r="BN1932" t="s">
        <v>2513</v>
      </c>
      <c r="BO1932" t="s">
        <v>131</v>
      </c>
      <c r="BP1932" t="s">
        <v>134</v>
      </c>
      <c r="BQ1932" t="s">
        <v>131</v>
      </c>
      <c r="BS1932" t="str">
        <f t="shared" si="111"/>
        <v>N/A</v>
      </c>
      <c r="BT1932" t="s">
        <v>135</v>
      </c>
      <c r="BU1932">
        <v>36</v>
      </c>
      <c r="BV1932" t="str">
        <f>"See F.a.2."</f>
        <v>See F.a.2.</v>
      </c>
      <c r="BW1932" t="s">
        <v>135</v>
      </c>
      <c r="BX1932" t="str">
        <f>""</f>
        <v/>
      </c>
      <c r="BY1932" t="str">
        <f>""</f>
        <v/>
      </c>
      <c r="BZ1932" t="str">
        <f>""</f>
        <v/>
      </c>
      <c r="CA1932" s="2" t="s">
        <v>19377</v>
      </c>
      <c r="CB1932" t="s">
        <v>135</v>
      </c>
      <c r="CC1932" t="s">
        <v>133</v>
      </c>
      <c r="CE1932" t="s">
        <v>2513</v>
      </c>
      <c r="CF1932" t="s">
        <v>131</v>
      </c>
      <c r="CH1932" t="str">
        <f>"N/A"</f>
        <v>N/A</v>
      </c>
      <c r="CI1932" t="s">
        <v>135</v>
      </c>
      <c r="CJ1932">
        <v>60</v>
      </c>
      <c r="CK1932" t="s">
        <v>135</v>
      </c>
      <c r="CL1932" t="str">
        <f>""</f>
        <v/>
      </c>
      <c r="CM1932" t="str">
        <f>""</f>
        <v/>
      </c>
      <c r="CN1932" t="str">
        <f>""</f>
        <v/>
      </c>
      <c r="CO1932" s="2" t="s">
        <v>19377</v>
      </c>
      <c r="CP1932" t="str">
        <f>"15-1122.00"</f>
        <v>15-1122.00</v>
      </c>
      <c r="CQ1932" t="s">
        <v>711</v>
      </c>
      <c r="CR1932" t="s">
        <v>19378</v>
      </c>
      <c r="CS1932" t="s">
        <v>131</v>
      </c>
      <c r="CU1932" t="s">
        <v>13483</v>
      </c>
      <c r="CW1932" t="s">
        <v>13484</v>
      </c>
      <c r="CX1932" t="s">
        <v>263</v>
      </c>
      <c r="CZ1932" s="3" t="str">
        <f>"60060"</f>
        <v>60060</v>
      </c>
      <c r="DA1932" t="s">
        <v>131</v>
      </c>
      <c r="DB1932" t="str">
        <f>""</f>
        <v/>
      </c>
      <c r="DF1932" t="str">
        <f>""</f>
        <v/>
      </c>
    </row>
    <row r="1933" spans="1:110" ht="15" customHeight="1" x14ac:dyDescent="0.35">
      <c r="A1933" t="s">
        <v>13864</v>
      </c>
      <c r="B1933" t="s">
        <v>138</v>
      </c>
      <c r="C1933" s="1">
        <v>44357</v>
      </c>
      <c r="G1933" s="1">
        <v>44361</v>
      </c>
      <c r="H1933" t="s">
        <v>125</v>
      </c>
      <c r="I1933" t="s">
        <v>8706</v>
      </c>
      <c r="J1933" t="s">
        <v>8707</v>
      </c>
      <c r="L1933" t="s">
        <v>8708</v>
      </c>
      <c r="M1933" t="s">
        <v>13865</v>
      </c>
      <c r="N1933" t="s">
        <v>13866</v>
      </c>
      <c r="O1933" t="s">
        <v>634</v>
      </c>
      <c r="P1933" t="s">
        <v>412</v>
      </c>
      <c r="Q1933" s="3">
        <v>76262</v>
      </c>
      <c r="R1933" t="s">
        <v>128</v>
      </c>
      <c r="T1933" s="4">
        <v>18179612100</v>
      </c>
      <c r="V1933" t="s">
        <v>8711</v>
      </c>
      <c r="W1933" t="s">
        <v>8712</v>
      </c>
      <c r="Y1933" t="s">
        <v>8709</v>
      </c>
      <c r="Z1933" t="s">
        <v>8710</v>
      </c>
      <c r="AA1933" t="s">
        <v>634</v>
      </c>
      <c r="AB1933" t="s">
        <v>400</v>
      </c>
      <c r="AC1933" s="3" t="str">
        <f>"76262"</f>
        <v>76262</v>
      </c>
      <c r="AD1933" t="s">
        <v>128</v>
      </c>
      <c r="AF1933" s="4">
        <v>18179612100</v>
      </c>
      <c r="AH1933" t="str">
        <f>"541511"</f>
        <v>541511</v>
      </c>
      <c r="AI1933" t="s">
        <v>130</v>
      </c>
      <c r="AJ1933" t="s">
        <v>8713</v>
      </c>
      <c r="AK1933" t="s">
        <v>1601</v>
      </c>
      <c r="AL1933" t="s">
        <v>1059</v>
      </c>
      <c r="AM1933" t="s">
        <v>8714</v>
      </c>
      <c r="AN1933" t="s">
        <v>1980</v>
      </c>
      <c r="AO1933" t="s">
        <v>791</v>
      </c>
      <c r="AP1933" t="s">
        <v>172</v>
      </c>
      <c r="AQ1933" s="5">
        <v>92108</v>
      </c>
      <c r="AR1933" t="s">
        <v>128</v>
      </c>
      <c r="AT1933" s="4">
        <v>16192999600</v>
      </c>
      <c r="AV1933" t="s">
        <v>8715</v>
      </c>
      <c r="AW1933" t="s">
        <v>8716</v>
      </c>
      <c r="AX1933" t="s">
        <v>131</v>
      </c>
      <c r="AY1933" t="s">
        <v>131</v>
      </c>
      <c r="AZ1933" t="s">
        <v>131</v>
      </c>
      <c r="BA1933" t="s">
        <v>131</v>
      </c>
      <c r="BB1933" t="s">
        <v>131</v>
      </c>
      <c r="BC1933" t="s">
        <v>131</v>
      </c>
      <c r="BD1933" t="s">
        <v>131</v>
      </c>
      <c r="BE1933" t="s">
        <v>132</v>
      </c>
      <c r="BH1933" t="s">
        <v>8131</v>
      </c>
      <c r="BI1933" t="s">
        <v>131</v>
      </c>
      <c r="BL1933" t="s">
        <v>133</v>
      </c>
      <c r="BN1933" t="s">
        <v>8717</v>
      </c>
      <c r="BO1933" t="s">
        <v>131</v>
      </c>
      <c r="BP1933" t="s">
        <v>134</v>
      </c>
      <c r="BQ1933" t="s">
        <v>131</v>
      </c>
      <c r="BS1933" t="str">
        <f t="shared" si="111"/>
        <v>N/A</v>
      </c>
      <c r="BT1933" t="s">
        <v>135</v>
      </c>
      <c r="BU1933">
        <v>36</v>
      </c>
      <c r="BV1933" t="str">
        <f>"Business Systems Analyst or any role in software development."</f>
        <v>Business Systems Analyst or any role in software development.</v>
      </c>
      <c r="BW1933" t="s">
        <v>135</v>
      </c>
      <c r="BX1933" t="str">
        <f>""</f>
        <v/>
      </c>
      <c r="BY1933" t="str">
        <f>""</f>
        <v/>
      </c>
      <c r="BZ1933" t="str">
        <f>""</f>
        <v/>
      </c>
      <c r="CA1933" t="s">
        <v>8718</v>
      </c>
      <c r="CB1933" t="s">
        <v>131</v>
      </c>
      <c r="CF1933" t="s">
        <v>131</v>
      </c>
      <c r="CH1933" t="str">
        <f>""</f>
        <v/>
      </c>
      <c r="CI1933" t="s">
        <v>131</v>
      </c>
      <c r="CK1933" t="s">
        <v>131</v>
      </c>
      <c r="CL1933" t="str">
        <f>""</f>
        <v/>
      </c>
      <c r="CM1933" t="str">
        <f>""</f>
        <v/>
      </c>
      <c r="CN1933" t="str">
        <f>""</f>
        <v/>
      </c>
      <c r="CO1933" t="str">
        <f>""</f>
        <v/>
      </c>
      <c r="CP1933" t="str">
        <f>"15-1199.08"</f>
        <v>15-1199.08</v>
      </c>
      <c r="CQ1933" t="s">
        <v>265</v>
      </c>
      <c r="CS1933" t="s">
        <v>131</v>
      </c>
      <c r="CU1933" t="s">
        <v>13867</v>
      </c>
      <c r="CW1933" t="s">
        <v>1280</v>
      </c>
      <c r="CX1933" t="s">
        <v>172</v>
      </c>
      <c r="CZ1933" s="3" t="str">
        <f>"92078"</f>
        <v>92078</v>
      </c>
      <c r="DA1933" t="s">
        <v>131</v>
      </c>
      <c r="DB1933" t="str">
        <f>""</f>
        <v/>
      </c>
      <c r="DF1933" t="str">
        <f>""</f>
        <v/>
      </c>
    </row>
    <row r="1934" spans="1:110" ht="15" customHeight="1" x14ac:dyDescent="0.35">
      <c r="A1934" t="s">
        <v>14929</v>
      </c>
      <c r="B1934" t="s">
        <v>138</v>
      </c>
      <c r="C1934" s="1">
        <v>44357</v>
      </c>
      <c r="G1934" s="1">
        <v>44370</v>
      </c>
      <c r="H1934" t="s">
        <v>125</v>
      </c>
      <c r="I1934" t="s">
        <v>14930</v>
      </c>
      <c r="J1934" t="s">
        <v>11137</v>
      </c>
      <c r="L1934" t="s">
        <v>5122</v>
      </c>
      <c r="M1934" t="s">
        <v>14931</v>
      </c>
      <c r="O1934" t="s">
        <v>7809</v>
      </c>
      <c r="P1934" t="s">
        <v>178</v>
      </c>
      <c r="Q1934" s="3">
        <v>90004</v>
      </c>
      <c r="R1934" t="s">
        <v>128</v>
      </c>
      <c r="T1934" s="4">
        <v>12139091264</v>
      </c>
      <c r="V1934" t="s">
        <v>14932</v>
      </c>
      <c r="W1934" t="s">
        <v>14933</v>
      </c>
      <c r="X1934" t="s">
        <v>14934</v>
      </c>
      <c r="Y1934" t="s">
        <v>14931</v>
      </c>
      <c r="AA1934" t="s">
        <v>7809</v>
      </c>
      <c r="AB1934" t="s">
        <v>172</v>
      </c>
      <c r="AC1934" s="3" t="str">
        <f>"90004"</f>
        <v>90004</v>
      </c>
      <c r="AD1934" t="s">
        <v>128</v>
      </c>
      <c r="AF1934" s="4">
        <v>12139091264</v>
      </c>
      <c r="AH1934" t="str">
        <f>"722511"</f>
        <v>722511</v>
      </c>
      <c r="AI1934" t="s">
        <v>130</v>
      </c>
      <c r="AJ1934" t="s">
        <v>14935</v>
      </c>
      <c r="AK1934" t="s">
        <v>14936</v>
      </c>
      <c r="AL1934" t="s">
        <v>3975</v>
      </c>
      <c r="AM1934" t="s">
        <v>14937</v>
      </c>
      <c r="AN1934" t="s">
        <v>10456</v>
      </c>
      <c r="AO1934" t="s">
        <v>13061</v>
      </c>
      <c r="AP1934" t="s">
        <v>172</v>
      </c>
      <c r="AQ1934" s="5">
        <v>92705</v>
      </c>
      <c r="AR1934" t="s">
        <v>128</v>
      </c>
      <c r="AT1934" s="4">
        <v>17149722530</v>
      </c>
      <c r="AV1934" t="s">
        <v>13062</v>
      </c>
      <c r="AW1934" t="s">
        <v>13225</v>
      </c>
      <c r="AX1934" t="s">
        <v>131</v>
      </c>
      <c r="AY1934" t="s">
        <v>131</v>
      </c>
      <c r="AZ1934" t="s">
        <v>131</v>
      </c>
      <c r="BA1934" t="s">
        <v>131</v>
      </c>
      <c r="BB1934" t="s">
        <v>131</v>
      </c>
      <c r="BC1934" t="s">
        <v>131</v>
      </c>
      <c r="BD1934" t="s">
        <v>131</v>
      </c>
      <c r="BE1934" t="s">
        <v>498</v>
      </c>
      <c r="BH1934" t="s">
        <v>9870</v>
      </c>
      <c r="BI1934" t="s">
        <v>131</v>
      </c>
      <c r="BL1934" t="s">
        <v>167</v>
      </c>
      <c r="BO1934" t="s">
        <v>131</v>
      </c>
      <c r="BP1934" t="s">
        <v>134</v>
      </c>
      <c r="BQ1934" t="s">
        <v>131</v>
      </c>
      <c r="BS1934" t="str">
        <f t="shared" si="111"/>
        <v>N/A</v>
      </c>
      <c r="BT1934" t="s">
        <v>131</v>
      </c>
      <c r="BV1934" t="str">
        <f>""</f>
        <v/>
      </c>
      <c r="BW1934" t="s">
        <v>131</v>
      </c>
      <c r="BX1934" t="str">
        <f>""</f>
        <v/>
      </c>
      <c r="BY1934" t="str">
        <f>""</f>
        <v/>
      </c>
      <c r="BZ1934" t="str">
        <f>""</f>
        <v/>
      </c>
      <c r="CA1934" t="str">
        <f>""</f>
        <v/>
      </c>
      <c r="CB1934" t="s">
        <v>131</v>
      </c>
      <c r="CF1934" t="s">
        <v>131</v>
      </c>
      <c r="CH1934" t="str">
        <f>""</f>
        <v/>
      </c>
      <c r="CI1934" t="s">
        <v>131</v>
      </c>
      <c r="CK1934" t="s">
        <v>131</v>
      </c>
      <c r="CL1934" t="str">
        <f>""</f>
        <v/>
      </c>
      <c r="CM1934" t="str">
        <f>""</f>
        <v/>
      </c>
      <c r="CN1934" t="str">
        <f>""</f>
        <v/>
      </c>
      <c r="CO1934" t="str">
        <f>""</f>
        <v/>
      </c>
      <c r="CP1934" t="str">
        <f>"43-3031.00"</f>
        <v>43-3031.00</v>
      </c>
      <c r="CQ1934" t="s">
        <v>1783</v>
      </c>
      <c r="CR1934" t="s">
        <v>392</v>
      </c>
      <c r="CS1934" t="s">
        <v>131</v>
      </c>
      <c r="CU1934" t="s">
        <v>14938</v>
      </c>
      <c r="CW1934" t="s">
        <v>7809</v>
      </c>
      <c r="CX1934" t="s">
        <v>172</v>
      </c>
      <c r="CZ1934" s="3" t="str">
        <f>"90004"</f>
        <v>90004</v>
      </c>
      <c r="DA1934" t="s">
        <v>131</v>
      </c>
      <c r="DB1934" t="str">
        <f>""</f>
        <v/>
      </c>
      <c r="DF1934" t="str">
        <f>""</f>
        <v/>
      </c>
    </row>
    <row r="1935" spans="1:110" ht="15" customHeight="1" x14ac:dyDescent="0.35">
      <c r="A1935" t="s">
        <v>13967</v>
      </c>
      <c r="B1935" t="s">
        <v>138</v>
      </c>
      <c r="C1935" s="1">
        <v>44357</v>
      </c>
      <c r="G1935" s="1">
        <v>44358</v>
      </c>
      <c r="H1935" t="s">
        <v>125</v>
      </c>
      <c r="I1935" t="s">
        <v>8251</v>
      </c>
      <c r="J1935" t="s">
        <v>8252</v>
      </c>
      <c r="L1935" t="s">
        <v>587</v>
      </c>
      <c r="M1935" t="s">
        <v>8253</v>
      </c>
      <c r="O1935" t="s">
        <v>2651</v>
      </c>
      <c r="P1935" t="s">
        <v>1334</v>
      </c>
      <c r="Q1935" s="3">
        <v>74107</v>
      </c>
      <c r="R1935" t="s">
        <v>128</v>
      </c>
      <c r="T1935" s="4">
        <v>19183826160</v>
      </c>
      <c r="V1935" t="s">
        <v>8254</v>
      </c>
      <c r="W1935" t="s">
        <v>8255</v>
      </c>
      <c r="Y1935" t="s">
        <v>8253</v>
      </c>
      <c r="AA1935" t="s">
        <v>2651</v>
      </c>
      <c r="AB1935" t="s">
        <v>1336</v>
      </c>
      <c r="AC1935" s="3" t="str">
        <f>"74107"</f>
        <v>74107</v>
      </c>
      <c r="AD1935" t="s">
        <v>128</v>
      </c>
      <c r="AF1935" s="4">
        <v>19183826160</v>
      </c>
      <c r="AH1935" t="str">
        <f>"333415"</f>
        <v>333415</v>
      </c>
      <c r="AI1935" t="s">
        <v>130</v>
      </c>
      <c r="AJ1935" t="s">
        <v>3588</v>
      </c>
      <c r="AK1935" t="s">
        <v>250</v>
      </c>
      <c r="AL1935" t="s">
        <v>3589</v>
      </c>
      <c r="AM1935" t="s">
        <v>3590</v>
      </c>
      <c r="AN1935" t="s">
        <v>3591</v>
      </c>
      <c r="AO1935" t="s">
        <v>399</v>
      </c>
      <c r="AP1935" t="s">
        <v>400</v>
      </c>
      <c r="AQ1935" s="5">
        <v>75287</v>
      </c>
      <c r="AR1935" t="s">
        <v>128</v>
      </c>
      <c r="AT1935" s="4">
        <v>19722414698</v>
      </c>
      <c r="AV1935" t="s">
        <v>3592</v>
      </c>
      <c r="AW1935" t="s">
        <v>3593</v>
      </c>
      <c r="AX1935" t="s">
        <v>131</v>
      </c>
      <c r="AY1935" t="s">
        <v>131</v>
      </c>
      <c r="AZ1935" t="s">
        <v>131</v>
      </c>
      <c r="BA1935" t="s">
        <v>131</v>
      </c>
      <c r="BB1935" t="s">
        <v>131</v>
      </c>
      <c r="BC1935" t="s">
        <v>131</v>
      </c>
      <c r="BD1935" t="s">
        <v>131</v>
      </c>
      <c r="BE1935" t="s">
        <v>132</v>
      </c>
      <c r="BH1935" t="s">
        <v>8256</v>
      </c>
      <c r="BI1935" t="s">
        <v>131</v>
      </c>
      <c r="BL1935" t="s">
        <v>133</v>
      </c>
      <c r="BN1935" t="s">
        <v>13968</v>
      </c>
      <c r="BO1935" t="s">
        <v>131</v>
      </c>
      <c r="BP1935" t="s">
        <v>134</v>
      </c>
      <c r="BQ1935" t="s">
        <v>131</v>
      </c>
      <c r="BS1935" t="str">
        <f t="shared" si="111"/>
        <v>N/A</v>
      </c>
      <c r="BT1935" t="s">
        <v>131</v>
      </c>
      <c r="BV1935" t="str">
        <f>""</f>
        <v/>
      </c>
      <c r="BW1935" t="s">
        <v>131</v>
      </c>
      <c r="BX1935" t="str">
        <f>""</f>
        <v/>
      </c>
      <c r="BY1935" t="str">
        <f>""</f>
        <v/>
      </c>
      <c r="BZ1935" t="str">
        <f>""</f>
        <v/>
      </c>
      <c r="CA1935" t="str">
        <f>""</f>
        <v/>
      </c>
      <c r="CB1935" t="s">
        <v>131</v>
      </c>
      <c r="CF1935" t="s">
        <v>131</v>
      </c>
      <c r="CH1935" t="str">
        <f>""</f>
        <v/>
      </c>
      <c r="CI1935" t="s">
        <v>131</v>
      </c>
      <c r="CK1935" t="s">
        <v>131</v>
      </c>
      <c r="CL1935" t="str">
        <f>""</f>
        <v/>
      </c>
      <c r="CM1935" t="str">
        <f>""</f>
        <v/>
      </c>
      <c r="CN1935" t="str">
        <f>""</f>
        <v/>
      </c>
      <c r="CO1935" t="str">
        <f>""</f>
        <v/>
      </c>
      <c r="CP1935" t="str">
        <f>"15-1131.00"</f>
        <v>15-1131.00</v>
      </c>
      <c r="CQ1935" t="s">
        <v>2782</v>
      </c>
      <c r="CR1935" t="s">
        <v>8256</v>
      </c>
      <c r="CS1935" t="s">
        <v>131</v>
      </c>
      <c r="CU1935" t="s">
        <v>8253</v>
      </c>
      <c r="CW1935" t="s">
        <v>2651</v>
      </c>
      <c r="CX1935" t="s">
        <v>1336</v>
      </c>
      <c r="CZ1935" s="3" t="str">
        <f>"74107"</f>
        <v>74107</v>
      </c>
      <c r="DA1935" t="s">
        <v>131</v>
      </c>
      <c r="DB1935" t="str">
        <f>""</f>
        <v/>
      </c>
      <c r="DF1935" t="str">
        <f>""</f>
        <v/>
      </c>
    </row>
    <row r="1936" spans="1:110" ht="15" customHeight="1" x14ac:dyDescent="0.35">
      <c r="A1936" t="s">
        <v>13680</v>
      </c>
      <c r="B1936" t="s">
        <v>138</v>
      </c>
      <c r="C1936" s="1">
        <v>44358</v>
      </c>
      <c r="G1936" s="1">
        <v>44358</v>
      </c>
      <c r="H1936" t="s">
        <v>125</v>
      </c>
      <c r="I1936" t="s">
        <v>13681</v>
      </c>
      <c r="J1936" t="s">
        <v>4123</v>
      </c>
      <c r="K1936" t="s">
        <v>3913</v>
      </c>
      <c r="L1936" t="s">
        <v>130</v>
      </c>
      <c r="M1936" t="s">
        <v>13682</v>
      </c>
      <c r="O1936" t="s">
        <v>2482</v>
      </c>
      <c r="P1936" t="s">
        <v>194</v>
      </c>
      <c r="Q1936" s="3">
        <v>32803</v>
      </c>
      <c r="R1936" t="s">
        <v>128</v>
      </c>
      <c r="T1936" s="4">
        <v>14072329047</v>
      </c>
      <c r="V1936" t="s">
        <v>13683</v>
      </c>
      <c r="W1936" t="s">
        <v>13684</v>
      </c>
      <c r="Y1936" t="s">
        <v>13685</v>
      </c>
      <c r="AA1936" t="s">
        <v>644</v>
      </c>
      <c r="AB1936" t="s">
        <v>276</v>
      </c>
      <c r="AC1936" s="3" t="str">
        <f>"07601"</f>
        <v>07601</v>
      </c>
      <c r="AD1936" t="s">
        <v>128</v>
      </c>
      <c r="AF1936" s="4">
        <v>12014878007</v>
      </c>
      <c r="AH1936" t="str">
        <f>"541930"</f>
        <v>541930</v>
      </c>
      <c r="AI1936" t="s">
        <v>130</v>
      </c>
      <c r="AJ1936" t="s">
        <v>13686</v>
      </c>
      <c r="AK1936" t="s">
        <v>4565</v>
      </c>
      <c r="AM1936" t="s">
        <v>13682</v>
      </c>
      <c r="AO1936" t="s">
        <v>2482</v>
      </c>
      <c r="AP1936" t="s">
        <v>195</v>
      </c>
      <c r="AQ1936" s="5">
        <v>32803</v>
      </c>
      <c r="AR1936" t="s">
        <v>128</v>
      </c>
      <c r="AT1936" s="4">
        <v>14072329047</v>
      </c>
      <c r="AV1936" t="s">
        <v>13687</v>
      </c>
      <c r="AW1936" t="s">
        <v>13688</v>
      </c>
      <c r="AX1936" t="s">
        <v>131</v>
      </c>
      <c r="AY1936" t="s">
        <v>131</v>
      </c>
      <c r="AZ1936" t="s">
        <v>131</v>
      </c>
      <c r="BA1936" t="s">
        <v>131</v>
      </c>
      <c r="BB1936" t="s">
        <v>131</v>
      </c>
      <c r="BC1936" t="s">
        <v>131</v>
      </c>
      <c r="BD1936" t="s">
        <v>131</v>
      </c>
      <c r="BE1936" t="s">
        <v>132</v>
      </c>
      <c r="BH1936" t="s">
        <v>13689</v>
      </c>
      <c r="BI1936" t="s">
        <v>131</v>
      </c>
      <c r="BL1936" t="s">
        <v>133</v>
      </c>
      <c r="BN1936" t="s">
        <v>13690</v>
      </c>
      <c r="BO1936" t="s">
        <v>131</v>
      </c>
      <c r="BP1936" t="s">
        <v>134</v>
      </c>
      <c r="BQ1936" t="s">
        <v>131</v>
      </c>
      <c r="BS1936" t="str">
        <f t="shared" si="111"/>
        <v>N/A</v>
      </c>
      <c r="BT1936" t="s">
        <v>131</v>
      </c>
      <c r="BV1936" t="str">
        <f>""</f>
        <v/>
      </c>
      <c r="BW1936" t="s">
        <v>131</v>
      </c>
      <c r="BX1936" t="str">
        <f>""</f>
        <v/>
      </c>
      <c r="BY1936" t="str">
        <f>""</f>
        <v/>
      </c>
      <c r="BZ1936" t="str">
        <f>""</f>
        <v/>
      </c>
      <c r="CA1936" t="str">
        <f>""</f>
        <v/>
      </c>
      <c r="CB1936" t="s">
        <v>131</v>
      </c>
      <c r="CF1936" t="s">
        <v>131</v>
      </c>
      <c r="CH1936" t="str">
        <f>""</f>
        <v/>
      </c>
      <c r="CI1936" t="s">
        <v>131</v>
      </c>
      <c r="CK1936" t="s">
        <v>131</v>
      </c>
      <c r="CL1936" t="str">
        <f>""</f>
        <v/>
      </c>
      <c r="CM1936" t="str">
        <f>""</f>
        <v/>
      </c>
      <c r="CN1936" t="str">
        <f>""</f>
        <v/>
      </c>
      <c r="CO1936" t="str">
        <f>""</f>
        <v/>
      </c>
      <c r="CP1936" t="str">
        <f>"15-1199.02"</f>
        <v>15-1199.02</v>
      </c>
      <c r="CQ1936" t="s">
        <v>2269</v>
      </c>
      <c r="CR1936" t="s">
        <v>13691</v>
      </c>
      <c r="CS1936" t="s">
        <v>131</v>
      </c>
      <c r="CU1936" t="s">
        <v>13692</v>
      </c>
      <c r="CW1936" t="s">
        <v>644</v>
      </c>
      <c r="CX1936" t="s">
        <v>276</v>
      </c>
      <c r="CZ1936" s="3" t="str">
        <f>"07601"</f>
        <v>07601</v>
      </c>
      <c r="DA1936" t="s">
        <v>131</v>
      </c>
      <c r="DB1936" t="str">
        <f>""</f>
        <v/>
      </c>
      <c r="DF1936" t="str">
        <f>""</f>
        <v/>
      </c>
    </row>
    <row r="1937" spans="1:110" ht="15" customHeight="1" x14ac:dyDescent="0.35">
      <c r="A1937" t="s">
        <v>13626</v>
      </c>
      <c r="B1937" t="s">
        <v>138</v>
      </c>
      <c r="C1937" s="1">
        <v>44358</v>
      </c>
      <c r="G1937" s="1">
        <v>44358</v>
      </c>
      <c r="H1937" t="s">
        <v>125</v>
      </c>
      <c r="I1937" t="s">
        <v>2416</v>
      </c>
      <c r="J1937" t="s">
        <v>2417</v>
      </c>
      <c r="L1937" t="s">
        <v>1847</v>
      </c>
      <c r="M1937" t="s">
        <v>2418</v>
      </c>
      <c r="O1937" t="s">
        <v>4084</v>
      </c>
      <c r="P1937" t="s">
        <v>311</v>
      </c>
      <c r="Q1937" s="3">
        <v>19103</v>
      </c>
      <c r="R1937" t="s">
        <v>128</v>
      </c>
      <c r="T1937" s="4">
        <v>16179608170</v>
      </c>
      <c r="V1937" t="s">
        <v>2420</v>
      </c>
      <c r="W1937" t="s">
        <v>2421</v>
      </c>
      <c r="Y1937" t="s">
        <v>2418</v>
      </c>
      <c r="AA1937" t="s">
        <v>4084</v>
      </c>
      <c r="AB1937" t="s">
        <v>312</v>
      </c>
      <c r="AC1937" s="3" t="str">
        <f>"19103"</f>
        <v>19103</v>
      </c>
      <c r="AD1937" t="s">
        <v>128</v>
      </c>
      <c r="AF1937" s="4">
        <v>16179608170</v>
      </c>
      <c r="AH1937" t="str">
        <f>"54161"</f>
        <v>54161</v>
      </c>
      <c r="AI1937" t="s">
        <v>130</v>
      </c>
      <c r="AJ1937" t="s">
        <v>4085</v>
      </c>
      <c r="AK1937" t="s">
        <v>13627</v>
      </c>
      <c r="AM1937" t="s">
        <v>4086</v>
      </c>
      <c r="AN1937" t="s">
        <v>4087</v>
      </c>
      <c r="AO1937" t="s">
        <v>2438</v>
      </c>
      <c r="AP1937" t="s">
        <v>400</v>
      </c>
      <c r="AQ1937" s="5">
        <v>75082</v>
      </c>
      <c r="AR1937" t="s">
        <v>128</v>
      </c>
      <c r="AT1937" s="4">
        <v>14693003253</v>
      </c>
      <c r="AV1937" t="s">
        <v>11535</v>
      </c>
      <c r="AW1937" t="s">
        <v>366</v>
      </c>
      <c r="AX1937" t="s">
        <v>131</v>
      </c>
      <c r="AY1937" t="s">
        <v>131</v>
      </c>
      <c r="AZ1937" t="s">
        <v>131</v>
      </c>
      <c r="BA1937" t="s">
        <v>131</v>
      </c>
      <c r="BB1937" t="s">
        <v>131</v>
      </c>
      <c r="BC1937" t="s">
        <v>131</v>
      </c>
      <c r="BD1937" t="s">
        <v>131</v>
      </c>
      <c r="BE1937" t="s">
        <v>132</v>
      </c>
      <c r="BH1937" t="s">
        <v>6148</v>
      </c>
      <c r="BI1937" t="s">
        <v>131</v>
      </c>
      <c r="BL1937" t="s">
        <v>133</v>
      </c>
      <c r="BN1937" t="s">
        <v>3481</v>
      </c>
      <c r="BO1937" t="s">
        <v>131</v>
      </c>
      <c r="BP1937" t="s">
        <v>134</v>
      </c>
      <c r="BQ1937" t="s">
        <v>131</v>
      </c>
      <c r="BS1937" t="str">
        <f t="shared" si="111"/>
        <v>N/A</v>
      </c>
      <c r="BT1937" t="s">
        <v>135</v>
      </c>
      <c r="BU1937">
        <v>24</v>
      </c>
      <c r="BV1937" t="str">
        <f>"See F.B.5"</f>
        <v>See F.B.5</v>
      </c>
      <c r="BW1937" t="s">
        <v>135</v>
      </c>
      <c r="BX1937" t="str">
        <f>""</f>
        <v/>
      </c>
      <c r="BY1937" t="str">
        <f>""</f>
        <v/>
      </c>
      <c r="BZ1937" t="str">
        <f>""</f>
        <v/>
      </c>
      <c r="CA1937" t="s">
        <v>6025</v>
      </c>
      <c r="CB1937" t="s">
        <v>131</v>
      </c>
      <c r="CF1937" t="s">
        <v>131</v>
      </c>
      <c r="CH1937" t="str">
        <f>""</f>
        <v/>
      </c>
      <c r="CI1937" t="s">
        <v>131</v>
      </c>
      <c r="CK1937" t="s">
        <v>131</v>
      </c>
      <c r="CL1937" t="str">
        <f>""</f>
        <v/>
      </c>
      <c r="CM1937" t="str">
        <f>""</f>
        <v/>
      </c>
      <c r="CN1937" t="str">
        <f>""</f>
        <v/>
      </c>
      <c r="CO1937" t="str">
        <f>""</f>
        <v/>
      </c>
      <c r="CP1937" t="str">
        <f>"15-1132.00"</f>
        <v>15-1132.00</v>
      </c>
      <c r="CQ1937" t="s">
        <v>198</v>
      </c>
      <c r="CR1937" t="s">
        <v>6148</v>
      </c>
      <c r="CS1937" t="s">
        <v>135</v>
      </c>
      <c r="CT1937" t="s">
        <v>6149</v>
      </c>
      <c r="CU1937" t="s">
        <v>13628</v>
      </c>
      <c r="CW1937" t="s">
        <v>1152</v>
      </c>
      <c r="CX1937" t="s">
        <v>511</v>
      </c>
      <c r="CZ1937" s="3" t="str">
        <f>"48243"</f>
        <v>48243</v>
      </c>
      <c r="DA1937" t="s">
        <v>135</v>
      </c>
      <c r="DB1937" t="str">
        <f>""</f>
        <v/>
      </c>
      <c r="DF1937" t="str">
        <f>""</f>
        <v/>
      </c>
    </row>
    <row r="1938" spans="1:110" ht="15" customHeight="1" x14ac:dyDescent="0.35">
      <c r="A1938" t="s">
        <v>16280</v>
      </c>
      <c r="B1938" t="s">
        <v>138</v>
      </c>
      <c r="C1938" s="1">
        <v>44358</v>
      </c>
      <c r="G1938" s="1">
        <v>44361</v>
      </c>
      <c r="H1938" t="s">
        <v>125</v>
      </c>
      <c r="I1938" t="s">
        <v>1615</v>
      </c>
      <c r="J1938" t="s">
        <v>1616</v>
      </c>
      <c r="L1938" t="s">
        <v>1617</v>
      </c>
      <c r="M1938" t="s">
        <v>1618</v>
      </c>
      <c r="N1938" t="s">
        <v>1619</v>
      </c>
      <c r="O1938" t="s">
        <v>259</v>
      </c>
      <c r="P1938" t="s">
        <v>273</v>
      </c>
      <c r="Q1938" s="3">
        <v>7059</v>
      </c>
      <c r="R1938" t="s">
        <v>128</v>
      </c>
      <c r="T1938" s="4">
        <v>19086048080</v>
      </c>
      <c r="V1938" t="s">
        <v>1620</v>
      </c>
      <c r="W1938" t="s">
        <v>1621</v>
      </c>
      <c r="Y1938" t="s">
        <v>1618</v>
      </c>
      <c r="Z1938" t="s">
        <v>1619</v>
      </c>
      <c r="AA1938" t="s">
        <v>259</v>
      </c>
      <c r="AB1938" t="s">
        <v>276</v>
      </c>
      <c r="AC1938" s="3" t="str">
        <f>"07059"</f>
        <v>07059</v>
      </c>
      <c r="AD1938" t="s">
        <v>128</v>
      </c>
      <c r="AF1938" s="4">
        <v>19086048080</v>
      </c>
      <c r="AH1938" t="str">
        <f>"541511"</f>
        <v>541511</v>
      </c>
      <c r="AI1938" t="s">
        <v>130</v>
      </c>
      <c r="AJ1938" t="s">
        <v>1622</v>
      </c>
      <c r="AK1938" t="s">
        <v>1623</v>
      </c>
      <c r="AL1938" t="s">
        <v>1624</v>
      </c>
      <c r="AM1938" t="s">
        <v>1625</v>
      </c>
      <c r="AN1938" t="s">
        <v>4387</v>
      </c>
      <c r="AO1938" t="s">
        <v>719</v>
      </c>
      <c r="AP1938" t="s">
        <v>377</v>
      </c>
      <c r="AQ1938" s="5">
        <v>1701</v>
      </c>
      <c r="AR1938" t="s">
        <v>128</v>
      </c>
      <c r="AT1938" s="4">
        <v>15085323527</v>
      </c>
      <c r="AV1938" t="s">
        <v>4388</v>
      </c>
      <c r="AW1938" t="s">
        <v>9596</v>
      </c>
      <c r="AX1938" t="s">
        <v>131</v>
      </c>
      <c r="AY1938" t="s">
        <v>131</v>
      </c>
      <c r="AZ1938" t="s">
        <v>131</v>
      </c>
      <c r="BA1938" t="s">
        <v>131</v>
      </c>
      <c r="BB1938" t="s">
        <v>131</v>
      </c>
      <c r="BC1938" t="s">
        <v>131</v>
      </c>
      <c r="BD1938" t="s">
        <v>131</v>
      </c>
      <c r="BE1938" t="s">
        <v>132</v>
      </c>
      <c r="BH1938" t="s">
        <v>1629</v>
      </c>
      <c r="BI1938" t="s">
        <v>131</v>
      </c>
      <c r="BL1938" t="s">
        <v>133</v>
      </c>
      <c r="BN1938" t="s">
        <v>16281</v>
      </c>
      <c r="BO1938" t="s">
        <v>131</v>
      </c>
      <c r="BP1938" t="s">
        <v>134</v>
      </c>
      <c r="BQ1938" t="s">
        <v>131</v>
      </c>
      <c r="BS1938" t="str">
        <f t="shared" si="111"/>
        <v>N/A</v>
      </c>
      <c r="BT1938" t="s">
        <v>135</v>
      </c>
      <c r="BU1938">
        <v>24</v>
      </c>
      <c r="BV1938" t="str">
        <f>"job offered or in a related position"</f>
        <v>job offered or in a related position</v>
      </c>
      <c r="BW1938" t="s">
        <v>135</v>
      </c>
      <c r="BX1938" t="str">
        <f>""</f>
        <v/>
      </c>
      <c r="BY1938" t="str">
        <f>""</f>
        <v/>
      </c>
      <c r="BZ1938" t="str">
        <f>""</f>
        <v/>
      </c>
      <c r="CA1938" t="s">
        <v>1631</v>
      </c>
      <c r="CB1938" t="s">
        <v>135</v>
      </c>
      <c r="CC1938" t="s">
        <v>658</v>
      </c>
      <c r="CD1938" t="s">
        <v>16282</v>
      </c>
      <c r="CE1938" t="s">
        <v>13647</v>
      </c>
      <c r="CF1938" t="s">
        <v>131</v>
      </c>
      <c r="CH1938" t="str">
        <f>"N/A"</f>
        <v>N/A</v>
      </c>
      <c r="CI1938" t="s">
        <v>135</v>
      </c>
      <c r="CJ1938">
        <v>24</v>
      </c>
      <c r="CK1938" t="s">
        <v>135</v>
      </c>
      <c r="CL1938" t="str">
        <f>""</f>
        <v/>
      </c>
      <c r="CM1938" t="str">
        <f>""</f>
        <v/>
      </c>
      <c r="CN1938" t="str">
        <f>""</f>
        <v/>
      </c>
      <c r="CO1938" t="s">
        <v>1631</v>
      </c>
      <c r="CP1938" t="str">
        <f>"15-1121.00"</f>
        <v>15-1121.00</v>
      </c>
      <c r="CQ1938" t="s">
        <v>283</v>
      </c>
      <c r="CR1938" t="s">
        <v>1632</v>
      </c>
      <c r="CS1938" t="s">
        <v>135</v>
      </c>
      <c r="CT1938" t="s">
        <v>16283</v>
      </c>
      <c r="CU1938" t="s">
        <v>11051</v>
      </c>
      <c r="CV1938" t="s">
        <v>1619</v>
      </c>
      <c r="CW1938" t="s">
        <v>259</v>
      </c>
      <c r="CX1938" t="s">
        <v>276</v>
      </c>
      <c r="CZ1938" s="3" t="str">
        <f>"07059"</f>
        <v>07059</v>
      </c>
      <c r="DA1938" t="s">
        <v>131</v>
      </c>
      <c r="DB1938" t="str">
        <f>""</f>
        <v/>
      </c>
      <c r="DF1938" t="str">
        <f>""</f>
        <v/>
      </c>
    </row>
    <row r="1939" spans="1:110" ht="15" customHeight="1" x14ac:dyDescent="0.35">
      <c r="A1939" t="s">
        <v>12967</v>
      </c>
      <c r="B1939" t="s">
        <v>138</v>
      </c>
      <c r="C1939" s="1">
        <v>44358</v>
      </c>
      <c r="G1939" s="1">
        <v>44358</v>
      </c>
      <c r="H1939" t="s">
        <v>125</v>
      </c>
      <c r="I1939" t="s">
        <v>12968</v>
      </c>
      <c r="J1939" t="s">
        <v>1437</v>
      </c>
      <c r="L1939" t="s">
        <v>5194</v>
      </c>
      <c r="M1939" t="s">
        <v>12969</v>
      </c>
      <c r="N1939" t="s">
        <v>997</v>
      </c>
      <c r="O1939" t="s">
        <v>664</v>
      </c>
      <c r="P1939" t="s">
        <v>178</v>
      </c>
      <c r="Q1939" s="3">
        <v>95131</v>
      </c>
      <c r="R1939" t="s">
        <v>128</v>
      </c>
      <c r="T1939" s="4">
        <v>14082185591</v>
      </c>
      <c r="V1939" t="s">
        <v>12970</v>
      </c>
      <c r="W1939" t="s">
        <v>12971</v>
      </c>
      <c r="Y1939" t="s">
        <v>12972</v>
      </c>
      <c r="AA1939" t="s">
        <v>664</v>
      </c>
      <c r="AB1939" t="s">
        <v>172</v>
      </c>
      <c r="AC1939" s="3" t="str">
        <f>"95131"</f>
        <v>95131</v>
      </c>
      <c r="AD1939" t="s">
        <v>128</v>
      </c>
      <c r="AF1939" s="4">
        <v>14082185591</v>
      </c>
      <c r="AH1939" t="str">
        <f>"51919"</f>
        <v>51919</v>
      </c>
      <c r="AI1939" t="s">
        <v>130</v>
      </c>
      <c r="AJ1939" t="s">
        <v>4670</v>
      </c>
      <c r="AK1939" t="s">
        <v>7776</v>
      </c>
      <c r="AM1939" t="s">
        <v>11220</v>
      </c>
      <c r="AO1939" t="s">
        <v>3891</v>
      </c>
      <c r="AP1939" t="s">
        <v>382</v>
      </c>
      <c r="AQ1939" s="5">
        <v>20878</v>
      </c>
      <c r="AR1939" t="s">
        <v>128</v>
      </c>
      <c r="AT1939" s="4">
        <v>13013155842</v>
      </c>
      <c r="AV1939" t="s">
        <v>4671</v>
      </c>
      <c r="AW1939" t="s">
        <v>4672</v>
      </c>
      <c r="AX1939" t="s">
        <v>131</v>
      </c>
      <c r="AY1939" t="s">
        <v>131</v>
      </c>
      <c r="AZ1939" t="s">
        <v>131</v>
      </c>
      <c r="BA1939" t="s">
        <v>131</v>
      </c>
      <c r="BB1939" t="s">
        <v>131</v>
      </c>
      <c r="BC1939" t="s">
        <v>131</v>
      </c>
      <c r="BD1939" t="s">
        <v>131</v>
      </c>
      <c r="BE1939" t="s">
        <v>132</v>
      </c>
      <c r="BH1939" t="s">
        <v>1068</v>
      </c>
      <c r="BI1939" t="s">
        <v>135</v>
      </c>
      <c r="BJ1939" t="s">
        <v>7016</v>
      </c>
      <c r="BK1939" t="s">
        <v>598</v>
      </c>
      <c r="BL1939" t="s">
        <v>133</v>
      </c>
      <c r="BN1939" t="s">
        <v>12973</v>
      </c>
      <c r="BO1939" t="s">
        <v>131</v>
      </c>
      <c r="BP1939" t="s">
        <v>134</v>
      </c>
      <c r="BQ1939" t="s">
        <v>131</v>
      </c>
      <c r="BS1939" t="str">
        <f t="shared" si="111"/>
        <v>N/A</v>
      </c>
      <c r="BT1939" t="s">
        <v>135</v>
      </c>
      <c r="BU1939">
        <v>60</v>
      </c>
      <c r="BV1939" t="str">
        <f>"Computer Software Professional "</f>
        <v xml:space="preserve">Computer Software Professional </v>
      </c>
      <c r="BW1939" t="s">
        <v>135</v>
      </c>
      <c r="BX1939" t="str">
        <f>""</f>
        <v/>
      </c>
      <c r="BY1939" t="str">
        <f>""</f>
        <v/>
      </c>
      <c r="BZ1939" t="str">
        <f>""</f>
        <v/>
      </c>
      <c r="CA1939" t="s">
        <v>12974</v>
      </c>
      <c r="CB1939" t="s">
        <v>131</v>
      </c>
      <c r="CF1939" t="s">
        <v>131</v>
      </c>
      <c r="CH1939" t="str">
        <f>""</f>
        <v/>
      </c>
      <c r="CI1939" t="s">
        <v>131</v>
      </c>
      <c r="CK1939" t="s">
        <v>131</v>
      </c>
      <c r="CL1939" t="str">
        <f>""</f>
        <v/>
      </c>
      <c r="CM1939" t="str">
        <f>""</f>
        <v/>
      </c>
      <c r="CN1939" t="str">
        <f>""</f>
        <v/>
      </c>
      <c r="CO1939" t="str">
        <f>""</f>
        <v/>
      </c>
      <c r="CP1939" t="str">
        <f>"11-3021.00"</f>
        <v>11-3021.00</v>
      </c>
      <c r="CQ1939" t="s">
        <v>598</v>
      </c>
      <c r="CR1939" t="s">
        <v>12975</v>
      </c>
      <c r="CS1939" t="s">
        <v>135</v>
      </c>
      <c r="CT1939" t="s">
        <v>12976</v>
      </c>
      <c r="CU1939" t="s">
        <v>12977</v>
      </c>
      <c r="CW1939" t="s">
        <v>664</v>
      </c>
      <c r="CX1939" t="s">
        <v>172</v>
      </c>
      <c r="CZ1939" s="3" t="str">
        <f>"95131"</f>
        <v>95131</v>
      </c>
      <c r="DA1939" t="s">
        <v>131</v>
      </c>
      <c r="DB1939" t="str">
        <f>""</f>
        <v/>
      </c>
      <c r="DF1939" t="str">
        <f>""</f>
        <v/>
      </c>
    </row>
    <row r="1940" spans="1:110" ht="15" customHeight="1" x14ac:dyDescent="0.35">
      <c r="A1940" t="s">
        <v>19039</v>
      </c>
      <c r="B1940" t="s">
        <v>138</v>
      </c>
      <c r="C1940" s="1">
        <v>44358</v>
      </c>
      <c r="G1940" s="1">
        <v>44370</v>
      </c>
      <c r="H1940" t="s">
        <v>125</v>
      </c>
      <c r="I1940" t="s">
        <v>12221</v>
      </c>
      <c r="J1940" t="s">
        <v>12222</v>
      </c>
      <c r="L1940" t="s">
        <v>392</v>
      </c>
      <c r="M1940" t="s">
        <v>12223</v>
      </c>
      <c r="N1940" t="s">
        <v>12224</v>
      </c>
      <c r="O1940" t="s">
        <v>12225</v>
      </c>
      <c r="P1940" t="s">
        <v>539</v>
      </c>
      <c r="Q1940" s="3">
        <v>60527</v>
      </c>
      <c r="R1940" t="s">
        <v>128</v>
      </c>
      <c r="T1940" s="4">
        <v>16308470158</v>
      </c>
      <c r="V1940" t="s">
        <v>12226</v>
      </c>
      <c r="W1940" t="s">
        <v>12227</v>
      </c>
      <c r="Y1940" t="s">
        <v>12223</v>
      </c>
      <c r="Z1940" t="s">
        <v>12224</v>
      </c>
      <c r="AA1940" t="s">
        <v>12225</v>
      </c>
      <c r="AB1940" t="s">
        <v>263</v>
      </c>
      <c r="AC1940" s="3" t="str">
        <f>"60527"</f>
        <v>60527</v>
      </c>
      <c r="AD1940" t="s">
        <v>128</v>
      </c>
      <c r="AF1940" s="4">
        <v>16308470158</v>
      </c>
      <c r="AH1940" t="str">
        <f>"4841"</f>
        <v>4841</v>
      </c>
      <c r="AI1940" t="s">
        <v>130</v>
      </c>
      <c r="AJ1940" t="s">
        <v>12228</v>
      </c>
      <c r="AK1940" t="s">
        <v>12229</v>
      </c>
      <c r="AM1940" t="s">
        <v>19040</v>
      </c>
      <c r="AN1940" t="s">
        <v>1641</v>
      </c>
      <c r="AO1940" t="s">
        <v>262</v>
      </c>
      <c r="AP1940" t="s">
        <v>263</v>
      </c>
      <c r="AQ1940" s="5">
        <v>60625</v>
      </c>
      <c r="AR1940" t="s">
        <v>128</v>
      </c>
      <c r="AT1940" s="4">
        <v>18472589954</v>
      </c>
      <c r="AV1940" t="s">
        <v>12231</v>
      </c>
      <c r="AW1940" t="s">
        <v>12463</v>
      </c>
      <c r="AX1940" t="s">
        <v>131</v>
      </c>
      <c r="AY1940" t="s">
        <v>131</v>
      </c>
      <c r="AZ1940" t="s">
        <v>131</v>
      </c>
      <c r="BA1940" t="s">
        <v>131</v>
      </c>
      <c r="BB1940" t="s">
        <v>131</v>
      </c>
      <c r="BC1940" t="s">
        <v>131</v>
      </c>
      <c r="BD1940" t="s">
        <v>131</v>
      </c>
      <c r="BE1940" t="s">
        <v>132</v>
      </c>
      <c r="BH1940" t="s">
        <v>19041</v>
      </c>
      <c r="BI1940" t="s">
        <v>131</v>
      </c>
      <c r="BL1940" t="s">
        <v>401</v>
      </c>
      <c r="BO1940" t="s">
        <v>131</v>
      </c>
      <c r="BP1940" t="s">
        <v>134</v>
      </c>
      <c r="BQ1940" t="s">
        <v>131</v>
      </c>
      <c r="BS1940" t="str">
        <f t="shared" si="111"/>
        <v>N/A</v>
      </c>
      <c r="BT1940" t="s">
        <v>135</v>
      </c>
      <c r="BU1940">
        <v>24</v>
      </c>
      <c r="BV1940" t="str">
        <f>"Job offered or closely related"</f>
        <v>Job offered or closely related</v>
      </c>
      <c r="BW1940" t="s">
        <v>131</v>
      </c>
      <c r="BX1940" t="str">
        <f>""</f>
        <v/>
      </c>
      <c r="BY1940" t="str">
        <f>""</f>
        <v/>
      </c>
      <c r="BZ1940" t="str">
        <f>""</f>
        <v/>
      </c>
      <c r="CA1940" t="str">
        <f>""</f>
        <v/>
      </c>
      <c r="CB1940" t="s">
        <v>135</v>
      </c>
      <c r="CC1940" t="s">
        <v>307</v>
      </c>
      <c r="CE1940" t="s">
        <v>19042</v>
      </c>
      <c r="CF1940" t="s">
        <v>135</v>
      </c>
      <c r="CG1940">
        <v>12</v>
      </c>
      <c r="CH1940" t="str">
        <f>"Job offered or closely related"</f>
        <v>Job offered or closely related</v>
      </c>
      <c r="CI1940" t="s">
        <v>131</v>
      </c>
      <c r="CK1940" t="s">
        <v>131</v>
      </c>
      <c r="CL1940" t="str">
        <f>""</f>
        <v/>
      </c>
      <c r="CM1940" t="str">
        <f>""</f>
        <v/>
      </c>
      <c r="CN1940" t="str">
        <f>""</f>
        <v/>
      </c>
      <c r="CO1940" t="str">
        <f>""</f>
        <v/>
      </c>
      <c r="CP1940" t="str">
        <f>"43-3031.00"</f>
        <v>43-3031.00</v>
      </c>
      <c r="CQ1940" t="s">
        <v>1783</v>
      </c>
      <c r="CR1940" t="s">
        <v>460</v>
      </c>
      <c r="CS1940" t="s">
        <v>131</v>
      </c>
      <c r="CU1940" t="s">
        <v>12223</v>
      </c>
      <c r="CV1940" t="s">
        <v>12224</v>
      </c>
      <c r="CW1940" t="s">
        <v>262</v>
      </c>
      <c r="CX1940" t="s">
        <v>263</v>
      </c>
      <c r="CZ1940" s="3" t="str">
        <f>"60527"</f>
        <v>60527</v>
      </c>
      <c r="DA1940" t="s">
        <v>131</v>
      </c>
      <c r="DB1940" t="str">
        <f>""</f>
        <v/>
      </c>
      <c r="DF1940" t="str">
        <f>""</f>
        <v/>
      </c>
    </row>
    <row r="1941" spans="1:110" ht="15" customHeight="1" x14ac:dyDescent="0.35">
      <c r="A1941" t="s">
        <v>19169</v>
      </c>
      <c r="B1941" t="s">
        <v>138</v>
      </c>
      <c r="C1941" s="1">
        <v>44358</v>
      </c>
      <c r="G1941" s="1">
        <v>44361</v>
      </c>
      <c r="H1941" t="s">
        <v>125</v>
      </c>
      <c r="I1941" t="s">
        <v>139</v>
      </c>
      <c r="J1941" t="s">
        <v>140</v>
      </c>
      <c r="L1941" t="s">
        <v>141</v>
      </c>
      <c r="M1941" t="s">
        <v>142</v>
      </c>
      <c r="O1941" t="s">
        <v>143</v>
      </c>
      <c r="P1941" t="s">
        <v>144</v>
      </c>
      <c r="Q1941" s="3">
        <v>98052</v>
      </c>
      <c r="R1941" t="s">
        <v>128</v>
      </c>
      <c r="T1941" s="4">
        <v>14255383872</v>
      </c>
      <c r="V1941" t="s">
        <v>234</v>
      </c>
      <c r="W1941" t="s">
        <v>235</v>
      </c>
      <c r="Y1941" t="s">
        <v>236</v>
      </c>
      <c r="AA1941" t="s">
        <v>143</v>
      </c>
      <c r="AB1941" t="s">
        <v>149</v>
      </c>
      <c r="AC1941" s="3" t="str">
        <f>"98052"</f>
        <v>98052</v>
      </c>
      <c r="AD1941" t="s">
        <v>128</v>
      </c>
      <c r="AF1941" s="4">
        <v>14255383872</v>
      </c>
      <c r="AH1941" t="str">
        <f>"5112"</f>
        <v>5112</v>
      </c>
      <c r="AI1941" t="s">
        <v>130</v>
      </c>
      <c r="AJ1941" t="s">
        <v>237</v>
      </c>
      <c r="AK1941" t="s">
        <v>238</v>
      </c>
      <c r="AM1941" t="s">
        <v>239</v>
      </c>
      <c r="AN1941" t="s">
        <v>240</v>
      </c>
      <c r="AO1941" t="s">
        <v>241</v>
      </c>
      <c r="AQ1941" s="5" t="s">
        <v>242</v>
      </c>
      <c r="AR1941" t="s">
        <v>156</v>
      </c>
      <c r="AS1941" t="s">
        <v>243</v>
      </c>
      <c r="AT1941" s="4">
        <v>16048067013</v>
      </c>
      <c r="AV1941" t="s">
        <v>234</v>
      </c>
      <c r="AW1941" t="s">
        <v>244</v>
      </c>
      <c r="AX1941" t="s">
        <v>131</v>
      </c>
      <c r="AY1941" t="s">
        <v>131</v>
      </c>
      <c r="AZ1941" t="s">
        <v>131</v>
      </c>
      <c r="BA1941" t="s">
        <v>131</v>
      </c>
      <c r="BB1941" t="s">
        <v>131</v>
      </c>
      <c r="BC1941" t="s">
        <v>131</v>
      </c>
      <c r="BD1941" t="s">
        <v>131</v>
      </c>
      <c r="BE1941" t="s">
        <v>132</v>
      </c>
      <c r="BH1941" t="s">
        <v>542</v>
      </c>
      <c r="BI1941" t="s">
        <v>131</v>
      </c>
      <c r="BL1941" t="s">
        <v>133</v>
      </c>
      <c r="BN1941" t="s">
        <v>10734</v>
      </c>
      <c r="BO1941" t="s">
        <v>131</v>
      </c>
      <c r="BP1941" t="s">
        <v>134</v>
      </c>
      <c r="BQ1941" t="s">
        <v>131</v>
      </c>
      <c r="BS1941" t="str">
        <f t="shared" si="111"/>
        <v>N/A</v>
      </c>
      <c r="BT1941" t="s">
        <v>135</v>
      </c>
      <c r="BU1941">
        <v>6</v>
      </c>
      <c r="BV1941" t="str">
        <f>"All Computer related occupations"</f>
        <v>All Computer related occupations</v>
      </c>
      <c r="BW1941" t="s">
        <v>135</v>
      </c>
      <c r="BX1941" t="str">
        <f>""</f>
        <v/>
      </c>
      <c r="BY1941" t="str">
        <f>""</f>
        <v/>
      </c>
      <c r="BZ1941" t="str">
        <f>""</f>
        <v/>
      </c>
      <c r="CA1941" t="s">
        <v>19170</v>
      </c>
      <c r="CB1941" t="s">
        <v>135</v>
      </c>
      <c r="CC1941" t="s">
        <v>167</v>
      </c>
      <c r="CF1941" t="s">
        <v>131</v>
      </c>
      <c r="CH1941" t="str">
        <f>"N/A"</f>
        <v>N/A</v>
      </c>
      <c r="CI1941" t="s">
        <v>135</v>
      </c>
      <c r="CJ1941">
        <v>24</v>
      </c>
      <c r="CK1941" t="s">
        <v>135</v>
      </c>
      <c r="CL1941" t="str">
        <f>""</f>
        <v/>
      </c>
      <c r="CM1941" t="str">
        <f>""</f>
        <v/>
      </c>
      <c r="CN1941" t="str">
        <f>""</f>
        <v/>
      </c>
      <c r="CO1941" s="2" t="s">
        <v>19171</v>
      </c>
      <c r="CP1941" t="str">
        <f>"15-1132.00"</f>
        <v>15-1132.00</v>
      </c>
      <c r="CQ1941" t="s">
        <v>198</v>
      </c>
      <c r="CS1941" t="s">
        <v>131</v>
      </c>
      <c r="CU1941" t="s">
        <v>142</v>
      </c>
      <c r="CW1941" t="s">
        <v>143</v>
      </c>
      <c r="CX1941" t="s">
        <v>149</v>
      </c>
      <c r="CZ1941" s="3" t="str">
        <f>"98052"</f>
        <v>98052</v>
      </c>
      <c r="DA1941" t="s">
        <v>131</v>
      </c>
      <c r="DB1941" t="str">
        <f>""</f>
        <v/>
      </c>
      <c r="DF1941" t="str">
        <f>""</f>
        <v/>
      </c>
    </row>
    <row r="1942" spans="1:110" ht="15" customHeight="1" x14ac:dyDescent="0.35">
      <c r="A1942" t="s">
        <v>14788</v>
      </c>
      <c r="B1942" t="s">
        <v>138</v>
      </c>
      <c r="C1942" s="1">
        <v>44358</v>
      </c>
      <c r="G1942" s="1">
        <v>44361</v>
      </c>
      <c r="H1942" t="s">
        <v>125</v>
      </c>
      <c r="I1942" t="s">
        <v>139</v>
      </c>
      <c r="J1942" t="s">
        <v>140</v>
      </c>
      <c r="L1942" t="s">
        <v>141</v>
      </c>
      <c r="M1942" t="s">
        <v>142</v>
      </c>
      <c r="O1942" t="s">
        <v>143</v>
      </c>
      <c r="P1942" t="s">
        <v>144</v>
      </c>
      <c r="Q1942" s="3">
        <v>98052</v>
      </c>
      <c r="R1942" t="s">
        <v>128</v>
      </c>
      <c r="T1942" s="4">
        <v>14255383872</v>
      </c>
      <c r="V1942" t="s">
        <v>234</v>
      </c>
      <c r="W1942" t="s">
        <v>235</v>
      </c>
      <c r="Y1942" t="s">
        <v>236</v>
      </c>
      <c r="AA1942" t="s">
        <v>143</v>
      </c>
      <c r="AB1942" t="s">
        <v>149</v>
      </c>
      <c r="AC1942" s="3" t="str">
        <f>"98052"</f>
        <v>98052</v>
      </c>
      <c r="AD1942" t="s">
        <v>128</v>
      </c>
      <c r="AF1942" s="4">
        <v>14255383872</v>
      </c>
      <c r="AH1942" t="str">
        <f>"5112"</f>
        <v>5112</v>
      </c>
      <c r="AI1942" t="s">
        <v>130</v>
      </c>
      <c r="AJ1942" t="s">
        <v>237</v>
      </c>
      <c r="AK1942" t="s">
        <v>238</v>
      </c>
      <c r="AM1942" t="s">
        <v>239</v>
      </c>
      <c r="AN1942" t="s">
        <v>240</v>
      </c>
      <c r="AO1942" t="s">
        <v>241</v>
      </c>
      <c r="AQ1942" s="5" t="s">
        <v>242</v>
      </c>
      <c r="AR1942" t="s">
        <v>156</v>
      </c>
      <c r="AS1942" t="s">
        <v>243</v>
      </c>
      <c r="AT1942" s="4">
        <v>16048067013</v>
      </c>
      <c r="AV1942" t="s">
        <v>234</v>
      </c>
      <c r="AW1942" t="s">
        <v>244</v>
      </c>
      <c r="AX1942" t="s">
        <v>131</v>
      </c>
      <c r="AY1942" t="s">
        <v>131</v>
      </c>
      <c r="AZ1942" t="s">
        <v>131</v>
      </c>
      <c r="BA1942" t="s">
        <v>131</v>
      </c>
      <c r="BB1942" t="s">
        <v>131</v>
      </c>
      <c r="BC1942" t="s">
        <v>131</v>
      </c>
      <c r="BD1942" t="s">
        <v>131</v>
      </c>
      <c r="BE1942" t="s">
        <v>132</v>
      </c>
      <c r="BH1942" t="s">
        <v>542</v>
      </c>
      <c r="BI1942" t="s">
        <v>131</v>
      </c>
      <c r="BL1942" t="s">
        <v>133</v>
      </c>
      <c r="BN1942" t="s">
        <v>10540</v>
      </c>
      <c r="BO1942" t="s">
        <v>131</v>
      </c>
      <c r="BP1942" t="s">
        <v>134</v>
      </c>
      <c r="BQ1942" t="s">
        <v>131</v>
      </c>
      <c r="BS1942" t="str">
        <f t="shared" si="111"/>
        <v>N/A</v>
      </c>
      <c r="BT1942" t="s">
        <v>135</v>
      </c>
      <c r="BU1942">
        <v>36</v>
      </c>
      <c r="BV1942" t="str">
        <f>"All Computer related occupations"</f>
        <v>All Computer related occupations</v>
      </c>
      <c r="BW1942" t="s">
        <v>135</v>
      </c>
      <c r="BX1942" t="str">
        <f>""</f>
        <v/>
      </c>
      <c r="BY1942" t="str">
        <f>""</f>
        <v/>
      </c>
      <c r="BZ1942" t="str">
        <f>""</f>
        <v/>
      </c>
      <c r="CA1942" t="s">
        <v>14789</v>
      </c>
      <c r="CB1942" t="s">
        <v>135</v>
      </c>
      <c r="CC1942" t="s">
        <v>167</v>
      </c>
      <c r="CF1942" t="s">
        <v>131</v>
      </c>
      <c r="CH1942" t="str">
        <f>"N/A"</f>
        <v>N/A</v>
      </c>
      <c r="CI1942" t="s">
        <v>135</v>
      </c>
      <c r="CJ1942">
        <v>24</v>
      </c>
      <c r="CK1942" t="s">
        <v>135</v>
      </c>
      <c r="CL1942" t="str">
        <f>""</f>
        <v/>
      </c>
      <c r="CM1942" t="str">
        <f>""</f>
        <v/>
      </c>
      <c r="CN1942" t="str">
        <f>""</f>
        <v/>
      </c>
      <c r="CO1942" s="2" t="s">
        <v>14790</v>
      </c>
      <c r="CP1942" t="str">
        <f>"15-1132.00"</f>
        <v>15-1132.00</v>
      </c>
      <c r="CQ1942" t="s">
        <v>198</v>
      </c>
      <c r="CS1942" t="s">
        <v>131</v>
      </c>
      <c r="CU1942" t="s">
        <v>142</v>
      </c>
      <c r="CW1942" t="s">
        <v>143</v>
      </c>
      <c r="CX1942" t="s">
        <v>149</v>
      </c>
      <c r="CZ1942" s="3" t="str">
        <f>"98052"</f>
        <v>98052</v>
      </c>
      <c r="DA1942" t="s">
        <v>131</v>
      </c>
      <c r="DB1942" t="str">
        <f>""</f>
        <v/>
      </c>
      <c r="DF1942" t="str">
        <f>""</f>
        <v/>
      </c>
    </row>
    <row r="1943" spans="1:110" ht="15" customHeight="1" x14ac:dyDescent="0.35">
      <c r="A1943" t="s">
        <v>16550</v>
      </c>
      <c r="B1943" t="s">
        <v>138</v>
      </c>
      <c r="C1943" s="1">
        <v>44358</v>
      </c>
      <c r="G1943" s="1">
        <v>44365</v>
      </c>
      <c r="H1943" t="s">
        <v>125</v>
      </c>
      <c r="I1943" t="s">
        <v>1477</v>
      </c>
      <c r="J1943" t="s">
        <v>4256</v>
      </c>
      <c r="K1943" t="s">
        <v>415</v>
      </c>
      <c r="L1943" t="s">
        <v>6501</v>
      </c>
      <c r="M1943" t="s">
        <v>6502</v>
      </c>
      <c r="O1943" t="s">
        <v>1034</v>
      </c>
      <c r="P1943" t="s">
        <v>593</v>
      </c>
      <c r="Q1943" s="3">
        <v>27606</v>
      </c>
      <c r="R1943" t="s">
        <v>128</v>
      </c>
      <c r="T1943" s="4">
        <v>19198562501</v>
      </c>
      <c r="V1943" t="s">
        <v>6503</v>
      </c>
      <c r="W1943" t="s">
        <v>6504</v>
      </c>
      <c r="X1943" t="s">
        <v>6505</v>
      </c>
      <c r="Y1943" t="s">
        <v>6502</v>
      </c>
      <c r="AA1943" t="s">
        <v>975</v>
      </c>
      <c r="AB1943" t="s">
        <v>594</v>
      </c>
      <c r="AC1943" s="3" t="str">
        <f>"27606"</f>
        <v>27606</v>
      </c>
      <c r="AD1943" t="s">
        <v>128</v>
      </c>
      <c r="AF1943" s="4">
        <v>19198562501</v>
      </c>
      <c r="AH1943" t="str">
        <f>"22111"</f>
        <v>22111</v>
      </c>
      <c r="AI1943" t="s">
        <v>130</v>
      </c>
      <c r="AJ1943" t="s">
        <v>3180</v>
      </c>
      <c r="AK1943" t="s">
        <v>3181</v>
      </c>
      <c r="AM1943" t="s">
        <v>3182</v>
      </c>
      <c r="AN1943" t="s">
        <v>656</v>
      </c>
      <c r="AO1943" t="s">
        <v>642</v>
      </c>
      <c r="AP1943" t="s">
        <v>643</v>
      </c>
      <c r="AQ1943" s="5">
        <v>30309</v>
      </c>
      <c r="AR1943" t="s">
        <v>128</v>
      </c>
      <c r="AT1943" s="4">
        <v>14048565495</v>
      </c>
      <c r="AV1943" t="s">
        <v>3183</v>
      </c>
      <c r="AW1943" t="s">
        <v>3184</v>
      </c>
      <c r="AX1943" t="s">
        <v>131</v>
      </c>
      <c r="AY1943" t="s">
        <v>131</v>
      </c>
      <c r="AZ1943" t="s">
        <v>131</v>
      </c>
      <c r="BA1943" t="s">
        <v>131</v>
      </c>
      <c r="BB1943" t="s">
        <v>131</v>
      </c>
      <c r="BC1943" t="s">
        <v>131</v>
      </c>
      <c r="BD1943" t="s">
        <v>131</v>
      </c>
      <c r="BE1943" t="s">
        <v>132</v>
      </c>
      <c r="BH1943" t="s">
        <v>9359</v>
      </c>
      <c r="BI1943" t="s">
        <v>131</v>
      </c>
      <c r="BL1943" t="s">
        <v>133</v>
      </c>
      <c r="BN1943" t="s">
        <v>16551</v>
      </c>
      <c r="BO1943" t="s">
        <v>131</v>
      </c>
      <c r="BP1943" t="s">
        <v>134</v>
      </c>
      <c r="BQ1943" t="s">
        <v>131</v>
      </c>
      <c r="BS1943" t="str">
        <f t="shared" si="111"/>
        <v>N/A</v>
      </c>
      <c r="BT1943" t="s">
        <v>135</v>
      </c>
      <c r="BU1943">
        <v>96</v>
      </c>
      <c r="BV1943" t="str">
        <f>"Any position where exp w/min reqs gained"</f>
        <v>Any position where exp w/min reqs gained</v>
      </c>
      <c r="BW1943" t="s">
        <v>135</v>
      </c>
      <c r="BX1943" t="str">
        <f>""</f>
        <v/>
      </c>
      <c r="BY1943" t="str">
        <f>""</f>
        <v/>
      </c>
      <c r="BZ1943" t="str">
        <f>""</f>
        <v/>
      </c>
      <c r="CA1943" t="s">
        <v>9360</v>
      </c>
      <c r="CB1943" t="s">
        <v>135</v>
      </c>
      <c r="CC1943" t="s">
        <v>167</v>
      </c>
      <c r="CF1943" t="s">
        <v>131</v>
      </c>
      <c r="CH1943" t="str">
        <f>"N/A"</f>
        <v>N/A</v>
      </c>
      <c r="CI1943" t="s">
        <v>135</v>
      </c>
      <c r="CJ1943">
        <v>144</v>
      </c>
      <c r="CK1943" t="s">
        <v>135</v>
      </c>
      <c r="CL1943" t="str">
        <f>""</f>
        <v/>
      </c>
      <c r="CM1943" t="str">
        <f>""</f>
        <v/>
      </c>
      <c r="CN1943" t="str">
        <f>""</f>
        <v/>
      </c>
      <c r="CO1943" t="s">
        <v>16552</v>
      </c>
      <c r="CP1943" t="str">
        <f>"11-2022.00"</f>
        <v>11-2022.00</v>
      </c>
      <c r="CQ1943" t="s">
        <v>164</v>
      </c>
      <c r="CS1943" t="s">
        <v>131</v>
      </c>
      <c r="CU1943" t="s">
        <v>9361</v>
      </c>
      <c r="CW1943" t="s">
        <v>1076</v>
      </c>
      <c r="CX1943" t="s">
        <v>195</v>
      </c>
      <c r="CZ1943" s="3" t="str">
        <f>"34787"</f>
        <v>34787</v>
      </c>
      <c r="DA1943" t="s">
        <v>131</v>
      </c>
      <c r="DB1943" t="str">
        <f>""</f>
        <v/>
      </c>
      <c r="DF1943" t="str">
        <f>""</f>
        <v/>
      </c>
    </row>
    <row r="1944" spans="1:110" ht="15" customHeight="1" x14ac:dyDescent="0.35">
      <c r="A1944" t="s">
        <v>14976</v>
      </c>
      <c r="B1944" t="s">
        <v>138</v>
      </c>
      <c r="C1944" s="1">
        <v>44358</v>
      </c>
      <c r="G1944" s="1">
        <v>44358</v>
      </c>
      <c r="H1944" t="s">
        <v>125</v>
      </c>
      <c r="I1944" t="s">
        <v>13251</v>
      </c>
      <c r="J1944" t="s">
        <v>7020</v>
      </c>
      <c r="L1944" t="s">
        <v>583</v>
      </c>
      <c r="M1944" t="s">
        <v>13252</v>
      </c>
      <c r="N1944" t="s">
        <v>13253</v>
      </c>
      <c r="O1944" t="s">
        <v>817</v>
      </c>
      <c r="P1944" t="s">
        <v>818</v>
      </c>
      <c r="Q1944" s="3">
        <v>30093</v>
      </c>
      <c r="R1944" t="s">
        <v>128</v>
      </c>
      <c r="T1944" s="4">
        <v>18002889699</v>
      </c>
      <c r="V1944" t="s">
        <v>13254</v>
      </c>
      <c r="W1944" t="s">
        <v>13255</v>
      </c>
      <c r="X1944" t="s">
        <v>13256</v>
      </c>
      <c r="Y1944" t="s">
        <v>13252</v>
      </c>
      <c r="Z1944" t="s">
        <v>13253</v>
      </c>
      <c r="AA1944" t="s">
        <v>817</v>
      </c>
      <c r="AB1944" t="s">
        <v>643</v>
      </c>
      <c r="AC1944" s="3" t="str">
        <f>"30093"</f>
        <v>30093</v>
      </c>
      <c r="AD1944" t="s">
        <v>128</v>
      </c>
      <c r="AF1944" s="4">
        <v>18002889699</v>
      </c>
      <c r="AH1944" t="str">
        <f>"446120"</f>
        <v>446120</v>
      </c>
      <c r="AI1944" t="s">
        <v>130</v>
      </c>
      <c r="AJ1944" t="s">
        <v>2821</v>
      </c>
      <c r="AK1944" t="s">
        <v>2116</v>
      </c>
      <c r="AL1944" t="s">
        <v>9391</v>
      </c>
      <c r="AM1944" t="s">
        <v>8508</v>
      </c>
      <c r="AN1944" t="s">
        <v>8509</v>
      </c>
      <c r="AO1944" t="s">
        <v>817</v>
      </c>
      <c r="AP1944" t="s">
        <v>643</v>
      </c>
      <c r="AQ1944" s="5">
        <v>30093</v>
      </c>
      <c r="AR1944" t="s">
        <v>128</v>
      </c>
      <c r="AT1944" s="4">
        <v>16782052870</v>
      </c>
      <c r="AV1944" t="s">
        <v>13257</v>
      </c>
      <c r="AW1944" t="s">
        <v>13257</v>
      </c>
      <c r="AX1944" t="s">
        <v>131</v>
      </c>
      <c r="AY1944" t="s">
        <v>131</v>
      </c>
      <c r="AZ1944" t="s">
        <v>131</v>
      </c>
      <c r="BA1944" t="s">
        <v>131</v>
      </c>
      <c r="BB1944" t="s">
        <v>131</v>
      </c>
      <c r="BC1944" t="s">
        <v>131</v>
      </c>
      <c r="BD1944" t="s">
        <v>131</v>
      </c>
      <c r="BE1944" t="s">
        <v>132</v>
      </c>
      <c r="BH1944" t="s">
        <v>7161</v>
      </c>
      <c r="BI1944" t="s">
        <v>131</v>
      </c>
      <c r="BL1944" t="s">
        <v>167</v>
      </c>
      <c r="BO1944" t="s">
        <v>131</v>
      </c>
      <c r="BP1944" t="s">
        <v>134</v>
      </c>
      <c r="BQ1944" t="s">
        <v>131</v>
      </c>
      <c r="BS1944" t="str">
        <f t="shared" si="111"/>
        <v>N/A</v>
      </c>
      <c r="BT1944" t="s">
        <v>131</v>
      </c>
      <c r="BV1944" t="str">
        <f>""</f>
        <v/>
      </c>
      <c r="BW1944" t="s">
        <v>131</v>
      </c>
      <c r="BX1944" t="str">
        <f>""</f>
        <v/>
      </c>
      <c r="BY1944" t="str">
        <f>""</f>
        <v/>
      </c>
      <c r="BZ1944" t="str">
        <f>""</f>
        <v/>
      </c>
      <c r="CA1944" t="str">
        <f>""</f>
        <v/>
      </c>
      <c r="CB1944" t="s">
        <v>131</v>
      </c>
      <c r="CF1944" t="s">
        <v>131</v>
      </c>
      <c r="CH1944" t="str">
        <f>""</f>
        <v/>
      </c>
      <c r="CI1944" t="s">
        <v>131</v>
      </c>
      <c r="CK1944" t="s">
        <v>131</v>
      </c>
      <c r="CL1944" t="str">
        <f>""</f>
        <v/>
      </c>
      <c r="CM1944" t="str">
        <f>""</f>
        <v/>
      </c>
      <c r="CN1944" t="str">
        <f>""</f>
        <v/>
      </c>
      <c r="CO1944" t="str">
        <f>""</f>
        <v/>
      </c>
      <c r="CP1944" t="str">
        <f>"43-5071.00"</f>
        <v>43-5071.00</v>
      </c>
      <c r="CQ1944" t="s">
        <v>7140</v>
      </c>
      <c r="CR1944" t="s">
        <v>460</v>
      </c>
      <c r="CS1944" t="s">
        <v>131</v>
      </c>
      <c r="CU1944" t="s">
        <v>13252</v>
      </c>
      <c r="CV1944" t="s">
        <v>13253</v>
      </c>
      <c r="CW1944" t="s">
        <v>817</v>
      </c>
      <c r="CX1944" t="s">
        <v>643</v>
      </c>
      <c r="CZ1944" s="3" t="str">
        <f>"30093"</f>
        <v>30093</v>
      </c>
      <c r="DA1944" t="s">
        <v>131</v>
      </c>
      <c r="DB1944" t="str">
        <f>""</f>
        <v/>
      </c>
      <c r="DF1944" t="str">
        <f>""</f>
        <v/>
      </c>
    </row>
    <row r="1945" spans="1:110" ht="15" customHeight="1" x14ac:dyDescent="0.35">
      <c r="A1945" t="s">
        <v>16915</v>
      </c>
      <c r="B1945" t="s">
        <v>138</v>
      </c>
      <c r="C1945" s="1">
        <v>44358</v>
      </c>
      <c r="G1945" s="1">
        <v>44375</v>
      </c>
      <c r="H1945" t="s">
        <v>125</v>
      </c>
      <c r="I1945" t="s">
        <v>11963</v>
      </c>
      <c r="J1945" t="s">
        <v>11410</v>
      </c>
      <c r="K1945" t="s">
        <v>2374</v>
      </c>
      <c r="L1945" t="s">
        <v>126</v>
      </c>
      <c r="M1945" t="s">
        <v>12269</v>
      </c>
      <c r="N1945" t="s">
        <v>16916</v>
      </c>
      <c r="O1945" t="s">
        <v>12270</v>
      </c>
      <c r="P1945" t="s">
        <v>127</v>
      </c>
      <c r="Q1945" s="3">
        <v>11542</v>
      </c>
      <c r="R1945" t="s">
        <v>128</v>
      </c>
      <c r="T1945" s="4">
        <v>15166718187</v>
      </c>
      <c r="U1945">
        <v>101</v>
      </c>
      <c r="V1945" t="s">
        <v>12271</v>
      </c>
      <c r="W1945" t="s">
        <v>13854</v>
      </c>
      <c r="Y1945" t="s">
        <v>16917</v>
      </c>
      <c r="AA1945" t="s">
        <v>129</v>
      </c>
      <c r="AB1945" t="s">
        <v>129</v>
      </c>
      <c r="AC1945" s="3" t="str">
        <f>"10011"</f>
        <v>10011</v>
      </c>
      <c r="AD1945" t="s">
        <v>128</v>
      </c>
      <c r="AF1945" s="4">
        <v>12123147300</v>
      </c>
      <c r="AH1945" t="str">
        <f>"519130"</f>
        <v>519130</v>
      </c>
      <c r="AI1945" t="s">
        <v>130</v>
      </c>
      <c r="AJ1945" t="s">
        <v>11963</v>
      </c>
      <c r="AK1945" t="s">
        <v>11410</v>
      </c>
      <c r="AL1945" t="s">
        <v>2374</v>
      </c>
      <c r="AM1945" t="s">
        <v>12269</v>
      </c>
      <c r="AN1945" t="s">
        <v>16916</v>
      </c>
      <c r="AO1945" t="s">
        <v>12270</v>
      </c>
      <c r="AP1945" t="s">
        <v>129</v>
      </c>
      <c r="AQ1945" s="5">
        <v>11542</v>
      </c>
      <c r="AR1945" t="s">
        <v>128</v>
      </c>
      <c r="AT1945" s="4">
        <v>15166718187</v>
      </c>
      <c r="AU1945">
        <v>101</v>
      </c>
      <c r="AV1945" t="s">
        <v>12271</v>
      </c>
      <c r="AW1945" t="s">
        <v>12272</v>
      </c>
      <c r="AX1945" t="s">
        <v>131</v>
      </c>
      <c r="AY1945" t="s">
        <v>131</v>
      </c>
      <c r="AZ1945" t="s">
        <v>131</v>
      </c>
      <c r="BA1945" t="s">
        <v>131</v>
      </c>
      <c r="BB1945" t="s">
        <v>131</v>
      </c>
      <c r="BC1945" t="s">
        <v>131</v>
      </c>
      <c r="BD1945" t="s">
        <v>131</v>
      </c>
      <c r="BE1945" t="s">
        <v>132</v>
      </c>
      <c r="BH1945" t="s">
        <v>13855</v>
      </c>
      <c r="BI1945" t="s">
        <v>131</v>
      </c>
      <c r="BL1945" t="s">
        <v>188</v>
      </c>
      <c r="BN1945" t="s">
        <v>16918</v>
      </c>
      <c r="BO1945" t="s">
        <v>131</v>
      </c>
      <c r="BP1945" t="s">
        <v>134</v>
      </c>
      <c r="BQ1945" t="s">
        <v>131</v>
      </c>
      <c r="BS1945" t="str">
        <f t="shared" si="111"/>
        <v>N/A</v>
      </c>
      <c r="BT1945" t="s">
        <v>135</v>
      </c>
      <c r="BU1945">
        <v>36</v>
      </c>
      <c r="BV1945" t="str">
        <f>"Javascript Engineer, or other related occupation in the software as a service (SaaS) industry.  "</f>
        <v xml:space="preserve">Javascript Engineer, or other related occupation in the software as a service (SaaS) industry.  </v>
      </c>
      <c r="BW1945" t="s">
        <v>135</v>
      </c>
      <c r="BX1945" t="str">
        <f>""</f>
        <v/>
      </c>
      <c r="BY1945" t="str">
        <f>""</f>
        <v/>
      </c>
      <c r="BZ1945" t="str">
        <f>""</f>
        <v/>
      </c>
      <c r="CA1945" t="str">
        <f>"Experience must include working on large scale distributed applications in the live broadcast software industry."</f>
        <v>Experience must include working on large scale distributed applications in the live broadcast software industry.</v>
      </c>
      <c r="CB1945" t="s">
        <v>135</v>
      </c>
      <c r="CC1945" t="s">
        <v>133</v>
      </c>
      <c r="CE1945" t="s">
        <v>16918</v>
      </c>
      <c r="CF1945" t="s">
        <v>131</v>
      </c>
      <c r="CH1945" t="str">
        <f>"N/A"</f>
        <v>N/A</v>
      </c>
      <c r="CI1945" t="s">
        <v>135</v>
      </c>
      <c r="CJ1945">
        <v>60</v>
      </c>
      <c r="CK1945" t="s">
        <v>135</v>
      </c>
      <c r="CL1945" t="str">
        <f>""</f>
        <v/>
      </c>
      <c r="CM1945" t="str">
        <f>""</f>
        <v/>
      </c>
      <c r="CN1945" t="str">
        <f>""</f>
        <v/>
      </c>
      <c r="CO1945" t="s">
        <v>13856</v>
      </c>
      <c r="CP1945" t="str">
        <f>"15-1132.00"</f>
        <v>15-1132.00</v>
      </c>
      <c r="CQ1945" t="s">
        <v>198</v>
      </c>
      <c r="CR1945" t="s">
        <v>1068</v>
      </c>
      <c r="CS1945" t="s">
        <v>131</v>
      </c>
      <c r="CU1945" t="s">
        <v>16919</v>
      </c>
      <c r="CW1945" t="s">
        <v>494</v>
      </c>
      <c r="CX1945" t="s">
        <v>129</v>
      </c>
      <c r="CZ1945" s="3" t="str">
        <f>"10011"</f>
        <v>10011</v>
      </c>
      <c r="DA1945" t="s">
        <v>131</v>
      </c>
      <c r="DB1945" t="str">
        <f>""</f>
        <v/>
      </c>
      <c r="DF1945" t="str">
        <f>""</f>
        <v/>
      </c>
    </row>
    <row r="1946" spans="1:110" ht="15" customHeight="1" x14ac:dyDescent="0.35">
      <c r="A1946" t="s">
        <v>13463</v>
      </c>
      <c r="B1946" t="s">
        <v>138</v>
      </c>
      <c r="C1946" s="1">
        <v>44358</v>
      </c>
      <c r="G1946" s="1">
        <v>44358</v>
      </c>
      <c r="H1946" t="s">
        <v>125</v>
      </c>
      <c r="I1946" t="s">
        <v>12759</v>
      </c>
      <c r="J1946" t="s">
        <v>12760</v>
      </c>
      <c r="L1946" t="s">
        <v>12761</v>
      </c>
      <c r="M1946" t="s">
        <v>12762</v>
      </c>
      <c r="N1946" t="s">
        <v>12763</v>
      </c>
      <c r="O1946" t="s">
        <v>3883</v>
      </c>
      <c r="P1946" t="s">
        <v>127</v>
      </c>
      <c r="Q1946" s="3">
        <v>10005</v>
      </c>
      <c r="R1946" t="s">
        <v>128</v>
      </c>
      <c r="T1946" s="4">
        <v>12125104534</v>
      </c>
      <c r="V1946" t="s">
        <v>12764</v>
      </c>
      <c r="W1946" t="s">
        <v>13464</v>
      </c>
      <c r="Y1946" t="s">
        <v>12762</v>
      </c>
      <c r="Z1946" t="s">
        <v>12763</v>
      </c>
      <c r="AA1946" t="s">
        <v>3883</v>
      </c>
      <c r="AB1946" t="s">
        <v>129</v>
      </c>
      <c r="AC1946" s="3" t="str">
        <f>"10005"</f>
        <v>10005</v>
      </c>
      <c r="AD1946" t="s">
        <v>128</v>
      </c>
      <c r="AF1946" s="4">
        <v>12124406906</v>
      </c>
      <c r="AH1946" t="str">
        <f>"522110"</f>
        <v>522110</v>
      </c>
      <c r="AI1946" t="s">
        <v>130</v>
      </c>
      <c r="AJ1946" t="s">
        <v>12765</v>
      </c>
      <c r="AK1946" t="s">
        <v>560</v>
      </c>
      <c r="AM1946" t="s">
        <v>493</v>
      </c>
      <c r="AN1946" t="s">
        <v>547</v>
      </c>
      <c r="AO1946" t="s">
        <v>494</v>
      </c>
      <c r="AP1946" t="s">
        <v>129</v>
      </c>
      <c r="AQ1946" s="5">
        <v>10018</v>
      </c>
      <c r="AR1946" t="s">
        <v>128</v>
      </c>
      <c r="AT1946" s="4">
        <v>12122302866</v>
      </c>
      <c r="AV1946" t="s">
        <v>5968</v>
      </c>
      <c r="AW1946" t="s">
        <v>386</v>
      </c>
      <c r="AX1946" t="s">
        <v>131</v>
      </c>
      <c r="AY1946" t="s">
        <v>131</v>
      </c>
      <c r="AZ1946" t="s">
        <v>131</v>
      </c>
      <c r="BA1946" t="s">
        <v>131</v>
      </c>
      <c r="BB1946" t="s">
        <v>131</v>
      </c>
      <c r="BC1946" t="s">
        <v>131</v>
      </c>
      <c r="BD1946" t="s">
        <v>131</v>
      </c>
      <c r="BE1946" t="s">
        <v>132</v>
      </c>
      <c r="BH1946" t="s">
        <v>696</v>
      </c>
      <c r="BI1946" t="s">
        <v>131</v>
      </c>
      <c r="BL1946" t="s">
        <v>133</v>
      </c>
      <c r="BN1946" t="s">
        <v>13465</v>
      </c>
      <c r="BO1946" t="s">
        <v>131</v>
      </c>
      <c r="BP1946" t="s">
        <v>134</v>
      </c>
      <c r="BQ1946" t="s">
        <v>131</v>
      </c>
      <c r="BS1946" t="str">
        <f t="shared" si="111"/>
        <v>N/A</v>
      </c>
      <c r="BT1946" t="s">
        <v>135</v>
      </c>
      <c r="BU1946">
        <v>60</v>
      </c>
      <c r="BV1946" t="str">
        <f>"See Section F.a.2: Job Duties. "</f>
        <v xml:space="preserve">See Section F.a.2: Job Duties. </v>
      </c>
      <c r="BW1946" t="s">
        <v>131</v>
      </c>
      <c r="BX1946" t="str">
        <f>""</f>
        <v/>
      </c>
      <c r="BY1946" t="str">
        <f>""</f>
        <v/>
      </c>
      <c r="BZ1946" t="str">
        <f>""</f>
        <v/>
      </c>
      <c r="CA1946" t="str">
        <f>""</f>
        <v/>
      </c>
      <c r="CB1946" t="s">
        <v>131</v>
      </c>
      <c r="CF1946" t="s">
        <v>131</v>
      </c>
      <c r="CH1946" t="str">
        <f>""</f>
        <v/>
      </c>
      <c r="CI1946" t="s">
        <v>131</v>
      </c>
      <c r="CK1946" t="s">
        <v>131</v>
      </c>
      <c r="CL1946" t="str">
        <f>""</f>
        <v/>
      </c>
      <c r="CM1946" t="str">
        <f>""</f>
        <v/>
      </c>
      <c r="CN1946" t="str">
        <f>""</f>
        <v/>
      </c>
      <c r="CO1946" t="str">
        <f>""</f>
        <v/>
      </c>
      <c r="CP1946" t="str">
        <f>"15-1132.00"</f>
        <v>15-1132.00</v>
      </c>
      <c r="CQ1946" t="s">
        <v>198</v>
      </c>
      <c r="CR1946" t="s">
        <v>12766</v>
      </c>
      <c r="CS1946" t="s">
        <v>131</v>
      </c>
      <c r="CU1946" t="s">
        <v>12762</v>
      </c>
      <c r="CW1946" t="s">
        <v>3883</v>
      </c>
      <c r="CX1946" t="s">
        <v>129</v>
      </c>
      <c r="CZ1946" s="3" t="str">
        <f>"10005"</f>
        <v>10005</v>
      </c>
      <c r="DA1946" t="s">
        <v>131</v>
      </c>
      <c r="DB1946" t="str">
        <f>""</f>
        <v/>
      </c>
      <c r="DF1946" t="str">
        <f>""</f>
        <v/>
      </c>
    </row>
    <row r="1947" spans="1:110" ht="15" customHeight="1" x14ac:dyDescent="0.35">
      <c r="A1947" t="s">
        <v>12066</v>
      </c>
      <c r="B1947" t="s">
        <v>138</v>
      </c>
      <c r="C1947" s="1">
        <v>44358</v>
      </c>
      <c r="G1947" s="1">
        <v>44358</v>
      </c>
      <c r="H1947" t="s">
        <v>125</v>
      </c>
      <c r="I1947" t="s">
        <v>12067</v>
      </c>
      <c r="J1947" t="s">
        <v>662</v>
      </c>
      <c r="L1947" t="s">
        <v>12068</v>
      </c>
      <c r="M1947" t="s">
        <v>12069</v>
      </c>
      <c r="O1947" t="s">
        <v>5269</v>
      </c>
      <c r="P1947" t="s">
        <v>127</v>
      </c>
      <c r="Q1947" s="3">
        <v>10962</v>
      </c>
      <c r="R1947" t="s">
        <v>128</v>
      </c>
      <c r="T1947" s="4">
        <v>18456806316</v>
      </c>
      <c r="V1947" t="s">
        <v>12070</v>
      </c>
      <c r="W1947" t="s">
        <v>12071</v>
      </c>
      <c r="Y1947" t="s">
        <v>12069</v>
      </c>
      <c r="AA1947" t="s">
        <v>5269</v>
      </c>
      <c r="AB1947" t="s">
        <v>129</v>
      </c>
      <c r="AC1947" s="3" t="str">
        <f>"10962"</f>
        <v>10962</v>
      </c>
      <c r="AD1947" t="s">
        <v>128</v>
      </c>
      <c r="AE1947" t="s">
        <v>129</v>
      </c>
      <c r="AF1947" s="4">
        <v>18453652500</v>
      </c>
      <c r="AH1947" t="str">
        <f>"42421"</f>
        <v>42421</v>
      </c>
      <c r="AI1947" t="s">
        <v>130</v>
      </c>
      <c r="AJ1947" t="s">
        <v>5433</v>
      </c>
      <c r="AK1947" t="s">
        <v>5434</v>
      </c>
      <c r="AM1947" t="s">
        <v>5435</v>
      </c>
      <c r="AO1947" t="s">
        <v>494</v>
      </c>
      <c r="AP1947" t="s">
        <v>129</v>
      </c>
      <c r="AQ1947" s="5">
        <v>10019</v>
      </c>
      <c r="AR1947" t="s">
        <v>128</v>
      </c>
      <c r="AS1947" t="s">
        <v>5436</v>
      </c>
      <c r="AT1947" s="4">
        <v>12126096816</v>
      </c>
      <c r="AV1947" t="s">
        <v>5437</v>
      </c>
      <c r="AW1947" t="s">
        <v>5438</v>
      </c>
      <c r="AX1947" t="s">
        <v>131</v>
      </c>
      <c r="AY1947" t="s">
        <v>131</v>
      </c>
      <c r="AZ1947" t="s">
        <v>131</v>
      </c>
      <c r="BA1947" t="s">
        <v>131</v>
      </c>
      <c r="BB1947" t="s">
        <v>131</v>
      </c>
      <c r="BC1947" t="s">
        <v>131</v>
      </c>
      <c r="BD1947" t="s">
        <v>131</v>
      </c>
      <c r="BE1947" t="s">
        <v>132</v>
      </c>
      <c r="BH1947" t="s">
        <v>12072</v>
      </c>
      <c r="BI1947" t="s">
        <v>135</v>
      </c>
      <c r="BJ1947" t="s">
        <v>3741</v>
      </c>
      <c r="BK1947" t="s">
        <v>1818</v>
      </c>
      <c r="BL1947" t="s">
        <v>188</v>
      </c>
      <c r="BN1947" t="s">
        <v>12073</v>
      </c>
      <c r="BO1947" t="s">
        <v>131</v>
      </c>
      <c r="BP1947" t="s">
        <v>134</v>
      </c>
      <c r="BQ1947" t="s">
        <v>131</v>
      </c>
      <c r="BS1947" t="str">
        <f t="shared" si="111"/>
        <v>N/A</v>
      </c>
      <c r="BT1947" t="s">
        <v>135</v>
      </c>
      <c r="BU1947">
        <v>36</v>
      </c>
      <c r="BV1947" t="str">
        <f>"CRM Analytics"</f>
        <v>CRM Analytics</v>
      </c>
      <c r="BW1947" t="s">
        <v>135</v>
      </c>
      <c r="BX1947" t="str">
        <f>""</f>
        <v/>
      </c>
      <c r="BY1947" t="str">
        <f>""</f>
        <v/>
      </c>
      <c r="BZ1947" t="str">
        <f>""</f>
        <v/>
      </c>
      <c r="CA1947" t="s">
        <v>12074</v>
      </c>
      <c r="CB1947" t="s">
        <v>131</v>
      </c>
      <c r="CF1947" t="s">
        <v>131</v>
      </c>
      <c r="CH1947" t="str">
        <f>""</f>
        <v/>
      </c>
      <c r="CI1947" t="s">
        <v>131</v>
      </c>
      <c r="CK1947" t="s">
        <v>131</v>
      </c>
      <c r="CL1947" t="str">
        <f>""</f>
        <v/>
      </c>
      <c r="CM1947" t="str">
        <f>""</f>
        <v/>
      </c>
      <c r="CN1947" t="str">
        <f>""</f>
        <v/>
      </c>
      <c r="CO1947" t="str">
        <f>""</f>
        <v/>
      </c>
      <c r="CP1947" t="str">
        <f>"15-1199.08"</f>
        <v>15-1199.08</v>
      </c>
      <c r="CQ1947" t="s">
        <v>265</v>
      </c>
      <c r="CR1947" t="s">
        <v>12075</v>
      </c>
      <c r="CS1947" t="s">
        <v>131</v>
      </c>
      <c r="CU1947" t="s">
        <v>12076</v>
      </c>
      <c r="CV1947" t="s">
        <v>12077</v>
      </c>
      <c r="CW1947" t="s">
        <v>494</v>
      </c>
      <c r="CX1947" t="s">
        <v>129</v>
      </c>
      <c r="CZ1947" s="3" t="str">
        <f>"10016"</f>
        <v>10016</v>
      </c>
      <c r="DA1947" t="s">
        <v>131</v>
      </c>
      <c r="DB1947" t="str">
        <f>""</f>
        <v/>
      </c>
      <c r="DF1947" t="str">
        <f>""</f>
        <v/>
      </c>
    </row>
    <row r="1948" spans="1:110" ht="15" customHeight="1" x14ac:dyDescent="0.35">
      <c r="A1948" t="s">
        <v>17868</v>
      </c>
      <c r="B1948" t="s">
        <v>138</v>
      </c>
      <c r="C1948" s="1">
        <v>44358</v>
      </c>
      <c r="G1948" s="1">
        <v>44358</v>
      </c>
      <c r="H1948" t="s">
        <v>125</v>
      </c>
      <c r="I1948" t="s">
        <v>12759</v>
      </c>
      <c r="J1948" t="s">
        <v>12760</v>
      </c>
      <c r="L1948" t="s">
        <v>12761</v>
      </c>
      <c r="M1948" t="s">
        <v>12762</v>
      </c>
      <c r="N1948" t="s">
        <v>12763</v>
      </c>
      <c r="O1948" t="s">
        <v>3883</v>
      </c>
      <c r="P1948" t="s">
        <v>127</v>
      </c>
      <c r="Q1948" s="3">
        <v>10005</v>
      </c>
      <c r="R1948" t="s">
        <v>128</v>
      </c>
      <c r="T1948" s="4">
        <v>12125104534</v>
      </c>
      <c r="V1948" t="s">
        <v>12764</v>
      </c>
      <c r="W1948" t="s">
        <v>17869</v>
      </c>
      <c r="Y1948" t="s">
        <v>12762</v>
      </c>
      <c r="Z1948" t="s">
        <v>12763</v>
      </c>
      <c r="AA1948" t="s">
        <v>3883</v>
      </c>
      <c r="AB1948" t="s">
        <v>129</v>
      </c>
      <c r="AC1948" s="3" t="str">
        <f>"10005"</f>
        <v>10005</v>
      </c>
      <c r="AD1948" t="s">
        <v>128</v>
      </c>
      <c r="AF1948" s="4">
        <v>12124406906</v>
      </c>
      <c r="AH1948" t="str">
        <f>"522110"</f>
        <v>522110</v>
      </c>
      <c r="AI1948" t="s">
        <v>130</v>
      </c>
      <c r="AJ1948" t="s">
        <v>12765</v>
      </c>
      <c r="AK1948" t="s">
        <v>560</v>
      </c>
      <c r="AM1948" t="s">
        <v>493</v>
      </c>
      <c r="AN1948" t="s">
        <v>547</v>
      </c>
      <c r="AO1948" t="s">
        <v>494</v>
      </c>
      <c r="AP1948" t="s">
        <v>129</v>
      </c>
      <c r="AQ1948" s="5">
        <v>10018</v>
      </c>
      <c r="AR1948" t="s">
        <v>128</v>
      </c>
      <c r="AT1948" s="4">
        <v>12122302866</v>
      </c>
      <c r="AV1948" t="s">
        <v>5968</v>
      </c>
      <c r="AW1948" t="s">
        <v>386</v>
      </c>
      <c r="AX1948" t="s">
        <v>131</v>
      </c>
      <c r="AY1948" t="s">
        <v>131</v>
      </c>
      <c r="AZ1948" t="s">
        <v>131</v>
      </c>
      <c r="BA1948" t="s">
        <v>131</v>
      </c>
      <c r="BB1948" t="s">
        <v>131</v>
      </c>
      <c r="BC1948" t="s">
        <v>131</v>
      </c>
      <c r="BD1948" t="s">
        <v>131</v>
      </c>
      <c r="BE1948" t="s">
        <v>132</v>
      </c>
      <c r="BH1948" t="s">
        <v>17870</v>
      </c>
      <c r="BI1948" t="s">
        <v>131</v>
      </c>
      <c r="BL1948" t="s">
        <v>133</v>
      </c>
      <c r="BN1948" t="s">
        <v>13465</v>
      </c>
      <c r="BO1948" t="s">
        <v>131</v>
      </c>
      <c r="BP1948" t="s">
        <v>134</v>
      </c>
      <c r="BQ1948" t="s">
        <v>131</v>
      </c>
      <c r="BS1948" t="str">
        <f t="shared" si="111"/>
        <v>N/A</v>
      </c>
      <c r="BT1948" t="s">
        <v>135</v>
      </c>
      <c r="BU1948">
        <v>36</v>
      </c>
      <c r="BV1948" t="str">
        <f>"See Section F.a.2: Job Duties."</f>
        <v>See Section F.a.2: Job Duties.</v>
      </c>
      <c r="BW1948" t="s">
        <v>131</v>
      </c>
      <c r="BX1948" t="str">
        <f>""</f>
        <v/>
      </c>
      <c r="BY1948" t="str">
        <f>""</f>
        <v/>
      </c>
      <c r="BZ1948" t="str">
        <f>""</f>
        <v/>
      </c>
      <c r="CA1948" t="str">
        <f>""</f>
        <v/>
      </c>
      <c r="CB1948" t="s">
        <v>131</v>
      </c>
      <c r="CF1948" t="s">
        <v>131</v>
      </c>
      <c r="CH1948" t="str">
        <f>""</f>
        <v/>
      </c>
      <c r="CI1948" t="s">
        <v>131</v>
      </c>
      <c r="CK1948" t="s">
        <v>131</v>
      </c>
      <c r="CL1948" t="str">
        <f>""</f>
        <v/>
      </c>
      <c r="CM1948" t="str">
        <f>""</f>
        <v/>
      </c>
      <c r="CN1948" t="str">
        <f>""</f>
        <v/>
      </c>
      <c r="CO1948" t="str">
        <f>""</f>
        <v/>
      </c>
      <c r="CP1948" t="str">
        <f>"15-1132.00"</f>
        <v>15-1132.00</v>
      </c>
      <c r="CQ1948" t="s">
        <v>198</v>
      </c>
      <c r="CR1948" t="s">
        <v>12766</v>
      </c>
      <c r="CS1948" t="s">
        <v>131</v>
      </c>
      <c r="CU1948" t="s">
        <v>12762</v>
      </c>
      <c r="CW1948" t="s">
        <v>3883</v>
      </c>
      <c r="CX1948" t="s">
        <v>129</v>
      </c>
      <c r="CZ1948" s="3" t="str">
        <f>"10005"</f>
        <v>10005</v>
      </c>
      <c r="DA1948" t="s">
        <v>131</v>
      </c>
      <c r="DB1948" t="str">
        <f>""</f>
        <v/>
      </c>
      <c r="DF1948" t="str">
        <f>""</f>
        <v/>
      </c>
    </row>
    <row r="1949" spans="1:110" ht="15" customHeight="1" x14ac:dyDescent="0.35">
      <c r="A1949" t="s">
        <v>11832</v>
      </c>
      <c r="B1949" t="s">
        <v>138</v>
      </c>
      <c r="C1949" s="1">
        <v>44358</v>
      </c>
      <c r="G1949" s="1">
        <v>44377</v>
      </c>
      <c r="H1949" t="s">
        <v>125</v>
      </c>
      <c r="I1949" t="s">
        <v>139</v>
      </c>
      <c r="J1949" t="s">
        <v>140</v>
      </c>
      <c r="L1949" t="s">
        <v>141</v>
      </c>
      <c r="M1949" t="s">
        <v>142</v>
      </c>
      <c r="O1949" t="s">
        <v>143</v>
      </c>
      <c r="P1949" t="s">
        <v>144</v>
      </c>
      <c r="Q1949" s="3">
        <v>98052</v>
      </c>
      <c r="R1949" t="s">
        <v>128</v>
      </c>
      <c r="T1949" s="4">
        <v>14255383872</v>
      </c>
      <c r="V1949" t="s">
        <v>234</v>
      </c>
      <c r="W1949" t="s">
        <v>235</v>
      </c>
      <c r="Y1949" t="s">
        <v>236</v>
      </c>
      <c r="AA1949" t="s">
        <v>143</v>
      </c>
      <c r="AB1949" t="s">
        <v>149</v>
      </c>
      <c r="AC1949" s="3" t="str">
        <f>"98052"</f>
        <v>98052</v>
      </c>
      <c r="AD1949" t="s">
        <v>128</v>
      </c>
      <c r="AF1949" s="4">
        <v>14255383872</v>
      </c>
      <c r="AH1949" t="str">
        <f>"51121"</f>
        <v>51121</v>
      </c>
      <c r="AI1949" t="s">
        <v>130</v>
      </c>
      <c r="AJ1949" t="s">
        <v>237</v>
      </c>
      <c r="AK1949" t="s">
        <v>238</v>
      </c>
      <c r="AM1949" t="s">
        <v>239</v>
      </c>
      <c r="AN1949" t="s">
        <v>240</v>
      </c>
      <c r="AO1949" t="s">
        <v>241</v>
      </c>
      <c r="AQ1949" s="5" t="s">
        <v>242</v>
      </c>
      <c r="AR1949" t="s">
        <v>156</v>
      </c>
      <c r="AS1949" t="s">
        <v>243</v>
      </c>
      <c r="AT1949" s="4">
        <v>16048067013</v>
      </c>
      <c r="AV1949" t="s">
        <v>234</v>
      </c>
      <c r="AW1949" t="s">
        <v>244</v>
      </c>
      <c r="AX1949" t="s">
        <v>131</v>
      </c>
      <c r="AY1949" t="s">
        <v>131</v>
      </c>
      <c r="AZ1949" t="s">
        <v>131</v>
      </c>
      <c r="BA1949" t="s">
        <v>131</v>
      </c>
      <c r="BB1949" t="s">
        <v>131</v>
      </c>
      <c r="BC1949" t="s">
        <v>131</v>
      </c>
      <c r="BD1949" t="s">
        <v>131</v>
      </c>
      <c r="BE1949" t="s">
        <v>132</v>
      </c>
      <c r="BH1949" t="s">
        <v>7963</v>
      </c>
      <c r="BI1949" t="s">
        <v>131</v>
      </c>
      <c r="BL1949" t="s">
        <v>133</v>
      </c>
      <c r="BN1949" t="s">
        <v>11833</v>
      </c>
      <c r="BO1949" t="s">
        <v>131</v>
      </c>
      <c r="BP1949" t="s">
        <v>134</v>
      </c>
      <c r="BQ1949" t="s">
        <v>131</v>
      </c>
      <c r="BS1949" t="str">
        <f t="shared" si="111"/>
        <v>N/A</v>
      </c>
      <c r="BT1949" t="s">
        <v>135</v>
      </c>
      <c r="BU1949">
        <v>12</v>
      </c>
      <c r="BV1949" t="str">
        <f>"All Computer related occupations"</f>
        <v>All Computer related occupations</v>
      </c>
      <c r="BW1949" t="s">
        <v>135</v>
      </c>
      <c r="BX1949" t="str">
        <f>""</f>
        <v/>
      </c>
      <c r="BY1949" t="str">
        <f>""</f>
        <v/>
      </c>
      <c r="BZ1949" t="str">
        <f>""</f>
        <v/>
      </c>
      <c r="CA1949" t="s">
        <v>11834</v>
      </c>
      <c r="CB1949" t="s">
        <v>131</v>
      </c>
      <c r="CF1949" t="s">
        <v>131</v>
      </c>
      <c r="CH1949" t="str">
        <f>""</f>
        <v/>
      </c>
      <c r="CI1949" t="s">
        <v>131</v>
      </c>
      <c r="CK1949" t="s">
        <v>131</v>
      </c>
      <c r="CL1949" t="str">
        <f>""</f>
        <v/>
      </c>
      <c r="CM1949" t="str">
        <f>""</f>
        <v/>
      </c>
      <c r="CN1949" t="str">
        <f>""</f>
        <v/>
      </c>
      <c r="CO1949" t="str">
        <f>""</f>
        <v/>
      </c>
      <c r="CP1949" t="str">
        <f>"15-1199.00"</f>
        <v>15-1199.00</v>
      </c>
      <c r="CQ1949" t="s">
        <v>219</v>
      </c>
      <c r="CS1949" t="s">
        <v>131</v>
      </c>
      <c r="CU1949" t="s">
        <v>11835</v>
      </c>
      <c r="CW1949" t="s">
        <v>600</v>
      </c>
      <c r="CX1949" t="s">
        <v>594</v>
      </c>
      <c r="CZ1949" s="3" t="str">
        <f>"28273"</f>
        <v>28273</v>
      </c>
      <c r="DA1949" t="s">
        <v>131</v>
      </c>
      <c r="DB1949" t="str">
        <f>""</f>
        <v/>
      </c>
      <c r="DF1949" t="str">
        <f>""</f>
        <v/>
      </c>
    </row>
    <row r="1950" spans="1:110" ht="15" customHeight="1" x14ac:dyDescent="0.35">
      <c r="A1950" t="s">
        <v>16080</v>
      </c>
      <c r="B1950" t="s">
        <v>138</v>
      </c>
      <c r="C1950" s="1">
        <v>44358</v>
      </c>
      <c r="G1950" s="1">
        <v>44369</v>
      </c>
      <c r="H1950" t="s">
        <v>125</v>
      </c>
      <c r="I1950" t="s">
        <v>1552</v>
      </c>
      <c r="J1950" t="s">
        <v>1553</v>
      </c>
      <c r="L1950" t="s">
        <v>1554</v>
      </c>
      <c r="M1950" t="s">
        <v>1555</v>
      </c>
      <c r="O1950" t="s">
        <v>1556</v>
      </c>
      <c r="P1950" t="s">
        <v>178</v>
      </c>
      <c r="Q1950" s="3">
        <v>95014</v>
      </c>
      <c r="R1950" t="s">
        <v>128</v>
      </c>
      <c r="T1950" s="4">
        <v>14089742562</v>
      </c>
      <c r="V1950" t="s">
        <v>1564</v>
      </c>
      <c r="W1950" t="s">
        <v>1558</v>
      </c>
      <c r="Y1950" t="s">
        <v>1559</v>
      </c>
      <c r="AA1950" t="s">
        <v>1560</v>
      </c>
      <c r="AB1950" t="s">
        <v>172</v>
      </c>
      <c r="AC1950" s="3" t="str">
        <f>"95014"</f>
        <v>95014</v>
      </c>
      <c r="AD1950" t="s">
        <v>128</v>
      </c>
      <c r="AF1950" s="4">
        <v>14089742562</v>
      </c>
      <c r="AH1950" t="str">
        <f>"334111"</f>
        <v>334111</v>
      </c>
      <c r="AI1950" t="s">
        <v>130</v>
      </c>
      <c r="AJ1950" t="s">
        <v>1787</v>
      </c>
      <c r="AK1950" t="s">
        <v>1788</v>
      </c>
      <c r="AM1950" t="s">
        <v>1563</v>
      </c>
      <c r="AN1950" t="s">
        <v>997</v>
      </c>
      <c r="AO1950" t="s">
        <v>220</v>
      </c>
      <c r="AP1950" t="s">
        <v>172</v>
      </c>
      <c r="AQ1950" s="5">
        <v>94111</v>
      </c>
      <c r="AR1950" t="s">
        <v>128</v>
      </c>
      <c r="AT1950" s="4">
        <v>14159861446</v>
      </c>
      <c r="AV1950" t="s">
        <v>1564</v>
      </c>
      <c r="AW1950" t="s">
        <v>386</v>
      </c>
      <c r="AX1950" t="s">
        <v>131</v>
      </c>
      <c r="AY1950" t="s">
        <v>131</v>
      </c>
      <c r="AZ1950" t="s">
        <v>131</v>
      </c>
      <c r="BA1950" t="s">
        <v>131</v>
      </c>
      <c r="BB1950" t="s">
        <v>131</v>
      </c>
      <c r="BC1950" t="s">
        <v>131</v>
      </c>
      <c r="BD1950" t="s">
        <v>131</v>
      </c>
      <c r="BE1950" t="s">
        <v>160</v>
      </c>
      <c r="BF1950" t="s">
        <v>2242</v>
      </c>
      <c r="BG1950" s="1">
        <v>44331</v>
      </c>
      <c r="BH1950" t="s">
        <v>8642</v>
      </c>
      <c r="BI1950" t="s">
        <v>131</v>
      </c>
      <c r="BL1950" t="s">
        <v>133</v>
      </c>
      <c r="BN1950" t="s">
        <v>1918</v>
      </c>
      <c r="BO1950" t="s">
        <v>131</v>
      </c>
      <c r="BP1950" t="s">
        <v>134</v>
      </c>
      <c r="BQ1950" t="s">
        <v>131</v>
      </c>
      <c r="BS1950" t="str">
        <f t="shared" si="111"/>
        <v>N/A</v>
      </c>
      <c r="BT1950" t="s">
        <v>135</v>
      </c>
      <c r="BU1950">
        <v>24</v>
      </c>
      <c r="BV1950" t="str">
        <f>"Please see F.a.2"</f>
        <v>Please see F.a.2</v>
      </c>
      <c r="BW1950" t="s">
        <v>135</v>
      </c>
      <c r="BX1950" t="str">
        <f>""</f>
        <v/>
      </c>
      <c r="BY1950" t="str">
        <f>""</f>
        <v/>
      </c>
      <c r="BZ1950" t="str">
        <f>""</f>
        <v/>
      </c>
      <c r="CA1950" t="str">
        <f>"Please see F.a.2"</f>
        <v>Please see F.a.2</v>
      </c>
      <c r="CB1950" t="s">
        <v>131</v>
      </c>
      <c r="CF1950" t="s">
        <v>131</v>
      </c>
      <c r="CH1950" t="str">
        <f>""</f>
        <v/>
      </c>
      <c r="CI1950" t="s">
        <v>131</v>
      </c>
      <c r="CK1950" t="s">
        <v>131</v>
      </c>
      <c r="CL1950" t="str">
        <f>""</f>
        <v/>
      </c>
      <c r="CM1950" t="str">
        <f>""</f>
        <v/>
      </c>
      <c r="CN1950" t="str">
        <f>""</f>
        <v/>
      </c>
      <c r="CO1950" t="str">
        <f>""</f>
        <v/>
      </c>
      <c r="CP1950" t="str">
        <f>"17-2071.00"</f>
        <v>17-2071.00</v>
      </c>
      <c r="CQ1950" t="s">
        <v>649</v>
      </c>
      <c r="CR1950" t="s">
        <v>460</v>
      </c>
      <c r="CS1950" t="s">
        <v>131</v>
      </c>
      <c r="CU1950" t="s">
        <v>1555</v>
      </c>
      <c r="CW1950" t="s">
        <v>1556</v>
      </c>
      <c r="CX1950" t="s">
        <v>172</v>
      </c>
      <c r="CZ1950" s="3" t="str">
        <f>"95014"</f>
        <v>95014</v>
      </c>
      <c r="DA1950" t="s">
        <v>131</v>
      </c>
      <c r="DB1950" t="str">
        <f>""</f>
        <v/>
      </c>
      <c r="DF1950" t="str">
        <f>""</f>
        <v/>
      </c>
    </row>
    <row r="1951" spans="1:110" ht="15" customHeight="1" x14ac:dyDescent="0.35">
      <c r="A1951" t="s">
        <v>10875</v>
      </c>
      <c r="B1951" t="s">
        <v>138</v>
      </c>
      <c r="C1951" s="1">
        <v>44359</v>
      </c>
      <c r="G1951" s="1">
        <v>44359</v>
      </c>
      <c r="H1951" t="s">
        <v>125</v>
      </c>
      <c r="I1951" t="s">
        <v>8105</v>
      </c>
      <c r="J1951" t="s">
        <v>260</v>
      </c>
      <c r="L1951" t="s">
        <v>1281</v>
      </c>
      <c r="M1951" t="s">
        <v>8106</v>
      </c>
      <c r="O1951" t="s">
        <v>220</v>
      </c>
      <c r="P1951" t="s">
        <v>178</v>
      </c>
      <c r="Q1951" s="3">
        <v>94124</v>
      </c>
      <c r="R1951" t="s">
        <v>128</v>
      </c>
      <c r="T1951" s="4">
        <v>14159392840</v>
      </c>
      <c r="V1951" t="s">
        <v>8107</v>
      </c>
      <c r="W1951" t="s">
        <v>8108</v>
      </c>
      <c r="Y1951" t="s">
        <v>8106</v>
      </c>
      <c r="AA1951" t="s">
        <v>220</v>
      </c>
      <c r="AB1951" t="s">
        <v>172</v>
      </c>
      <c r="AC1951" s="3" t="str">
        <f>"94124"</f>
        <v>94124</v>
      </c>
      <c r="AD1951" t="s">
        <v>128</v>
      </c>
      <c r="AF1951" s="4">
        <v>14159392840</v>
      </c>
      <c r="AH1951" t="str">
        <f>"23622"</f>
        <v>23622</v>
      </c>
      <c r="AI1951" t="s">
        <v>130</v>
      </c>
      <c r="AJ1951" t="s">
        <v>8109</v>
      </c>
      <c r="AK1951" t="s">
        <v>8110</v>
      </c>
      <c r="AM1951" t="s">
        <v>8111</v>
      </c>
      <c r="AO1951" t="s">
        <v>10876</v>
      </c>
      <c r="AP1951" t="s">
        <v>172</v>
      </c>
      <c r="AQ1951" s="5">
        <v>94109</v>
      </c>
      <c r="AR1951" t="s">
        <v>128</v>
      </c>
      <c r="AT1951" s="4">
        <v>14157774444</v>
      </c>
      <c r="AV1951" t="s">
        <v>8112</v>
      </c>
      <c r="AW1951" t="s">
        <v>8113</v>
      </c>
      <c r="AX1951" t="s">
        <v>131</v>
      </c>
      <c r="AY1951" t="s">
        <v>131</v>
      </c>
      <c r="AZ1951" t="s">
        <v>131</v>
      </c>
      <c r="BA1951" t="s">
        <v>131</v>
      </c>
      <c r="BB1951" t="s">
        <v>131</v>
      </c>
      <c r="BC1951" t="s">
        <v>131</v>
      </c>
      <c r="BD1951" t="s">
        <v>131</v>
      </c>
      <c r="BE1951" t="s">
        <v>132</v>
      </c>
      <c r="BH1951" t="s">
        <v>1279</v>
      </c>
      <c r="BI1951" t="s">
        <v>131</v>
      </c>
      <c r="BL1951" t="s">
        <v>133</v>
      </c>
      <c r="BN1951" t="s">
        <v>1258</v>
      </c>
      <c r="BO1951" t="s">
        <v>131</v>
      </c>
      <c r="BP1951" t="s">
        <v>134</v>
      </c>
      <c r="BQ1951" t="s">
        <v>131</v>
      </c>
      <c r="BS1951" t="str">
        <f t="shared" ref="BS1951:BS1982" si="112">"N/A"</f>
        <v>N/A</v>
      </c>
      <c r="BT1951" t="s">
        <v>131</v>
      </c>
      <c r="BV1951" t="str">
        <f>""</f>
        <v/>
      </c>
      <c r="BW1951" t="s">
        <v>131</v>
      </c>
      <c r="BX1951" t="str">
        <f>""</f>
        <v/>
      </c>
      <c r="BY1951" t="str">
        <f>""</f>
        <v/>
      </c>
      <c r="BZ1951" t="str">
        <f>""</f>
        <v/>
      </c>
      <c r="CA1951" t="str">
        <f>""</f>
        <v/>
      </c>
      <c r="CB1951" t="s">
        <v>131</v>
      </c>
      <c r="CF1951" t="s">
        <v>131</v>
      </c>
      <c r="CH1951" t="str">
        <f>""</f>
        <v/>
      </c>
      <c r="CI1951" t="s">
        <v>131</v>
      </c>
      <c r="CK1951" t="s">
        <v>131</v>
      </c>
      <c r="CL1951" t="str">
        <f>""</f>
        <v/>
      </c>
      <c r="CM1951" t="str">
        <f>""</f>
        <v/>
      </c>
      <c r="CN1951" t="str">
        <f>""</f>
        <v/>
      </c>
      <c r="CO1951" t="str">
        <f>""</f>
        <v/>
      </c>
      <c r="CP1951" t="str">
        <f>"17-2051.00"</f>
        <v>17-2051.00</v>
      </c>
      <c r="CQ1951" t="s">
        <v>787</v>
      </c>
      <c r="CR1951" t="s">
        <v>395</v>
      </c>
      <c r="CS1951" t="s">
        <v>131</v>
      </c>
      <c r="CU1951" t="s">
        <v>8106</v>
      </c>
      <c r="CW1951" t="s">
        <v>220</v>
      </c>
      <c r="CX1951" t="s">
        <v>172</v>
      </c>
      <c r="CZ1951" s="3" t="str">
        <f>"94124"</f>
        <v>94124</v>
      </c>
      <c r="DA1951" t="s">
        <v>131</v>
      </c>
      <c r="DB1951" t="str">
        <f>""</f>
        <v/>
      </c>
      <c r="DF1951" t="str">
        <f>""</f>
        <v/>
      </c>
    </row>
    <row r="1952" spans="1:110" ht="15" customHeight="1" x14ac:dyDescent="0.35">
      <c r="A1952" t="s">
        <v>9642</v>
      </c>
      <c r="B1952" t="s">
        <v>138</v>
      </c>
      <c r="C1952" s="1">
        <v>44360</v>
      </c>
      <c r="G1952" s="1">
        <v>44360</v>
      </c>
      <c r="H1952" t="s">
        <v>125</v>
      </c>
      <c r="I1952" t="s">
        <v>9643</v>
      </c>
      <c r="J1952" t="s">
        <v>1936</v>
      </c>
      <c r="L1952" t="s">
        <v>9644</v>
      </c>
      <c r="M1952" t="s">
        <v>9645</v>
      </c>
      <c r="O1952" t="s">
        <v>885</v>
      </c>
      <c r="P1952" t="s">
        <v>412</v>
      </c>
      <c r="Q1952" s="3">
        <v>77056</v>
      </c>
      <c r="R1952" t="s">
        <v>128</v>
      </c>
      <c r="T1952" s="4">
        <v>17138384000</v>
      </c>
      <c r="V1952" t="s">
        <v>6323</v>
      </c>
      <c r="W1952" t="s">
        <v>9646</v>
      </c>
      <c r="Y1952" t="s">
        <v>9645</v>
      </c>
      <c r="AA1952" t="s">
        <v>885</v>
      </c>
      <c r="AB1952" t="s">
        <v>400</v>
      </c>
      <c r="AC1952" s="3" t="str">
        <f>"77056"</f>
        <v>77056</v>
      </c>
      <c r="AD1952" t="s">
        <v>128</v>
      </c>
      <c r="AF1952" s="4">
        <v>17138367788</v>
      </c>
      <c r="AH1952" t="str">
        <f>"333132"</f>
        <v>333132</v>
      </c>
      <c r="AI1952" t="s">
        <v>130</v>
      </c>
      <c r="AJ1952" t="s">
        <v>1541</v>
      </c>
      <c r="AK1952" t="s">
        <v>1542</v>
      </c>
      <c r="AL1952" t="s">
        <v>840</v>
      </c>
      <c r="AM1952" t="s">
        <v>973</v>
      </c>
      <c r="AN1952" t="s">
        <v>974</v>
      </c>
      <c r="AO1952" t="s">
        <v>975</v>
      </c>
      <c r="AP1952" t="s">
        <v>594</v>
      </c>
      <c r="AQ1952" s="5">
        <v>27615</v>
      </c>
      <c r="AR1952" t="s">
        <v>128</v>
      </c>
      <c r="AT1952" s="4">
        <v>19197879700</v>
      </c>
      <c r="AV1952" t="s">
        <v>6326</v>
      </c>
      <c r="AW1952" t="s">
        <v>2413</v>
      </c>
      <c r="AX1952" t="s">
        <v>131</v>
      </c>
      <c r="AY1952" t="s">
        <v>131</v>
      </c>
      <c r="AZ1952" t="s">
        <v>131</v>
      </c>
      <c r="BA1952" t="s">
        <v>131</v>
      </c>
      <c r="BB1952" t="s">
        <v>131</v>
      </c>
      <c r="BC1952" t="s">
        <v>131</v>
      </c>
      <c r="BD1952" t="s">
        <v>131</v>
      </c>
      <c r="BE1952" t="s">
        <v>132</v>
      </c>
      <c r="BH1952" t="s">
        <v>9647</v>
      </c>
      <c r="BI1952" t="s">
        <v>131</v>
      </c>
      <c r="BL1952" t="s">
        <v>133</v>
      </c>
      <c r="BN1952" t="s">
        <v>9648</v>
      </c>
      <c r="BO1952" t="s">
        <v>131</v>
      </c>
      <c r="BP1952" t="s">
        <v>134</v>
      </c>
      <c r="BQ1952" t="s">
        <v>131</v>
      </c>
      <c r="BS1952" t="str">
        <f t="shared" si="112"/>
        <v>N/A</v>
      </c>
      <c r="BT1952" t="s">
        <v>135</v>
      </c>
      <c r="BU1952">
        <v>24</v>
      </c>
      <c r="BV1952" t="str">
        <f>"In the job offered or related occupation.
"</f>
        <v xml:space="preserve">In the job offered or related occupation.
</v>
      </c>
      <c r="BW1952" t="s">
        <v>135</v>
      </c>
      <c r="BX1952" t="str">
        <f>""</f>
        <v/>
      </c>
      <c r="BY1952" t="str">
        <f>""</f>
        <v/>
      </c>
      <c r="BZ1952" t="str">
        <f>""</f>
        <v/>
      </c>
      <c r="CA1952" s="2" t="s">
        <v>9649</v>
      </c>
      <c r="CB1952" t="s">
        <v>131</v>
      </c>
      <c r="CF1952" t="s">
        <v>131</v>
      </c>
      <c r="CH1952" t="str">
        <f>""</f>
        <v/>
      </c>
      <c r="CI1952" t="s">
        <v>131</v>
      </c>
      <c r="CK1952" t="s">
        <v>131</v>
      </c>
      <c r="CL1952" t="str">
        <f>""</f>
        <v/>
      </c>
      <c r="CM1952" t="str">
        <f>""</f>
        <v/>
      </c>
      <c r="CN1952" t="str">
        <f>""</f>
        <v/>
      </c>
      <c r="CO1952" t="str">
        <f>""</f>
        <v/>
      </c>
      <c r="CP1952" t="str">
        <f>"17-2141.00"</f>
        <v>17-2141.00</v>
      </c>
      <c r="CQ1952" t="s">
        <v>518</v>
      </c>
      <c r="CR1952" t="s">
        <v>199</v>
      </c>
      <c r="CS1952" t="s">
        <v>131</v>
      </c>
      <c r="CU1952" t="s">
        <v>9650</v>
      </c>
      <c r="CW1952" t="s">
        <v>9651</v>
      </c>
      <c r="CX1952" t="s">
        <v>400</v>
      </c>
      <c r="CZ1952" s="3" t="str">
        <f>"76126"</f>
        <v>76126</v>
      </c>
      <c r="DA1952" t="s">
        <v>131</v>
      </c>
      <c r="DB1952" t="str">
        <f>""</f>
        <v/>
      </c>
      <c r="DF1952" t="str">
        <f>""</f>
        <v/>
      </c>
    </row>
    <row r="1953" spans="1:110" ht="15" customHeight="1" x14ac:dyDescent="0.35">
      <c r="A1953" t="s">
        <v>1457</v>
      </c>
      <c r="B1953" t="s">
        <v>138</v>
      </c>
      <c r="C1953" s="1">
        <v>44361</v>
      </c>
      <c r="G1953" s="1">
        <v>44375</v>
      </c>
      <c r="H1953" t="s">
        <v>125</v>
      </c>
      <c r="I1953" t="s">
        <v>1458</v>
      </c>
      <c r="J1953" t="s">
        <v>1459</v>
      </c>
      <c r="L1953" t="s">
        <v>1460</v>
      </c>
      <c r="M1953" t="s">
        <v>1461</v>
      </c>
      <c r="N1953" t="s">
        <v>1462</v>
      </c>
      <c r="O1953" t="s">
        <v>885</v>
      </c>
      <c r="P1953" t="s">
        <v>412</v>
      </c>
      <c r="Q1953" s="3">
        <v>77079</v>
      </c>
      <c r="R1953" t="s">
        <v>128</v>
      </c>
      <c r="T1953" s="4">
        <v>18324063044</v>
      </c>
      <c r="V1953" t="s">
        <v>1463</v>
      </c>
      <c r="W1953" t="s">
        <v>1464</v>
      </c>
      <c r="Y1953" t="s">
        <v>1465</v>
      </c>
      <c r="Z1953" t="s">
        <v>1466</v>
      </c>
      <c r="AA1953" t="s">
        <v>600</v>
      </c>
      <c r="AB1953" t="s">
        <v>594</v>
      </c>
      <c r="AC1953" s="3" t="str">
        <f>"28210"</f>
        <v>28210</v>
      </c>
      <c r="AD1953" t="s">
        <v>128</v>
      </c>
      <c r="AF1953" s="4">
        <v>17043709551</v>
      </c>
      <c r="AH1953" t="str">
        <f>"561320"</f>
        <v>561320</v>
      </c>
      <c r="AI1953" t="s">
        <v>130</v>
      </c>
      <c r="AJ1953" t="s">
        <v>1467</v>
      </c>
      <c r="AK1953" t="s">
        <v>1468</v>
      </c>
      <c r="AL1953" t="s">
        <v>1469</v>
      </c>
      <c r="AM1953" t="s">
        <v>1470</v>
      </c>
      <c r="AN1953" t="s">
        <v>240</v>
      </c>
      <c r="AO1953" t="s">
        <v>1471</v>
      </c>
      <c r="AP1953" t="s">
        <v>444</v>
      </c>
      <c r="AQ1953" s="5">
        <v>44115</v>
      </c>
      <c r="AR1953" t="s">
        <v>128</v>
      </c>
      <c r="AT1953" s="4">
        <v>12166217227</v>
      </c>
      <c r="AV1953" t="s">
        <v>1472</v>
      </c>
      <c r="AW1953" t="s">
        <v>1473</v>
      </c>
      <c r="AX1953" t="s">
        <v>131</v>
      </c>
      <c r="AY1953" t="s">
        <v>131</v>
      </c>
      <c r="AZ1953" t="s">
        <v>131</v>
      </c>
      <c r="BA1953" t="s">
        <v>131</v>
      </c>
      <c r="BB1953" t="s">
        <v>131</v>
      </c>
      <c r="BC1953" t="s">
        <v>131</v>
      </c>
      <c r="BD1953" t="s">
        <v>131</v>
      </c>
      <c r="BE1953" t="s">
        <v>132</v>
      </c>
      <c r="BH1953" t="s">
        <v>1474</v>
      </c>
      <c r="BI1953" t="s">
        <v>131</v>
      </c>
      <c r="BL1953" t="s">
        <v>133</v>
      </c>
      <c r="BN1953" t="s">
        <v>1475</v>
      </c>
      <c r="BO1953" t="s">
        <v>131</v>
      </c>
      <c r="BP1953" t="s">
        <v>134</v>
      </c>
      <c r="BQ1953" t="s">
        <v>131</v>
      </c>
      <c r="BS1953" t="str">
        <f t="shared" si="112"/>
        <v>N/A</v>
      </c>
      <c r="BT1953" t="s">
        <v>135</v>
      </c>
      <c r="BU1953">
        <v>12</v>
      </c>
      <c r="BV1953" t="str">
        <f>"Medical Technologist"</f>
        <v>Medical Technologist</v>
      </c>
      <c r="BW1953" t="s">
        <v>135</v>
      </c>
      <c r="BX1953" t="str">
        <f>"Current certification by either ASCP or AMT"</f>
        <v>Current certification by either ASCP or AMT</v>
      </c>
      <c r="BY1953" t="str">
        <f>""</f>
        <v/>
      </c>
      <c r="BZ1953" t="str">
        <f>""</f>
        <v/>
      </c>
      <c r="CA1953" t="str">
        <f>"Must have 1 year of experience taking medical samples and performing clinical testing; resolving technical problems or conducting routine laboratory maintenance."</f>
        <v>Must have 1 year of experience taking medical samples and performing clinical testing; resolving technical problems or conducting routine laboratory maintenance.</v>
      </c>
      <c r="CB1953" t="s">
        <v>131</v>
      </c>
      <c r="CF1953" t="s">
        <v>131</v>
      </c>
      <c r="CH1953" t="str">
        <f>""</f>
        <v/>
      </c>
      <c r="CI1953" t="s">
        <v>131</v>
      </c>
      <c r="CK1953" t="s">
        <v>131</v>
      </c>
      <c r="CL1953" t="str">
        <f>""</f>
        <v/>
      </c>
      <c r="CM1953" t="str">
        <f>""</f>
        <v/>
      </c>
      <c r="CN1953" t="str">
        <f>""</f>
        <v/>
      </c>
      <c r="CO1953" t="str">
        <f>""</f>
        <v/>
      </c>
      <c r="CP1953" t="str">
        <f>"29-2011.00"</f>
        <v>29-2011.00</v>
      </c>
      <c r="CQ1953" t="s">
        <v>1476</v>
      </c>
      <c r="CR1953" t="s">
        <v>134</v>
      </c>
      <c r="CS1953" t="s">
        <v>131</v>
      </c>
      <c r="CU1953" t="s">
        <v>1465</v>
      </c>
      <c r="CV1953" t="s">
        <v>1466</v>
      </c>
      <c r="CW1953" t="s">
        <v>600</v>
      </c>
      <c r="CX1953" t="s">
        <v>594</v>
      </c>
      <c r="CZ1953" s="3" t="str">
        <f>"28210"</f>
        <v>28210</v>
      </c>
      <c r="DA1953" t="s">
        <v>135</v>
      </c>
      <c r="DB1953" t="str">
        <f>""</f>
        <v/>
      </c>
      <c r="DF1953" t="str">
        <f>""</f>
        <v/>
      </c>
    </row>
    <row r="1954" spans="1:110" ht="15" customHeight="1" x14ac:dyDescent="0.35">
      <c r="A1954" t="s">
        <v>17331</v>
      </c>
      <c r="B1954" t="s">
        <v>138</v>
      </c>
      <c r="C1954" s="1">
        <v>44361</v>
      </c>
      <c r="G1954" s="1">
        <v>44361</v>
      </c>
      <c r="H1954" t="s">
        <v>125</v>
      </c>
      <c r="I1954" t="s">
        <v>5897</v>
      </c>
      <c r="J1954" t="s">
        <v>5898</v>
      </c>
      <c r="L1954" t="s">
        <v>5899</v>
      </c>
      <c r="M1954" t="s">
        <v>5900</v>
      </c>
      <c r="N1954" t="s">
        <v>225</v>
      </c>
      <c r="O1954" t="s">
        <v>3874</v>
      </c>
      <c r="P1954" t="s">
        <v>1760</v>
      </c>
      <c r="Q1954" s="3">
        <v>70816</v>
      </c>
      <c r="R1954" t="s">
        <v>128</v>
      </c>
      <c r="S1954" t="s">
        <v>134</v>
      </c>
      <c r="T1954" s="4">
        <v>12252993492</v>
      </c>
      <c r="V1954" t="s">
        <v>5901</v>
      </c>
      <c r="W1954" t="s">
        <v>5902</v>
      </c>
      <c r="Y1954" t="s">
        <v>5900</v>
      </c>
      <c r="Z1954" t="s">
        <v>225</v>
      </c>
      <c r="AA1954" t="s">
        <v>3874</v>
      </c>
      <c r="AB1954" t="s">
        <v>1763</v>
      </c>
      <c r="AC1954" s="3" t="str">
        <f>"70816"</f>
        <v>70816</v>
      </c>
      <c r="AD1954" t="s">
        <v>128</v>
      </c>
      <c r="AE1954" t="s">
        <v>134</v>
      </c>
      <c r="AF1954" s="4">
        <v>12252993492</v>
      </c>
      <c r="AH1954" t="str">
        <f>"621610"</f>
        <v>621610</v>
      </c>
      <c r="AI1954" t="s">
        <v>130</v>
      </c>
      <c r="AJ1954" t="s">
        <v>982</v>
      </c>
      <c r="AK1954" t="s">
        <v>983</v>
      </c>
      <c r="AM1954" t="s">
        <v>5903</v>
      </c>
      <c r="AN1954" t="s">
        <v>985</v>
      </c>
      <c r="AO1954" t="s">
        <v>742</v>
      </c>
      <c r="AP1954" t="s">
        <v>306</v>
      </c>
      <c r="AQ1954" s="5">
        <v>23219</v>
      </c>
      <c r="AR1954" t="s">
        <v>128</v>
      </c>
      <c r="AT1954" s="4">
        <v>18044206478</v>
      </c>
      <c r="AV1954" t="s">
        <v>5904</v>
      </c>
      <c r="AW1954" t="s">
        <v>987</v>
      </c>
      <c r="AX1954" t="s">
        <v>131</v>
      </c>
      <c r="AY1954" t="s">
        <v>131</v>
      </c>
      <c r="AZ1954" t="s">
        <v>131</v>
      </c>
      <c r="BA1954" t="s">
        <v>131</v>
      </c>
      <c r="BB1954" t="s">
        <v>131</v>
      </c>
      <c r="BC1954" t="s">
        <v>131</v>
      </c>
      <c r="BD1954" t="s">
        <v>131</v>
      </c>
      <c r="BE1954" t="s">
        <v>132</v>
      </c>
      <c r="BH1954" t="s">
        <v>1150</v>
      </c>
      <c r="BI1954" t="s">
        <v>135</v>
      </c>
      <c r="BJ1954" t="s">
        <v>5905</v>
      </c>
      <c r="BK1954" t="s">
        <v>5906</v>
      </c>
      <c r="BL1954" t="s">
        <v>188</v>
      </c>
      <c r="BN1954" t="s">
        <v>17332</v>
      </c>
      <c r="BO1954" t="s">
        <v>131</v>
      </c>
      <c r="BP1954" t="s">
        <v>134</v>
      </c>
      <c r="BQ1954" t="s">
        <v>131</v>
      </c>
      <c r="BS1954" t="str">
        <f t="shared" si="112"/>
        <v>N/A</v>
      </c>
      <c r="BT1954" t="s">
        <v>135</v>
      </c>
      <c r="BU1954">
        <v>36</v>
      </c>
      <c r="BV1954" t="str">
        <f>"3 years (36 months) of experience as a Physical Therapist"</f>
        <v>3 years (36 months) of experience as a Physical Therapist</v>
      </c>
      <c r="BW1954" t="s">
        <v>135</v>
      </c>
      <c r="BX1954" t="str">
        <f>"Must possess a Physical Therapist State License or be eligible for State Licensure as a Physical Therapist. "</f>
        <v xml:space="preserve">Must possess a Physical Therapist State License or be eligible for State Licensure as a Physical Therapist. </v>
      </c>
      <c r="BY1954" t="str">
        <f>""</f>
        <v/>
      </c>
      <c r="BZ1954" t="str">
        <f>""</f>
        <v/>
      </c>
      <c r="CA1954" t="str">
        <f>""</f>
        <v/>
      </c>
      <c r="CB1954" t="s">
        <v>135</v>
      </c>
      <c r="CC1954" t="s">
        <v>133</v>
      </c>
      <c r="CE1954" t="s">
        <v>17332</v>
      </c>
      <c r="CF1954" t="s">
        <v>131</v>
      </c>
      <c r="CH1954" t="str">
        <f>"N/A"</f>
        <v>N/A</v>
      </c>
      <c r="CI1954" t="s">
        <v>135</v>
      </c>
      <c r="CJ1954">
        <v>60</v>
      </c>
      <c r="CK1954" t="s">
        <v>135</v>
      </c>
      <c r="CL1954" t="str">
        <f>"Must possess a Physical Therapist State License or be eligible for State Licensure as a Physical Therapist. "</f>
        <v xml:space="preserve">Must possess a Physical Therapist State License or be eligible for State Licensure as a Physical Therapist. </v>
      </c>
      <c r="CM1954" t="str">
        <f>""</f>
        <v/>
      </c>
      <c r="CN1954" t="str">
        <f>""</f>
        <v/>
      </c>
      <c r="CO1954" t="str">
        <f>"5 years (60 months) of experience as a Physical Therapist"</f>
        <v>5 years (60 months) of experience as a Physical Therapist</v>
      </c>
      <c r="CP1954" t="str">
        <f>"29-1123.00"</f>
        <v>29-1123.00</v>
      </c>
      <c r="CQ1954" t="s">
        <v>962</v>
      </c>
      <c r="CR1954" t="s">
        <v>5908</v>
      </c>
      <c r="CS1954" t="s">
        <v>135</v>
      </c>
      <c r="CT1954" t="s">
        <v>5909</v>
      </c>
      <c r="CU1954" t="s">
        <v>12028</v>
      </c>
      <c r="CV1954" t="s">
        <v>2377</v>
      </c>
      <c r="CW1954" t="s">
        <v>6851</v>
      </c>
      <c r="CX1954" t="s">
        <v>382</v>
      </c>
      <c r="CZ1954" s="3" t="str">
        <f>"21804"</f>
        <v>21804</v>
      </c>
      <c r="DA1954" t="s">
        <v>131</v>
      </c>
      <c r="DB1954" t="str">
        <f>""</f>
        <v/>
      </c>
      <c r="DF1954" t="str">
        <f>""</f>
        <v/>
      </c>
    </row>
    <row r="1955" spans="1:110" ht="15" customHeight="1" x14ac:dyDescent="0.35">
      <c r="A1955" t="s">
        <v>5896</v>
      </c>
      <c r="B1955" t="s">
        <v>138</v>
      </c>
      <c r="C1955" s="1">
        <v>44361</v>
      </c>
      <c r="G1955" s="1">
        <v>44361</v>
      </c>
      <c r="H1955" t="s">
        <v>125</v>
      </c>
      <c r="I1955" t="s">
        <v>5897</v>
      </c>
      <c r="J1955" t="s">
        <v>5898</v>
      </c>
      <c r="L1955" t="s">
        <v>5899</v>
      </c>
      <c r="M1955" t="s">
        <v>5900</v>
      </c>
      <c r="N1955" t="s">
        <v>225</v>
      </c>
      <c r="O1955" t="s">
        <v>3874</v>
      </c>
      <c r="P1955" t="s">
        <v>1760</v>
      </c>
      <c r="Q1955" s="3">
        <v>70816</v>
      </c>
      <c r="R1955" t="s">
        <v>128</v>
      </c>
      <c r="S1955" t="s">
        <v>134</v>
      </c>
      <c r="T1955" s="4">
        <v>12252993492</v>
      </c>
      <c r="V1955" t="s">
        <v>5901</v>
      </c>
      <c r="W1955" t="s">
        <v>5902</v>
      </c>
      <c r="Y1955" t="s">
        <v>5900</v>
      </c>
      <c r="Z1955" t="s">
        <v>225</v>
      </c>
      <c r="AA1955" t="s">
        <v>3874</v>
      </c>
      <c r="AB1955" t="s">
        <v>1763</v>
      </c>
      <c r="AC1955" s="3" t="str">
        <f>"70816"</f>
        <v>70816</v>
      </c>
      <c r="AD1955" t="s">
        <v>128</v>
      </c>
      <c r="AF1955" s="4">
        <v>12252993492</v>
      </c>
      <c r="AH1955" t="str">
        <f>"621610"</f>
        <v>621610</v>
      </c>
      <c r="AI1955" t="s">
        <v>130</v>
      </c>
      <c r="AJ1955" t="s">
        <v>982</v>
      </c>
      <c r="AK1955" t="s">
        <v>983</v>
      </c>
      <c r="AM1955" t="s">
        <v>5903</v>
      </c>
      <c r="AN1955" t="s">
        <v>985</v>
      </c>
      <c r="AO1955" t="s">
        <v>742</v>
      </c>
      <c r="AP1955" t="s">
        <v>306</v>
      </c>
      <c r="AQ1955" s="5">
        <v>23219</v>
      </c>
      <c r="AR1955" t="s">
        <v>128</v>
      </c>
      <c r="AT1955" s="4">
        <v>18044206478</v>
      </c>
      <c r="AV1955" t="s">
        <v>5904</v>
      </c>
      <c r="AW1955" t="s">
        <v>987</v>
      </c>
      <c r="AX1955" t="s">
        <v>131</v>
      </c>
      <c r="AY1955" t="s">
        <v>131</v>
      </c>
      <c r="AZ1955" t="s">
        <v>131</v>
      </c>
      <c r="BA1955" t="s">
        <v>131</v>
      </c>
      <c r="BB1955" t="s">
        <v>131</v>
      </c>
      <c r="BC1955" t="s">
        <v>131</v>
      </c>
      <c r="BD1955" t="s">
        <v>131</v>
      </c>
      <c r="BE1955" t="s">
        <v>132</v>
      </c>
      <c r="BH1955" t="s">
        <v>1150</v>
      </c>
      <c r="BI1955" t="s">
        <v>135</v>
      </c>
      <c r="BJ1955" t="s">
        <v>5905</v>
      </c>
      <c r="BK1955" t="s">
        <v>5906</v>
      </c>
      <c r="BL1955" t="s">
        <v>188</v>
      </c>
      <c r="BN1955" t="s">
        <v>5907</v>
      </c>
      <c r="BO1955" t="s">
        <v>131</v>
      </c>
      <c r="BP1955" t="s">
        <v>134</v>
      </c>
      <c r="BQ1955" t="s">
        <v>131</v>
      </c>
      <c r="BS1955" t="str">
        <f t="shared" si="112"/>
        <v>N/A</v>
      </c>
      <c r="BT1955" t="s">
        <v>135</v>
      </c>
      <c r="BU1955">
        <v>36</v>
      </c>
      <c r="BV1955" t="str">
        <f>"3 years (36 months) as a Physical Therapist."</f>
        <v>3 years (36 months) as a Physical Therapist.</v>
      </c>
      <c r="BW1955" t="s">
        <v>135</v>
      </c>
      <c r="BX1955" t="str">
        <f>"Must possess a Physical Therapist State License or be eligible for State Licensure as a Physical Therapist."</f>
        <v>Must possess a Physical Therapist State License or be eligible for State Licensure as a Physical Therapist.</v>
      </c>
      <c r="BY1955" t="str">
        <f>""</f>
        <v/>
      </c>
      <c r="BZ1955" t="str">
        <f>""</f>
        <v/>
      </c>
      <c r="CA1955" t="str">
        <f>""</f>
        <v/>
      </c>
      <c r="CB1955" t="s">
        <v>135</v>
      </c>
      <c r="CC1955" t="s">
        <v>133</v>
      </c>
      <c r="CE1955" t="s">
        <v>5907</v>
      </c>
      <c r="CF1955" t="s">
        <v>131</v>
      </c>
      <c r="CH1955" t="str">
        <f>"N/A"</f>
        <v>N/A</v>
      </c>
      <c r="CI1955" t="s">
        <v>135</v>
      </c>
      <c r="CJ1955">
        <v>60</v>
      </c>
      <c r="CK1955" t="s">
        <v>135</v>
      </c>
      <c r="CL1955" t="str">
        <f>"Must possess a Physical Therapist State License or be eligible for State Licensure as a Physical Therapist."</f>
        <v>Must possess a Physical Therapist State License or be eligible for State Licensure as a Physical Therapist.</v>
      </c>
      <c r="CM1955" t="str">
        <f>""</f>
        <v/>
      </c>
      <c r="CN1955" t="str">
        <f>""</f>
        <v/>
      </c>
      <c r="CO1955" t="str">
        <f>"5 years (60 months) experience as a Physical Therapist."</f>
        <v>5 years (60 months) experience as a Physical Therapist.</v>
      </c>
      <c r="CP1955" t="str">
        <f>"29-1123.00"</f>
        <v>29-1123.00</v>
      </c>
      <c r="CQ1955" t="s">
        <v>962</v>
      </c>
      <c r="CR1955" t="s">
        <v>5908</v>
      </c>
      <c r="CS1955" t="s">
        <v>135</v>
      </c>
      <c r="CT1955" t="s">
        <v>5909</v>
      </c>
      <c r="CU1955" t="s">
        <v>5910</v>
      </c>
      <c r="CW1955" t="s">
        <v>5911</v>
      </c>
      <c r="CX1955" t="s">
        <v>389</v>
      </c>
      <c r="CZ1955" s="3" t="str">
        <f>"54304"</f>
        <v>54304</v>
      </c>
      <c r="DA1955" t="s">
        <v>131</v>
      </c>
      <c r="DB1955" t="str">
        <f>""</f>
        <v/>
      </c>
      <c r="DF1955" t="str">
        <f>""</f>
        <v/>
      </c>
    </row>
    <row r="1956" spans="1:110" ht="15" customHeight="1" x14ac:dyDescent="0.35">
      <c r="A1956" t="s">
        <v>16852</v>
      </c>
      <c r="B1956" t="s">
        <v>138</v>
      </c>
      <c r="C1956" s="1">
        <v>44361</v>
      </c>
      <c r="G1956" s="1">
        <v>44361</v>
      </c>
      <c r="H1956" t="s">
        <v>125</v>
      </c>
      <c r="I1956" t="s">
        <v>5897</v>
      </c>
      <c r="J1956" t="s">
        <v>5898</v>
      </c>
      <c r="L1956" t="s">
        <v>5899</v>
      </c>
      <c r="M1956" t="s">
        <v>5900</v>
      </c>
      <c r="N1956" t="s">
        <v>225</v>
      </c>
      <c r="O1956" t="s">
        <v>3874</v>
      </c>
      <c r="P1956" t="s">
        <v>1760</v>
      </c>
      <c r="Q1956" s="3">
        <v>70816</v>
      </c>
      <c r="R1956" t="s">
        <v>128</v>
      </c>
      <c r="S1956" t="s">
        <v>134</v>
      </c>
      <c r="T1956" s="4">
        <v>12252993492</v>
      </c>
      <c r="V1956" t="s">
        <v>5901</v>
      </c>
      <c r="W1956" t="s">
        <v>5902</v>
      </c>
      <c r="Y1956" t="s">
        <v>5900</v>
      </c>
      <c r="Z1956" t="s">
        <v>225</v>
      </c>
      <c r="AA1956" t="s">
        <v>3874</v>
      </c>
      <c r="AB1956" t="s">
        <v>1763</v>
      </c>
      <c r="AC1956" s="3" t="str">
        <f>"70816"</f>
        <v>70816</v>
      </c>
      <c r="AD1956" t="s">
        <v>128</v>
      </c>
      <c r="AE1956" t="s">
        <v>134</v>
      </c>
      <c r="AF1956" s="4">
        <v>12252993492</v>
      </c>
      <c r="AH1956" t="str">
        <f>"621610"</f>
        <v>621610</v>
      </c>
      <c r="AI1956" t="s">
        <v>130</v>
      </c>
      <c r="AJ1956" t="s">
        <v>982</v>
      </c>
      <c r="AK1956" t="s">
        <v>983</v>
      </c>
      <c r="AM1956" t="s">
        <v>5903</v>
      </c>
      <c r="AN1956" t="s">
        <v>3707</v>
      </c>
      <c r="AO1956" t="s">
        <v>742</v>
      </c>
      <c r="AP1956" t="s">
        <v>306</v>
      </c>
      <c r="AQ1956" s="5">
        <v>23219</v>
      </c>
      <c r="AR1956" t="s">
        <v>128</v>
      </c>
      <c r="AT1956" s="4">
        <v>18044206478</v>
      </c>
      <c r="AV1956" t="s">
        <v>5904</v>
      </c>
      <c r="AW1956" t="s">
        <v>987</v>
      </c>
      <c r="AX1956" t="s">
        <v>131</v>
      </c>
      <c r="AY1956" t="s">
        <v>131</v>
      </c>
      <c r="AZ1956" t="s">
        <v>131</v>
      </c>
      <c r="BA1956" t="s">
        <v>131</v>
      </c>
      <c r="BB1956" t="s">
        <v>131</v>
      </c>
      <c r="BC1956" t="s">
        <v>131</v>
      </c>
      <c r="BD1956" t="s">
        <v>131</v>
      </c>
      <c r="BE1956" t="s">
        <v>132</v>
      </c>
      <c r="BH1956" t="s">
        <v>1150</v>
      </c>
      <c r="BI1956" t="s">
        <v>135</v>
      </c>
      <c r="BJ1956" t="s">
        <v>5905</v>
      </c>
      <c r="BK1956" t="s">
        <v>5906</v>
      </c>
      <c r="BL1956" t="s">
        <v>188</v>
      </c>
      <c r="BN1956" t="s">
        <v>16853</v>
      </c>
      <c r="BO1956" t="s">
        <v>131</v>
      </c>
      <c r="BP1956" t="s">
        <v>134</v>
      </c>
      <c r="BQ1956" t="s">
        <v>131</v>
      </c>
      <c r="BS1956" t="str">
        <f t="shared" si="112"/>
        <v>N/A</v>
      </c>
      <c r="BT1956" t="s">
        <v>135</v>
      </c>
      <c r="BU1956">
        <v>36</v>
      </c>
      <c r="BV1956" t="str">
        <f>"as a Physical Therapist"</f>
        <v>as a Physical Therapist</v>
      </c>
      <c r="BW1956" t="s">
        <v>135</v>
      </c>
      <c r="BX1956" t="str">
        <f>"Must possess a Physical Therapist State License or be eligible for State Licensure as a Physical Therapist."</f>
        <v>Must possess a Physical Therapist State License or be eligible for State Licensure as a Physical Therapist.</v>
      </c>
      <c r="BY1956" t="str">
        <f>""</f>
        <v/>
      </c>
      <c r="BZ1956" t="str">
        <f>""</f>
        <v/>
      </c>
      <c r="CA1956" t="str">
        <f>""</f>
        <v/>
      </c>
      <c r="CB1956" t="s">
        <v>135</v>
      </c>
      <c r="CC1956" t="s">
        <v>133</v>
      </c>
      <c r="CE1956" t="s">
        <v>9624</v>
      </c>
      <c r="CF1956" t="s">
        <v>131</v>
      </c>
      <c r="CH1956" t="str">
        <f>"N/A"</f>
        <v>N/A</v>
      </c>
      <c r="CI1956" t="s">
        <v>135</v>
      </c>
      <c r="CJ1956">
        <v>60</v>
      </c>
      <c r="CK1956" t="s">
        <v>135</v>
      </c>
      <c r="CL1956" t="str">
        <f>"Must possess a Physical Therapist State License or be eligible for State Licensure as a Physical Therapist."</f>
        <v>Must possess a Physical Therapist State License or be eligible for State Licensure as a Physical Therapist.</v>
      </c>
      <c r="CM1956" t="str">
        <f>""</f>
        <v/>
      </c>
      <c r="CN1956" t="str">
        <f>""</f>
        <v/>
      </c>
      <c r="CO1956" t="str">
        <f>"5 years (60 months) of experience as a Physical Therapist."</f>
        <v>5 years (60 months) of experience as a Physical Therapist.</v>
      </c>
      <c r="CP1956" t="str">
        <f>"29-1123.00"</f>
        <v>29-1123.00</v>
      </c>
      <c r="CQ1956" t="s">
        <v>962</v>
      </c>
      <c r="CR1956" t="s">
        <v>5908</v>
      </c>
      <c r="CS1956" t="s">
        <v>135</v>
      </c>
      <c r="CT1956" t="s">
        <v>5909</v>
      </c>
      <c r="CU1956" t="s">
        <v>9625</v>
      </c>
      <c r="CW1956" t="s">
        <v>3355</v>
      </c>
      <c r="CX1956" t="s">
        <v>812</v>
      </c>
      <c r="CZ1956" s="3" t="str">
        <f>"29154"</f>
        <v>29154</v>
      </c>
      <c r="DA1956" t="s">
        <v>131</v>
      </c>
      <c r="DB1956" t="str">
        <f>""</f>
        <v/>
      </c>
      <c r="DF1956" t="str">
        <f>""</f>
        <v/>
      </c>
    </row>
    <row r="1957" spans="1:110" ht="15" customHeight="1" x14ac:dyDescent="0.35">
      <c r="A1957" t="s">
        <v>20059</v>
      </c>
      <c r="B1957" t="s">
        <v>138</v>
      </c>
      <c r="C1957" s="1">
        <v>44361</v>
      </c>
      <c r="G1957" s="1">
        <v>44368</v>
      </c>
      <c r="H1957" t="s">
        <v>125</v>
      </c>
      <c r="I1957" t="s">
        <v>4207</v>
      </c>
      <c r="J1957" t="s">
        <v>4208</v>
      </c>
      <c r="L1957" t="s">
        <v>4209</v>
      </c>
      <c r="M1957" t="s">
        <v>4210</v>
      </c>
      <c r="O1957" t="s">
        <v>1040</v>
      </c>
      <c r="P1957" t="s">
        <v>412</v>
      </c>
      <c r="Q1957" s="3">
        <v>78701</v>
      </c>
      <c r="R1957" t="s">
        <v>128</v>
      </c>
      <c r="T1957" s="4">
        <v>17379903012</v>
      </c>
      <c r="V1957" t="s">
        <v>4211</v>
      </c>
      <c r="W1957" t="s">
        <v>9297</v>
      </c>
      <c r="Y1957" t="s">
        <v>4212</v>
      </c>
      <c r="AA1957" t="s">
        <v>2515</v>
      </c>
      <c r="AB1957" t="s">
        <v>172</v>
      </c>
      <c r="AC1957" s="3" t="str">
        <f>"92660"</f>
        <v>92660</v>
      </c>
      <c r="AD1957" t="s">
        <v>128</v>
      </c>
      <c r="AF1957" s="4">
        <v>19497206000</v>
      </c>
      <c r="AH1957" t="str">
        <f>"52392"</f>
        <v>52392</v>
      </c>
      <c r="AI1957" t="s">
        <v>130</v>
      </c>
      <c r="AJ1957" t="s">
        <v>4213</v>
      </c>
      <c r="AK1957" t="s">
        <v>4214</v>
      </c>
      <c r="AM1957" t="s">
        <v>3138</v>
      </c>
      <c r="AO1957" t="s">
        <v>494</v>
      </c>
      <c r="AP1957" t="s">
        <v>129</v>
      </c>
      <c r="AQ1957" s="5">
        <v>10022</v>
      </c>
      <c r="AR1957" t="s">
        <v>128</v>
      </c>
      <c r="AT1957" s="4">
        <v>12126885151</v>
      </c>
      <c r="AV1957" t="s">
        <v>4215</v>
      </c>
      <c r="AW1957" t="s">
        <v>3137</v>
      </c>
      <c r="AX1957" t="s">
        <v>131</v>
      </c>
      <c r="AY1957" t="s">
        <v>131</v>
      </c>
      <c r="AZ1957" t="s">
        <v>131</v>
      </c>
      <c r="BA1957" t="s">
        <v>131</v>
      </c>
      <c r="BB1957" t="s">
        <v>131</v>
      </c>
      <c r="BC1957" t="s">
        <v>131</v>
      </c>
      <c r="BD1957" t="s">
        <v>131</v>
      </c>
      <c r="BE1957" t="s">
        <v>132</v>
      </c>
      <c r="BH1957" t="s">
        <v>1944</v>
      </c>
      <c r="BI1957" t="s">
        <v>131</v>
      </c>
      <c r="BL1957" t="s">
        <v>133</v>
      </c>
      <c r="BN1957" t="s">
        <v>20060</v>
      </c>
      <c r="BO1957" t="s">
        <v>131</v>
      </c>
      <c r="BP1957" t="s">
        <v>134</v>
      </c>
      <c r="BQ1957" t="s">
        <v>131</v>
      </c>
      <c r="BS1957" t="str">
        <f t="shared" si="112"/>
        <v>N/A</v>
      </c>
      <c r="BT1957" t="s">
        <v>135</v>
      </c>
      <c r="BU1957">
        <v>60</v>
      </c>
      <c r="BV1957" t="str">
        <f>"Progressive post-bachelor’s experience in the position offered or related role"</f>
        <v>Progressive post-bachelor’s experience in the position offered or related role</v>
      </c>
      <c r="BW1957" t="s">
        <v>135</v>
      </c>
      <c r="BX1957" t="str">
        <f>""</f>
        <v/>
      </c>
      <c r="BY1957" t="str">
        <f>""</f>
        <v/>
      </c>
      <c r="BZ1957" t="str">
        <f>""</f>
        <v/>
      </c>
      <c r="CA1957" s="2" t="s">
        <v>20061</v>
      </c>
      <c r="CB1957" t="s">
        <v>131</v>
      </c>
      <c r="CF1957" t="s">
        <v>131</v>
      </c>
      <c r="CH1957" t="str">
        <f>""</f>
        <v/>
      </c>
      <c r="CI1957" t="s">
        <v>131</v>
      </c>
      <c r="CK1957" t="s">
        <v>131</v>
      </c>
      <c r="CL1957" t="str">
        <f>""</f>
        <v/>
      </c>
      <c r="CM1957" t="str">
        <f>""</f>
        <v/>
      </c>
      <c r="CN1957" t="str">
        <f>""</f>
        <v/>
      </c>
      <c r="CO1957" t="str">
        <f>""</f>
        <v/>
      </c>
      <c r="CP1957" t="str">
        <f>"15-1133.00"</f>
        <v>15-1133.00</v>
      </c>
      <c r="CQ1957" t="s">
        <v>648</v>
      </c>
      <c r="CR1957" t="s">
        <v>12495</v>
      </c>
      <c r="CS1957" t="s">
        <v>131</v>
      </c>
      <c r="CU1957" t="s">
        <v>4210</v>
      </c>
      <c r="CV1957" t="s">
        <v>3732</v>
      </c>
      <c r="CW1957" t="s">
        <v>1040</v>
      </c>
      <c r="CX1957" t="s">
        <v>400</v>
      </c>
      <c r="CZ1957" s="3" t="str">
        <f>"78701"</f>
        <v>78701</v>
      </c>
      <c r="DA1957" t="s">
        <v>131</v>
      </c>
      <c r="DB1957" t="str">
        <f>""</f>
        <v/>
      </c>
      <c r="DF1957" t="str">
        <f>""</f>
        <v/>
      </c>
    </row>
    <row r="1958" spans="1:110" ht="15" customHeight="1" x14ac:dyDescent="0.35">
      <c r="A1958" t="s">
        <v>17051</v>
      </c>
      <c r="B1958" t="s">
        <v>138</v>
      </c>
      <c r="C1958" s="1">
        <v>44361</v>
      </c>
      <c r="G1958" s="1">
        <v>44362</v>
      </c>
      <c r="H1958" t="s">
        <v>125</v>
      </c>
      <c r="I1958" t="s">
        <v>7424</v>
      </c>
      <c r="J1958" t="s">
        <v>7425</v>
      </c>
      <c r="L1958" t="s">
        <v>583</v>
      </c>
      <c r="M1958" t="s">
        <v>7426</v>
      </c>
      <c r="N1958">
        <v>610</v>
      </c>
      <c r="O1958" t="s">
        <v>616</v>
      </c>
      <c r="P1958" t="s">
        <v>194</v>
      </c>
      <c r="Q1958" s="3">
        <v>33180</v>
      </c>
      <c r="R1958" t="s">
        <v>128</v>
      </c>
      <c r="T1958" s="4">
        <v>17862344321</v>
      </c>
      <c r="V1958" t="s">
        <v>7427</v>
      </c>
      <c r="W1958" t="s">
        <v>7428</v>
      </c>
      <c r="Y1958" t="s">
        <v>7426</v>
      </c>
      <c r="Z1958">
        <v>610</v>
      </c>
      <c r="AA1958" t="s">
        <v>616</v>
      </c>
      <c r="AB1958" t="s">
        <v>195</v>
      </c>
      <c r="AC1958" s="3" t="str">
        <f>"33180"</f>
        <v>33180</v>
      </c>
      <c r="AD1958" t="s">
        <v>128</v>
      </c>
      <c r="AF1958" s="4">
        <v>17862344321</v>
      </c>
      <c r="AH1958" t="str">
        <f>"531210"</f>
        <v>531210</v>
      </c>
      <c r="AI1958" t="s">
        <v>130</v>
      </c>
      <c r="AJ1958" t="s">
        <v>7429</v>
      </c>
      <c r="AK1958" t="s">
        <v>7430</v>
      </c>
      <c r="AL1958" t="s">
        <v>7431</v>
      </c>
      <c r="AM1958" t="s">
        <v>7432</v>
      </c>
      <c r="AN1958" t="s">
        <v>5534</v>
      </c>
      <c r="AO1958" t="s">
        <v>616</v>
      </c>
      <c r="AP1958" t="s">
        <v>195</v>
      </c>
      <c r="AQ1958" s="5">
        <v>33137</v>
      </c>
      <c r="AR1958" t="s">
        <v>128</v>
      </c>
      <c r="AT1958" s="4">
        <v>13052050837</v>
      </c>
      <c r="AV1958" t="s">
        <v>7433</v>
      </c>
      <c r="AW1958" t="s">
        <v>7434</v>
      </c>
      <c r="AX1958" t="s">
        <v>131</v>
      </c>
      <c r="AY1958" t="s">
        <v>131</v>
      </c>
      <c r="AZ1958" t="s">
        <v>131</v>
      </c>
      <c r="BA1958" t="s">
        <v>131</v>
      </c>
      <c r="BB1958" t="s">
        <v>131</v>
      </c>
      <c r="BC1958" t="s">
        <v>131</v>
      </c>
      <c r="BD1958" t="s">
        <v>131</v>
      </c>
      <c r="BE1958" t="s">
        <v>132</v>
      </c>
      <c r="BH1958" t="s">
        <v>7402</v>
      </c>
      <c r="BI1958" t="s">
        <v>131</v>
      </c>
      <c r="BL1958" t="s">
        <v>167</v>
      </c>
      <c r="BO1958" t="s">
        <v>131</v>
      </c>
      <c r="BP1958" t="s">
        <v>134</v>
      </c>
      <c r="BQ1958" t="s">
        <v>131</v>
      </c>
      <c r="BS1958" t="str">
        <f t="shared" si="112"/>
        <v>N/A</v>
      </c>
      <c r="BT1958" t="s">
        <v>135</v>
      </c>
      <c r="BU1958">
        <v>48</v>
      </c>
      <c r="BV1958" t="str">
        <f>"Property Manager"</f>
        <v>Property Manager</v>
      </c>
      <c r="BW1958" t="s">
        <v>131</v>
      </c>
      <c r="BX1958" t="str">
        <f>""</f>
        <v/>
      </c>
      <c r="BY1958" t="str">
        <f>""</f>
        <v/>
      </c>
      <c r="BZ1958" t="str">
        <f>""</f>
        <v/>
      </c>
      <c r="CA1958" t="str">
        <f>""</f>
        <v/>
      </c>
      <c r="CB1958" t="s">
        <v>131</v>
      </c>
      <c r="CF1958" t="s">
        <v>131</v>
      </c>
      <c r="CH1958" t="str">
        <f>""</f>
        <v/>
      </c>
      <c r="CI1958" t="s">
        <v>131</v>
      </c>
      <c r="CK1958" t="s">
        <v>131</v>
      </c>
      <c r="CL1958" t="str">
        <f>""</f>
        <v/>
      </c>
      <c r="CM1958" t="str">
        <f>""</f>
        <v/>
      </c>
      <c r="CN1958" t="str">
        <f>""</f>
        <v/>
      </c>
      <c r="CO1958" t="str">
        <f>""</f>
        <v/>
      </c>
      <c r="CP1958" t="str">
        <f>"11-9141.00"</f>
        <v>11-9141.00</v>
      </c>
      <c r="CQ1958" t="s">
        <v>632</v>
      </c>
      <c r="CR1958" t="s">
        <v>583</v>
      </c>
      <c r="CS1958" t="s">
        <v>131</v>
      </c>
      <c r="CU1958" t="s">
        <v>7426</v>
      </c>
      <c r="CV1958">
        <v>610</v>
      </c>
      <c r="CW1958" t="s">
        <v>616</v>
      </c>
      <c r="CX1958" t="s">
        <v>195</v>
      </c>
      <c r="CZ1958" s="3" t="str">
        <f>"33180"</f>
        <v>33180</v>
      </c>
      <c r="DA1958" t="s">
        <v>131</v>
      </c>
      <c r="DB1958" t="str">
        <f>""</f>
        <v/>
      </c>
      <c r="DF1958" t="str">
        <f>""</f>
        <v/>
      </c>
    </row>
    <row r="1959" spans="1:110" ht="15" customHeight="1" x14ac:dyDescent="0.35">
      <c r="A1959" t="s">
        <v>7423</v>
      </c>
      <c r="B1959" t="s">
        <v>138</v>
      </c>
      <c r="C1959" s="1">
        <v>44361</v>
      </c>
      <c r="G1959" s="1">
        <v>44362</v>
      </c>
      <c r="H1959" t="s">
        <v>125</v>
      </c>
      <c r="I1959" t="s">
        <v>7424</v>
      </c>
      <c r="J1959" t="s">
        <v>7425</v>
      </c>
      <c r="L1959" t="s">
        <v>583</v>
      </c>
      <c r="M1959" t="s">
        <v>7426</v>
      </c>
      <c r="N1959">
        <v>610</v>
      </c>
      <c r="O1959" t="s">
        <v>616</v>
      </c>
      <c r="P1959" t="s">
        <v>194</v>
      </c>
      <c r="Q1959" s="3">
        <v>33180</v>
      </c>
      <c r="R1959" t="s">
        <v>128</v>
      </c>
      <c r="T1959" s="4">
        <v>17862344321</v>
      </c>
      <c r="V1959" t="s">
        <v>7427</v>
      </c>
      <c r="W1959" t="s">
        <v>7428</v>
      </c>
      <c r="Y1959" t="s">
        <v>7426</v>
      </c>
      <c r="Z1959">
        <v>610</v>
      </c>
      <c r="AA1959" t="s">
        <v>616</v>
      </c>
      <c r="AB1959" t="s">
        <v>195</v>
      </c>
      <c r="AC1959" s="3" t="str">
        <f>"33180"</f>
        <v>33180</v>
      </c>
      <c r="AD1959" t="s">
        <v>128</v>
      </c>
      <c r="AF1959" s="4">
        <v>17862344321</v>
      </c>
      <c r="AH1959" t="str">
        <f>"531210"</f>
        <v>531210</v>
      </c>
      <c r="AI1959" t="s">
        <v>130</v>
      </c>
      <c r="AJ1959" t="s">
        <v>7429</v>
      </c>
      <c r="AK1959" t="s">
        <v>7430</v>
      </c>
      <c r="AL1959" t="s">
        <v>7431</v>
      </c>
      <c r="AM1959" t="s">
        <v>7432</v>
      </c>
      <c r="AN1959" t="s">
        <v>5534</v>
      </c>
      <c r="AO1959" t="s">
        <v>616</v>
      </c>
      <c r="AP1959" t="s">
        <v>195</v>
      </c>
      <c r="AQ1959" s="5">
        <v>33137</v>
      </c>
      <c r="AR1959" t="s">
        <v>128</v>
      </c>
      <c r="AT1959" s="4">
        <v>13052050837</v>
      </c>
      <c r="AV1959" t="s">
        <v>7433</v>
      </c>
      <c r="AW1959" t="s">
        <v>7434</v>
      </c>
      <c r="AX1959" t="s">
        <v>131</v>
      </c>
      <c r="AY1959" t="s">
        <v>131</v>
      </c>
      <c r="AZ1959" t="s">
        <v>131</v>
      </c>
      <c r="BA1959" t="s">
        <v>131</v>
      </c>
      <c r="BB1959" t="s">
        <v>131</v>
      </c>
      <c r="BC1959" t="s">
        <v>131</v>
      </c>
      <c r="BD1959" t="s">
        <v>131</v>
      </c>
      <c r="BE1959" t="s">
        <v>132</v>
      </c>
      <c r="BH1959" t="s">
        <v>7435</v>
      </c>
      <c r="BI1959" t="s">
        <v>131</v>
      </c>
      <c r="BL1959" t="s">
        <v>167</v>
      </c>
      <c r="BO1959" t="s">
        <v>131</v>
      </c>
      <c r="BP1959" t="s">
        <v>134</v>
      </c>
      <c r="BQ1959" t="s">
        <v>131</v>
      </c>
      <c r="BS1959" t="str">
        <f t="shared" si="112"/>
        <v>N/A</v>
      </c>
      <c r="BT1959" t="s">
        <v>135</v>
      </c>
      <c r="BU1959">
        <v>48</v>
      </c>
      <c r="BV1959" t="str">
        <f>"Real Estate Analyst"</f>
        <v>Real Estate Analyst</v>
      </c>
      <c r="BW1959" t="s">
        <v>131</v>
      </c>
      <c r="BX1959" t="str">
        <f>""</f>
        <v/>
      </c>
      <c r="BY1959" t="str">
        <f>""</f>
        <v/>
      </c>
      <c r="BZ1959" t="str">
        <f>""</f>
        <v/>
      </c>
      <c r="CA1959" t="str">
        <f>""</f>
        <v/>
      </c>
      <c r="CB1959" t="s">
        <v>131</v>
      </c>
      <c r="CF1959" t="s">
        <v>131</v>
      </c>
      <c r="CH1959" t="str">
        <f>""</f>
        <v/>
      </c>
      <c r="CI1959" t="s">
        <v>131</v>
      </c>
      <c r="CK1959" t="s">
        <v>131</v>
      </c>
      <c r="CL1959" t="str">
        <f>""</f>
        <v/>
      </c>
      <c r="CM1959" t="str">
        <f>""</f>
        <v/>
      </c>
      <c r="CN1959" t="str">
        <f>""</f>
        <v/>
      </c>
      <c r="CO1959" t="str">
        <f>""</f>
        <v/>
      </c>
      <c r="CP1959" t="str">
        <f>"13-2051.00"</f>
        <v>13-2051.00</v>
      </c>
      <c r="CQ1959" t="s">
        <v>245</v>
      </c>
      <c r="CR1959" t="s">
        <v>583</v>
      </c>
      <c r="CS1959" t="s">
        <v>131</v>
      </c>
      <c r="CU1959" t="s">
        <v>7426</v>
      </c>
      <c r="CV1959">
        <v>610</v>
      </c>
      <c r="CW1959" t="s">
        <v>616</v>
      </c>
      <c r="CX1959" t="s">
        <v>195</v>
      </c>
      <c r="CZ1959" s="3" t="str">
        <f>"33180"</f>
        <v>33180</v>
      </c>
      <c r="DA1959" t="s">
        <v>131</v>
      </c>
      <c r="DB1959" t="str">
        <f>""</f>
        <v/>
      </c>
      <c r="DF1959" t="str">
        <f>""</f>
        <v/>
      </c>
    </row>
    <row r="1960" spans="1:110" ht="15" customHeight="1" x14ac:dyDescent="0.35">
      <c r="A1960" t="s">
        <v>19179</v>
      </c>
      <c r="B1960" t="s">
        <v>138</v>
      </c>
      <c r="C1960" s="1">
        <v>44361</v>
      </c>
      <c r="G1960" s="1">
        <v>44361</v>
      </c>
      <c r="H1960" t="s">
        <v>125</v>
      </c>
      <c r="I1960" t="s">
        <v>368</v>
      </c>
      <c r="J1960" t="s">
        <v>369</v>
      </c>
      <c r="K1960" t="s">
        <v>134</v>
      </c>
      <c r="L1960" t="s">
        <v>722</v>
      </c>
      <c r="M1960" t="s">
        <v>370</v>
      </c>
      <c r="O1960" t="s">
        <v>371</v>
      </c>
      <c r="P1960" t="s">
        <v>144</v>
      </c>
      <c r="Q1960" s="3">
        <v>98121</v>
      </c>
      <c r="R1960" t="s">
        <v>128</v>
      </c>
      <c r="S1960" t="s">
        <v>134</v>
      </c>
      <c r="T1960" s="4">
        <v>12062661000</v>
      </c>
      <c r="V1960" t="s">
        <v>372</v>
      </c>
      <c r="W1960" t="s">
        <v>2873</v>
      </c>
      <c r="X1960" t="s">
        <v>134</v>
      </c>
      <c r="Y1960" t="s">
        <v>370</v>
      </c>
      <c r="Z1960" t="s">
        <v>134</v>
      </c>
      <c r="AA1960" t="s">
        <v>371</v>
      </c>
      <c r="AB1960" t="s">
        <v>149</v>
      </c>
      <c r="AC1960" s="3" t="str">
        <f>"98121"</f>
        <v>98121</v>
      </c>
      <c r="AD1960" t="s">
        <v>128</v>
      </c>
      <c r="AE1960" t="s">
        <v>134</v>
      </c>
      <c r="AF1960" s="4">
        <v>12062661000</v>
      </c>
      <c r="AH1960" t="str">
        <f>"45411"</f>
        <v>45411</v>
      </c>
      <c r="AI1960" t="s">
        <v>130</v>
      </c>
      <c r="AJ1960" t="s">
        <v>4017</v>
      </c>
      <c r="AK1960" t="s">
        <v>1049</v>
      </c>
      <c r="AM1960" t="s">
        <v>374</v>
      </c>
      <c r="AN1960" t="s">
        <v>991</v>
      </c>
      <c r="AO1960" t="s">
        <v>376</v>
      </c>
      <c r="AP1960" t="s">
        <v>377</v>
      </c>
      <c r="AQ1960" s="5">
        <v>2110</v>
      </c>
      <c r="AR1960" t="s">
        <v>128</v>
      </c>
      <c r="AT1960" s="4">
        <v>16175740400</v>
      </c>
      <c r="AV1960" t="s">
        <v>372</v>
      </c>
      <c r="AW1960" t="s">
        <v>378</v>
      </c>
      <c r="AX1960" t="s">
        <v>131</v>
      </c>
      <c r="AY1960" t="s">
        <v>131</v>
      </c>
      <c r="AZ1960" t="s">
        <v>131</v>
      </c>
      <c r="BA1960" t="s">
        <v>131</v>
      </c>
      <c r="BB1960" t="s">
        <v>131</v>
      </c>
      <c r="BC1960" t="s">
        <v>131</v>
      </c>
      <c r="BD1960" t="s">
        <v>131</v>
      </c>
      <c r="BE1960" t="s">
        <v>132</v>
      </c>
      <c r="BH1960" t="s">
        <v>19180</v>
      </c>
      <c r="BI1960" t="s">
        <v>131</v>
      </c>
      <c r="BL1960" t="s">
        <v>188</v>
      </c>
      <c r="BN1960" t="s">
        <v>19181</v>
      </c>
      <c r="BO1960" t="s">
        <v>131</v>
      </c>
      <c r="BP1960" t="s">
        <v>134</v>
      </c>
      <c r="BQ1960" t="s">
        <v>131</v>
      </c>
      <c r="BS1960" t="str">
        <f t="shared" si="112"/>
        <v>N/A</v>
      </c>
      <c r="BT1960" t="s">
        <v>135</v>
      </c>
      <c r="BU1960">
        <v>12</v>
      </c>
      <c r="BV1960" t="str">
        <f>"job offered, or a related occupation"</f>
        <v>job offered, or a related occupation</v>
      </c>
      <c r="BW1960" t="s">
        <v>135</v>
      </c>
      <c r="BX1960" t="str">
        <f>""</f>
        <v/>
      </c>
      <c r="BY1960" t="str">
        <f>""</f>
        <v/>
      </c>
      <c r="BZ1960" t="str">
        <f>""</f>
        <v/>
      </c>
      <c r="CA1960" t="s">
        <v>19182</v>
      </c>
      <c r="CB1960" t="s">
        <v>135</v>
      </c>
      <c r="CC1960" t="s">
        <v>133</v>
      </c>
      <c r="CE1960" t="s">
        <v>4621</v>
      </c>
      <c r="CF1960" t="s">
        <v>131</v>
      </c>
      <c r="CH1960" t="str">
        <f>"N/A"</f>
        <v>N/A</v>
      </c>
      <c r="CI1960" t="s">
        <v>135</v>
      </c>
      <c r="CJ1960">
        <v>60</v>
      </c>
      <c r="CK1960" t="s">
        <v>135</v>
      </c>
      <c r="CL1960" t="str">
        <f>""</f>
        <v/>
      </c>
      <c r="CM1960" t="str">
        <f>""</f>
        <v/>
      </c>
      <c r="CN1960" t="str">
        <f>""</f>
        <v/>
      </c>
      <c r="CO1960" t="s">
        <v>19182</v>
      </c>
      <c r="CP1960" t="str">
        <f>"15-1132.00"</f>
        <v>15-1132.00</v>
      </c>
      <c r="CQ1960" t="s">
        <v>198</v>
      </c>
      <c r="CS1960" t="s">
        <v>135</v>
      </c>
      <c r="CT1960" t="s">
        <v>19183</v>
      </c>
      <c r="CU1960" t="s">
        <v>5267</v>
      </c>
      <c r="CV1960" t="s">
        <v>134</v>
      </c>
      <c r="CW1960" t="s">
        <v>1040</v>
      </c>
      <c r="CX1960" t="s">
        <v>400</v>
      </c>
      <c r="CZ1960" s="3" t="str">
        <f>"78758"</f>
        <v>78758</v>
      </c>
      <c r="DA1960" t="s">
        <v>131</v>
      </c>
      <c r="DB1960" t="str">
        <f>""</f>
        <v/>
      </c>
      <c r="DF1960" t="str">
        <f>""</f>
        <v/>
      </c>
    </row>
    <row r="1961" spans="1:110" ht="15" customHeight="1" x14ac:dyDescent="0.35">
      <c r="A1961" t="s">
        <v>8705</v>
      </c>
      <c r="B1961" t="s">
        <v>138</v>
      </c>
      <c r="C1961" s="1">
        <v>44361</v>
      </c>
      <c r="G1961" s="1">
        <v>44363</v>
      </c>
      <c r="H1961" t="s">
        <v>125</v>
      </c>
      <c r="I1961" t="s">
        <v>8706</v>
      </c>
      <c r="J1961" t="s">
        <v>8707</v>
      </c>
      <c r="L1961" t="s">
        <v>8708</v>
      </c>
      <c r="M1961" t="s">
        <v>8709</v>
      </c>
      <c r="N1961" t="s">
        <v>8710</v>
      </c>
      <c r="O1961" t="s">
        <v>634</v>
      </c>
      <c r="P1961" t="s">
        <v>412</v>
      </c>
      <c r="Q1961" s="3">
        <v>76262</v>
      </c>
      <c r="R1961" t="s">
        <v>128</v>
      </c>
      <c r="T1961" s="4">
        <v>18179612100</v>
      </c>
      <c r="V1961" t="s">
        <v>8711</v>
      </c>
      <c r="W1961" t="s">
        <v>8712</v>
      </c>
      <c r="Y1961" t="s">
        <v>8709</v>
      </c>
      <c r="Z1961" t="s">
        <v>8710</v>
      </c>
      <c r="AA1961" t="s">
        <v>634</v>
      </c>
      <c r="AB1961" t="s">
        <v>400</v>
      </c>
      <c r="AC1961" s="3" t="str">
        <f>"76262"</f>
        <v>76262</v>
      </c>
      <c r="AD1961" t="s">
        <v>128</v>
      </c>
      <c r="AF1961" s="4">
        <v>18179612100</v>
      </c>
      <c r="AH1961" t="str">
        <f>"541511"</f>
        <v>541511</v>
      </c>
      <c r="AI1961" t="s">
        <v>130</v>
      </c>
      <c r="AJ1961" t="s">
        <v>8713</v>
      </c>
      <c r="AK1961" t="s">
        <v>1601</v>
      </c>
      <c r="AL1961" t="s">
        <v>1059</v>
      </c>
      <c r="AM1961" t="s">
        <v>8714</v>
      </c>
      <c r="AN1961" t="s">
        <v>1980</v>
      </c>
      <c r="AO1961" t="s">
        <v>791</v>
      </c>
      <c r="AP1961" t="s">
        <v>172</v>
      </c>
      <c r="AQ1961" s="5">
        <v>92108</v>
      </c>
      <c r="AR1961" t="s">
        <v>128</v>
      </c>
      <c r="AT1961" s="4">
        <v>16192999600</v>
      </c>
      <c r="AV1961" t="s">
        <v>8715</v>
      </c>
      <c r="AW1961" t="s">
        <v>8716</v>
      </c>
      <c r="AX1961" t="s">
        <v>131</v>
      </c>
      <c r="AY1961" t="s">
        <v>131</v>
      </c>
      <c r="AZ1961" t="s">
        <v>131</v>
      </c>
      <c r="BA1961" t="s">
        <v>131</v>
      </c>
      <c r="BB1961" t="s">
        <v>131</v>
      </c>
      <c r="BC1961" t="s">
        <v>131</v>
      </c>
      <c r="BD1961" t="s">
        <v>131</v>
      </c>
      <c r="BE1961" t="s">
        <v>132</v>
      </c>
      <c r="BH1961" t="s">
        <v>8131</v>
      </c>
      <c r="BI1961" t="s">
        <v>131</v>
      </c>
      <c r="BL1961" t="s">
        <v>133</v>
      </c>
      <c r="BN1961" t="s">
        <v>8717</v>
      </c>
      <c r="BO1961" t="s">
        <v>131</v>
      </c>
      <c r="BP1961" t="s">
        <v>134</v>
      </c>
      <c r="BQ1961" t="s">
        <v>131</v>
      </c>
      <c r="BS1961" t="str">
        <f t="shared" si="112"/>
        <v>N/A</v>
      </c>
      <c r="BT1961" t="s">
        <v>135</v>
      </c>
      <c r="BU1961">
        <v>36</v>
      </c>
      <c r="BV1961" t="str">
        <f>"Business Systems Analyst or any role in software development."</f>
        <v>Business Systems Analyst or any role in software development.</v>
      </c>
      <c r="BW1961" t="s">
        <v>135</v>
      </c>
      <c r="BX1961" t="str">
        <f>""</f>
        <v/>
      </c>
      <c r="BY1961" t="str">
        <f>""</f>
        <v/>
      </c>
      <c r="BZ1961" t="str">
        <f>""</f>
        <v/>
      </c>
      <c r="CA1961" t="s">
        <v>8718</v>
      </c>
      <c r="CB1961" t="s">
        <v>131</v>
      </c>
      <c r="CF1961" t="s">
        <v>131</v>
      </c>
      <c r="CH1961" t="str">
        <f>""</f>
        <v/>
      </c>
      <c r="CI1961" t="s">
        <v>131</v>
      </c>
      <c r="CK1961" t="s">
        <v>131</v>
      </c>
      <c r="CL1961" t="str">
        <f>""</f>
        <v/>
      </c>
      <c r="CM1961" t="str">
        <f>""</f>
        <v/>
      </c>
      <c r="CN1961" t="str">
        <f>""</f>
        <v/>
      </c>
      <c r="CO1961" t="str">
        <f>""</f>
        <v/>
      </c>
      <c r="CP1961" t="str">
        <f>"15-1199.08"</f>
        <v>15-1199.08</v>
      </c>
      <c r="CQ1961" t="s">
        <v>265</v>
      </c>
      <c r="CS1961" t="s">
        <v>131</v>
      </c>
      <c r="CU1961" t="s">
        <v>8719</v>
      </c>
      <c r="CW1961" t="s">
        <v>1280</v>
      </c>
      <c r="CX1961" t="s">
        <v>172</v>
      </c>
      <c r="CZ1961" s="3" t="str">
        <f>"92078"</f>
        <v>92078</v>
      </c>
      <c r="DA1961" t="s">
        <v>131</v>
      </c>
      <c r="DB1961" t="str">
        <f>""</f>
        <v/>
      </c>
      <c r="DF1961" t="str">
        <f>""</f>
        <v/>
      </c>
    </row>
    <row r="1962" spans="1:110" ht="15" customHeight="1" x14ac:dyDescent="0.35">
      <c r="A1962" t="s">
        <v>18818</v>
      </c>
      <c r="B1962" t="s">
        <v>138</v>
      </c>
      <c r="C1962" s="1">
        <v>44361</v>
      </c>
      <c r="G1962" s="1">
        <v>44361</v>
      </c>
      <c r="H1962" t="s">
        <v>125</v>
      </c>
      <c r="I1962" t="s">
        <v>5141</v>
      </c>
      <c r="J1962" t="s">
        <v>2371</v>
      </c>
      <c r="L1962" t="s">
        <v>395</v>
      </c>
      <c r="M1962" t="s">
        <v>5142</v>
      </c>
      <c r="O1962" t="s">
        <v>899</v>
      </c>
      <c r="P1962" t="s">
        <v>412</v>
      </c>
      <c r="Q1962" s="3">
        <v>76012</v>
      </c>
      <c r="R1962" t="s">
        <v>128</v>
      </c>
      <c r="T1962" s="4">
        <v>18172006397</v>
      </c>
      <c r="V1962" t="s">
        <v>5143</v>
      </c>
      <c r="W1962" t="s">
        <v>5144</v>
      </c>
      <c r="Y1962" t="s">
        <v>5142</v>
      </c>
      <c r="AA1962" t="s">
        <v>899</v>
      </c>
      <c r="AB1962" t="s">
        <v>400</v>
      </c>
      <c r="AC1962" s="3" t="str">
        <f>"76012"</f>
        <v>76012</v>
      </c>
      <c r="AD1962" t="s">
        <v>128</v>
      </c>
      <c r="AF1962" s="4">
        <v>18172006397</v>
      </c>
      <c r="AH1962" t="str">
        <f>"524210"</f>
        <v>524210</v>
      </c>
      <c r="AI1962" t="s">
        <v>130</v>
      </c>
      <c r="AJ1962" t="s">
        <v>1448</v>
      </c>
      <c r="AK1962" t="s">
        <v>1036</v>
      </c>
      <c r="AL1962" t="s">
        <v>1949</v>
      </c>
      <c r="AM1962" t="s">
        <v>1950</v>
      </c>
      <c r="AN1962" t="s">
        <v>1951</v>
      </c>
      <c r="AO1962" t="s">
        <v>494</v>
      </c>
      <c r="AP1962" t="s">
        <v>129</v>
      </c>
      <c r="AQ1962" s="5">
        <v>10006</v>
      </c>
      <c r="AR1962" t="s">
        <v>128</v>
      </c>
      <c r="AT1962" s="4">
        <v>12126933355</v>
      </c>
      <c r="AV1962" t="s">
        <v>1952</v>
      </c>
      <c r="AW1962" t="s">
        <v>1953</v>
      </c>
      <c r="AX1962" t="s">
        <v>131</v>
      </c>
      <c r="AY1962" t="s">
        <v>131</v>
      </c>
      <c r="AZ1962" t="s">
        <v>131</v>
      </c>
      <c r="BA1962" t="s">
        <v>131</v>
      </c>
      <c r="BB1962" t="s">
        <v>131</v>
      </c>
      <c r="BC1962" t="s">
        <v>131</v>
      </c>
      <c r="BD1962" t="s">
        <v>131</v>
      </c>
      <c r="BE1962" t="s">
        <v>132</v>
      </c>
      <c r="BH1962" t="s">
        <v>5145</v>
      </c>
      <c r="BI1962" t="s">
        <v>131</v>
      </c>
      <c r="BL1962" t="s">
        <v>401</v>
      </c>
      <c r="BO1962" t="s">
        <v>131</v>
      </c>
      <c r="BP1962" t="s">
        <v>134</v>
      </c>
      <c r="BQ1962" t="s">
        <v>131</v>
      </c>
      <c r="BS1962" t="str">
        <f t="shared" si="112"/>
        <v>N/A</v>
      </c>
      <c r="BT1962" t="s">
        <v>131</v>
      </c>
      <c r="BV1962" t="str">
        <f>""</f>
        <v/>
      </c>
      <c r="BW1962" t="s">
        <v>131</v>
      </c>
      <c r="BX1962" t="str">
        <f>""</f>
        <v/>
      </c>
      <c r="BY1962" t="str">
        <f>""</f>
        <v/>
      </c>
      <c r="BZ1962" t="str">
        <f>""</f>
        <v/>
      </c>
      <c r="CA1962" t="str">
        <f>""</f>
        <v/>
      </c>
      <c r="CB1962" t="s">
        <v>131</v>
      </c>
      <c r="CF1962" t="s">
        <v>131</v>
      </c>
      <c r="CH1962" t="str">
        <f>""</f>
        <v/>
      </c>
      <c r="CI1962" t="s">
        <v>131</v>
      </c>
      <c r="CK1962" t="s">
        <v>131</v>
      </c>
      <c r="CL1962" t="str">
        <f>""</f>
        <v/>
      </c>
      <c r="CM1962" t="str">
        <f>""</f>
        <v/>
      </c>
      <c r="CN1962" t="str">
        <f>""</f>
        <v/>
      </c>
      <c r="CO1962" t="str">
        <f>""</f>
        <v/>
      </c>
      <c r="CP1962" t="str">
        <f>"43-6014.00"</f>
        <v>43-6014.00</v>
      </c>
      <c r="CQ1962" t="s">
        <v>406</v>
      </c>
      <c r="CR1962" t="s">
        <v>395</v>
      </c>
      <c r="CS1962" t="s">
        <v>131</v>
      </c>
      <c r="CU1962" t="s">
        <v>5142</v>
      </c>
      <c r="CW1962" t="s">
        <v>899</v>
      </c>
      <c r="CX1962" t="s">
        <v>400</v>
      </c>
      <c r="CZ1962" s="3" t="str">
        <f>"76012"</f>
        <v>76012</v>
      </c>
      <c r="DA1962" t="s">
        <v>131</v>
      </c>
      <c r="DB1962" t="str">
        <f>""</f>
        <v/>
      </c>
      <c r="DF1962" t="str">
        <f>""</f>
        <v/>
      </c>
    </row>
    <row r="1963" spans="1:110" ht="15" customHeight="1" x14ac:dyDescent="0.35">
      <c r="A1963" t="s">
        <v>16021</v>
      </c>
      <c r="B1963" t="s">
        <v>138</v>
      </c>
      <c r="C1963" s="1">
        <v>44361</v>
      </c>
      <c r="G1963" s="1">
        <v>44361</v>
      </c>
      <c r="H1963" t="s">
        <v>125</v>
      </c>
      <c r="I1963" t="s">
        <v>139</v>
      </c>
      <c r="J1963" t="s">
        <v>140</v>
      </c>
      <c r="L1963" t="s">
        <v>141</v>
      </c>
      <c r="M1963" t="s">
        <v>142</v>
      </c>
      <c r="O1963" t="s">
        <v>143</v>
      </c>
      <c r="P1963" t="s">
        <v>144</v>
      </c>
      <c r="Q1963" s="3">
        <v>98052</v>
      </c>
      <c r="R1963" t="s">
        <v>128</v>
      </c>
      <c r="T1963" s="4">
        <v>14255383872</v>
      </c>
      <c r="V1963" t="s">
        <v>234</v>
      </c>
      <c r="W1963" t="s">
        <v>235</v>
      </c>
      <c r="Y1963" t="s">
        <v>236</v>
      </c>
      <c r="AA1963" t="s">
        <v>143</v>
      </c>
      <c r="AB1963" t="s">
        <v>149</v>
      </c>
      <c r="AC1963" s="3" t="str">
        <f>"98052"</f>
        <v>98052</v>
      </c>
      <c r="AD1963" t="s">
        <v>128</v>
      </c>
      <c r="AF1963" s="4">
        <v>14255383872</v>
      </c>
      <c r="AH1963" t="str">
        <f>"5112"</f>
        <v>5112</v>
      </c>
      <c r="AI1963" t="s">
        <v>130</v>
      </c>
      <c r="AJ1963" t="s">
        <v>237</v>
      </c>
      <c r="AK1963" t="s">
        <v>238</v>
      </c>
      <c r="AM1963" t="s">
        <v>239</v>
      </c>
      <c r="AN1963" t="s">
        <v>240</v>
      </c>
      <c r="AO1963" t="s">
        <v>241</v>
      </c>
      <c r="AQ1963" s="5" t="s">
        <v>242</v>
      </c>
      <c r="AR1963" t="s">
        <v>156</v>
      </c>
      <c r="AS1963" t="s">
        <v>243</v>
      </c>
      <c r="AT1963" s="4">
        <v>16048067013</v>
      </c>
      <c r="AV1963" t="s">
        <v>234</v>
      </c>
      <c r="AW1963" t="s">
        <v>244</v>
      </c>
      <c r="AX1963" t="s">
        <v>131</v>
      </c>
      <c r="AY1963" t="s">
        <v>131</v>
      </c>
      <c r="AZ1963" t="s">
        <v>131</v>
      </c>
      <c r="BA1963" t="s">
        <v>131</v>
      </c>
      <c r="BB1963" t="s">
        <v>131</v>
      </c>
      <c r="BC1963" t="s">
        <v>131</v>
      </c>
      <c r="BD1963" t="s">
        <v>131</v>
      </c>
      <c r="BE1963" t="s">
        <v>132</v>
      </c>
      <c r="BH1963" t="s">
        <v>542</v>
      </c>
      <c r="BI1963" t="s">
        <v>131</v>
      </c>
      <c r="BL1963" t="s">
        <v>133</v>
      </c>
      <c r="BN1963" t="s">
        <v>10540</v>
      </c>
      <c r="BO1963" t="s">
        <v>131</v>
      </c>
      <c r="BP1963" t="s">
        <v>134</v>
      </c>
      <c r="BQ1963" t="s">
        <v>131</v>
      </c>
      <c r="BS1963" t="str">
        <f t="shared" si="112"/>
        <v>N/A</v>
      </c>
      <c r="BT1963" t="s">
        <v>135</v>
      </c>
      <c r="BU1963">
        <v>6</v>
      </c>
      <c r="BV1963" t="str">
        <f>"All Computer related occupations"</f>
        <v>All Computer related occupations</v>
      </c>
      <c r="BW1963" t="s">
        <v>135</v>
      </c>
      <c r="BX1963" t="str">
        <f>""</f>
        <v/>
      </c>
      <c r="BY1963" t="str">
        <f>""</f>
        <v/>
      </c>
      <c r="BZ1963" t="str">
        <f>""</f>
        <v/>
      </c>
      <c r="CA1963" t="s">
        <v>12305</v>
      </c>
      <c r="CB1963" t="s">
        <v>135</v>
      </c>
      <c r="CC1963" t="s">
        <v>167</v>
      </c>
      <c r="CF1963" t="s">
        <v>131</v>
      </c>
      <c r="CH1963" t="str">
        <f>"N/A"</f>
        <v>N/A</v>
      </c>
      <c r="CI1963" t="s">
        <v>135</v>
      </c>
      <c r="CJ1963">
        <v>30</v>
      </c>
      <c r="CK1963" t="s">
        <v>135</v>
      </c>
      <c r="CL1963" t="str">
        <f>""</f>
        <v/>
      </c>
      <c r="CM1963" t="str">
        <f>""</f>
        <v/>
      </c>
      <c r="CN1963" t="str">
        <f>""</f>
        <v/>
      </c>
      <c r="CO1963" s="2" t="s">
        <v>16022</v>
      </c>
      <c r="CP1963" t="str">
        <f>"15-1132.00"</f>
        <v>15-1132.00</v>
      </c>
      <c r="CQ1963" t="s">
        <v>198</v>
      </c>
      <c r="CS1963" t="s">
        <v>131</v>
      </c>
      <c r="CU1963" t="s">
        <v>142</v>
      </c>
      <c r="CW1963" t="s">
        <v>143</v>
      </c>
      <c r="CX1963" t="s">
        <v>149</v>
      </c>
      <c r="CZ1963" s="3" t="str">
        <f>"98052"</f>
        <v>98052</v>
      </c>
      <c r="DA1963" t="s">
        <v>131</v>
      </c>
      <c r="DB1963" t="str">
        <f>""</f>
        <v/>
      </c>
      <c r="DF1963" t="str">
        <f>""</f>
        <v/>
      </c>
    </row>
    <row r="1964" spans="1:110" ht="15" customHeight="1" x14ac:dyDescent="0.35">
      <c r="A1964" t="s">
        <v>17012</v>
      </c>
      <c r="B1964" t="s">
        <v>138</v>
      </c>
      <c r="C1964" s="1">
        <v>44361</v>
      </c>
      <c r="G1964" s="1">
        <v>44362</v>
      </c>
      <c r="H1964" t="s">
        <v>125</v>
      </c>
      <c r="I1964" t="s">
        <v>17013</v>
      </c>
      <c r="J1964" t="s">
        <v>3832</v>
      </c>
      <c r="K1964" t="s">
        <v>260</v>
      </c>
      <c r="L1964" t="s">
        <v>126</v>
      </c>
      <c r="M1964" t="s">
        <v>17014</v>
      </c>
      <c r="N1964" t="s">
        <v>2972</v>
      </c>
      <c r="O1964" t="s">
        <v>8480</v>
      </c>
      <c r="P1964" t="s">
        <v>194</v>
      </c>
      <c r="Q1964" s="3">
        <v>33762</v>
      </c>
      <c r="R1964" t="s">
        <v>128</v>
      </c>
      <c r="T1964" s="4">
        <v>17275728111</v>
      </c>
      <c r="V1964" t="s">
        <v>17015</v>
      </c>
      <c r="W1964" t="s">
        <v>17016</v>
      </c>
      <c r="X1964" t="s">
        <v>17017</v>
      </c>
      <c r="Y1964" t="s">
        <v>17018</v>
      </c>
      <c r="AA1964" t="s">
        <v>17019</v>
      </c>
      <c r="AB1964" t="s">
        <v>195</v>
      </c>
      <c r="AC1964" s="3" t="str">
        <f>"34601"</f>
        <v>34601</v>
      </c>
      <c r="AD1964" t="s">
        <v>128</v>
      </c>
      <c r="AF1964" s="4">
        <v>18554479675</v>
      </c>
      <c r="AH1964" t="str">
        <f>"236118"</f>
        <v>236118</v>
      </c>
      <c r="AI1964" t="s">
        <v>130</v>
      </c>
      <c r="AJ1964" t="s">
        <v>17013</v>
      </c>
      <c r="AK1964" t="s">
        <v>3832</v>
      </c>
      <c r="AL1964" t="s">
        <v>260</v>
      </c>
      <c r="AM1964" t="s">
        <v>17014</v>
      </c>
      <c r="AN1964" t="s">
        <v>2972</v>
      </c>
      <c r="AO1964" t="s">
        <v>8480</v>
      </c>
      <c r="AP1964" t="s">
        <v>195</v>
      </c>
      <c r="AQ1964" s="5">
        <v>33762</v>
      </c>
      <c r="AR1964" t="s">
        <v>128</v>
      </c>
      <c r="AT1964" s="4">
        <v>17275728111</v>
      </c>
      <c r="AV1964" t="s">
        <v>17015</v>
      </c>
      <c r="AW1964" t="s">
        <v>17020</v>
      </c>
      <c r="AX1964" t="s">
        <v>131</v>
      </c>
      <c r="AY1964" t="s">
        <v>131</v>
      </c>
      <c r="AZ1964" t="s">
        <v>131</v>
      </c>
      <c r="BA1964" t="s">
        <v>131</v>
      </c>
      <c r="BB1964" t="s">
        <v>131</v>
      </c>
      <c r="BC1964" t="s">
        <v>131</v>
      </c>
      <c r="BD1964" t="s">
        <v>131</v>
      </c>
      <c r="BE1964" t="s">
        <v>132</v>
      </c>
      <c r="BH1964" t="s">
        <v>17021</v>
      </c>
      <c r="BI1964" t="s">
        <v>135</v>
      </c>
      <c r="BJ1964" t="s">
        <v>3193</v>
      </c>
      <c r="BK1964" t="s">
        <v>3194</v>
      </c>
      <c r="BL1964" t="s">
        <v>401</v>
      </c>
      <c r="BO1964" t="s">
        <v>131</v>
      </c>
      <c r="BP1964" t="s">
        <v>134</v>
      </c>
      <c r="BQ1964" t="s">
        <v>131</v>
      </c>
      <c r="BS1964" t="str">
        <f t="shared" si="112"/>
        <v>N/A</v>
      </c>
      <c r="BT1964" t="s">
        <v>135</v>
      </c>
      <c r="BU1964">
        <v>48</v>
      </c>
      <c r="BV1964" t="str">
        <f>"FINISHED CARPENTRY"</f>
        <v>FINISHED CARPENTRY</v>
      </c>
      <c r="BW1964" t="s">
        <v>135</v>
      </c>
      <c r="BX1964" t="str">
        <f>""</f>
        <v/>
      </c>
      <c r="BY1964" t="str">
        <f>""</f>
        <v/>
      </c>
      <c r="BZ1964" t="str">
        <f>""</f>
        <v/>
      </c>
      <c r="CA1964" t="str">
        <f>"48 MONTHS EXPERIENCE MUST BE WITH  RESIDENTIAL CONSTRUCTION, INCLUDING KITCHENS, BATHROOMS, AND STRUCTURES OR ADDITIONS."</f>
        <v>48 MONTHS EXPERIENCE MUST BE WITH  RESIDENTIAL CONSTRUCTION, INCLUDING KITCHENS, BATHROOMS, AND STRUCTURES OR ADDITIONS.</v>
      </c>
      <c r="CB1964" t="s">
        <v>131</v>
      </c>
      <c r="CF1964" t="s">
        <v>131</v>
      </c>
      <c r="CH1964" t="str">
        <f>""</f>
        <v/>
      </c>
      <c r="CI1964" t="s">
        <v>131</v>
      </c>
      <c r="CK1964" t="s">
        <v>131</v>
      </c>
      <c r="CL1964" t="str">
        <f>""</f>
        <v/>
      </c>
      <c r="CM1964" t="str">
        <f>""</f>
        <v/>
      </c>
      <c r="CN1964" t="str">
        <f>""</f>
        <v/>
      </c>
      <c r="CO1964" t="str">
        <f>""</f>
        <v/>
      </c>
      <c r="CP1964" t="str">
        <f>"47-2031.00"</f>
        <v>47-2031.00</v>
      </c>
      <c r="CQ1964" t="s">
        <v>2061</v>
      </c>
      <c r="CR1964" t="s">
        <v>15071</v>
      </c>
      <c r="CS1964" t="s">
        <v>135</v>
      </c>
      <c r="CT1964" t="s">
        <v>17022</v>
      </c>
      <c r="CU1964" t="s">
        <v>17023</v>
      </c>
      <c r="CV1964" t="s">
        <v>17024</v>
      </c>
      <c r="CW1964" t="s">
        <v>17025</v>
      </c>
      <c r="CX1964" t="s">
        <v>195</v>
      </c>
      <c r="CZ1964" s="3" t="str">
        <f>"33701"</f>
        <v>33701</v>
      </c>
      <c r="DA1964" t="s">
        <v>131</v>
      </c>
      <c r="DB1964" t="str">
        <f>""</f>
        <v/>
      </c>
      <c r="DF1964" t="str">
        <f>""</f>
        <v/>
      </c>
    </row>
    <row r="1965" spans="1:110" ht="15" customHeight="1" x14ac:dyDescent="0.35">
      <c r="A1965" t="s">
        <v>17249</v>
      </c>
      <c r="B1965" t="s">
        <v>138</v>
      </c>
      <c r="C1965" s="1">
        <v>44361</v>
      </c>
      <c r="G1965" s="1">
        <v>44361</v>
      </c>
      <c r="H1965" t="s">
        <v>125</v>
      </c>
      <c r="I1965" t="s">
        <v>10534</v>
      </c>
      <c r="J1965" t="s">
        <v>10535</v>
      </c>
      <c r="L1965" t="s">
        <v>561</v>
      </c>
      <c r="M1965" t="s">
        <v>10536</v>
      </c>
      <c r="O1965" t="s">
        <v>1043</v>
      </c>
      <c r="P1965" t="s">
        <v>702</v>
      </c>
      <c r="Q1965" s="3">
        <v>6902</v>
      </c>
      <c r="R1965" t="s">
        <v>128</v>
      </c>
      <c r="T1965" s="4">
        <v>16172456711</v>
      </c>
      <c r="V1965" t="s">
        <v>10537</v>
      </c>
      <c r="W1965" t="s">
        <v>10538</v>
      </c>
      <c r="Y1965" t="s">
        <v>10536</v>
      </c>
      <c r="AA1965" t="s">
        <v>1043</v>
      </c>
      <c r="AB1965" t="s">
        <v>703</v>
      </c>
      <c r="AC1965" s="3" t="str">
        <f>"06902"</f>
        <v>06902</v>
      </c>
      <c r="AD1965" t="s">
        <v>128</v>
      </c>
      <c r="AF1965" s="4">
        <v>16172456711</v>
      </c>
      <c r="AH1965" t="str">
        <f>"54151"</f>
        <v>54151</v>
      </c>
      <c r="AI1965" t="s">
        <v>130</v>
      </c>
      <c r="AJ1965" t="s">
        <v>1648</v>
      </c>
      <c r="AK1965" t="s">
        <v>1108</v>
      </c>
      <c r="AL1965" t="s">
        <v>718</v>
      </c>
      <c r="AM1965" t="s">
        <v>1649</v>
      </c>
      <c r="AN1965" t="s">
        <v>1650</v>
      </c>
      <c r="AO1965" t="s">
        <v>376</v>
      </c>
      <c r="AP1965" t="s">
        <v>377</v>
      </c>
      <c r="AQ1965" s="5">
        <v>2109</v>
      </c>
      <c r="AR1965" t="s">
        <v>128</v>
      </c>
      <c r="AT1965" s="4">
        <v>16173579300</v>
      </c>
      <c r="AV1965" t="s">
        <v>1651</v>
      </c>
      <c r="AW1965" t="s">
        <v>1652</v>
      </c>
      <c r="AX1965" t="s">
        <v>131</v>
      </c>
      <c r="AY1965" t="s">
        <v>131</v>
      </c>
      <c r="AZ1965" t="s">
        <v>131</v>
      </c>
      <c r="BA1965" t="s">
        <v>131</v>
      </c>
      <c r="BB1965" t="s">
        <v>131</v>
      </c>
      <c r="BC1965" t="s">
        <v>131</v>
      </c>
      <c r="BD1965" t="s">
        <v>131</v>
      </c>
      <c r="BE1965" t="s">
        <v>132</v>
      </c>
      <c r="BH1965" t="s">
        <v>12143</v>
      </c>
      <c r="BI1965" t="s">
        <v>131</v>
      </c>
      <c r="BL1965" t="s">
        <v>167</v>
      </c>
      <c r="BO1965" t="s">
        <v>131</v>
      </c>
      <c r="BP1965" t="s">
        <v>134</v>
      </c>
      <c r="BQ1965" t="s">
        <v>131</v>
      </c>
      <c r="BS1965" t="str">
        <f t="shared" si="112"/>
        <v>N/A</v>
      </c>
      <c r="BT1965" t="s">
        <v>135</v>
      </c>
      <c r="BU1965">
        <v>12</v>
      </c>
      <c r="BV1965" t="str">
        <f>"customer support "</f>
        <v xml:space="preserve">customer support </v>
      </c>
      <c r="BW1965" t="s">
        <v>135</v>
      </c>
      <c r="BX1965" t="str">
        <f>""</f>
        <v/>
      </c>
      <c r="BY1965" t="str">
        <f>""</f>
        <v/>
      </c>
      <c r="BZ1965" t="str">
        <f>""</f>
        <v/>
      </c>
      <c r="CA1965" t="str">
        <f>"Must have any level of demonstrated knowledge of: 1) iOS and Apple Hardware; 2) Support Desk tools, including Salesforce; and 3) Microsoft Windows operating systems "</f>
        <v xml:space="preserve">Must have any level of demonstrated knowledge of: 1) iOS and Apple Hardware; 2) Support Desk tools, including Salesforce; and 3) Microsoft Windows operating systems </v>
      </c>
      <c r="CB1965" t="s">
        <v>131</v>
      </c>
      <c r="CF1965" t="s">
        <v>131</v>
      </c>
      <c r="CH1965" t="str">
        <f>""</f>
        <v/>
      </c>
      <c r="CI1965" t="s">
        <v>131</v>
      </c>
      <c r="CK1965" t="s">
        <v>131</v>
      </c>
      <c r="CL1965" t="str">
        <f>""</f>
        <v/>
      </c>
      <c r="CM1965" t="str">
        <f>""</f>
        <v/>
      </c>
      <c r="CN1965" t="str">
        <f>""</f>
        <v/>
      </c>
      <c r="CO1965" t="str">
        <f>""</f>
        <v/>
      </c>
      <c r="CP1965" t="str">
        <f>"43-4051.00"</f>
        <v>43-4051.00</v>
      </c>
      <c r="CQ1965" t="s">
        <v>5938</v>
      </c>
      <c r="CR1965" t="s">
        <v>12144</v>
      </c>
      <c r="CS1965" t="s">
        <v>131</v>
      </c>
      <c r="CU1965" t="s">
        <v>12145</v>
      </c>
      <c r="CV1965" t="s">
        <v>12146</v>
      </c>
      <c r="CW1965" t="s">
        <v>3577</v>
      </c>
      <c r="CX1965" t="s">
        <v>471</v>
      </c>
      <c r="CZ1965" s="3" t="str">
        <f>"80222"</f>
        <v>80222</v>
      </c>
      <c r="DA1965" t="s">
        <v>131</v>
      </c>
      <c r="DB1965" t="str">
        <f>""</f>
        <v/>
      </c>
      <c r="DF1965" t="str">
        <f>""</f>
        <v/>
      </c>
    </row>
    <row r="1966" spans="1:110" ht="15" customHeight="1" x14ac:dyDescent="0.35">
      <c r="A1966" t="s">
        <v>10211</v>
      </c>
      <c r="B1966" t="s">
        <v>138</v>
      </c>
      <c r="C1966" s="1">
        <v>44361</v>
      </c>
      <c r="G1966" s="1">
        <v>44361</v>
      </c>
      <c r="H1966" t="s">
        <v>125</v>
      </c>
      <c r="I1966" t="s">
        <v>10212</v>
      </c>
      <c r="J1966" t="s">
        <v>4988</v>
      </c>
      <c r="L1966" t="s">
        <v>682</v>
      </c>
      <c r="M1966" t="s">
        <v>10213</v>
      </c>
      <c r="O1966" t="s">
        <v>10214</v>
      </c>
      <c r="P1966" t="s">
        <v>311</v>
      </c>
      <c r="Q1966" s="3">
        <v>19473</v>
      </c>
      <c r="R1966" t="s">
        <v>128</v>
      </c>
      <c r="T1966" s="4">
        <v>19049623514</v>
      </c>
      <c r="V1966" t="s">
        <v>10215</v>
      </c>
      <c r="W1966" t="s">
        <v>10216</v>
      </c>
      <c r="Y1966" t="s">
        <v>10213</v>
      </c>
      <c r="AA1966" t="s">
        <v>10214</v>
      </c>
      <c r="AB1966" t="s">
        <v>312</v>
      </c>
      <c r="AC1966" s="3" t="str">
        <f>"19473"</f>
        <v>19473</v>
      </c>
      <c r="AD1966" t="s">
        <v>128</v>
      </c>
      <c r="AF1966" s="4">
        <v>19049623514</v>
      </c>
      <c r="AH1966" t="str">
        <f>"541519"</f>
        <v>541519</v>
      </c>
      <c r="AI1966" t="s">
        <v>130</v>
      </c>
      <c r="AJ1966" t="s">
        <v>4595</v>
      </c>
      <c r="AK1966" t="s">
        <v>1668</v>
      </c>
      <c r="AM1966" t="s">
        <v>4596</v>
      </c>
      <c r="AN1966" t="s">
        <v>1817</v>
      </c>
      <c r="AO1966" t="s">
        <v>8142</v>
      </c>
      <c r="AP1966" t="s">
        <v>306</v>
      </c>
      <c r="AQ1966" s="5">
        <v>23226</v>
      </c>
      <c r="AR1966" t="s">
        <v>128</v>
      </c>
      <c r="AT1966" s="4">
        <v>18043963412</v>
      </c>
      <c r="AV1966" t="s">
        <v>4597</v>
      </c>
      <c r="AW1966" t="s">
        <v>10217</v>
      </c>
      <c r="AX1966" t="s">
        <v>131</v>
      </c>
      <c r="AY1966" t="s">
        <v>131</v>
      </c>
      <c r="AZ1966" t="s">
        <v>131</v>
      </c>
      <c r="BA1966" t="s">
        <v>131</v>
      </c>
      <c r="BB1966" t="s">
        <v>131</v>
      </c>
      <c r="BC1966" t="s">
        <v>131</v>
      </c>
      <c r="BD1966" t="s">
        <v>131</v>
      </c>
      <c r="BE1966" t="s">
        <v>132</v>
      </c>
      <c r="BH1966" t="s">
        <v>2033</v>
      </c>
      <c r="BI1966" t="s">
        <v>131</v>
      </c>
      <c r="BL1966" t="s">
        <v>133</v>
      </c>
      <c r="BN1966" t="s">
        <v>10218</v>
      </c>
      <c r="BO1966" t="s">
        <v>131</v>
      </c>
      <c r="BP1966" t="s">
        <v>134</v>
      </c>
      <c r="BQ1966" t="s">
        <v>131</v>
      </c>
      <c r="BS1966" t="str">
        <f t="shared" si="112"/>
        <v>N/A</v>
      </c>
      <c r="BT1966" t="s">
        <v>135</v>
      </c>
      <c r="BU1966">
        <v>60</v>
      </c>
      <c r="BV1966" t="str">
        <f>"Quality Engineer or related"</f>
        <v>Quality Engineer or related</v>
      </c>
      <c r="BW1966" t="s">
        <v>131</v>
      </c>
      <c r="BX1966" t="str">
        <f>""</f>
        <v/>
      </c>
      <c r="BY1966" t="str">
        <f>""</f>
        <v/>
      </c>
      <c r="BZ1966" t="str">
        <f>""</f>
        <v/>
      </c>
      <c r="CA1966" t="str">
        <f>""</f>
        <v/>
      </c>
      <c r="CB1966" t="s">
        <v>131</v>
      </c>
      <c r="CF1966" t="s">
        <v>131</v>
      </c>
      <c r="CH1966" t="str">
        <f>""</f>
        <v/>
      </c>
      <c r="CI1966" t="s">
        <v>131</v>
      </c>
      <c r="CK1966" t="s">
        <v>131</v>
      </c>
      <c r="CL1966" t="str">
        <f>""</f>
        <v/>
      </c>
      <c r="CM1966" t="str">
        <f>""</f>
        <v/>
      </c>
      <c r="CN1966" t="str">
        <f>""</f>
        <v/>
      </c>
      <c r="CO1966" t="str">
        <f>""</f>
        <v/>
      </c>
      <c r="CP1966" t="str">
        <f>"15-1199.01"</f>
        <v>15-1199.01</v>
      </c>
      <c r="CQ1966" t="s">
        <v>308</v>
      </c>
      <c r="CR1966" t="s">
        <v>10219</v>
      </c>
      <c r="CS1966" t="s">
        <v>131</v>
      </c>
      <c r="CU1966" t="s">
        <v>10213</v>
      </c>
      <c r="CW1966" t="s">
        <v>10214</v>
      </c>
      <c r="CX1966" t="s">
        <v>312</v>
      </c>
      <c r="CZ1966" s="3" t="str">
        <f>"19473"</f>
        <v>19473</v>
      </c>
      <c r="DA1966" t="s">
        <v>131</v>
      </c>
      <c r="DB1966" t="str">
        <f>""</f>
        <v/>
      </c>
      <c r="DF1966" t="str">
        <f>""</f>
        <v/>
      </c>
    </row>
    <row r="1967" spans="1:110" ht="15" customHeight="1" x14ac:dyDescent="0.35">
      <c r="A1967" t="s">
        <v>7290</v>
      </c>
      <c r="B1967" t="s">
        <v>138</v>
      </c>
      <c r="C1967" s="1">
        <v>44361</v>
      </c>
      <c r="G1967" s="1">
        <v>44369</v>
      </c>
      <c r="H1967" t="s">
        <v>125</v>
      </c>
      <c r="I1967" t="s">
        <v>7291</v>
      </c>
      <c r="J1967" t="s">
        <v>7292</v>
      </c>
      <c r="L1967" t="s">
        <v>7293</v>
      </c>
      <c r="M1967" t="s">
        <v>517</v>
      </c>
      <c r="N1967" t="s">
        <v>7294</v>
      </c>
      <c r="O1967" t="s">
        <v>3883</v>
      </c>
      <c r="P1967" t="s">
        <v>127</v>
      </c>
      <c r="Q1967" s="3">
        <v>10018</v>
      </c>
      <c r="R1967" t="s">
        <v>128</v>
      </c>
      <c r="T1967" s="4">
        <v>16468616942</v>
      </c>
      <c r="V1967" t="s">
        <v>7295</v>
      </c>
      <c r="W1967" t="s">
        <v>7296</v>
      </c>
      <c r="Y1967" t="s">
        <v>7297</v>
      </c>
      <c r="Z1967" t="s">
        <v>1575</v>
      </c>
      <c r="AA1967" t="s">
        <v>2145</v>
      </c>
      <c r="AB1967" t="s">
        <v>129</v>
      </c>
      <c r="AC1967" s="3" t="str">
        <f>"10017"</f>
        <v>10017</v>
      </c>
      <c r="AD1967" t="s">
        <v>128</v>
      </c>
      <c r="AF1967" s="4">
        <v>12124151882</v>
      </c>
      <c r="AH1967" t="str">
        <f>"54161"</f>
        <v>54161</v>
      </c>
      <c r="AI1967" t="s">
        <v>130</v>
      </c>
      <c r="AJ1967" t="s">
        <v>7291</v>
      </c>
      <c r="AK1967" t="s">
        <v>7292</v>
      </c>
      <c r="AM1967" t="s">
        <v>514</v>
      </c>
      <c r="AN1967" t="s">
        <v>515</v>
      </c>
      <c r="AO1967" t="s">
        <v>129</v>
      </c>
      <c r="AP1967" t="s">
        <v>129</v>
      </c>
      <c r="AQ1967" s="5">
        <v>10018</v>
      </c>
      <c r="AR1967" t="s">
        <v>128</v>
      </c>
      <c r="AT1967" s="4">
        <v>16468616942</v>
      </c>
      <c r="AV1967" t="s">
        <v>7295</v>
      </c>
      <c r="AW1967" t="s">
        <v>517</v>
      </c>
      <c r="AX1967" t="s">
        <v>131</v>
      </c>
      <c r="AY1967" t="s">
        <v>131</v>
      </c>
      <c r="AZ1967" t="s">
        <v>131</v>
      </c>
      <c r="BA1967" t="s">
        <v>131</v>
      </c>
      <c r="BB1967" t="s">
        <v>131</v>
      </c>
      <c r="BC1967" t="s">
        <v>131</v>
      </c>
      <c r="BD1967" t="s">
        <v>131</v>
      </c>
      <c r="BE1967" t="s">
        <v>132</v>
      </c>
      <c r="BH1967" t="s">
        <v>7298</v>
      </c>
      <c r="BI1967" t="s">
        <v>135</v>
      </c>
      <c r="BJ1967" t="s">
        <v>4529</v>
      </c>
      <c r="BK1967" t="s">
        <v>3208</v>
      </c>
      <c r="BL1967" t="s">
        <v>133</v>
      </c>
      <c r="BN1967" t="s">
        <v>7299</v>
      </c>
      <c r="BO1967" t="s">
        <v>131</v>
      </c>
      <c r="BP1967" t="s">
        <v>134</v>
      </c>
      <c r="BQ1967" t="s">
        <v>131</v>
      </c>
      <c r="BS1967" t="str">
        <f t="shared" si="112"/>
        <v>N/A</v>
      </c>
      <c r="BT1967" t="s">
        <v>135</v>
      </c>
      <c r="BU1967">
        <v>60</v>
      </c>
      <c r="BV1967" t="str">
        <f>"Any meeting the requirements of F.b.5.a"</f>
        <v>Any meeting the requirements of F.b.5.a</v>
      </c>
      <c r="BW1967" t="s">
        <v>135</v>
      </c>
      <c r="BX1967" t="str">
        <f>""</f>
        <v/>
      </c>
      <c r="BY1967" t="str">
        <f>""</f>
        <v/>
      </c>
      <c r="BZ1967" t="str">
        <f>""</f>
        <v/>
      </c>
      <c r="CA1967" t="s">
        <v>7300</v>
      </c>
      <c r="CB1967" t="s">
        <v>131</v>
      </c>
      <c r="CF1967" t="s">
        <v>131</v>
      </c>
      <c r="CH1967" t="str">
        <f>""</f>
        <v/>
      </c>
      <c r="CI1967" t="s">
        <v>131</v>
      </c>
      <c r="CK1967" t="s">
        <v>131</v>
      </c>
      <c r="CL1967" t="str">
        <f>""</f>
        <v/>
      </c>
      <c r="CM1967" t="str">
        <f>""</f>
        <v/>
      </c>
      <c r="CN1967" t="str">
        <f>""</f>
        <v/>
      </c>
      <c r="CO1967" t="str">
        <f>""</f>
        <v/>
      </c>
      <c r="CP1967" t="str">
        <f>"17-2112.01"</f>
        <v>17-2112.01</v>
      </c>
      <c r="CQ1967" t="s">
        <v>6517</v>
      </c>
      <c r="CR1967" t="s">
        <v>7301</v>
      </c>
      <c r="CS1967" t="s">
        <v>131</v>
      </c>
      <c r="CU1967" t="s">
        <v>5924</v>
      </c>
      <c r="CV1967" t="s">
        <v>7302</v>
      </c>
      <c r="CW1967" t="s">
        <v>129</v>
      </c>
      <c r="CX1967" t="s">
        <v>129</v>
      </c>
      <c r="CZ1967" s="3" t="str">
        <f>"10017"</f>
        <v>10017</v>
      </c>
      <c r="DA1967" t="s">
        <v>131</v>
      </c>
      <c r="DB1967" t="str">
        <f>""</f>
        <v/>
      </c>
      <c r="DF1967" t="str">
        <f>""</f>
        <v/>
      </c>
    </row>
    <row r="1968" spans="1:110" ht="15" customHeight="1" x14ac:dyDescent="0.35">
      <c r="A1968" t="s">
        <v>20197</v>
      </c>
      <c r="B1968" t="s">
        <v>138</v>
      </c>
      <c r="C1968" s="1">
        <v>44361</v>
      </c>
      <c r="G1968" s="1">
        <v>44361</v>
      </c>
      <c r="H1968" t="s">
        <v>125</v>
      </c>
      <c r="I1968" t="s">
        <v>5107</v>
      </c>
      <c r="J1968" t="s">
        <v>4126</v>
      </c>
      <c r="L1968" t="s">
        <v>6238</v>
      </c>
      <c r="M1968" t="s">
        <v>6239</v>
      </c>
      <c r="O1968" t="s">
        <v>4762</v>
      </c>
      <c r="P1968" t="s">
        <v>178</v>
      </c>
      <c r="Q1968" s="3">
        <v>90232</v>
      </c>
      <c r="R1968" t="s">
        <v>128</v>
      </c>
      <c r="T1968" s="4">
        <v>13234006618</v>
      </c>
      <c r="V1968" t="s">
        <v>6240</v>
      </c>
      <c r="W1968" t="s">
        <v>6241</v>
      </c>
      <c r="Y1968" t="s">
        <v>6239</v>
      </c>
      <c r="AA1968" t="s">
        <v>4762</v>
      </c>
      <c r="AB1968" t="s">
        <v>172</v>
      </c>
      <c r="AC1968" s="3" t="str">
        <f>"90232"</f>
        <v>90232</v>
      </c>
      <c r="AD1968" t="s">
        <v>128</v>
      </c>
      <c r="AF1968" s="4">
        <v>13234006618</v>
      </c>
      <c r="AH1968" t="str">
        <f>"54151"</f>
        <v>54151</v>
      </c>
      <c r="AI1968" t="s">
        <v>130</v>
      </c>
      <c r="AJ1968" t="s">
        <v>3795</v>
      </c>
      <c r="AK1968" t="s">
        <v>3796</v>
      </c>
      <c r="AM1968" t="s">
        <v>564</v>
      </c>
      <c r="AN1968" t="s">
        <v>565</v>
      </c>
      <c r="AO1968" t="s">
        <v>220</v>
      </c>
      <c r="AP1968" t="s">
        <v>172</v>
      </c>
      <c r="AQ1968" s="5">
        <v>94104</v>
      </c>
      <c r="AR1968" t="s">
        <v>128</v>
      </c>
      <c r="AT1968" s="4">
        <v>14157717500</v>
      </c>
      <c r="AV1968" t="s">
        <v>13447</v>
      </c>
      <c r="AW1968" t="s">
        <v>251</v>
      </c>
      <c r="AX1968" t="s">
        <v>131</v>
      </c>
      <c r="AY1968" t="s">
        <v>131</v>
      </c>
      <c r="AZ1968" t="s">
        <v>131</v>
      </c>
      <c r="BA1968" t="s">
        <v>131</v>
      </c>
      <c r="BB1968" t="s">
        <v>131</v>
      </c>
      <c r="BC1968" t="s">
        <v>131</v>
      </c>
      <c r="BD1968" t="s">
        <v>131</v>
      </c>
      <c r="BE1968" t="s">
        <v>132</v>
      </c>
      <c r="BH1968" t="s">
        <v>8473</v>
      </c>
      <c r="BI1968" t="s">
        <v>135</v>
      </c>
      <c r="BJ1968" t="s">
        <v>3741</v>
      </c>
      <c r="BK1968" t="s">
        <v>1818</v>
      </c>
      <c r="BL1968" t="s">
        <v>133</v>
      </c>
      <c r="BN1968" t="s">
        <v>13448</v>
      </c>
      <c r="BO1968" t="s">
        <v>131</v>
      </c>
      <c r="BP1968" t="s">
        <v>134</v>
      </c>
      <c r="BQ1968" t="s">
        <v>131</v>
      </c>
      <c r="BS1968" t="str">
        <f t="shared" si="112"/>
        <v>N/A</v>
      </c>
      <c r="BT1968" t="s">
        <v>135</v>
      </c>
      <c r="BU1968">
        <v>36</v>
      </c>
      <c r="BV1968" t="str">
        <f>"In job offered or related occupation."</f>
        <v>In job offered or related occupation.</v>
      </c>
      <c r="BW1968" t="s">
        <v>135</v>
      </c>
      <c r="BX1968" t="str">
        <f>""</f>
        <v/>
      </c>
      <c r="BY1968" t="str">
        <f>""</f>
        <v/>
      </c>
      <c r="BZ1968" t="str">
        <f>""</f>
        <v/>
      </c>
      <c r="CA1968" t="str">
        <f>"Experience must include: 
1.	Competitive marketing research; 
2.	Business analysis (SWOT, STP); 
3.	SQL; 
4.	Microsoft Excel; 
5.	Looker;  
6.	Financial modeling; 
7.	Google Suites; and 
8.	Jira.
"</f>
        <v xml:space="preserve">Experience must include: 
1.	Competitive marketing research; 
2.	Business analysis (SWOT, STP); 
3.	SQL; 
4.	Microsoft Excel; 
5.	Looker;  
6.	Financial modeling; 
7.	Google Suites; and 
8.	Jira.
</v>
      </c>
      <c r="CB1968" t="s">
        <v>131</v>
      </c>
      <c r="CF1968" t="s">
        <v>131</v>
      </c>
      <c r="CH1968" t="str">
        <f>""</f>
        <v/>
      </c>
      <c r="CI1968" t="s">
        <v>131</v>
      </c>
      <c r="CK1968" t="s">
        <v>131</v>
      </c>
      <c r="CL1968" t="str">
        <f>""</f>
        <v/>
      </c>
      <c r="CM1968" t="str">
        <f>""</f>
        <v/>
      </c>
      <c r="CN1968" t="str">
        <f>""</f>
        <v/>
      </c>
      <c r="CO1968" t="str">
        <f>""</f>
        <v/>
      </c>
      <c r="CP1968" t="str">
        <f>"11-1021.00"</f>
        <v>11-1021.00</v>
      </c>
      <c r="CQ1968" t="s">
        <v>1296</v>
      </c>
      <c r="CR1968" t="s">
        <v>1205</v>
      </c>
      <c r="CS1968" t="s">
        <v>131</v>
      </c>
      <c r="CU1968" t="s">
        <v>13449</v>
      </c>
      <c r="CV1968" t="s">
        <v>225</v>
      </c>
      <c r="CW1968" t="s">
        <v>4762</v>
      </c>
      <c r="CX1968" t="s">
        <v>172</v>
      </c>
      <c r="CZ1968" s="3" t="str">
        <f>"90232"</f>
        <v>90232</v>
      </c>
      <c r="DA1968" t="s">
        <v>131</v>
      </c>
      <c r="DB1968" t="str">
        <f>""</f>
        <v/>
      </c>
      <c r="DF1968" t="str">
        <f>""</f>
        <v/>
      </c>
    </row>
    <row r="1969" spans="1:110" ht="15" customHeight="1" x14ac:dyDescent="0.35">
      <c r="A1969" t="s">
        <v>17369</v>
      </c>
      <c r="B1969" t="s">
        <v>138</v>
      </c>
      <c r="C1969" s="1">
        <v>44361</v>
      </c>
      <c r="G1969" s="1">
        <v>44363</v>
      </c>
      <c r="H1969" t="s">
        <v>125</v>
      </c>
      <c r="I1969" t="s">
        <v>4542</v>
      </c>
      <c r="J1969" t="s">
        <v>4543</v>
      </c>
      <c r="L1969" t="s">
        <v>460</v>
      </c>
      <c r="M1969" t="s">
        <v>4544</v>
      </c>
      <c r="N1969" t="s">
        <v>4545</v>
      </c>
      <c r="O1969" t="s">
        <v>4172</v>
      </c>
      <c r="P1969" t="s">
        <v>273</v>
      </c>
      <c r="Q1969" s="3">
        <v>7078</v>
      </c>
      <c r="R1969" t="s">
        <v>128</v>
      </c>
      <c r="T1969" s="4">
        <v>19739215225</v>
      </c>
      <c r="V1969" t="s">
        <v>4546</v>
      </c>
      <c r="W1969" t="s">
        <v>8337</v>
      </c>
      <c r="Y1969" t="s">
        <v>4544</v>
      </c>
      <c r="Z1969" t="s">
        <v>4545</v>
      </c>
      <c r="AA1969" t="s">
        <v>4172</v>
      </c>
      <c r="AB1969" t="s">
        <v>276</v>
      </c>
      <c r="AC1969" s="3" t="str">
        <f>"07078"</f>
        <v>07078</v>
      </c>
      <c r="AD1969" t="s">
        <v>128</v>
      </c>
      <c r="AF1969" s="4">
        <v>18004345808</v>
      </c>
      <c r="AH1969" t="str">
        <f>"54151"</f>
        <v>54151</v>
      </c>
      <c r="AI1969" t="s">
        <v>130</v>
      </c>
      <c r="AJ1969" t="s">
        <v>544</v>
      </c>
      <c r="AK1969" t="s">
        <v>545</v>
      </c>
      <c r="AL1969" t="s">
        <v>546</v>
      </c>
      <c r="AM1969" t="s">
        <v>493</v>
      </c>
      <c r="AN1969" t="s">
        <v>547</v>
      </c>
      <c r="AO1969" t="s">
        <v>494</v>
      </c>
      <c r="AP1969" t="s">
        <v>129</v>
      </c>
      <c r="AQ1969" s="5">
        <v>10018</v>
      </c>
      <c r="AR1969" t="s">
        <v>128</v>
      </c>
      <c r="AT1969" s="4">
        <v>12126888555</v>
      </c>
      <c r="AV1969" t="s">
        <v>4546</v>
      </c>
      <c r="AW1969" t="s">
        <v>548</v>
      </c>
      <c r="AX1969" t="s">
        <v>131</v>
      </c>
      <c r="AY1969" t="s">
        <v>131</v>
      </c>
      <c r="AZ1969" t="s">
        <v>131</v>
      </c>
      <c r="BA1969" t="s">
        <v>131</v>
      </c>
      <c r="BB1969" t="s">
        <v>131</v>
      </c>
      <c r="BC1969" t="s">
        <v>131</v>
      </c>
      <c r="BD1969" t="s">
        <v>131</v>
      </c>
      <c r="BE1969" t="s">
        <v>132</v>
      </c>
      <c r="BH1969" t="s">
        <v>17370</v>
      </c>
      <c r="BI1969" t="s">
        <v>131</v>
      </c>
      <c r="BL1969" t="s">
        <v>188</v>
      </c>
      <c r="BN1969" t="s">
        <v>8338</v>
      </c>
      <c r="BO1969" t="s">
        <v>131</v>
      </c>
      <c r="BP1969" t="s">
        <v>134</v>
      </c>
      <c r="BQ1969" t="s">
        <v>131</v>
      </c>
      <c r="BS1969" t="str">
        <f t="shared" si="112"/>
        <v>N/A</v>
      </c>
      <c r="BT1969" t="s">
        <v>135</v>
      </c>
      <c r="BU1969">
        <v>24</v>
      </c>
      <c r="BV1969" t="str">
        <f>"Job offered or related occupation"</f>
        <v>Job offered or related occupation</v>
      </c>
      <c r="BW1969" t="s">
        <v>135</v>
      </c>
      <c r="BX1969" t="str">
        <f>""</f>
        <v/>
      </c>
      <c r="BY1969" t="str">
        <f>""</f>
        <v/>
      </c>
      <c r="BZ1969" t="str">
        <f>""</f>
        <v/>
      </c>
      <c r="CA1969" t="s">
        <v>8339</v>
      </c>
      <c r="CB1969" t="s">
        <v>135</v>
      </c>
      <c r="CC1969" t="s">
        <v>133</v>
      </c>
      <c r="CE1969" t="s">
        <v>17371</v>
      </c>
      <c r="CF1969" t="s">
        <v>131</v>
      </c>
      <c r="CH1969" t="str">
        <f>"N/A"</f>
        <v>N/A</v>
      </c>
      <c r="CI1969" t="s">
        <v>135</v>
      </c>
      <c r="CJ1969">
        <v>60</v>
      </c>
      <c r="CK1969" t="s">
        <v>135</v>
      </c>
      <c r="CL1969" t="str">
        <f>""</f>
        <v/>
      </c>
      <c r="CM1969" t="str">
        <f>""</f>
        <v/>
      </c>
      <c r="CN1969" t="str">
        <f>""</f>
        <v/>
      </c>
      <c r="CO1969" t="s">
        <v>8339</v>
      </c>
      <c r="CP1969" t="str">
        <f>"15-1199.08"</f>
        <v>15-1199.08</v>
      </c>
      <c r="CQ1969" t="s">
        <v>265</v>
      </c>
      <c r="CR1969" t="s">
        <v>3677</v>
      </c>
      <c r="CS1969" t="s">
        <v>135</v>
      </c>
      <c r="CT1969" s="2" t="s">
        <v>17372</v>
      </c>
      <c r="CU1969" t="s">
        <v>8340</v>
      </c>
      <c r="CW1969" t="s">
        <v>3802</v>
      </c>
      <c r="CX1969" t="s">
        <v>263</v>
      </c>
      <c r="CZ1969" s="3" t="str">
        <f>"61834"</f>
        <v>61834</v>
      </c>
      <c r="DA1969" t="s">
        <v>135</v>
      </c>
      <c r="DB1969" t="str">
        <f>""</f>
        <v/>
      </c>
      <c r="DF1969" t="str">
        <f>""</f>
        <v/>
      </c>
    </row>
    <row r="1970" spans="1:110" ht="15" customHeight="1" x14ac:dyDescent="0.35">
      <c r="A1970" t="s">
        <v>20177</v>
      </c>
      <c r="B1970" t="s">
        <v>138</v>
      </c>
      <c r="C1970" s="1">
        <v>44361</v>
      </c>
      <c r="G1970" s="1">
        <v>44363</v>
      </c>
      <c r="H1970" t="s">
        <v>125</v>
      </c>
      <c r="I1970" t="s">
        <v>19464</v>
      </c>
      <c r="J1970" t="s">
        <v>666</v>
      </c>
      <c r="K1970" t="s">
        <v>1568</v>
      </c>
      <c r="L1970" t="s">
        <v>130</v>
      </c>
      <c r="M1970" t="s">
        <v>20178</v>
      </c>
      <c r="O1970" t="s">
        <v>11343</v>
      </c>
      <c r="P1970" t="s">
        <v>127</v>
      </c>
      <c r="Q1970" s="3">
        <v>11779</v>
      </c>
      <c r="R1970" t="s">
        <v>128</v>
      </c>
      <c r="T1970" s="4">
        <v>16315884040</v>
      </c>
      <c r="V1970" t="s">
        <v>19466</v>
      </c>
      <c r="W1970" t="s">
        <v>20179</v>
      </c>
      <c r="X1970" t="s">
        <v>19463</v>
      </c>
      <c r="Y1970" t="s">
        <v>19461</v>
      </c>
      <c r="AA1970" t="s">
        <v>19462</v>
      </c>
      <c r="AB1970" t="s">
        <v>129</v>
      </c>
      <c r="AC1970" s="3" t="str">
        <f>"11784"</f>
        <v>11784</v>
      </c>
      <c r="AD1970" t="s">
        <v>128</v>
      </c>
      <c r="AF1970" s="4">
        <v>16314741500</v>
      </c>
      <c r="AH1970" t="str">
        <f>"72251"</f>
        <v>72251</v>
      </c>
      <c r="AI1970" t="s">
        <v>130</v>
      </c>
      <c r="AJ1970" t="s">
        <v>19464</v>
      </c>
      <c r="AK1970" t="s">
        <v>666</v>
      </c>
      <c r="AL1970" t="s">
        <v>1568</v>
      </c>
      <c r="AM1970" t="s">
        <v>19465</v>
      </c>
      <c r="AO1970" t="s">
        <v>11343</v>
      </c>
      <c r="AP1970" t="s">
        <v>129</v>
      </c>
      <c r="AQ1970" s="5">
        <v>11779</v>
      </c>
      <c r="AR1970" t="s">
        <v>128</v>
      </c>
      <c r="AT1970" s="4">
        <v>16315884040</v>
      </c>
      <c r="AV1970" t="s">
        <v>19466</v>
      </c>
      <c r="AW1970" t="s">
        <v>16711</v>
      </c>
      <c r="AX1970" t="s">
        <v>131</v>
      </c>
      <c r="AY1970" t="s">
        <v>131</v>
      </c>
      <c r="AZ1970" t="s">
        <v>131</v>
      </c>
      <c r="BA1970" t="s">
        <v>131</v>
      </c>
      <c r="BB1970" t="s">
        <v>131</v>
      </c>
      <c r="BC1970" t="s">
        <v>131</v>
      </c>
      <c r="BD1970" t="s">
        <v>131</v>
      </c>
      <c r="BE1970" t="s">
        <v>132</v>
      </c>
      <c r="BH1970" t="s">
        <v>3176</v>
      </c>
      <c r="BI1970" t="s">
        <v>135</v>
      </c>
      <c r="BJ1970" t="s">
        <v>1130</v>
      </c>
      <c r="BK1970" t="s">
        <v>1131</v>
      </c>
      <c r="BL1970" t="s">
        <v>167</v>
      </c>
      <c r="BO1970" t="s">
        <v>131</v>
      </c>
      <c r="BP1970" t="s">
        <v>134</v>
      </c>
      <c r="BQ1970" t="s">
        <v>131</v>
      </c>
      <c r="BS1970" t="str">
        <f t="shared" si="112"/>
        <v>N/A</v>
      </c>
      <c r="BT1970" t="s">
        <v>135</v>
      </c>
      <c r="BU1970">
        <v>6</v>
      </c>
      <c r="BV1970" t="str">
        <f>"Managerial experience required."</f>
        <v>Managerial experience required.</v>
      </c>
      <c r="BW1970" t="s">
        <v>131</v>
      </c>
      <c r="BX1970" t="str">
        <f>""</f>
        <v/>
      </c>
      <c r="BY1970" t="str">
        <f>""</f>
        <v/>
      </c>
      <c r="BZ1970" t="str">
        <f>""</f>
        <v/>
      </c>
      <c r="CA1970" t="str">
        <f>""</f>
        <v/>
      </c>
      <c r="CB1970" t="s">
        <v>131</v>
      </c>
      <c r="CF1970" t="s">
        <v>131</v>
      </c>
      <c r="CH1970" t="str">
        <f>""</f>
        <v/>
      </c>
      <c r="CI1970" t="s">
        <v>131</v>
      </c>
      <c r="CK1970" t="s">
        <v>131</v>
      </c>
      <c r="CL1970" t="str">
        <f>""</f>
        <v/>
      </c>
      <c r="CM1970" t="str">
        <f>""</f>
        <v/>
      </c>
      <c r="CN1970" t="str">
        <f>""</f>
        <v/>
      </c>
      <c r="CO1970" t="str">
        <f>""</f>
        <v/>
      </c>
      <c r="CP1970" t="str">
        <f>"35-1012.00"</f>
        <v>35-1012.00</v>
      </c>
      <c r="CQ1970" t="s">
        <v>1132</v>
      </c>
      <c r="CS1970" t="s">
        <v>131</v>
      </c>
      <c r="CU1970" t="s">
        <v>19461</v>
      </c>
      <c r="CW1970" t="s">
        <v>19462</v>
      </c>
      <c r="CX1970" t="s">
        <v>129</v>
      </c>
      <c r="CZ1970" s="3" t="str">
        <f>"11784"</f>
        <v>11784</v>
      </c>
      <c r="DA1970" t="s">
        <v>131</v>
      </c>
      <c r="DB1970" t="str">
        <f>""</f>
        <v/>
      </c>
      <c r="DF1970" t="str">
        <f>""</f>
        <v/>
      </c>
    </row>
    <row r="1971" spans="1:110" ht="15" customHeight="1" x14ac:dyDescent="0.35">
      <c r="A1971" t="s">
        <v>16878</v>
      </c>
      <c r="B1971" t="s">
        <v>138</v>
      </c>
      <c r="C1971" s="1">
        <v>44361</v>
      </c>
      <c r="G1971" s="1">
        <v>44363</v>
      </c>
      <c r="H1971" t="s">
        <v>125</v>
      </c>
      <c r="I1971" t="s">
        <v>9381</v>
      </c>
      <c r="J1971" t="s">
        <v>1059</v>
      </c>
      <c r="K1971" t="s">
        <v>1624</v>
      </c>
      <c r="L1971" t="s">
        <v>930</v>
      </c>
      <c r="M1971" t="s">
        <v>9382</v>
      </c>
      <c r="N1971" t="s">
        <v>6482</v>
      </c>
      <c r="O1971" t="s">
        <v>276</v>
      </c>
      <c r="P1971" t="s">
        <v>273</v>
      </c>
      <c r="Q1971" s="3">
        <v>7960</v>
      </c>
      <c r="R1971" t="s">
        <v>128</v>
      </c>
      <c r="T1971" s="4">
        <v>19739982500</v>
      </c>
      <c r="V1971" t="s">
        <v>9383</v>
      </c>
      <c r="W1971" t="s">
        <v>9384</v>
      </c>
      <c r="Y1971" t="s">
        <v>9382</v>
      </c>
      <c r="Z1971" t="s">
        <v>6482</v>
      </c>
      <c r="AA1971" t="s">
        <v>1539</v>
      </c>
      <c r="AB1971" t="s">
        <v>276</v>
      </c>
      <c r="AC1971" s="3" t="str">
        <f>"07960"</f>
        <v>07960</v>
      </c>
      <c r="AD1971" t="s">
        <v>128</v>
      </c>
      <c r="AF1971" s="4">
        <v>19739982500</v>
      </c>
      <c r="AH1971" t="str">
        <f>"541511"</f>
        <v>541511</v>
      </c>
      <c r="AI1971" t="s">
        <v>130</v>
      </c>
      <c r="AJ1971" t="s">
        <v>2351</v>
      </c>
      <c r="AK1971" t="s">
        <v>2352</v>
      </c>
      <c r="AL1971" t="s">
        <v>2353</v>
      </c>
      <c r="AM1971" t="s">
        <v>2354</v>
      </c>
      <c r="AN1971" t="s">
        <v>2355</v>
      </c>
      <c r="AO1971" t="s">
        <v>129</v>
      </c>
      <c r="AP1971" t="s">
        <v>129</v>
      </c>
      <c r="AQ1971" s="5">
        <v>10018</v>
      </c>
      <c r="AR1971" t="s">
        <v>128</v>
      </c>
      <c r="AT1971" s="4">
        <v>12125716002</v>
      </c>
      <c r="AV1971" t="s">
        <v>2356</v>
      </c>
      <c r="AW1971" t="s">
        <v>2357</v>
      </c>
      <c r="AX1971" t="s">
        <v>131</v>
      </c>
      <c r="AY1971" t="s">
        <v>131</v>
      </c>
      <c r="AZ1971" t="s">
        <v>131</v>
      </c>
      <c r="BA1971" t="s">
        <v>131</v>
      </c>
      <c r="BB1971" t="s">
        <v>131</v>
      </c>
      <c r="BC1971" t="s">
        <v>131</v>
      </c>
      <c r="BD1971" t="s">
        <v>131</v>
      </c>
      <c r="BE1971" t="s">
        <v>132</v>
      </c>
      <c r="BH1971" t="s">
        <v>9385</v>
      </c>
      <c r="BI1971" t="s">
        <v>131</v>
      </c>
      <c r="BL1971" t="s">
        <v>188</v>
      </c>
      <c r="BN1971" t="s">
        <v>9386</v>
      </c>
      <c r="BO1971" t="s">
        <v>131</v>
      </c>
      <c r="BP1971" t="s">
        <v>134</v>
      </c>
      <c r="BQ1971" t="s">
        <v>131</v>
      </c>
      <c r="BS1971" t="str">
        <f t="shared" si="112"/>
        <v>N/A</v>
      </c>
      <c r="BT1971" t="s">
        <v>135</v>
      </c>
      <c r="BU1971">
        <v>12</v>
      </c>
      <c r="BV1971" t="str">
        <f>"Computer / Engineering Professional***"</f>
        <v>Computer / Engineering Professional***</v>
      </c>
      <c r="BW1971" t="s">
        <v>135</v>
      </c>
      <c r="BX1971" t="str">
        <f>""</f>
        <v/>
      </c>
      <c r="BY1971" t="str">
        <f>""</f>
        <v/>
      </c>
      <c r="BZ1971" t="str">
        <f>""</f>
        <v/>
      </c>
      <c r="CA1971" t="s">
        <v>16879</v>
      </c>
      <c r="CB1971" t="s">
        <v>135</v>
      </c>
      <c r="CC1971" t="s">
        <v>133</v>
      </c>
      <c r="CE1971" t="s">
        <v>9386</v>
      </c>
      <c r="CF1971" t="s">
        <v>131</v>
      </c>
      <c r="CH1971" t="str">
        <f>"N/A"</f>
        <v>N/A</v>
      </c>
      <c r="CI1971" t="s">
        <v>135</v>
      </c>
      <c r="CJ1971">
        <v>60</v>
      </c>
      <c r="CK1971" t="s">
        <v>135</v>
      </c>
      <c r="CL1971" t="str">
        <f>""</f>
        <v/>
      </c>
      <c r="CM1971" t="str">
        <f>""</f>
        <v/>
      </c>
      <c r="CN1971" t="str">
        <f>""</f>
        <v/>
      </c>
      <c r="CO1971" t="s">
        <v>16879</v>
      </c>
      <c r="CP1971" t="str">
        <f>"15-1199.08"</f>
        <v>15-1199.08</v>
      </c>
      <c r="CQ1971" t="s">
        <v>265</v>
      </c>
      <c r="CR1971" t="s">
        <v>1158</v>
      </c>
      <c r="CS1971" t="s">
        <v>135</v>
      </c>
      <c r="CT1971" s="2" t="s">
        <v>16880</v>
      </c>
      <c r="CU1971" t="s">
        <v>9382</v>
      </c>
      <c r="CV1971" t="s">
        <v>6482</v>
      </c>
      <c r="CW1971" t="s">
        <v>1539</v>
      </c>
      <c r="CX1971" t="s">
        <v>276</v>
      </c>
      <c r="CZ1971" s="3" t="str">
        <f>"07960"</f>
        <v>07960</v>
      </c>
      <c r="DA1971" t="s">
        <v>135</v>
      </c>
      <c r="DB1971" t="str">
        <f>""</f>
        <v/>
      </c>
      <c r="DF1971" t="str">
        <f>""</f>
        <v/>
      </c>
    </row>
    <row r="1972" spans="1:110" ht="15" customHeight="1" x14ac:dyDescent="0.35">
      <c r="A1972" t="s">
        <v>10363</v>
      </c>
      <c r="B1972" t="s">
        <v>138</v>
      </c>
      <c r="C1972" s="1">
        <v>44361</v>
      </c>
      <c r="G1972" s="1">
        <v>44362</v>
      </c>
      <c r="H1972" t="s">
        <v>125</v>
      </c>
      <c r="I1972" t="s">
        <v>10364</v>
      </c>
      <c r="J1972" t="s">
        <v>1499</v>
      </c>
      <c r="L1972" t="s">
        <v>395</v>
      </c>
      <c r="M1972" t="s">
        <v>10365</v>
      </c>
      <c r="O1972" t="s">
        <v>1081</v>
      </c>
      <c r="P1972" t="s">
        <v>2545</v>
      </c>
      <c r="Q1972" s="3">
        <v>5065</v>
      </c>
      <c r="R1972" t="s">
        <v>128</v>
      </c>
      <c r="T1972" s="4">
        <v>18022955604</v>
      </c>
      <c r="V1972" t="s">
        <v>10366</v>
      </c>
      <c r="W1972" t="s">
        <v>10367</v>
      </c>
      <c r="Y1972" t="s">
        <v>10365</v>
      </c>
      <c r="AA1972" t="s">
        <v>1081</v>
      </c>
      <c r="AB1972" t="s">
        <v>2549</v>
      </c>
      <c r="AC1972" s="3" t="str">
        <f>"05065"</f>
        <v>05065</v>
      </c>
      <c r="AD1972" t="s">
        <v>128</v>
      </c>
      <c r="AF1972" s="4">
        <v>18022955604</v>
      </c>
      <c r="AH1972" t="str">
        <f>"238160"</f>
        <v>238160</v>
      </c>
      <c r="AI1972" t="s">
        <v>287</v>
      </c>
      <c r="AJ1972" t="s">
        <v>7285</v>
      </c>
      <c r="AK1972" t="s">
        <v>5400</v>
      </c>
      <c r="AL1972" t="s">
        <v>1198</v>
      </c>
      <c r="AM1972" t="s">
        <v>6795</v>
      </c>
      <c r="AO1972" t="s">
        <v>6796</v>
      </c>
      <c r="AP1972" t="s">
        <v>400</v>
      </c>
      <c r="AQ1972" s="5">
        <v>75098</v>
      </c>
      <c r="AR1972" t="s">
        <v>128</v>
      </c>
      <c r="AT1972" s="4">
        <v>19724424244</v>
      </c>
      <c r="AV1972" t="s">
        <v>7286</v>
      </c>
      <c r="AW1972" t="s">
        <v>7286</v>
      </c>
      <c r="AX1972" t="s">
        <v>131</v>
      </c>
      <c r="AY1972" t="s">
        <v>131</v>
      </c>
      <c r="AZ1972" t="s">
        <v>131</v>
      </c>
      <c r="BA1972" t="s">
        <v>131</v>
      </c>
      <c r="BB1972" t="s">
        <v>131</v>
      </c>
      <c r="BC1972" t="s">
        <v>131</v>
      </c>
      <c r="BD1972" t="s">
        <v>131</v>
      </c>
      <c r="BE1972" t="s">
        <v>132</v>
      </c>
      <c r="BH1972" t="s">
        <v>10368</v>
      </c>
      <c r="BI1972" t="s">
        <v>131</v>
      </c>
      <c r="BL1972" t="s">
        <v>167</v>
      </c>
      <c r="BO1972" t="s">
        <v>131</v>
      </c>
      <c r="BP1972" t="s">
        <v>134</v>
      </c>
      <c r="BQ1972" t="s">
        <v>131</v>
      </c>
      <c r="BS1972" t="str">
        <f t="shared" si="112"/>
        <v>N/A</v>
      </c>
      <c r="BT1972" t="s">
        <v>131</v>
      </c>
      <c r="BV1972" t="str">
        <f>""</f>
        <v/>
      </c>
      <c r="BW1972" t="s">
        <v>135</v>
      </c>
      <c r="BX1972" t="str">
        <f>""</f>
        <v/>
      </c>
      <c r="BY1972" t="str">
        <f>""</f>
        <v/>
      </c>
      <c r="BZ1972" t="str">
        <f>""</f>
        <v/>
      </c>
      <c r="CA1972" t="str">
        <f>"Must be able to lift 60 lbs and work in both hot and cold weather.  "</f>
        <v xml:space="preserve">Must be able to lift 60 lbs and work in both hot and cold weather.  </v>
      </c>
      <c r="CB1972" t="s">
        <v>131</v>
      </c>
      <c r="CF1972" t="s">
        <v>131</v>
      </c>
      <c r="CH1972" t="str">
        <f>""</f>
        <v/>
      </c>
      <c r="CI1972" t="s">
        <v>131</v>
      </c>
      <c r="CK1972" t="s">
        <v>131</v>
      </c>
      <c r="CL1972" t="str">
        <f>""</f>
        <v/>
      </c>
      <c r="CM1972" t="str">
        <f>""</f>
        <v/>
      </c>
      <c r="CN1972" t="str">
        <f>""</f>
        <v/>
      </c>
      <c r="CO1972" t="str">
        <f>""</f>
        <v/>
      </c>
      <c r="CP1972" t="str">
        <f>"47-3016.00"</f>
        <v>47-3016.00</v>
      </c>
      <c r="CQ1972" t="s">
        <v>10369</v>
      </c>
      <c r="CR1972" t="s">
        <v>5117</v>
      </c>
      <c r="CS1972" t="s">
        <v>131</v>
      </c>
      <c r="CU1972" t="s">
        <v>10365</v>
      </c>
      <c r="CW1972" t="s">
        <v>1081</v>
      </c>
      <c r="CX1972" t="s">
        <v>2549</v>
      </c>
      <c r="CZ1972" s="3" t="str">
        <f>"05065"</f>
        <v>05065</v>
      </c>
      <c r="DA1972" t="s">
        <v>135</v>
      </c>
      <c r="DB1972" t="str">
        <f>""</f>
        <v/>
      </c>
      <c r="DF1972" t="str">
        <f>""</f>
        <v/>
      </c>
    </row>
    <row r="1973" spans="1:110" ht="15" customHeight="1" x14ac:dyDescent="0.35">
      <c r="A1973" t="s">
        <v>12594</v>
      </c>
      <c r="B1973" t="s">
        <v>138</v>
      </c>
      <c r="C1973" s="1">
        <v>44361</v>
      </c>
      <c r="G1973" s="1">
        <v>44362</v>
      </c>
      <c r="H1973" t="s">
        <v>125</v>
      </c>
      <c r="I1973" t="s">
        <v>10364</v>
      </c>
      <c r="J1973" t="s">
        <v>1499</v>
      </c>
      <c r="L1973" t="s">
        <v>395</v>
      </c>
      <c r="M1973" t="s">
        <v>10365</v>
      </c>
      <c r="O1973" t="s">
        <v>1081</v>
      </c>
      <c r="P1973" t="s">
        <v>2545</v>
      </c>
      <c r="Q1973" s="3">
        <v>5065</v>
      </c>
      <c r="R1973" t="s">
        <v>128</v>
      </c>
      <c r="T1973" s="4">
        <v>18022955604</v>
      </c>
      <c r="V1973" t="s">
        <v>10366</v>
      </c>
      <c r="W1973" t="s">
        <v>10367</v>
      </c>
      <c r="Y1973" t="s">
        <v>10367</v>
      </c>
      <c r="AA1973" t="s">
        <v>1081</v>
      </c>
      <c r="AB1973" t="s">
        <v>2549</v>
      </c>
      <c r="AC1973" s="3" t="str">
        <f>"05065"</f>
        <v>05065</v>
      </c>
      <c r="AD1973" t="s">
        <v>128</v>
      </c>
      <c r="AF1973" s="4">
        <v>18022955604</v>
      </c>
      <c r="AH1973" t="str">
        <f>"238160"</f>
        <v>238160</v>
      </c>
      <c r="AI1973" t="s">
        <v>287</v>
      </c>
      <c r="AJ1973" t="s">
        <v>7285</v>
      </c>
      <c r="AK1973" t="s">
        <v>5400</v>
      </c>
      <c r="AL1973" t="s">
        <v>1198</v>
      </c>
      <c r="AM1973" t="s">
        <v>6795</v>
      </c>
      <c r="AO1973" t="s">
        <v>6796</v>
      </c>
      <c r="AP1973" t="s">
        <v>400</v>
      </c>
      <c r="AQ1973" s="5">
        <v>75098</v>
      </c>
      <c r="AR1973" t="s">
        <v>128</v>
      </c>
      <c r="AT1973" s="4">
        <v>19724424244</v>
      </c>
      <c r="AV1973" t="s">
        <v>7286</v>
      </c>
      <c r="AW1973" t="s">
        <v>9024</v>
      </c>
      <c r="AX1973" t="s">
        <v>131</v>
      </c>
      <c r="AY1973" t="s">
        <v>131</v>
      </c>
      <c r="AZ1973" t="s">
        <v>131</v>
      </c>
      <c r="BA1973" t="s">
        <v>131</v>
      </c>
      <c r="BB1973" t="s">
        <v>131</v>
      </c>
      <c r="BC1973" t="s">
        <v>131</v>
      </c>
      <c r="BD1973" t="s">
        <v>131</v>
      </c>
      <c r="BE1973" t="s">
        <v>132</v>
      </c>
      <c r="BH1973" t="s">
        <v>5601</v>
      </c>
      <c r="BI1973" t="s">
        <v>131</v>
      </c>
      <c r="BL1973" t="s">
        <v>167</v>
      </c>
      <c r="BO1973" t="s">
        <v>131</v>
      </c>
      <c r="BP1973" t="s">
        <v>134</v>
      </c>
      <c r="BQ1973" t="s">
        <v>131</v>
      </c>
      <c r="BS1973" t="str">
        <f t="shared" si="112"/>
        <v>N/A</v>
      </c>
      <c r="BT1973" t="s">
        <v>131</v>
      </c>
      <c r="BV1973" t="str">
        <f>""</f>
        <v/>
      </c>
      <c r="BW1973" t="s">
        <v>135</v>
      </c>
      <c r="BX1973" t="str">
        <f>""</f>
        <v/>
      </c>
      <c r="BY1973" t="str">
        <f>""</f>
        <v/>
      </c>
      <c r="BZ1973" t="str">
        <f>""</f>
        <v/>
      </c>
      <c r="CA1973" t="str">
        <f>"No education or experience required.  Must be able to lift 60 lbs and work in both hot and cold weather"</f>
        <v>No education or experience required.  Must be able to lift 60 lbs and work in both hot and cold weather</v>
      </c>
      <c r="CB1973" t="s">
        <v>131</v>
      </c>
      <c r="CF1973" t="s">
        <v>131</v>
      </c>
      <c r="CH1973" t="str">
        <f>""</f>
        <v/>
      </c>
      <c r="CI1973" t="s">
        <v>131</v>
      </c>
      <c r="CK1973" t="s">
        <v>131</v>
      </c>
      <c r="CL1973" t="str">
        <f>""</f>
        <v/>
      </c>
      <c r="CM1973" t="str">
        <f>""</f>
        <v/>
      </c>
      <c r="CN1973" t="str">
        <f>""</f>
        <v/>
      </c>
      <c r="CO1973" t="str">
        <f>""</f>
        <v/>
      </c>
      <c r="CP1973" t="str">
        <f>"47-2181.00"</f>
        <v>47-2181.00</v>
      </c>
      <c r="CQ1973" t="s">
        <v>5601</v>
      </c>
      <c r="CR1973" t="s">
        <v>5117</v>
      </c>
      <c r="CS1973" t="s">
        <v>131</v>
      </c>
      <c r="CU1973" t="s">
        <v>10365</v>
      </c>
      <c r="CW1973" t="s">
        <v>1081</v>
      </c>
      <c r="CX1973" t="s">
        <v>2549</v>
      </c>
      <c r="CZ1973" s="3" t="str">
        <f>"05065"</f>
        <v>05065</v>
      </c>
      <c r="DA1973" t="s">
        <v>135</v>
      </c>
      <c r="DB1973" t="str">
        <f>""</f>
        <v/>
      </c>
      <c r="DF1973" t="str">
        <f>""</f>
        <v/>
      </c>
    </row>
    <row r="1974" spans="1:110" ht="15" customHeight="1" x14ac:dyDescent="0.35">
      <c r="A1974" t="s">
        <v>13269</v>
      </c>
      <c r="B1974" t="s">
        <v>138</v>
      </c>
      <c r="C1974" s="1">
        <v>44361</v>
      </c>
      <c r="G1974" s="1">
        <v>44361</v>
      </c>
      <c r="H1974" t="s">
        <v>125</v>
      </c>
      <c r="I1974" t="s">
        <v>4219</v>
      </c>
      <c r="J1974" t="s">
        <v>700</v>
      </c>
      <c r="L1974" t="s">
        <v>587</v>
      </c>
      <c r="M1974" t="s">
        <v>4220</v>
      </c>
      <c r="O1974" t="s">
        <v>4221</v>
      </c>
      <c r="P1974" t="s">
        <v>256</v>
      </c>
      <c r="Q1974" s="3">
        <v>63043</v>
      </c>
      <c r="R1974" t="s">
        <v>128</v>
      </c>
      <c r="T1974" s="4">
        <v>13143012589</v>
      </c>
      <c r="V1974" t="s">
        <v>4222</v>
      </c>
      <c r="W1974" t="s">
        <v>10233</v>
      </c>
      <c r="Y1974" t="s">
        <v>10234</v>
      </c>
      <c r="AA1974" t="s">
        <v>4221</v>
      </c>
      <c r="AB1974" t="s">
        <v>258</v>
      </c>
      <c r="AC1974" s="3" t="str">
        <f>"63043"</f>
        <v>63043</v>
      </c>
      <c r="AD1974" t="s">
        <v>128</v>
      </c>
      <c r="AF1974" s="4">
        <v>13149191562</v>
      </c>
      <c r="AH1974" t="str">
        <f>"54151"</f>
        <v>54151</v>
      </c>
      <c r="AI1974" t="s">
        <v>130</v>
      </c>
      <c r="AJ1974" t="s">
        <v>4223</v>
      </c>
      <c r="AK1974" t="s">
        <v>4224</v>
      </c>
      <c r="AL1974" t="s">
        <v>1198</v>
      </c>
      <c r="AM1974" t="s">
        <v>257</v>
      </c>
      <c r="AN1974" t="s">
        <v>2558</v>
      </c>
      <c r="AO1974" t="s">
        <v>255</v>
      </c>
      <c r="AP1974" t="s">
        <v>258</v>
      </c>
      <c r="AQ1974" s="5">
        <v>63105</v>
      </c>
      <c r="AR1974" t="s">
        <v>128</v>
      </c>
      <c r="AT1974" s="4">
        <v>13147193006</v>
      </c>
      <c r="AV1974" t="s">
        <v>4225</v>
      </c>
      <c r="AW1974" t="s">
        <v>3531</v>
      </c>
      <c r="AX1974" t="s">
        <v>131</v>
      </c>
      <c r="AY1974" t="s">
        <v>131</v>
      </c>
      <c r="AZ1974" t="s">
        <v>131</v>
      </c>
      <c r="BA1974" t="s">
        <v>131</v>
      </c>
      <c r="BB1974" t="s">
        <v>131</v>
      </c>
      <c r="BC1974" t="s">
        <v>131</v>
      </c>
      <c r="BD1974" t="s">
        <v>131</v>
      </c>
      <c r="BE1974" t="s">
        <v>132</v>
      </c>
      <c r="BH1974" t="s">
        <v>10235</v>
      </c>
      <c r="BI1974" t="s">
        <v>131</v>
      </c>
      <c r="BL1974" t="s">
        <v>188</v>
      </c>
      <c r="BN1974" t="s">
        <v>10236</v>
      </c>
      <c r="BO1974" t="s">
        <v>131</v>
      </c>
      <c r="BP1974" t="s">
        <v>134</v>
      </c>
      <c r="BQ1974" t="s">
        <v>131</v>
      </c>
      <c r="BS1974" t="str">
        <f t="shared" si="112"/>
        <v>N/A</v>
      </c>
      <c r="BT1974" t="s">
        <v>135</v>
      </c>
      <c r="BU1974">
        <v>24</v>
      </c>
      <c r="BV1974" t="str">
        <f>"Two years of experience performing the duties of this position."</f>
        <v>Two years of experience performing the duties of this position.</v>
      </c>
      <c r="BW1974" t="s">
        <v>131</v>
      </c>
      <c r="BX1974" t="str">
        <f>""</f>
        <v/>
      </c>
      <c r="BY1974" t="str">
        <f>""</f>
        <v/>
      </c>
      <c r="BZ1974" t="str">
        <f>""</f>
        <v/>
      </c>
      <c r="CA1974" t="str">
        <f>""</f>
        <v/>
      </c>
      <c r="CB1974" t="s">
        <v>131</v>
      </c>
      <c r="CF1974" t="s">
        <v>131</v>
      </c>
      <c r="CH1974" t="str">
        <f>""</f>
        <v/>
      </c>
      <c r="CI1974" t="s">
        <v>131</v>
      </c>
      <c r="CK1974" t="s">
        <v>131</v>
      </c>
      <c r="CL1974" t="str">
        <f>""</f>
        <v/>
      </c>
      <c r="CM1974" t="str">
        <f>""</f>
        <v/>
      </c>
      <c r="CN1974" t="str">
        <f>""</f>
        <v/>
      </c>
      <c r="CO1974" t="str">
        <f>""</f>
        <v/>
      </c>
      <c r="CP1974" t="str">
        <f>"15-1132.00"</f>
        <v>15-1132.00</v>
      </c>
      <c r="CQ1974" t="s">
        <v>198</v>
      </c>
      <c r="CS1974" t="s">
        <v>131</v>
      </c>
      <c r="CU1974" t="s">
        <v>4226</v>
      </c>
      <c r="CW1974" t="s">
        <v>4221</v>
      </c>
      <c r="CX1974" t="s">
        <v>258</v>
      </c>
      <c r="CZ1974" s="3" t="str">
        <f>"63043"</f>
        <v>63043</v>
      </c>
      <c r="DA1974" t="s">
        <v>131</v>
      </c>
      <c r="DB1974" t="str">
        <f>""</f>
        <v/>
      </c>
      <c r="DF1974" t="str">
        <f>""</f>
        <v/>
      </c>
    </row>
    <row r="1975" spans="1:110" ht="15" customHeight="1" x14ac:dyDescent="0.35">
      <c r="A1975" t="s">
        <v>14233</v>
      </c>
      <c r="B1975" t="s">
        <v>138</v>
      </c>
      <c r="C1975" s="1">
        <v>44361</v>
      </c>
      <c r="G1975" s="1">
        <v>44375</v>
      </c>
      <c r="H1975" t="s">
        <v>125</v>
      </c>
      <c r="I1975" t="s">
        <v>11581</v>
      </c>
      <c r="J1975" t="s">
        <v>9168</v>
      </c>
      <c r="L1975" t="s">
        <v>1646</v>
      </c>
      <c r="M1975" t="s">
        <v>13899</v>
      </c>
      <c r="O1975" t="s">
        <v>6519</v>
      </c>
      <c r="P1975" t="s">
        <v>178</v>
      </c>
      <c r="Q1975" s="3">
        <v>93301</v>
      </c>
      <c r="R1975" t="s">
        <v>128</v>
      </c>
      <c r="T1975" s="4">
        <v>16616364658</v>
      </c>
      <c r="V1975" t="s">
        <v>13900</v>
      </c>
      <c r="W1975" t="s">
        <v>13901</v>
      </c>
      <c r="Y1975" t="s">
        <v>13899</v>
      </c>
      <c r="AA1975" t="s">
        <v>6519</v>
      </c>
      <c r="AB1975" t="s">
        <v>172</v>
      </c>
      <c r="AC1975" s="3" t="str">
        <f>"93301"</f>
        <v>93301</v>
      </c>
      <c r="AD1975" t="s">
        <v>128</v>
      </c>
      <c r="AF1975" s="4">
        <v>16616364658</v>
      </c>
      <c r="AH1975" t="str">
        <f>"92311"</f>
        <v>92311</v>
      </c>
      <c r="AI1975" t="s">
        <v>130</v>
      </c>
      <c r="AJ1975" t="s">
        <v>4174</v>
      </c>
      <c r="AK1975" t="s">
        <v>348</v>
      </c>
      <c r="AL1975" t="s">
        <v>1198</v>
      </c>
      <c r="AM1975" t="s">
        <v>1293</v>
      </c>
      <c r="AN1975" t="s">
        <v>1294</v>
      </c>
      <c r="AO1975" t="s">
        <v>220</v>
      </c>
      <c r="AP1975" t="s">
        <v>172</v>
      </c>
      <c r="AQ1975" s="5">
        <v>94111</v>
      </c>
      <c r="AR1975" t="s">
        <v>128</v>
      </c>
      <c r="AS1975" t="s">
        <v>178</v>
      </c>
      <c r="AT1975" s="4">
        <v>14154325300</v>
      </c>
      <c r="AV1975" t="s">
        <v>4175</v>
      </c>
      <c r="AW1975" t="s">
        <v>1295</v>
      </c>
      <c r="AX1975" t="s">
        <v>131</v>
      </c>
      <c r="AY1975" t="s">
        <v>131</v>
      </c>
      <c r="AZ1975" t="s">
        <v>131</v>
      </c>
      <c r="BA1975" t="s">
        <v>131</v>
      </c>
      <c r="BB1975" t="s">
        <v>131</v>
      </c>
      <c r="BC1975" t="s">
        <v>131</v>
      </c>
      <c r="BD1975" t="s">
        <v>131</v>
      </c>
      <c r="BE1975" t="s">
        <v>132</v>
      </c>
      <c r="BH1975" t="s">
        <v>13902</v>
      </c>
      <c r="BI1975" t="s">
        <v>131</v>
      </c>
      <c r="BL1975" t="s">
        <v>167</v>
      </c>
      <c r="BO1975" t="s">
        <v>131</v>
      </c>
      <c r="BP1975" t="s">
        <v>134</v>
      </c>
      <c r="BQ1975" t="s">
        <v>131</v>
      </c>
      <c r="BS1975" t="str">
        <f t="shared" si="112"/>
        <v>N/A</v>
      </c>
      <c r="BT1975" t="s">
        <v>135</v>
      </c>
      <c r="BU1975">
        <v>24</v>
      </c>
      <c r="BV1975" t="str">
        <f>"in position offered, systems engineer, software engineer or technical lead."</f>
        <v>in position offered, systems engineer, software engineer or technical lead.</v>
      </c>
      <c r="BW1975" t="s">
        <v>135</v>
      </c>
      <c r="BX1975" t="str">
        <f>""</f>
        <v/>
      </c>
      <c r="BY1975" t="str">
        <f>""</f>
        <v/>
      </c>
      <c r="BZ1975" t="str">
        <f>""</f>
        <v/>
      </c>
      <c r="CA1975" t="s">
        <v>14234</v>
      </c>
      <c r="CB1975" t="s">
        <v>131</v>
      </c>
      <c r="CF1975" t="s">
        <v>131</v>
      </c>
      <c r="CH1975" t="str">
        <f>""</f>
        <v/>
      </c>
      <c r="CI1975" t="s">
        <v>131</v>
      </c>
      <c r="CK1975" t="s">
        <v>131</v>
      </c>
      <c r="CL1975" t="str">
        <f>""</f>
        <v/>
      </c>
      <c r="CM1975" t="str">
        <f>""</f>
        <v/>
      </c>
      <c r="CN1975" t="str">
        <f>""</f>
        <v/>
      </c>
      <c r="CO1975" t="str">
        <f>""</f>
        <v/>
      </c>
      <c r="CP1975" t="str">
        <f>"15-1199.02"</f>
        <v>15-1199.02</v>
      </c>
      <c r="CQ1975" t="s">
        <v>2269</v>
      </c>
      <c r="CR1975" t="s">
        <v>13903</v>
      </c>
      <c r="CS1975" t="s">
        <v>131</v>
      </c>
      <c r="CU1975" t="s">
        <v>13904</v>
      </c>
      <c r="CW1975" t="s">
        <v>1259</v>
      </c>
      <c r="CX1975" t="s">
        <v>172</v>
      </c>
      <c r="CZ1975" s="3" t="str">
        <f>"95814"</f>
        <v>95814</v>
      </c>
      <c r="DA1975" t="s">
        <v>131</v>
      </c>
      <c r="DB1975" t="str">
        <f>""</f>
        <v/>
      </c>
      <c r="DF1975" t="str">
        <f>""</f>
        <v/>
      </c>
    </row>
    <row r="1976" spans="1:110" ht="15" customHeight="1" x14ac:dyDescent="0.35">
      <c r="A1976" t="s">
        <v>16349</v>
      </c>
      <c r="B1976" t="s">
        <v>138</v>
      </c>
      <c r="C1976" s="1">
        <v>44361</v>
      </c>
      <c r="G1976" s="1">
        <v>44362</v>
      </c>
      <c r="H1976" t="s">
        <v>125</v>
      </c>
      <c r="I1976" t="s">
        <v>7424</v>
      </c>
      <c r="J1976" t="s">
        <v>7425</v>
      </c>
      <c r="L1976" t="s">
        <v>583</v>
      </c>
      <c r="M1976" t="s">
        <v>7426</v>
      </c>
      <c r="N1976">
        <v>610</v>
      </c>
      <c r="O1976" t="s">
        <v>616</v>
      </c>
      <c r="P1976" t="s">
        <v>194</v>
      </c>
      <c r="Q1976" s="3">
        <v>33180</v>
      </c>
      <c r="R1976" t="s">
        <v>128</v>
      </c>
      <c r="T1976" s="4">
        <v>17862344321</v>
      </c>
      <c r="V1976" t="s">
        <v>7427</v>
      </c>
      <c r="W1976" t="s">
        <v>7428</v>
      </c>
      <c r="Y1976" t="s">
        <v>7426</v>
      </c>
      <c r="Z1976">
        <v>610</v>
      </c>
      <c r="AA1976" t="s">
        <v>616</v>
      </c>
      <c r="AB1976" t="s">
        <v>195</v>
      </c>
      <c r="AC1976" s="3" t="str">
        <f>"33180"</f>
        <v>33180</v>
      </c>
      <c r="AD1976" t="s">
        <v>128</v>
      </c>
      <c r="AF1976" s="4">
        <v>17862344321</v>
      </c>
      <c r="AH1976" t="str">
        <f>"531210"</f>
        <v>531210</v>
      </c>
      <c r="AI1976" t="s">
        <v>130</v>
      </c>
      <c r="AJ1976" t="s">
        <v>7429</v>
      </c>
      <c r="AK1976" t="s">
        <v>7430</v>
      </c>
      <c r="AL1976" t="s">
        <v>7431</v>
      </c>
      <c r="AM1976" t="s">
        <v>16350</v>
      </c>
      <c r="AN1976" t="s">
        <v>5534</v>
      </c>
      <c r="AO1976" t="s">
        <v>616</v>
      </c>
      <c r="AP1976" t="s">
        <v>195</v>
      </c>
      <c r="AQ1976" s="5">
        <v>33137</v>
      </c>
      <c r="AR1976" t="s">
        <v>128</v>
      </c>
      <c r="AT1976" s="4">
        <v>13052050837</v>
      </c>
      <c r="AV1976" t="s">
        <v>7433</v>
      </c>
      <c r="AW1976" t="s">
        <v>7434</v>
      </c>
      <c r="AX1976" t="s">
        <v>131</v>
      </c>
      <c r="AY1976" t="s">
        <v>131</v>
      </c>
      <c r="AZ1976" t="s">
        <v>131</v>
      </c>
      <c r="BA1976" t="s">
        <v>131</v>
      </c>
      <c r="BB1976" t="s">
        <v>131</v>
      </c>
      <c r="BC1976" t="s">
        <v>131</v>
      </c>
      <c r="BD1976" t="s">
        <v>131</v>
      </c>
      <c r="BE1976" t="s">
        <v>132</v>
      </c>
      <c r="BH1976" t="s">
        <v>7306</v>
      </c>
      <c r="BI1976" t="s">
        <v>131</v>
      </c>
      <c r="BL1976" t="s">
        <v>167</v>
      </c>
      <c r="BO1976" t="s">
        <v>131</v>
      </c>
      <c r="BP1976" t="s">
        <v>134</v>
      </c>
      <c r="BQ1976" t="s">
        <v>131</v>
      </c>
      <c r="BS1976" t="str">
        <f t="shared" si="112"/>
        <v>N/A</v>
      </c>
      <c r="BT1976" t="s">
        <v>135</v>
      </c>
      <c r="BU1976">
        <v>48</v>
      </c>
      <c r="BV1976" t="str">
        <f>"Portfolio Manager"</f>
        <v>Portfolio Manager</v>
      </c>
      <c r="BW1976" t="s">
        <v>131</v>
      </c>
      <c r="BX1976" t="str">
        <f>""</f>
        <v/>
      </c>
      <c r="BY1976" t="str">
        <f>""</f>
        <v/>
      </c>
      <c r="BZ1976" t="str">
        <f>""</f>
        <v/>
      </c>
      <c r="CA1976" t="str">
        <f>""</f>
        <v/>
      </c>
      <c r="CB1976" t="s">
        <v>131</v>
      </c>
      <c r="CF1976" t="s">
        <v>131</v>
      </c>
      <c r="CH1976" t="str">
        <f>""</f>
        <v/>
      </c>
      <c r="CI1976" t="s">
        <v>131</v>
      </c>
      <c r="CK1976" t="s">
        <v>131</v>
      </c>
      <c r="CL1976" t="str">
        <f>""</f>
        <v/>
      </c>
      <c r="CM1976" t="str">
        <f>""</f>
        <v/>
      </c>
      <c r="CN1976" t="str">
        <f>""</f>
        <v/>
      </c>
      <c r="CO1976" t="str">
        <f>""</f>
        <v/>
      </c>
      <c r="CP1976" t="str">
        <f>"13-2052.00"</f>
        <v>13-2052.00</v>
      </c>
      <c r="CQ1976" t="s">
        <v>586</v>
      </c>
      <c r="CR1976" t="s">
        <v>583</v>
      </c>
      <c r="CS1976" t="s">
        <v>131</v>
      </c>
      <c r="CU1976" t="s">
        <v>7426</v>
      </c>
      <c r="CV1976">
        <v>610</v>
      </c>
      <c r="CW1976" t="s">
        <v>616</v>
      </c>
      <c r="CX1976" t="s">
        <v>195</v>
      </c>
      <c r="CZ1976" s="3" t="str">
        <f>"33180"</f>
        <v>33180</v>
      </c>
      <c r="DA1976" t="s">
        <v>131</v>
      </c>
      <c r="DB1976" t="str">
        <f>""</f>
        <v/>
      </c>
      <c r="DF1976" t="str">
        <f>""</f>
        <v/>
      </c>
    </row>
    <row r="1977" spans="1:110" ht="15" customHeight="1" x14ac:dyDescent="0.35">
      <c r="A1977" t="s">
        <v>18084</v>
      </c>
      <c r="B1977" t="s">
        <v>138</v>
      </c>
      <c r="C1977" s="1">
        <v>44361</v>
      </c>
      <c r="G1977" s="1">
        <v>44370</v>
      </c>
      <c r="H1977" t="s">
        <v>125</v>
      </c>
      <c r="I1977" t="s">
        <v>139</v>
      </c>
      <c r="J1977" t="s">
        <v>140</v>
      </c>
      <c r="L1977" t="s">
        <v>141</v>
      </c>
      <c r="M1977" t="s">
        <v>142</v>
      </c>
      <c r="O1977" t="s">
        <v>143</v>
      </c>
      <c r="P1977" t="s">
        <v>144</v>
      </c>
      <c r="Q1977" s="3">
        <v>98052</v>
      </c>
      <c r="R1977" t="s">
        <v>128</v>
      </c>
      <c r="T1977" s="4">
        <v>14255383872</v>
      </c>
      <c r="U1977">
        <v>8387</v>
      </c>
      <c r="V1977" t="s">
        <v>145</v>
      </c>
      <c r="W1977" t="s">
        <v>146</v>
      </c>
      <c r="X1977" t="s">
        <v>134</v>
      </c>
      <c r="Y1977" t="s">
        <v>147</v>
      </c>
      <c r="Z1977" t="s">
        <v>134</v>
      </c>
      <c r="AA1977" t="s">
        <v>148</v>
      </c>
      <c r="AB1977" t="s">
        <v>149</v>
      </c>
      <c r="AC1977" s="3" t="str">
        <f>"98052"</f>
        <v>98052</v>
      </c>
      <c r="AD1977" t="s">
        <v>128</v>
      </c>
      <c r="AE1977" t="s">
        <v>134</v>
      </c>
      <c r="AF1977" s="4">
        <v>14258828080</v>
      </c>
      <c r="AH1977" t="str">
        <f>"5112"</f>
        <v>5112</v>
      </c>
      <c r="AI1977" t="s">
        <v>130</v>
      </c>
      <c r="AJ1977" t="s">
        <v>150</v>
      </c>
      <c r="AK1977" t="s">
        <v>151</v>
      </c>
      <c r="AM1977" t="s">
        <v>5354</v>
      </c>
      <c r="AN1977" t="s">
        <v>590</v>
      </c>
      <c r="AO1977" t="s">
        <v>241</v>
      </c>
      <c r="AQ1977" s="5" t="s">
        <v>155</v>
      </c>
      <c r="AR1977" t="s">
        <v>156</v>
      </c>
      <c r="AS1977" t="s">
        <v>243</v>
      </c>
      <c r="AT1977" s="4">
        <v>16046486785</v>
      </c>
      <c r="AV1977" t="s">
        <v>158</v>
      </c>
      <c r="AW1977" t="s">
        <v>159</v>
      </c>
      <c r="AX1977" t="s">
        <v>131</v>
      </c>
      <c r="AY1977" t="s">
        <v>131</v>
      </c>
      <c r="AZ1977" t="s">
        <v>131</v>
      </c>
      <c r="BA1977" t="s">
        <v>131</v>
      </c>
      <c r="BB1977" t="s">
        <v>131</v>
      </c>
      <c r="BC1977" t="s">
        <v>131</v>
      </c>
      <c r="BD1977" t="s">
        <v>131</v>
      </c>
      <c r="BE1977" t="s">
        <v>132</v>
      </c>
      <c r="BH1977" t="s">
        <v>542</v>
      </c>
      <c r="BI1977" t="s">
        <v>131</v>
      </c>
      <c r="BL1977" t="s">
        <v>133</v>
      </c>
      <c r="BN1977" t="s">
        <v>11573</v>
      </c>
      <c r="BO1977" t="s">
        <v>131</v>
      </c>
      <c r="BP1977" t="s">
        <v>134</v>
      </c>
      <c r="BQ1977" t="s">
        <v>131</v>
      </c>
      <c r="BS1977" t="str">
        <f t="shared" si="112"/>
        <v>N/A</v>
      </c>
      <c r="BT1977" t="s">
        <v>135</v>
      </c>
      <c r="BU1977">
        <v>36</v>
      </c>
      <c r="BV1977" t="str">
        <f>"Any computer related occupation"</f>
        <v>Any computer related occupation</v>
      </c>
      <c r="BW1977" t="s">
        <v>135</v>
      </c>
      <c r="BX1977" t="str">
        <f>""</f>
        <v/>
      </c>
      <c r="BY1977" t="str">
        <f>""</f>
        <v/>
      </c>
      <c r="BZ1977" t="str">
        <f>""</f>
        <v/>
      </c>
      <c r="CA1977" t="str">
        <f>"Experience must include 18 months of experience in each of the following: .NET; .NET Framework; Algorithms; and Data Structures. "</f>
        <v xml:space="preserve">Experience must include 18 months of experience in each of the following: .NET; .NET Framework; Algorithms; and Data Structures. </v>
      </c>
      <c r="CB1977" t="s">
        <v>131</v>
      </c>
      <c r="CF1977" t="s">
        <v>131</v>
      </c>
      <c r="CH1977" t="str">
        <f>""</f>
        <v/>
      </c>
      <c r="CI1977" t="s">
        <v>131</v>
      </c>
      <c r="CK1977" t="s">
        <v>131</v>
      </c>
      <c r="CL1977" t="str">
        <f>""</f>
        <v/>
      </c>
      <c r="CM1977" t="str">
        <f>""</f>
        <v/>
      </c>
      <c r="CN1977" t="str">
        <f>""</f>
        <v/>
      </c>
      <c r="CO1977" t="str">
        <f>""</f>
        <v/>
      </c>
      <c r="CP1977" t="str">
        <f>"15-1132.00"</f>
        <v>15-1132.00</v>
      </c>
      <c r="CQ1977" t="s">
        <v>198</v>
      </c>
      <c r="CR1977" t="s">
        <v>13172</v>
      </c>
      <c r="CS1977" t="s">
        <v>131</v>
      </c>
      <c r="CU1977" t="s">
        <v>142</v>
      </c>
      <c r="CW1977" t="s">
        <v>143</v>
      </c>
      <c r="CX1977" t="s">
        <v>149</v>
      </c>
      <c r="CZ1977" s="3" t="str">
        <f>"98052"</f>
        <v>98052</v>
      </c>
      <c r="DA1977" t="s">
        <v>131</v>
      </c>
      <c r="DB1977" t="str">
        <f>""</f>
        <v/>
      </c>
      <c r="DF1977" t="str">
        <f>""</f>
        <v/>
      </c>
    </row>
    <row r="1978" spans="1:110" ht="15" customHeight="1" x14ac:dyDescent="0.35">
      <c r="A1978" t="s">
        <v>12944</v>
      </c>
      <c r="B1978" t="s">
        <v>138</v>
      </c>
      <c r="C1978" s="1">
        <v>44361</v>
      </c>
      <c r="G1978" s="1">
        <v>44368</v>
      </c>
      <c r="H1978" t="s">
        <v>125</v>
      </c>
      <c r="I1978" t="s">
        <v>12945</v>
      </c>
      <c r="J1978" t="s">
        <v>2901</v>
      </c>
      <c r="L1978" t="s">
        <v>2292</v>
      </c>
      <c r="M1978" t="s">
        <v>12946</v>
      </c>
      <c r="O1978" t="s">
        <v>4722</v>
      </c>
      <c r="P1978" t="s">
        <v>178</v>
      </c>
      <c r="Q1978" s="3">
        <v>90805</v>
      </c>
      <c r="R1978" t="s">
        <v>128</v>
      </c>
      <c r="T1978" s="4">
        <v>15622694355</v>
      </c>
      <c r="V1978" t="s">
        <v>12947</v>
      </c>
      <c r="W1978" t="s">
        <v>12948</v>
      </c>
      <c r="Y1978" t="s">
        <v>12949</v>
      </c>
      <c r="AA1978" t="s">
        <v>4722</v>
      </c>
      <c r="AB1978" t="s">
        <v>172</v>
      </c>
      <c r="AC1978" s="3" t="str">
        <f>"90805"</f>
        <v>90805</v>
      </c>
      <c r="AD1978" t="s">
        <v>128</v>
      </c>
      <c r="AF1978" s="4">
        <v>15622694355</v>
      </c>
      <c r="AH1978" t="str">
        <f>"624120"</f>
        <v>624120</v>
      </c>
      <c r="AI1978" t="s">
        <v>130</v>
      </c>
      <c r="AJ1978" t="s">
        <v>4676</v>
      </c>
      <c r="AK1978" t="s">
        <v>562</v>
      </c>
      <c r="AM1978" t="s">
        <v>7936</v>
      </c>
      <c r="AN1978" t="s">
        <v>12950</v>
      </c>
      <c r="AO1978" t="s">
        <v>476</v>
      </c>
      <c r="AP1978" t="s">
        <v>172</v>
      </c>
      <c r="AQ1978" s="5">
        <v>90010</v>
      </c>
      <c r="AR1978" t="s">
        <v>128</v>
      </c>
      <c r="AT1978" s="4">
        <v>12134279837</v>
      </c>
      <c r="AV1978" t="s">
        <v>12951</v>
      </c>
      <c r="AW1978" t="s">
        <v>12952</v>
      </c>
      <c r="AX1978" t="s">
        <v>131</v>
      </c>
      <c r="AY1978" t="s">
        <v>131</v>
      </c>
      <c r="AZ1978" t="s">
        <v>131</v>
      </c>
      <c r="BA1978" t="s">
        <v>131</v>
      </c>
      <c r="BB1978" t="s">
        <v>131</v>
      </c>
      <c r="BC1978" t="s">
        <v>131</v>
      </c>
      <c r="BD1978" t="s">
        <v>131</v>
      </c>
      <c r="BE1978" t="s">
        <v>132</v>
      </c>
      <c r="BH1978" t="s">
        <v>12953</v>
      </c>
      <c r="BI1978" t="s">
        <v>131</v>
      </c>
      <c r="BL1978" t="s">
        <v>188</v>
      </c>
      <c r="BN1978" t="s">
        <v>12954</v>
      </c>
      <c r="BO1978" t="s">
        <v>131</v>
      </c>
      <c r="BP1978" t="s">
        <v>134</v>
      </c>
      <c r="BQ1978" t="s">
        <v>131</v>
      </c>
      <c r="BS1978" t="str">
        <f t="shared" si="112"/>
        <v>N/A</v>
      </c>
      <c r="BT1978" t="s">
        <v>131</v>
      </c>
      <c r="BV1978" t="str">
        <f>""</f>
        <v/>
      </c>
      <c r="BW1978" t="s">
        <v>135</v>
      </c>
      <c r="BX1978" t="str">
        <f>"Completion of residential care for the elderly Administrator Certificate Program is required. "</f>
        <v xml:space="preserve">Completion of residential care for the elderly Administrator Certificate Program is required. </v>
      </c>
      <c r="BY1978" t="str">
        <f>""</f>
        <v/>
      </c>
      <c r="BZ1978" t="str">
        <f>""</f>
        <v/>
      </c>
      <c r="CA1978" t="str">
        <f>""</f>
        <v/>
      </c>
      <c r="CB1978" t="s">
        <v>131</v>
      </c>
      <c r="CF1978" t="s">
        <v>131</v>
      </c>
      <c r="CH1978" t="str">
        <f>""</f>
        <v/>
      </c>
      <c r="CI1978" t="s">
        <v>131</v>
      </c>
      <c r="CK1978" t="s">
        <v>131</v>
      </c>
      <c r="CL1978" t="str">
        <f>""</f>
        <v/>
      </c>
      <c r="CM1978" t="str">
        <f>""</f>
        <v/>
      </c>
      <c r="CN1978" t="str">
        <f>""</f>
        <v/>
      </c>
      <c r="CO1978" t="str">
        <f>""</f>
        <v/>
      </c>
      <c r="CP1978" t="str">
        <f>"11-9111.00"</f>
        <v>11-9111.00</v>
      </c>
      <c r="CQ1978" t="s">
        <v>7288</v>
      </c>
      <c r="CR1978" t="s">
        <v>12953</v>
      </c>
      <c r="CS1978" t="s">
        <v>131</v>
      </c>
      <c r="CU1978" t="s">
        <v>12949</v>
      </c>
      <c r="CW1978" t="s">
        <v>4722</v>
      </c>
      <c r="CX1978" t="s">
        <v>172</v>
      </c>
      <c r="CZ1978" s="3" t="str">
        <f>"90805"</f>
        <v>90805</v>
      </c>
      <c r="DA1978" t="s">
        <v>131</v>
      </c>
      <c r="DB1978" t="str">
        <f>""</f>
        <v/>
      </c>
      <c r="DF1978" t="str">
        <f>""</f>
        <v/>
      </c>
    </row>
    <row r="1979" spans="1:110" ht="15" customHeight="1" x14ac:dyDescent="0.35">
      <c r="A1979" t="s">
        <v>19527</v>
      </c>
      <c r="B1979" t="s">
        <v>138</v>
      </c>
      <c r="C1979" s="1">
        <v>44361</v>
      </c>
      <c r="G1979" s="1">
        <v>44364</v>
      </c>
      <c r="H1979" t="s">
        <v>125</v>
      </c>
      <c r="I1979" t="s">
        <v>931</v>
      </c>
      <c r="J1979" t="s">
        <v>8643</v>
      </c>
      <c r="L1979" t="s">
        <v>8644</v>
      </c>
      <c r="M1979" t="s">
        <v>8645</v>
      </c>
      <c r="O1979" t="s">
        <v>8646</v>
      </c>
      <c r="P1979" t="s">
        <v>1174</v>
      </c>
      <c r="Q1979" s="3">
        <v>97479</v>
      </c>
      <c r="R1979" t="s">
        <v>128</v>
      </c>
      <c r="T1979" s="4">
        <v>15415802698</v>
      </c>
      <c r="V1979" t="s">
        <v>8647</v>
      </c>
      <c r="W1979" t="s">
        <v>8648</v>
      </c>
      <c r="X1979" t="s">
        <v>8649</v>
      </c>
      <c r="Y1979" t="s">
        <v>8645</v>
      </c>
      <c r="AA1979" t="s">
        <v>8646</v>
      </c>
      <c r="AB1979" t="s">
        <v>1512</v>
      </c>
      <c r="AC1979" s="3" t="str">
        <f>"97479"</f>
        <v>97479</v>
      </c>
      <c r="AD1979" t="s">
        <v>128</v>
      </c>
      <c r="AF1979" s="4">
        <v>15415802698</v>
      </c>
      <c r="AH1979" t="str">
        <f>"72251"</f>
        <v>72251</v>
      </c>
      <c r="AI1979" t="s">
        <v>130</v>
      </c>
      <c r="AJ1979" t="s">
        <v>1219</v>
      </c>
      <c r="AK1979" t="s">
        <v>8650</v>
      </c>
      <c r="AM1979" t="s">
        <v>8651</v>
      </c>
      <c r="AO1979" t="s">
        <v>1173</v>
      </c>
      <c r="AP1979" t="s">
        <v>1512</v>
      </c>
      <c r="AQ1979" s="5">
        <v>97005</v>
      </c>
      <c r="AR1979" t="s">
        <v>128</v>
      </c>
      <c r="AT1979" s="4">
        <v>15036267051</v>
      </c>
      <c r="AV1979" t="s">
        <v>8652</v>
      </c>
      <c r="AW1979" t="s">
        <v>8653</v>
      </c>
      <c r="AX1979" t="s">
        <v>131</v>
      </c>
      <c r="AY1979" t="s">
        <v>131</v>
      </c>
      <c r="AZ1979" t="s">
        <v>131</v>
      </c>
      <c r="BA1979" t="s">
        <v>131</v>
      </c>
      <c r="BB1979" t="s">
        <v>131</v>
      </c>
      <c r="BC1979" t="s">
        <v>131</v>
      </c>
      <c r="BD1979" t="s">
        <v>131</v>
      </c>
      <c r="BE1979" t="s">
        <v>132</v>
      </c>
      <c r="BH1979" t="s">
        <v>8654</v>
      </c>
      <c r="BI1979" t="s">
        <v>135</v>
      </c>
      <c r="BJ1979" t="s">
        <v>5714</v>
      </c>
      <c r="BK1979" t="s">
        <v>581</v>
      </c>
      <c r="BL1979" t="s">
        <v>167</v>
      </c>
      <c r="BO1979" t="s">
        <v>131</v>
      </c>
      <c r="BP1979" t="s">
        <v>134</v>
      </c>
      <c r="BQ1979" t="s">
        <v>131</v>
      </c>
      <c r="BS1979" t="str">
        <f t="shared" si="112"/>
        <v>N/A</v>
      </c>
      <c r="BT1979" t="s">
        <v>135</v>
      </c>
      <c r="BU1979">
        <v>24</v>
      </c>
      <c r="BV1979" t="str">
        <f>"Chinese Specialty Cook"</f>
        <v>Chinese Specialty Cook</v>
      </c>
      <c r="BW1979" t="s">
        <v>131</v>
      </c>
      <c r="BX1979" t="str">
        <f>""</f>
        <v/>
      </c>
      <c r="BY1979" t="str">
        <f>""</f>
        <v/>
      </c>
      <c r="BZ1979" t="str">
        <f>""</f>
        <v/>
      </c>
      <c r="CA1979" t="str">
        <f>""</f>
        <v/>
      </c>
      <c r="CB1979" t="s">
        <v>131</v>
      </c>
      <c r="CF1979" t="s">
        <v>131</v>
      </c>
      <c r="CH1979" t="str">
        <f>""</f>
        <v/>
      </c>
      <c r="CI1979" t="s">
        <v>131</v>
      </c>
      <c r="CK1979" t="s">
        <v>131</v>
      </c>
      <c r="CL1979" t="str">
        <f>""</f>
        <v/>
      </c>
      <c r="CM1979" t="str">
        <f>""</f>
        <v/>
      </c>
      <c r="CN1979" t="str">
        <f>""</f>
        <v/>
      </c>
      <c r="CO1979" t="str">
        <f>""</f>
        <v/>
      </c>
      <c r="CP1979" t="str">
        <f>"35-1011.00"</f>
        <v>35-1011.00</v>
      </c>
      <c r="CQ1979" t="s">
        <v>1392</v>
      </c>
      <c r="CR1979" t="s">
        <v>8644</v>
      </c>
      <c r="CS1979" t="s">
        <v>131</v>
      </c>
      <c r="CU1979" t="s">
        <v>8645</v>
      </c>
      <c r="CW1979" t="s">
        <v>8646</v>
      </c>
      <c r="CX1979" t="s">
        <v>1512</v>
      </c>
      <c r="CZ1979" s="3" t="str">
        <f>"97479"</f>
        <v>97479</v>
      </c>
      <c r="DA1979" t="s">
        <v>131</v>
      </c>
      <c r="DB1979" t="str">
        <f>""</f>
        <v/>
      </c>
      <c r="DF1979" t="str">
        <f>""</f>
        <v/>
      </c>
    </row>
    <row r="1980" spans="1:110" ht="15" customHeight="1" x14ac:dyDescent="0.35">
      <c r="A1980" t="s">
        <v>11572</v>
      </c>
      <c r="B1980" t="s">
        <v>138</v>
      </c>
      <c r="C1980" s="1">
        <v>44361</v>
      </c>
      <c r="G1980" s="1">
        <v>44370</v>
      </c>
      <c r="H1980" t="s">
        <v>125</v>
      </c>
      <c r="I1980" t="s">
        <v>139</v>
      </c>
      <c r="J1980" t="s">
        <v>140</v>
      </c>
      <c r="L1980" t="s">
        <v>141</v>
      </c>
      <c r="M1980" t="s">
        <v>142</v>
      </c>
      <c r="O1980" t="s">
        <v>143</v>
      </c>
      <c r="P1980" t="s">
        <v>144</v>
      </c>
      <c r="Q1980" s="3">
        <v>98052</v>
      </c>
      <c r="R1980" t="s">
        <v>128</v>
      </c>
      <c r="T1980" s="4">
        <v>14255383872</v>
      </c>
      <c r="U1980">
        <v>8387</v>
      </c>
      <c r="V1980" t="s">
        <v>145</v>
      </c>
      <c r="W1980" t="s">
        <v>146</v>
      </c>
      <c r="X1980" t="s">
        <v>134</v>
      </c>
      <c r="Y1980" t="s">
        <v>147</v>
      </c>
      <c r="Z1980" t="s">
        <v>134</v>
      </c>
      <c r="AA1980" t="s">
        <v>148</v>
      </c>
      <c r="AB1980" t="s">
        <v>149</v>
      </c>
      <c r="AC1980" s="3" t="str">
        <f>"98052"</f>
        <v>98052</v>
      </c>
      <c r="AD1980" t="s">
        <v>128</v>
      </c>
      <c r="AE1980" t="s">
        <v>134</v>
      </c>
      <c r="AF1980" s="4">
        <v>14258828080</v>
      </c>
      <c r="AH1980" t="str">
        <f>"5112"</f>
        <v>5112</v>
      </c>
      <c r="AI1980" t="s">
        <v>130</v>
      </c>
      <c r="AJ1980" t="s">
        <v>150</v>
      </c>
      <c r="AK1980" t="s">
        <v>151</v>
      </c>
      <c r="AM1980" t="s">
        <v>5354</v>
      </c>
      <c r="AN1980" t="s">
        <v>590</v>
      </c>
      <c r="AO1980" t="s">
        <v>241</v>
      </c>
      <c r="AQ1980" s="5" t="s">
        <v>155</v>
      </c>
      <c r="AR1980" t="s">
        <v>156</v>
      </c>
      <c r="AS1980" t="s">
        <v>243</v>
      </c>
      <c r="AT1980" s="4">
        <v>16046486785</v>
      </c>
      <c r="AV1980" t="s">
        <v>158</v>
      </c>
      <c r="AW1980" t="s">
        <v>159</v>
      </c>
      <c r="AX1980" t="s">
        <v>131</v>
      </c>
      <c r="AY1980" t="s">
        <v>131</v>
      </c>
      <c r="AZ1980" t="s">
        <v>131</v>
      </c>
      <c r="BA1980" t="s">
        <v>131</v>
      </c>
      <c r="BB1980" t="s">
        <v>131</v>
      </c>
      <c r="BC1980" t="s">
        <v>131</v>
      </c>
      <c r="BD1980" t="s">
        <v>131</v>
      </c>
      <c r="BE1980" t="s">
        <v>132</v>
      </c>
      <c r="BH1980" t="s">
        <v>542</v>
      </c>
      <c r="BI1980" t="s">
        <v>131</v>
      </c>
      <c r="BL1980" t="s">
        <v>133</v>
      </c>
      <c r="BN1980" t="s">
        <v>11573</v>
      </c>
      <c r="BO1980" t="s">
        <v>131</v>
      </c>
      <c r="BP1980" t="s">
        <v>134</v>
      </c>
      <c r="BQ1980" t="s">
        <v>131</v>
      </c>
      <c r="BS1980" t="str">
        <f t="shared" si="112"/>
        <v>N/A</v>
      </c>
      <c r="BT1980" t="s">
        <v>135</v>
      </c>
      <c r="BU1980">
        <v>24</v>
      </c>
      <c r="BV1980" t="str">
        <f>"Any computer related occupation"</f>
        <v>Any computer related occupation</v>
      </c>
      <c r="BW1980" t="s">
        <v>135</v>
      </c>
      <c r="BX1980" t="str">
        <f>""</f>
        <v/>
      </c>
      <c r="BY1980" t="str">
        <f>""</f>
        <v/>
      </c>
      <c r="BZ1980" t="str">
        <f>""</f>
        <v/>
      </c>
      <c r="CA1980" t="str">
        <f>"Experience must include 24 months of experience in each of the following: Algorithms; Git; Cloud development; Data Structures; SQL and/or T-SQL; Unit Testing; and Web Services"</f>
        <v>Experience must include 24 months of experience in each of the following: Algorithms; Git; Cloud development; Data Structures; SQL and/or T-SQL; Unit Testing; and Web Services</v>
      </c>
      <c r="CB1980" t="s">
        <v>131</v>
      </c>
      <c r="CF1980" t="s">
        <v>131</v>
      </c>
      <c r="CH1980" t="str">
        <f>""</f>
        <v/>
      </c>
      <c r="CI1980" t="s">
        <v>131</v>
      </c>
      <c r="CK1980" t="s">
        <v>131</v>
      </c>
      <c r="CL1980" t="str">
        <f>""</f>
        <v/>
      </c>
      <c r="CM1980" t="str">
        <f>""</f>
        <v/>
      </c>
      <c r="CN1980" t="str">
        <f>""</f>
        <v/>
      </c>
      <c r="CO1980" t="str">
        <f>""</f>
        <v/>
      </c>
      <c r="CP1980" t="str">
        <f>"15-1132.00"</f>
        <v>15-1132.00</v>
      </c>
      <c r="CQ1980" t="s">
        <v>198</v>
      </c>
      <c r="CR1980" t="s">
        <v>3322</v>
      </c>
      <c r="CS1980" t="s">
        <v>131</v>
      </c>
      <c r="CU1980" t="s">
        <v>142</v>
      </c>
      <c r="CW1980" t="s">
        <v>143</v>
      </c>
      <c r="CX1980" t="s">
        <v>149</v>
      </c>
      <c r="CZ1980" s="3" t="str">
        <f>"98052"</f>
        <v>98052</v>
      </c>
      <c r="DA1980" t="s">
        <v>131</v>
      </c>
      <c r="DB1980" t="str">
        <f>""</f>
        <v/>
      </c>
      <c r="DF1980" t="str">
        <f>""</f>
        <v/>
      </c>
    </row>
    <row r="1981" spans="1:110" ht="15" customHeight="1" x14ac:dyDescent="0.35">
      <c r="A1981" t="s">
        <v>11619</v>
      </c>
      <c r="B1981" t="s">
        <v>138</v>
      </c>
      <c r="C1981" s="1">
        <v>44361</v>
      </c>
      <c r="G1981" s="1">
        <v>44364</v>
      </c>
      <c r="H1981" t="s">
        <v>125</v>
      </c>
      <c r="I1981" t="s">
        <v>11620</v>
      </c>
      <c r="J1981" t="s">
        <v>1036</v>
      </c>
      <c r="L1981" t="s">
        <v>11621</v>
      </c>
      <c r="M1981" t="s">
        <v>11622</v>
      </c>
      <c r="O1981" t="s">
        <v>2824</v>
      </c>
      <c r="P1981" t="s">
        <v>593</v>
      </c>
      <c r="Q1981" s="3">
        <v>27560</v>
      </c>
      <c r="R1981" t="s">
        <v>128</v>
      </c>
      <c r="T1981" s="4">
        <v>19843284080</v>
      </c>
      <c r="V1981" t="s">
        <v>11623</v>
      </c>
      <c r="W1981" t="s">
        <v>11624</v>
      </c>
      <c r="X1981" t="s">
        <v>11625</v>
      </c>
      <c r="Y1981" t="s">
        <v>11626</v>
      </c>
      <c r="AA1981" t="s">
        <v>11627</v>
      </c>
      <c r="AB1981" t="s">
        <v>312</v>
      </c>
      <c r="AC1981" s="3" t="str">
        <f>"17870"</f>
        <v>17870</v>
      </c>
      <c r="AD1981" t="s">
        <v>128</v>
      </c>
      <c r="AF1981" s="4">
        <v>5707438000</v>
      </c>
      <c r="AH1981" t="str">
        <f>"621210"</f>
        <v>621210</v>
      </c>
      <c r="AI1981" t="s">
        <v>130</v>
      </c>
      <c r="AJ1981" t="s">
        <v>3109</v>
      </c>
      <c r="AK1981" t="s">
        <v>3110</v>
      </c>
      <c r="AL1981" t="s">
        <v>730</v>
      </c>
      <c r="AM1981" t="s">
        <v>3111</v>
      </c>
      <c r="AN1981" t="s">
        <v>3112</v>
      </c>
      <c r="AO1981" t="s">
        <v>3113</v>
      </c>
      <c r="AP1981" t="s">
        <v>594</v>
      </c>
      <c r="AQ1981" s="5">
        <v>27101</v>
      </c>
      <c r="AR1981" t="s">
        <v>128</v>
      </c>
      <c r="AT1981" s="4">
        <v>13367216842</v>
      </c>
      <c r="AV1981" t="s">
        <v>3114</v>
      </c>
      <c r="AW1981" t="s">
        <v>3115</v>
      </c>
      <c r="AX1981" t="s">
        <v>131</v>
      </c>
      <c r="AY1981" t="s">
        <v>131</v>
      </c>
      <c r="AZ1981" t="s">
        <v>131</v>
      </c>
      <c r="BA1981" t="s">
        <v>131</v>
      </c>
      <c r="BB1981" t="s">
        <v>131</v>
      </c>
      <c r="BC1981" t="s">
        <v>131</v>
      </c>
      <c r="BD1981" t="s">
        <v>131</v>
      </c>
      <c r="BE1981" t="s">
        <v>132</v>
      </c>
      <c r="BH1981" t="s">
        <v>4431</v>
      </c>
      <c r="BI1981" t="s">
        <v>135</v>
      </c>
      <c r="BJ1981" t="s">
        <v>11628</v>
      </c>
      <c r="BK1981" t="s">
        <v>11629</v>
      </c>
      <c r="BL1981" t="s">
        <v>658</v>
      </c>
      <c r="BM1981" t="s">
        <v>11630</v>
      </c>
      <c r="BN1981" t="s">
        <v>3803</v>
      </c>
      <c r="BO1981" t="s">
        <v>131</v>
      </c>
      <c r="BP1981" t="s">
        <v>134</v>
      </c>
      <c r="BQ1981" t="s">
        <v>131</v>
      </c>
      <c r="BS1981" t="str">
        <f t="shared" si="112"/>
        <v>N/A</v>
      </c>
      <c r="BT1981" t="s">
        <v>135</v>
      </c>
      <c r="BU1981">
        <v>24</v>
      </c>
      <c r="BV1981" t="str">
        <f>"Dentist"</f>
        <v>Dentist</v>
      </c>
      <c r="BW1981" t="s">
        <v>135</v>
      </c>
      <c r="BX1981" t="str">
        <f>"Eligibility for licensure to practice dentistry in Pennsylvania."</f>
        <v>Eligibility for licensure to practice dentistry in Pennsylvania.</v>
      </c>
      <c r="BY1981" t="str">
        <f>""</f>
        <v/>
      </c>
      <c r="BZ1981" t="str">
        <f>""</f>
        <v/>
      </c>
      <c r="CA1981" t="str">
        <f>""</f>
        <v/>
      </c>
      <c r="CB1981" t="s">
        <v>131</v>
      </c>
      <c r="CF1981" t="s">
        <v>131</v>
      </c>
      <c r="CH1981" t="str">
        <f>""</f>
        <v/>
      </c>
      <c r="CI1981" t="s">
        <v>131</v>
      </c>
      <c r="CK1981" t="s">
        <v>131</v>
      </c>
      <c r="CL1981" t="str">
        <f>""</f>
        <v/>
      </c>
      <c r="CM1981" t="str">
        <f>""</f>
        <v/>
      </c>
      <c r="CN1981" t="str">
        <f>""</f>
        <v/>
      </c>
      <c r="CO1981" t="str">
        <f>""</f>
        <v/>
      </c>
      <c r="CP1981" t="str">
        <f>"29-1021.00"</f>
        <v>29-1021.00</v>
      </c>
      <c r="CQ1981" t="s">
        <v>1103</v>
      </c>
      <c r="CS1981" t="s">
        <v>131</v>
      </c>
      <c r="CU1981" t="s">
        <v>11631</v>
      </c>
      <c r="CW1981" t="s">
        <v>11627</v>
      </c>
      <c r="CX1981" t="s">
        <v>312</v>
      </c>
      <c r="CZ1981" s="3" t="str">
        <f>"17870"</f>
        <v>17870</v>
      </c>
      <c r="DA1981" t="s">
        <v>131</v>
      </c>
      <c r="DB1981" t="str">
        <f>""</f>
        <v/>
      </c>
      <c r="DF1981" t="str">
        <f>""</f>
        <v/>
      </c>
    </row>
    <row r="1982" spans="1:110" ht="15" customHeight="1" x14ac:dyDescent="0.35">
      <c r="A1982" t="s">
        <v>13054</v>
      </c>
      <c r="B1982" t="s">
        <v>138</v>
      </c>
      <c r="C1982" s="1">
        <v>44361</v>
      </c>
      <c r="G1982" s="1">
        <v>44364</v>
      </c>
      <c r="H1982" t="s">
        <v>125</v>
      </c>
      <c r="I1982" t="s">
        <v>11620</v>
      </c>
      <c r="J1982" t="s">
        <v>1036</v>
      </c>
      <c r="L1982" t="s">
        <v>11621</v>
      </c>
      <c r="M1982" t="s">
        <v>11622</v>
      </c>
      <c r="O1982" t="s">
        <v>2824</v>
      </c>
      <c r="P1982" t="s">
        <v>593</v>
      </c>
      <c r="Q1982" s="3">
        <v>27560</v>
      </c>
      <c r="R1982" t="s">
        <v>128</v>
      </c>
      <c r="T1982" s="4">
        <v>19843284080</v>
      </c>
      <c r="V1982" t="s">
        <v>11623</v>
      </c>
      <c r="W1982" t="s">
        <v>11624</v>
      </c>
      <c r="X1982" t="s">
        <v>13055</v>
      </c>
      <c r="Y1982" t="s">
        <v>13056</v>
      </c>
      <c r="Z1982" t="s">
        <v>3490</v>
      </c>
      <c r="AA1982" t="s">
        <v>7787</v>
      </c>
      <c r="AB1982" t="s">
        <v>603</v>
      </c>
      <c r="AC1982" s="3" t="str">
        <f>"17050"</f>
        <v>17050</v>
      </c>
      <c r="AD1982" t="s">
        <v>128</v>
      </c>
      <c r="AF1982" s="4">
        <v>17177663113</v>
      </c>
      <c r="AH1982" t="str">
        <f>"621210"</f>
        <v>621210</v>
      </c>
      <c r="AI1982" t="s">
        <v>130</v>
      </c>
      <c r="AJ1982" t="s">
        <v>3109</v>
      </c>
      <c r="AK1982" t="s">
        <v>3110</v>
      </c>
      <c r="AL1982" t="s">
        <v>730</v>
      </c>
      <c r="AM1982" t="s">
        <v>3111</v>
      </c>
      <c r="AN1982" t="s">
        <v>3112</v>
      </c>
      <c r="AO1982" t="s">
        <v>3113</v>
      </c>
      <c r="AP1982" t="s">
        <v>594</v>
      </c>
      <c r="AQ1982" s="5">
        <v>27101</v>
      </c>
      <c r="AR1982" t="s">
        <v>128</v>
      </c>
      <c r="AT1982" s="4">
        <v>13367216842</v>
      </c>
      <c r="AV1982" t="s">
        <v>3114</v>
      </c>
      <c r="AW1982" t="s">
        <v>3115</v>
      </c>
      <c r="AX1982" t="s">
        <v>131</v>
      </c>
      <c r="AY1982" t="s">
        <v>131</v>
      </c>
      <c r="AZ1982" t="s">
        <v>131</v>
      </c>
      <c r="BA1982" t="s">
        <v>131</v>
      </c>
      <c r="BB1982" t="s">
        <v>131</v>
      </c>
      <c r="BC1982" t="s">
        <v>131</v>
      </c>
      <c r="BD1982" t="s">
        <v>131</v>
      </c>
      <c r="BE1982" t="s">
        <v>132</v>
      </c>
      <c r="BH1982" t="s">
        <v>4431</v>
      </c>
      <c r="BI1982" t="s">
        <v>135</v>
      </c>
      <c r="BJ1982" t="s">
        <v>13057</v>
      </c>
      <c r="BK1982" t="s">
        <v>13058</v>
      </c>
      <c r="BL1982" t="s">
        <v>658</v>
      </c>
      <c r="BM1982" t="s">
        <v>12507</v>
      </c>
      <c r="BN1982" t="s">
        <v>3803</v>
      </c>
      <c r="BO1982" t="s">
        <v>131</v>
      </c>
      <c r="BP1982" t="s">
        <v>134</v>
      </c>
      <c r="BQ1982" t="s">
        <v>131</v>
      </c>
      <c r="BS1982" t="str">
        <f t="shared" si="112"/>
        <v>N/A</v>
      </c>
      <c r="BT1982" t="s">
        <v>135</v>
      </c>
      <c r="BU1982">
        <v>24</v>
      </c>
      <c r="BV1982" t="str">
        <f>"related exp. as a Dentist, Managing Clinical Director or related occupation"</f>
        <v>related exp. as a Dentist, Managing Clinical Director or related occupation</v>
      </c>
      <c r="BW1982" t="s">
        <v>135</v>
      </c>
      <c r="BX1982" t="str">
        <f>"Eligible for licensure to practice dentistry in Pennsylvania "</f>
        <v xml:space="preserve">Eligible for licensure to practice dentistry in Pennsylvania </v>
      </c>
      <c r="BY1982" t="str">
        <f>""</f>
        <v/>
      </c>
      <c r="BZ1982" t="str">
        <f>""</f>
        <v/>
      </c>
      <c r="CA1982" t="str">
        <f>""</f>
        <v/>
      </c>
      <c r="CB1982" t="s">
        <v>131</v>
      </c>
      <c r="CF1982" t="s">
        <v>131</v>
      </c>
      <c r="CH1982" t="str">
        <f>""</f>
        <v/>
      </c>
      <c r="CI1982" t="s">
        <v>131</v>
      </c>
      <c r="CK1982" t="s">
        <v>131</v>
      </c>
      <c r="CL1982" t="str">
        <f>""</f>
        <v/>
      </c>
      <c r="CM1982" t="str">
        <f>""</f>
        <v/>
      </c>
      <c r="CN1982" t="str">
        <f>""</f>
        <v/>
      </c>
      <c r="CO1982" t="str">
        <f>""</f>
        <v/>
      </c>
      <c r="CP1982" t="str">
        <f>"29-1021.00"</f>
        <v>29-1021.00</v>
      </c>
      <c r="CQ1982" t="s">
        <v>1103</v>
      </c>
      <c r="CS1982" t="s">
        <v>131</v>
      </c>
      <c r="CU1982" t="s">
        <v>13056</v>
      </c>
      <c r="CV1982" t="s">
        <v>3490</v>
      </c>
      <c r="CW1982" t="s">
        <v>7787</v>
      </c>
      <c r="CX1982" t="s">
        <v>312</v>
      </c>
      <c r="CZ1982" s="3" t="str">
        <f>"17050"</f>
        <v>17050</v>
      </c>
      <c r="DA1982" t="s">
        <v>131</v>
      </c>
      <c r="DB1982" t="str">
        <f>""</f>
        <v/>
      </c>
      <c r="DF1982" t="str">
        <f>""</f>
        <v/>
      </c>
    </row>
    <row r="1983" spans="1:110" ht="15" customHeight="1" x14ac:dyDescent="0.35">
      <c r="A1983" t="s">
        <v>9343</v>
      </c>
      <c r="B1983" t="s">
        <v>138</v>
      </c>
      <c r="C1983" s="1">
        <v>44362</v>
      </c>
      <c r="G1983" s="1">
        <v>44362</v>
      </c>
      <c r="H1983" t="s">
        <v>125</v>
      </c>
      <c r="I1983" t="s">
        <v>9344</v>
      </c>
      <c r="J1983" t="s">
        <v>8257</v>
      </c>
      <c r="L1983" t="s">
        <v>9345</v>
      </c>
      <c r="M1983" t="s">
        <v>9346</v>
      </c>
      <c r="O1983" t="s">
        <v>885</v>
      </c>
      <c r="P1983" t="s">
        <v>412</v>
      </c>
      <c r="Q1983" s="3">
        <v>77056</v>
      </c>
      <c r="R1983" t="s">
        <v>128</v>
      </c>
      <c r="T1983" s="4">
        <v>17136275400</v>
      </c>
      <c r="V1983" t="s">
        <v>9347</v>
      </c>
      <c r="W1983" t="s">
        <v>9348</v>
      </c>
      <c r="Y1983" t="s">
        <v>9346</v>
      </c>
      <c r="AA1983" t="s">
        <v>885</v>
      </c>
      <c r="AB1983" t="s">
        <v>400</v>
      </c>
      <c r="AC1983" s="3" t="str">
        <f>"77056"</f>
        <v>77056</v>
      </c>
      <c r="AD1983" t="s">
        <v>128</v>
      </c>
      <c r="AF1983" s="4">
        <v>17136275400</v>
      </c>
      <c r="AH1983" t="str">
        <f>"48621"</f>
        <v>48621</v>
      </c>
      <c r="AI1983" t="s">
        <v>130</v>
      </c>
      <c r="AJ1983" t="s">
        <v>9349</v>
      </c>
      <c r="AK1983" t="s">
        <v>492</v>
      </c>
      <c r="AM1983" t="s">
        <v>9310</v>
      </c>
      <c r="AN1983" t="s">
        <v>1902</v>
      </c>
      <c r="AO1983" t="s">
        <v>214</v>
      </c>
      <c r="AQ1983" s="5" t="s">
        <v>9311</v>
      </c>
      <c r="AR1983" t="s">
        <v>156</v>
      </c>
      <c r="AS1983" t="s">
        <v>216</v>
      </c>
      <c r="AT1983" s="4">
        <v>14167778500</v>
      </c>
      <c r="AV1983" t="s">
        <v>9312</v>
      </c>
      <c r="AW1983" t="s">
        <v>9313</v>
      </c>
      <c r="AX1983" t="s">
        <v>131</v>
      </c>
      <c r="AY1983" t="s">
        <v>131</v>
      </c>
      <c r="AZ1983" t="s">
        <v>131</v>
      </c>
      <c r="BA1983" t="s">
        <v>131</v>
      </c>
      <c r="BB1983" t="s">
        <v>131</v>
      </c>
      <c r="BC1983" t="s">
        <v>131</v>
      </c>
      <c r="BD1983" t="s">
        <v>131</v>
      </c>
      <c r="BE1983" t="s">
        <v>132</v>
      </c>
      <c r="BH1983" t="s">
        <v>9350</v>
      </c>
      <c r="BI1983" t="s">
        <v>131</v>
      </c>
      <c r="BL1983" t="s">
        <v>133</v>
      </c>
      <c r="BN1983" t="s">
        <v>9351</v>
      </c>
      <c r="BO1983" t="s">
        <v>131</v>
      </c>
      <c r="BP1983" t="s">
        <v>134</v>
      </c>
      <c r="BQ1983" t="s">
        <v>131</v>
      </c>
      <c r="BS1983" t="str">
        <f t="shared" ref="BS1983:BS2002" si="113">"N/A"</f>
        <v>N/A</v>
      </c>
      <c r="BT1983" t="s">
        <v>135</v>
      </c>
      <c r="BU1983">
        <v>84</v>
      </c>
      <c r="BV1983" t="str">
        <f>"Sales Engineers-related"</f>
        <v>Sales Engineers-related</v>
      </c>
      <c r="BW1983" t="s">
        <v>135</v>
      </c>
      <c r="BX1983" t="str">
        <f>""</f>
        <v/>
      </c>
      <c r="BY1983" t="str">
        <f>""</f>
        <v/>
      </c>
      <c r="BZ1983" t="str">
        <f>""</f>
        <v/>
      </c>
      <c r="CA1983" s="2" t="s">
        <v>9352</v>
      </c>
      <c r="CB1983" t="s">
        <v>135</v>
      </c>
      <c r="CC1983" t="s">
        <v>658</v>
      </c>
      <c r="CD1983" t="s">
        <v>9353</v>
      </c>
      <c r="CE1983" t="s">
        <v>9351</v>
      </c>
      <c r="CF1983" t="s">
        <v>131</v>
      </c>
      <c r="CH1983" t="str">
        <f>"N/A"</f>
        <v>N/A</v>
      </c>
      <c r="CI1983" t="s">
        <v>135</v>
      </c>
      <c r="CJ1983">
        <v>84</v>
      </c>
      <c r="CK1983" t="s">
        <v>135</v>
      </c>
      <c r="CL1983" t="str">
        <f>""</f>
        <v/>
      </c>
      <c r="CM1983" t="str">
        <f>""</f>
        <v/>
      </c>
      <c r="CN1983" t="str">
        <f>""</f>
        <v/>
      </c>
      <c r="CO1983" s="2" t="s">
        <v>9352</v>
      </c>
      <c r="CP1983" t="str">
        <f>"41-9031.00"</f>
        <v>41-9031.00</v>
      </c>
      <c r="CQ1983" t="s">
        <v>1818</v>
      </c>
      <c r="CS1983" t="s">
        <v>135</v>
      </c>
      <c r="CT1983" s="2" t="s">
        <v>9354</v>
      </c>
      <c r="CU1983" t="s">
        <v>9355</v>
      </c>
      <c r="CW1983" t="s">
        <v>1647</v>
      </c>
      <c r="CX1983" t="s">
        <v>377</v>
      </c>
      <c r="CZ1983" s="3" t="str">
        <f>"02451"</f>
        <v>02451</v>
      </c>
      <c r="DA1983" t="s">
        <v>131</v>
      </c>
      <c r="DB1983" t="str">
        <f>""</f>
        <v/>
      </c>
      <c r="DF1983" t="str">
        <f>""</f>
        <v/>
      </c>
    </row>
    <row r="1984" spans="1:110" ht="15" customHeight="1" x14ac:dyDescent="0.35">
      <c r="A1984" t="s">
        <v>6070</v>
      </c>
      <c r="B1984" t="s">
        <v>138</v>
      </c>
      <c r="C1984" s="1">
        <v>44362</v>
      </c>
      <c r="G1984" s="1">
        <v>44363</v>
      </c>
      <c r="H1984" t="s">
        <v>125</v>
      </c>
      <c r="I1984" t="s">
        <v>5427</v>
      </c>
      <c r="J1984" t="s">
        <v>5428</v>
      </c>
      <c r="L1984" t="s">
        <v>5429</v>
      </c>
      <c r="M1984" t="s">
        <v>1901</v>
      </c>
      <c r="N1984" t="s">
        <v>5430</v>
      </c>
      <c r="O1984" t="s">
        <v>494</v>
      </c>
      <c r="P1984" t="s">
        <v>127</v>
      </c>
      <c r="Q1984" s="3">
        <v>10165</v>
      </c>
      <c r="R1984" t="s">
        <v>128</v>
      </c>
      <c r="T1984" s="4">
        <v>12129947451</v>
      </c>
      <c r="V1984" t="s">
        <v>5431</v>
      </c>
      <c r="W1984" t="s">
        <v>5432</v>
      </c>
      <c r="Y1984" t="s">
        <v>1901</v>
      </c>
      <c r="Z1984" t="s">
        <v>5430</v>
      </c>
      <c r="AA1984" t="s">
        <v>494</v>
      </c>
      <c r="AB1984" t="s">
        <v>129</v>
      </c>
      <c r="AC1984" s="3" t="str">
        <f>"10165"</f>
        <v>10165</v>
      </c>
      <c r="AD1984" t="s">
        <v>128</v>
      </c>
      <c r="AF1984" s="4">
        <v>12129947451</v>
      </c>
      <c r="AH1984" t="str">
        <f>"52599"</f>
        <v>52599</v>
      </c>
      <c r="AI1984" t="s">
        <v>130</v>
      </c>
      <c r="AJ1984" t="s">
        <v>5433</v>
      </c>
      <c r="AK1984" t="s">
        <v>5434</v>
      </c>
      <c r="AM1984" t="s">
        <v>5435</v>
      </c>
      <c r="AO1984" t="s">
        <v>494</v>
      </c>
      <c r="AP1984" t="s">
        <v>129</v>
      </c>
      <c r="AQ1984" s="5">
        <v>10019</v>
      </c>
      <c r="AR1984" t="s">
        <v>128</v>
      </c>
      <c r="AS1984" t="s">
        <v>5436</v>
      </c>
      <c r="AT1984" s="4">
        <v>12126096816</v>
      </c>
      <c r="AV1984" t="s">
        <v>5437</v>
      </c>
      <c r="AW1984" t="s">
        <v>5438</v>
      </c>
      <c r="AX1984" t="s">
        <v>131</v>
      </c>
      <c r="AY1984" t="s">
        <v>131</v>
      </c>
      <c r="AZ1984" t="s">
        <v>131</v>
      </c>
      <c r="BA1984" t="s">
        <v>131</v>
      </c>
      <c r="BB1984" t="s">
        <v>131</v>
      </c>
      <c r="BC1984" t="s">
        <v>131</v>
      </c>
      <c r="BD1984" t="s">
        <v>131</v>
      </c>
      <c r="BE1984" t="s">
        <v>132</v>
      </c>
      <c r="BH1984" t="s">
        <v>6071</v>
      </c>
      <c r="BI1984" t="s">
        <v>131</v>
      </c>
      <c r="BL1984" t="s">
        <v>188</v>
      </c>
      <c r="BN1984" t="s">
        <v>6072</v>
      </c>
      <c r="BO1984" t="s">
        <v>131</v>
      </c>
      <c r="BP1984" t="s">
        <v>134</v>
      </c>
      <c r="BQ1984" t="s">
        <v>131</v>
      </c>
      <c r="BS1984" t="str">
        <f t="shared" si="113"/>
        <v>N/A</v>
      </c>
      <c r="BT1984" t="s">
        <v>135</v>
      </c>
      <c r="BU1984">
        <v>12</v>
      </c>
      <c r="BV1984" t="str">
        <f>"Alternative Investment industry"</f>
        <v>Alternative Investment industry</v>
      </c>
      <c r="BW1984" t="s">
        <v>135</v>
      </c>
      <c r="BX1984" t="str">
        <f>""</f>
        <v/>
      </c>
      <c r="BY1984" t="str">
        <f>""</f>
        <v/>
      </c>
      <c r="BZ1984" t="str">
        <f>""</f>
        <v/>
      </c>
      <c r="CA1984" t="s">
        <v>6073</v>
      </c>
      <c r="CB1984" t="s">
        <v>131</v>
      </c>
      <c r="CF1984" t="s">
        <v>131</v>
      </c>
      <c r="CH1984" t="str">
        <f>""</f>
        <v/>
      </c>
      <c r="CI1984" t="s">
        <v>131</v>
      </c>
      <c r="CK1984" t="s">
        <v>131</v>
      </c>
      <c r="CL1984" t="str">
        <f>""</f>
        <v/>
      </c>
      <c r="CM1984" t="str">
        <f>""</f>
        <v/>
      </c>
      <c r="CN1984" t="str">
        <f>""</f>
        <v/>
      </c>
      <c r="CO1984" t="str">
        <f>""</f>
        <v/>
      </c>
      <c r="CP1984" t="str">
        <f>"15-1199.08"</f>
        <v>15-1199.08</v>
      </c>
      <c r="CQ1984" t="s">
        <v>265</v>
      </c>
      <c r="CR1984" t="s">
        <v>6074</v>
      </c>
      <c r="CS1984" t="s">
        <v>131</v>
      </c>
      <c r="CU1984" t="s">
        <v>1901</v>
      </c>
      <c r="CV1984" t="s">
        <v>5430</v>
      </c>
      <c r="CW1984" t="s">
        <v>494</v>
      </c>
      <c r="CX1984" t="s">
        <v>129</v>
      </c>
      <c r="CZ1984" s="3" t="str">
        <f>"10165"</f>
        <v>10165</v>
      </c>
      <c r="DA1984" t="s">
        <v>131</v>
      </c>
      <c r="DB1984" t="str">
        <f>""</f>
        <v/>
      </c>
      <c r="DF1984" t="str">
        <f>""</f>
        <v/>
      </c>
    </row>
    <row r="1985" spans="1:110" ht="15" customHeight="1" x14ac:dyDescent="0.35">
      <c r="A1985" t="s">
        <v>12935</v>
      </c>
      <c r="B1985" t="s">
        <v>138</v>
      </c>
      <c r="C1985" s="1">
        <v>44362</v>
      </c>
      <c r="G1985" s="1">
        <v>44362</v>
      </c>
      <c r="H1985" t="s">
        <v>125</v>
      </c>
      <c r="I1985" t="s">
        <v>9758</v>
      </c>
      <c r="J1985" t="s">
        <v>6509</v>
      </c>
      <c r="L1985" t="s">
        <v>9759</v>
      </c>
      <c r="M1985" t="s">
        <v>9760</v>
      </c>
      <c r="O1985" t="s">
        <v>9761</v>
      </c>
      <c r="P1985" t="s">
        <v>2340</v>
      </c>
      <c r="Q1985" s="3">
        <v>67420</v>
      </c>
      <c r="R1985" t="s">
        <v>128</v>
      </c>
      <c r="T1985" s="4">
        <v>17856142397</v>
      </c>
      <c r="V1985" t="s">
        <v>1253</v>
      </c>
      <c r="W1985" t="s">
        <v>9762</v>
      </c>
      <c r="Y1985" t="s">
        <v>9763</v>
      </c>
      <c r="Z1985" t="s">
        <v>9764</v>
      </c>
      <c r="AA1985" t="s">
        <v>8811</v>
      </c>
      <c r="AB1985" t="s">
        <v>1176</v>
      </c>
      <c r="AC1985" s="3" t="str">
        <f>"68467"</f>
        <v>68467</v>
      </c>
      <c r="AD1985" t="s">
        <v>128</v>
      </c>
      <c r="AF1985" s="4">
        <v>17856142397</v>
      </c>
      <c r="AH1985" t="str">
        <f>"1151"</f>
        <v>1151</v>
      </c>
      <c r="AI1985" t="s">
        <v>287</v>
      </c>
      <c r="AJ1985" t="s">
        <v>9765</v>
      </c>
      <c r="AK1985" t="s">
        <v>9766</v>
      </c>
      <c r="AL1985" t="s">
        <v>1254</v>
      </c>
      <c r="AM1985" t="s">
        <v>9767</v>
      </c>
      <c r="AN1985" t="s">
        <v>1337</v>
      </c>
      <c r="AO1985" t="s">
        <v>8791</v>
      </c>
      <c r="AP1985" t="s">
        <v>779</v>
      </c>
      <c r="AQ1985" s="5">
        <v>37862</v>
      </c>
      <c r="AR1985" t="s">
        <v>128</v>
      </c>
      <c r="AT1985" s="4">
        <v>18653663731</v>
      </c>
      <c r="AV1985" t="s">
        <v>9768</v>
      </c>
      <c r="AW1985" t="s">
        <v>9769</v>
      </c>
      <c r="AX1985" t="s">
        <v>131</v>
      </c>
      <c r="AY1985" t="s">
        <v>131</v>
      </c>
      <c r="AZ1985" t="s">
        <v>131</v>
      </c>
      <c r="BA1985" t="s">
        <v>131</v>
      </c>
      <c r="BB1985" t="s">
        <v>131</v>
      </c>
      <c r="BC1985" t="s">
        <v>131</v>
      </c>
      <c r="BD1985" t="s">
        <v>131</v>
      </c>
      <c r="BE1985" t="s">
        <v>132</v>
      </c>
      <c r="BH1985" t="s">
        <v>9770</v>
      </c>
      <c r="BI1985" t="s">
        <v>131</v>
      </c>
      <c r="BL1985" t="s">
        <v>401</v>
      </c>
      <c r="BO1985" t="s">
        <v>131</v>
      </c>
      <c r="BP1985" t="s">
        <v>134</v>
      </c>
      <c r="BQ1985" t="s">
        <v>131</v>
      </c>
      <c r="BS1985" t="str">
        <f t="shared" si="113"/>
        <v>N/A</v>
      </c>
      <c r="BT1985" t="s">
        <v>135</v>
      </c>
      <c r="BU1985">
        <v>12</v>
      </c>
      <c r="BV1985" t="str">
        <f>"Agronomy &amp; Agricultural Equipment Operation"</f>
        <v>Agronomy &amp; Agricultural Equipment Operation</v>
      </c>
      <c r="BW1985" t="s">
        <v>135</v>
      </c>
      <c r="BX1985" t="str">
        <f>"Require a regular driver's license or international equivalent."</f>
        <v>Require a regular driver's license or international equivalent.</v>
      </c>
      <c r="BY1985" t="str">
        <f>""</f>
        <v/>
      </c>
      <c r="BZ1985" t="str">
        <f>""</f>
        <v/>
      </c>
      <c r="CA1985" t="str">
        <f>" Must have 1 year of agronomy and operating agricultural equipment experience."</f>
        <v xml:space="preserve"> Must have 1 year of agronomy and operating agricultural equipment experience.</v>
      </c>
      <c r="CB1985" t="s">
        <v>135</v>
      </c>
      <c r="CC1985" t="s">
        <v>167</v>
      </c>
      <c r="CF1985" t="s">
        <v>131</v>
      </c>
      <c r="CH1985" t="str">
        <f>"N/A"</f>
        <v>N/A</v>
      </c>
      <c r="CI1985" t="s">
        <v>135</v>
      </c>
      <c r="CJ1985">
        <v>36</v>
      </c>
      <c r="CK1985" t="s">
        <v>135</v>
      </c>
      <c r="CL1985" t="str">
        <f>"Require a regular driver's license or international equivalent."</f>
        <v>Require a regular driver's license or international equivalent.</v>
      </c>
      <c r="CM1985" t="str">
        <f>""</f>
        <v/>
      </c>
      <c r="CN1985" t="str">
        <f>""</f>
        <v/>
      </c>
      <c r="CO1985" t="str">
        <f>"3 years of work experience in agricultural operations  and must have 1 year of agronomy and operating agricultural equipment experience."</f>
        <v>3 years of work experience in agricultural operations  and must have 1 year of agronomy and operating agricultural equipment experience.</v>
      </c>
      <c r="CP1985" t="str">
        <f>"45-2091.00"</f>
        <v>45-2091.00</v>
      </c>
      <c r="CQ1985" t="s">
        <v>4096</v>
      </c>
      <c r="CR1985" t="s">
        <v>9771</v>
      </c>
      <c r="CS1985" t="s">
        <v>135</v>
      </c>
      <c r="CT1985" t="s">
        <v>11470</v>
      </c>
      <c r="CU1985" t="s">
        <v>11471</v>
      </c>
      <c r="CW1985" t="s">
        <v>11472</v>
      </c>
      <c r="CX1985" t="s">
        <v>1176</v>
      </c>
      <c r="CZ1985" s="3" t="str">
        <f>"69210"</f>
        <v>69210</v>
      </c>
      <c r="DA1985" t="s">
        <v>131</v>
      </c>
      <c r="DB1985" t="str">
        <f>""</f>
        <v/>
      </c>
      <c r="DF1985" t="str">
        <f>""</f>
        <v/>
      </c>
    </row>
    <row r="1986" spans="1:110" ht="15" customHeight="1" x14ac:dyDescent="0.35">
      <c r="A1986" t="s">
        <v>16682</v>
      </c>
      <c r="B1986" t="s">
        <v>138</v>
      </c>
      <c r="C1986" s="1">
        <v>44362</v>
      </c>
      <c r="G1986" s="1">
        <v>44362</v>
      </c>
      <c r="H1986" t="s">
        <v>125</v>
      </c>
      <c r="I1986" t="s">
        <v>16093</v>
      </c>
      <c r="J1986" t="s">
        <v>16683</v>
      </c>
      <c r="K1986" t="s">
        <v>16684</v>
      </c>
      <c r="L1986" t="s">
        <v>16685</v>
      </c>
      <c r="M1986" t="s">
        <v>16684</v>
      </c>
      <c r="O1986" t="s">
        <v>16686</v>
      </c>
      <c r="P1986" t="s">
        <v>273</v>
      </c>
      <c r="Q1986" s="3">
        <v>7094</v>
      </c>
      <c r="R1986" t="s">
        <v>128</v>
      </c>
      <c r="T1986" s="4">
        <v>19735202870</v>
      </c>
      <c r="V1986" t="s">
        <v>16687</v>
      </c>
      <c r="W1986" t="s">
        <v>16688</v>
      </c>
      <c r="Y1986" t="s">
        <v>16684</v>
      </c>
      <c r="AA1986" t="s">
        <v>16686</v>
      </c>
      <c r="AB1986" t="s">
        <v>276</v>
      </c>
      <c r="AC1986" s="3" t="str">
        <f>"07094"</f>
        <v>07094</v>
      </c>
      <c r="AD1986" t="s">
        <v>128</v>
      </c>
      <c r="AF1986" s="4">
        <v>15132042409</v>
      </c>
      <c r="AH1986" t="str">
        <f>"621511"</f>
        <v>621511</v>
      </c>
      <c r="AI1986" t="s">
        <v>130</v>
      </c>
      <c r="AJ1986" t="s">
        <v>7930</v>
      </c>
      <c r="AK1986" t="s">
        <v>780</v>
      </c>
      <c r="AM1986" t="s">
        <v>5507</v>
      </c>
      <c r="AN1986" t="s">
        <v>5495</v>
      </c>
      <c r="AO1986" t="s">
        <v>4084</v>
      </c>
      <c r="AP1986" t="s">
        <v>312</v>
      </c>
      <c r="AQ1986" s="5">
        <v>19103</v>
      </c>
      <c r="AR1986" t="s">
        <v>128</v>
      </c>
      <c r="AT1986" s="4">
        <v>12158258600</v>
      </c>
      <c r="AV1986" t="s">
        <v>16689</v>
      </c>
      <c r="AW1986" t="s">
        <v>5509</v>
      </c>
      <c r="AX1986" t="s">
        <v>131</v>
      </c>
      <c r="AY1986" t="s">
        <v>131</v>
      </c>
      <c r="AZ1986" t="s">
        <v>131</v>
      </c>
      <c r="BA1986" t="s">
        <v>131</v>
      </c>
      <c r="BB1986" t="s">
        <v>131</v>
      </c>
      <c r="BC1986" t="s">
        <v>131</v>
      </c>
      <c r="BD1986" t="s">
        <v>131</v>
      </c>
      <c r="BE1986" t="s">
        <v>160</v>
      </c>
      <c r="BF1986" t="s">
        <v>1084</v>
      </c>
      <c r="BG1986" s="1">
        <v>44044</v>
      </c>
      <c r="BH1986" t="s">
        <v>1672</v>
      </c>
      <c r="BI1986" t="s">
        <v>131</v>
      </c>
      <c r="BL1986" t="s">
        <v>133</v>
      </c>
      <c r="BN1986" t="s">
        <v>16690</v>
      </c>
      <c r="BO1986" t="s">
        <v>131</v>
      </c>
      <c r="BP1986" t="s">
        <v>134</v>
      </c>
      <c r="BQ1986" t="s">
        <v>131</v>
      </c>
      <c r="BS1986" t="str">
        <f t="shared" si="113"/>
        <v>N/A</v>
      </c>
      <c r="BT1986" t="s">
        <v>135</v>
      </c>
      <c r="BU1986">
        <v>60</v>
      </c>
      <c r="BV1986" t="str">
        <f>"Any occuption that provides required experience in Computer Science, Engineering, or a related technical field."</f>
        <v>Any occuption that provides required experience in Computer Science, Engineering, or a related technical field.</v>
      </c>
      <c r="BW1986" t="s">
        <v>135</v>
      </c>
      <c r="BX1986" t="str">
        <f>""</f>
        <v/>
      </c>
      <c r="BY1986" t="str">
        <f>""</f>
        <v/>
      </c>
      <c r="BZ1986" t="str">
        <f>""</f>
        <v/>
      </c>
      <c r="CA1986" t="s">
        <v>16691</v>
      </c>
      <c r="CB1986" t="s">
        <v>131</v>
      </c>
      <c r="CF1986" t="s">
        <v>131</v>
      </c>
      <c r="CH1986" t="str">
        <f>""</f>
        <v/>
      </c>
      <c r="CI1986" t="s">
        <v>131</v>
      </c>
      <c r="CK1986" t="s">
        <v>131</v>
      </c>
      <c r="CL1986" t="str">
        <f>""</f>
        <v/>
      </c>
      <c r="CM1986" t="str">
        <f>""</f>
        <v/>
      </c>
      <c r="CN1986" t="str">
        <f>""</f>
        <v/>
      </c>
      <c r="CO1986" t="str">
        <f>""</f>
        <v/>
      </c>
      <c r="CP1986" t="str">
        <f>"15-1132.00"</f>
        <v>15-1132.00</v>
      </c>
      <c r="CQ1986" t="s">
        <v>198</v>
      </c>
      <c r="CR1986" t="s">
        <v>16692</v>
      </c>
      <c r="CS1986" t="s">
        <v>131</v>
      </c>
      <c r="CU1986" t="s">
        <v>16693</v>
      </c>
      <c r="CW1986" t="s">
        <v>16694</v>
      </c>
      <c r="CX1986" t="s">
        <v>172</v>
      </c>
      <c r="CZ1986" s="3" t="str">
        <f>"92675"</f>
        <v>92675</v>
      </c>
      <c r="DA1986" t="s">
        <v>131</v>
      </c>
      <c r="DB1986" t="str">
        <f>""</f>
        <v/>
      </c>
      <c r="DF1986" t="str">
        <f>""</f>
        <v/>
      </c>
    </row>
    <row r="1987" spans="1:110" ht="15" customHeight="1" x14ac:dyDescent="0.35">
      <c r="A1987" t="s">
        <v>19306</v>
      </c>
      <c r="B1987" t="s">
        <v>138</v>
      </c>
      <c r="C1987" s="1">
        <v>44362</v>
      </c>
      <c r="G1987" s="1">
        <v>44364</v>
      </c>
      <c r="H1987" t="s">
        <v>125</v>
      </c>
      <c r="I1987" t="s">
        <v>5427</v>
      </c>
      <c r="J1987" t="s">
        <v>5428</v>
      </c>
      <c r="L1987" t="s">
        <v>5429</v>
      </c>
      <c r="M1987" t="s">
        <v>1901</v>
      </c>
      <c r="N1987" t="s">
        <v>5430</v>
      </c>
      <c r="O1987" t="s">
        <v>494</v>
      </c>
      <c r="P1987" t="s">
        <v>127</v>
      </c>
      <c r="Q1987" s="3">
        <v>10165</v>
      </c>
      <c r="R1987" t="s">
        <v>128</v>
      </c>
      <c r="T1987" s="4">
        <v>12129947451</v>
      </c>
      <c r="V1987" t="s">
        <v>5431</v>
      </c>
      <c r="W1987" t="s">
        <v>5432</v>
      </c>
      <c r="Y1987" t="s">
        <v>1901</v>
      </c>
      <c r="Z1987" t="s">
        <v>5430</v>
      </c>
      <c r="AA1987" t="s">
        <v>494</v>
      </c>
      <c r="AB1987" t="s">
        <v>129</v>
      </c>
      <c r="AC1987" s="3" t="str">
        <f>"10165"</f>
        <v>10165</v>
      </c>
      <c r="AD1987" t="s">
        <v>128</v>
      </c>
      <c r="AF1987" s="4">
        <v>12129947451</v>
      </c>
      <c r="AH1987" t="str">
        <f>"52599"</f>
        <v>52599</v>
      </c>
      <c r="AI1987" t="s">
        <v>130</v>
      </c>
      <c r="AJ1987" t="s">
        <v>5433</v>
      </c>
      <c r="AK1987" t="s">
        <v>5434</v>
      </c>
      <c r="AM1987" t="s">
        <v>5435</v>
      </c>
      <c r="AO1987" t="s">
        <v>494</v>
      </c>
      <c r="AP1987" t="s">
        <v>129</v>
      </c>
      <c r="AQ1987" s="5">
        <v>10019</v>
      </c>
      <c r="AR1987" t="s">
        <v>128</v>
      </c>
      <c r="AS1987" t="s">
        <v>5436</v>
      </c>
      <c r="AT1987" s="4">
        <v>12126096816</v>
      </c>
      <c r="AV1987" t="s">
        <v>5437</v>
      </c>
      <c r="AW1987" t="s">
        <v>5438</v>
      </c>
      <c r="AX1987" t="s">
        <v>131</v>
      </c>
      <c r="AY1987" t="s">
        <v>131</v>
      </c>
      <c r="AZ1987" t="s">
        <v>131</v>
      </c>
      <c r="BA1987" t="s">
        <v>131</v>
      </c>
      <c r="BB1987" t="s">
        <v>131</v>
      </c>
      <c r="BC1987" t="s">
        <v>131</v>
      </c>
      <c r="BD1987" t="s">
        <v>131</v>
      </c>
      <c r="BE1987" t="s">
        <v>132</v>
      </c>
      <c r="BH1987" t="s">
        <v>2534</v>
      </c>
      <c r="BI1987" t="s">
        <v>131</v>
      </c>
      <c r="BL1987" t="s">
        <v>188</v>
      </c>
      <c r="BN1987" t="s">
        <v>11462</v>
      </c>
      <c r="BO1987" t="s">
        <v>131</v>
      </c>
      <c r="BP1987" t="s">
        <v>134</v>
      </c>
      <c r="BQ1987" t="s">
        <v>131</v>
      </c>
      <c r="BS1987" t="str">
        <f t="shared" si="113"/>
        <v>N/A</v>
      </c>
      <c r="BT1987" t="s">
        <v>135</v>
      </c>
      <c r="BU1987">
        <v>36</v>
      </c>
      <c r="BV1987" t="str">
        <f>"data modeling and analytics"</f>
        <v>data modeling and analytics</v>
      </c>
      <c r="BW1987" t="s">
        <v>135</v>
      </c>
      <c r="BX1987" t="str">
        <f>""</f>
        <v/>
      </c>
      <c r="BY1987" t="str">
        <f>""</f>
        <v/>
      </c>
      <c r="BZ1987" t="str">
        <f>""</f>
        <v/>
      </c>
      <c r="CA1987" t="s">
        <v>5439</v>
      </c>
      <c r="CB1987" t="s">
        <v>131</v>
      </c>
      <c r="CF1987" t="s">
        <v>131</v>
      </c>
      <c r="CH1987" t="str">
        <f>""</f>
        <v/>
      </c>
      <c r="CI1987" t="s">
        <v>131</v>
      </c>
      <c r="CK1987" t="s">
        <v>131</v>
      </c>
      <c r="CL1987" t="str">
        <f>""</f>
        <v/>
      </c>
      <c r="CM1987" t="str">
        <f>""</f>
        <v/>
      </c>
      <c r="CN1987" t="str">
        <f>""</f>
        <v/>
      </c>
      <c r="CO1987" t="str">
        <f>""</f>
        <v/>
      </c>
      <c r="CP1987" t="str">
        <f>"15-1199.08"</f>
        <v>15-1199.08</v>
      </c>
      <c r="CQ1987" t="s">
        <v>265</v>
      </c>
      <c r="CR1987" t="s">
        <v>16231</v>
      </c>
      <c r="CS1987" t="s">
        <v>131</v>
      </c>
      <c r="CU1987" t="s">
        <v>1901</v>
      </c>
      <c r="CV1987" t="s">
        <v>5430</v>
      </c>
      <c r="CW1987" t="s">
        <v>494</v>
      </c>
      <c r="CX1987" t="s">
        <v>129</v>
      </c>
      <c r="CZ1987" s="3" t="str">
        <f>"10165"</f>
        <v>10165</v>
      </c>
      <c r="DA1987" t="s">
        <v>131</v>
      </c>
      <c r="DB1987" t="str">
        <f>""</f>
        <v/>
      </c>
      <c r="DF1987" t="str">
        <f>""</f>
        <v/>
      </c>
    </row>
    <row r="1988" spans="1:110" ht="15" customHeight="1" x14ac:dyDescent="0.35">
      <c r="A1988" t="s">
        <v>15794</v>
      </c>
      <c r="B1988" t="s">
        <v>138</v>
      </c>
      <c r="C1988" s="1">
        <v>44362</v>
      </c>
      <c r="G1988" s="1">
        <v>44362</v>
      </c>
      <c r="H1988" t="s">
        <v>125</v>
      </c>
      <c r="I1988" t="s">
        <v>5654</v>
      </c>
      <c r="J1988" t="s">
        <v>5655</v>
      </c>
      <c r="L1988" t="s">
        <v>583</v>
      </c>
      <c r="M1988" t="s">
        <v>5656</v>
      </c>
      <c r="O1988" t="s">
        <v>1943</v>
      </c>
      <c r="P1988" t="s">
        <v>720</v>
      </c>
      <c r="Q1988" s="3">
        <v>1801</v>
      </c>
      <c r="R1988" t="s">
        <v>128</v>
      </c>
      <c r="T1988" s="4">
        <v>17812810099</v>
      </c>
      <c r="V1988" t="s">
        <v>5657</v>
      </c>
      <c r="W1988" t="s">
        <v>5658</v>
      </c>
      <c r="Y1988" t="s">
        <v>5656</v>
      </c>
      <c r="AA1988" t="s">
        <v>1943</v>
      </c>
      <c r="AB1988" t="s">
        <v>377</v>
      </c>
      <c r="AC1988" s="3" t="str">
        <f>"01801"</f>
        <v>01801</v>
      </c>
      <c r="AD1988" t="s">
        <v>128</v>
      </c>
      <c r="AF1988" s="4">
        <v>17812810099</v>
      </c>
      <c r="AH1988" t="str">
        <f>"325411"</f>
        <v>325411</v>
      </c>
      <c r="AI1988" t="s">
        <v>130</v>
      </c>
      <c r="AJ1988" t="s">
        <v>3551</v>
      </c>
      <c r="AK1988" t="s">
        <v>1278</v>
      </c>
      <c r="AL1988" t="s">
        <v>827</v>
      </c>
      <c r="AM1988" t="s">
        <v>3552</v>
      </c>
      <c r="AN1988" t="s">
        <v>997</v>
      </c>
      <c r="AO1988" t="s">
        <v>376</v>
      </c>
      <c r="AP1988" t="s">
        <v>377</v>
      </c>
      <c r="AQ1988" s="5">
        <v>2116</v>
      </c>
      <c r="AR1988" t="s">
        <v>128</v>
      </c>
      <c r="AT1988" s="4">
        <v>16173670025</v>
      </c>
      <c r="AU1988">
        <v>1228</v>
      </c>
      <c r="AV1988" t="s">
        <v>3553</v>
      </c>
      <c r="AW1988" t="s">
        <v>3554</v>
      </c>
      <c r="AX1988" t="s">
        <v>131</v>
      </c>
      <c r="AY1988" t="s">
        <v>131</v>
      </c>
      <c r="AZ1988" t="s">
        <v>131</v>
      </c>
      <c r="BA1988" t="s">
        <v>131</v>
      </c>
      <c r="BB1988" t="s">
        <v>131</v>
      </c>
      <c r="BC1988" t="s">
        <v>131</v>
      </c>
      <c r="BD1988" t="s">
        <v>131</v>
      </c>
      <c r="BE1988" t="s">
        <v>132</v>
      </c>
      <c r="BH1988" t="s">
        <v>359</v>
      </c>
      <c r="BI1988" t="s">
        <v>131</v>
      </c>
      <c r="BL1988" t="s">
        <v>188</v>
      </c>
      <c r="BN1988" t="s">
        <v>14533</v>
      </c>
      <c r="BO1988" t="s">
        <v>131</v>
      </c>
      <c r="BP1988" t="s">
        <v>134</v>
      </c>
      <c r="BQ1988" t="s">
        <v>131</v>
      </c>
      <c r="BS1988" t="str">
        <f t="shared" si="113"/>
        <v>N/A</v>
      </c>
      <c r="BT1988" t="s">
        <v>131</v>
      </c>
      <c r="BV1988" t="str">
        <f>""</f>
        <v/>
      </c>
      <c r="BW1988" t="s">
        <v>135</v>
      </c>
      <c r="BX1988" t="str">
        <f>""</f>
        <v/>
      </c>
      <c r="BY1988" t="str">
        <f>""</f>
        <v/>
      </c>
      <c r="BZ1988" t="str">
        <f>""</f>
        <v/>
      </c>
      <c r="CA1988" t="s">
        <v>13429</v>
      </c>
      <c r="CB1988" t="s">
        <v>131</v>
      </c>
      <c r="CF1988" t="s">
        <v>131</v>
      </c>
      <c r="CH1988" t="str">
        <f>""</f>
        <v/>
      </c>
      <c r="CI1988" t="s">
        <v>131</v>
      </c>
      <c r="CK1988" t="s">
        <v>131</v>
      </c>
      <c r="CL1988" t="str">
        <f>""</f>
        <v/>
      </c>
      <c r="CM1988" t="str">
        <f>""</f>
        <v/>
      </c>
      <c r="CN1988" t="str">
        <f>""</f>
        <v/>
      </c>
      <c r="CO1988" t="str">
        <f>""</f>
        <v/>
      </c>
      <c r="CP1988" t="str">
        <f>"17-2041.00"</f>
        <v>17-2041.00</v>
      </c>
      <c r="CQ1988" t="s">
        <v>3162</v>
      </c>
      <c r="CS1988" t="s">
        <v>131</v>
      </c>
      <c r="CU1988" t="s">
        <v>5656</v>
      </c>
      <c r="CW1988" t="s">
        <v>1943</v>
      </c>
      <c r="CX1988" t="s">
        <v>377</v>
      </c>
      <c r="CZ1988" s="3" t="str">
        <f>"01801"</f>
        <v>01801</v>
      </c>
      <c r="DA1988" t="s">
        <v>131</v>
      </c>
      <c r="DB1988" t="str">
        <f>""</f>
        <v/>
      </c>
      <c r="DF1988" t="str">
        <f>""</f>
        <v/>
      </c>
    </row>
    <row r="1989" spans="1:110" ht="15" customHeight="1" x14ac:dyDescent="0.35">
      <c r="A1989" t="s">
        <v>16963</v>
      </c>
      <c r="B1989" t="s">
        <v>138</v>
      </c>
      <c r="C1989" s="1">
        <v>44362</v>
      </c>
      <c r="G1989" s="1">
        <v>44370</v>
      </c>
      <c r="H1989" t="s">
        <v>125</v>
      </c>
      <c r="I1989" t="s">
        <v>5791</v>
      </c>
      <c r="J1989" t="s">
        <v>7606</v>
      </c>
      <c r="L1989" t="s">
        <v>587</v>
      </c>
      <c r="M1989" t="s">
        <v>7607</v>
      </c>
      <c r="N1989" t="s">
        <v>2293</v>
      </c>
      <c r="O1989" t="s">
        <v>1040</v>
      </c>
      <c r="P1989" t="s">
        <v>412</v>
      </c>
      <c r="Q1989" s="3">
        <v>78759</v>
      </c>
      <c r="R1989" t="s">
        <v>128</v>
      </c>
      <c r="T1989" s="4">
        <v>16502411221</v>
      </c>
      <c r="V1989" t="s">
        <v>7608</v>
      </c>
      <c r="W1989" t="s">
        <v>7609</v>
      </c>
      <c r="Y1989" t="s">
        <v>7610</v>
      </c>
      <c r="Z1989" t="s">
        <v>2293</v>
      </c>
      <c r="AA1989" t="s">
        <v>608</v>
      </c>
      <c r="AB1989" t="s">
        <v>400</v>
      </c>
      <c r="AC1989" s="3" t="str">
        <f>"78759"</f>
        <v>78759</v>
      </c>
      <c r="AD1989" t="s">
        <v>128</v>
      </c>
      <c r="AF1989" s="4">
        <v>16502411221</v>
      </c>
      <c r="AH1989" t="str">
        <f>"33911"</f>
        <v>33911</v>
      </c>
      <c r="AI1989" t="s">
        <v>130</v>
      </c>
      <c r="AJ1989" t="s">
        <v>802</v>
      </c>
      <c r="AK1989" t="s">
        <v>803</v>
      </c>
      <c r="AL1989" t="s">
        <v>655</v>
      </c>
      <c r="AM1989" t="s">
        <v>805</v>
      </c>
      <c r="AN1989" t="s">
        <v>806</v>
      </c>
      <c r="AO1989" t="s">
        <v>807</v>
      </c>
      <c r="AP1989" t="s">
        <v>808</v>
      </c>
      <c r="AQ1989" s="5">
        <v>85020</v>
      </c>
      <c r="AR1989" t="s">
        <v>128</v>
      </c>
      <c r="AT1989" s="4">
        <v>16022661825</v>
      </c>
      <c r="AV1989" t="s">
        <v>3660</v>
      </c>
      <c r="AW1989" t="s">
        <v>548</v>
      </c>
      <c r="AX1989" t="s">
        <v>131</v>
      </c>
      <c r="AY1989" t="s">
        <v>131</v>
      </c>
      <c r="AZ1989" t="s">
        <v>131</v>
      </c>
      <c r="BA1989" t="s">
        <v>131</v>
      </c>
      <c r="BB1989" t="s">
        <v>131</v>
      </c>
      <c r="BC1989" t="s">
        <v>131</v>
      </c>
      <c r="BD1989" t="s">
        <v>131</v>
      </c>
      <c r="BE1989" t="s">
        <v>132</v>
      </c>
      <c r="BH1989" t="s">
        <v>542</v>
      </c>
      <c r="BI1989" t="s">
        <v>131</v>
      </c>
      <c r="BL1989" t="s">
        <v>188</v>
      </c>
      <c r="BN1989" t="s">
        <v>1984</v>
      </c>
      <c r="BO1989" t="s">
        <v>131</v>
      </c>
      <c r="BP1989" t="s">
        <v>134</v>
      </c>
      <c r="BQ1989" t="s">
        <v>131</v>
      </c>
      <c r="BS1989" t="str">
        <f t="shared" si="113"/>
        <v>N/A</v>
      </c>
      <c r="BT1989" t="s">
        <v>131</v>
      </c>
      <c r="BV1989" t="str">
        <f>""</f>
        <v/>
      </c>
      <c r="BW1989" t="s">
        <v>135</v>
      </c>
      <c r="BX1989" t="str">
        <f>""</f>
        <v/>
      </c>
      <c r="BY1989" t="str">
        <f>""</f>
        <v/>
      </c>
      <c r="BZ1989" t="str">
        <f>""</f>
        <v/>
      </c>
      <c r="CA1989" t="str">
        <f>"(1) High proficiency in Python programming language
(2) Knowledge of UNIX environment
(3) Data structures and Algorithm Analysis
(4) Web Technologies
"</f>
        <v xml:space="preserve">(1) High proficiency in Python programming language
(2) Knowledge of UNIX environment
(3) Data structures and Algorithm Analysis
(4) Web Technologies
</v>
      </c>
      <c r="CB1989" t="s">
        <v>135</v>
      </c>
      <c r="CC1989" t="s">
        <v>133</v>
      </c>
      <c r="CE1989" t="s">
        <v>1984</v>
      </c>
      <c r="CF1989" t="s">
        <v>131</v>
      </c>
      <c r="CH1989" t="str">
        <f>"N/A"</f>
        <v>N/A</v>
      </c>
      <c r="CI1989" t="s">
        <v>135</v>
      </c>
      <c r="CJ1989">
        <v>24</v>
      </c>
      <c r="CK1989" t="s">
        <v>135</v>
      </c>
      <c r="CL1989" t="str">
        <f>""</f>
        <v/>
      </c>
      <c r="CM1989" t="str">
        <f>""</f>
        <v/>
      </c>
      <c r="CN1989" t="str">
        <f>""</f>
        <v/>
      </c>
      <c r="CO1989" t="str">
        <f>"(1) High proficiency in Python programming language
(2) Knowledge of UNIX environment
(3) Data structures and Algorithm Analysis
(4) Web Technologies
"</f>
        <v xml:space="preserve">(1) High proficiency in Python programming language
(2) Knowledge of UNIX environment
(3) Data structures and Algorithm Analysis
(4) Web Technologies
</v>
      </c>
      <c r="CP1989" t="str">
        <f>"15-1132.00"</f>
        <v>15-1132.00</v>
      </c>
      <c r="CQ1989" t="s">
        <v>198</v>
      </c>
      <c r="CR1989" t="s">
        <v>5810</v>
      </c>
      <c r="CS1989" t="s">
        <v>131</v>
      </c>
      <c r="CU1989" t="s">
        <v>7615</v>
      </c>
      <c r="CV1989" t="s">
        <v>16964</v>
      </c>
      <c r="CW1989" t="s">
        <v>1322</v>
      </c>
      <c r="CX1989" t="s">
        <v>172</v>
      </c>
      <c r="CZ1989" s="3" t="str">
        <f>"94063"</f>
        <v>94063</v>
      </c>
      <c r="DA1989" t="s">
        <v>131</v>
      </c>
      <c r="DB1989" t="str">
        <f>""</f>
        <v/>
      </c>
      <c r="DF1989" t="str">
        <f>""</f>
        <v/>
      </c>
    </row>
    <row r="1990" spans="1:110" ht="15" customHeight="1" x14ac:dyDescent="0.35">
      <c r="A1990" t="s">
        <v>9566</v>
      </c>
      <c r="B1990" t="s">
        <v>138</v>
      </c>
      <c r="C1990" s="1">
        <v>44362</v>
      </c>
      <c r="G1990" s="1">
        <v>44362</v>
      </c>
      <c r="H1990" t="s">
        <v>125</v>
      </c>
      <c r="I1990" t="s">
        <v>9567</v>
      </c>
      <c r="J1990" t="s">
        <v>3419</v>
      </c>
      <c r="K1990" t="s">
        <v>9568</v>
      </c>
      <c r="L1990" t="s">
        <v>9569</v>
      </c>
      <c r="M1990" t="s">
        <v>9570</v>
      </c>
      <c r="O1990" t="s">
        <v>1040</v>
      </c>
      <c r="P1990" t="s">
        <v>412</v>
      </c>
      <c r="Q1990" s="3">
        <v>78702</v>
      </c>
      <c r="R1990" t="s">
        <v>128</v>
      </c>
      <c r="T1990" s="4">
        <v>15129127771</v>
      </c>
      <c r="V1990" t="s">
        <v>9571</v>
      </c>
      <c r="W1990" t="s">
        <v>9572</v>
      </c>
      <c r="X1990" t="s">
        <v>9573</v>
      </c>
      <c r="Y1990" t="s">
        <v>9570</v>
      </c>
      <c r="AA1990" t="s">
        <v>1040</v>
      </c>
      <c r="AB1990" t="s">
        <v>400</v>
      </c>
      <c r="AC1990" s="3" t="str">
        <f>"78702"</f>
        <v>78702</v>
      </c>
      <c r="AD1990" t="s">
        <v>128</v>
      </c>
      <c r="AF1990" s="4">
        <v>15129127771</v>
      </c>
      <c r="AH1990" t="str">
        <f>"541110"</f>
        <v>541110</v>
      </c>
      <c r="AI1990" t="s">
        <v>167</v>
      </c>
      <c r="AX1990" t="s">
        <v>131</v>
      </c>
      <c r="AY1990" t="s">
        <v>131</v>
      </c>
      <c r="AZ1990" t="s">
        <v>131</v>
      </c>
      <c r="BA1990" t="s">
        <v>131</v>
      </c>
      <c r="BB1990" t="s">
        <v>131</v>
      </c>
      <c r="BC1990" t="s">
        <v>131</v>
      </c>
      <c r="BD1990" t="s">
        <v>131</v>
      </c>
      <c r="BE1990" t="s">
        <v>132</v>
      </c>
      <c r="BH1990" t="s">
        <v>9574</v>
      </c>
      <c r="BI1990" t="s">
        <v>131</v>
      </c>
      <c r="BL1990" t="s">
        <v>658</v>
      </c>
      <c r="BM1990" t="s">
        <v>9575</v>
      </c>
      <c r="BN1990" t="s">
        <v>9576</v>
      </c>
      <c r="BO1990" t="s">
        <v>131</v>
      </c>
      <c r="BP1990" t="s">
        <v>134</v>
      </c>
      <c r="BQ1990" t="s">
        <v>131</v>
      </c>
      <c r="BS1990" t="str">
        <f t="shared" si="113"/>
        <v>N/A</v>
      </c>
      <c r="BT1990" t="s">
        <v>135</v>
      </c>
      <c r="BU1990">
        <v>12</v>
      </c>
      <c r="BV1990" t="str">
        <f>"U.S. attorney"</f>
        <v>U.S. attorney</v>
      </c>
      <c r="BW1990" t="s">
        <v>131</v>
      </c>
      <c r="BX1990" t="str">
        <f>""</f>
        <v/>
      </c>
      <c r="BY1990" t="str">
        <f>""</f>
        <v/>
      </c>
      <c r="BZ1990" t="str">
        <f>""</f>
        <v/>
      </c>
      <c r="CA1990" t="str">
        <f>""</f>
        <v/>
      </c>
      <c r="CB1990" t="s">
        <v>131</v>
      </c>
      <c r="CF1990" t="s">
        <v>131</v>
      </c>
      <c r="CH1990" t="str">
        <f>""</f>
        <v/>
      </c>
      <c r="CI1990" t="s">
        <v>131</v>
      </c>
      <c r="CK1990" t="s">
        <v>131</v>
      </c>
      <c r="CL1990" t="str">
        <f>""</f>
        <v/>
      </c>
      <c r="CM1990" t="str">
        <f>""</f>
        <v/>
      </c>
      <c r="CN1990" t="str">
        <f>""</f>
        <v/>
      </c>
      <c r="CO1990" t="str">
        <f>""</f>
        <v/>
      </c>
      <c r="CP1990" t="str">
        <f>"23-1011.00"</f>
        <v>23-1011.00</v>
      </c>
      <c r="CQ1990" t="s">
        <v>2563</v>
      </c>
      <c r="CR1990" t="s">
        <v>9577</v>
      </c>
      <c r="CS1990" t="s">
        <v>131</v>
      </c>
      <c r="CU1990" t="s">
        <v>9570</v>
      </c>
      <c r="CW1990" t="s">
        <v>1040</v>
      </c>
      <c r="CX1990" t="s">
        <v>400</v>
      </c>
      <c r="CZ1990" s="3" t="str">
        <f>"78702"</f>
        <v>78702</v>
      </c>
      <c r="DA1990" t="s">
        <v>131</v>
      </c>
      <c r="DB1990" t="str">
        <f>""</f>
        <v/>
      </c>
      <c r="DF1990" t="str">
        <f>""</f>
        <v/>
      </c>
    </row>
    <row r="1991" spans="1:110" ht="15" customHeight="1" x14ac:dyDescent="0.35">
      <c r="A1991" t="s">
        <v>17395</v>
      </c>
      <c r="B1991" t="s">
        <v>138</v>
      </c>
      <c r="C1991" s="1">
        <v>44362</v>
      </c>
      <c r="G1991" s="1">
        <v>44362</v>
      </c>
      <c r="H1991" t="s">
        <v>125</v>
      </c>
      <c r="I1991" t="s">
        <v>17396</v>
      </c>
      <c r="J1991" t="s">
        <v>8499</v>
      </c>
      <c r="L1991" t="s">
        <v>395</v>
      </c>
      <c r="M1991" t="s">
        <v>8500</v>
      </c>
      <c r="O1991" t="s">
        <v>494</v>
      </c>
      <c r="P1991" t="s">
        <v>127</v>
      </c>
      <c r="Q1991" s="3">
        <v>10016</v>
      </c>
      <c r="R1991" t="s">
        <v>128</v>
      </c>
      <c r="T1991" s="4">
        <v>19174595597</v>
      </c>
      <c r="V1991" t="s">
        <v>8501</v>
      </c>
      <c r="W1991" t="s">
        <v>17397</v>
      </c>
      <c r="Y1991" t="s">
        <v>8500</v>
      </c>
      <c r="AA1991" t="s">
        <v>494</v>
      </c>
      <c r="AB1991" t="s">
        <v>129</v>
      </c>
      <c r="AC1991" s="3" t="str">
        <f>"10016"</f>
        <v>10016</v>
      </c>
      <c r="AD1991" t="s">
        <v>128</v>
      </c>
      <c r="AF1991" s="4">
        <v>12124476400</v>
      </c>
      <c r="AH1991" t="str">
        <f>"42322"</f>
        <v>42322</v>
      </c>
      <c r="AI1991" t="s">
        <v>130</v>
      </c>
      <c r="AJ1991" t="s">
        <v>2784</v>
      </c>
      <c r="AK1991" t="s">
        <v>8502</v>
      </c>
      <c r="AM1991" t="s">
        <v>8503</v>
      </c>
      <c r="AO1991" t="s">
        <v>494</v>
      </c>
      <c r="AP1991" t="s">
        <v>129</v>
      </c>
      <c r="AQ1991" s="5">
        <v>10123</v>
      </c>
      <c r="AR1991" t="s">
        <v>128</v>
      </c>
      <c r="AT1991" s="4">
        <v>19177454982</v>
      </c>
      <c r="AV1991" t="s">
        <v>8504</v>
      </c>
      <c r="AW1991" t="s">
        <v>8505</v>
      </c>
      <c r="AX1991" t="s">
        <v>131</v>
      </c>
      <c r="AY1991" t="s">
        <v>131</v>
      </c>
      <c r="AZ1991" t="s">
        <v>131</v>
      </c>
      <c r="BA1991" t="s">
        <v>131</v>
      </c>
      <c r="BB1991" t="s">
        <v>131</v>
      </c>
      <c r="BC1991" t="s">
        <v>131</v>
      </c>
      <c r="BD1991" t="s">
        <v>131</v>
      </c>
      <c r="BE1991" t="s">
        <v>132</v>
      </c>
      <c r="BH1991" t="s">
        <v>8506</v>
      </c>
      <c r="BI1991" t="s">
        <v>131</v>
      </c>
      <c r="BL1991" t="s">
        <v>188</v>
      </c>
      <c r="BN1991" t="s">
        <v>8507</v>
      </c>
      <c r="BO1991" t="s">
        <v>131</v>
      </c>
      <c r="BP1991" t="s">
        <v>134</v>
      </c>
      <c r="BQ1991" t="s">
        <v>131</v>
      </c>
      <c r="BS1991" t="str">
        <f t="shared" si="113"/>
        <v>N/A</v>
      </c>
      <c r="BT1991" t="s">
        <v>135</v>
      </c>
      <c r="BU1991">
        <v>12</v>
      </c>
      <c r="BV1991" t="str">
        <f>"1 year experience as a logistics analyst, buyer, merchandiser, sourcing analyst or related in home textile industry, including at least 3 months experience involving int'l trade and A2000 ERP system."</f>
        <v>1 year experience as a logistics analyst, buyer, merchandiser, sourcing analyst or related in home textile industry, including at least 3 months experience involving int'l trade and A2000 ERP system.</v>
      </c>
      <c r="BW1991" t="s">
        <v>131</v>
      </c>
      <c r="BX1991" t="str">
        <f>""</f>
        <v/>
      </c>
      <c r="BY1991" t="str">
        <f>""</f>
        <v/>
      </c>
      <c r="BZ1991" t="str">
        <f>""</f>
        <v/>
      </c>
      <c r="CA1991" t="str">
        <f>""</f>
        <v/>
      </c>
      <c r="CB1991" t="s">
        <v>131</v>
      </c>
      <c r="CF1991" t="s">
        <v>131</v>
      </c>
      <c r="CH1991" t="str">
        <f>""</f>
        <v/>
      </c>
      <c r="CI1991" t="s">
        <v>131</v>
      </c>
      <c r="CK1991" t="s">
        <v>131</v>
      </c>
      <c r="CL1991" t="str">
        <f>""</f>
        <v/>
      </c>
      <c r="CM1991" t="str">
        <f>""</f>
        <v/>
      </c>
      <c r="CN1991" t="str">
        <f>""</f>
        <v/>
      </c>
      <c r="CO1991" t="str">
        <f>""</f>
        <v/>
      </c>
      <c r="CP1991" t="str">
        <f>"13-1081.02"</f>
        <v>13-1081.02</v>
      </c>
      <c r="CQ1991" t="s">
        <v>4142</v>
      </c>
      <c r="CS1991" t="s">
        <v>131</v>
      </c>
      <c r="CU1991" t="s">
        <v>8500</v>
      </c>
      <c r="CW1991" t="s">
        <v>494</v>
      </c>
      <c r="CX1991" t="s">
        <v>129</v>
      </c>
      <c r="CZ1991" s="3" t="str">
        <f>"10016"</f>
        <v>10016</v>
      </c>
      <c r="DA1991" t="s">
        <v>131</v>
      </c>
      <c r="DB1991" t="str">
        <f>""</f>
        <v/>
      </c>
      <c r="DF1991" t="str">
        <f>""</f>
        <v/>
      </c>
    </row>
    <row r="1992" spans="1:110" ht="15" customHeight="1" x14ac:dyDescent="0.35">
      <c r="A1992" t="s">
        <v>16251</v>
      </c>
      <c r="B1992" t="s">
        <v>138</v>
      </c>
      <c r="C1992" s="1">
        <v>44362</v>
      </c>
      <c r="G1992" s="1">
        <v>44362</v>
      </c>
      <c r="H1992" t="s">
        <v>125</v>
      </c>
      <c r="I1992" t="s">
        <v>6724</v>
      </c>
      <c r="J1992" t="s">
        <v>1278</v>
      </c>
      <c r="L1992" t="s">
        <v>9289</v>
      </c>
      <c r="M1992" t="s">
        <v>9290</v>
      </c>
      <c r="N1992" t="s">
        <v>9291</v>
      </c>
      <c r="O1992" t="s">
        <v>3577</v>
      </c>
      <c r="P1992" t="s">
        <v>467</v>
      </c>
      <c r="Q1992" s="3">
        <v>80237</v>
      </c>
      <c r="R1992" t="s">
        <v>128</v>
      </c>
      <c r="T1992" s="4">
        <v>17203327761</v>
      </c>
      <c r="V1992" t="s">
        <v>5212</v>
      </c>
      <c r="W1992" t="s">
        <v>9292</v>
      </c>
      <c r="Y1992" t="s">
        <v>9290</v>
      </c>
      <c r="AA1992" t="s">
        <v>3577</v>
      </c>
      <c r="AB1992" t="s">
        <v>471</v>
      </c>
      <c r="AC1992" s="3" t="str">
        <f>"80237"</f>
        <v>80237</v>
      </c>
      <c r="AD1992" t="s">
        <v>128</v>
      </c>
      <c r="AF1992" s="4">
        <v>17203327761</v>
      </c>
      <c r="AH1992" t="str">
        <f>"522320"</f>
        <v>522320</v>
      </c>
      <c r="AI1992" t="s">
        <v>130</v>
      </c>
      <c r="AJ1992" t="s">
        <v>5213</v>
      </c>
      <c r="AK1992" t="s">
        <v>980</v>
      </c>
      <c r="AL1992" t="s">
        <v>268</v>
      </c>
      <c r="AM1992" t="s">
        <v>7132</v>
      </c>
      <c r="AN1992" t="s">
        <v>5108</v>
      </c>
      <c r="AO1992" t="s">
        <v>3577</v>
      </c>
      <c r="AP1992" t="s">
        <v>471</v>
      </c>
      <c r="AQ1992" s="5">
        <v>80222</v>
      </c>
      <c r="AR1992" t="s">
        <v>128</v>
      </c>
      <c r="AT1992" s="4">
        <v>13037646831</v>
      </c>
      <c r="AV1992" t="s">
        <v>7133</v>
      </c>
      <c r="AW1992" t="s">
        <v>3723</v>
      </c>
      <c r="AX1992" t="s">
        <v>131</v>
      </c>
      <c r="AY1992" t="s">
        <v>131</v>
      </c>
      <c r="AZ1992" t="s">
        <v>131</v>
      </c>
      <c r="BA1992" t="s">
        <v>131</v>
      </c>
      <c r="BB1992" t="s">
        <v>131</v>
      </c>
      <c r="BC1992" t="s">
        <v>131</v>
      </c>
      <c r="BD1992" t="s">
        <v>131</v>
      </c>
      <c r="BE1992" t="s">
        <v>132</v>
      </c>
      <c r="BH1992" t="s">
        <v>16139</v>
      </c>
      <c r="BI1992" t="s">
        <v>131</v>
      </c>
      <c r="BL1992" t="s">
        <v>133</v>
      </c>
      <c r="BN1992" t="s">
        <v>3744</v>
      </c>
      <c r="BO1992" t="s">
        <v>131</v>
      </c>
      <c r="BP1992" t="s">
        <v>134</v>
      </c>
      <c r="BQ1992" t="s">
        <v>131</v>
      </c>
      <c r="BS1992" t="str">
        <f t="shared" si="113"/>
        <v>N/A</v>
      </c>
      <c r="BT1992" t="s">
        <v>135</v>
      </c>
      <c r="BU1992">
        <v>60</v>
      </c>
      <c r="BV1992" t="str">
        <f>"Software Engineer or related occupation"</f>
        <v>Software Engineer or related occupation</v>
      </c>
      <c r="BW1992" t="s">
        <v>135</v>
      </c>
      <c r="BX1992" t="str">
        <f>""</f>
        <v/>
      </c>
      <c r="BY1992" t="str">
        <f>""</f>
        <v/>
      </c>
      <c r="BZ1992" t="str">
        <f>""</f>
        <v/>
      </c>
      <c r="CA1992" s="2" t="s">
        <v>16252</v>
      </c>
      <c r="CB1992" t="s">
        <v>135</v>
      </c>
      <c r="CC1992" t="s">
        <v>167</v>
      </c>
      <c r="CF1992" t="s">
        <v>131</v>
      </c>
      <c r="CH1992" t="str">
        <f>"N/A"</f>
        <v>N/A</v>
      </c>
      <c r="CI1992" t="s">
        <v>135</v>
      </c>
      <c r="CJ1992">
        <v>84</v>
      </c>
      <c r="CK1992" t="s">
        <v>135</v>
      </c>
      <c r="CL1992" t="str">
        <f>""</f>
        <v/>
      </c>
      <c r="CM1992" t="str">
        <f>""</f>
        <v/>
      </c>
      <c r="CN1992" t="str">
        <f>""</f>
        <v/>
      </c>
      <c r="CO1992" s="2" t="s">
        <v>16252</v>
      </c>
      <c r="CP1992" t="str">
        <f>"15-1132.00"</f>
        <v>15-1132.00</v>
      </c>
      <c r="CQ1992" t="s">
        <v>198</v>
      </c>
      <c r="CR1992" t="s">
        <v>286</v>
      </c>
      <c r="CS1992" t="s">
        <v>131</v>
      </c>
      <c r="CU1992" t="s">
        <v>9290</v>
      </c>
      <c r="CW1992" t="s">
        <v>3577</v>
      </c>
      <c r="CX1992" t="s">
        <v>471</v>
      </c>
      <c r="CZ1992" s="3" t="str">
        <f>"80237"</f>
        <v>80237</v>
      </c>
      <c r="DA1992" t="s">
        <v>131</v>
      </c>
      <c r="DB1992" t="str">
        <f>""</f>
        <v/>
      </c>
      <c r="DF1992" t="str">
        <f>""</f>
        <v/>
      </c>
    </row>
    <row r="1993" spans="1:110" ht="15" customHeight="1" x14ac:dyDescent="0.35">
      <c r="A1993" t="s">
        <v>7319</v>
      </c>
      <c r="B1993" t="s">
        <v>138</v>
      </c>
      <c r="C1993" s="1">
        <v>44362</v>
      </c>
      <c r="G1993" s="1">
        <v>44363</v>
      </c>
      <c r="H1993" t="s">
        <v>125</v>
      </c>
      <c r="I1993" t="s">
        <v>5347</v>
      </c>
      <c r="J1993" t="s">
        <v>5348</v>
      </c>
      <c r="L1993" t="s">
        <v>5349</v>
      </c>
      <c r="M1993" t="s">
        <v>5350</v>
      </c>
      <c r="O1993" t="s">
        <v>5351</v>
      </c>
      <c r="P1993" t="s">
        <v>1004</v>
      </c>
      <c r="Q1993" s="3">
        <v>84009</v>
      </c>
      <c r="R1993" t="s">
        <v>128</v>
      </c>
      <c r="T1993" s="4">
        <v>18018039960</v>
      </c>
      <c r="V1993" t="s">
        <v>5352</v>
      </c>
      <c r="W1993" t="s">
        <v>7320</v>
      </c>
      <c r="Y1993" t="s">
        <v>7321</v>
      </c>
      <c r="AA1993" t="s">
        <v>7322</v>
      </c>
      <c r="AB1993" t="s">
        <v>808</v>
      </c>
      <c r="AC1993" s="3" t="str">
        <f>"85173"</f>
        <v>85173</v>
      </c>
      <c r="AD1993" t="s">
        <v>128</v>
      </c>
      <c r="AF1993" s="4">
        <v>15147994061</v>
      </c>
      <c r="AH1993" t="str">
        <f>"2122"</f>
        <v>2122</v>
      </c>
      <c r="AI1993" t="s">
        <v>130</v>
      </c>
      <c r="AJ1993" t="s">
        <v>1074</v>
      </c>
      <c r="AK1993" t="s">
        <v>5353</v>
      </c>
      <c r="AM1993" t="s">
        <v>5354</v>
      </c>
      <c r="AO1993" t="s">
        <v>241</v>
      </c>
      <c r="AQ1993" s="5" t="s">
        <v>155</v>
      </c>
      <c r="AR1993" t="s">
        <v>156</v>
      </c>
      <c r="AS1993" t="s">
        <v>243</v>
      </c>
      <c r="AT1993" s="4">
        <v>16048993585</v>
      </c>
      <c r="AV1993" t="s">
        <v>5355</v>
      </c>
      <c r="AW1993" t="s">
        <v>159</v>
      </c>
      <c r="AX1993" t="s">
        <v>131</v>
      </c>
      <c r="AY1993" t="s">
        <v>131</v>
      </c>
      <c r="AZ1993" t="s">
        <v>131</v>
      </c>
      <c r="BA1993" t="s">
        <v>131</v>
      </c>
      <c r="BB1993" t="s">
        <v>131</v>
      </c>
      <c r="BC1993" t="s">
        <v>131</v>
      </c>
      <c r="BD1993" t="s">
        <v>131</v>
      </c>
      <c r="BE1993" t="s">
        <v>132</v>
      </c>
      <c r="BH1993" t="s">
        <v>7323</v>
      </c>
      <c r="BI1993" t="s">
        <v>135</v>
      </c>
      <c r="BJ1993" t="s">
        <v>7324</v>
      </c>
      <c r="BK1993" t="s">
        <v>7325</v>
      </c>
      <c r="BL1993" t="s">
        <v>188</v>
      </c>
      <c r="BN1993" t="s">
        <v>7326</v>
      </c>
      <c r="BO1993" t="s">
        <v>131</v>
      </c>
      <c r="BP1993" t="s">
        <v>134</v>
      </c>
      <c r="BQ1993" t="s">
        <v>131</v>
      </c>
      <c r="BS1993" t="str">
        <f t="shared" si="113"/>
        <v>N/A</v>
      </c>
      <c r="BT1993" t="s">
        <v>135</v>
      </c>
      <c r="BU1993">
        <v>96</v>
      </c>
      <c r="BV1993" t="str">
        <f>"Any in which req’d experience is gained"</f>
        <v>Any in which req’d experience is gained</v>
      </c>
      <c r="BW1993" t="s">
        <v>135</v>
      </c>
      <c r="BX1993" t="str">
        <f>""</f>
        <v/>
      </c>
      <c r="BY1993" t="str">
        <f>""</f>
        <v/>
      </c>
      <c r="BZ1993" t="str">
        <f>""</f>
        <v/>
      </c>
      <c r="CA1993" t="s">
        <v>7327</v>
      </c>
      <c r="CB1993" t="s">
        <v>135</v>
      </c>
      <c r="CC1993" t="s">
        <v>447</v>
      </c>
      <c r="CE1993" t="s">
        <v>7326</v>
      </c>
      <c r="CF1993" t="s">
        <v>131</v>
      </c>
      <c r="CH1993" t="str">
        <f>"N/A"</f>
        <v>N/A</v>
      </c>
      <c r="CI1993" t="s">
        <v>135</v>
      </c>
      <c r="CJ1993">
        <v>60</v>
      </c>
      <c r="CK1993" t="s">
        <v>135</v>
      </c>
      <c r="CL1993" t="str">
        <f>""</f>
        <v/>
      </c>
      <c r="CM1993" t="str">
        <f>""</f>
        <v/>
      </c>
      <c r="CN1993" t="str">
        <f>""</f>
        <v/>
      </c>
      <c r="CO1993" t="s">
        <v>7327</v>
      </c>
      <c r="CP1993" t="str">
        <f>"19-2042.00"</f>
        <v>19-2042.00</v>
      </c>
      <c r="CQ1993" t="s">
        <v>7328</v>
      </c>
      <c r="CR1993" t="s">
        <v>7329</v>
      </c>
      <c r="CS1993" t="s">
        <v>135</v>
      </c>
      <c r="CT1993" t="s">
        <v>7330</v>
      </c>
      <c r="CU1993" t="s">
        <v>7331</v>
      </c>
      <c r="CW1993" t="s">
        <v>7322</v>
      </c>
      <c r="CX1993" t="s">
        <v>808</v>
      </c>
      <c r="CZ1993" s="3" t="str">
        <f>"85173"</f>
        <v>85173</v>
      </c>
      <c r="DA1993" t="s">
        <v>131</v>
      </c>
      <c r="DB1993" t="str">
        <f>""</f>
        <v/>
      </c>
      <c r="DF1993" t="str">
        <f>""</f>
        <v/>
      </c>
    </row>
    <row r="1994" spans="1:110" ht="15" customHeight="1" x14ac:dyDescent="0.35">
      <c r="A1994" t="s">
        <v>12884</v>
      </c>
      <c r="B1994" t="s">
        <v>138</v>
      </c>
      <c r="C1994" s="1">
        <v>44362</v>
      </c>
      <c r="G1994" s="1">
        <v>44362</v>
      </c>
      <c r="H1994" t="s">
        <v>125</v>
      </c>
      <c r="I1994" t="s">
        <v>6056</v>
      </c>
      <c r="J1994" t="s">
        <v>813</v>
      </c>
      <c r="L1994" t="s">
        <v>6057</v>
      </c>
      <c r="M1994" t="s">
        <v>6058</v>
      </c>
      <c r="N1994" t="s">
        <v>6059</v>
      </c>
      <c r="O1994" t="s">
        <v>2839</v>
      </c>
      <c r="P1994" t="s">
        <v>194</v>
      </c>
      <c r="Q1994" s="3">
        <v>32771</v>
      </c>
      <c r="R1994" t="s">
        <v>128</v>
      </c>
      <c r="T1994" s="4">
        <v>14078348324</v>
      </c>
      <c r="U1994">
        <v>108</v>
      </c>
      <c r="V1994" t="s">
        <v>6060</v>
      </c>
      <c r="W1994" t="s">
        <v>6061</v>
      </c>
      <c r="Y1994" t="s">
        <v>6058</v>
      </c>
      <c r="Z1994" t="s">
        <v>6059</v>
      </c>
      <c r="AA1994" t="s">
        <v>2839</v>
      </c>
      <c r="AB1994" t="s">
        <v>195</v>
      </c>
      <c r="AC1994" s="3" t="str">
        <f>"32771"</f>
        <v>32771</v>
      </c>
      <c r="AD1994" t="s">
        <v>128</v>
      </c>
      <c r="AF1994" s="4">
        <v>14078348324</v>
      </c>
      <c r="AH1994" t="str">
        <f>"541511"</f>
        <v>541511</v>
      </c>
      <c r="AI1994" t="s">
        <v>130</v>
      </c>
      <c r="AJ1994" t="s">
        <v>860</v>
      </c>
      <c r="AK1994" t="s">
        <v>1493</v>
      </c>
      <c r="AM1994" t="s">
        <v>6062</v>
      </c>
      <c r="AO1994" t="s">
        <v>6063</v>
      </c>
      <c r="AP1994" t="s">
        <v>306</v>
      </c>
      <c r="AQ1994" s="5">
        <v>22027</v>
      </c>
      <c r="AR1994" t="s">
        <v>128</v>
      </c>
      <c r="AT1994" s="4">
        <v>17035445611</v>
      </c>
      <c r="AV1994" t="s">
        <v>6064</v>
      </c>
      <c r="AW1994" t="s">
        <v>6065</v>
      </c>
      <c r="AX1994" t="s">
        <v>131</v>
      </c>
      <c r="AY1994" t="s">
        <v>131</v>
      </c>
      <c r="AZ1994" t="s">
        <v>131</v>
      </c>
      <c r="BA1994" t="s">
        <v>131</v>
      </c>
      <c r="BB1994" t="s">
        <v>131</v>
      </c>
      <c r="BC1994" t="s">
        <v>131</v>
      </c>
      <c r="BD1994" t="s">
        <v>131</v>
      </c>
      <c r="BE1994" t="s">
        <v>132</v>
      </c>
      <c r="BH1994" t="s">
        <v>6066</v>
      </c>
      <c r="BI1994" t="s">
        <v>131</v>
      </c>
      <c r="BL1994" t="s">
        <v>133</v>
      </c>
      <c r="BN1994" t="s">
        <v>12885</v>
      </c>
      <c r="BO1994" t="s">
        <v>131</v>
      </c>
      <c r="BP1994" t="s">
        <v>134</v>
      </c>
      <c r="BQ1994" t="s">
        <v>131</v>
      </c>
      <c r="BS1994" t="str">
        <f t="shared" si="113"/>
        <v>N/A</v>
      </c>
      <c r="BT1994" t="s">
        <v>131</v>
      </c>
      <c r="BV1994" t="str">
        <f>""</f>
        <v/>
      </c>
      <c r="BW1994" t="s">
        <v>131</v>
      </c>
      <c r="BX1994" t="str">
        <f>""</f>
        <v/>
      </c>
      <c r="BY1994" t="str">
        <f>""</f>
        <v/>
      </c>
      <c r="BZ1994" t="str">
        <f>""</f>
        <v/>
      </c>
      <c r="CA1994" t="str">
        <f>""</f>
        <v/>
      </c>
      <c r="CB1994" t="s">
        <v>131</v>
      </c>
      <c r="CF1994" t="s">
        <v>131</v>
      </c>
      <c r="CH1994" t="str">
        <f>""</f>
        <v/>
      </c>
      <c r="CI1994" t="s">
        <v>131</v>
      </c>
      <c r="CK1994" t="s">
        <v>131</v>
      </c>
      <c r="CL1994" t="str">
        <f>""</f>
        <v/>
      </c>
      <c r="CM1994" t="str">
        <f>""</f>
        <v/>
      </c>
      <c r="CN1994" t="str">
        <f>""</f>
        <v/>
      </c>
      <c r="CO1994" t="str">
        <f>""</f>
        <v/>
      </c>
      <c r="CP1994" t="str">
        <f>"15-1121.00"</f>
        <v>15-1121.00</v>
      </c>
      <c r="CQ1994" t="s">
        <v>283</v>
      </c>
      <c r="CR1994" t="s">
        <v>460</v>
      </c>
      <c r="CS1994" t="s">
        <v>131</v>
      </c>
      <c r="CU1994" t="s">
        <v>6058</v>
      </c>
      <c r="CW1994" t="s">
        <v>2839</v>
      </c>
      <c r="CX1994" t="s">
        <v>195</v>
      </c>
      <c r="CZ1994" s="3" t="str">
        <f>"32771"</f>
        <v>32771</v>
      </c>
      <c r="DA1994" t="s">
        <v>131</v>
      </c>
      <c r="DB1994" t="str">
        <f>""</f>
        <v/>
      </c>
      <c r="DF1994" t="str">
        <f>""</f>
        <v/>
      </c>
    </row>
    <row r="1995" spans="1:110" ht="15" customHeight="1" x14ac:dyDescent="0.35">
      <c r="A1995" t="s">
        <v>6957</v>
      </c>
      <c r="B1995" t="s">
        <v>138</v>
      </c>
      <c r="C1995" s="1">
        <v>44362</v>
      </c>
      <c r="G1995" s="1">
        <v>44362</v>
      </c>
      <c r="H1995" t="s">
        <v>125</v>
      </c>
      <c r="I1995" t="s">
        <v>1775</v>
      </c>
      <c r="J1995" t="s">
        <v>2703</v>
      </c>
      <c r="L1995" t="s">
        <v>3767</v>
      </c>
      <c r="M1995" t="s">
        <v>6958</v>
      </c>
      <c r="N1995" t="s">
        <v>788</v>
      </c>
      <c r="O1995" t="s">
        <v>6959</v>
      </c>
      <c r="P1995" t="s">
        <v>1217</v>
      </c>
      <c r="Q1995" s="3">
        <v>36207</v>
      </c>
      <c r="R1995" t="s">
        <v>128</v>
      </c>
      <c r="T1995" s="4">
        <v>12562375302</v>
      </c>
      <c r="V1995" t="s">
        <v>6960</v>
      </c>
      <c r="W1995" t="s">
        <v>6961</v>
      </c>
      <c r="Y1995" t="s">
        <v>6958</v>
      </c>
      <c r="Z1995" t="s">
        <v>788</v>
      </c>
      <c r="AA1995" t="s">
        <v>6959</v>
      </c>
      <c r="AB1995" t="s">
        <v>1218</v>
      </c>
      <c r="AC1995" s="3" t="str">
        <f>"36207"</f>
        <v>36207</v>
      </c>
      <c r="AD1995" t="s">
        <v>128</v>
      </c>
      <c r="AF1995" s="4">
        <v>12562375302</v>
      </c>
      <c r="AH1995" t="str">
        <f>"62111"</f>
        <v>62111</v>
      </c>
      <c r="AI1995" t="s">
        <v>130</v>
      </c>
      <c r="AJ1995" t="s">
        <v>6962</v>
      </c>
      <c r="AK1995" t="s">
        <v>6963</v>
      </c>
      <c r="AL1995" t="s">
        <v>2930</v>
      </c>
      <c r="AM1995" t="s">
        <v>6964</v>
      </c>
      <c r="AN1995" t="s">
        <v>2575</v>
      </c>
      <c r="AO1995" t="s">
        <v>6965</v>
      </c>
      <c r="AP1995" t="s">
        <v>1218</v>
      </c>
      <c r="AQ1995" s="5">
        <v>35209</v>
      </c>
      <c r="AR1995" t="s">
        <v>128</v>
      </c>
      <c r="AT1995" s="4">
        <v>12058718084</v>
      </c>
      <c r="AV1995" t="s">
        <v>6966</v>
      </c>
      <c r="AW1995" t="s">
        <v>6967</v>
      </c>
      <c r="AX1995" t="s">
        <v>131</v>
      </c>
      <c r="AY1995" t="s">
        <v>131</v>
      </c>
      <c r="AZ1995" t="s">
        <v>131</v>
      </c>
      <c r="BA1995" t="s">
        <v>131</v>
      </c>
      <c r="BB1995" t="s">
        <v>131</v>
      </c>
      <c r="BC1995" t="s">
        <v>131</v>
      </c>
      <c r="BD1995" t="s">
        <v>131</v>
      </c>
      <c r="BE1995" t="s">
        <v>498</v>
      </c>
      <c r="BH1995" t="s">
        <v>6968</v>
      </c>
      <c r="BI1995" t="s">
        <v>131</v>
      </c>
      <c r="BL1995" t="s">
        <v>658</v>
      </c>
      <c r="BM1995" t="s">
        <v>6969</v>
      </c>
      <c r="BN1995" t="s">
        <v>659</v>
      </c>
      <c r="BO1995" t="s">
        <v>131</v>
      </c>
      <c r="BP1995" t="s">
        <v>134</v>
      </c>
      <c r="BQ1995" t="s">
        <v>131</v>
      </c>
      <c r="BS1995" t="str">
        <f t="shared" si="113"/>
        <v>N/A</v>
      </c>
      <c r="BT1995" t="s">
        <v>131</v>
      </c>
      <c r="BV1995" t="str">
        <f>""</f>
        <v/>
      </c>
      <c r="BW1995" t="s">
        <v>135</v>
      </c>
      <c r="BX1995" t="str">
        <f>"ALABAMA MEDICAL LICENSE ELIGIBLE"</f>
        <v>ALABAMA MEDICAL LICENSE ELIGIBLE</v>
      </c>
      <c r="BY1995" t="str">
        <f>""</f>
        <v/>
      </c>
      <c r="BZ1995" t="str">
        <f>"COMPLETION OF INTERNAL MEDICINE RESIDENCY AND NEPHROLOGY
FELLOWSHIP."</f>
        <v>COMPLETION OF INTERNAL MEDICINE RESIDENCY AND NEPHROLOGY
FELLOWSHIP.</v>
      </c>
      <c r="CA1995" t="str">
        <f>"BOARD CERTIFIED OR BOARD ELIGIBLE IN BOTH INTERNAL MEDICINE AND NEPHROLOGY (WHERE COMPLETION OF INTERNAL MEDICINE RESIDENCY AND NEPHROLOGY FELLOWSHIP EVIDENCES BOARD ELIGIBILITY)"</f>
        <v>BOARD CERTIFIED OR BOARD ELIGIBLE IN BOTH INTERNAL MEDICINE AND NEPHROLOGY (WHERE COMPLETION OF INTERNAL MEDICINE RESIDENCY AND NEPHROLOGY FELLOWSHIP EVIDENCES BOARD ELIGIBILITY)</v>
      </c>
      <c r="CB1995" t="s">
        <v>131</v>
      </c>
      <c r="CF1995" t="s">
        <v>131</v>
      </c>
      <c r="CH1995" t="str">
        <f>""</f>
        <v/>
      </c>
      <c r="CI1995" t="s">
        <v>131</v>
      </c>
      <c r="CK1995" t="s">
        <v>131</v>
      </c>
      <c r="CL1995" t="str">
        <f>""</f>
        <v/>
      </c>
      <c r="CM1995" t="str">
        <f>""</f>
        <v/>
      </c>
      <c r="CN1995" t="str">
        <f>""</f>
        <v/>
      </c>
      <c r="CO1995" t="str">
        <f>""</f>
        <v/>
      </c>
      <c r="CP1995" t="str">
        <f>"29-1069.00"</f>
        <v>29-1069.00</v>
      </c>
      <c r="CQ1995" t="s">
        <v>2963</v>
      </c>
      <c r="CR1995" t="s">
        <v>6970</v>
      </c>
      <c r="CS1995" t="s">
        <v>135</v>
      </c>
      <c r="CT1995" s="2" t="s">
        <v>6971</v>
      </c>
      <c r="CU1995" t="s">
        <v>6972</v>
      </c>
      <c r="CW1995" t="s">
        <v>6959</v>
      </c>
      <c r="CX1995" t="s">
        <v>1218</v>
      </c>
      <c r="CZ1995" s="3" t="str">
        <f>"36207"</f>
        <v>36207</v>
      </c>
      <c r="DA1995" t="s">
        <v>131</v>
      </c>
      <c r="DB1995" t="str">
        <f>""</f>
        <v/>
      </c>
      <c r="DF1995" t="str">
        <f>""</f>
        <v/>
      </c>
    </row>
    <row r="1996" spans="1:110" ht="15" customHeight="1" x14ac:dyDescent="0.35">
      <c r="A1996" t="s">
        <v>16762</v>
      </c>
      <c r="B1996" t="s">
        <v>138</v>
      </c>
      <c r="C1996" s="1">
        <v>44362</v>
      </c>
      <c r="G1996" s="1">
        <v>44370</v>
      </c>
      <c r="H1996" t="s">
        <v>125</v>
      </c>
      <c r="I1996" t="s">
        <v>7291</v>
      </c>
      <c r="J1996" t="s">
        <v>7292</v>
      </c>
      <c r="L1996" t="s">
        <v>7293</v>
      </c>
      <c r="M1996" t="s">
        <v>517</v>
      </c>
      <c r="N1996" t="s">
        <v>7294</v>
      </c>
      <c r="O1996" t="s">
        <v>2145</v>
      </c>
      <c r="P1996" t="s">
        <v>127</v>
      </c>
      <c r="Q1996" s="3">
        <v>10018</v>
      </c>
      <c r="R1996" t="s">
        <v>128</v>
      </c>
      <c r="T1996" s="4">
        <v>16468616942</v>
      </c>
      <c r="V1996" t="s">
        <v>7295</v>
      </c>
      <c r="W1996" t="s">
        <v>9204</v>
      </c>
      <c r="Y1996" t="s">
        <v>9205</v>
      </c>
      <c r="Z1996" t="s">
        <v>6322</v>
      </c>
      <c r="AA1996" t="s">
        <v>2145</v>
      </c>
      <c r="AB1996" t="s">
        <v>129</v>
      </c>
      <c r="AC1996" s="3" t="str">
        <f>"10167"</f>
        <v>10167</v>
      </c>
      <c r="AD1996" t="s">
        <v>128</v>
      </c>
      <c r="AF1996" s="4">
        <v>12125615000</v>
      </c>
      <c r="AH1996" t="str">
        <f>"523110"</f>
        <v>523110</v>
      </c>
      <c r="AI1996" t="s">
        <v>130</v>
      </c>
      <c r="AJ1996" t="s">
        <v>7291</v>
      </c>
      <c r="AK1996" t="s">
        <v>7292</v>
      </c>
      <c r="AM1996" t="s">
        <v>514</v>
      </c>
      <c r="AN1996" t="s">
        <v>515</v>
      </c>
      <c r="AO1996" t="s">
        <v>129</v>
      </c>
      <c r="AP1996" t="s">
        <v>129</v>
      </c>
      <c r="AQ1996" s="5">
        <v>10018</v>
      </c>
      <c r="AR1996" t="s">
        <v>128</v>
      </c>
      <c r="AT1996" s="4">
        <v>16468616942</v>
      </c>
      <c r="AV1996" t="s">
        <v>7295</v>
      </c>
      <c r="AW1996" t="s">
        <v>517</v>
      </c>
      <c r="AX1996" t="s">
        <v>131</v>
      </c>
      <c r="AY1996" t="s">
        <v>131</v>
      </c>
      <c r="AZ1996" t="s">
        <v>131</v>
      </c>
      <c r="BA1996" t="s">
        <v>131</v>
      </c>
      <c r="BB1996" t="s">
        <v>131</v>
      </c>
      <c r="BC1996" t="s">
        <v>131</v>
      </c>
      <c r="BD1996" t="s">
        <v>131</v>
      </c>
      <c r="BE1996" t="s">
        <v>132</v>
      </c>
      <c r="BH1996" t="s">
        <v>16763</v>
      </c>
      <c r="BI1996" t="s">
        <v>131</v>
      </c>
      <c r="BL1996" t="s">
        <v>188</v>
      </c>
      <c r="BN1996" t="s">
        <v>16764</v>
      </c>
      <c r="BO1996" t="s">
        <v>131</v>
      </c>
      <c r="BP1996" t="s">
        <v>134</v>
      </c>
      <c r="BQ1996" t="s">
        <v>131</v>
      </c>
      <c r="BS1996" t="str">
        <f t="shared" si="113"/>
        <v>N/A</v>
      </c>
      <c r="BT1996" t="s">
        <v>135</v>
      </c>
      <c r="BU1996">
        <v>6</v>
      </c>
      <c r="BV1996" t="str">
        <f>"Any meeting the requirements of F.b.5.a"</f>
        <v>Any meeting the requirements of F.b.5.a</v>
      </c>
      <c r="BW1996" t="s">
        <v>135</v>
      </c>
      <c r="BX1996" t="str">
        <f>""</f>
        <v/>
      </c>
      <c r="BY1996" t="str">
        <f>""</f>
        <v/>
      </c>
      <c r="BZ1996" t="str">
        <f>""</f>
        <v/>
      </c>
      <c r="CA1996" t="s">
        <v>16765</v>
      </c>
      <c r="CB1996" t="s">
        <v>131</v>
      </c>
      <c r="CF1996" t="s">
        <v>131</v>
      </c>
      <c r="CH1996" t="str">
        <f>""</f>
        <v/>
      </c>
      <c r="CI1996" t="s">
        <v>131</v>
      </c>
      <c r="CK1996" t="s">
        <v>131</v>
      </c>
      <c r="CL1996" t="str">
        <f>""</f>
        <v/>
      </c>
      <c r="CM1996" t="str">
        <f>""</f>
        <v/>
      </c>
      <c r="CN1996" t="str">
        <f>""</f>
        <v/>
      </c>
      <c r="CO1996" t="str">
        <f>""</f>
        <v/>
      </c>
      <c r="CP1996" t="str">
        <f>"15-1122.00"</f>
        <v>15-1122.00</v>
      </c>
      <c r="CQ1996" t="s">
        <v>711</v>
      </c>
      <c r="CR1996" t="s">
        <v>16766</v>
      </c>
      <c r="CS1996" t="s">
        <v>131</v>
      </c>
      <c r="CU1996" t="s">
        <v>9204</v>
      </c>
      <c r="CV1996" t="s">
        <v>9210</v>
      </c>
      <c r="CW1996" t="s">
        <v>2145</v>
      </c>
      <c r="CX1996" t="s">
        <v>129</v>
      </c>
      <c r="CZ1996" s="3" t="str">
        <f>"10167"</f>
        <v>10167</v>
      </c>
      <c r="DA1996" t="s">
        <v>131</v>
      </c>
      <c r="DB1996" t="str">
        <f>""</f>
        <v/>
      </c>
      <c r="DF1996" t="str">
        <f>""</f>
        <v/>
      </c>
    </row>
    <row r="1997" spans="1:110" ht="15" customHeight="1" x14ac:dyDescent="0.35">
      <c r="A1997" t="s">
        <v>19076</v>
      </c>
      <c r="B1997" t="s">
        <v>138</v>
      </c>
      <c r="C1997" s="1">
        <v>44362</v>
      </c>
      <c r="G1997" s="1">
        <v>44362</v>
      </c>
      <c r="H1997" t="s">
        <v>125</v>
      </c>
      <c r="I1997" t="s">
        <v>19077</v>
      </c>
      <c r="J1997" t="s">
        <v>3411</v>
      </c>
      <c r="L1997" t="s">
        <v>349</v>
      </c>
      <c r="M1997" t="s">
        <v>8814</v>
      </c>
      <c r="N1997" t="s">
        <v>19078</v>
      </c>
      <c r="O1997" t="s">
        <v>476</v>
      </c>
      <c r="P1997" t="s">
        <v>178</v>
      </c>
      <c r="Q1997" s="3">
        <v>90071</v>
      </c>
      <c r="R1997" t="s">
        <v>128</v>
      </c>
      <c r="T1997" s="4">
        <v>12132286970</v>
      </c>
      <c r="V1997" t="s">
        <v>19079</v>
      </c>
      <c r="W1997" t="s">
        <v>8814</v>
      </c>
      <c r="Y1997" t="s">
        <v>8815</v>
      </c>
      <c r="Z1997" t="s">
        <v>3135</v>
      </c>
      <c r="AA1997" t="s">
        <v>1102</v>
      </c>
      <c r="AB1997" t="s">
        <v>511</v>
      </c>
      <c r="AC1997" s="3" t="str">
        <f>"48226"</f>
        <v>48226</v>
      </c>
      <c r="AD1997" t="s">
        <v>128</v>
      </c>
      <c r="AE1997" t="s">
        <v>507</v>
      </c>
      <c r="AF1997" s="4">
        <v>13139833600</v>
      </c>
      <c r="AH1997" t="str">
        <f>"541"</f>
        <v>541</v>
      </c>
      <c r="AI1997" t="s">
        <v>130</v>
      </c>
      <c r="AJ1997" t="s">
        <v>8816</v>
      </c>
      <c r="AK1997" t="s">
        <v>7031</v>
      </c>
      <c r="AM1997" t="s">
        <v>8817</v>
      </c>
      <c r="AN1997" t="s">
        <v>5378</v>
      </c>
      <c r="AO1997" t="s">
        <v>8818</v>
      </c>
      <c r="AP1997" t="s">
        <v>377</v>
      </c>
      <c r="AQ1997" s="5">
        <v>2632</v>
      </c>
      <c r="AR1997" t="s">
        <v>128</v>
      </c>
      <c r="AT1997" s="4">
        <v>15087901181</v>
      </c>
      <c r="AV1997" t="s">
        <v>8819</v>
      </c>
      <c r="AW1997" t="s">
        <v>8820</v>
      </c>
      <c r="AX1997" t="s">
        <v>131</v>
      </c>
      <c r="AY1997" t="s">
        <v>131</v>
      </c>
      <c r="AZ1997" t="s">
        <v>131</v>
      </c>
      <c r="BA1997" t="s">
        <v>131</v>
      </c>
      <c r="BB1997" t="s">
        <v>131</v>
      </c>
      <c r="BC1997" t="s">
        <v>131</v>
      </c>
      <c r="BD1997" t="s">
        <v>131</v>
      </c>
      <c r="BE1997" t="s">
        <v>132</v>
      </c>
      <c r="BH1997" t="s">
        <v>8821</v>
      </c>
      <c r="BI1997" t="s">
        <v>131</v>
      </c>
      <c r="BL1997" t="s">
        <v>133</v>
      </c>
      <c r="BN1997" t="s">
        <v>8822</v>
      </c>
      <c r="BO1997" t="s">
        <v>131</v>
      </c>
      <c r="BP1997" t="s">
        <v>134</v>
      </c>
      <c r="BQ1997" t="s">
        <v>131</v>
      </c>
      <c r="BS1997" t="str">
        <f t="shared" si="113"/>
        <v>N/A</v>
      </c>
      <c r="BT1997" t="s">
        <v>131</v>
      </c>
      <c r="BV1997" t="str">
        <f>""</f>
        <v/>
      </c>
      <c r="BW1997" t="s">
        <v>131</v>
      </c>
      <c r="BX1997" t="str">
        <f>""</f>
        <v/>
      </c>
      <c r="BY1997" t="str">
        <f>""</f>
        <v/>
      </c>
      <c r="BZ1997" t="str">
        <f>""</f>
        <v/>
      </c>
      <c r="CA1997" t="str">
        <f>""</f>
        <v/>
      </c>
      <c r="CB1997" t="s">
        <v>131</v>
      </c>
      <c r="CF1997" t="s">
        <v>131</v>
      </c>
      <c r="CH1997" t="str">
        <f>""</f>
        <v/>
      </c>
      <c r="CI1997" t="s">
        <v>131</v>
      </c>
      <c r="CK1997" t="s">
        <v>131</v>
      </c>
      <c r="CL1997" t="str">
        <f>""</f>
        <v/>
      </c>
      <c r="CM1997" t="str">
        <f>""</f>
        <v/>
      </c>
      <c r="CN1997" t="str">
        <f>""</f>
        <v/>
      </c>
      <c r="CO1997" t="str">
        <f>""</f>
        <v/>
      </c>
      <c r="CP1997" t="str">
        <f>"17-1011.00"</f>
        <v>17-1011.00</v>
      </c>
      <c r="CQ1997" t="s">
        <v>2670</v>
      </c>
      <c r="CR1997" t="s">
        <v>8823</v>
      </c>
      <c r="CS1997" t="s">
        <v>135</v>
      </c>
      <c r="CT1997" t="s">
        <v>8824</v>
      </c>
      <c r="CU1997" t="s">
        <v>8815</v>
      </c>
      <c r="CV1997" t="s">
        <v>3135</v>
      </c>
      <c r="CW1997" t="s">
        <v>1152</v>
      </c>
      <c r="CX1997" t="s">
        <v>511</v>
      </c>
      <c r="CZ1997" s="3" t="str">
        <f>"48226"</f>
        <v>48226</v>
      </c>
      <c r="DA1997" t="s">
        <v>131</v>
      </c>
      <c r="DB1997" t="str">
        <f>""</f>
        <v/>
      </c>
      <c r="DF1997" t="str">
        <f>""</f>
        <v/>
      </c>
    </row>
    <row r="1998" spans="1:110" ht="15" customHeight="1" x14ac:dyDescent="0.35">
      <c r="A1998" t="s">
        <v>12802</v>
      </c>
      <c r="B1998" t="s">
        <v>138</v>
      </c>
      <c r="C1998" s="1">
        <v>44362</v>
      </c>
      <c r="G1998" s="1">
        <v>44362</v>
      </c>
      <c r="H1998" t="s">
        <v>125</v>
      </c>
      <c r="I1998" t="s">
        <v>4458</v>
      </c>
      <c r="J1998" t="s">
        <v>1025</v>
      </c>
      <c r="K1998" t="s">
        <v>2872</v>
      </c>
      <c r="L1998" t="s">
        <v>130</v>
      </c>
      <c r="M1998" t="s">
        <v>12803</v>
      </c>
      <c r="N1998">
        <v>200</v>
      </c>
      <c r="O1998" t="s">
        <v>981</v>
      </c>
      <c r="P1998" t="s">
        <v>507</v>
      </c>
      <c r="Q1998" s="3">
        <v>48154</v>
      </c>
      <c r="R1998" t="s">
        <v>128</v>
      </c>
      <c r="T1998" s="4">
        <v>12483548440</v>
      </c>
      <c r="U1998">
        <v>206</v>
      </c>
      <c r="V1998" t="s">
        <v>4459</v>
      </c>
      <c r="W1998" t="s">
        <v>12804</v>
      </c>
      <c r="Y1998" t="s">
        <v>12805</v>
      </c>
      <c r="AA1998" t="s">
        <v>6236</v>
      </c>
      <c r="AB1998" t="s">
        <v>511</v>
      </c>
      <c r="AC1998" s="3" t="str">
        <f>"48309"</f>
        <v>48309</v>
      </c>
      <c r="AD1998" t="s">
        <v>128</v>
      </c>
      <c r="AF1998" s="4">
        <v>2485373133</v>
      </c>
      <c r="AH1998" t="str">
        <f>"3327"</f>
        <v>3327</v>
      </c>
      <c r="AI1998" t="s">
        <v>130</v>
      </c>
      <c r="AJ1998" t="s">
        <v>4458</v>
      </c>
      <c r="AK1998" t="s">
        <v>1025</v>
      </c>
      <c r="AL1998" t="s">
        <v>1624</v>
      </c>
      <c r="AM1998" t="s">
        <v>4460</v>
      </c>
      <c r="AN1998" t="s">
        <v>3384</v>
      </c>
      <c r="AO1998" t="s">
        <v>4461</v>
      </c>
      <c r="AP1998" t="s">
        <v>511</v>
      </c>
      <c r="AQ1998" s="5">
        <v>48154</v>
      </c>
      <c r="AR1998" t="s">
        <v>128</v>
      </c>
      <c r="AT1998" s="4">
        <v>12483548440</v>
      </c>
      <c r="AU1998">
        <v>206</v>
      </c>
      <c r="AV1998" t="s">
        <v>4462</v>
      </c>
      <c r="AW1998" t="s">
        <v>4463</v>
      </c>
      <c r="AX1998" t="s">
        <v>131</v>
      </c>
      <c r="AY1998" t="s">
        <v>131</v>
      </c>
      <c r="AZ1998" t="s">
        <v>131</v>
      </c>
      <c r="BA1998" t="s">
        <v>131</v>
      </c>
      <c r="BB1998" t="s">
        <v>131</v>
      </c>
      <c r="BC1998" t="s">
        <v>131</v>
      </c>
      <c r="BD1998" t="s">
        <v>131</v>
      </c>
      <c r="BE1998" t="s">
        <v>132</v>
      </c>
      <c r="BH1998" t="s">
        <v>12806</v>
      </c>
      <c r="BI1998" t="s">
        <v>131</v>
      </c>
      <c r="BL1998" t="s">
        <v>133</v>
      </c>
      <c r="BN1998" t="s">
        <v>12807</v>
      </c>
      <c r="BO1998" t="s">
        <v>131</v>
      </c>
      <c r="BP1998" t="s">
        <v>134</v>
      </c>
      <c r="BQ1998" t="s">
        <v>131</v>
      </c>
      <c r="BS1998" t="str">
        <f t="shared" si="113"/>
        <v>N/A</v>
      </c>
      <c r="BT1998" t="s">
        <v>135</v>
      </c>
      <c r="BU1998">
        <v>12</v>
      </c>
      <c r="BV1998" t="str">
        <f>"Job offered or as Project Manager"</f>
        <v>Job offered or as Project Manager</v>
      </c>
      <c r="BW1998" t="s">
        <v>135</v>
      </c>
      <c r="BX1998" t="str">
        <f>""</f>
        <v/>
      </c>
      <c r="BY1998" t="str">
        <f>""</f>
        <v/>
      </c>
      <c r="BZ1998" t="str">
        <f>""</f>
        <v/>
      </c>
      <c r="CA1998" t="s">
        <v>12808</v>
      </c>
      <c r="CB1998" t="s">
        <v>131</v>
      </c>
      <c r="CF1998" t="s">
        <v>131</v>
      </c>
      <c r="CH1998" t="str">
        <f>""</f>
        <v/>
      </c>
      <c r="CI1998" t="s">
        <v>131</v>
      </c>
      <c r="CK1998" t="s">
        <v>131</v>
      </c>
      <c r="CL1998" t="str">
        <f>""</f>
        <v/>
      </c>
      <c r="CM1998" t="str">
        <f>""</f>
        <v/>
      </c>
      <c r="CN1998" t="str">
        <f>""</f>
        <v/>
      </c>
      <c r="CO1998" t="str">
        <f>""</f>
        <v/>
      </c>
      <c r="CP1998" t="str">
        <f>"11-9199.00"</f>
        <v>11-9199.00</v>
      </c>
      <c r="CQ1998" t="s">
        <v>2827</v>
      </c>
      <c r="CS1998" t="s">
        <v>135</v>
      </c>
      <c r="CT1998" t="s">
        <v>12809</v>
      </c>
      <c r="CU1998" t="s">
        <v>12805</v>
      </c>
      <c r="CW1998" t="s">
        <v>6236</v>
      </c>
      <c r="CX1998" t="s">
        <v>511</v>
      </c>
      <c r="CZ1998" s="3" t="str">
        <f>"48309"</f>
        <v>48309</v>
      </c>
      <c r="DA1998" t="s">
        <v>131</v>
      </c>
      <c r="DB1998" t="str">
        <f>""</f>
        <v/>
      </c>
      <c r="DF1998" t="str">
        <f>""</f>
        <v/>
      </c>
    </row>
    <row r="1999" spans="1:110" ht="15" customHeight="1" x14ac:dyDescent="0.35">
      <c r="A1999" t="s">
        <v>13599</v>
      </c>
      <c r="B1999" t="s">
        <v>138</v>
      </c>
      <c r="C1999" s="1">
        <v>44362</v>
      </c>
      <c r="G1999" s="1">
        <v>44363</v>
      </c>
      <c r="H1999" t="s">
        <v>125</v>
      </c>
      <c r="I1999" t="s">
        <v>13600</v>
      </c>
      <c r="J1999" t="s">
        <v>592</v>
      </c>
      <c r="L1999" t="s">
        <v>13601</v>
      </c>
      <c r="M1999" t="s">
        <v>13602</v>
      </c>
      <c r="O1999" t="s">
        <v>376</v>
      </c>
      <c r="P1999" t="s">
        <v>720</v>
      </c>
      <c r="Q1999" s="3">
        <v>2111</v>
      </c>
      <c r="R1999" t="s">
        <v>128</v>
      </c>
      <c r="T1999" s="4">
        <v>18574535784</v>
      </c>
      <c r="V1999" t="s">
        <v>13603</v>
      </c>
      <c r="W1999" t="s">
        <v>13604</v>
      </c>
      <c r="Y1999" t="s">
        <v>13602</v>
      </c>
      <c r="AA1999" t="s">
        <v>376</v>
      </c>
      <c r="AB1999" t="s">
        <v>377</v>
      </c>
      <c r="AC1999" s="3" t="str">
        <f>"02111"</f>
        <v>02111</v>
      </c>
      <c r="AD1999" t="s">
        <v>128</v>
      </c>
      <c r="AF1999" s="4">
        <v>18574535700</v>
      </c>
      <c r="AH1999" t="str">
        <f>"511210"</f>
        <v>511210</v>
      </c>
      <c r="AI1999" t="s">
        <v>130</v>
      </c>
      <c r="AJ1999" t="s">
        <v>3573</v>
      </c>
      <c r="AK1999" t="s">
        <v>1445</v>
      </c>
      <c r="AL1999" t="s">
        <v>2930</v>
      </c>
      <c r="AM1999" t="s">
        <v>3574</v>
      </c>
      <c r="AN1999" t="s">
        <v>1753</v>
      </c>
      <c r="AO1999" t="s">
        <v>376</v>
      </c>
      <c r="AP1999" t="s">
        <v>377</v>
      </c>
      <c r="AQ1999" s="5">
        <v>2108</v>
      </c>
      <c r="AR1999" t="s">
        <v>128</v>
      </c>
      <c r="AS1999" t="s">
        <v>720</v>
      </c>
      <c r="AT1999" s="4">
        <v>16177424444</v>
      </c>
      <c r="AU1999">
        <v>104</v>
      </c>
      <c r="AV1999" t="s">
        <v>3575</v>
      </c>
      <c r="AW1999" t="s">
        <v>3576</v>
      </c>
      <c r="AX1999" t="s">
        <v>131</v>
      </c>
      <c r="AY1999" t="s">
        <v>131</v>
      </c>
      <c r="AZ1999" t="s">
        <v>131</v>
      </c>
      <c r="BA1999" t="s">
        <v>131</v>
      </c>
      <c r="BB1999" t="s">
        <v>131</v>
      </c>
      <c r="BC1999" t="s">
        <v>131</v>
      </c>
      <c r="BD1999" t="s">
        <v>131</v>
      </c>
      <c r="BE1999" t="s">
        <v>132</v>
      </c>
      <c r="BH1999" t="s">
        <v>3815</v>
      </c>
      <c r="BI1999" t="s">
        <v>135</v>
      </c>
      <c r="BJ1999" t="s">
        <v>597</v>
      </c>
      <c r="BK1999" t="s">
        <v>198</v>
      </c>
      <c r="BL1999" t="s">
        <v>188</v>
      </c>
      <c r="BN1999" t="s">
        <v>13605</v>
      </c>
      <c r="BO1999" t="s">
        <v>131</v>
      </c>
      <c r="BP1999" t="s">
        <v>134</v>
      </c>
      <c r="BQ1999" t="s">
        <v>131</v>
      </c>
      <c r="BS1999" t="str">
        <f t="shared" si="113"/>
        <v>N/A</v>
      </c>
      <c r="BT1999" t="s">
        <v>135</v>
      </c>
      <c r="BU1999">
        <v>24</v>
      </c>
      <c r="BV1999" t="str">
        <f>"Work experience in the job offered or related fields of Java development, with fundamentals in design patterns, security and database mapping; and front-end development. "</f>
        <v xml:space="preserve">Work experience in the job offered or related fields of Java development, with fundamentals in design patterns, security and database mapping; and front-end development. </v>
      </c>
      <c r="BW1999" t="s">
        <v>135</v>
      </c>
      <c r="BX1999" t="str">
        <f>""</f>
        <v/>
      </c>
      <c r="BY1999" t="str">
        <f>""</f>
        <v/>
      </c>
      <c r="BZ1999" t="str">
        <f>""</f>
        <v/>
      </c>
      <c r="CA1999" t="s">
        <v>13606</v>
      </c>
      <c r="CB1999" t="s">
        <v>135</v>
      </c>
      <c r="CC1999" t="s">
        <v>133</v>
      </c>
      <c r="CE1999" t="s">
        <v>13605</v>
      </c>
      <c r="CF1999" t="s">
        <v>131</v>
      </c>
      <c r="CH1999" t="str">
        <f>"N/A"</f>
        <v>N/A</v>
      </c>
      <c r="CI1999" t="s">
        <v>135</v>
      </c>
      <c r="CJ1999">
        <v>60</v>
      </c>
      <c r="CK1999" t="s">
        <v>135</v>
      </c>
      <c r="CL1999" t="str">
        <f>""</f>
        <v/>
      </c>
      <c r="CM1999" t="str">
        <f>""</f>
        <v/>
      </c>
      <c r="CN1999" t="str">
        <f>""</f>
        <v/>
      </c>
      <c r="CO1999" t="s">
        <v>13607</v>
      </c>
      <c r="CP1999" t="str">
        <f>"15-1132.00"</f>
        <v>15-1132.00</v>
      </c>
      <c r="CQ1999" t="s">
        <v>198</v>
      </c>
      <c r="CR1999" t="s">
        <v>1285</v>
      </c>
      <c r="CS1999" t="s">
        <v>131</v>
      </c>
      <c r="CU1999" t="s">
        <v>13602</v>
      </c>
      <c r="CW1999" t="s">
        <v>376</v>
      </c>
      <c r="CX1999" t="s">
        <v>377</v>
      </c>
      <c r="CZ1999" s="3" t="str">
        <f>"02111"</f>
        <v>02111</v>
      </c>
      <c r="DA1999" t="s">
        <v>131</v>
      </c>
      <c r="DB1999" t="str">
        <f>""</f>
        <v/>
      </c>
      <c r="DF1999" t="str">
        <f>""</f>
        <v/>
      </c>
    </row>
    <row r="2000" spans="1:110" ht="15" customHeight="1" x14ac:dyDescent="0.35">
      <c r="A2000" t="s">
        <v>20080</v>
      </c>
      <c r="B2000" t="s">
        <v>138</v>
      </c>
      <c r="C2000" s="1">
        <v>44362</v>
      </c>
      <c r="G2000" s="1">
        <v>44370</v>
      </c>
      <c r="H2000" t="s">
        <v>125</v>
      </c>
      <c r="I2000" t="s">
        <v>7291</v>
      </c>
      <c r="J2000" t="s">
        <v>7292</v>
      </c>
      <c r="L2000" t="s">
        <v>7293</v>
      </c>
      <c r="M2000" t="s">
        <v>517</v>
      </c>
      <c r="N2000" t="s">
        <v>7294</v>
      </c>
      <c r="O2000" t="s">
        <v>2145</v>
      </c>
      <c r="P2000" t="s">
        <v>127</v>
      </c>
      <c r="Q2000" s="3">
        <v>10018</v>
      </c>
      <c r="R2000" t="s">
        <v>128</v>
      </c>
      <c r="T2000" s="4">
        <v>16468616942</v>
      </c>
      <c r="V2000" t="s">
        <v>7295</v>
      </c>
      <c r="W2000" t="s">
        <v>7296</v>
      </c>
      <c r="Y2000" t="s">
        <v>7297</v>
      </c>
      <c r="Z2000" t="s">
        <v>1575</v>
      </c>
      <c r="AA2000" t="s">
        <v>2145</v>
      </c>
      <c r="AB2000" t="s">
        <v>129</v>
      </c>
      <c r="AC2000" s="3" t="str">
        <f>"10017"</f>
        <v>10017</v>
      </c>
      <c r="AD2000" t="s">
        <v>128</v>
      </c>
      <c r="AF2000" s="4">
        <v>12124151882</v>
      </c>
      <c r="AH2000" t="str">
        <f>"54161"</f>
        <v>54161</v>
      </c>
      <c r="AI2000" t="s">
        <v>130</v>
      </c>
      <c r="AJ2000" t="s">
        <v>7291</v>
      </c>
      <c r="AK2000" t="s">
        <v>7292</v>
      </c>
      <c r="AM2000" t="s">
        <v>514</v>
      </c>
      <c r="AN2000" t="s">
        <v>515</v>
      </c>
      <c r="AO2000" t="s">
        <v>129</v>
      </c>
      <c r="AP2000" t="s">
        <v>129</v>
      </c>
      <c r="AQ2000" s="5">
        <v>10018</v>
      </c>
      <c r="AR2000" t="s">
        <v>128</v>
      </c>
      <c r="AT2000" s="4">
        <v>16468616942</v>
      </c>
      <c r="AV2000" t="s">
        <v>7295</v>
      </c>
      <c r="AW2000" t="s">
        <v>517</v>
      </c>
      <c r="AX2000" t="s">
        <v>131</v>
      </c>
      <c r="AY2000" t="s">
        <v>131</v>
      </c>
      <c r="AZ2000" t="s">
        <v>131</v>
      </c>
      <c r="BA2000" t="s">
        <v>131</v>
      </c>
      <c r="BB2000" t="s">
        <v>131</v>
      </c>
      <c r="BC2000" t="s">
        <v>131</v>
      </c>
      <c r="BD2000" t="s">
        <v>131</v>
      </c>
      <c r="BE2000" t="s">
        <v>132</v>
      </c>
      <c r="BH2000" t="s">
        <v>11097</v>
      </c>
      <c r="BI2000" t="s">
        <v>131</v>
      </c>
      <c r="BL2000" t="s">
        <v>133</v>
      </c>
      <c r="BN2000" t="s">
        <v>20081</v>
      </c>
      <c r="BO2000" t="s">
        <v>131</v>
      </c>
      <c r="BP2000" t="s">
        <v>134</v>
      </c>
      <c r="BQ2000" t="s">
        <v>131</v>
      </c>
      <c r="BS2000" t="str">
        <f t="shared" si="113"/>
        <v>N/A</v>
      </c>
      <c r="BT2000" t="s">
        <v>135</v>
      </c>
      <c r="BU2000">
        <v>36</v>
      </c>
      <c r="BV2000" t="str">
        <f>"Any meeting the requirements of F.b.5.a"</f>
        <v>Any meeting the requirements of F.b.5.a</v>
      </c>
      <c r="BW2000" t="s">
        <v>135</v>
      </c>
      <c r="BX2000" t="str">
        <f>""</f>
        <v/>
      </c>
      <c r="BY2000" t="str">
        <f>""</f>
        <v/>
      </c>
      <c r="BZ2000" t="str">
        <f>""</f>
        <v/>
      </c>
      <c r="CA2000" t="s">
        <v>11098</v>
      </c>
      <c r="CB2000" t="s">
        <v>131</v>
      </c>
      <c r="CF2000" t="s">
        <v>131</v>
      </c>
      <c r="CH2000" t="str">
        <f>""</f>
        <v/>
      </c>
      <c r="CI2000" t="s">
        <v>131</v>
      </c>
      <c r="CK2000" t="s">
        <v>131</v>
      </c>
      <c r="CL2000" t="str">
        <f>""</f>
        <v/>
      </c>
      <c r="CM2000" t="str">
        <f>""</f>
        <v/>
      </c>
      <c r="CN2000" t="str">
        <f>""</f>
        <v/>
      </c>
      <c r="CO2000" t="str">
        <f>""</f>
        <v/>
      </c>
      <c r="CP2000" t="str">
        <f>"15-2031.00"</f>
        <v>15-2031.00</v>
      </c>
      <c r="CQ2000" t="s">
        <v>887</v>
      </c>
      <c r="CR2000" t="s">
        <v>11099</v>
      </c>
      <c r="CS2000" t="s">
        <v>131</v>
      </c>
      <c r="CU2000" t="s">
        <v>7296</v>
      </c>
      <c r="CV2000" t="s">
        <v>11100</v>
      </c>
      <c r="CW2000" t="s">
        <v>3883</v>
      </c>
      <c r="CX2000" t="s">
        <v>129</v>
      </c>
      <c r="CZ2000" s="3" t="str">
        <f>"10017"</f>
        <v>10017</v>
      </c>
      <c r="DA2000" t="s">
        <v>131</v>
      </c>
      <c r="DB2000" t="str">
        <f>""</f>
        <v/>
      </c>
      <c r="DF2000" t="str">
        <f>""</f>
        <v/>
      </c>
    </row>
    <row r="2001" spans="1:110" ht="15" customHeight="1" x14ac:dyDescent="0.35">
      <c r="A2001" t="s">
        <v>20156</v>
      </c>
      <c r="B2001" t="s">
        <v>138</v>
      </c>
      <c r="C2001" s="1">
        <v>44362</v>
      </c>
      <c r="G2001" s="1">
        <v>44370</v>
      </c>
      <c r="H2001" t="s">
        <v>125</v>
      </c>
      <c r="I2001" t="s">
        <v>7291</v>
      </c>
      <c r="J2001" t="s">
        <v>7292</v>
      </c>
      <c r="L2001" t="s">
        <v>7293</v>
      </c>
      <c r="M2001" t="s">
        <v>517</v>
      </c>
      <c r="N2001" t="s">
        <v>7294</v>
      </c>
      <c r="O2001" t="s">
        <v>2145</v>
      </c>
      <c r="P2001" t="s">
        <v>127</v>
      </c>
      <c r="Q2001" s="3">
        <v>10018</v>
      </c>
      <c r="R2001" t="s">
        <v>128</v>
      </c>
      <c r="T2001" s="4">
        <v>16468616942</v>
      </c>
      <c r="V2001" t="s">
        <v>7295</v>
      </c>
      <c r="W2001" t="s">
        <v>7296</v>
      </c>
      <c r="Y2001" t="s">
        <v>7297</v>
      </c>
      <c r="Z2001" t="s">
        <v>10131</v>
      </c>
      <c r="AA2001" t="s">
        <v>2145</v>
      </c>
      <c r="AB2001" t="s">
        <v>129</v>
      </c>
      <c r="AC2001" s="3" t="str">
        <f>"10017"</f>
        <v>10017</v>
      </c>
      <c r="AD2001" t="s">
        <v>128</v>
      </c>
      <c r="AF2001" s="4">
        <v>12124151882</v>
      </c>
      <c r="AH2001" t="str">
        <f>"54161"</f>
        <v>54161</v>
      </c>
      <c r="AI2001" t="s">
        <v>130</v>
      </c>
      <c r="AJ2001" t="s">
        <v>7291</v>
      </c>
      <c r="AK2001" t="s">
        <v>7292</v>
      </c>
      <c r="AM2001" t="s">
        <v>514</v>
      </c>
      <c r="AN2001" t="s">
        <v>515</v>
      </c>
      <c r="AO2001" t="s">
        <v>2145</v>
      </c>
      <c r="AP2001" t="s">
        <v>129</v>
      </c>
      <c r="AQ2001" s="5">
        <v>10018</v>
      </c>
      <c r="AR2001" t="s">
        <v>128</v>
      </c>
      <c r="AT2001" s="4">
        <v>16468616942</v>
      </c>
      <c r="AV2001" t="s">
        <v>7295</v>
      </c>
      <c r="AW2001" t="s">
        <v>517</v>
      </c>
      <c r="AX2001" t="s">
        <v>131</v>
      </c>
      <c r="AY2001" t="s">
        <v>131</v>
      </c>
      <c r="AZ2001" t="s">
        <v>131</v>
      </c>
      <c r="BA2001" t="s">
        <v>131</v>
      </c>
      <c r="BB2001" t="s">
        <v>131</v>
      </c>
      <c r="BC2001" t="s">
        <v>131</v>
      </c>
      <c r="BD2001" t="s">
        <v>131</v>
      </c>
      <c r="BE2001" t="s">
        <v>132</v>
      </c>
      <c r="BH2001" t="s">
        <v>20157</v>
      </c>
      <c r="BI2001" t="s">
        <v>131</v>
      </c>
      <c r="BL2001" t="s">
        <v>133</v>
      </c>
      <c r="BN2001" t="s">
        <v>20158</v>
      </c>
      <c r="BO2001" t="s">
        <v>131</v>
      </c>
      <c r="BP2001" t="s">
        <v>134</v>
      </c>
      <c r="BQ2001" t="s">
        <v>131</v>
      </c>
      <c r="BS2001" t="str">
        <f t="shared" si="113"/>
        <v>N/A</v>
      </c>
      <c r="BT2001" t="s">
        <v>135</v>
      </c>
      <c r="BU2001">
        <v>12</v>
      </c>
      <c r="BV2001" t="str">
        <f>"Any meeting the requirements in F.b.5.a"</f>
        <v>Any meeting the requirements in F.b.5.a</v>
      </c>
      <c r="BW2001" t="s">
        <v>135</v>
      </c>
      <c r="BX2001" t="str">
        <f>""</f>
        <v/>
      </c>
      <c r="BY2001" t="str">
        <f>""</f>
        <v/>
      </c>
      <c r="BZ2001" t="str">
        <f>""</f>
        <v/>
      </c>
      <c r="CA2001" t="s">
        <v>5922</v>
      </c>
      <c r="CB2001" t="s">
        <v>131</v>
      </c>
      <c r="CF2001" t="s">
        <v>131</v>
      </c>
      <c r="CH2001" t="str">
        <f>""</f>
        <v/>
      </c>
      <c r="CI2001" t="s">
        <v>131</v>
      </c>
      <c r="CK2001" t="s">
        <v>131</v>
      </c>
      <c r="CL2001" t="str">
        <f>""</f>
        <v/>
      </c>
      <c r="CM2001" t="str">
        <f>""</f>
        <v/>
      </c>
      <c r="CN2001" t="str">
        <f>""</f>
        <v/>
      </c>
      <c r="CO2001" t="str">
        <f>""</f>
        <v/>
      </c>
      <c r="CP2001" t="str">
        <f>"15-1132.00"</f>
        <v>15-1132.00</v>
      </c>
      <c r="CQ2001" t="s">
        <v>198</v>
      </c>
      <c r="CR2001" t="s">
        <v>5923</v>
      </c>
      <c r="CS2001" t="s">
        <v>135</v>
      </c>
      <c r="CT2001" t="s">
        <v>20159</v>
      </c>
      <c r="CU2001" t="s">
        <v>5924</v>
      </c>
      <c r="CV2001" t="s">
        <v>5925</v>
      </c>
      <c r="CW2001" t="s">
        <v>766</v>
      </c>
      <c r="CX2001" t="s">
        <v>263</v>
      </c>
      <c r="CZ2001" s="3" t="str">
        <f>"60601"</f>
        <v>60601</v>
      </c>
      <c r="DA2001" t="s">
        <v>131</v>
      </c>
      <c r="DB2001" t="str">
        <f>""</f>
        <v/>
      </c>
      <c r="DF2001" t="str">
        <f>""</f>
        <v/>
      </c>
    </row>
    <row r="2002" spans="1:110" ht="15" customHeight="1" x14ac:dyDescent="0.35">
      <c r="A2002" t="s">
        <v>11600</v>
      </c>
      <c r="B2002" t="s">
        <v>138</v>
      </c>
      <c r="C2002" s="1">
        <v>44362</v>
      </c>
      <c r="G2002" s="1">
        <v>44376</v>
      </c>
      <c r="H2002" t="s">
        <v>125</v>
      </c>
      <c r="I2002" t="s">
        <v>8841</v>
      </c>
      <c r="J2002" t="s">
        <v>688</v>
      </c>
      <c r="K2002" t="s">
        <v>813</v>
      </c>
      <c r="L2002" t="s">
        <v>199</v>
      </c>
      <c r="M2002" t="s">
        <v>11601</v>
      </c>
      <c r="N2002" t="s">
        <v>11602</v>
      </c>
      <c r="O2002" t="s">
        <v>376</v>
      </c>
      <c r="P2002" t="s">
        <v>720</v>
      </c>
      <c r="Q2002" s="3">
        <v>2210</v>
      </c>
      <c r="R2002" t="s">
        <v>128</v>
      </c>
      <c r="T2002" s="4">
        <v>16175026343</v>
      </c>
      <c r="V2002" t="s">
        <v>11603</v>
      </c>
      <c r="W2002" t="s">
        <v>11604</v>
      </c>
      <c r="Y2002" t="s">
        <v>11601</v>
      </c>
      <c r="Z2002" t="s">
        <v>11602</v>
      </c>
      <c r="AA2002" t="s">
        <v>376</v>
      </c>
      <c r="AB2002" t="s">
        <v>377</v>
      </c>
      <c r="AC2002" s="3" t="str">
        <f>"02210"</f>
        <v>02210</v>
      </c>
      <c r="AD2002" t="s">
        <v>128</v>
      </c>
      <c r="AF2002" s="4">
        <v>16177663917</v>
      </c>
      <c r="AH2002" t="str">
        <f>"5417"</f>
        <v>5417</v>
      </c>
      <c r="AI2002" t="s">
        <v>130</v>
      </c>
      <c r="AJ2002" t="s">
        <v>9080</v>
      </c>
      <c r="AK2002" t="s">
        <v>4435</v>
      </c>
      <c r="AL2002" t="s">
        <v>1198</v>
      </c>
      <c r="AM2002" t="s">
        <v>9081</v>
      </c>
      <c r="AN2002" t="s">
        <v>3384</v>
      </c>
      <c r="AO2002" t="s">
        <v>376</v>
      </c>
      <c r="AP2002" t="s">
        <v>377</v>
      </c>
      <c r="AQ2002" s="5">
        <v>2109</v>
      </c>
      <c r="AR2002" t="s">
        <v>128</v>
      </c>
      <c r="AT2002" s="4">
        <v>16175425111</v>
      </c>
      <c r="AV2002" t="s">
        <v>9082</v>
      </c>
      <c r="AW2002" t="s">
        <v>9083</v>
      </c>
      <c r="AX2002" t="s">
        <v>131</v>
      </c>
      <c r="AY2002" t="s">
        <v>131</v>
      </c>
      <c r="AZ2002" t="s">
        <v>131</v>
      </c>
      <c r="BA2002" t="s">
        <v>131</v>
      </c>
      <c r="BB2002" t="s">
        <v>131</v>
      </c>
      <c r="BC2002" t="s">
        <v>131</v>
      </c>
      <c r="BD2002" t="s">
        <v>131</v>
      </c>
      <c r="BE2002" t="s">
        <v>132</v>
      </c>
      <c r="BH2002" t="s">
        <v>11605</v>
      </c>
      <c r="BI2002" t="s">
        <v>131</v>
      </c>
      <c r="BL2002" t="s">
        <v>188</v>
      </c>
      <c r="BN2002" t="s">
        <v>11606</v>
      </c>
      <c r="BO2002" t="s">
        <v>131</v>
      </c>
      <c r="BP2002" t="s">
        <v>134</v>
      </c>
      <c r="BQ2002" t="s">
        <v>131</v>
      </c>
      <c r="BS2002" t="str">
        <f t="shared" si="113"/>
        <v>N/A</v>
      </c>
      <c r="BT2002" t="s">
        <v>135</v>
      </c>
      <c r="BU2002">
        <v>12</v>
      </c>
      <c r="BV2002" t="s">
        <v>11607</v>
      </c>
      <c r="BW2002" t="s">
        <v>131</v>
      </c>
      <c r="BX2002" t="str">
        <f>""</f>
        <v/>
      </c>
      <c r="BY2002" t="str">
        <f>""</f>
        <v/>
      </c>
      <c r="BZ2002" t="str">
        <f>""</f>
        <v/>
      </c>
      <c r="CA2002" t="str">
        <f>""</f>
        <v/>
      </c>
      <c r="CB2002" t="s">
        <v>135</v>
      </c>
      <c r="CC2002" t="s">
        <v>133</v>
      </c>
      <c r="CE2002" t="s">
        <v>11606</v>
      </c>
      <c r="CF2002" t="s">
        <v>131</v>
      </c>
      <c r="CH2002" t="str">
        <f>"N/A"</f>
        <v>N/A</v>
      </c>
      <c r="CI2002" t="s">
        <v>135</v>
      </c>
      <c r="CJ2002">
        <v>48</v>
      </c>
      <c r="CK2002" t="s">
        <v>135</v>
      </c>
      <c r="CL2002" t="str">
        <f>""</f>
        <v/>
      </c>
      <c r="CM2002" t="str">
        <f>""</f>
        <v/>
      </c>
      <c r="CN2002" t="str">
        <f>""</f>
        <v/>
      </c>
      <c r="CO2002" t="s">
        <v>11608</v>
      </c>
      <c r="CP2002" t="str">
        <f>"19-1021.00"</f>
        <v>19-1021.00</v>
      </c>
      <c r="CQ2002" t="s">
        <v>665</v>
      </c>
      <c r="CR2002" t="s">
        <v>9790</v>
      </c>
      <c r="CS2002" t="s">
        <v>131</v>
      </c>
      <c r="CU2002" t="s">
        <v>11601</v>
      </c>
      <c r="CV2002" t="s">
        <v>11602</v>
      </c>
      <c r="CW2002" t="s">
        <v>376</v>
      </c>
      <c r="CX2002" t="s">
        <v>377</v>
      </c>
      <c r="CZ2002" s="3" t="str">
        <f>"02210"</f>
        <v>02210</v>
      </c>
      <c r="DA2002" t="s">
        <v>131</v>
      </c>
      <c r="DB2002" t="str">
        <f>""</f>
        <v/>
      </c>
      <c r="DF2002" t="str">
        <f>""</f>
        <v/>
      </c>
    </row>
    <row r="2003" spans="1:110" ht="15" customHeight="1" x14ac:dyDescent="0.35">
      <c r="A2003" t="s">
        <v>16493</v>
      </c>
      <c r="B2003" t="s">
        <v>138</v>
      </c>
      <c r="C2003" s="1">
        <v>44362</v>
      </c>
      <c r="G2003" s="1">
        <v>44363</v>
      </c>
      <c r="H2003" t="s">
        <v>125</v>
      </c>
      <c r="I2003" t="s">
        <v>434</v>
      </c>
      <c r="J2003" t="s">
        <v>435</v>
      </c>
      <c r="K2003" t="s">
        <v>436</v>
      </c>
      <c r="L2003" t="s">
        <v>437</v>
      </c>
      <c r="M2003" t="s">
        <v>438</v>
      </c>
      <c r="N2003" t="s">
        <v>439</v>
      </c>
      <c r="O2003" t="s">
        <v>440</v>
      </c>
      <c r="P2003" t="s">
        <v>441</v>
      </c>
      <c r="Q2003" s="3">
        <v>43201</v>
      </c>
      <c r="R2003" t="s">
        <v>128</v>
      </c>
      <c r="T2003" s="4">
        <v>16142920611</v>
      </c>
      <c r="V2003" t="s">
        <v>442</v>
      </c>
      <c r="W2003" t="s">
        <v>443</v>
      </c>
      <c r="Y2003" t="s">
        <v>438</v>
      </c>
      <c r="Z2003" t="s">
        <v>439</v>
      </c>
      <c r="AA2003" t="s">
        <v>440</v>
      </c>
      <c r="AB2003" t="s">
        <v>444</v>
      </c>
      <c r="AC2003" s="3" t="str">
        <f>"43201"</f>
        <v>43201</v>
      </c>
      <c r="AD2003" t="s">
        <v>128</v>
      </c>
      <c r="AF2003" s="4">
        <v>16142920611</v>
      </c>
      <c r="AH2003" t="str">
        <f>"611310"</f>
        <v>611310</v>
      </c>
      <c r="AI2003" t="s">
        <v>130</v>
      </c>
      <c r="AJ2003" t="s">
        <v>434</v>
      </c>
      <c r="AK2003" t="s">
        <v>435</v>
      </c>
      <c r="AL2003" t="s">
        <v>436</v>
      </c>
      <c r="AM2003" t="s">
        <v>438</v>
      </c>
      <c r="AN2003" t="s">
        <v>439</v>
      </c>
      <c r="AO2003" t="s">
        <v>440</v>
      </c>
      <c r="AP2003" t="s">
        <v>444</v>
      </c>
      <c r="AQ2003" s="5">
        <v>43201</v>
      </c>
      <c r="AR2003" t="s">
        <v>128</v>
      </c>
      <c r="AT2003" s="4">
        <v>16142920611</v>
      </c>
      <c r="AV2003" t="s">
        <v>442</v>
      </c>
      <c r="AW2003" t="s">
        <v>443</v>
      </c>
      <c r="AX2003" t="s">
        <v>135</v>
      </c>
      <c r="AY2003" t="s">
        <v>135</v>
      </c>
      <c r="AZ2003" t="s">
        <v>131</v>
      </c>
      <c r="BA2003" t="s">
        <v>131</v>
      </c>
      <c r="BB2003" t="s">
        <v>134</v>
      </c>
      <c r="BC2003" t="s">
        <v>131</v>
      </c>
      <c r="BD2003" t="s">
        <v>131</v>
      </c>
      <c r="BE2003" t="s">
        <v>132</v>
      </c>
      <c r="BH2003" t="s">
        <v>1085</v>
      </c>
      <c r="BI2003" t="s">
        <v>131</v>
      </c>
      <c r="BL2003" t="s">
        <v>658</v>
      </c>
      <c r="BM2003" t="s">
        <v>1086</v>
      </c>
      <c r="BN2003" t="s">
        <v>7164</v>
      </c>
      <c r="BO2003" t="s">
        <v>131</v>
      </c>
      <c r="BP2003" t="s">
        <v>134</v>
      </c>
      <c r="BQ2003" t="s">
        <v>135</v>
      </c>
      <c r="BR2003">
        <v>36</v>
      </c>
      <c r="BS2003" t="str">
        <f>"residency training in Neurology"</f>
        <v>residency training in Neurology</v>
      </c>
      <c r="BT2003" t="s">
        <v>131</v>
      </c>
      <c r="BV2003" t="str">
        <f>""</f>
        <v/>
      </c>
      <c r="BW2003" t="s">
        <v>135</v>
      </c>
      <c r="BX2003" t="str">
        <f>""</f>
        <v/>
      </c>
      <c r="BY2003" t="str">
        <f>""</f>
        <v/>
      </c>
      <c r="BZ2003" t="str">
        <f>""</f>
        <v/>
      </c>
      <c r="CA2003" s="2" t="s">
        <v>16494</v>
      </c>
      <c r="CB2003" t="s">
        <v>131</v>
      </c>
      <c r="CF2003" t="s">
        <v>131</v>
      </c>
      <c r="CH2003" t="str">
        <f>""</f>
        <v/>
      </c>
      <c r="CI2003" t="s">
        <v>131</v>
      </c>
      <c r="CK2003" t="s">
        <v>131</v>
      </c>
      <c r="CL2003" t="str">
        <f>""</f>
        <v/>
      </c>
      <c r="CM2003" t="str">
        <f>""</f>
        <v/>
      </c>
      <c r="CN2003" t="str">
        <f>""</f>
        <v/>
      </c>
      <c r="CO2003" t="str">
        <f>""</f>
        <v/>
      </c>
      <c r="CP2003" t="str">
        <f>"25-1071.00"</f>
        <v>25-1071.00</v>
      </c>
      <c r="CQ2003" t="s">
        <v>1087</v>
      </c>
      <c r="CR2003" t="s">
        <v>717</v>
      </c>
      <c r="CS2003" t="s">
        <v>135</v>
      </c>
      <c r="CT2003" s="2" t="s">
        <v>16495</v>
      </c>
      <c r="CU2003" t="s">
        <v>1088</v>
      </c>
      <c r="CW2003" t="s">
        <v>440</v>
      </c>
      <c r="CX2003" t="s">
        <v>444</v>
      </c>
      <c r="CZ2003" s="3" t="str">
        <f>"43210"</f>
        <v>43210</v>
      </c>
      <c r="DA2003" t="s">
        <v>131</v>
      </c>
      <c r="DB2003" t="str">
        <f>""</f>
        <v/>
      </c>
      <c r="DF2003" t="str">
        <f>""</f>
        <v/>
      </c>
    </row>
    <row r="2004" spans="1:110" ht="15" customHeight="1" x14ac:dyDescent="0.35">
      <c r="A2004" t="s">
        <v>8240</v>
      </c>
      <c r="B2004" t="s">
        <v>138</v>
      </c>
      <c r="C2004" s="1">
        <v>44362</v>
      </c>
      <c r="G2004" s="1">
        <v>44363</v>
      </c>
      <c r="H2004" t="s">
        <v>125</v>
      </c>
      <c r="I2004" t="s">
        <v>8241</v>
      </c>
      <c r="J2004" t="s">
        <v>8242</v>
      </c>
      <c r="L2004" t="s">
        <v>395</v>
      </c>
      <c r="M2004" t="s">
        <v>8243</v>
      </c>
      <c r="N2004" t="s">
        <v>8244</v>
      </c>
      <c r="O2004" t="s">
        <v>3818</v>
      </c>
      <c r="P2004" t="s">
        <v>412</v>
      </c>
      <c r="Q2004" s="3">
        <v>75063</v>
      </c>
      <c r="R2004" t="s">
        <v>128</v>
      </c>
      <c r="T2004" s="4">
        <v>12145419270</v>
      </c>
      <c r="V2004" t="s">
        <v>8245</v>
      </c>
      <c r="W2004" t="s">
        <v>8246</v>
      </c>
      <c r="Y2004" t="s">
        <v>8243</v>
      </c>
      <c r="Z2004" t="s">
        <v>8244</v>
      </c>
      <c r="AA2004" t="s">
        <v>3818</v>
      </c>
      <c r="AB2004" t="s">
        <v>400</v>
      </c>
      <c r="AC2004" s="3" t="str">
        <f>"75063"</f>
        <v>75063</v>
      </c>
      <c r="AD2004" t="s">
        <v>128</v>
      </c>
      <c r="AF2004" s="4">
        <v>12145419270</v>
      </c>
      <c r="AH2004" t="str">
        <f>"541511"</f>
        <v>541511</v>
      </c>
      <c r="AI2004" t="s">
        <v>130</v>
      </c>
      <c r="AJ2004" t="s">
        <v>3588</v>
      </c>
      <c r="AK2004" t="s">
        <v>250</v>
      </c>
      <c r="AL2004" t="s">
        <v>3589</v>
      </c>
      <c r="AM2004" t="s">
        <v>3590</v>
      </c>
      <c r="AN2004" t="s">
        <v>3591</v>
      </c>
      <c r="AO2004" t="s">
        <v>399</v>
      </c>
      <c r="AP2004" t="s">
        <v>400</v>
      </c>
      <c r="AQ2004" s="5">
        <v>75287</v>
      </c>
      <c r="AR2004" t="s">
        <v>128</v>
      </c>
      <c r="AT2004" s="4">
        <v>19722414698</v>
      </c>
      <c r="AV2004" t="s">
        <v>3592</v>
      </c>
      <c r="AW2004" t="s">
        <v>3593</v>
      </c>
      <c r="AX2004" t="s">
        <v>131</v>
      </c>
      <c r="AY2004" t="s">
        <v>131</v>
      </c>
      <c r="AZ2004" t="s">
        <v>131</v>
      </c>
      <c r="BA2004" t="s">
        <v>131</v>
      </c>
      <c r="BB2004" t="s">
        <v>131</v>
      </c>
      <c r="BC2004" t="s">
        <v>131</v>
      </c>
      <c r="BD2004" t="s">
        <v>131</v>
      </c>
      <c r="BE2004" t="s">
        <v>132</v>
      </c>
      <c r="BH2004" t="s">
        <v>8247</v>
      </c>
      <c r="BI2004" t="s">
        <v>131</v>
      </c>
      <c r="BL2004" t="s">
        <v>188</v>
      </c>
      <c r="BN2004" s="2" t="s">
        <v>8248</v>
      </c>
      <c r="BO2004" t="s">
        <v>131</v>
      </c>
      <c r="BP2004" t="s">
        <v>134</v>
      </c>
      <c r="BQ2004" t="s">
        <v>131</v>
      </c>
      <c r="BS2004" t="str">
        <f>"N/A"</f>
        <v>N/A</v>
      </c>
      <c r="BT2004" t="s">
        <v>135</v>
      </c>
      <c r="BU2004">
        <v>6</v>
      </c>
      <c r="BV2004" t="str">
        <f>"N/A"</f>
        <v>N/A</v>
      </c>
      <c r="BW2004" t="s">
        <v>135</v>
      </c>
      <c r="BX2004" t="str">
        <f>""</f>
        <v/>
      </c>
      <c r="BY2004" t="str">
        <f>""</f>
        <v/>
      </c>
      <c r="BZ2004" t="str">
        <f>""</f>
        <v/>
      </c>
      <c r="CA2004" t="str">
        <f>"Experience must include SAP ABAP, SAP Fiori, Java, J2EE, JMS, JSP, Prolog,Python,Business Objects, Crystal Reports, Oracle."</f>
        <v>Experience must include SAP ABAP, SAP Fiori, Java, J2EE, JMS, JSP, Prolog,Python,Business Objects, Crystal Reports, Oracle.</v>
      </c>
      <c r="CB2004" t="s">
        <v>131</v>
      </c>
      <c r="CF2004" t="s">
        <v>131</v>
      </c>
      <c r="CH2004" t="str">
        <f>""</f>
        <v/>
      </c>
      <c r="CI2004" t="s">
        <v>131</v>
      </c>
      <c r="CK2004" t="s">
        <v>131</v>
      </c>
      <c r="CL2004" t="str">
        <f>""</f>
        <v/>
      </c>
      <c r="CM2004" t="str">
        <f>""</f>
        <v/>
      </c>
      <c r="CN2004" t="str">
        <f>""</f>
        <v/>
      </c>
      <c r="CO2004" t="str">
        <f>""</f>
        <v/>
      </c>
      <c r="CP2004" t="str">
        <f>"15-1131.00"</f>
        <v>15-1131.00</v>
      </c>
      <c r="CQ2004" t="s">
        <v>2782</v>
      </c>
      <c r="CS2004" t="s">
        <v>135</v>
      </c>
      <c r="CT2004" t="s">
        <v>3595</v>
      </c>
      <c r="CU2004" t="s">
        <v>8249</v>
      </c>
      <c r="CV2004" t="s">
        <v>3595</v>
      </c>
      <c r="CW2004" t="s">
        <v>1069</v>
      </c>
      <c r="CX2004" t="s">
        <v>400</v>
      </c>
      <c r="CZ2004" s="3" t="str">
        <f>"75063"</f>
        <v>75063</v>
      </c>
      <c r="DA2004" t="s">
        <v>131</v>
      </c>
      <c r="DB2004" t="str">
        <f>""</f>
        <v/>
      </c>
      <c r="DF2004" t="str">
        <f>""</f>
        <v/>
      </c>
    </row>
    <row r="2005" spans="1:110" ht="15" customHeight="1" x14ac:dyDescent="0.35">
      <c r="A2005" t="s">
        <v>13199</v>
      </c>
      <c r="B2005" t="s">
        <v>138</v>
      </c>
      <c r="C2005" s="1">
        <v>44362</v>
      </c>
      <c r="G2005" s="1">
        <v>44370</v>
      </c>
      <c r="H2005" t="s">
        <v>125</v>
      </c>
      <c r="I2005" t="s">
        <v>139</v>
      </c>
      <c r="J2005" t="s">
        <v>140</v>
      </c>
      <c r="K2005" t="s">
        <v>134</v>
      </c>
      <c r="L2005" t="s">
        <v>141</v>
      </c>
      <c r="M2005" t="s">
        <v>142</v>
      </c>
      <c r="O2005" t="s">
        <v>143</v>
      </c>
      <c r="P2005" t="s">
        <v>144</v>
      </c>
      <c r="Q2005" s="3">
        <v>98052</v>
      </c>
      <c r="R2005" t="s">
        <v>128</v>
      </c>
      <c r="T2005" s="4">
        <v>14258828080</v>
      </c>
      <c r="V2005" t="s">
        <v>145</v>
      </c>
      <c r="W2005" t="s">
        <v>5484</v>
      </c>
      <c r="X2005" t="s">
        <v>134</v>
      </c>
      <c r="Y2005" t="s">
        <v>5485</v>
      </c>
      <c r="Z2005" t="s">
        <v>134</v>
      </c>
      <c r="AA2005" t="s">
        <v>5486</v>
      </c>
      <c r="AB2005" t="s">
        <v>149</v>
      </c>
      <c r="AC2005" s="3" t="str">
        <f>"98052"</f>
        <v>98052</v>
      </c>
      <c r="AD2005" t="s">
        <v>128</v>
      </c>
      <c r="AE2005" t="s">
        <v>134</v>
      </c>
      <c r="AF2005" s="4">
        <v>14258828080</v>
      </c>
      <c r="AH2005" t="str">
        <f>"5112"</f>
        <v>5112</v>
      </c>
      <c r="AI2005" t="s">
        <v>130</v>
      </c>
      <c r="AJ2005" t="s">
        <v>150</v>
      </c>
      <c r="AK2005" t="s">
        <v>151</v>
      </c>
      <c r="AM2005" t="s">
        <v>152</v>
      </c>
      <c r="AN2005" t="s">
        <v>5488</v>
      </c>
      <c r="AO2005" t="s">
        <v>154</v>
      </c>
      <c r="AQ2005" s="5" t="s">
        <v>155</v>
      </c>
      <c r="AR2005" t="s">
        <v>156</v>
      </c>
      <c r="AS2005" t="s">
        <v>243</v>
      </c>
      <c r="AT2005" s="4">
        <v>16048918371</v>
      </c>
      <c r="AV2005" t="s">
        <v>5489</v>
      </c>
      <c r="AW2005" t="s">
        <v>5490</v>
      </c>
      <c r="AX2005" t="s">
        <v>131</v>
      </c>
      <c r="AY2005" t="s">
        <v>131</v>
      </c>
      <c r="AZ2005" t="s">
        <v>131</v>
      </c>
      <c r="BA2005" t="s">
        <v>131</v>
      </c>
      <c r="BB2005" t="s">
        <v>131</v>
      </c>
      <c r="BC2005" t="s">
        <v>131</v>
      </c>
      <c r="BD2005" t="s">
        <v>131</v>
      </c>
      <c r="BE2005" t="s">
        <v>132</v>
      </c>
      <c r="BH2005" t="s">
        <v>542</v>
      </c>
      <c r="BI2005" t="s">
        <v>131</v>
      </c>
      <c r="BL2005" t="s">
        <v>133</v>
      </c>
      <c r="BN2005" t="s">
        <v>5492</v>
      </c>
      <c r="BO2005" t="s">
        <v>131</v>
      </c>
      <c r="BP2005" t="s">
        <v>134</v>
      </c>
      <c r="BQ2005" t="s">
        <v>131</v>
      </c>
      <c r="BS2005" t="str">
        <f>"N/A"</f>
        <v>N/A</v>
      </c>
      <c r="BT2005" t="s">
        <v>135</v>
      </c>
      <c r="BU2005">
        <v>12</v>
      </c>
      <c r="BV2005" t="str">
        <f>"Any Computer Related Occupation"</f>
        <v>Any Computer Related Occupation</v>
      </c>
      <c r="BW2005" t="s">
        <v>135</v>
      </c>
      <c r="BX2005" t="str">
        <f>""</f>
        <v/>
      </c>
      <c r="BY2005" t="str">
        <f>""</f>
        <v/>
      </c>
      <c r="BZ2005" t="str">
        <f>""</f>
        <v/>
      </c>
      <c r="CA2005" t="str">
        <f>"-THIS POSITION ALSO REQUIRES EDUCATION OR EXPERIENCE IN: ALGORITHMS; DATA STRUCTURES; GIT; PYTHON; HTML &amp; CSS SELECTION; LINEAR ALGEBRA &amp; MULTIVARIABLE CALCULUS; AND C#/JAVA OR EQUIVALENT PROGRAMMING LANGUAGE."</f>
        <v>-THIS POSITION ALSO REQUIRES EDUCATION OR EXPERIENCE IN: ALGORITHMS; DATA STRUCTURES; GIT; PYTHON; HTML &amp; CSS SELECTION; LINEAR ALGEBRA &amp; MULTIVARIABLE CALCULUS; AND C#/JAVA OR EQUIVALENT PROGRAMMING LANGUAGE.</v>
      </c>
      <c r="CB2005" t="s">
        <v>131</v>
      </c>
      <c r="CF2005" t="s">
        <v>131</v>
      </c>
      <c r="CH2005" t="str">
        <f>""</f>
        <v/>
      </c>
      <c r="CI2005" t="s">
        <v>131</v>
      </c>
      <c r="CK2005" t="s">
        <v>131</v>
      </c>
      <c r="CL2005" t="str">
        <f>""</f>
        <v/>
      </c>
      <c r="CM2005" t="str">
        <f>""</f>
        <v/>
      </c>
      <c r="CN2005" t="str">
        <f>""</f>
        <v/>
      </c>
      <c r="CO2005" t="str">
        <f>""</f>
        <v/>
      </c>
      <c r="CP2005" t="str">
        <f>"15-1132.00"</f>
        <v>15-1132.00</v>
      </c>
      <c r="CQ2005" t="s">
        <v>198</v>
      </c>
      <c r="CR2005" t="s">
        <v>198</v>
      </c>
      <c r="CS2005" t="s">
        <v>131</v>
      </c>
      <c r="CU2005" t="s">
        <v>142</v>
      </c>
      <c r="CW2005" t="s">
        <v>143</v>
      </c>
      <c r="CX2005" t="s">
        <v>149</v>
      </c>
      <c r="CZ2005" s="3" t="str">
        <f>"98052"</f>
        <v>98052</v>
      </c>
      <c r="DA2005" t="s">
        <v>131</v>
      </c>
      <c r="DB2005" t="str">
        <f>""</f>
        <v/>
      </c>
      <c r="DF2005" t="str">
        <f>""</f>
        <v/>
      </c>
    </row>
    <row r="2006" spans="1:110" ht="15" customHeight="1" x14ac:dyDescent="0.35">
      <c r="A2006" t="s">
        <v>16451</v>
      </c>
      <c r="B2006" t="s">
        <v>138</v>
      </c>
      <c r="C2006" s="1">
        <v>44362</v>
      </c>
      <c r="G2006" s="1">
        <v>44370</v>
      </c>
      <c r="H2006" t="s">
        <v>125</v>
      </c>
      <c r="I2006" t="s">
        <v>139</v>
      </c>
      <c r="J2006" t="s">
        <v>140</v>
      </c>
      <c r="K2006" t="s">
        <v>134</v>
      </c>
      <c r="L2006" t="s">
        <v>141</v>
      </c>
      <c r="M2006" t="s">
        <v>142</v>
      </c>
      <c r="N2006" t="s">
        <v>134</v>
      </c>
      <c r="O2006" t="s">
        <v>143</v>
      </c>
      <c r="P2006" t="s">
        <v>144</v>
      </c>
      <c r="Q2006" s="3">
        <v>98052</v>
      </c>
      <c r="R2006" t="s">
        <v>128</v>
      </c>
      <c r="T2006" s="4">
        <v>11425882808</v>
      </c>
      <c r="V2006" t="s">
        <v>145</v>
      </c>
      <c r="W2006" t="s">
        <v>5484</v>
      </c>
      <c r="X2006" t="s">
        <v>134</v>
      </c>
      <c r="Y2006" t="s">
        <v>5485</v>
      </c>
      <c r="Z2006" t="s">
        <v>134</v>
      </c>
      <c r="AA2006" t="s">
        <v>5486</v>
      </c>
      <c r="AB2006" t="s">
        <v>149</v>
      </c>
      <c r="AC2006" s="3" t="str">
        <f>"98052"</f>
        <v>98052</v>
      </c>
      <c r="AD2006" t="s">
        <v>128</v>
      </c>
      <c r="AE2006" t="s">
        <v>134</v>
      </c>
      <c r="AF2006" s="4">
        <v>14258828080</v>
      </c>
      <c r="AH2006" t="str">
        <f>"5112"</f>
        <v>5112</v>
      </c>
      <c r="AI2006" t="s">
        <v>130</v>
      </c>
      <c r="AJ2006" t="s">
        <v>150</v>
      </c>
      <c r="AK2006" t="s">
        <v>151</v>
      </c>
      <c r="AM2006" t="s">
        <v>152</v>
      </c>
      <c r="AN2006" t="s">
        <v>5488</v>
      </c>
      <c r="AO2006" t="s">
        <v>154</v>
      </c>
      <c r="AQ2006" s="5" t="s">
        <v>155</v>
      </c>
      <c r="AR2006" t="s">
        <v>156</v>
      </c>
      <c r="AS2006" t="s">
        <v>243</v>
      </c>
      <c r="AT2006" s="4">
        <v>16048918371</v>
      </c>
      <c r="AV2006" t="s">
        <v>5489</v>
      </c>
      <c r="AW2006" t="s">
        <v>5490</v>
      </c>
      <c r="AX2006" t="s">
        <v>131</v>
      </c>
      <c r="AY2006" t="s">
        <v>131</v>
      </c>
      <c r="AZ2006" t="s">
        <v>131</v>
      </c>
      <c r="BA2006" t="s">
        <v>131</v>
      </c>
      <c r="BB2006" t="s">
        <v>131</v>
      </c>
      <c r="BC2006" t="s">
        <v>131</v>
      </c>
      <c r="BD2006" t="s">
        <v>131</v>
      </c>
      <c r="BE2006" t="s">
        <v>160</v>
      </c>
      <c r="BF2006" t="s">
        <v>1612</v>
      </c>
      <c r="BG2006" s="1">
        <v>44331</v>
      </c>
      <c r="BH2006" t="s">
        <v>5491</v>
      </c>
      <c r="BI2006" t="s">
        <v>131</v>
      </c>
      <c r="BL2006" t="s">
        <v>133</v>
      </c>
      <c r="BN2006" t="s">
        <v>5492</v>
      </c>
      <c r="BO2006" t="s">
        <v>131</v>
      </c>
      <c r="BP2006" t="s">
        <v>134</v>
      </c>
      <c r="BQ2006" t="s">
        <v>131</v>
      </c>
      <c r="BS2006" t="str">
        <f>"N/A"</f>
        <v>N/A</v>
      </c>
      <c r="BT2006" t="s">
        <v>135</v>
      </c>
      <c r="BU2006">
        <v>60</v>
      </c>
      <c r="BV2006" t="str">
        <f>"ANY COMPUTER RELATED OCCUPATION"</f>
        <v>ANY COMPUTER RELATED OCCUPATION</v>
      </c>
      <c r="BW2006" t="s">
        <v>135</v>
      </c>
      <c r="BX2006" t="str">
        <f>""</f>
        <v/>
      </c>
      <c r="BY2006" t="str">
        <f>""</f>
        <v/>
      </c>
      <c r="BZ2006" t="str">
        <f>""</f>
        <v/>
      </c>
      <c r="CA2006" t="s">
        <v>16452</v>
      </c>
      <c r="CB2006" t="s">
        <v>131</v>
      </c>
      <c r="CF2006" t="s">
        <v>131</v>
      </c>
      <c r="CH2006" t="str">
        <f>""</f>
        <v/>
      </c>
      <c r="CI2006" t="s">
        <v>131</v>
      </c>
      <c r="CK2006" t="s">
        <v>131</v>
      </c>
      <c r="CL2006" t="str">
        <f>""</f>
        <v/>
      </c>
      <c r="CM2006" t="str">
        <f>""</f>
        <v/>
      </c>
      <c r="CN2006" t="str">
        <f>""</f>
        <v/>
      </c>
      <c r="CO2006" t="str">
        <f>""</f>
        <v/>
      </c>
      <c r="CP2006" t="str">
        <f>"15-1133.00"</f>
        <v>15-1133.00</v>
      </c>
      <c r="CQ2006" t="s">
        <v>648</v>
      </c>
      <c r="CR2006" t="s">
        <v>16453</v>
      </c>
      <c r="CS2006" t="s">
        <v>131</v>
      </c>
      <c r="CU2006" t="s">
        <v>147</v>
      </c>
      <c r="CW2006" t="s">
        <v>148</v>
      </c>
      <c r="CX2006" t="s">
        <v>149</v>
      </c>
      <c r="CZ2006" s="3" t="str">
        <f>"98052"</f>
        <v>98052</v>
      </c>
      <c r="DA2006" t="s">
        <v>131</v>
      </c>
      <c r="DB2006" t="str">
        <f>""</f>
        <v/>
      </c>
      <c r="DF2006" t="str">
        <f>""</f>
        <v/>
      </c>
    </row>
    <row r="2007" spans="1:110" ht="15" customHeight="1" x14ac:dyDescent="0.35">
      <c r="A2007" t="s">
        <v>19241</v>
      </c>
      <c r="B2007" t="s">
        <v>138</v>
      </c>
      <c r="C2007" s="1">
        <v>44362</v>
      </c>
      <c r="G2007" s="1">
        <v>44371</v>
      </c>
      <c r="H2007" t="s">
        <v>125</v>
      </c>
      <c r="I2007" t="s">
        <v>9109</v>
      </c>
      <c r="J2007" t="s">
        <v>3714</v>
      </c>
      <c r="L2007" t="s">
        <v>9110</v>
      </c>
      <c r="M2007" t="s">
        <v>12627</v>
      </c>
      <c r="N2007" t="s">
        <v>12628</v>
      </c>
      <c r="O2007" t="s">
        <v>944</v>
      </c>
      <c r="P2007" t="s">
        <v>178</v>
      </c>
      <c r="Q2007" s="3">
        <v>94133</v>
      </c>
      <c r="R2007" t="s">
        <v>128</v>
      </c>
      <c r="T2007" s="4">
        <v>14153534627</v>
      </c>
      <c r="V2007" t="s">
        <v>9113</v>
      </c>
      <c r="W2007" t="s">
        <v>9114</v>
      </c>
      <c r="Y2007" t="s">
        <v>12627</v>
      </c>
      <c r="Z2007" t="s">
        <v>12628</v>
      </c>
      <c r="AA2007" t="s">
        <v>944</v>
      </c>
      <c r="AB2007" t="s">
        <v>172</v>
      </c>
      <c r="AC2007" s="3" t="str">
        <f>"94133"</f>
        <v>94133</v>
      </c>
      <c r="AD2007" t="s">
        <v>128</v>
      </c>
      <c r="AF2007" s="4">
        <v>14153534627</v>
      </c>
      <c r="AH2007" t="str">
        <f>"62211"</f>
        <v>62211</v>
      </c>
      <c r="AI2007" t="s">
        <v>130</v>
      </c>
      <c r="AJ2007" t="s">
        <v>9115</v>
      </c>
      <c r="AK2007" t="s">
        <v>246</v>
      </c>
      <c r="AL2007" t="s">
        <v>651</v>
      </c>
      <c r="AM2007" t="s">
        <v>1328</v>
      </c>
      <c r="AN2007" t="s">
        <v>439</v>
      </c>
      <c r="AO2007" t="s">
        <v>220</v>
      </c>
      <c r="AP2007" t="s">
        <v>172</v>
      </c>
      <c r="AQ2007" s="5">
        <v>94104</v>
      </c>
      <c r="AR2007" t="s">
        <v>128</v>
      </c>
      <c r="AT2007" s="4">
        <v>14159813000</v>
      </c>
      <c r="AV2007" t="s">
        <v>9116</v>
      </c>
      <c r="AW2007" t="s">
        <v>9117</v>
      </c>
      <c r="AX2007" t="s">
        <v>131</v>
      </c>
      <c r="AY2007" t="s">
        <v>131</v>
      </c>
      <c r="AZ2007" t="s">
        <v>131</v>
      </c>
      <c r="BA2007" t="s">
        <v>131</v>
      </c>
      <c r="BB2007" t="s">
        <v>131</v>
      </c>
      <c r="BC2007" t="s">
        <v>131</v>
      </c>
      <c r="BD2007" t="s">
        <v>131</v>
      </c>
      <c r="BE2007" t="s">
        <v>132</v>
      </c>
      <c r="BH2007" t="s">
        <v>12629</v>
      </c>
      <c r="BI2007" t="s">
        <v>135</v>
      </c>
      <c r="BJ2007" t="s">
        <v>12630</v>
      </c>
      <c r="BK2007" t="s">
        <v>1593</v>
      </c>
      <c r="BL2007" t="s">
        <v>188</v>
      </c>
      <c r="BN2007" t="s">
        <v>12631</v>
      </c>
      <c r="BO2007" t="s">
        <v>131</v>
      </c>
      <c r="BP2007" t="s">
        <v>134</v>
      </c>
      <c r="BQ2007" t="s">
        <v>131</v>
      </c>
      <c r="BS2007" t="str">
        <f>"N/A"</f>
        <v>N/A</v>
      </c>
      <c r="BT2007" t="s">
        <v>135</v>
      </c>
      <c r="BU2007">
        <v>60</v>
      </c>
      <c r="BV2007" t="str">
        <f>"Hospital Physicist or Medical Physicist"</f>
        <v>Hospital Physicist or Medical Physicist</v>
      </c>
      <c r="BW2007" t="s">
        <v>135</v>
      </c>
      <c r="BX2007" t="str">
        <f>""</f>
        <v/>
      </c>
      <c r="BY2007" t="str">
        <f>""</f>
        <v/>
      </c>
      <c r="BZ2007" t="str">
        <f>""</f>
        <v/>
      </c>
      <c r="CA2007" t="str">
        <f>"Five years work experience as a Hospital Physicist or Medical Physicist.  Experience must include performing SRS/SBRT stereotactic procedures and HDR radiation therapies and treatment planning."</f>
        <v>Five years work experience as a Hospital Physicist or Medical Physicist.  Experience must include performing SRS/SBRT stereotactic procedures and HDR radiation therapies and treatment planning.</v>
      </c>
      <c r="CB2007" t="s">
        <v>131</v>
      </c>
      <c r="CF2007" t="s">
        <v>131</v>
      </c>
      <c r="CH2007" t="str">
        <f>""</f>
        <v/>
      </c>
      <c r="CI2007" t="s">
        <v>131</v>
      </c>
      <c r="CK2007" t="s">
        <v>131</v>
      </c>
      <c r="CL2007" t="str">
        <f>""</f>
        <v/>
      </c>
      <c r="CM2007" t="str">
        <f>""</f>
        <v/>
      </c>
      <c r="CN2007" t="str">
        <f>""</f>
        <v/>
      </c>
      <c r="CO2007" t="str">
        <f>""</f>
        <v/>
      </c>
      <c r="CP2007" t="str">
        <f>"19-2012.00"</f>
        <v>19-2012.00</v>
      </c>
      <c r="CQ2007" t="s">
        <v>1593</v>
      </c>
      <c r="CR2007" t="s">
        <v>12632</v>
      </c>
      <c r="CS2007" t="s">
        <v>131</v>
      </c>
      <c r="CU2007" t="s">
        <v>12633</v>
      </c>
      <c r="CV2007" t="s">
        <v>12634</v>
      </c>
      <c r="CW2007" t="s">
        <v>220</v>
      </c>
      <c r="CX2007" t="s">
        <v>172</v>
      </c>
      <c r="CZ2007" s="3" t="str">
        <f>"94158"</f>
        <v>94158</v>
      </c>
      <c r="DA2007" t="s">
        <v>131</v>
      </c>
      <c r="DB2007" t="str">
        <f>""</f>
        <v/>
      </c>
      <c r="DF2007" t="str">
        <f>""</f>
        <v/>
      </c>
    </row>
    <row r="2008" spans="1:110" ht="15" customHeight="1" x14ac:dyDescent="0.35">
      <c r="A2008" t="s">
        <v>18811</v>
      </c>
      <c r="B2008" t="s">
        <v>138</v>
      </c>
      <c r="C2008" s="1">
        <v>44362</v>
      </c>
      <c r="G2008" s="1">
        <v>44362</v>
      </c>
      <c r="H2008" t="s">
        <v>125</v>
      </c>
      <c r="I2008" t="s">
        <v>8214</v>
      </c>
      <c r="J2008" t="s">
        <v>5173</v>
      </c>
      <c r="L2008" t="s">
        <v>8215</v>
      </c>
      <c r="M2008" t="s">
        <v>8216</v>
      </c>
      <c r="O2008" t="s">
        <v>799</v>
      </c>
      <c r="P2008" t="s">
        <v>3393</v>
      </c>
      <c r="Q2008" s="3">
        <v>20006</v>
      </c>
      <c r="R2008" t="s">
        <v>128</v>
      </c>
      <c r="T2008" s="4">
        <v>12027288286</v>
      </c>
      <c r="V2008" t="s">
        <v>8218</v>
      </c>
      <c r="W2008" t="s">
        <v>8217</v>
      </c>
      <c r="Y2008" t="s">
        <v>8216</v>
      </c>
      <c r="AA2008" t="s">
        <v>799</v>
      </c>
      <c r="AB2008" t="s">
        <v>595</v>
      </c>
      <c r="AC2008" s="3" t="str">
        <f>"20006"</f>
        <v>20006</v>
      </c>
      <c r="AD2008" t="s">
        <v>128</v>
      </c>
      <c r="AF2008" s="4">
        <v>12027288286</v>
      </c>
      <c r="AH2008" t="str">
        <f>"52232"</f>
        <v>52232</v>
      </c>
      <c r="AI2008" t="s">
        <v>130</v>
      </c>
      <c r="AJ2008" t="s">
        <v>2769</v>
      </c>
      <c r="AK2008" t="s">
        <v>1071</v>
      </c>
      <c r="AL2008" t="s">
        <v>2314</v>
      </c>
      <c r="AM2008" t="s">
        <v>3540</v>
      </c>
      <c r="AN2008" t="s">
        <v>213</v>
      </c>
      <c r="AO2008" t="s">
        <v>642</v>
      </c>
      <c r="AP2008" t="s">
        <v>643</v>
      </c>
      <c r="AQ2008" s="5">
        <v>30309</v>
      </c>
      <c r="AR2008" t="s">
        <v>128</v>
      </c>
      <c r="AS2008" t="s">
        <v>134</v>
      </c>
      <c r="AT2008" s="4">
        <v>14048856720</v>
      </c>
      <c r="AV2008" t="s">
        <v>8218</v>
      </c>
      <c r="AW2008" t="s">
        <v>1083</v>
      </c>
      <c r="AX2008" t="s">
        <v>131</v>
      </c>
      <c r="AY2008" t="s">
        <v>131</v>
      </c>
      <c r="AZ2008" t="s">
        <v>131</v>
      </c>
      <c r="BA2008" t="s">
        <v>131</v>
      </c>
      <c r="BB2008" t="s">
        <v>131</v>
      </c>
      <c r="BC2008" t="s">
        <v>131</v>
      </c>
      <c r="BD2008" t="s">
        <v>131</v>
      </c>
      <c r="BE2008" t="s">
        <v>132</v>
      </c>
      <c r="BH2008" t="s">
        <v>1172</v>
      </c>
      <c r="BI2008" t="s">
        <v>131</v>
      </c>
      <c r="BL2008" t="s">
        <v>133</v>
      </c>
      <c r="BN2008" t="s">
        <v>16127</v>
      </c>
      <c r="BO2008" t="s">
        <v>131</v>
      </c>
      <c r="BP2008" t="s">
        <v>134</v>
      </c>
      <c r="BQ2008" t="s">
        <v>131</v>
      </c>
      <c r="BS2008" t="str">
        <f>"N/A"</f>
        <v>N/A</v>
      </c>
      <c r="BT2008" t="s">
        <v>135</v>
      </c>
      <c r="BU2008">
        <v>84</v>
      </c>
      <c r="BV2008" t="str">
        <f>"Java software development"</f>
        <v>Java software development</v>
      </c>
      <c r="BW2008" t="s">
        <v>135</v>
      </c>
      <c r="BX2008" t="str">
        <f>""</f>
        <v/>
      </c>
      <c r="BY2008" t="str">
        <f>""</f>
        <v/>
      </c>
      <c r="BZ2008" t="str">
        <f>""</f>
        <v/>
      </c>
      <c r="CA2008" s="2" t="s">
        <v>18812</v>
      </c>
      <c r="CB2008" t="s">
        <v>135</v>
      </c>
      <c r="CC2008" t="s">
        <v>188</v>
      </c>
      <c r="CE2008" t="s">
        <v>16127</v>
      </c>
      <c r="CF2008" t="s">
        <v>131</v>
      </c>
      <c r="CH2008" t="str">
        <f>"N/A"</f>
        <v>N/A</v>
      </c>
      <c r="CI2008" t="s">
        <v>135</v>
      </c>
      <c r="CJ2008">
        <v>60</v>
      </c>
      <c r="CK2008" t="s">
        <v>135</v>
      </c>
      <c r="CL2008" t="str">
        <f>""</f>
        <v/>
      </c>
      <c r="CM2008" t="str">
        <f>""</f>
        <v/>
      </c>
      <c r="CN2008" t="str">
        <f>""</f>
        <v/>
      </c>
      <c r="CO2008" s="2" t="s">
        <v>18813</v>
      </c>
      <c r="CP2008" t="str">
        <f>"15-1132.00"</f>
        <v>15-1132.00</v>
      </c>
      <c r="CQ2008" t="s">
        <v>198</v>
      </c>
      <c r="CS2008" t="s">
        <v>131</v>
      </c>
      <c r="CU2008" t="s">
        <v>18814</v>
      </c>
      <c r="CV2008" t="s">
        <v>547</v>
      </c>
      <c r="CW2008" t="s">
        <v>1872</v>
      </c>
      <c r="CX2008" t="s">
        <v>276</v>
      </c>
      <c r="CZ2008" s="3" t="str">
        <f>"07311"</f>
        <v>07311</v>
      </c>
      <c r="DA2008" t="s">
        <v>131</v>
      </c>
      <c r="DB2008" t="str">
        <f>""</f>
        <v/>
      </c>
      <c r="DF2008" t="str">
        <f>""</f>
        <v/>
      </c>
    </row>
    <row r="2009" spans="1:110" ht="15" customHeight="1" x14ac:dyDescent="0.35">
      <c r="A2009" t="s">
        <v>13072</v>
      </c>
      <c r="B2009" t="s">
        <v>138</v>
      </c>
      <c r="C2009" s="1">
        <v>44362</v>
      </c>
      <c r="G2009" s="1">
        <v>44363</v>
      </c>
      <c r="H2009" t="s">
        <v>125</v>
      </c>
      <c r="I2009" t="s">
        <v>434</v>
      </c>
      <c r="J2009" t="s">
        <v>435</v>
      </c>
      <c r="K2009" t="s">
        <v>436</v>
      </c>
      <c r="L2009" t="s">
        <v>437</v>
      </c>
      <c r="M2009" t="s">
        <v>438</v>
      </c>
      <c r="N2009" t="s">
        <v>439</v>
      </c>
      <c r="O2009" t="s">
        <v>440</v>
      </c>
      <c r="P2009" t="s">
        <v>441</v>
      </c>
      <c r="Q2009" s="3">
        <v>43201</v>
      </c>
      <c r="R2009" t="s">
        <v>128</v>
      </c>
      <c r="T2009" s="4">
        <v>16142920611</v>
      </c>
      <c r="V2009" t="s">
        <v>442</v>
      </c>
      <c r="W2009" t="s">
        <v>443</v>
      </c>
      <c r="Y2009" t="s">
        <v>438</v>
      </c>
      <c r="Z2009" t="s">
        <v>439</v>
      </c>
      <c r="AA2009" t="s">
        <v>440</v>
      </c>
      <c r="AB2009" t="s">
        <v>444</v>
      </c>
      <c r="AC2009" s="3" t="str">
        <f>"43201"</f>
        <v>43201</v>
      </c>
      <c r="AD2009" t="s">
        <v>128</v>
      </c>
      <c r="AF2009" s="4">
        <v>16142920611</v>
      </c>
      <c r="AH2009" t="str">
        <f>"611310"</f>
        <v>611310</v>
      </c>
      <c r="AI2009" t="s">
        <v>130</v>
      </c>
      <c r="AJ2009" t="s">
        <v>434</v>
      </c>
      <c r="AK2009" t="s">
        <v>435</v>
      </c>
      <c r="AL2009" t="s">
        <v>436</v>
      </c>
      <c r="AM2009" t="s">
        <v>445</v>
      </c>
      <c r="AN2009" t="s">
        <v>439</v>
      </c>
      <c r="AO2009" t="s">
        <v>440</v>
      </c>
      <c r="AP2009" t="s">
        <v>444</v>
      </c>
      <c r="AQ2009" s="5">
        <v>43201</v>
      </c>
      <c r="AR2009" t="s">
        <v>128</v>
      </c>
      <c r="AT2009" s="4">
        <v>16142920611</v>
      </c>
      <c r="AV2009" t="s">
        <v>442</v>
      </c>
      <c r="AW2009" t="s">
        <v>443</v>
      </c>
      <c r="AX2009" t="s">
        <v>135</v>
      </c>
      <c r="AY2009" t="s">
        <v>135</v>
      </c>
      <c r="AZ2009" t="s">
        <v>131</v>
      </c>
      <c r="BA2009" t="s">
        <v>131</v>
      </c>
      <c r="BB2009" t="s">
        <v>134</v>
      </c>
      <c r="BC2009" t="s">
        <v>131</v>
      </c>
      <c r="BD2009" t="s">
        <v>131</v>
      </c>
      <c r="BE2009" t="s">
        <v>132</v>
      </c>
      <c r="BH2009" t="s">
        <v>1085</v>
      </c>
      <c r="BI2009" t="s">
        <v>131</v>
      </c>
      <c r="BL2009" t="s">
        <v>658</v>
      </c>
      <c r="BM2009" t="s">
        <v>1086</v>
      </c>
      <c r="BN2009" t="s">
        <v>659</v>
      </c>
      <c r="BO2009" t="s">
        <v>131</v>
      </c>
      <c r="BP2009" t="s">
        <v>134</v>
      </c>
      <c r="BQ2009" t="s">
        <v>135</v>
      </c>
      <c r="BR2009">
        <v>36</v>
      </c>
      <c r="BS2009" t="str">
        <f>"Residency training in internal medicine."</f>
        <v>Residency training in internal medicine.</v>
      </c>
      <c r="BT2009" t="s">
        <v>131</v>
      </c>
      <c r="BV2009" t="str">
        <f>""</f>
        <v/>
      </c>
      <c r="BW2009" t="s">
        <v>135</v>
      </c>
      <c r="BX2009" t="str">
        <f>""</f>
        <v/>
      </c>
      <c r="BY2009" t="str">
        <f>""</f>
        <v/>
      </c>
      <c r="BZ2009" t="str">
        <f>""</f>
        <v/>
      </c>
      <c r="CA2009" s="2" t="s">
        <v>13073</v>
      </c>
      <c r="CB2009" t="s">
        <v>135</v>
      </c>
      <c r="CC2009" t="s">
        <v>658</v>
      </c>
      <c r="CD2009" t="s">
        <v>7909</v>
      </c>
      <c r="CE2009" t="s">
        <v>659</v>
      </c>
      <c r="CF2009" t="s">
        <v>131</v>
      </c>
      <c r="CH2009" t="str">
        <f>"N/A"</f>
        <v>N/A</v>
      </c>
      <c r="CI2009" t="s">
        <v>131</v>
      </c>
      <c r="CK2009" t="s">
        <v>131</v>
      </c>
      <c r="CL2009" t="str">
        <f>""</f>
        <v/>
      </c>
      <c r="CM2009" t="str">
        <f>""</f>
        <v/>
      </c>
      <c r="CN2009" t="str">
        <f>""</f>
        <v/>
      </c>
      <c r="CO2009" t="str">
        <f>""</f>
        <v/>
      </c>
      <c r="CP2009" t="str">
        <f>"25-1071.00"</f>
        <v>25-1071.00</v>
      </c>
      <c r="CQ2009" t="s">
        <v>1087</v>
      </c>
      <c r="CR2009" t="s">
        <v>448</v>
      </c>
      <c r="CS2009" t="s">
        <v>135</v>
      </c>
      <c r="CT2009" s="2" t="s">
        <v>13074</v>
      </c>
      <c r="CU2009" t="s">
        <v>9793</v>
      </c>
      <c r="CW2009" t="s">
        <v>440</v>
      </c>
      <c r="CX2009" t="s">
        <v>444</v>
      </c>
      <c r="CZ2009" s="3" t="str">
        <f>"43210"</f>
        <v>43210</v>
      </c>
      <c r="DA2009" t="s">
        <v>131</v>
      </c>
      <c r="DB2009" t="str">
        <f>""</f>
        <v/>
      </c>
      <c r="DF2009" t="str">
        <f>""</f>
        <v/>
      </c>
    </row>
    <row r="2010" spans="1:110" ht="15" customHeight="1" x14ac:dyDescent="0.35">
      <c r="A2010" t="s">
        <v>19323</v>
      </c>
      <c r="B2010" t="s">
        <v>138</v>
      </c>
      <c r="C2010" s="1">
        <v>44362</v>
      </c>
      <c r="G2010" s="1">
        <v>44368</v>
      </c>
      <c r="H2010" t="s">
        <v>125</v>
      </c>
      <c r="I2010" t="s">
        <v>14981</v>
      </c>
      <c r="J2010" t="s">
        <v>1204</v>
      </c>
      <c r="L2010" t="s">
        <v>1031</v>
      </c>
      <c r="M2010" t="s">
        <v>14982</v>
      </c>
      <c r="O2010" t="s">
        <v>13799</v>
      </c>
      <c r="P2010" t="s">
        <v>178</v>
      </c>
      <c r="Q2010" s="3">
        <v>92563</v>
      </c>
      <c r="R2010" t="s">
        <v>128</v>
      </c>
      <c r="T2010" s="4">
        <v>19516984800</v>
      </c>
      <c r="V2010" t="s">
        <v>14983</v>
      </c>
      <c r="W2010" t="s">
        <v>14984</v>
      </c>
      <c r="Y2010" t="s">
        <v>19324</v>
      </c>
      <c r="AA2010" t="s">
        <v>13799</v>
      </c>
      <c r="AB2010" t="s">
        <v>172</v>
      </c>
      <c r="AC2010" s="3" t="str">
        <f>"92563"</f>
        <v>92563</v>
      </c>
      <c r="AD2010" t="s">
        <v>128</v>
      </c>
      <c r="AF2010" s="4">
        <v>19516984800</v>
      </c>
      <c r="AH2010" t="str">
        <f>"722511"</f>
        <v>722511</v>
      </c>
      <c r="AI2010" t="s">
        <v>130</v>
      </c>
      <c r="AJ2010" t="s">
        <v>3049</v>
      </c>
      <c r="AK2010" t="s">
        <v>972</v>
      </c>
      <c r="AL2010" t="s">
        <v>1568</v>
      </c>
      <c r="AM2010" t="s">
        <v>11827</v>
      </c>
      <c r="AO2010" t="s">
        <v>1663</v>
      </c>
      <c r="AP2010" t="s">
        <v>172</v>
      </c>
      <c r="AQ2010" s="5">
        <v>90010</v>
      </c>
      <c r="AR2010" t="s">
        <v>128</v>
      </c>
      <c r="AT2010" s="4">
        <v>12134652705</v>
      </c>
      <c r="AV2010" t="s">
        <v>11828</v>
      </c>
      <c r="AW2010" t="s">
        <v>11829</v>
      </c>
      <c r="AX2010" t="s">
        <v>131</v>
      </c>
      <c r="AY2010" t="s">
        <v>131</v>
      </c>
      <c r="AZ2010" t="s">
        <v>131</v>
      </c>
      <c r="BA2010" t="s">
        <v>131</v>
      </c>
      <c r="BB2010" t="s">
        <v>131</v>
      </c>
      <c r="BC2010" t="s">
        <v>131</v>
      </c>
      <c r="BD2010" t="s">
        <v>131</v>
      </c>
      <c r="BE2010" t="s">
        <v>132</v>
      </c>
      <c r="BH2010" t="s">
        <v>13800</v>
      </c>
      <c r="BI2010" t="s">
        <v>131</v>
      </c>
      <c r="BL2010" t="s">
        <v>167</v>
      </c>
      <c r="BO2010" t="s">
        <v>131</v>
      </c>
      <c r="BP2010" t="s">
        <v>134</v>
      </c>
      <c r="BQ2010" t="s">
        <v>131</v>
      </c>
      <c r="BS2010" t="str">
        <f t="shared" ref="BS2010:BS2041" si="114">"N/A"</f>
        <v>N/A</v>
      </c>
      <c r="BT2010" t="s">
        <v>131</v>
      </c>
      <c r="BV2010" t="str">
        <f>""</f>
        <v/>
      </c>
      <c r="BW2010" t="s">
        <v>131</v>
      </c>
      <c r="BX2010" t="str">
        <f>""</f>
        <v/>
      </c>
      <c r="BY2010" t="str">
        <f>""</f>
        <v/>
      </c>
      <c r="BZ2010" t="str">
        <f>""</f>
        <v/>
      </c>
      <c r="CA2010" t="str">
        <f>""</f>
        <v/>
      </c>
      <c r="CB2010" t="s">
        <v>131</v>
      </c>
      <c r="CF2010" t="s">
        <v>131</v>
      </c>
      <c r="CH2010" t="str">
        <f>""</f>
        <v/>
      </c>
      <c r="CI2010" t="s">
        <v>131</v>
      </c>
      <c r="CK2010" t="s">
        <v>131</v>
      </c>
      <c r="CL2010" t="str">
        <f>""</f>
        <v/>
      </c>
      <c r="CM2010" t="str">
        <f>""</f>
        <v/>
      </c>
      <c r="CN2010" t="str">
        <f>""</f>
        <v/>
      </c>
      <c r="CO2010" t="str">
        <f>""</f>
        <v/>
      </c>
      <c r="CP2010" t="str">
        <f>"35-2014.00"</f>
        <v>35-2014.00</v>
      </c>
      <c r="CQ2010" t="s">
        <v>581</v>
      </c>
      <c r="CR2010" t="s">
        <v>13800</v>
      </c>
      <c r="CS2010" t="s">
        <v>131</v>
      </c>
      <c r="CU2010" t="s">
        <v>14982</v>
      </c>
      <c r="CW2010" t="s">
        <v>13799</v>
      </c>
      <c r="CX2010" t="s">
        <v>172</v>
      </c>
      <c r="CZ2010" s="3" t="str">
        <f>"92563"</f>
        <v>92563</v>
      </c>
      <c r="DA2010" t="s">
        <v>131</v>
      </c>
      <c r="DB2010" t="str">
        <f>""</f>
        <v/>
      </c>
      <c r="DF2010" t="str">
        <f>""</f>
        <v/>
      </c>
    </row>
    <row r="2011" spans="1:110" ht="15" customHeight="1" x14ac:dyDescent="0.35">
      <c r="A2011" t="s">
        <v>12568</v>
      </c>
      <c r="B2011" t="s">
        <v>138</v>
      </c>
      <c r="C2011" s="1">
        <v>44362</v>
      </c>
      <c r="G2011" s="1">
        <v>44363</v>
      </c>
      <c r="H2011" t="s">
        <v>125</v>
      </c>
      <c r="I2011" t="s">
        <v>12197</v>
      </c>
      <c r="J2011" t="s">
        <v>12198</v>
      </c>
      <c r="L2011" t="s">
        <v>1089</v>
      </c>
      <c r="M2011" t="s">
        <v>12199</v>
      </c>
      <c r="N2011" t="s">
        <v>6979</v>
      </c>
      <c r="O2011" t="s">
        <v>171</v>
      </c>
      <c r="P2011" t="s">
        <v>178</v>
      </c>
      <c r="Q2011" s="3">
        <v>92612</v>
      </c>
      <c r="R2011" t="s">
        <v>128</v>
      </c>
      <c r="T2011" s="4">
        <v>19495605681</v>
      </c>
      <c r="V2011" t="s">
        <v>12200</v>
      </c>
      <c r="W2011" t="s">
        <v>12201</v>
      </c>
      <c r="Y2011" t="s">
        <v>12202</v>
      </c>
      <c r="Z2011" t="s">
        <v>904</v>
      </c>
      <c r="AA2011" t="s">
        <v>1447</v>
      </c>
      <c r="AB2011" t="s">
        <v>400</v>
      </c>
      <c r="AC2011" s="3" t="str">
        <f>"75093"</f>
        <v>75093</v>
      </c>
      <c r="AD2011" t="s">
        <v>128</v>
      </c>
      <c r="AF2011" s="4">
        <v>14697982121</v>
      </c>
      <c r="AH2011" t="str">
        <f>"423450"</f>
        <v>423450</v>
      </c>
      <c r="AI2011" t="s">
        <v>130</v>
      </c>
      <c r="AJ2011" t="s">
        <v>12203</v>
      </c>
      <c r="AK2011" t="s">
        <v>12204</v>
      </c>
      <c r="AM2011" t="s">
        <v>9864</v>
      </c>
      <c r="AN2011" t="s">
        <v>2558</v>
      </c>
      <c r="AO2011" t="s">
        <v>476</v>
      </c>
      <c r="AP2011" t="s">
        <v>172</v>
      </c>
      <c r="AQ2011" s="5">
        <v>90067</v>
      </c>
      <c r="AR2011" t="s">
        <v>128</v>
      </c>
      <c r="AT2011" s="4">
        <v>14247775515</v>
      </c>
      <c r="AV2011" t="s">
        <v>12205</v>
      </c>
      <c r="AW2011" t="s">
        <v>12206</v>
      </c>
      <c r="AX2011" t="s">
        <v>131</v>
      </c>
      <c r="AY2011" t="s">
        <v>131</v>
      </c>
      <c r="AZ2011" t="s">
        <v>131</v>
      </c>
      <c r="BA2011" t="s">
        <v>131</v>
      </c>
      <c r="BB2011" t="s">
        <v>131</v>
      </c>
      <c r="BC2011" t="s">
        <v>131</v>
      </c>
      <c r="BD2011" t="s">
        <v>131</v>
      </c>
      <c r="BE2011" t="s">
        <v>132</v>
      </c>
      <c r="BH2011" t="s">
        <v>1205</v>
      </c>
      <c r="BI2011" t="s">
        <v>131</v>
      </c>
      <c r="BL2011" t="s">
        <v>133</v>
      </c>
      <c r="BN2011" t="s">
        <v>12569</v>
      </c>
      <c r="BO2011" t="s">
        <v>131</v>
      </c>
      <c r="BP2011" t="s">
        <v>134</v>
      </c>
      <c r="BQ2011" t="s">
        <v>131</v>
      </c>
      <c r="BS2011" t="str">
        <f t="shared" si="114"/>
        <v>N/A</v>
      </c>
      <c r="BT2011" t="s">
        <v>135</v>
      </c>
      <c r="BU2011">
        <v>12</v>
      </c>
      <c r="BV2011" t="str">
        <f>"Offered position or related managerial positions"</f>
        <v>Offered position or related managerial positions</v>
      </c>
      <c r="BW2011" t="s">
        <v>135</v>
      </c>
      <c r="BX2011" t="str">
        <f>""</f>
        <v/>
      </c>
      <c r="BY2011" t="str">
        <f>"Must be fluent in the Japanese language"</f>
        <v>Must be fluent in the Japanese language</v>
      </c>
      <c r="BZ2011" t="str">
        <f>""</f>
        <v/>
      </c>
      <c r="CA2011" t="str">
        <f>""</f>
        <v/>
      </c>
      <c r="CB2011" t="s">
        <v>131</v>
      </c>
      <c r="CF2011" t="s">
        <v>131</v>
      </c>
      <c r="CH2011" t="str">
        <f>""</f>
        <v/>
      </c>
      <c r="CI2011" t="s">
        <v>131</v>
      </c>
      <c r="CK2011" t="s">
        <v>131</v>
      </c>
      <c r="CL2011" t="str">
        <f>""</f>
        <v/>
      </c>
      <c r="CM2011" t="str">
        <f>""</f>
        <v/>
      </c>
      <c r="CN2011" t="str">
        <f>""</f>
        <v/>
      </c>
      <c r="CO2011" t="str">
        <f>""</f>
        <v/>
      </c>
      <c r="CP2011" t="str">
        <f>"11-1021.00"</f>
        <v>11-1021.00</v>
      </c>
      <c r="CQ2011" t="s">
        <v>1296</v>
      </c>
      <c r="CR2011" t="s">
        <v>395</v>
      </c>
      <c r="CS2011" t="s">
        <v>131</v>
      </c>
      <c r="CU2011" t="s">
        <v>12202</v>
      </c>
      <c r="CV2011" t="s">
        <v>904</v>
      </c>
      <c r="CW2011" t="s">
        <v>1447</v>
      </c>
      <c r="CX2011" t="s">
        <v>400</v>
      </c>
      <c r="CZ2011" s="3" t="str">
        <f>"75093"</f>
        <v>75093</v>
      </c>
      <c r="DA2011" t="s">
        <v>131</v>
      </c>
      <c r="DB2011" t="str">
        <f>""</f>
        <v/>
      </c>
      <c r="DF2011" t="str">
        <f>""</f>
        <v/>
      </c>
    </row>
    <row r="2012" spans="1:110" ht="15" customHeight="1" x14ac:dyDescent="0.35">
      <c r="A2012" t="s">
        <v>17026</v>
      </c>
      <c r="B2012" t="s">
        <v>138</v>
      </c>
      <c r="C2012" s="1">
        <v>44362</v>
      </c>
      <c r="G2012" s="1">
        <v>44365</v>
      </c>
      <c r="H2012" t="s">
        <v>125</v>
      </c>
      <c r="I2012" t="s">
        <v>139</v>
      </c>
      <c r="J2012" t="s">
        <v>140</v>
      </c>
      <c r="L2012" t="s">
        <v>141</v>
      </c>
      <c r="M2012" t="s">
        <v>142</v>
      </c>
      <c r="O2012" t="s">
        <v>143</v>
      </c>
      <c r="P2012" t="s">
        <v>144</v>
      </c>
      <c r="Q2012" s="3">
        <v>98052</v>
      </c>
      <c r="R2012" t="s">
        <v>128</v>
      </c>
      <c r="T2012" s="4">
        <v>14255383872</v>
      </c>
      <c r="V2012" t="s">
        <v>234</v>
      </c>
      <c r="W2012" t="s">
        <v>235</v>
      </c>
      <c r="Y2012" t="s">
        <v>236</v>
      </c>
      <c r="AA2012" t="s">
        <v>143</v>
      </c>
      <c r="AB2012" t="s">
        <v>149</v>
      </c>
      <c r="AC2012" s="3" t="str">
        <f>"98052"</f>
        <v>98052</v>
      </c>
      <c r="AD2012" t="s">
        <v>128</v>
      </c>
      <c r="AF2012" s="4">
        <v>14255383872</v>
      </c>
      <c r="AH2012" t="str">
        <f>"5112"</f>
        <v>5112</v>
      </c>
      <c r="AI2012" t="s">
        <v>130</v>
      </c>
      <c r="AJ2012" t="s">
        <v>237</v>
      </c>
      <c r="AK2012" t="s">
        <v>238</v>
      </c>
      <c r="AM2012" t="s">
        <v>239</v>
      </c>
      <c r="AN2012" t="s">
        <v>240</v>
      </c>
      <c r="AO2012" t="s">
        <v>241</v>
      </c>
      <c r="AQ2012" s="5" t="s">
        <v>242</v>
      </c>
      <c r="AR2012" t="s">
        <v>156</v>
      </c>
      <c r="AS2012" t="s">
        <v>243</v>
      </c>
      <c r="AT2012" s="4">
        <v>16048067013</v>
      </c>
      <c r="AV2012" t="s">
        <v>234</v>
      </c>
      <c r="AW2012" t="s">
        <v>244</v>
      </c>
      <c r="AX2012" t="s">
        <v>131</v>
      </c>
      <c r="AY2012" t="s">
        <v>131</v>
      </c>
      <c r="AZ2012" t="s">
        <v>131</v>
      </c>
      <c r="BA2012" t="s">
        <v>131</v>
      </c>
      <c r="BB2012" t="s">
        <v>131</v>
      </c>
      <c r="BC2012" t="s">
        <v>131</v>
      </c>
      <c r="BD2012" t="s">
        <v>131</v>
      </c>
      <c r="BE2012" t="s">
        <v>132</v>
      </c>
      <c r="BH2012" t="s">
        <v>8088</v>
      </c>
      <c r="BI2012" t="s">
        <v>131</v>
      </c>
      <c r="BL2012" t="s">
        <v>133</v>
      </c>
      <c r="BN2012" t="s">
        <v>17027</v>
      </c>
      <c r="BO2012" t="s">
        <v>131</v>
      </c>
      <c r="BP2012" t="s">
        <v>134</v>
      </c>
      <c r="BQ2012" t="s">
        <v>131</v>
      </c>
      <c r="BS2012" t="str">
        <f t="shared" si="114"/>
        <v>N/A</v>
      </c>
      <c r="BT2012" t="s">
        <v>135</v>
      </c>
      <c r="BU2012">
        <v>60</v>
      </c>
      <c r="BV2012" t="str">
        <f>"All computer-related occupations"</f>
        <v>All computer-related occupations</v>
      </c>
      <c r="BW2012" t="s">
        <v>135</v>
      </c>
      <c r="BX2012" t="str">
        <f>""</f>
        <v/>
      </c>
      <c r="BY2012" t="str">
        <f>""</f>
        <v/>
      </c>
      <c r="BZ2012" t="str">
        <f>""</f>
        <v/>
      </c>
      <c r="CA2012" t="s">
        <v>8089</v>
      </c>
      <c r="CB2012" t="s">
        <v>135</v>
      </c>
      <c r="CC2012" t="s">
        <v>167</v>
      </c>
      <c r="CF2012" t="s">
        <v>131</v>
      </c>
      <c r="CH2012" t="str">
        <f>"N/A"</f>
        <v>N/A</v>
      </c>
      <c r="CI2012" t="s">
        <v>135</v>
      </c>
      <c r="CJ2012">
        <v>84</v>
      </c>
      <c r="CK2012" t="s">
        <v>135</v>
      </c>
      <c r="CL2012" t="str">
        <f>""</f>
        <v/>
      </c>
      <c r="CM2012" t="str">
        <f>""</f>
        <v/>
      </c>
      <c r="CN2012" t="str">
        <f>""</f>
        <v/>
      </c>
      <c r="CO2012" t="s">
        <v>8089</v>
      </c>
      <c r="CP2012" t="str">
        <f>"27-1024.00"</f>
        <v>27-1024.00</v>
      </c>
      <c r="CQ2012" t="s">
        <v>3208</v>
      </c>
      <c r="CS2012" t="s">
        <v>131</v>
      </c>
      <c r="CU2012" t="s">
        <v>142</v>
      </c>
      <c r="CW2012" t="s">
        <v>143</v>
      </c>
      <c r="CX2012" t="s">
        <v>149</v>
      </c>
      <c r="CZ2012" s="3" t="str">
        <f>"98052"</f>
        <v>98052</v>
      </c>
      <c r="DA2012" t="s">
        <v>131</v>
      </c>
      <c r="DB2012" t="str">
        <f>""</f>
        <v/>
      </c>
      <c r="DF2012" t="str">
        <f>""</f>
        <v/>
      </c>
    </row>
    <row r="2013" spans="1:110" ht="15" customHeight="1" x14ac:dyDescent="0.35">
      <c r="A2013" t="s">
        <v>10985</v>
      </c>
      <c r="B2013" t="s">
        <v>138</v>
      </c>
      <c r="C2013" s="1">
        <v>44362</v>
      </c>
      <c r="G2013" s="1">
        <v>44362</v>
      </c>
      <c r="H2013" t="s">
        <v>125</v>
      </c>
      <c r="I2013" t="s">
        <v>1448</v>
      </c>
      <c r="J2013" t="s">
        <v>348</v>
      </c>
      <c r="L2013" t="s">
        <v>668</v>
      </c>
      <c r="M2013" t="s">
        <v>10986</v>
      </c>
      <c r="O2013" t="s">
        <v>10987</v>
      </c>
      <c r="P2013" t="s">
        <v>248</v>
      </c>
      <c r="Q2013" s="3">
        <v>55992</v>
      </c>
      <c r="R2013" t="s">
        <v>128</v>
      </c>
      <c r="T2013" s="4">
        <v>15078243133</v>
      </c>
      <c r="V2013" t="s">
        <v>10988</v>
      </c>
      <c r="W2013" t="s">
        <v>10989</v>
      </c>
      <c r="Y2013" t="s">
        <v>10986</v>
      </c>
      <c r="AA2013" t="s">
        <v>10987</v>
      </c>
      <c r="AB2013" t="s">
        <v>249</v>
      </c>
      <c r="AC2013" s="3" t="str">
        <f>"55992"</f>
        <v>55992</v>
      </c>
      <c r="AD2013" t="s">
        <v>128</v>
      </c>
      <c r="AF2013" s="4">
        <v>15078243133</v>
      </c>
      <c r="AH2013" t="str">
        <f>"111199"</f>
        <v>111199</v>
      </c>
      <c r="AI2013" t="s">
        <v>130</v>
      </c>
      <c r="AJ2013" t="s">
        <v>3779</v>
      </c>
      <c r="AK2013" t="s">
        <v>5653</v>
      </c>
      <c r="AL2013" t="s">
        <v>10990</v>
      </c>
      <c r="AM2013" t="s">
        <v>4119</v>
      </c>
      <c r="AN2013" t="s">
        <v>1980</v>
      </c>
      <c r="AO2013" t="s">
        <v>1276</v>
      </c>
      <c r="AP2013" t="s">
        <v>249</v>
      </c>
      <c r="AQ2013" s="5">
        <v>55425</v>
      </c>
      <c r="AR2013" t="s">
        <v>128</v>
      </c>
      <c r="AT2013" s="4">
        <v>19528543313</v>
      </c>
      <c r="AU2013">
        <v>282</v>
      </c>
      <c r="AV2013" t="s">
        <v>10991</v>
      </c>
      <c r="AW2013" t="s">
        <v>4121</v>
      </c>
      <c r="AX2013" t="s">
        <v>131</v>
      </c>
      <c r="AY2013" t="s">
        <v>131</v>
      </c>
      <c r="AZ2013" t="s">
        <v>131</v>
      </c>
      <c r="BA2013" t="s">
        <v>131</v>
      </c>
      <c r="BB2013" t="s">
        <v>131</v>
      </c>
      <c r="BC2013" t="s">
        <v>131</v>
      </c>
      <c r="BD2013" t="s">
        <v>131</v>
      </c>
      <c r="BE2013" t="s">
        <v>132</v>
      </c>
      <c r="BH2013" t="s">
        <v>10992</v>
      </c>
      <c r="BI2013" t="s">
        <v>131</v>
      </c>
      <c r="BL2013" t="s">
        <v>167</v>
      </c>
      <c r="BO2013" t="s">
        <v>131</v>
      </c>
      <c r="BP2013" t="s">
        <v>134</v>
      </c>
      <c r="BQ2013" t="s">
        <v>131</v>
      </c>
      <c r="BS2013" t="str">
        <f t="shared" si="114"/>
        <v>N/A</v>
      </c>
      <c r="BT2013" t="s">
        <v>135</v>
      </c>
      <c r="BU2013">
        <v>3</v>
      </c>
      <c r="BV2013" t="str">
        <f>"Operating farm equipment (any title)"</f>
        <v>Operating farm equipment (any title)</v>
      </c>
      <c r="BW2013" t="s">
        <v>135</v>
      </c>
      <c r="BX2013" t="str">
        <f>""</f>
        <v/>
      </c>
      <c r="BY2013" t="str">
        <f>""</f>
        <v/>
      </c>
      <c r="BZ2013" t="str">
        <f>""</f>
        <v/>
      </c>
      <c r="CA2013" t="str">
        <f>"This position requires at least three (3) months of experience operating farm equipment (any title). "</f>
        <v xml:space="preserve">This position requires at least three (3) months of experience operating farm equipment (any title). </v>
      </c>
      <c r="CB2013" t="s">
        <v>131</v>
      </c>
      <c r="CF2013" t="s">
        <v>131</v>
      </c>
      <c r="CH2013" t="str">
        <f>""</f>
        <v/>
      </c>
      <c r="CI2013" t="s">
        <v>131</v>
      </c>
      <c r="CK2013" t="s">
        <v>131</v>
      </c>
      <c r="CL2013" t="str">
        <f>""</f>
        <v/>
      </c>
      <c r="CM2013" t="str">
        <f>""</f>
        <v/>
      </c>
      <c r="CN2013" t="str">
        <f>""</f>
        <v/>
      </c>
      <c r="CO2013" t="str">
        <f>""</f>
        <v/>
      </c>
      <c r="CP2013" t="str">
        <f>"45-2091.00"</f>
        <v>45-2091.00</v>
      </c>
      <c r="CQ2013" t="s">
        <v>4096</v>
      </c>
      <c r="CS2013" t="s">
        <v>131</v>
      </c>
      <c r="CU2013" t="s">
        <v>10986</v>
      </c>
      <c r="CW2013" t="s">
        <v>10987</v>
      </c>
      <c r="CX2013" t="s">
        <v>249</v>
      </c>
      <c r="CZ2013" s="3" t="str">
        <f>"55992"</f>
        <v>55992</v>
      </c>
      <c r="DA2013" t="s">
        <v>131</v>
      </c>
      <c r="DB2013" t="str">
        <f>""</f>
        <v/>
      </c>
      <c r="DF2013" t="str">
        <f>""</f>
        <v/>
      </c>
    </row>
    <row r="2014" spans="1:110" ht="15" customHeight="1" x14ac:dyDescent="0.35">
      <c r="A2014" t="s">
        <v>19434</v>
      </c>
      <c r="B2014" t="s">
        <v>138</v>
      </c>
      <c r="C2014" s="1">
        <v>44363</v>
      </c>
      <c r="G2014" s="1">
        <v>44366</v>
      </c>
      <c r="H2014" t="s">
        <v>125</v>
      </c>
      <c r="I2014" t="s">
        <v>1492</v>
      </c>
      <c r="J2014" t="s">
        <v>1493</v>
      </c>
      <c r="K2014" t="s">
        <v>1312</v>
      </c>
      <c r="L2014" t="s">
        <v>1494</v>
      </c>
      <c r="M2014" t="s">
        <v>564</v>
      </c>
      <c r="N2014" t="s">
        <v>1495</v>
      </c>
      <c r="O2014" t="s">
        <v>220</v>
      </c>
      <c r="P2014" t="s">
        <v>178</v>
      </c>
      <c r="Q2014" s="3">
        <v>94104</v>
      </c>
      <c r="R2014" t="s">
        <v>128</v>
      </c>
      <c r="T2014" s="4">
        <v>14157717500</v>
      </c>
      <c r="U2014">
        <v>262</v>
      </c>
      <c r="V2014" t="s">
        <v>1496</v>
      </c>
      <c r="W2014" t="s">
        <v>4252</v>
      </c>
      <c r="Y2014" t="s">
        <v>4253</v>
      </c>
      <c r="Z2014" t="s">
        <v>4254</v>
      </c>
      <c r="AA2014" t="s">
        <v>2628</v>
      </c>
      <c r="AB2014" t="s">
        <v>172</v>
      </c>
      <c r="AC2014" s="3" t="str">
        <f>"94607"</f>
        <v>94607</v>
      </c>
      <c r="AD2014" t="s">
        <v>128</v>
      </c>
      <c r="AF2014" s="4">
        <v>15108339776</v>
      </c>
      <c r="AH2014" t="str">
        <f>"541990"</f>
        <v>541990</v>
      </c>
      <c r="AI2014" t="s">
        <v>130</v>
      </c>
      <c r="AJ2014" t="s">
        <v>4255</v>
      </c>
      <c r="AK2014" t="s">
        <v>4256</v>
      </c>
      <c r="AM2014" t="s">
        <v>564</v>
      </c>
      <c r="AN2014" t="s">
        <v>1495</v>
      </c>
      <c r="AO2014" t="s">
        <v>220</v>
      </c>
      <c r="AP2014" t="s">
        <v>172</v>
      </c>
      <c r="AQ2014" s="5">
        <v>94104</v>
      </c>
      <c r="AR2014" t="s">
        <v>128</v>
      </c>
      <c r="AT2014" s="4">
        <v>14157717500</v>
      </c>
      <c r="AV2014" t="s">
        <v>4257</v>
      </c>
      <c r="AW2014" t="s">
        <v>251</v>
      </c>
      <c r="AX2014" t="s">
        <v>131</v>
      </c>
      <c r="AY2014" t="s">
        <v>131</v>
      </c>
      <c r="AZ2014" t="s">
        <v>131</v>
      </c>
      <c r="BA2014" t="s">
        <v>131</v>
      </c>
      <c r="BB2014" t="s">
        <v>131</v>
      </c>
      <c r="BC2014" t="s">
        <v>131</v>
      </c>
      <c r="BD2014" t="s">
        <v>131</v>
      </c>
      <c r="BE2014" t="s">
        <v>132</v>
      </c>
      <c r="BH2014" t="s">
        <v>16520</v>
      </c>
      <c r="BI2014" t="s">
        <v>131</v>
      </c>
      <c r="BL2014" t="s">
        <v>133</v>
      </c>
      <c r="BN2014" t="s">
        <v>16521</v>
      </c>
      <c r="BO2014" t="s">
        <v>131</v>
      </c>
      <c r="BP2014" t="s">
        <v>134</v>
      </c>
      <c r="BQ2014" t="s">
        <v>131</v>
      </c>
      <c r="BS2014" t="str">
        <f t="shared" si="114"/>
        <v>N/A</v>
      </c>
      <c r="BT2014" t="s">
        <v>135</v>
      </c>
      <c r="BU2014">
        <v>36</v>
      </c>
      <c r="BV2014" t="str">
        <f>" job offered, Risk Analyst, or related occupation"</f>
        <v xml:space="preserve"> job offered, Risk Analyst, or related occupation</v>
      </c>
      <c r="BW2014" t="s">
        <v>135</v>
      </c>
      <c r="BX2014" t="str">
        <f>""</f>
        <v/>
      </c>
      <c r="BY2014" t="str">
        <f>""</f>
        <v/>
      </c>
      <c r="BZ2014" t="str">
        <f>""</f>
        <v/>
      </c>
      <c r="CA2014" t="str">
        <f>"Academic training or experience must include three (3) years in the following: SAS; SQL; Python; R.
Experience in working with credit bureau data (2 years).
Extensive experience in training statistical machine learning models (3 years).
"</f>
        <v xml:space="preserve">Academic training or experience must include three (3) years in the following: SAS; SQL; Python; R.
Experience in working with credit bureau data (2 years).
Extensive experience in training statistical machine learning models (3 years).
</v>
      </c>
      <c r="CB2014" t="s">
        <v>131</v>
      </c>
      <c r="CF2014" t="s">
        <v>131</v>
      </c>
      <c r="CH2014" t="str">
        <f>""</f>
        <v/>
      </c>
      <c r="CI2014" t="s">
        <v>131</v>
      </c>
      <c r="CK2014" t="s">
        <v>131</v>
      </c>
      <c r="CL2014" t="str">
        <f>""</f>
        <v/>
      </c>
      <c r="CM2014" t="str">
        <f>""</f>
        <v/>
      </c>
      <c r="CN2014" t="str">
        <f>""</f>
        <v/>
      </c>
      <c r="CO2014" t="str">
        <f>""</f>
        <v/>
      </c>
      <c r="CP2014" t="str">
        <f>"15-2041.00"</f>
        <v>15-2041.00</v>
      </c>
      <c r="CQ2014" t="s">
        <v>379</v>
      </c>
      <c r="CR2014" t="s">
        <v>16522</v>
      </c>
      <c r="CS2014" t="s">
        <v>135</v>
      </c>
      <c r="CT2014" t="s">
        <v>19435</v>
      </c>
      <c r="CU2014" t="s">
        <v>4253</v>
      </c>
      <c r="CV2014" t="s">
        <v>4254</v>
      </c>
      <c r="CW2014" t="s">
        <v>2628</v>
      </c>
      <c r="CX2014" t="s">
        <v>172</v>
      </c>
      <c r="CZ2014" s="3" t="str">
        <f>"94607"</f>
        <v>94607</v>
      </c>
      <c r="DA2014" t="s">
        <v>131</v>
      </c>
      <c r="DB2014" t="str">
        <f>""</f>
        <v/>
      </c>
      <c r="DF2014" t="str">
        <f>""</f>
        <v/>
      </c>
    </row>
    <row r="2015" spans="1:110" ht="15" customHeight="1" x14ac:dyDescent="0.35">
      <c r="A2015" t="s">
        <v>17877</v>
      </c>
      <c r="B2015" t="s">
        <v>138</v>
      </c>
      <c r="C2015" s="1">
        <v>44363</v>
      </c>
      <c r="G2015" s="1">
        <v>44364</v>
      </c>
      <c r="H2015" t="s">
        <v>125</v>
      </c>
      <c r="I2015" t="s">
        <v>5483</v>
      </c>
      <c r="J2015" t="s">
        <v>1345</v>
      </c>
      <c r="L2015" t="s">
        <v>1346</v>
      </c>
      <c r="M2015" t="s">
        <v>1347</v>
      </c>
      <c r="O2015" t="s">
        <v>1348</v>
      </c>
      <c r="P2015" t="s">
        <v>539</v>
      </c>
      <c r="Q2015" s="3">
        <v>60015</v>
      </c>
      <c r="R2015" t="s">
        <v>128</v>
      </c>
      <c r="T2015" s="4">
        <v>12244052549</v>
      </c>
      <c r="V2015" t="s">
        <v>4535</v>
      </c>
      <c r="W2015" t="s">
        <v>4536</v>
      </c>
      <c r="Y2015" t="s">
        <v>1351</v>
      </c>
      <c r="AA2015" t="s">
        <v>1348</v>
      </c>
      <c r="AB2015" t="s">
        <v>263</v>
      </c>
      <c r="AC2015" s="3" t="str">
        <f>"60015"</f>
        <v>60015</v>
      </c>
      <c r="AD2015" t="s">
        <v>128</v>
      </c>
      <c r="AF2015" s="4">
        <v>12244053726</v>
      </c>
      <c r="AG2015">
        <v>0</v>
      </c>
      <c r="AH2015" t="str">
        <f>"522291"</f>
        <v>522291</v>
      </c>
      <c r="AI2015" t="s">
        <v>130</v>
      </c>
      <c r="AJ2015" t="s">
        <v>1352</v>
      </c>
      <c r="AK2015" t="s">
        <v>260</v>
      </c>
      <c r="AM2015" t="s">
        <v>493</v>
      </c>
      <c r="AO2015" t="s">
        <v>494</v>
      </c>
      <c r="AP2015" t="s">
        <v>129</v>
      </c>
      <c r="AQ2015" s="5">
        <v>10018</v>
      </c>
      <c r="AR2015" t="s">
        <v>128</v>
      </c>
      <c r="AT2015" s="4">
        <v>12126888555</v>
      </c>
      <c r="AV2015" t="s">
        <v>1353</v>
      </c>
      <c r="AW2015" t="s">
        <v>386</v>
      </c>
      <c r="AX2015" t="s">
        <v>131</v>
      </c>
      <c r="AY2015" t="s">
        <v>131</v>
      </c>
      <c r="AZ2015" t="s">
        <v>131</v>
      </c>
      <c r="BA2015" t="s">
        <v>131</v>
      </c>
      <c r="BB2015" t="s">
        <v>131</v>
      </c>
      <c r="BC2015" t="s">
        <v>131</v>
      </c>
      <c r="BD2015" t="s">
        <v>131</v>
      </c>
      <c r="BE2015" t="s">
        <v>132</v>
      </c>
      <c r="BH2015" t="s">
        <v>5228</v>
      </c>
      <c r="BI2015" t="s">
        <v>135</v>
      </c>
      <c r="BJ2015" t="s">
        <v>597</v>
      </c>
      <c r="BK2015" t="s">
        <v>198</v>
      </c>
      <c r="BL2015" t="s">
        <v>133</v>
      </c>
      <c r="BN2015" t="s">
        <v>7519</v>
      </c>
      <c r="BO2015" t="s">
        <v>131</v>
      </c>
      <c r="BP2015" t="s">
        <v>134</v>
      </c>
      <c r="BQ2015" t="s">
        <v>131</v>
      </c>
      <c r="BS2015" t="str">
        <f t="shared" si="114"/>
        <v>N/A</v>
      </c>
      <c r="BT2015" t="s">
        <v>135</v>
      </c>
      <c r="BU2015">
        <v>96</v>
      </c>
      <c r="BV2015" t="str">
        <f>"Manager, Applications; Programmer Analyst, Lead; Technology Lead; Programmer Analyst; Software Engineer or related."</f>
        <v>Manager, Applications; Programmer Analyst, Lead; Technology Lead; Programmer Analyst; Software Engineer or related.</v>
      </c>
      <c r="BW2015" t="s">
        <v>135</v>
      </c>
      <c r="BX2015" t="str">
        <f>""</f>
        <v/>
      </c>
      <c r="BY2015" t="str">
        <f>""</f>
        <v/>
      </c>
      <c r="BZ2015" t="str">
        <f>""</f>
        <v/>
      </c>
      <c r="CA2015" t="s">
        <v>7520</v>
      </c>
      <c r="CB2015" t="s">
        <v>131</v>
      </c>
      <c r="CF2015" t="s">
        <v>131</v>
      </c>
      <c r="CH2015" t="str">
        <f>""</f>
        <v/>
      </c>
      <c r="CI2015" t="s">
        <v>131</v>
      </c>
      <c r="CK2015" t="s">
        <v>131</v>
      </c>
      <c r="CL2015" t="str">
        <f>""</f>
        <v/>
      </c>
      <c r="CM2015" t="str">
        <f>""</f>
        <v/>
      </c>
      <c r="CN2015" t="str">
        <f>""</f>
        <v/>
      </c>
      <c r="CO2015" t="str">
        <f>""</f>
        <v/>
      </c>
      <c r="CP2015" t="str">
        <f>"15-1132.00"</f>
        <v>15-1132.00</v>
      </c>
      <c r="CQ2015" t="s">
        <v>198</v>
      </c>
      <c r="CR2015" t="s">
        <v>286</v>
      </c>
      <c r="CS2015" t="s">
        <v>131</v>
      </c>
      <c r="CU2015" t="s">
        <v>7521</v>
      </c>
      <c r="CW2015" t="s">
        <v>885</v>
      </c>
      <c r="CX2015" t="s">
        <v>400</v>
      </c>
      <c r="CZ2015" s="3" t="str">
        <f>"77010"</f>
        <v>77010</v>
      </c>
      <c r="DA2015" t="s">
        <v>131</v>
      </c>
      <c r="DB2015" t="str">
        <f>""</f>
        <v/>
      </c>
      <c r="DF2015" t="str">
        <f>""</f>
        <v/>
      </c>
    </row>
    <row r="2016" spans="1:110" ht="15" customHeight="1" x14ac:dyDescent="0.35">
      <c r="A2016" t="s">
        <v>19050</v>
      </c>
      <c r="B2016" t="s">
        <v>138</v>
      </c>
      <c r="C2016" s="1">
        <v>44363</v>
      </c>
      <c r="G2016" s="1">
        <v>44363</v>
      </c>
      <c r="H2016" t="s">
        <v>125</v>
      </c>
      <c r="I2016" t="s">
        <v>3713</v>
      </c>
      <c r="J2016" t="s">
        <v>3714</v>
      </c>
      <c r="K2016" t="s">
        <v>192</v>
      </c>
      <c r="L2016" t="s">
        <v>130</v>
      </c>
      <c r="M2016" t="s">
        <v>493</v>
      </c>
      <c r="O2016" t="s">
        <v>494</v>
      </c>
      <c r="P2016" t="s">
        <v>127</v>
      </c>
      <c r="Q2016" s="3">
        <v>10018</v>
      </c>
      <c r="R2016" t="s">
        <v>128</v>
      </c>
      <c r="T2016" s="4">
        <v>12126888555</v>
      </c>
      <c r="V2016" t="s">
        <v>3715</v>
      </c>
      <c r="W2016" t="s">
        <v>3716</v>
      </c>
      <c r="Y2016" t="s">
        <v>3717</v>
      </c>
      <c r="AA2016" t="s">
        <v>3718</v>
      </c>
      <c r="AB2016" t="s">
        <v>129</v>
      </c>
      <c r="AC2016" s="3" t="str">
        <f>"10577"</f>
        <v>10577</v>
      </c>
      <c r="AD2016" t="s">
        <v>128</v>
      </c>
      <c r="AF2016" s="4">
        <v>19142492262</v>
      </c>
      <c r="AH2016" t="str">
        <f>"522210"</f>
        <v>522210</v>
      </c>
      <c r="AI2016" t="s">
        <v>130</v>
      </c>
      <c r="AJ2016" t="s">
        <v>3719</v>
      </c>
      <c r="AK2016" t="s">
        <v>3720</v>
      </c>
      <c r="AM2016" t="s">
        <v>514</v>
      </c>
      <c r="AO2016" t="s">
        <v>129</v>
      </c>
      <c r="AP2016" t="s">
        <v>129</v>
      </c>
      <c r="AQ2016" s="5">
        <v>10018</v>
      </c>
      <c r="AR2016" t="s">
        <v>128</v>
      </c>
      <c r="AT2016" s="4">
        <v>12126888555</v>
      </c>
      <c r="AV2016" t="s">
        <v>19051</v>
      </c>
      <c r="AW2016" t="s">
        <v>386</v>
      </c>
      <c r="AX2016" t="s">
        <v>131</v>
      </c>
      <c r="AY2016" t="s">
        <v>131</v>
      </c>
      <c r="AZ2016" t="s">
        <v>131</v>
      </c>
      <c r="BA2016" t="s">
        <v>131</v>
      </c>
      <c r="BB2016" t="s">
        <v>131</v>
      </c>
      <c r="BC2016" t="s">
        <v>131</v>
      </c>
      <c r="BD2016" t="s">
        <v>131</v>
      </c>
      <c r="BE2016" t="s">
        <v>132</v>
      </c>
      <c r="BH2016" t="s">
        <v>5249</v>
      </c>
      <c r="BI2016" t="s">
        <v>131</v>
      </c>
      <c r="BL2016" t="s">
        <v>188</v>
      </c>
      <c r="BN2016" t="s">
        <v>19052</v>
      </c>
      <c r="BO2016" t="s">
        <v>131</v>
      </c>
      <c r="BP2016" t="s">
        <v>134</v>
      </c>
      <c r="BQ2016" t="s">
        <v>131</v>
      </c>
      <c r="BS2016" t="str">
        <f t="shared" si="114"/>
        <v>N/A</v>
      </c>
      <c r="BT2016" t="s">
        <v>135</v>
      </c>
      <c r="BU2016">
        <v>24</v>
      </c>
      <c r="BV2016" t="str">
        <f>"In job offered, or as Software Engineer, Technical Lead, Programmer Analyst or related position"</f>
        <v>In job offered, or as Software Engineer, Technical Lead, Programmer Analyst or related position</v>
      </c>
      <c r="BW2016" t="s">
        <v>135</v>
      </c>
      <c r="BX2016" t="str">
        <f>""</f>
        <v/>
      </c>
      <c r="BY2016" t="str">
        <f>""</f>
        <v/>
      </c>
      <c r="BZ2016" t="str">
        <f>""</f>
        <v/>
      </c>
      <c r="CA2016" s="2" t="s">
        <v>7506</v>
      </c>
      <c r="CB2016" t="s">
        <v>135</v>
      </c>
      <c r="CC2016" t="s">
        <v>133</v>
      </c>
      <c r="CE2016" t="s">
        <v>19053</v>
      </c>
      <c r="CF2016" t="s">
        <v>131</v>
      </c>
      <c r="CH2016" t="str">
        <f>"N/A"</f>
        <v>N/A</v>
      </c>
      <c r="CI2016" t="s">
        <v>131</v>
      </c>
      <c r="CK2016" t="s">
        <v>135</v>
      </c>
      <c r="CL2016" t="str">
        <f>""</f>
        <v/>
      </c>
      <c r="CM2016" t="str">
        <f>""</f>
        <v/>
      </c>
      <c r="CN2016" t="str">
        <f>""</f>
        <v/>
      </c>
      <c r="CO2016" s="2" t="s">
        <v>7506</v>
      </c>
      <c r="CP2016" t="str">
        <f>"15-1132.00"</f>
        <v>15-1132.00</v>
      </c>
      <c r="CQ2016" t="s">
        <v>198</v>
      </c>
      <c r="CR2016" t="s">
        <v>5249</v>
      </c>
      <c r="CS2016" t="s">
        <v>131</v>
      </c>
      <c r="CU2016" t="s">
        <v>7507</v>
      </c>
      <c r="CW2016" t="s">
        <v>6422</v>
      </c>
      <c r="CX2016" t="s">
        <v>258</v>
      </c>
      <c r="CZ2016" s="3" t="str">
        <f>"63368"</f>
        <v>63368</v>
      </c>
      <c r="DA2016" t="s">
        <v>131</v>
      </c>
      <c r="DB2016" t="str">
        <f>""</f>
        <v/>
      </c>
      <c r="DF2016" t="str">
        <f>""</f>
        <v/>
      </c>
    </row>
    <row r="2017" spans="1:110" ht="15" customHeight="1" x14ac:dyDescent="0.35">
      <c r="A2017" t="s">
        <v>16997</v>
      </c>
      <c r="B2017" t="s">
        <v>138</v>
      </c>
      <c r="C2017" s="1">
        <v>44363</v>
      </c>
      <c r="G2017" s="1">
        <v>44363</v>
      </c>
      <c r="H2017" t="s">
        <v>125</v>
      </c>
      <c r="I2017" t="s">
        <v>874</v>
      </c>
      <c r="J2017" t="s">
        <v>875</v>
      </c>
      <c r="K2017" t="s">
        <v>610</v>
      </c>
      <c r="L2017" t="s">
        <v>16998</v>
      </c>
      <c r="M2017" t="s">
        <v>876</v>
      </c>
      <c r="O2017" t="s">
        <v>228</v>
      </c>
      <c r="P2017" t="s">
        <v>226</v>
      </c>
      <c r="Q2017" s="3">
        <v>46204</v>
      </c>
      <c r="R2017" t="s">
        <v>128</v>
      </c>
      <c r="T2017" s="4">
        <v>12124761343</v>
      </c>
      <c r="V2017" t="s">
        <v>877</v>
      </c>
      <c r="W2017" t="s">
        <v>16999</v>
      </c>
      <c r="Y2017" t="s">
        <v>17000</v>
      </c>
      <c r="AA2017" t="s">
        <v>228</v>
      </c>
      <c r="AB2017" t="s">
        <v>229</v>
      </c>
      <c r="AC2017" s="3" t="str">
        <f>"46204"</f>
        <v>46204</v>
      </c>
      <c r="AD2017" t="s">
        <v>128</v>
      </c>
      <c r="AF2017" s="4">
        <v>12124761343</v>
      </c>
      <c r="AH2017" t="str">
        <f>"524114"</f>
        <v>524114</v>
      </c>
      <c r="AI2017" t="s">
        <v>130</v>
      </c>
      <c r="AJ2017" t="s">
        <v>878</v>
      </c>
      <c r="AK2017" t="s">
        <v>879</v>
      </c>
      <c r="AL2017" t="s">
        <v>192</v>
      </c>
      <c r="AM2017" t="s">
        <v>525</v>
      </c>
      <c r="AN2017" t="s">
        <v>526</v>
      </c>
      <c r="AO2017" t="s">
        <v>262</v>
      </c>
      <c r="AP2017" t="s">
        <v>263</v>
      </c>
      <c r="AQ2017" s="5">
        <v>60606</v>
      </c>
      <c r="AR2017" t="s">
        <v>128</v>
      </c>
      <c r="AT2017" s="4">
        <v>13127226300</v>
      </c>
      <c r="AV2017" t="s">
        <v>880</v>
      </c>
      <c r="AW2017" t="s">
        <v>528</v>
      </c>
      <c r="AX2017" t="s">
        <v>131</v>
      </c>
      <c r="AY2017" t="s">
        <v>131</v>
      </c>
      <c r="AZ2017" t="s">
        <v>131</v>
      </c>
      <c r="BA2017" t="s">
        <v>131</v>
      </c>
      <c r="BB2017" t="s">
        <v>131</v>
      </c>
      <c r="BC2017" t="s">
        <v>131</v>
      </c>
      <c r="BD2017" t="s">
        <v>131</v>
      </c>
      <c r="BE2017" t="s">
        <v>132</v>
      </c>
      <c r="BH2017" t="s">
        <v>17001</v>
      </c>
      <c r="BI2017" t="s">
        <v>131</v>
      </c>
      <c r="BL2017" t="s">
        <v>133</v>
      </c>
      <c r="BN2017" t="s">
        <v>17002</v>
      </c>
      <c r="BO2017" t="s">
        <v>131</v>
      </c>
      <c r="BP2017" t="s">
        <v>134</v>
      </c>
      <c r="BQ2017" t="s">
        <v>131</v>
      </c>
      <c r="BS2017" t="str">
        <f t="shared" si="114"/>
        <v>N/A</v>
      </c>
      <c r="BT2017" t="s">
        <v>135</v>
      </c>
      <c r="BU2017">
        <v>60</v>
      </c>
      <c r="BV2017" t="str">
        <f>"related occupation(s)"</f>
        <v>related occupation(s)</v>
      </c>
      <c r="BW2017" t="s">
        <v>135</v>
      </c>
      <c r="BX2017" t="str">
        <f>""</f>
        <v/>
      </c>
      <c r="BY2017" t="str">
        <f>""</f>
        <v/>
      </c>
      <c r="BZ2017" t="str">
        <f>""</f>
        <v/>
      </c>
      <c r="CA2017" t="s">
        <v>17003</v>
      </c>
      <c r="CB2017" t="s">
        <v>131</v>
      </c>
      <c r="CF2017" t="s">
        <v>131</v>
      </c>
      <c r="CH2017" t="str">
        <f>""</f>
        <v/>
      </c>
      <c r="CI2017" t="s">
        <v>131</v>
      </c>
      <c r="CK2017" t="s">
        <v>131</v>
      </c>
      <c r="CL2017" t="str">
        <f>""</f>
        <v/>
      </c>
      <c r="CM2017" t="str">
        <f>""</f>
        <v/>
      </c>
      <c r="CN2017" t="str">
        <f>""</f>
        <v/>
      </c>
      <c r="CO2017" t="str">
        <f>""</f>
        <v/>
      </c>
      <c r="CP2017" t="str">
        <f>"15-1121.00"</f>
        <v>15-1121.00</v>
      </c>
      <c r="CQ2017" t="s">
        <v>283</v>
      </c>
      <c r="CS2017" t="s">
        <v>131</v>
      </c>
      <c r="CU2017" t="s">
        <v>8010</v>
      </c>
      <c r="CW2017" t="s">
        <v>642</v>
      </c>
      <c r="CX2017" t="s">
        <v>643</v>
      </c>
      <c r="CZ2017" s="3" t="str">
        <f>"30308"</f>
        <v>30308</v>
      </c>
      <c r="DA2017" t="s">
        <v>131</v>
      </c>
      <c r="DB2017" t="str">
        <f>""</f>
        <v/>
      </c>
      <c r="DF2017" t="str">
        <f>""</f>
        <v/>
      </c>
    </row>
    <row r="2018" spans="1:110" ht="15" customHeight="1" x14ac:dyDescent="0.35">
      <c r="A2018" t="s">
        <v>12827</v>
      </c>
      <c r="B2018" t="s">
        <v>138</v>
      </c>
      <c r="C2018" s="1">
        <v>44363</v>
      </c>
      <c r="G2018" s="1">
        <v>44364</v>
      </c>
      <c r="H2018" t="s">
        <v>125</v>
      </c>
      <c r="I2018" t="s">
        <v>8241</v>
      </c>
      <c r="J2018" t="s">
        <v>8242</v>
      </c>
      <c r="L2018" t="s">
        <v>395</v>
      </c>
      <c r="M2018" t="s">
        <v>8243</v>
      </c>
      <c r="N2018" t="s">
        <v>8244</v>
      </c>
      <c r="O2018" t="s">
        <v>3818</v>
      </c>
      <c r="P2018" t="s">
        <v>412</v>
      </c>
      <c r="Q2018" s="3">
        <v>75063</v>
      </c>
      <c r="R2018" t="s">
        <v>128</v>
      </c>
      <c r="T2018" s="4">
        <v>12145419270</v>
      </c>
      <c r="V2018" t="s">
        <v>8245</v>
      </c>
      <c r="W2018" t="s">
        <v>8246</v>
      </c>
      <c r="Y2018" t="s">
        <v>8243</v>
      </c>
      <c r="Z2018" t="s">
        <v>8244</v>
      </c>
      <c r="AA2018" t="s">
        <v>3818</v>
      </c>
      <c r="AB2018" t="s">
        <v>400</v>
      </c>
      <c r="AC2018" s="3" t="str">
        <f>"75063"</f>
        <v>75063</v>
      </c>
      <c r="AD2018" t="s">
        <v>128</v>
      </c>
      <c r="AF2018" s="4">
        <v>12145419270</v>
      </c>
      <c r="AH2018" t="str">
        <f>"541511"</f>
        <v>541511</v>
      </c>
      <c r="AI2018" t="s">
        <v>130</v>
      </c>
      <c r="AJ2018" t="s">
        <v>3588</v>
      </c>
      <c r="AK2018" t="s">
        <v>250</v>
      </c>
      <c r="AL2018" t="s">
        <v>3589</v>
      </c>
      <c r="AM2018" t="s">
        <v>3590</v>
      </c>
      <c r="AN2018" t="s">
        <v>3591</v>
      </c>
      <c r="AO2018" t="s">
        <v>399</v>
      </c>
      <c r="AP2018" t="s">
        <v>400</v>
      </c>
      <c r="AQ2018" s="5">
        <v>75287</v>
      </c>
      <c r="AR2018" t="s">
        <v>128</v>
      </c>
      <c r="AT2018" s="4">
        <v>19722414698</v>
      </c>
      <c r="AV2018" t="s">
        <v>3592</v>
      </c>
      <c r="AW2018" t="s">
        <v>3593</v>
      </c>
      <c r="AX2018" t="s">
        <v>131</v>
      </c>
      <c r="AY2018" t="s">
        <v>131</v>
      </c>
      <c r="AZ2018" t="s">
        <v>131</v>
      </c>
      <c r="BA2018" t="s">
        <v>131</v>
      </c>
      <c r="BB2018" t="s">
        <v>131</v>
      </c>
      <c r="BC2018" t="s">
        <v>131</v>
      </c>
      <c r="BD2018" t="s">
        <v>131</v>
      </c>
      <c r="BE2018" t="s">
        <v>132</v>
      </c>
      <c r="BH2018" t="s">
        <v>8247</v>
      </c>
      <c r="BI2018" t="s">
        <v>131</v>
      </c>
      <c r="BL2018" t="s">
        <v>188</v>
      </c>
      <c r="BN2018" t="s">
        <v>12828</v>
      </c>
      <c r="BO2018" t="s">
        <v>131</v>
      </c>
      <c r="BP2018" t="s">
        <v>134</v>
      </c>
      <c r="BQ2018" t="s">
        <v>131</v>
      </c>
      <c r="BS2018" t="str">
        <f t="shared" si="114"/>
        <v>N/A</v>
      </c>
      <c r="BT2018" t="s">
        <v>135</v>
      </c>
      <c r="BU2018">
        <v>6</v>
      </c>
      <c r="BV2018" t="str">
        <f>"N/A"</f>
        <v>N/A</v>
      </c>
      <c r="BW2018" t="s">
        <v>135</v>
      </c>
      <c r="BX2018" t="str">
        <f>""</f>
        <v/>
      </c>
      <c r="BY2018" t="str">
        <f>""</f>
        <v/>
      </c>
      <c r="BZ2018" t="str">
        <f>""</f>
        <v/>
      </c>
      <c r="CA2018" t="str">
        <f>"Experience must include SAP ABAP, SAP Fiori, Java, J2EE, JMS, JSP, Prolog, Python, Business Objects, Crystal Reports, Oracle. "</f>
        <v xml:space="preserve">Experience must include SAP ABAP, SAP Fiori, Java, J2EE, JMS, JSP, Prolog, Python, Business Objects, Crystal Reports, Oracle. </v>
      </c>
      <c r="CB2018" t="s">
        <v>131</v>
      </c>
      <c r="CF2018" t="s">
        <v>131</v>
      </c>
      <c r="CH2018" t="str">
        <f>""</f>
        <v/>
      </c>
      <c r="CI2018" t="s">
        <v>131</v>
      </c>
      <c r="CK2018" t="s">
        <v>131</v>
      </c>
      <c r="CL2018" t="str">
        <f>""</f>
        <v/>
      </c>
      <c r="CM2018" t="str">
        <f>""</f>
        <v/>
      </c>
      <c r="CN2018" t="str">
        <f>""</f>
        <v/>
      </c>
      <c r="CO2018" t="str">
        <f>""</f>
        <v/>
      </c>
      <c r="CP2018" t="str">
        <f>"15-1131.00"</f>
        <v>15-1131.00</v>
      </c>
      <c r="CQ2018" t="s">
        <v>2782</v>
      </c>
      <c r="CS2018" t="s">
        <v>135</v>
      </c>
      <c r="CT2018" t="s">
        <v>3595</v>
      </c>
      <c r="CU2018" t="s">
        <v>8249</v>
      </c>
      <c r="CV2018" t="s">
        <v>3595</v>
      </c>
      <c r="CW2018" t="s">
        <v>4072</v>
      </c>
      <c r="CX2018" t="s">
        <v>400</v>
      </c>
      <c r="CZ2018" s="3" t="str">
        <f>"75063"</f>
        <v>75063</v>
      </c>
      <c r="DA2018" t="s">
        <v>131</v>
      </c>
      <c r="DB2018" t="str">
        <f>""</f>
        <v/>
      </c>
      <c r="DF2018" t="str">
        <f>""</f>
        <v/>
      </c>
    </row>
    <row r="2019" spans="1:110" ht="15" customHeight="1" x14ac:dyDescent="0.35">
      <c r="A2019" t="s">
        <v>13192</v>
      </c>
      <c r="B2019" t="s">
        <v>138</v>
      </c>
      <c r="C2019" s="1">
        <v>44363</v>
      </c>
      <c r="G2019" s="1">
        <v>44363</v>
      </c>
      <c r="H2019" t="s">
        <v>125</v>
      </c>
      <c r="I2019" t="s">
        <v>11101</v>
      </c>
      <c r="J2019" t="s">
        <v>11102</v>
      </c>
      <c r="L2019" t="s">
        <v>11103</v>
      </c>
      <c r="M2019" t="s">
        <v>11104</v>
      </c>
      <c r="O2019" t="s">
        <v>1669</v>
      </c>
      <c r="P2019" t="s">
        <v>127</v>
      </c>
      <c r="Q2019" s="3">
        <v>14203</v>
      </c>
      <c r="R2019" t="s">
        <v>128</v>
      </c>
      <c r="T2019" s="4">
        <v>17168412860</v>
      </c>
      <c r="V2019" t="s">
        <v>11105</v>
      </c>
      <c r="W2019" t="s">
        <v>11106</v>
      </c>
      <c r="Y2019" t="s">
        <v>11107</v>
      </c>
      <c r="Z2019" t="s">
        <v>11108</v>
      </c>
      <c r="AA2019" t="s">
        <v>1669</v>
      </c>
      <c r="AB2019" t="s">
        <v>129</v>
      </c>
      <c r="AC2019" s="3" t="str">
        <f>"14203"</f>
        <v>14203</v>
      </c>
      <c r="AD2019" t="s">
        <v>128</v>
      </c>
      <c r="AF2019" s="4">
        <v>17168417508</v>
      </c>
      <c r="AH2019" t="str">
        <f>"523110"</f>
        <v>523110</v>
      </c>
      <c r="AI2019" t="s">
        <v>130</v>
      </c>
      <c r="AJ2019" t="s">
        <v>11109</v>
      </c>
      <c r="AK2019" t="s">
        <v>11110</v>
      </c>
      <c r="AL2019" t="s">
        <v>11111</v>
      </c>
      <c r="AM2019" t="s">
        <v>278</v>
      </c>
      <c r="AN2019" t="s">
        <v>279</v>
      </c>
      <c r="AO2019" t="s">
        <v>214</v>
      </c>
      <c r="AQ2019" s="5" t="s">
        <v>280</v>
      </c>
      <c r="AR2019" t="s">
        <v>156</v>
      </c>
      <c r="AS2019" t="s">
        <v>216</v>
      </c>
      <c r="AT2019" s="4">
        <v>14169325951</v>
      </c>
      <c r="AV2019" t="s">
        <v>11112</v>
      </c>
      <c r="AW2019" t="s">
        <v>159</v>
      </c>
      <c r="AX2019" t="s">
        <v>131</v>
      </c>
      <c r="AY2019" t="s">
        <v>131</v>
      </c>
      <c r="AZ2019" t="s">
        <v>131</v>
      </c>
      <c r="BA2019" t="s">
        <v>131</v>
      </c>
      <c r="BB2019" t="s">
        <v>131</v>
      </c>
      <c r="BC2019" t="s">
        <v>131</v>
      </c>
      <c r="BD2019" t="s">
        <v>131</v>
      </c>
      <c r="BE2019" t="s">
        <v>132</v>
      </c>
      <c r="BH2019" t="s">
        <v>13193</v>
      </c>
      <c r="BI2019" t="s">
        <v>135</v>
      </c>
      <c r="BJ2019" t="s">
        <v>11113</v>
      </c>
      <c r="BK2019" t="s">
        <v>810</v>
      </c>
      <c r="BL2019" t="s">
        <v>133</v>
      </c>
      <c r="BN2019" t="s">
        <v>13194</v>
      </c>
      <c r="BO2019" t="s">
        <v>131</v>
      </c>
      <c r="BP2019" t="s">
        <v>134</v>
      </c>
      <c r="BQ2019" t="s">
        <v>131</v>
      </c>
      <c r="BS2019" t="str">
        <f t="shared" si="114"/>
        <v>N/A</v>
      </c>
      <c r="BT2019" t="s">
        <v>135</v>
      </c>
      <c r="BU2019">
        <v>120</v>
      </c>
      <c r="BV2019" t="str">
        <f>"Any related occupation. "</f>
        <v xml:space="preserve">Any related occupation. </v>
      </c>
      <c r="BW2019" t="s">
        <v>135</v>
      </c>
      <c r="BX2019" t="str">
        <f>""</f>
        <v/>
      </c>
      <c r="BY2019" t="str">
        <f>""</f>
        <v/>
      </c>
      <c r="BZ2019" t="str">
        <f>""</f>
        <v/>
      </c>
      <c r="CA2019" s="2" t="s">
        <v>13195</v>
      </c>
      <c r="CB2019" t="s">
        <v>131</v>
      </c>
      <c r="CF2019" t="s">
        <v>131</v>
      </c>
      <c r="CH2019" t="str">
        <f>""</f>
        <v/>
      </c>
      <c r="CI2019" t="s">
        <v>131</v>
      </c>
      <c r="CK2019" t="s">
        <v>131</v>
      </c>
      <c r="CL2019" t="str">
        <f>""</f>
        <v/>
      </c>
      <c r="CM2019" t="str">
        <f>""</f>
        <v/>
      </c>
      <c r="CN2019" t="str">
        <f>""</f>
        <v/>
      </c>
      <c r="CO2019" t="str">
        <f>""</f>
        <v/>
      </c>
      <c r="CP2019" t="str">
        <f>"11-3031.00"</f>
        <v>11-3031.00</v>
      </c>
      <c r="CQ2019" t="s">
        <v>810</v>
      </c>
      <c r="CR2019" t="s">
        <v>361</v>
      </c>
      <c r="CS2019" t="s">
        <v>131</v>
      </c>
      <c r="CU2019" t="s">
        <v>11114</v>
      </c>
      <c r="CW2019" t="s">
        <v>494</v>
      </c>
      <c r="CX2019" t="s">
        <v>129</v>
      </c>
      <c r="CZ2019" s="3" t="str">
        <f>"10018"</f>
        <v>10018</v>
      </c>
      <c r="DA2019" t="s">
        <v>131</v>
      </c>
      <c r="DB2019" t="str">
        <f>""</f>
        <v/>
      </c>
      <c r="DF2019" t="str">
        <f>""</f>
        <v/>
      </c>
    </row>
    <row r="2020" spans="1:110" ht="15" customHeight="1" x14ac:dyDescent="0.35">
      <c r="A2020" t="s">
        <v>16099</v>
      </c>
      <c r="B2020" t="s">
        <v>138</v>
      </c>
      <c r="C2020" s="1">
        <v>44363</v>
      </c>
      <c r="G2020" s="1">
        <v>44363</v>
      </c>
      <c r="H2020" t="s">
        <v>125</v>
      </c>
      <c r="I2020" t="s">
        <v>11676</v>
      </c>
      <c r="J2020" t="s">
        <v>913</v>
      </c>
      <c r="L2020" t="s">
        <v>8658</v>
      </c>
      <c r="M2020" t="s">
        <v>11677</v>
      </c>
      <c r="N2020" t="s">
        <v>11678</v>
      </c>
      <c r="O2020" t="s">
        <v>7874</v>
      </c>
      <c r="P2020" t="s">
        <v>273</v>
      </c>
      <c r="Q2020" s="3" t="s">
        <v>11679</v>
      </c>
      <c r="R2020" t="s">
        <v>128</v>
      </c>
      <c r="T2020" s="4">
        <v>12015647515</v>
      </c>
      <c r="V2020" t="s">
        <v>11680</v>
      </c>
      <c r="W2020" t="s">
        <v>11677</v>
      </c>
      <c r="Y2020" t="s">
        <v>11681</v>
      </c>
      <c r="Z2020" t="s">
        <v>683</v>
      </c>
      <c r="AA2020" t="s">
        <v>7874</v>
      </c>
      <c r="AB2020" t="s">
        <v>276</v>
      </c>
      <c r="AC2020" s="3" t="str">
        <f>"07647-1739"</f>
        <v>07647-1739</v>
      </c>
      <c r="AD2020" t="s">
        <v>128</v>
      </c>
      <c r="AF2020" s="4">
        <v>12015647515</v>
      </c>
      <c r="AH2020" t="str">
        <f>"62134"</f>
        <v>62134</v>
      </c>
      <c r="AI2020" t="s">
        <v>130</v>
      </c>
      <c r="AJ2020" t="s">
        <v>3966</v>
      </c>
      <c r="AK2020" t="s">
        <v>3967</v>
      </c>
      <c r="AL2020" t="s">
        <v>3968</v>
      </c>
      <c r="AM2020" t="s">
        <v>3969</v>
      </c>
      <c r="AN2020" t="s">
        <v>3970</v>
      </c>
      <c r="AO2020" t="s">
        <v>494</v>
      </c>
      <c r="AP2020" t="s">
        <v>129</v>
      </c>
      <c r="AQ2020" s="5">
        <v>10038</v>
      </c>
      <c r="AR2020" t="s">
        <v>128</v>
      </c>
      <c r="AT2020" s="4">
        <v>12122678297</v>
      </c>
      <c r="AV2020" t="s">
        <v>3971</v>
      </c>
      <c r="AW2020" t="s">
        <v>11682</v>
      </c>
      <c r="AX2020" t="s">
        <v>131</v>
      </c>
      <c r="AY2020" t="s">
        <v>131</v>
      </c>
      <c r="AZ2020" t="s">
        <v>131</v>
      </c>
      <c r="BA2020" t="s">
        <v>131</v>
      </c>
      <c r="BB2020" t="s">
        <v>131</v>
      </c>
      <c r="BC2020" t="s">
        <v>131</v>
      </c>
      <c r="BD2020" t="s">
        <v>131</v>
      </c>
      <c r="BE2020" t="s">
        <v>132</v>
      </c>
      <c r="BH2020" t="s">
        <v>3534</v>
      </c>
      <c r="BI2020" t="s">
        <v>131</v>
      </c>
      <c r="BL2020" t="s">
        <v>133</v>
      </c>
      <c r="BN2020" t="s">
        <v>4163</v>
      </c>
      <c r="BO2020" t="s">
        <v>131</v>
      </c>
      <c r="BP2020" t="s">
        <v>134</v>
      </c>
      <c r="BQ2020" t="s">
        <v>131</v>
      </c>
      <c r="BS2020" t="str">
        <f t="shared" si="114"/>
        <v>N/A</v>
      </c>
      <c r="BT2020" t="s">
        <v>131</v>
      </c>
      <c r="BV2020" t="str">
        <f>""</f>
        <v/>
      </c>
      <c r="BW2020" t="s">
        <v>135</v>
      </c>
      <c r="BX2020" t="str">
        <f>""</f>
        <v/>
      </c>
      <c r="BY2020" t="str">
        <f>""</f>
        <v/>
      </c>
      <c r="BZ2020" t="str">
        <f>""</f>
        <v/>
      </c>
      <c r="CA2020" t="str">
        <f>"MUST POSSESS NEW YORK STATE LICENSE TO PRACTICE PHYSICAL THERAPY OR POSSESS VISA SCREEN CERTIFICATE"</f>
        <v>MUST POSSESS NEW YORK STATE LICENSE TO PRACTICE PHYSICAL THERAPY OR POSSESS VISA SCREEN CERTIFICATE</v>
      </c>
      <c r="CB2020" t="s">
        <v>131</v>
      </c>
      <c r="CF2020" t="s">
        <v>131</v>
      </c>
      <c r="CH2020" t="str">
        <f>""</f>
        <v/>
      </c>
      <c r="CI2020" t="s">
        <v>131</v>
      </c>
      <c r="CK2020" t="s">
        <v>131</v>
      </c>
      <c r="CL2020" t="str">
        <f>""</f>
        <v/>
      </c>
      <c r="CM2020" t="str">
        <f>""</f>
        <v/>
      </c>
      <c r="CN2020" t="str">
        <f>""</f>
        <v/>
      </c>
      <c r="CO2020" t="str">
        <f>""</f>
        <v/>
      </c>
      <c r="CP2020" t="str">
        <f>"29-1123.00"</f>
        <v>29-1123.00</v>
      </c>
      <c r="CQ2020" t="s">
        <v>962</v>
      </c>
      <c r="CR2020" t="s">
        <v>8658</v>
      </c>
      <c r="CS2020" t="s">
        <v>131</v>
      </c>
      <c r="CU2020" t="s">
        <v>11677</v>
      </c>
      <c r="CV2020" t="s">
        <v>11678</v>
      </c>
      <c r="CW2020" t="s">
        <v>11683</v>
      </c>
      <c r="CX2020" t="s">
        <v>276</v>
      </c>
      <c r="CZ2020" s="3" t="str">
        <f>"07647-1739"</f>
        <v>07647-1739</v>
      </c>
      <c r="DA2020" t="s">
        <v>131</v>
      </c>
      <c r="DB2020" t="str">
        <f>""</f>
        <v/>
      </c>
      <c r="DF2020" t="str">
        <f>""</f>
        <v/>
      </c>
    </row>
    <row r="2021" spans="1:110" ht="15" customHeight="1" x14ac:dyDescent="0.35">
      <c r="A2021" t="s">
        <v>19325</v>
      </c>
      <c r="B2021" t="s">
        <v>138</v>
      </c>
      <c r="C2021" s="1">
        <v>44363</v>
      </c>
      <c r="G2021" s="1">
        <v>44363</v>
      </c>
      <c r="H2021" t="s">
        <v>125</v>
      </c>
      <c r="I2021" t="s">
        <v>3377</v>
      </c>
      <c r="J2021" t="s">
        <v>140</v>
      </c>
      <c r="L2021" t="s">
        <v>3378</v>
      </c>
      <c r="M2021" t="s">
        <v>142</v>
      </c>
      <c r="O2021" t="s">
        <v>143</v>
      </c>
      <c r="P2021" t="s">
        <v>144</v>
      </c>
      <c r="Q2021" s="3">
        <v>98052</v>
      </c>
      <c r="R2021" t="s">
        <v>128</v>
      </c>
      <c r="T2021" s="4">
        <v>14255383872</v>
      </c>
      <c r="V2021" t="s">
        <v>145</v>
      </c>
      <c r="W2021" t="s">
        <v>1411</v>
      </c>
      <c r="Y2021" t="s">
        <v>142</v>
      </c>
      <c r="AA2021" t="s">
        <v>143</v>
      </c>
      <c r="AB2021" t="s">
        <v>149</v>
      </c>
      <c r="AC2021" s="3" t="str">
        <f>"98052"</f>
        <v>98052</v>
      </c>
      <c r="AD2021" t="s">
        <v>128</v>
      </c>
      <c r="AF2021" s="4">
        <v>14255383872</v>
      </c>
      <c r="AH2021" t="str">
        <f>"511210"</f>
        <v>511210</v>
      </c>
      <c r="AI2021" t="s">
        <v>130</v>
      </c>
      <c r="AJ2021" t="s">
        <v>2667</v>
      </c>
      <c r="AK2021" t="s">
        <v>3321</v>
      </c>
      <c r="AM2021" t="s">
        <v>1414</v>
      </c>
      <c r="AN2021" t="s">
        <v>698</v>
      </c>
      <c r="AO2021" t="s">
        <v>1415</v>
      </c>
      <c r="AP2021" t="s">
        <v>382</v>
      </c>
      <c r="AQ2021" s="5">
        <v>21117</v>
      </c>
      <c r="AR2021" t="s">
        <v>128</v>
      </c>
      <c r="AT2021" s="4">
        <v>14103565440</v>
      </c>
      <c r="AU2021">
        <v>274</v>
      </c>
      <c r="AV2021" t="s">
        <v>3379</v>
      </c>
      <c r="AW2021" t="s">
        <v>1416</v>
      </c>
      <c r="AX2021" t="s">
        <v>131</v>
      </c>
      <c r="AY2021" t="s">
        <v>131</v>
      </c>
      <c r="AZ2021" t="s">
        <v>131</v>
      </c>
      <c r="BA2021" t="s">
        <v>131</v>
      </c>
      <c r="BB2021" t="s">
        <v>131</v>
      </c>
      <c r="BC2021" t="s">
        <v>131</v>
      </c>
      <c r="BD2021" t="s">
        <v>131</v>
      </c>
      <c r="BE2021" t="s">
        <v>132</v>
      </c>
      <c r="BH2021" t="s">
        <v>542</v>
      </c>
      <c r="BI2021" t="s">
        <v>131</v>
      </c>
      <c r="BL2021" t="s">
        <v>188</v>
      </c>
      <c r="BN2021" t="s">
        <v>5806</v>
      </c>
      <c r="BO2021" t="s">
        <v>131</v>
      </c>
      <c r="BP2021" t="s">
        <v>134</v>
      </c>
      <c r="BQ2021" t="s">
        <v>131</v>
      </c>
      <c r="BS2021" t="str">
        <f t="shared" si="114"/>
        <v>N/A</v>
      </c>
      <c r="BT2021" t="s">
        <v>135</v>
      </c>
      <c r="BU2021">
        <v>12</v>
      </c>
      <c r="BV2021" t="str">
        <f>"Any computer-related occupation"</f>
        <v>Any computer-related occupation</v>
      </c>
      <c r="BW2021" t="s">
        <v>135</v>
      </c>
      <c r="BX2021" t="str">
        <f>""</f>
        <v/>
      </c>
      <c r="BY2021" t="str">
        <f>""</f>
        <v/>
      </c>
      <c r="BZ2021" t="str">
        <f>""</f>
        <v/>
      </c>
      <c r="CA2021" t="s">
        <v>19326</v>
      </c>
      <c r="CB2021" t="s">
        <v>131</v>
      </c>
      <c r="CF2021" t="s">
        <v>131</v>
      </c>
      <c r="CH2021" t="str">
        <f>""</f>
        <v/>
      </c>
      <c r="CI2021" t="s">
        <v>131</v>
      </c>
      <c r="CK2021" t="s">
        <v>131</v>
      </c>
      <c r="CL2021" t="str">
        <f>""</f>
        <v/>
      </c>
      <c r="CM2021" t="str">
        <f>""</f>
        <v/>
      </c>
      <c r="CN2021" t="str">
        <f>""</f>
        <v/>
      </c>
      <c r="CO2021" t="str">
        <f>""</f>
        <v/>
      </c>
      <c r="CP2021" t="str">
        <f>"15-1132.00"</f>
        <v>15-1132.00</v>
      </c>
      <c r="CQ2021" t="s">
        <v>198</v>
      </c>
      <c r="CR2021" t="s">
        <v>7019</v>
      </c>
      <c r="CS2021" t="s">
        <v>131</v>
      </c>
      <c r="CU2021" t="s">
        <v>142</v>
      </c>
      <c r="CW2021" t="s">
        <v>143</v>
      </c>
      <c r="CX2021" t="s">
        <v>149</v>
      </c>
      <c r="CZ2021" s="3" t="str">
        <f>"98052"</f>
        <v>98052</v>
      </c>
      <c r="DA2021" t="s">
        <v>131</v>
      </c>
      <c r="DB2021" t="str">
        <f>""</f>
        <v/>
      </c>
      <c r="DF2021" t="str">
        <f>""</f>
        <v/>
      </c>
    </row>
    <row r="2022" spans="1:110" ht="15" customHeight="1" x14ac:dyDescent="0.35">
      <c r="A2022" t="s">
        <v>11536</v>
      </c>
      <c r="B2022" t="s">
        <v>138</v>
      </c>
      <c r="C2022" s="1">
        <v>44363</v>
      </c>
      <c r="G2022" s="1">
        <v>44363</v>
      </c>
      <c r="H2022" t="s">
        <v>125</v>
      </c>
      <c r="I2022" t="s">
        <v>11537</v>
      </c>
      <c r="J2022" t="s">
        <v>11538</v>
      </c>
      <c r="K2022" t="s">
        <v>11539</v>
      </c>
      <c r="L2022" t="s">
        <v>223</v>
      </c>
      <c r="M2022" t="s">
        <v>11540</v>
      </c>
      <c r="O2022" t="s">
        <v>11541</v>
      </c>
      <c r="P2022" t="s">
        <v>2886</v>
      </c>
      <c r="Q2022" s="3">
        <v>692</v>
      </c>
      <c r="R2022" t="s">
        <v>128</v>
      </c>
      <c r="T2022" s="4">
        <v>17872232003</v>
      </c>
      <c r="V2022" t="s">
        <v>11542</v>
      </c>
      <c r="W2022" t="s">
        <v>11543</v>
      </c>
      <c r="Y2022" t="s">
        <v>11544</v>
      </c>
      <c r="AA2022" t="s">
        <v>11541</v>
      </c>
      <c r="AB2022" t="s">
        <v>2890</v>
      </c>
      <c r="AC2022" s="3" t="str">
        <f>"00692"</f>
        <v>00692</v>
      </c>
      <c r="AD2022" t="s">
        <v>128</v>
      </c>
      <c r="AF2022" s="4">
        <v>17872232003</v>
      </c>
      <c r="AH2022" t="str">
        <f>"441120"</f>
        <v>441120</v>
      </c>
      <c r="AI2022" t="s">
        <v>130</v>
      </c>
      <c r="AJ2022" t="s">
        <v>2891</v>
      </c>
      <c r="AK2022" t="s">
        <v>2892</v>
      </c>
      <c r="AL2022" t="s">
        <v>2893</v>
      </c>
      <c r="AM2022" t="s">
        <v>11545</v>
      </c>
      <c r="AO2022" t="s">
        <v>2885</v>
      </c>
      <c r="AP2022" t="s">
        <v>2890</v>
      </c>
      <c r="AQ2022" s="5">
        <v>918</v>
      </c>
      <c r="AR2022" t="s">
        <v>128</v>
      </c>
      <c r="AT2022" s="4">
        <v>17877512510</v>
      </c>
      <c r="AV2022" t="s">
        <v>2895</v>
      </c>
      <c r="AW2022" t="s">
        <v>2896</v>
      </c>
      <c r="AX2022" t="s">
        <v>131</v>
      </c>
      <c r="AY2022" t="s">
        <v>131</v>
      </c>
      <c r="AZ2022" t="s">
        <v>131</v>
      </c>
      <c r="BA2022" t="s">
        <v>131</v>
      </c>
      <c r="BB2022" t="s">
        <v>131</v>
      </c>
      <c r="BC2022" t="s">
        <v>131</v>
      </c>
      <c r="BD2022" t="s">
        <v>131</v>
      </c>
      <c r="BE2022" t="s">
        <v>132</v>
      </c>
      <c r="BH2022" t="s">
        <v>11546</v>
      </c>
      <c r="BI2022" t="s">
        <v>131</v>
      </c>
      <c r="BL2022" t="s">
        <v>167</v>
      </c>
      <c r="BO2022" t="s">
        <v>131</v>
      </c>
      <c r="BP2022" t="s">
        <v>134</v>
      </c>
      <c r="BQ2022" t="s">
        <v>131</v>
      </c>
      <c r="BS2022" t="str">
        <f t="shared" si="114"/>
        <v>N/A</v>
      </c>
      <c r="BT2022" t="s">
        <v>135</v>
      </c>
      <c r="BU2022">
        <v>12</v>
      </c>
      <c r="BV2022" t="str">
        <f>"BUYER"</f>
        <v>BUYER</v>
      </c>
      <c r="BW2022" t="s">
        <v>135</v>
      </c>
      <c r="BX2022" t="str">
        <f>""</f>
        <v/>
      </c>
      <c r="BY2022" t="str">
        <f>""</f>
        <v/>
      </c>
      <c r="BZ2022" t="str">
        <f>""</f>
        <v/>
      </c>
      <c r="CA2022" t="str">
        <f>"12 months experience as Buyer for Car dealership and availability to work rotating schedule that includes Saturdays and Holidays."</f>
        <v>12 months experience as Buyer for Car dealership and availability to work rotating schedule that includes Saturdays and Holidays.</v>
      </c>
      <c r="CB2022" t="s">
        <v>131</v>
      </c>
      <c r="CF2022" t="s">
        <v>131</v>
      </c>
      <c r="CH2022" t="str">
        <f>""</f>
        <v/>
      </c>
      <c r="CI2022" t="s">
        <v>131</v>
      </c>
      <c r="CK2022" t="s">
        <v>131</v>
      </c>
      <c r="CL2022" t="str">
        <f>""</f>
        <v/>
      </c>
      <c r="CM2022" t="str">
        <f>""</f>
        <v/>
      </c>
      <c r="CN2022" t="str">
        <f>""</f>
        <v/>
      </c>
      <c r="CO2022" t="str">
        <f>""</f>
        <v/>
      </c>
      <c r="CP2022" t="str">
        <f>"13-1022.00"</f>
        <v>13-1022.00</v>
      </c>
      <c r="CQ2022" t="s">
        <v>6481</v>
      </c>
      <c r="CR2022" t="s">
        <v>11546</v>
      </c>
      <c r="CS2022" t="s">
        <v>131</v>
      </c>
      <c r="CU2022" t="s">
        <v>11544</v>
      </c>
      <c r="CW2022" t="s">
        <v>11541</v>
      </c>
      <c r="CX2022" t="s">
        <v>2890</v>
      </c>
      <c r="CZ2022" s="3" t="str">
        <f>"00692"</f>
        <v>00692</v>
      </c>
      <c r="DA2022" t="s">
        <v>131</v>
      </c>
      <c r="DB2022" t="str">
        <f>""</f>
        <v/>
      </c>
      <c r="DF2022" t="str">
        <f>""</f>
        <v/>
      </c>
    </row>
    <row r="2023" spans="1:110" ht="15" customHeight="1" x14ac:dyDescent="0.35">
      <c r="A2023" t="s">
        <v>10669</v>
      </c>
      <c r="B2023" t="s">
        <v>138</v>
      </c>
      <c r="C2023" s="1">
        <v>44363</v>
      </c>
      <c r="G2023" s="1">
        <v>44363</v>
      </c>
      <c r="H2023" t="s">
        <v>125</v>
      </c>
      <c r="I2023" t="s">
        <v>4929</v>
      </c>
      <c r="J2023" t="s">
        <v>390</v>
      </c>
      <c r="K2023" t="s">
        <v>4930</v>
      </c>
      <c r="L2023" t="s">
        <v>832</v>
      </c>
      <c r="M2023" t="s">
        <v>4931</v>
      </c>
      <c r="N2023" t="s">
        <v>1228</v>
      </c>
      <c r="O2023" t="s">
        <v>2424</v>
      </c>
      <c r="P2023" t="s">
        <v>720</v>
      </c>
      <c r="Q2023" s="3">
        <v>2116</v>
      </c>
      <c r="R2023" t="s">
        <v>128</v>
      </c>
      <c r="T2023" s="4">
        <v>16176712525</v>
      </c>
      <c r="V2023" t="s">
        <v>4932</v>
      </c>
      <c r="W2023" t="s">
        <v>4933</v>
      </c>
      <c r="X2023" t="s">
        <v>4934</v>
      </c>
      <c r="Y2023" t="s">
        <v>4935</v>
      </c>
      <c r="Z2023" t="s">
        <v>2598</v>
      </c>
      <c r="AA2023" t="s">
        <v>4936</v>
      </c>
      <c r="AB2023" t="s">
        <v>276</v>
      </c>
      <c r="AC2023" s="3" t="str">
        <f>"07652"</f>
        <v>07652</v>
      </c>
      <c r="AD2023" t="s">
        <v>128</v>
      </c>
      <c r="AF2023" s="4">
        <v>16176712525</v>
      </c>
      <c r="AH2023" t="str">
        <f>"611710"</f>
        <v>611710</v>
      </c>
      <c r="AI2023" t="s">
        <v>130</v>
      </c>
      <c r="AJ2023" t="s">
        <v>4937</v>
      </c>
      <c r="AK2023" t="s">
        <v>4938</v>
      </c>
      <c r="AL2023" t="s">
        <v>4939</v>
      </c>
      <c r="AM2023" t="s">
        <v>10670</v>
      </c>
      <c r="AN2023" t="s">
        <v>4940</v>
      </c>
      <c r="AO2023" t="s">
        <v>584</v>
      </c>
      <c r="AP2023" t="s">
        <v>195</v>
      </c>
      <c r="AQ2023" s="5">
        <v>33131</v>
      </c>
      <c r="AR2023" t="s">
        <v>128</v>
      </c>
      <c r="AT2023" s="4">
        <v>13054007500</v>
      </c>
      <c r="AV2023" t="s">
        <v>4941</v>
      </c>
      <c r="AW2023" t="s">
        <v>4942</v>
      </c>
      <c r="AX2023" t="s">
        <v>131</v>
      </c>
      <c r="AY2023" t="s">
        <v>131</v>
      </c>
      <c r="AZ2023" t="s">
        <v>131</v>
      </c>
      <c r="BA2023" t="s">
        <v>131</v>
      </c>
      <c r="BB2023" t="s">
        <v>131</v>
      </c>
      <c r="BC2023" t="s">
        <v>131</v>
      </c>
      <c r="BD2023" t="s">
        <v>131</v>
      </c>
      <c r="BE2023" t="s">
        <v>132</v>
      </c>
      <c r="BH2023" t="s">
        <v>10671</v>
      </c>
      <c r="BI2023" t="s">
        <v>131</v>
      </c>
      <c r="BL2023" t="s">
        <v>133</v>
      </c>
      <c r="BN2023" t="s">
        <v>10672</v>
      </c>
      <c r="BO2023" t="s">
        <v>131</v>
      </c>
      <c r="BP2023" t="s">
        <v>134</v>
      </c>
      <c r="BQ2023" t="s">
        <v>131</v>
      </c>
      <c r="BS2023" t="str">
        <f t="shared" si="114"/>
        <v>N/A</v>
      </c>
      <c r="BT2023" t="s">
        <v>135</v>
      </c>
      <c r="BU2023">
        <v>36</v>
      </c>
      <c r="BV2023" t="str">
        <f>"Project manager related experience"</f>
        <v>Project manager related experience</v>
      </c>
      <c r="BW2023" t="s">
        <v>135</v>
      </c>
      <c r="BX2023" t="str">
        <f>"Project Management Professional (PMP) certification, Certified Scrum Master (CSM) certification, or equivalent is required."</f>
        <v>Project Management Professional (PMP) certification, Certified Scrum Master (CSM) certification, or equivalent is required.</v>
      </c>
      <c r="BY2023" t="str">
        <f>""</f>
        <v/>
      </c>
      <c r="BZ2023" t="str">
        <f>""</f>
        <v/>
      </c>
      <c r="CA2023" t="s">
        <v>10673</v>
      </c>
      <c r="CB2023" t="s">
        <v>131</v>
      </c>
      <c r="CF2023" t="s">
        <v>131</v>
      </c>
      <c r="CH2023" t="str">
        <f>""</f>
        <v/>
      </c>
      <c r="CI2023" t="s">
        <v>131</v>
      </c>
      <c r="CK2023" t="s">
        <v>131</v>
      </c>
      <c r="CL2023" t="str">
        <f>""</f>
        <v/>
      </c>
      <c r="CM2023" t="str">
        <f>""</f>
        <v/>
      </c>
      <c r="CN2023" t="str">
        <f>""</f>
        <v/>
      </c>
      <c r="CO2023" t="str">
        <f>""</f>
        <v/>
      </c>
      <c r="CP2023" t="str">
        <f>"15-1199.00"</f>
        <v>15-1199.00</v>
      </c>
      <c r="CQ2023" t="s">
        <v>219</v>
      </c>
      <c r="CR2023" t="s">
        <v>10674</v>
      </c>
      <c r="CS2023" t="s">
        <v>131</v>
      </c>
      <c r="CU2023" t="s">
        <v>10675</v>
      </c>
      <c r="CV2023" t="s">
        <v>10676</v>
      </c>
      <c r="CW2023" t="s">
        <v>856</v>
      </c>
      <c r="CX2023" t="s">
        <v>808</v>
      </c>
      <c r="CZ2023" s="3" t="str">
        <f>"85226"</f>
        <v>85226</v>
      </c>
      <c r="DA2023" t="s">
        <v>131</v>
      </c>
      <c r="DB2023" t="str">
        <f>""</f>
        <v/>
      </c>
      <c r="DF2023" t="str">
        <f>""</f>
        <v/>
      </c>
    </row>
    <row r="2024" spans="1:110" ht="15" customHeight="1" x14ac:dyDescent="0.35">
      <c r="A2024" t="s">
        <v>18838</v>
      </c>
      <c r="B2024" t="s">
        <v>138</v>
      </c>
      <c r="C2024" s="1">
        <v>44364</v>
      </c>
      <c r="G2024" s="1">
        <v>44364</v>
      </c>
      <c r="H2024" t="s">
        <v>125</v>
      </c>
      <c r="I2024" t="s">
        <v>2246</v>
      </c>
      <c r="J2024" t="s">
        <v>260</v>
      </c>
      <c r="L2024" t="s">
        <v>3458</v>
      </c>
      <c r="M2024" t="s">
        <v>4246</v>
      </c>
      <c r="O2024" t="s">
        <v>220</v>
      </c>
      <c r="P2024" t="s">
        <v>178</v>
      </c>
      <c r="Q2024" s="3">
        <v>94105</v>
      </c>
      <c r="R2024" t="s">
        <v>128</v>
      </c>
      <c r="T2024" s="4">
        <v>14155394618</v>
      </c>
      <c r="V2024" t="s">
        <v>4247</v>
      </c>
      <c r="W2024" t="s">
        <v>4248</v>
      </c>
      <c r="Y2024" t="s">
        <v>4249</v>
      </c>
      <c r="AA2024" t="s">
        <v>4250</v>
      </c>
      <c r="AB2024" t="s">
        <v>172</v>
      </c>
      <c r="AC2024" s="3" t="str">
        <f>"94903"</f>
        <v>94903</v>
      </c>
      <c r="AD2024" t="s">
        <v>128</v>
      </c>
      <c r="AF2024" s="4">
        <v>14155394618</v>
      </c>
      <c r="AH2024" t="str">
        <f>"541511"</f>
        <v>541511</v>
      </c>
      <c r="AI2024" t="s">
        <v>130</v>
      </c>
      <c r="AJ2024" t="s">
        <v>941</v>
      </c>
      <c r="AK2024" t="s">
        <v>942</v>
      </c>
      <c r="AM2024" t="s">
        <v>943</v>
      </c>
      <c r="AN2024" t="s">
        <v>565</v>
      </c>
      <c r="AO2024" t="s">
        <v>944</v>
      </c>
      <c r="AP2024" t="s">
        <v>172</v>
      </c>
      <c r="AQ2024" s="5">
        <v>94104</v>
      </c>
      <c r="AR2024" t="s">
        <v>128</v>
      </c>
      <c r="AT2024" s="4">
        <v>14157717500</v>
      </c>
      <c r="AV2024" t="s">
        <v>4251</v>
      </c>
      <c r="AW2024" t="s">
        <v>251</v>
      </c>
      <c r="AX2024" t="s">
        <v>131</v>
      </c>
      <c r="AY2024" t="s">
        <v>131</v>
      </c>
      <c r="AZ2024" t="s">
        <v>131</v>
      </c>
      <c r="BA2024" t="s">
        <v>131</v>
      </c>
      <c r="BB2024" t="s">
        <v>131</v>
      </c>
      <c r="BC2024" t="s">
        <v>131</v>
      </c>
      <c r="BD2024" t="s">
        <v>131</v>
      </c>
      <c r="BE2024" t="s">
        <v>132</v>
      </c>
      <c r="BH2024" t="s">
        <v>945</v>
      </c>
      <c r="BI2024" t="s">
        <v>131</v>
      </c>
      <c r="BL2024" t="s">
        <v>188</v>
      </c>
      <c r="BN2024" t="s">
        <v>1064</v>
      </c>
      <c r="BO2024" t="s">
        <v>131</v>
      </c>
      <c r="BP2024" t="s">
        <v>134</v>
      </c>
      <c r="BQ2024" t="s">
        <v>131</v>
      </c>
      <c r="BS2024" t="str">
        <f t="shared" si="114"/>
        <v>N/A</v>
      </c>
      <c r="BT2024" t="s">
        <v>135</v>
      </c>
      <c r="BU2024">
        <v>36</v>
      </c>
      <c r="BV2024" t="str">
        <f>"See F.b.5.a."</f>
        <v>See F.b.5.a.</v>
      </c>
      <c r="BW2024" t="s">
        <v>135</v>
      </c>
      <c r="BX2024" t="str">
        <f>""</f>
        <v/>
      </c>
      <c r="BY2024" t="str">
        <f>""</f>
        <v/>
      </c>
      <c r="BZ2024" t="str">
        <f>""</f>
        <v/>
      </c>
      <c r="CA2024" s="2" t="s">
        <v>5451</v>
      </c>
      <c r="CB2024" t="s">
        <v>131</v>
      </c>
      <c r="CF2024" t="s">
        <v>131</v>
      </c>
      <c r="CH2024" t="str">
        <f>""</f>
        <v/>
      </c>
      <c r="CI2024" t="s">
        <v>131</v>
      </c>
      <c r="CK2024" t="s">
        <v>131</v>
      </c>
      <c r="CL2024" t="str">
        <f>""</f>
        <v/>
      </c>
      <c r="CM2024" t="str">
        <f>""</f>
        <v/>
      </c>
      <c r="CN2024" t="str">
        <f>""</f>
        <v/>
      </c>
      <c r="CO2024" t="str">
        <f>""</f>
        <v/>
      </c>
      <c r="CP2024" t="str">
        <f>"15-1132.00"</f>
        <v>15-1132.00</v>
      </c>
      <c r="CQ2024" t="s">
        <v>198</v>
      </c>
      <c r="CS2024" t="s">
        <v>135</v>
      </c>
      <c r="CT2024" t="s">
        <v>5452</v>
      </c>
      <c r="CU2024" t="s">
        <v>18839</v>
      </c>
      <c r="CW2024" t="s">
        <v>171</v>
      </c>
      <c r="CX2024" t="s">
        <v>172</v>
      </c>
      <c r="CZ2024" s="3" t="str">
        <f>"92618"</f>
        <v>92618</v>
      </c>
      <c r="DA2024" t="s">
        <v>131</v>
      </c>
      <c r="DB2024" t="str">
        <f>""</f>
        <v/>
      </c>
      <c r="DF2024" t="str">
        <f>""</f>
        <v/>
      </c>
    </row>
    <row r="2025" spans="1:110" ht="15" customHeight="1" x14ac:dyDescent="0.35">
      <c r="A2025" t="s">
        <v>11429</v>
      </c>
      <c r="B2025" t="s">
        <v>138</v>
      </c>
      <c r="C2025" s="1">
        <v>44364</v>
      </c>
      <c r="G2025" s="1">
        <v>44364</v>
      </c>
      <c r="H2025" t="s">
        <v>125</v>
      </c>
      <c r="I2025" t="s">
        <v>139</v>
      </c>
      <c r="J2025" t="s">
        <v>140</v>
      </c>
      <c r="L2025" t="s">
        <v>141</v>
      </c>
      <c r="M2025" t="s">
        <v>142</v>
      </c>
      <c r="O2025" t="s">
        <v>143</v>
      </c>
      <c r="P2025" t="s">
        <v>144</v>
      </c>
      <c r="Q2025" s="3">
        <v>98052</v>
      </c>
      <c r="R2025" t="s">
        <v>128</v>
      </c>
      <c r="T2025" s="4">
        <v>14255383872</v>
      </c>
      <c r="V2025" t="s">
        <v>1410</v>
      </c>
      <c r="W2025" t="s">
        <v>1411</v>
      </c>
      <c r="Y2025" t="s">
        <v>142</v>
      </c>
      <c r="AA2025" t="s">
        <v>143</v>
      </c>
      <c r="AB2025" t="s">
        <v>149</v>
      </c>
      <c r="AC2025" s="3" t="str">
        <f>"98052"</f>
        <v>98052</v>
      </c>
      <c r="AD2025" t="s">
        <v>128</v>
      </c>
      <c r="AF2025" s="4">
        <v>14255383872</v>
      </c>
      <c r="AH2025" t="str">
        <f>"511210"</f>
        <v>511210</v>
      </c>
      <c r="AI2025" t="s">
        <v>130</v>
      </c>
      <c r="AJ2025" t="s">
        <v>2667</v>
      </c>
      <c r="AK2025" t="s">
        <v>3321</v>
      </c>
      <c r="AM2025" t="s">
        <v>1414</v>
      </c>
      <c r="AN2025" t="s">
        <v>698</v>
      </c>
      <c r="AO2025" t="s">
        <v>1415</v>
      </c>
      <c r="AP2025" t="s">
        <v>382</v>
      </c>
      <c r="AQ2025" s="5">
        <v>21117</v>
      </c>
      <c r="AR2025" t="s">
        <v>128</v>
      </c>
      <c r="AT2025" s="4">
        <v>14103565440</v>
      </c>
      <c r="AU2025">
        <v>224</v>
      </c>
      <c r="AV2025" t="s">
        <v>11430</v>
      </c>
      <c r="AW2025" t="s">
        <v>1416</v>
      </c>
      <c r="AX2025" t="s">
        <v>131</v>
      </c>
      <c r="AY2025" t="s">
        <v>131</v>
      </c>
      <c r="AZ2025" t="s">
        <v>131</v>
      </c>
      <c r="BA2025" t="s">
        <v>131</v>
      </c>
      <c r="BB2025" t="s">
        <v>131</v>
      </c>
      <c r="BC2025" t="s">
        <v>131</v>
      </c>
      <c r="BD2025" t="s">
        <v>131</v>
      </c>
      <c r="BE2025" t="s">
        <v>132</v>
      </c>
      <c r="BH2025" t="s">
        <v>542</v>
      </c>
      <c r="BI2025" t="s">
        <v>131</v>
      </c>
      <c r="BL2025" t="s">
        <v>133</v>
      </c>
      <c r="BN2025" t="s">
        <v>1417</v>
      </c>
      <c r="BO2025" t="s">
        <v>131</v>
      </c>
      <c r="BP2025" t="s">
        <v>134</v>
      </c>
      <c r="BQ2025" t="s">
        <v>131</v>
      </c>
      <c r="BS2025" t="str">
        <f t="shared" si="114"/>
        <v>N/A</v>
      </c>
      <c r="BT2025" t="s">
        <v>135</v>
      </c>
      <c r="BU2025">
        <v>60</v>
      </c>
      <c r="BV2025" t="str">
        <f>"Any computer-related occupation"</f>
        <v>Any computer-related occupation</v>
      </c>
      <c r="BW2025" t="s">
        <v>135</v>
      </c>
      <c r="BX2025" t="str">
        <f>""</f>
        <v/>
      </c>
      <c r="BY2025" t="str">
        <f>""</f>
        <v/>
      </c>
      <c r="BZ2025" t="str">
        <f>""</f>
        <v/>
      </c>
      <c r="CA2025" t="str">
        <f>"Education or Experience in Web Applications (Full Stack), Service Architecture at Scale, Multi-Threaded Architecture, Project Leadership, Production Escalation Management, Storage and Caching Architecture, and CI/CD Design."</f>
        <v>Education or Experience in Web Applications (Full Stack), Service Architecture at Scale, Multi-Threaded Architecture, Project Leadership, Production Escalation Management, Storage and Caching Architecture, and CI/CD Design.</v>
      </c>
      <c r="CB2025" t="s">
        <v>131</v>
      </c>
      <c r="CF2025" t="s">
        <v>131</v>
      </c>
      <c r="CH2025" t="str">
        <f>""</f>
        <v/>
      </c>
      <c r="CI2025" t="s">
        <v>131</v>
      </c>
      <c r="CK2025" t="s">
        <v>131</v>
      </c>
      <c r="CL2025" t="str">
        <f>""</f>
        <v/>
      </c>
      <c r="CM2025" t="str">
        <f>""</f>
        <v/>
      </c>
      <c r="CN2025" t="str">
        <f>""</f>
        <v/>
      </c>
      <c r="CO2025" t="str">
        <f>""</f>
        <v/>
      </c>
      <c r="CP2025" t="str">
        <f>"15-1132.00"</f>
        <v>15-1132.00</v>
      </c>
      <c r="CQ2025" t="s">
        <v>198</v>
      </c>
      <c r="CR2025" t="s">
        <v>3134</v>
      </c>
      <c r="CS2025" t="s">
        <v>131</v>
      </c>
      <c r="CU2025" t="s">
        <v>142</v>
      </c>
      <c r="CW2025" t="s">
        <v>143</v>
      </c>
      <c r="CX2025" t="s">
        <v>149</v>
      </c>
      <c r="CZ2025" s="3" t="str">
        <f>"98052"</f>
        <v>98052</v>
      </c>
      <c r="DA2025" t="s">
        <v>131</v>
      </c>
      <c r="DB2025" t="str">
        <f>""</f>
        <v/>
      </c>
      <c r="DF2025" t="str">
        <f>""</f>
        <v/>
      </c>
    </row>
    <row r="2026" spans="1:110" ht="15" customHeight="1" x14ac:dyDescent="0.35">
      <c r="A2026" t="s">
        <v>18484</v>
      </c>
      <c r="B2026" t="s">
        <v>138</v>
      </c>
      <c r="C2026" s="1">
        <v>44364</v>
      </c>
      <c r="G2026" s="1">
        <v>44364</v>
      </c>
      <c r="H2026" t="s">
        <v>125</v>
      </c>
      <c r="I2026" t="s">
        <v>11693</v>
      </c>
      <c r="J2026" t="s">
        <v>700</v>
      </c>
      <c r="L2026" t="s">
        <v>628</v>
      </c>
      <c r="M2026" t="s">
        <v>11694</v>
      </c>
      <c r="N2026" t="s">
        <v>904</v>
      </c>
      <c r="O2026" t="s">
        <v>612</v>
      </c>
      <c r="P2026" t="s">
        <v>588</v>
      </c>
      <c r="Q2026" s="3">
        <v>20191</v>
      </c>
      <c r="R2026" t="s">
        <v>128</v>
      </c>
      <c r="T2026" s="4">
        <v>17034768999</v>
      </c>
      <c r="V2026" t="s">
        <v>11695</v>
      </c>
      <c r="W2026" t="s">
        <v>11696</v>
      </c>
      <c r="Y2026" t="s">
        <v>11694</v>
      </c>
      <c r="Z2026" t="s">
        <v>904</v>
      </c>
      <c r="AA2026" t="s">
        <v>612</v>
      </c>
      <c r="AB2026" t="s">
        <v>306</v>
      </c>
      <c r="AC2026" s="3" t="str">
        <f>"20191"</f>
        <v>20191</v>
      </c>
      <c r="AD2026" t="s">
        <v>128</v>
      </c>
      <c r="AF2026" s="4">
        <v>17034768999</v>
      </c>
      <c r="AH2026" t="str">
        <f>"541330"</f>
        <v>541330</v>
      </c>
      <c r="AI2026" t="s">
        <v>130</v>
      </c>
      <c r="AJ2026" t="s">
        <v>11697</v>
      </c>
      <c r="AK2026" t="s">
        <v>435</v>
      </c>
      <c r="AL2026" t="s">
        <v>8205</v>
      </c>
      <c r="AM2026" t="s">
        <v>9010</v>
      </c>
      <c r="AN2026" t="s">
        <v>11698</v>
      </c>
      <c r="AO2026" t="s">
        <v>494</v>
      </c>
      <c r="AP2026" t="s">
        <v>129</v>
      </c>
      <c r="AQ2026" s="5">
        <v>10022</v>
      </c>
      <c r="AR2026" t="s">
        <v>128</v>
      </c>
      <c r="AT2026" s="4">
        <v>12128696565</v>
      </c>
      <c r="AV2026" t="s">
        <v>11699</v>
      </c>
      <c r="AW2026" t="s">
        <v>11700</v>
      </c>
      <c r="AX2026" t="s">
        <v>131</v>
      </c>
      <c r="AY2026" t="s">
        <v>131</v>
      </c>
      <c r="AZ2026" t="s">
        <v>131</v>
      </c>
      <c r="BA2026" t="s">
        <v>131</v>
      </c>
      <c r="BB2026" t="s">
        <v>131</v>
      </c>
      <c r="BC2026" t="s">
        <v>131</v>
      </c>
      <c r="BD2026" t="s">
        <v>131</v>
      </c>
      <c r="BE2026" t="s">
        <v>132</v>
      </c>
      <c r="BH2026" t="s">
        <v>18485</v>
      </c>
      <c r="BI2026" t="s">
        <v>131</v>
      </c>
      <c r="BL2026" t="s">
        <v>133</v>
      </c>
      <c r="BN2026" t="s">
        <v>18486</v>
      </c>
      <c r="BO2026" t="s">
        <v>131</v>
      </c>
      <c r="BP2026" t="s">
        <v>134</v>
      </c>
      <c r="BQ2026" t="s">
        <v>131</v>
      </c>
      <c r="BS2026" t="str">
        <f t="shared" si="114"/>
        <v>N/A</v>
      </c>
      <c r="BT2026" t="s">
        <v>135</v>
      </c>
      <c r="BU2026">
        <v>24</v>
      </c>
      <c r="BV2026" t="str">
        <f>"progressive experience in job or related jobs"</f>
        <v>progressive experience in job or related jobs</v>
      </c>
      <c r="BW2026" t="s">
        <v>135</v>
      </c>
      <c r="BX2026" t="str">
        <f>""</f>
        <v/>
      </c>
      <c r="BY2026" t="str">
        <f>""</f>
        <v/>
      </c>
      <c r="BZ2026" t="str">
        <f>""</f>
        <v/>
      </c>
      <c r="CA2026" t="str">
        <f>"1 year hands on experience utilizing the following tools: Windcatcher, TEMS, NetAct, Nemo and Actix."</f>
        <v>1 year hands on experience utilizing the following tools: Windcatcher, TEMS, NetAct, Nemo and Actix.</v>
      </c>
      <c r="CB2026" t="s">
        <v>131</v>
      </c>
      <c r="CF2026" t="s">
        <v>131</v>
      </c>
      <c r="CH2026" t="str">
        <f>""</f>
        <v/>
      </c>
      <c r="CI2026" t="s">
        <v>131</v>
      </c>
      <c r="CK2026" t="s">
        <v>131</v>
      </c>
      <c r="CL2026" t="str">
        <f>""</f>
        <v/>
      </c>
      <c r="CM2026" t="str">
        <f>""</f>
        <v/>
      </c>
      <c r="CN2026" t="str">
        <f>""</f>
        <v/>
      </c>
      <c r="CO2026" t="str">
        <f>""</f>
        <v/>
      </c>
      <c r="CP2026" t="str">
        <f>"17-2071.00"</f>
        <v>17-2071.00</v>
      </c>
      <c r="CQ2026" t="s">
        <v>649</v>
      </c>
      <c r="CR2026" t="s">
        <v>5947</v>
      </c>
      <c r="CS2026" t="s">
        <v>135</v>
      </c>
      <c r="CT2026" t="s">
        <v>11701</v>
      </c>
      <c r="CU2026" t="s">
        <v>11694</v>
      </c>
      <c r="CV2026" t="s">
        <v>904</v>
      </c>
      <c r="CW2026" t="s">
        <v>612</v>
      </c>
      <c r="CX2026" t="s">
        <v>306</v>
      </c>
      <c r="CZ2026" s="3" t="str">
        <f>"20191"</f>
        <v>20191</v>
      </c>
      <c r="DA2026" t="s">
        <v>131</v>
      </c>
      <c r="DB2026" t="str">
        <f>""</f>
        <v/>
      </c>
      <c r="DF2026" t="str">
        <f>""</f>
        <v/>
      </c>
    </row>
    <row r="2027" spans="1:110" ht="15" customHeight="1" x14ac:dyDescent="0.35">
      <c r="A2027" t="s">
        <v>17467</v>
      </c>
      <c r="B2027" t="s">
        <v>138</v>
      </c>
      <c r="C2027" s="1">
        <v>44364</v>
      </c>
      <c r="G2027" s="1">
        <v>44364</v>
      </c>
      <c r="H2027" t="s">
        <v>125</v>
      </c>
      <c r="I2027" t="s">
        <v>2264</v>
      </c>
      <c r="J2027" t="s">
        <v>202</v>
      </c>
      <c r="L2027" t="s">
        <v>203</v>
      </c>
      <c r="M2027" t="s">
        <v>204</v>
      </c>
      <c r="O2027" t="s">
        <v>205</v>
      </c>
      <c r="P2027" t="s">
        <v>194</v>
      </c>
      <c r="Q2027" s="3">
        <v>33607</v>
      </c>
      <c r="R2027" t="s">
        <v>128</v>
      </c>
      <c r="T2027" s="4">
        <v>18133487000</v>
      </c>
      <c r="V2027" t="s">
        <v>206</v>
      </c>
      <c r="W2027" t="s">
        <v>2265</v>
      </c>
      <c r="Y2027" t="s">
        <v>208</v>
      </c>
      <c r="AA2027" t="s">
        <v>205</v>
      </c>
      <c r="AB2027" t="s">
        <v>195</v>
      </c>
      <c r="AC2027" s="3" t="str">
        <f>"33607"</f>
        <v>33607</v>
      </c>
      <c r="AD2027" t="s">
        <v>128</v>
      </c>
      <c r="AF2027" s="4">
        <v>18133487000</v>
      </c>
      <c r="AH2027" t="str">
        <f>"541611"</f>
        <v>541611</v>
      </c>
      <c r="AI2027" t="s">
        <v>130</v>
      </c>
      <c r="AJ2027" t="s">
        <v>209</v>
      </c>
      <c r="AK2027" t="s">
        <v>210</v>
      </c>
      <c r="AL2027" t="s">
        <v>211</v>
      </c>
      <c r="AM2027" t="s">
        <v>212</v>
      </c>
      <c r="AN2027" t="s">
        <v>213</v>
      </c>
      <c r="AO2027" t="s">
        <v>214</v>
      </c>
      <c r="AQ2027" s="5" t="s">
        <v>215</v>
      </c>
      <c r="AR2027" t="s">
        <v>156</v>
      </c>
      <c r="AS2027" t="s">
        <v>216</v>
      </c>
      <c r="AT2027" s="4">
        <v>14169418383</v>
      </c>
      <c r="AV2027" t="s">
        <v>217</v>
      </c>
      <c r="AW2027" t="s">
        <v>218</v>
      </c>
      <c r="AX2027" t="s">
        <v>131</v>
      </c>
      <c r="AY2027" t="s">
        <v>131</v>
      </c>
      <c r="AZ2027" t="s">
        <v>131</v>
      </c>
      <c r="BA2027" t="s">
        <v>131</v>
      </c>
      <c r="BB2027" t="s">
        <v>131</v>
      </c>
      <c r="BC2027" t="s">
        <v>131</v>
      </c>
      <c r="BD2027" t="s">
        <v>131</v>
      </c>
      <c r="BE2027" t="s">
        <v>132</v>
      </c>
      <c r="BH2027" t="s">
        <v>17468</v>
      </c>
      <c r="BI2027" t="s">
        <v>135</v>
      </c>
      <c r="BJ2027" t="s">
        <v>4062</v>
      </c>
      <c r="BK2027" t="s">
        <v>292</v>
      </c>
      <c r="BL2027" t="s">
        <v>133</v>
      </c>
      <c r="BN2027" t="s">
        <v>17469</v>
      </c>
      <c r="BO2027" t="s">
        <v>131</v>
      </c>
      <c r="BP2027" t="s">
        <v>134</v>
      </c>
      <c r="BQ2027" t="s">
        <v>131</v>
      </c>
      <c r="BS2027" t="str">
        <f t="shared" si="114"/>
        <v>N/A</v>
      </c>
      <c r="BT2027" t="s">
        <v>135</v>
      </c>
      <c r="BU2027">
        <v>84</v>
      </c>
      <c r="BV2027" t="str">
        <f>"Management Analysts or related occupation. "</f>
        <v xml:space="preserve">Management Analysts or related occupation. </v>
      </c>
      <c r="BW2027" t="s">
        <v>135</v>
      </c>
      <c r="BX2027" t="str">
        <f>""</f>
        <v/>
      </c>
      <c r="BY2027" t="str">
        <f>""</f>
        <v/>
      </c>
      <c r="BZ2027" t="str">
        <f>""</f>
        <v/>
      </c>
      <c r="CA2027" s="2" t="s">
        <v>17470</v>
      </c>
      <c r="CB2027" t="s">
        <v>135</v>
      </c>
      <c r="CC2027" t="s">
        <v>188</v>
      </c>
      <c r="CE2027" t="s">
        <v>17469</v>
      </c>
      <c r="CF2027" t="s">
        <v>131</v>
      </c>
      <c r="CH2027" t="str">
        <f>"N/A"</f>
        <v>N/A</v>
      </c>
      <c r="CI2027" t="s">
        <v>135</v>
      </c>
      <c r="CJ2027">
        <v>60</v>
      </c>
      <c r="CK2027" t="s">
        <v>135</v>
      </c>
      <c r="CL2027" t="str">
        <f>""</f>
        <v/>
      </c>
      <c r="CM2027" t="str">
        <f>""</f>
        <v/>
      </c>
      <c r="CN2027" t="str">
        <f>""</f>
        <v/>
      </c>
      <c r="CO2027" s="2" t="s">
        <v>17470</v>
      </c>
      <c r="CP2027" t="str">
        <f>"13-1111.00"</f>
        <v>13-1111.00</v>
      </c>
      <c r="CQ2027" t="s">
        <v>292</v>
      </c>
      <c r="CS2027" t="s">
        <v>135</v>
      </c>
      <c r="CT2027" t="s">
        <v>9394</v>
      </c>
      <c r="CU2027" t="s">
        <v>1082</v>
      </c>
      <c r="CW2027" t="s">
        <v>642</v>
      </c>
      <c r="CX2027" t="s">
        <v>643</v>
      </c>
      <c r="CZ2027" s="3" t="str">
        <f>"30309"</f>
        <v>30309</v>
      </c>
      <c r="DA2027" t="s">
        <v>131</v>
      </c>
      <c r="DB2027" t="str">
        <f>""</f>
        <v/>
      </c>
      <c r="DF2027" t="str">
        <f>""</f>
        <v/>
      </c>
    </row>
    <row r="2028" spans="1:110" ht="15" customHeight="1" x14ac:dyDescent="0.35">
      <c r="A2028" t="s">
        <v>4977</v>
      </c>
      <c r="B2028" t="s">
        <v>138</v>
      </c>
      <c r="C2028" s="1">
        <v>44364</v>
      </c>
      <c r="G2028" s="1">
        <v>44372</v>
      </c>
      <c r="H2028" t="s">
        <v>125</v>
      </c>
      <c r="I2028" t="s">
        <v>4978</v>
      </c>
      <c r="J2028" t="s">
        <v>3936</v>
      </c>
      <c r="L2028" t="s">
        <v>2448</v>
      </c>
      <c r="M2028" t="s">
        <v>4979</v>
      </c>
      <c r="O2028" t="s">
        <v>4980</v>
      </c>
      <c r="P2028" t="s">
        <v>256</v>
      </c>
      <c r="Q2028" s="3">
        <v>65653</v>
      </c>
      <c r="R2028" t="s">
        <v>128</v>
      </c>
      <c r="T2028" s="4">
        <v>14175466337</v>
      </c>
      <c r="V2028" t="s">
        <v>4981</v>
      </c>
      <c r="W2028" t="s">
        <v>4982</v>
      </c>
      <c r="X2028" t="s">
        <v>4983</v>
      </c>
      <c r="Y2028" t="s">
        <v>4984</v>
      </c>
      <c r="AA2028" t="s">
        <v>4694</v>
      </c>
      <c r="AB2028" t="s">
        <v>258</v>
      </c>
      <c r="AC2028" s="3" t="str">
        <f>"65653"</f>
        <v>65653</v>
      </c>
      <c r="AD2028" t="s">
        <v>128</v>
      </c>
      <c r="AF2028" s="4">
        <v>14175466337</v>
      </c>
      <c r="AH2028" t="str">
        <f>"623110"</f>
        <v>623110</v>
      </c>
      <c r="AI2028" t="s">
        <v>130</v>
      </c>
      <c r="AJ2028" t="s">
        <v>4323</v>
      </c>
      <c r="AK2028" t="s">
        <v>4324</v>
      </c>
      <c r="AL2028" t="s">
        <v>2748</v>
      </c>
      <c r="AM2028" t="s">
        <v>4985</v>
      </c>
      <c r="AN2028" t="s">
        <v>788</v>
      </c>
      <c r="AO2028" t="s">
        <v>4327</v>
      </c>
      <c r="AP2028" t="s">
        <v>263</v>
      </c>
      <c r="AQ2028" s="5">
        <v>60555</v>
      </c>
      <c r="AR2028" t="s">
        <v>128</v>
      </c>
      <c r="AT2028" s="4">
        <v>17733661214</v>
      </c>
      <c r="AV2028" t="s">
        <v>4328</v>
      </c>
      <c r="AW2028" t="s">
        <v>4329</v>
      </c>
      <c r="AX2028" t="s">
        <v>131</v>
      </c>
      <c r="AY2028" t="s">
        <v>131</v>
      </c>
      <c r="AZ2028" t="s">
        <v>131</v>
      </c>
      <c r="BA2028" t="s">
        <v>131</v>
      </c>
      <c r="BB2028" t="s">
        <v>131</v>
      </c>
      <c r="BC2028" t="s">
        <v>131</v>
      </c>
      <c r="BD2028" t="s">
        <v>131</v>
      </c>
      <c r="BE2028" t="s">
        <v>132</v>
      </c>
      <c r="BH2028" t="s">
        <v>230</v>
      </c>
      <c r="BI2028" t="s">
        <v>131</v>
      </c>
      <c r="BL2028" t="s">
        <v>307</v>
      </c>
      <c r="BN2028" t="s">
        <v>604</v>
      </c>
      <c r="BO2028" t="s">
        <v>131</v>
      </c>
      <c r="BP2028" t="s">
        <v>134</v>
      </c>
      <c r="BQ2028" t="s">
        <v>131</v>
      </c>
      <c r="BS2028" t="str">
        <f t="shared" si="114"/>
        <v>N/A</v>
      </c>
      <c r="BT2028" t="s">
        <v>131</v>
      </c>
      <c r="BV2028" t="str">
        <f>""</f>
        <v/>
      </c>
      <c r="BW2028" t="s">
        <v>135</v>
      </c>
      <c r="BX2028" t="str">
        <f>""</f>
        <v/>
      </c>
      <c r="BY2028" t="str">
        <f>""</f>
        <v/>
      </c>
      <c r="BZ2028" t="str">
        <f>""</f>
        <v/>
      </c>
      <c r="CA2028" t="str">
        <f>"CANDIDATES MUST HAVE EITHER ONE OF THE FOLLOWING: 1. A FULL UNRESTRICTED LICENSE TO PRACTICE IN THE STATE OF MISSOURI; OR, 2. A CGFNS CERTIFICATE; OR, 3.  PROOF OF PASSING THE NCLEX-RN EXAMINATION.  "</f>
        <v xml:space="preserve">CANDIDATES MUST HAVE EITHER ONE OF THE FOLLOWING: 1. A FULL UNRESTRICTED LICENSE TO PRACTICE IN THE STATE OF MISSOURI; OR, 2. A CGFNS CERTIFICATE; OR, 3.  PROOF OF PASSING THE NCLEX-RN EXAMINATION.  </v>
      </c>
      <c r="CB2028" t="s">
        <v>131</v>
      </c>
      <c r="CF2028" t="s">
        <v>131</v>
      </c>
      <c r="CH2028" t="str">
        <f>""</f>
        <v/>
      </c>
      <c r="CI2028" t="s">
        <v>131</v>
      </c>
      <c r="CK2028" t="s">
        <v>131</v>
      </c>
      <c r="CL2028" t="str">
        <f>""</f>
        <v/>
      </c>
      <c r="CM2028" t="str">
        <f>""</f>
        <v/>
      </c>
      <c r="CN2028" t="str">
        <f>""</f>
        <v/>
      </c>
      <c r="CO2028" t="str">
        <f>""</f>
        <v/>
      </c>
      <c r="CP2028" t="str">
        <f>"29-1141.00"</f>
        <v>29-1141.00</v>
      </c>
      <c r="CQ2028" t="s">
        <v>232</v>
      </c>
      <c r="CR2028" t="s">
        <v>1037</v>
      </c>
      <c r="CS2028" t="s">
        <v>131</v>
      </c>
      <c r="CU2028" t="s">
        <v>4984</v>
      </c>
      <c r="CW2028" t="s">
        <v>4980</v>
      </c>
      <c r="CX2028" t="s">
        <v>258</v>
      </c>
      <c r="CZ2028" s="3" t="str">
        <f>"65653"</f>
        <v>65653</v>
      </c>
      <c r="DA2028" t="s">
        <v>131</v>
      </c>
      <c r="DB2028" t="str">
        <f>""</f>
        <v/>
      </c>
      <c r="DF2028" t="str">
        <f>""</f>
        <v/>
      </c>
    </row>
    <row r="2029" spans="1:110" ht="15" customHeight="1" x14ac:dyDescent="0.35">
      <c r="A2029" t="s">
        <v>4735</v>
      </c>
      <c r="B2029" t="s">
        <v>138</v>
      </c>
      <c r="C2029" s="1">
        <v>44364</v>
      </c>
      <c r="G2029" s="1">
        <v>44364</v>
      </c>
      <c r="H2029" t="s">
        <v>125</v>
      </c>
      <c r="I2029" t="s">
        <v>221</v>
      </c>
      <c r="J2029" t="s">
        <v>222</v>
      </c>
      <c r="L2029" t="s">
        <v>223</v>
      </c>
      <c r="M2029" t="s">
        <v>224</v>
      </c>
      <c r="N2029" t="s">
        <v>2049</v>
      </c>
      <c r="O2029" t="s">
        <v>228</v>
      </c>
      <c r="P2029" t="s">
        <v>226</v>
      </c>
      <c r="Q2029" s="3">
        <v>46278</v>
      </c>
      <c r="R2029" t="s">
        <v>128</v>
      </c>
      <c r="T2029" s="4">
        <v>13173880800</v>
      </c>
      <c r="V2029" t="s">
        <v>2099</v>
      </c>
      <c r="W2029" t="s">
        <v>2100</v>
      </c>
      <c r="Y2029" t="s">
        <v>224</v>
      </c>
      <c r="Z2029" t="s">
        <v>2049</v>
      </c>
      <c r="AA2029" t="s">
        <v>228</v>
      </c>
      <c r="AB2029" t="s">
        <v>229</v>
      </c>
      <c r="AC2029" s="3" t="str">
        <f>"46278"</f>
        <v>46278</v>
      </c>
      <c r="AD2029" t="s">
        <v>128</v>
      </c>
      <c r="AF2029" s="4">
        <v>13173880800</v>
      </c>
      <c r="AH2029" t="str">
        <f>"561330"</f>
        <v>561330</v>
      </c>
      <c r="AI2029" t="s">
        <v>167</v>
      </c>
      <c r="AX2029" t="s">
        <v>131</v>
      </c>
      <c r="AY2029" t="s">
        <v>131</v>
      </c>
      <c r="AZ2029" t="s">
        <v>131</v>
      </c>
      <c r="BA2029" t="s">
        <v>131</v>
      </c>
      <c r="BB2029" t="s">
        <v>131</v>
      </c>
      <c r="BC2029" t="s">
        <v>131</v>
      </c>
      <c r="BD2029" t="s">
        <v>131</v>
      </c>
      <c r="BE2029" t="s">
        <v>132</v>
      </c>
      <c r="BH2029" t="s">
        <v>230</v>
      </c>
      <c r="BI2029" t="s">
        <v>131</v>
      </c>
      <c r="BL2029" t="s">
        <v>133</v>
      </c>
      <c r="BN2029" s="2" t="s">
        <v>231</v>
      </c>
      <c r="BO2029" t="s">
        <v>131</v>
      </c>
      <c r="BP2029" t="s">
        <v>134</v>
      </c>
      <c r="BQ2029" t="s">
        <v>131</v>
      </c>
      <c r="BS2029" t="str">
        <f t="shared" si="114"/>
        <v>N/A</v>
      </c>
      <c r="BT2029" t="s">
        <v>131</v>
      </c>
      <c r="BV2029" t="str">
        <f>""</f>
        <v/>
      </c>
      <c r="BW2029" t="s">
        <v>135</v>
      </c>
      <c r="BX2029" t="str">
        <f>"NCLEX PASSER OR POSSESSES A US RN LICENSE. COMPACT RN STATE LICENSE ACCEPTABLE. ELIGIBLE TO PRACTICE AS A REGISTERED NURSE.
"</f>
        <v xml:space="preserve">NCLEX PASSER OR POSSESSES A US RN LICENSE. COMPACT RN STATE LICENSE ACCEPTABLE. ELIGIBLE TO PRACTICE AS A REGISTERED NURSE.
</v>
      </c>
      <c r="BY2029" t="str">
        <f>""</f>
        <v/>
      </c>
      <c r="BZ2029" t="str">
        <f>""</f>
        <v/>
      </c>
      <c r="CA2029" t="str">
        <f>""</f>
        <v/>
      </c>
      <c r="CB2029" t="s">
        <v>131</v>
      </c>
      <c r="CF2029" t="s">
        <v>131</v>
      </c>
      <c r="CH2029" t="str">
        <f>""</f>
        <v/>
      </c>
      <c r="CI2029" t="s">
        <v>131</v>
      </c>
      <c r="CK2029" t="s">
        <v>131</v>
      </c>
      <c r="CL2029" t="str">
        <f>""</f>
        <v/>
      </c>
      <c r="CM2029" t="str">
        <f>""</f>
        <v/>
      </c>
      <c r="CN2029" t="str">
        <f>""</f>
        <v/>
      </c>
      <c r="CO2029" t="str">
        <f>""</f>
        <v/>
      </c>
      <c r="CP2029" t="str">
        <f>"29-1141.00"</f>
        <v>29-1141.00</v>
      </c>
      <c r="CQ2029" t="s">
        <v>232</v>
      </c>
      <c r="CR2029" t="s">
        <v>233</v>
      </c>
      <c r="CS2029" t="s">
        <v>131</v>
      </c>
      <c r="CU2029" t="s">
        <v>2536</v>
      </c>
      <c r="CV2029" t="s">
        <v>2537</v>
      </c>
      <c r="CW2029" t="s">
        <v>2538</v>
      </c>
      <c r="CX2029" t="s">
        <v>808</v>
      </c>
      <c r="CZ2029" s="3" t="str">
        <f>"86510"</f>
        <v>86510</v>
      </c>
      <c r="DA2029" t="s">
        <v>131</v>
      </c>
      <c r="DB2029" t="str">
        <f>""</f>
        <v/>
      </c>
      <c r="DF2029" t="str">
        <f>""</f>
        <v/>
      </c>
    </row>
    <row r="2030" spans="1:110" ht="15" customHeight="1" x14ac:dyDescent="0.35">
      <c r="A2030" t="s">
        <v>10836</v>
      </c>
      <c r="B2030" t="s">
        <v>138</v>
      </c>
      <c r="C2030" s="1">
        <v>44364</v>
      </c>
      <c r="G2030" s="1">
        <v>44364</v>
      </c>
      <c r="H2030" t="s">
        <v>125</v>
      </c>
      <c r="I2030" t="s">
        <v>901</v>
      </c>
      <c r="J2030" t="s">
        <v>1278</v>
      </c>
      <c r="L2030" t="s">
        <v>4622</v>
      </c>
      <c r="M2030" t="s">
        <v>4623</v>
      </c>
      <c r="N2030" t="s">
        <v>4494</v>
      </c>
      <c r="O2030" t="s">
        <v>494</v>
      </c>
      <c r="P2030" t="s">
        <v>127</v>
      </c>
      <c r="Q2030" s="3">
        <v>10001</v>
      </c>
      <c r="R2030" t="s">
        <v>128</v>
      </c>
      <c r="T2030" s="4">
        <v>12126955470</v>
      </c>
      <c r="V2030" t="s">
        <v>4624</v>
      </c>
      <c r="W2030" t="s">
        <v>4625</v>
      </c>
      <c r="X2030" t="s">
        <v>4626</v>
      </c>
      <c r="Y2030" t="s">
        <v>4623</v>
      </c>
      <c r="Z2030" t="s">
        <v>10837</v>
      </c>
      <c r="AA2030" t="s">
        <v>494</v>
      </c>
      <c r="AB2030" t="s">
        <v>129</v>
      </c>
      <c r="AC2030" s="3" t="str">
        <f>"10001"</f>
        <v>10001</v>
      </c>
      <c r="AD2030" t="s">
        <v>128</v>
      </c>
      <c r="AF2030" s="4">
        <v>12126955470</v>
      </c>
      <c r="AH2030" t="str">
        <f>"611710"</f>
        <v>611710</v>
      </c>
      <c r="AI2030" t="s">
        <v>130</v>
      </c>
      <c r="AJ2030" t="s">
        <v>3702</v>
      </c>
      <c r="AK2030" t="s">
        <v>3484</v>
      </c>
      <c r="AL2030" t="s">
        <v>3485</v>
      </c>
      <c r="AM2030" t="s">
        <v>10838</v>
      </c>
      <c r="AN2030" t="s">
        <v>4627</v>
      </c>
      <c r="AO2030" t="s">
        <v>3487</v>
      </c>
      <c r="AP2030" t="s">
        <v>276</v>
      </c>
      <c r="AQ2030" s="5">
        <v>7650</v>
      </c>
      <c r="AR2030" t="s">
        <v>128</v>
      </c>
      <c r="AT2030" s="4">
        <v>12015857409</v>
      </c>
      <c r="AV2030" t="s">
        <v>3488</v>
      </c>
      <c r="AW2030" t="s">
        <v>3489</v>
      </c>
      <c r="AX2030" t="s">
        <v>131</v>
      </c>
      <c r="AY2030" t="s">
        <v>131</v>
      </c>
      <c r="AZ2030" t="s">
        <v>131</v>
      </c>
      <c r="BA2030" t="s">
        <v>131</v>
      </c>
      <c r="BB2030" t="s">
        <v>131</v>
      </c>
      <c r="BC2030" t="s">
        <v>131</v>
      </c>
      <c r="BD2030" t="s">
        <v>131</v>
      </c>
      <c r="BE2030" t="s">
        <v>132</v>
      </c>
      <c r="BH2030" t="s">
        <v>727</v>
      </c>
      <c r="BI2030" t="s">
        <v>131</v>
      </c>
      <c r="BL2030" t="s">
        <v>133</v>
      </c>
      <c r="BN2030" t="s">
        <v>4628</v>
      </c>
      <c r="BO2030" t="s">
        <v>131</v>
      </c>
      <c r="BP2030" t="s">
        <v>134</v>
      </c>
      <c r="BQ2030" t="s">
        <v>131</v>
      </c>
      <c r="BS2030" t="str">
        <f t="shared" si="114"/>
        <v>N/A</v>
      </c>
      <c r="BT2030" t="s">
        <v>131</v>
      </c>
      <c r="BV2030" t="str">
        <f>""</f>
        <v/>
      </c>
      <c r="BW2030" t="s">
        <v>135</v>
      </c>
      <c r="BX2030" t="str">
        <f>""</f>
        <v/>
      </c>
      <c r="BY2030" t="str">
        <f>"Ability to read, speak, write the Spanish language at a professional working level."</f>
        <v>Ability to read, speak, write the Spanish language at a professional working level.</v>
      </c>
      <c r="BZ2030" t="str">
        <f>""</f>
        <v/>
      </c>
      <c r="CA2030" t="str">
        <f>""</f>
        <v/>
      </c>
      <c r="CB2030" t="s">
        <v>131</v>
      </c>
      <c r="CF2030" t="s">
        <v>131</v>
      </c>
      <c r="CH2030" t="str">
        <f>""</f>
        <v/>
      </c>
      <c r="CI2030" t="s">
        <v>131</v>
      </c>
      <c r="CK2030" t="s">
        <v>131</v>
      </c>
      <c r="CL2030" t="str">
        <f>""</f>
        <v/>
      </c>
      <c r="CM2030" t="str">
        <f>""</f>
        <v/>
      </c>
      <c r="CN2030" t="str">
        <f>""</f>
        <v/>
      </c>
      <c r="CO2030" t="str">
        <f>""</f>
        <v/>
      </c>
      <c r="CP2030" t="str">
        <f>"13-1161.00"</f>
        <v>13-1161.00</v>
      </c>
      <c r="CQ2030" t="s">
        <v>252</v>
      </c>
      <c r="CR2030" t="s">
        <v>286</v>
      </c>
      <c r="CS2030" t="s">
        <v>131</v>
      </c>
      <c r="CU2030" t="s">
        <v>4623</v>
      </c>
      <c r="CV2030" t="s">
        <v>2489</v>
      </c>
      <c r="CW2030" t="s">
        <v>494</v>
      </c>
      <c r="CX2030" t="s">
        <v>129</v>
      </c>
      <c r="CZ2030" s="3" t="str">
        <f>"10001"</f>
        <v>10001</v>
      </c>
      <c r="DA2030" t="s">
        <v>131</v>
      </c>
      <c r="DB2030" t="str">
        <f>""</f>
        <v/>
      </c>
      <c r="DF2030" t="str">
        <f>""</f>
        <v/>
      </c>
    </row>
    <row r="2031" spans="1:110" ht="15" customHeight="1" x14ac:dyDescent="0.35">
      <c r="A2031" t="s">
        <v>18665</v>
      </c>
      <c r="B2031" t="s">
        <v>138</v>
      </c>
      <c r="C2031" s="1">
        <v>44364</v>
      </c>
      <c r="G2031" s="1">
        <v>44372</v>
      </c>
      <c r="H2031" t="s">
        <v>125</v>
      </c>
      <c r="I2031" t="s">
        <v>1966</v>
      </c>
      <c r="J2031" t="s">
        <v>3706</v>
      </c>
      <c r="L2031" t="s">
        <v>2292</v>
      </c>
      <c r="M2031" t="s">
        <v>8966</v>
      </c>
      <c r="O2031" t="s">
        <v>8963</v>
      </c>
      <c r="P2031" t="s">
        <v>256</v>
      </c>
      <c r="Q2031" s="3">
        <v>65251</v>
      </c>
      <c r="R2031" t="s">
        <v>128</v>
      </c>
      <c r="T2031" s="4">
        <v>15736420202</v>
      </c>
      <c r="V2031" t="s">
        <v>8964</v>
      </c>
      <c r="W2031" t="s">
        <v>11744</v>
      </c>
      <c r="X2031" t="s">
        <v>8965</v>
      </c>
      <c r="Y2031" t="s">
        <v>8966</v>
      </c>
      <c r="AA2031" t="s">
        <v>8963</v>
      </c>
      <c r="AB2031" t="s">
        <v>258</v>
      </c>
      <c r="AC2031" s="3" t="str">
        <f>"65251"</f>
        <v>65251</v>
      </c>
      <c r="AD2031" t="s">
        <v>128</v>
      </c>
      <c r="AF2031" s="4">
        <v>15736420202</v>
      </c>
      <c r="AH2031" t="str">
        <f>"623110"</f>
        <v>623110</v>
      </c>
      <c r="AI2031" t="s">
        <v>130</v>
      </c>
      <c r="AJ2031" t="s">
        <v>4323</v>
      </c>
      <c r="AK2031" t="s">
        <v>4324</v>
      </c>
      <c r="AL2031" t="s">
        <v>4325</v>
      </c>
      <c r="AM2031" t="s">
        <v>4326</v>
      </c>
      <c r="AN2031" t="s">
        <v>788</v>
      </c>
      <c r="AO2031" t="s">
        <v>4859</v>
      </c>
      <c r="AP2031" t="s">
        <v>263</v>
      </c>
      <c r="AQ2031" s="5">
        <v>60555</v>
      </c>
      <c r="AR2031" t="s">
        <v>128</v>
      </c>
      <c r="AT2031" s="4">
        <v>17733661214</v>
      </c>
      <c r="AV2031" t="s">
        <v>4328</v>
      </c>
      <c r="AW2031" t="s">
        <v>4329</v>
      </c>
      <c r="AX2031" t="s">
        <v>131</v>
      </c>
      <c r="AY2031" t="s">
        <v>131</v>
      </c>
      <c r="AZ2031" t="s">
        <v>131</v>
      </c>
      <c r="BA2031" t="s">
        <v>131</v>
      </c>
      <c r="BB2031" t="s">
        <v>131</v>
      </c>
      <c r="BC2031" t="s">
        <v>131</v>
      </c>
      <c r="BD2031" t="s">
        <v>131</v>
      </c>
      <c r="BE2031" t="s">
        <v>132</v>
      </c>
      <c r="BH2031" t="s">
        <v>230</v>
      </c>
      <c r="BI2031" t="s">
        <v>131</v>
      </c>
      <c r="BL2031" t="s">
        <v>307</v>
      </c>
      <c r="BN2031" t="s">
        <v>604</v>
      </c>
      <c r="BO2031" t="s">
        <v>131</v>
      </c>
      <c r="BP2031" t="s">
        <v>134</v>
      </c>
      <c r="BQ2031" t="s">
        <v>131</v>
      </c>
      <c r="BS2031" t="str">
        <f t="shared" si="114"/>
        <v>N/A</v>
      </c>
      <c r="BT2031" t="s">
        <v>131</v>
      </c>
      <c r="BV2031" t="str">
        <f>""</f>
        <v/>
      </c>
      <c r="BW2031" t="s">
        <v>135</v>
      </c>
      <c r="BX2031" t="str">
        <f>""</f>
        <v/>
      </c>
      <c r="BY2031" t="str">
        <f>""</f>
        <v/>
      </c>
      <c r="BZ2031" t="str">
        <f>""</f>
        <v/>
      </c>
      <c r="CA2031" t="str">
        <f>"CANDIDATES MUST HAVE EITHER ONE OF THE FOLLOWING: 1. A FULL UNRESTRICTED LICENSE TO PRACTICE IN THE STATE OF MISSOURI; OR, 2. A CGFNS CERTIFICATE; OR, 3. PROOF OF PASSING THE NCLEX-RN EXAMINATION."</f>
        <v>CANDIDATES MUST HAVE EITHER ONE OF THE FOLLOWING: 1. A FULL UNRESTRICTED LICENSE TO PRACTICE IN THE STATE OF MISSOURI; OR, 2. A CGFNS CERTIFICATE; OR, 3. PROOF OF PASSING THE NCLEX-RN EXAMINATION.</v>
      </c>
      <c r="CB2031" t="s">
        <v>131</v>
      </c>
      <c r="CF2031" t="s">
        <v>131</v>
      </c>
      <c r="CH2031" t="str">
        <f>""</f>
        <v/>
      </c>
      <c r="CI2031" t="s">
        <v>131</v>
      </c>
      <c r="CK2031" t="s">
        <v>131</v>
      </c>
      <c r="CL2031" t="str">
        <f>""</f>
        <v/>
      </c>
      <c r="CM2031" t="str">
        <f>""</f>
        <v/>
      </c>
      <c r="CN2031" t="str">
        <f>""</f>
        <v/>
      </c>
      <c r="CO2031" t="str">
        <f>""</f>
        <v/>
      </c>
      <c r="CP2031" t="str">
        <f t="shared" ref="CP2031:CP2045" si="115">"29-1141.00"</f>
        <v>29-1141.00</v>
      </c>
      <c r="CQ2031" t="s">
        <v>232</v>
      </c>
      <c r="CR2031" t="s">
        <v>1037</v>
      </c>
      <c r="CS2031" t="s">
        <v>131</v>
      </c>
      <c r="CU2031" t="s">
        <v>11745</v>
      </c>
      <c r="CW2031" t="s">
        <v>8963</v>
      </c>
      <c r="CX2031" t="s">
        <v>258</v>
      </c>
      <c r="CZ2031" s="3" t="str">
        <f>"65251"</f>
        <v>65251</v>
      </c>
      <c r="DA2031" t="s">
        <v>131</v>
      </c>
      <c r="DB2031" t="str">
        <f>""</f>
        <v/>
      </c>
      <c r="DF2031" t="str">
        <f>""</f>
        <v/>
      </c>
    </row>
    <row r="2032" spans="1:110" ht="15" customHeight="1" x14ac:dyDescent="0.35">
      <c r="A2032" t="s">
        <v>11502</v>
      </c>
      <c r="B2032" t="s">
        <v>138</v>
      </c>
      <c r="C2032" s="1">
        <v>44364</v>
      </c>
      <c r="G2032" s="1">
        <v>44372</v>
      </c>
      <c r="H2032" t="s">
        <v>125</v>
      </c>
      <c r="I2032" t="s">
        <v>11503</v>
      </c>
      <c r="J2032" t="s">
        <v>5751</v>
      </c>
      <c r="L2032" t="s">
        <v>2292</v>
      </c>
      <c r="M2032" t="s">
        <v>5752</v>
      </c>
      <c r="O2032" t="s">
        <v>2412</v>
      </c>
      <c r="P2032" t="s">
        <v>256</v>
      </c>
      <c r="Q2032" s="3">
        <v>65203</v>
      </c>
      <c r="R2032" t="s">
        <v>128</v>
      </c>
      <c r="T2032" s="4">
        <v>15738743674</v>
      </c>
      <c r="V2032" t="s">
        <v>5753</v>
      </c>
      <c r="W2032" t="s">
        <v>5754</v>
      </c>
      <c r="X2032" t="s">
        <v>5755</v>
      </c>
      <c r="Y2032" t="s">
        <v>5752</v>
      </c>
      <c r="AA2032" t="s">
        <v>2412</v>
      </c>
      <c r="AB2032" t="s">
        <v>258</v>
      </c>
      <c r="AC2032" s="3" t="str">
        <f>"65203"</f>
        <v>65203</v>
      </c>
      <c r="AD2032" t="s">
        <v>128</v>
      </c>
      <c r="AF2032" s="4">
        <v>15738743674</v>
      </c>
      <c r="AH2032" t="str">
        <f>"623110"</f>
        <v>623110</v>
      </c>
      <c r="AI2032" t="s">
        <v>130</v>
      </c>
      <c r="AJ2032" t="s">
        <v>4323</v>
      </c>
      <c r="AK2032" t="s">
        <v>4324</v>
      </c>
      <c r="AL2032" t="s">
        <v>4325</v>
      </c>
      <c r="AM2032" t="s">
        <v>4326</v>
      </c>
      <c r="AN2032" t="s">
        <v>788</v>
      </c>
      <c r="AO2032" t="s">
        <v>4859</v>
      </c>
      <c r="AP2032" t="s">
        <v>263</v>
      </c>
      <c r="AQ2032" s="5">
        <v>60555</v>
      </c>
      <c r="AR2032" t="s">
        <v>128</v>
      </c>
      <c r="AT2032" s="4">
        <v>17733661214</v>
      </c>
      <c r="AV2032" t="s">
        <v>4328</v>
      </c>
      <c r="AW2032" t="s">
        <v>4329</v>
      </c>
      <c r="AX2032" t="s">
        <v>131</v>
      </c>
      <c r="AY2032" t="s">
        <v>131</v>
      </c>
      <c r="AZ2032" t="s">
        <v>131</v>
      </c>
      <c r="BA2032" t="s">
        <v>131</v>
      </c>
      <c r="BB2032" t="s">
        <v>131</v>
      </c>
      <c r="BC2032" t="s">
        <v>131</v>
      </c>
      <c r="BD2032" t="s">
        <v>131</v>
      </c>
      <c r="BE2032" t="s">
        <v>132</v>
      </c>
      <c r="BH2032" t="s">
        <v>230</v>
      </c>
      <c r="BI2032" t="s">
        <v>131</v>
      </c>
      <c r="BL2032" t="s">
        <v>307</v>
      </c>
      <c r="BN2032" t="s">
        <v>604</v>
      </c>
      <c r="BO2032" t="s">
        <v>131</v>
      </c>
      <c r="BP2032" t="s">
        <v>134</v>
      </c>
      <c r="BQ2032" t="s">
        <v>131</v>
      </c>
      <c r="BS2032" t="str">
        <f t="shared" si="114"/>
        <v>N/A</v>
      </c>
      <c r="BT2032" t="s">
        <v>131</v>
      </c>
      <c r="BV2032" t="str">
        <f>""</f>
        <v/>
      </c>
      <c r="BW2032" t="s">
        <v>135</v>
      </c>
      <c r="BX2032" t="str">
        <f>""</f>
        <v/>
      </c>
      <c r="BY2032" t="str">
        <f>""</f>
        <v/>
      </c>
      <c r="BZ2032" t="str">
        <f>""</f>
        <v/>
      </c>
      <c r="CA2032" t="str">
        <f>"CANDIDATES MUST HAVE EITHER ONE OF THE FOLLOWING: 1. A FULL UNRESTRICTED LICENSE TO PRACTICE IN THE STATE OF MISSOURI; OR, 2. A CGFNS CERTIFICATE; OR, 3. PROOF OF PASSING THE NCLEX-RN EXAMINATION. "</f>
        <v xml:space="preserve">CANDIDATES MUST HAVE EITHER ONE OF THE FOLLOWING: 1. A FULL UNRESTRICTED LICENSE TO PRACTICE IN THE STATE OF MISSOURI; OR, 2. A CGFNS CERTIFICATE; OR, 3. PROOF OF PASSING THE NCLEX-RN EXAMINATION. </v>
      </c>
      <c r="CB2032" t="s">
        <v>131</v>
      </c>
      <c r="CF2032" t="s">
        <v>131</v>
      </c>
      <c r="CH2032" t="str">
        <f>""</f>
        <v/>
      </c>
      <c r="CI2032" t="s">
        <v>131</v>
      </c>
      <c r="CK2032" t="s">
        <v>131</v>
      </c>
      <c r="CL2032" t="str">
        <f>""</f>
        <v/>
      </c>
      <c r="CM2032" t="str">
        <f>""</f>
        <v/>
      </c>
      <c r="CN2032" t="str">
        <f>""</f>
        <v/>
      </c>
      <c r="CO2032" t="str">
        <f>""</f>
        <v/>
      </c>
      <c r="CP2032" t="str">
        <f t="shared" si="115"/>
        <v>29-1141.00</v>
      </c>
      <c r="CQ2032" t="s">
        <v>232</v>
      </c>
      <c r="CR2032" t="s">
        <v>1037</v>
      </c>
      <c r="CS2032" t="s">
        <v>131</v>
      </c>
      <c r="CU2032" t="s">
        <v>5752</v>
      </c>
      <c r="CW2032" t="s">
        <v>2412</v>
      </c>
      <c r="CX2032" t="s">
        <v>258</v>
      </c>
      <c r="CZ2032" s="3" t="str">
        <f>"65203"</f>
        <v>65203</v>
      </c>
      <c r="DA2032" t="s">
        <v>131</v>
      </c>
      <c r="DB2032" t="str">
        <f>""</f>
        <v/>
      </c>
      <c r="DF2032" t="str">
        <f>""</f>
        <v/>
      </c>
    </row>
    <row r="2033" spans="1:110" ht="15" customHeight="1" x14ac:dyDescent="0.35">
      <c r="A2033" t="s">
        <v>14534</v>
      </c>
      <c r="B2033" t="s">
        <v>138</v>
      </c>
      <c r="C2033" s="1">
        <v>44364</v>
      </c>
      <c r="G2033" s="1">
        <v>44372</v>
      </c>
      <c r="H2033" t="s">
        <v>125</v>
      </c>
      <c r="I2033" t="s">
        <v>7382</v>
      </c>
      <c r="J2033" t="s">
        <v>2518</v>
      </c>
      <c r="L2033" t="s">
        <v>2292</v>
      </c>
      <c r="M2033" t="s">
        <v>10897</v>
      </c>
      <c r="O2033" t="s">
        <v>670</v>
      </c>
      <c r="P2033" t="s">
        <v>256</v>
      </c>
      <c r="Q2033" s="3">
        <v>63379</v>
      </c>
      <c r="R2033" t="s">
        <v>128</v>
      </c>
      <c r="T2033" s="4">
        <v>16365285712</v>
      </c>
      <c r="V2033" t="s">
        <v>10894</v>
      </c>
      <c r="W2033" t="s">
        <v>10895</v>
      </c>
      <c r="X2033" t="s">
        <v>10896</v>
      </c>
      <c r="Y2033" t="s">
        <v>10897</v>
      </c>
      <c r="AA2033" t="s">
        <v>670</v>
      </c>
      <c r="AB2033" t="s">
        <v>258</v>
      </c>
      <c r="AC2033" s="3" t="str">
        <f>"63379"</f>
        <v>63379</v>
      </c>
      <c r="AD2033" t="s">
        <v>128</v>
      </c>
      <c r="AF2033" s="4">
        <v>16365285712</v>
      </c>
      <c r="AH2033" t="str">
        <f>"623110"</f>
        <v>623110</v>
      </c>
      <c r="AI2033" t="s">
        <v>130</v>
      </c>
      <c r="AJ2033" t="s">
        <v>4323</v>
      </c>
      <c r="AK2033" t="s">
        <v>4324</v>
      </c>
      <c r="AL2033" t="s">
        <v>4325</v>
      </c>
      <c r="AM2033" t="s">
        <v>4326</v>
      </c>
      <c r="AN2033" t="s">
        <v>788</v>
      </c>
      <c r="AO2033" t="s">
        <v>4859</v>
      </c>
      <c r="AP2033" t="s">
        <v>263</v>
      </c>
      <c r="AQ2033" s="5">
        <v>60555</v>
      </c>
      <c r="AR2033" t="s">
        <v>128</v>
      </c>
      <c r="AT2033" s="4">
        <v>17733661214</v>
      </c>
      <c r="AV2033" t="s">
        <v>4328</v>
      </c>
      <c r="AW2033" t="s">
        <v>4329</v>
      </c>
      <c r="AX2033" t="s">
        <v>131</v>
      </c>
      <c r="AY2033" t="s">
        <v>131</v>
      </c>
      <c r="AZ2033" t="s">
        <v>131</v>
      </c>
      <c r="BA2033" t="s">
        <v>131</v>
      </c>
      <c r="BB2033" t="s">
        <v>131</v>
      </c>
      <c r="BC2033" t="s">
        <v>131</v>
      </c>
      <c r="BD2033" t="s">
        <v>131</v>
      </c>
      <c r="BE2033" t="s">
        <v>132</v>
      </c>
      <c r="BH2033" t="s">
        <v>230</v>
      </c>
      <c r="BI2033" t="s">
        <v>131</v>
      </c>
      <c r="BL2033" t="s">
        <v>307</v>
      </c>
      <c r="BN2033" t="s">
        <v>604</v>
      </c>
      <c r="BO2033" t="s">
        <v>131</v>
      </c>
      <c r="BP2033" t="s">
        <v>134</v>
      </c>
      <c r="BQ2033" t="s">
        <v>131</v>
      </c>
      <c r="BS2033" t="str">
        <f t="shared" si="114"/>
        <v>N/A</v>
      </c>
      <c r="BT2033" t="s">
        <v>131</v>
      </c>
      <c r="BV2033" t="str">
        <f>""</f>
        <v/>
      </c>
      <c r="BW2033" t="s">
        <v>135</v>
      </c>
      <c r="BX2033" t="str">
        <f>""</f>
        <v/>
      </c>
      <c r="BY2033" t="str">
        <f>""</f>
        <v/>
      </c>
      <c r="BZ2033" t="str">
        <f>""</f>
        <v/>
      </c>
      <c r="CA2033" t="str">
        <f>"CANDIDATES MUST HAVE EITHER ONE OF THE FOLLOWING: 1. A FULL UNRESTRICTED LICENSE TO PRACTICE IN THE STATE OF MISSOURI; OR, 2. A CGFNS CERTIFICATE; OR, 3. PROOF OF PASSING THE NCLEX-RN EXAMINATION. "</f>
        <v xml:space="preserve">CANDIDATES MUST HAVE EITHER ONE OF THE FOLLOWING: 1. A FULL UNRESTRICTED LICENSE TO PRACTICE IN THE STATE OF MISSOURI; OR, 2. A CGFNS CERTIFICATE; OR, 3. PROOF OF PASSING THE NCLEX-RN EXAMINATION. </v>
      </c>
      <c r="CB2033" t="s">
        <v>131</v>
      </c>
      <c r="CF2033" t="s">
        <v>131</v>
      </c>
      <c r="CH2033" t="str">
        <f>""</f>
        <v/>
      </c>
      <c r="CI2033" t="s">
        <v>131</v>
      </c>
      <c r="CK2033" t="s">
        <v>131</v>
      </c>
      <c r="CL2033" t="str">
        <f>""</f>
        <v/>
      </c>
      <c r="CM2033" t="str">
        <f>""</f>
        <v/>
      </c>
      <c r="CN2033" t="str">
        <f>""</f>
        <v/>
      </c>
      <c r="CO2033" t="str">
        <f>""</f>
        <v/>
      </c>
      <c r="CP2033" t="str">
        <f t="shared" si="115"/>
        <v>29-1141.00</v>
      </c>
      <c r="CQ2033" t="s">
        <v>232</v>
      </c>
      <c r="CR2033" t="s">
        <v>1037</v>
      </c>
      <c r="CS2033" t="s">
        <v>131</v>
      </c>
      <c r="CU2033" t="s">
        <v>10897</v>
      </c>
      <c r="CW2033" t="s">
        <v>670</v>
      </c>
      <c r="CX2033" t="s">
        <v>258</v>
      </c>
      <c r="CZ2033" s="3" t="str">
        <f>"63379"</f>
        <v>63379</v>
      </c>
      <c r="DA2033" t="s">
        <v>131</v>
      </c>
      <c r="DB2033" t="str">
        <f>""</f>
        <v/>
      </c>
      <c r="DF2033" t="str">
        <f>""</f>
        <v/>
      </c>
    </row>
    <row r="2034" spans="1:110" ht="15" customHeight="1" x14ac:dyDescent="0.35">
      <c r="A2034" t="s">
        <v>19355</v>
      </c>
      <c r="B2034" t="s">
        <v>138</v>
      </c>
      <c r="C2034" s="1">
        <v>44364</v>
      </c>
      <c r="G2034" s="1">
        <v>44372</v>
      </c>
      <c r="H2034" t="s">
        <v>125</v>
      </c>
      <c r="I2034" t="s">
        <v>4316</v>
      </c>
      <c r="J2034" t="s">
        <v>4317</v>
      </c>
      <c r="L2034" t="s">
        <v>2292</v>
      </c>
      <c r="M2034" t="s">
        <v>4322</v>
      </c>
      <c r="O2034" t="s">
        <v>2412</v>
      </c>
      <c r="P2034" t="s">
        <v>256</v>
      </c>
      <c r="Q2034" s="3">
        <v>65202</v>
      </c>
      <c r="R2034" t="s">
        <v>128</v>
      </c>
      <c r="T2034" s="4">
        <v>15734491448</v>
      </c>
      <c r="V2034" t="s">
        <v>4319</v>
      </c>
      <c r="W2034" t="s">
        <v>19356</v>
      </c>
      <c r="X2034" t="s">
        <v>19357</v>
      </c>
      <c r="Y2034" t="s">
        <v>4318</v>
      </c>
      <c r="AA2034" t="s">
        <v>2412</v>
      </c>
      <c r="AB2034" t="s">
        <v>258</v>
      </c>
      <c r="AC2034" s="3" t="str">
        <f>"65202"</f>
        <v>65202</v>
      </c>
      <c r="AD2034" t="s">
        <v>128</v>
      </c>
      <c r="AF2034" s="4">
        <v>15734491448</v>
      </c>
      <c r="AH2034" t="str">
        <f>"623110"</f>
        <v>623110</v>
      </c>
      <c r="AI2034" t="s">
        <v>130</v>
      </c>
      <c r="AJ2034" t="s">
        <v>4323</v>
      </c>
      <c r="AK2034" t="s">
        <v>4324</v>
      </c>
      <c r="AL2034" t="s">
        <v>4325</v>
      </c>
      <c r="AM2034" t="s">
        <v>4326</v>
      </c>
      <c r="AN2034" t="s">
        <v>788</v>
      </c>
      <c r="AO2034" t="s">
        <v>4859</v>
      </c>
      <c r="AP2034" t="s">
        <v>263</v>
      </c>
      <c r="AQ2034" s="5">
        <v>60555</v>
      </c>
      <c r="AR2034" t="s">
        <v>128</v>
      </c>
      <c r="AT2034" s="4">
        <v>17733661214</v>
      </c>
      <c r="AV2034" t="s">
        <v>4328</v>
      </c>
      <c r="AW2034" t="s">
        <v>4329</v>
      </c>
      <c r="AX2034" t="s">
        <v>131</v>
      </c>
      <c r="AY2034" t="s">
        <v>131</v>
      </c>
      <c r="AZ2034" t="s">
        <v>131</v>
      </c>
      <c r="BA2034" t="s">
        <v>131</v>
      </c>
      <c r="BB2034" t="s">
        <v>131</v>
      </c>
      <c r="BC2034" t="s">
        <v>131</v>
      </c>
      <c r="BD2034" t="s">
        <v>131</v>
      </c>
      <c r="BE2034" t="s">
        <v>132</v>
      </c>
      <c r="BH2034" t="s">
        <v>230</v>
      </c>
      <c r="BI2034" t="s">
        <v>131</v>
      </c>
      <c r="BL2034" t="s">
        <v>307</v>
      </c>
      <c r="BN2034" t="s">
        <v>604</v>
      </c>
      <c r="BO2034" t="s">
        <v>131</v>
      </c>
      <c r="BP2034" t="s">
        <v>134</v>
      </c>
      <c r="BQ2034" t="s">
        <v>131</v>
      </c>
      <c r="BS2034" t="str">
        <f t="shared" si="114"/>
        <v>N/A</v>
      </c>
      <c r="BT2034" t="s">
        <v>131</v>
      </c>
      <c r="BV2034" t="str">
        <f>""</f>
        <v/>
      </c>
      <c r="BW2034" t="s">
        <v>135</v>
      </c>
      <c r="BX2034" t="str">
        <f>""</f>
        <v/>
      </c>
      <c r="BY2034" t="str">
        <f>""</f>
        <v/>
      </c>
      <c r="BZ2034" t="str">
        <f>""</f>
        <v/>
      </c>
      <c r="CA2034" t="str">
        <f>"CANDIDATES MUST HAVE EITHER ONE OF THE FOLLOWING: 1. A FULL UNRESTRICTED LICENSE TO PRACTICE IN THE STATE OF MISSOURI; OR, 2. A CGFNS CERTIFICATE; OR, 3. PROOF OF PASSING THE NCLEX-RN EXAMINATION. "</f>
        <v xml:space="preserve">CANDIDATES MUST HAVE EITHER ONE OF THE FOLLOWING: 1. A FULL UNRESTRICTED LICENSE TO PRACTICE IN THE STATE OF MISSOURI; OR, 2. A CGFNS CERTIFICATE; OR, 3. PROOF OF PASSING THE NCLEX-RN EXAMINATION. </v>
      </c>
      <c r="CB2034" t="s">
        <v>131</v>
      </c>
      <c r="CF2034" t="s">
        <v>131</v>
      </c>
      <c r="CH2034" t="str">
        <f>""</f>
        <v/>
      </c>
      <c r="CI2034" t="s">
        <v>131</v>
      </c>
      <c r="CK2034" t="s">
        <v>131</v>
      </c>
      <c r="CL2034" t="str">
        <f>""</f>
        <v/>
      </c>
      <c r="CM2034" t="str">
        <f>""</f>
        <v/>
      </c>
      <c r="CN2034" t="str">
        <f>""</f>
        <v/>
      </c>
      <c r="CO2034" t="str">
        <f>""</f>
        <v/>
      </c>
      <c r="CP2034" t="str">
        <f t="shared" si="115"/>
        <v>29-1141.00</v>
      </c>
      <c r="CQ2034" t="s">
        <v>232</v>
      </c>
      <c r="CR2034" t="s">
        <v>1037</v>
      </c>
      <c r="CS2034" t="s">
        <v>131</v>
      </c>
      <c r="CU2034" t="s">
        <v>4318</v>
      </c>
      <c r="CW2034" t="s">
        <v>2412</v>
      </c>
      <c r="CX2034" t="s">
        <v>258</v>
      </c>
      <c r="CZ2034" s="3" t="str">
        <f>"65202"</f>
        <v>65202</v>
      </c>
      <c r="DA2034" t="s">
        <v>131</v>
      </c>
      <c r="DB2034" t="str">
        <f>""</f>
        <v/>
      </c>
      <c r="DF2034" t="str">
        <f>""</f>
        <v/>
      </c>
    </row>
    <row r="2035" spans="1:110" ht="15" customHeight="1" x14ac:dyDescent="0.35">
      <c r="A2035" t="s">
        <v>12193</v>
      </c>
      <c r="B2035" t="s">
        <v>138</v>
      </c>
      <c r="C2035" s="1">
        <v>44364</v>
      </c>
      <c r="G2035" s="1">
        <v>44364</v>
      </c>
      <c r="H2035" t="s">
        <v>125</v>
      </c>
      <c r="I2035" t="s">
        <v>2694</v>
      </c>
      <c r="J2035" t="s">
        <v>1313</v>
      </c>
      <c r="L2035" t="s">
        <v>7112</v>
      </c>
      <c r="M2035" t="s">
        <v>7113</v>
      </c>
      <c r="N2035" t="s">
        <v>611</v>
      </c>
      <c r="O2035" t="s">
        <v>6704</v>
      </c>
      <c r="Q2035" s="3">
        <v>30040</v>
      </c>
      <c r="R2035" t="s">
        <v>643</v>
      </c>
      <c r="T2035" s="4">
        <v>18662963247</v>
      </c>
      <c r="V2035" t="s">
        <v>7114</v>
      </c>
      <c r="W2035" t="s">
        <v>7115</v>
      </c>
      <c r="Y2035" t="s">
        <v>7113</v>
      </c>
      <c r="Z2035" t="s">
        <v>611</v>
      </c>
      <c r="AA2035" t="s">
        <v>6704</v>
      </c>
      <c r="AB2035" t="s">
        <v>643</v>
      </c>
      <c r="AC2035" s="3" t="str">
        <f t="shared" ref="AC2035:AC2045" si="116">"30040"</f>
        <v>30040</v>
      </c>
      <c r="AD2035" t="s">
        <v>128</v>
      </c>
      <c r="AF2035" s="4">
        <v>18662963247</v>
      </c>
      <c r="AH2035" t="str">
        <f>"561311"</f>
        <v>561311</v>
      </c>
      <c r="AI2035" t="s">
        <v>130</v>
      </c>
      <c r="AJ2035" t="s">
        <v>7116</v>
      </c>
      <c r="AK2035" t="s">
        <v>7117</v>
      </c>
      <c r="AM2035" t="s">
        <v>12194</v>
      </c>
      <c r="AN2035" t="s">
        <v>565</v>
      </c>
      <c r="AO2035" t="s">
        <v>642</v>
      </c>
      <c r="AP2035" t="s">
        <v>643</v>
      </c>
      <c r="AQ2035" s="5">
        <v>30339</v>
      </c>
      <c r="AR2035" t="s">
        <v>128</v>
      </c>
      <c r="AT2035" s="4">
        <v>17705512700</v>
      </c>
      <c r="AV2035" t="s">
        <v>12195</v>
      </c>
      <c r="AW2035" t="s">
        <v>12195</v>
      </c>
      <c r="AX2035" t="s">
        <v>131</v>
      </c>
      <c r="AY2035" t="s">
        <v>131</v>
      </c>
      <c r="AZ2035" t="s">
        <v>131</v>
      </c>
      <c r="BA2035" t="s">
        <v>131</v>
      </c>
      <c r="BB2035" t="s">
        <v>131</v>
      </c>
      <c r="BC2035" t="s">
        <v>131</v>
      </c>
      <c r="BD2035" t="s">
        <v>131</v>
      </c>
      <c r="BE2035" t="s">
        <v>132</v>
      </c>
      <c r="BH2035" t="s">
        <v>230</v>
      </c>
      <c r="BI2035" t="s">
        <v>131</v>
      </c>
      <c r="BL2035" t="s">
        <v>133</v>
      </c>
      <c r="BN2035" t="s">
        <v>604</v>
      </c>
      <c r="BO2035" t="s">
        <v>131</v>
      </c>
      <c r="BP2035" t="s">
        <v>134</v>
      </c>
      <c r="BQ2035" t="s">
        <v>131</v>
      </c>
      <c r="BS2035" t="str">
        <f t="shared" si="114"/>
        <v>N/A</v>
      </c>
      <c r="BT2035" t="s">
        <v>131</v>
      </c>
      <c r="BV2035" t="str">
        <f>""</f>
        <v/>
      </c>
      <c r="BW2035" t="s">
        <v>135</v>
      </c>
      <c r="BX2035" t="str">
        <f>"Must have or be able to obtain RN license in the State of Georgia."</f>
        <v>Must have or be able to obtain RN license in the State of Georgia.</v>
      </c>
      <c r="BY2035" t="str">
        <f>""</f>
        <v/>
      </c>
      <c r="BZ2035" t="str">
        <f>""</f>
        <v/>
      </c>
      <c r="CA2035" t="str">
        <f>""</f>
        <v/>
      </c>
      <c r="CB2035" t="s">
        <v>131</v>
      </c>
      <c r="CF2035" t="s">
        <v>131</v>
      </c>
      <c r="CH2035" t="str">
        <f>""</f>
        <v/>
      </c>
      <c r="CI2035" t="s">
        <v>131</v>
      </c>
      <c r="CK2035" t="s">
        <v>131</v>
      </c>
      <c r="CL2035" t="str">
        <f>""</f>
        <v/>
      </c>
      <c r="CM2035" t="str">
        <f>""</f>
        <v/>
      </c>
      <c r="CN2035" t="str">
        <f>""</f>
        <v/>
      </c>
      <c r="CO2035" t="str">
        <f>""</f>
        <v/>
      </c>
      <c r="CP2035" t="str">
        <f t="shared" si="115"/>
        <v>29-1141.00</v>
      </c>
      <c r="CQ2035" t="s">
        <v>232</v>
      </c>
      <c r="CR2035" t="s">
        <v>7112</v>
      </c>
      <c r="CS2035" t="s">
        <v>131</v>
      </c>
      <c r="CU2035" t="s">
        <v>12196</v>
      </c>
      <c r="CW2035" t="s">
        <v>642</v>
      </c>
      <c r="CX2035" t="s">
        <v>643</v>
      </c>
      <c r="CZ2035" s="3" t="str">
        <f>"30342"</f>
        <v>30342</v>
      </c>
      <c r="DA2035" t="s">
        <v>131</v>
      </c>
      <c r="DB2035" t="str">
        <f>""</f>
        <v/>
      </c>
      <c r="DF2035" t="str">
        <f>""</f>
        <v/>
      </c>
    </row>
    <row r="2036" spans="1:110" ht="15" customHeight="1" x14ac:dyDescent="0.35">
      <c r="A2036" t="s">
        <v>19910</v>
      </c>
      <c r="B2036" t="s">
        <v>138</v>
      </c>
      <c r="C2036" s="1">
        <v>44364</v>
      </c>
      <c r="G2036" s="1">
        <v>44364</v>
      </c>
      <c r="H2036" t="s">
        <v>125</v>
      </c>
      <c r="I2036" t="s">
        <v>2694</v>
      </c>
      <c r="J2036" t="s">
        <v>1313</v>
      </c>
      <c r="L2036" t="s">
        <v>7112</v>
      </c>
      <c r="M2036" t="s">
        <v>7113</v>
      </c>
      <c r="N2036" t="s">
        <v>611</v>
      </c>
      <c r="O2036" t="s">
        <v>6704</v>
      </c>
      <c r="P2036" t="s">
        <v>818</v>
      </c>
      <c r="Q2036" s="3">
        <v>30040</v>
      </c>
      <c r="R2036" t="s">
        <v>128</v>
      </c>
      <c r="T2036" s="4">
        <v>18662963247</v>
      </c>
      <c r="V2036" t="s">
        <v>7114</v>
      </c>
      <c r="W2036" t="s">
        <v>7115</v>
      </c>
      <c r="Y2036" t="s">
        <v>7113</v>
      </c>
      <c r="Z2036" t="s">
        <v>611</v>
      </c>
      <c r="AA2036" t="s">
        <v>6704</v>
      </c>
      <c r="AB2036" t="s">
        <v>643</v>
      </c>
      <c r="AC2036" s="3" t="str">
        <f t="shared" si="116"/>
        <v>30040</v>
      </c>
      <c r="AD2036" t="s">
        <v>128</v>
      </c>
      <c r="AF2036" s="4">
        <v>18662963247</v>
      </c>
      <c r="AH2036" t="str">
        <f t="shared" ref="AH2036:AH2045" si="117">"56131"</f>
        <v>56131</v>
      </c>
      <c r="AI2036" t="s">
        <v>130</v>
      </c>
      <c r="AJ2036" t="s">
        <v>7116</v>
      </c>
      <c r="AK2036" t="s">
        <v>7117</v>
      </c>
      <c r="AM2036" t="s">
        <v>7118</v>
      </c>
      <c r="AN2036" t="s">
        <v>7119</v>
      </c>
      <c r="AO2036" t="s">
        <v>642</v>
      </c>
      <c r="AP2036" t="s">
        <v>643</v>
      </c>
      <c r="AQ2036" s="5">
        <v>30339</v>
      </c>
      <c r="AR2036" t="s">
        <v>128</v>
      </c>
      <c r="AT2036" s="4">
        <v>16786716824</v>
      </c>
      <c r="AV2036" t="s">
        <v>7120</v>
      </c>
      <c r="AW2036" t="s">
        <v>7121</v>
      </c>
      <c r="AX2036" t="s">
        <v>131</v>
      </c>
      <c r="AY2036" t="s">
        <v>131</v>
      </c>
      <c r="AZ2036" t="s">
        <v>131</v>
      </c>
      <c r="BA2036" t="s">
        <v>131</v>
      </c>
      <c r="BB2036" t="s">
        <v>131</v>
      </c>
      <c r="BC2036" t="s">
        <v>131</v>
      </c>
      <c r="BD2036" t="s">
        <v>131</v>
      </c>
      <c r="BE2036" t="s">
        <v>132</v>
      </c>
      <c r="BH2036" t="s">
        <v>230</v>
      </c>
      <c r="BI2036" t="s">
        <v>131</v>
      </c>
      <c r="BL2036" t="s">
        <v>133</v>
      </c>
      <c r="BN2036" t="s">
        <v>604</v>
      </c>
      <c r="BO2036" t="s">
        <v>131</v>
      </c>
      <c r="BP2036" t="s">
        <v>134</v>
      </c>
      <c r="BQ2036" t="s">
        <v>131</v>
      </c>
      <c r="BS2036" t="str">
        <f t="shared" si="114"/>
        <v>N/A</v>
      </c>
      <c r="BT2036" t="s">
        <v>131</v>
      </c>
      <c r="BV2036" t="str">
        <f>""</f>
        <v/>
      </c>
      <c r="BW2036" t="s">
        <v>135</v>
      </c>
      <c r="BX2036" t="str">
        <f t="shared" ref="BX2036:BX2045" si="118">"Must have or be able to obtain an RN license in the State of Georgia."</f>
        <v>Must have or be able to obtain an RN license in the State of Georgia.</v>
      </c>
      <c r="BY2036" t="str">
        <f>""</f>
        <v/>
      </c>
      <c r="BZ2036" t="str">
        <f>""</f>
        <v/>
      </c>
      <c r="CA2036" t="str">
        <f>""</f>
        <v/>
      </c>
      <c r="CB2036" t="s">
        <v>131</v>
      </c>
      <c r="CF2036" t="s">
        <v>131</v>
      </c>
      <c r="CH2036" t="str">
        <f>""</f>
        <v/>
      </c>
      <c r="CI2036" t="s">
        <v>131</v>
      </c>
      <c r="CK2036" t="s">
        <v>131</v>
      </c>
      <c r="CL2036" t="str">
        <f>""</f>
        <v/>
      </c>
      <c r="CM2036" t="str">
        <f>""</f>
        <v/>
      </c>
      <c r="CN2036" t="str">
        <f>""</f>
        <v/>
      </c>
      <c r="CO2036" t="str">
        <f>""</f>
        <v/>
      </c>
      <c r="CP2036" t="str">
        <f t="shared" si="115"/>
        <v>29-1141.00</v>
      </c>
      <c r="CQ2036" t="s">
        <v>232</v>
      </c>
      <c r="CR2036" t="s">
        <v>7112</v>
      </c>
      <c r="CS2036" t="s">
        <v>131</v>
      </c>
      <c r="CU2036" t="s">
        <v>7122</v>
      </c>
      <c r="CW2036" t="s">
        <v>7123</v>
      </c>
      <c r="CX2036" t="s">
        <v>643</v>
      </c>
      <c r="CZ2036" s="3" t="str">
        <f>"30115"</f>
        <v>30115</v>
      </c>
      <c r="DA2036" t="s">
        <v>131</v>
      </c>
      <c r="DB2036" t="str">
        <f>""</f>
        <v/>
      </c>
      <c r="DF2036" t="str">
        <f>""</f>
        <v/>
      </c>
    </row>
    <row r="2037" spans="1:110" ht="15" customHeight="1" x14ac:dyDescent="0.35">
      <c r="A2037" t="s">
        <v>13466</v>
      </c>
      <c r="B2037" t="s">
        <v>138</v>
      </c>
      <c r="C2037" s="1">
        <v>44364</v>
      </c>
      <c r="G2037" s="1">
        <v>44364</v>
      </c>
      <c r="H2037" t="s">
        <v>125</v>
      </c>
      <c r="I2037" t="s">
        <v>2694</v>
      </c>
      <c r="J2037" t="s">
        <v>1313</v>
      </c>
      <c r="L2037" t="s">
        <v>7112</v>
      </c>
      <c r="M2037" t="s">
        <v>7113</v>
      </c>
      <c r="N2037" t="s">
        <v>611</v>
      </c>
      <c r="O2037" t="s">
        <v>6704</v>
      </c>
      <c r="P2037" t="s">
        <v>818</v>
      </c>
      <c r="Q2037" s="3">
        <v>30040</v>
      </c>
      <c r="R2037" t="s">
        <v>128</v>
      </c>
      <c r="T2037" s="4">
        <v>18662963247</v>
      </c>
      <c r="V2037" t="s">
        <v>7114</v>
      </c>
      <c r="W2037" t="s">
        <v>7115</v>
      </c>
      <c r="Y2037" t="s">
        <v>7113</v>
      </c>
      <c r="Z2037" t="s">
        <v>611</v>
      </c>
      <c r="AA2037" t="s">
        <v>6704</v>
      </c>
      <c r="AB2037" t="s">
        <v>643</v>
      </c>
      <c r="AC2037" s="3" t="str">
        <f t="shared" si="116"/>
        <v>30040</v>
      </c>
      <c r="AD2037" t="s">
        <v>128</v>
      </c>
      <c r="AF2037" s="4">
        <v>18662963247</v>
      </c>
      <c r="AH2037" t="str">
        <f t="shared" si="117"/>
        <v>56131</v>
      </c>
      <c r="AI2037" t="s">
        <v>130</v>
      </c>
      <c r="AJ2037" t="s">
        <v>7116</v>
      </c>
      <c r="AK2037" t="s">
        <v>7117</v>
      </c>
      <c r="AM2037" t="s">
        <v>7118</v>
      </c>
      <c r="AN2037" t="s">
        <v>7119</v>
      </c>
      <c r="AO2037" t="s">
        <v>642</v>
      </c>
      <c r="AP2037" t="s">
        <v>643</v>
      </c>
      <c r="AQ2037" s="5">
        <v>30339</v>
      </c>
      <c r="AR2037" t="s">
        <v>128</v>
      </c>
      <c r="AS2037" t="s">
        <v>818</v>
      </c>
      <c r="AT2037" s="4">
        <v>17705512700</v>
      </c>
      <c r="AV2037" t="s">
        <v>7120</v>
      </c>
      <c r="AW2037" t="s">
        <v>7121</v>
      </c>
      <c r="AX2037" t="s">
        <v>131</v>
      </c>
      <c r="AY2037" t="s">
        <v>131</v>
      </c>
      <c r="AZ2037" t="s">
        <v>131</v>
      </c>
      <c r="BA2037" t="s">
        <v>131</v>
      </c>
      <c r="BB2037" t="s">
        <v>131</v>
      </c>
      <c r="BC2037" t="s">
        <v>131</v>
      </c>
      <c r="BD2037" t="s">
        <v>131</v>
      </c>
      <c r="BE2037" t="s">
        <v>132</v>
      </c>
      <c r="BH2037" t="s">
        <v>230</v>
      </c>
      <c r="BI2037" t="s">
        <v>131</v>
      </c>
      <c r="BL2037" t="s">
        <v>133</v>
      </c>
      <c r="BN2037" t="s">
        <v>604</v>
      </c>
      <c r="BO2037" t="s">
        <v>131</v>
      </c>
      <c r="BP2037" t="s">
        <v>134</v>
      </c>
      <c r="BQ2037" t="s">
        <v>131</v>
      </c>
      <c r="BS2037" t="str">
        <f t="shared" si="114"/>
        <v>N/A</v>
      </c>
      <c r="BT2037" t="s">
        <v>131</v>
      </c>
      <c r="BV2037" t="str">
        <f>""</f>
        <v/>
      </c>
      <c r="BW2037" t="s">
        <v>135</v>
      </c>
      <c r="BX2037" t="str">
        <f t="shared" si="118"/>
        <v>Must have or be able to obtain an RN license in the State of Georgia.</v>
      </c>
      <c r="BY2037" t="str">
        <f>""</f>
        <v/>
      </c>
      <c r="BZ2037" t="str">
        <f>""</f>
        <v/>
      </c>
      <c r="CA2037" t="str">
        <f>""</f>
        <v/>
      </c>
      <c r="CB2037" t="s">
        <v>131</v>
      </c>
      <c r="CF2037" t="s">
        <v>131</v>
      </c>
      <c r="CH2037" t="str">
        <f>""</f>
        <v/>
      </c>
      <c r="CI2037" t="s">
        <v>131</v>
      </c>
      <c r="CK2037" t="s">
        <v>131</v>
      </c>
      <c r="CL2037" t="str">
        <f>""</f>
        <v/>
      </c>
      <c r="CM2037" t="str">
        <f>""</f>
        <v/>
      </c>
      <c r="CN2037" t="str">
        <f>""</f>
        <v/>
      </c>
      <c r="CO2037" t="str">
        <f>""</f>
        <v/>
      </c>
      <c r="CP2037" t="str">
        <f t="shared" si="115"/>
        <v>29-1141.00</v>
      </c>
      <c r="CQ2037" t="s">
        <v>232</v>
      </c>
      <c r="CR2037" t="s">
        <v>7112</v>
      </c>
      <c r="CS2037" t="s">
        <v>131</v>
      </c>
      <c r="CU2037" t="s">
        <v>13467</v>
      </c>
      <c r="CW2037" t="s">
        <v>3237</v>
      </c>
      <c r="CX2037" t="s">
        <v>643</v>
      </c>
      <c r="CZ2037" s="3" t="str">
        <f>"30096"</f>
        <v>30096</v>
      </c>
      <c r="DA2037" t="s">
        <v>131</v>
      </c>
      <c r="DB2037" t="str">
        <f>""</f>
        <v/>
      </c>
      <c r="DF2037" t="str">
        <f>""</f>
        <v/>
      </c>
    </row>
    <row r="2038" spans="1:110" ht="15" customHeight="1" x14ac:dyDescent="0.35">
      <c r="A2038" t="s">
        <v>19264</v>
      </c>
      <c r="B2038" t="s">
        <v>138</v>
      </c>
      <c r="C2038" s="1">
        <v>44364</v>
      </c>
      <c r="G2038" s="1">
        <v>44364</v>
      </c>
      <c r="H2038" t="s">
        <v>125</v>
      </c>
      <c r="I2038" t="s">
        <v>2694</v>
      </c>
      <c r="J2038" t="s">
        <v>1313</v>
      </c>
      <c r="L2038" t="s">
        <v>7112</v>
      </c>
      <c r="M2038" t="s">
        <v>7113</v>
      </c>
      <c r="N2038" t="s">
        <v>611</v>
      </c>
      <c r="O2038" t="s">
        <v>6704</v>
      </c>
      <c r="P2038" t="s">
        <v>818</v>
      </c>
      <c r="Q2038" s="3">
        <v>30040</v>
      </c>
      <c r="R2038" t="s">
        <v>128</v>
      </c>
      <c r="T2038" s="4">
        <v>18662963247</v>
      </c>
      <c r="V2038" t="s">
        <v>7114</v>
      </c>
      <c r="W2038" t="s">
        <v>7115</v>
      </c>
      <c r="Y2038" t="s">
        <v>7113</v>
      </c>
      <c r="Z2038" t="s">
        <v>611</v>
      </c>
      <c r="AA2038" t="s">
        <v>6704</v>
      </c>
      <c r="AB2038" t="s">
        <v>643</v>
      </c>
      <c r="AC2038" s="3" t="str">
        <f t="shared" si="116"/>
        <v>30040</v>
      </c>
      <c r="AD2038" t="s">
        <v>128</v>
      </c>
      <c r="AF2038" s="4">
        <v>18662963247</v>
      </c>
      <c r="AH2038" t="str">
        <f t="shared" si="117"/>
        <v>56131</v>
      </c>
      <c r="AI2038" t="s">
        <v>130</v>
      </c>
      <c r="AJ2038" t="s">
        <v>7116</v>
      </c>
      <c r="AK2038" t="s">
        <v>7117</v>
      </c>
      <c r="AM2038" t="s">
        <v>7118</v>
      </c>
      <c r="AN2038" t="s">
        <v>7119</v>
      </c>
      <c r="AO2038" t="s">
        <v>642</v>
      </c>
      <c r="AP2038" t="s">
        <v>643</v>
      </c>
      <c r="AQ2038" s="5">
        <v>30339</v>
      </c>
      <c r="AR2038" t="s">
        <v>128</v>
      </c>
      <c r="AS2038" t="s">
        <v>818</v>
      </c>
      <c r="AT2038" s="4">
        <v>17705512700</v>
      </c>
      <c r="AV2038" t="s">
        <v>7120</v>
      </c>
      <c r="AW2038" t="s">
        <v>7121</v>
      </c>
      <c r="AX2038" t="s">
        <v>131</v>
      </c>
      <c r="AY2038" t="s">
        <v>131</v>
      </c>
      <c r="AZ2038" t="s">
        <v>131</v>
      </c>
      <c r="BA2038" t="s">
        <v>131</v>
      </c>
      <c r="BB2038" t="s">
        <v>131</v>
      </c>
      <c r="BC2038" t="s">
        <v>131</v>
      </c>
      <c r="BD2038" t="s">
        <v>131</v>
      </c>
      <c r="BE2038" t="s">
        <v>132</v>
      </c>
      <c r="BH2038" t="s">
        <v>230</v>
      </c>
      <c r="BI2038" t="s">
        <v>131</v>
      </c>
      <c r="BL2038" t="s">
        <v>133</v>
      </c>
      <c r="BN2038" t="s">
        <v>604</v>
      </c>
      <c r="BO2038" t="s">
        <v>131</v>
      </c>
      <c r="BP2038" t="s">
        <v>134</v>
      </c>
      <c r="BQ2038" t="s">
        <v>131</v>
      </c>
      <c r="BS2038" t="str">
        <f t="shared" si="114"/>
        <v>N/A</v>
      </c>
      <c r="BT2038" t="s">
        <v>131</v>
      </c>
      <c r="BV2038" t="str">
        <f>""</f>
        <v/>
      </c>
      <c r="BW2038" t="s">
        <v>135</v>
      </c>
      <c r="BX2038" t="str">
        <f t="shared" si="118"/>
        <v>Must have or be able to obtain an RN license in the State of Georgia.</v>
      </c>
      <c r="BY2038" t="str">
        <f>""</f>
        <v/>
      </c>
      <c r="BZ2038" t="str">
        <f>""</f>
        <v/>
      </c>
      <c r="CA2038" t="str">
        <f>""</f>
        <v/>
      </c>
      <c r="CB2038" t="s">
        <v>131</v>
      </c>
      <c r="CF2038" t="s">
        <v>131</v>
      </c>
      <c r="CH2038" t="str">
        <f>""</f>
        <v/>
      </c>
      <c r="CI2038" t="s">
        <v>131</v>
      </c>
      <c r="CK2038" t="s">
        <v>131</v>
      </c>
      <c r="CL2038" t="str">
        <f>""</f>
        <v/>
      </c>
      <c r="CM2038" t="str">
        <f>""</f>
        <v/>
      </c>
      <c r="CN2038" t="str">
        <f>""</f>
        <v/>
      </c>
      <c r="CO2038" t="str">
        <f>""</f>
        <v/>
      </c>
      <c r="CP2038" t="str">
        <f t="shared" si="115"/>
        <v>29-1141.00</v>
      </c>
      <c r="CQ2038" t="s">
        <v>232</v>
      </c>
      <c r="CR2038" t="s">
        <v>7112</v>
      </c>
      <c r="CS2038" t="s">
        <v>131</v>
      </c>
      <c r="CU2038" t="s">
        <v>11349</v>
      </c>
      <c r="CW2038" t="s">
        <v>6704</v>
      </c>
      <c r="CX2038" t="s">
        <v>643</v>
      </c>
      <c r="CZ2038" s="3" t="str">
        <f>"30041"</f>
        <v>30041</v>
      </c>
      <c r="DA2038" t="s">
        <v>131</v>
      </c>
      <c r="DB2038" t="str">
        <f>""</f>
        <v/>
      </c>
      <c r="DF2038" t="str">
        <f>""</f>
        <v/>
      </c>
    </row>
    <row r="2039" spans="1:110" ht="15" customHeight="1" x14ac:dyDescent="0.35">
      <c r="A2039" t="s">
        <v>11869</v>
      </c>
      <c r="B2039" t="s">
        <v>138</v>
      </c>
      <c r="C2039" s="1">
        <v>44364</v>
      </c>
      <c r="G2039" s="1">
        <v>44364</v>
      </c>
      <c r="H2039" t="s">
        <v>125</v>
      </c>
      <c r="I2039" t="s">
        <v>2694</v>
      </c>
      <c r="J2039" t="s">
        <v>1313</v>
      </c>
      <c r="L2039" t="s">
        <v>7112</v>
      </c>
      <c r="M2039" t="s">
        <v>7113</v>
      </c>
      <c r="N2039" t="s">
        <v>611</v>
      </c>
      <c r="O2039" t="s">
        <v>6704</v>
      </c>
      <c r="P2039" t="s">
        <v>818</v>
      </c>
      <c r="Q2039" s="3">
        <v>30040</v>
      </c>
      <c r="R2039" t="s">
        <v>128</v>
      </c>
      <c r="T2039" s="4">
        <v>18662963247</v>
      </c>
      <c r="V2039" t="s">
        <v>7114</v>
      </c>
      <c r="W2039" t="s">
        <v>7115</v>
      </c>
      <c r="Y2039" t="s">
        <v>7113</v>
      </c>
      <c r="Z2039" t="s">
        <v>611</v>
      </c>
      <c r="AA2039" t="s">
        <v>6704</v>
      </c>
      <c r="AB2039" t="s">
        <v>643</v>
      </c>
      <c r="AC2039" s="3" t="str">
        <f t="shared" si="116"/>
        <v>30040</v>
      </c>
      <c r="AD2039" t="s">
        <v>128</v>
      </c>
      <c r="AF2039" s="4">
        <v>18662963247</v>
      </c>
      <c r="AH2039" t="str">
        <f t="shared" si="117"/>
        <v>56131</v>
      </c>
      <c r="AI2039" t="s">
        <v>130</v>
      </c>
      <c r="AJ2039" t="s">
        <v>7116</v>
      </c>
      <c r="AK2039" t="s">
        <v>7117</v>
      </c>
      <c r="AM2039" t="s">
        <v>7118</v>
      </c>
      <c r="AN2039" t="s">
        <v>7119</v>
      </c>
      <c r="AO2039" t="s">
        <v>642</v>
      </c>
      <c r="AP2039" t="s">
        <v>643</v>
      </c>
      <c r="AQ2039" s="5">
        <v>30339</v>
      </c>
      <c r="AR2039" t="s">
        <v>128</v>
      </c>
      <c r="AS2039" t="s">
        <v>818</v>
      </c>
      <c r="AT2039" s="4">
        <v>17705512700</v>
      </c>
      <c r="AV2039" t="s">
        <v>7120</v>
      </c>
      <c r="AW2039" t="s">
        <v>7121</v>
      </c>
      <c r="AX2039" t="s">
        <v>131</v>
      </c>
      <c r="AY2039" t="s">
        <v>131</v>
      </c>
      <c r="AZ2039" t="s">
        <v>131</v>
      </c>
      <c r="BA2039" t="s">
        <v>131</v>
      </c>
      <c r="BB2039" t="s">
        <v>131</v>
      </c>
      <c r="BC2039" t="s">
        <v>131</v>
      </c>
      <c r="BD2039" t="s">
        <v>131</v>
      </c>
      <c r="BE2039" t="s">
        <v>132</v>
      </c>
      <c r="BH2039" t="s">
        <v>230</v>
      </c>
      <c r="BI2039" t="s">
        <v>131</v>
      </c>
      <c r="BL2039" t="s">
        <v>133</v>
      </c>
      <c r="BN2039" t="s">
        <v>604</v>
      </c>
      <c r="BO2039" t="s">
        <v>131</v>
      </c>
      <c r="BP2039" t="s">
        <v>134</v>
      </c>
      <c r="BQ2039" t="s">
        <v>131</v>
      </c>
      <c r="BS2039" t="str">
        <f t="shared" si="114"/>
        <v>N/A</v>
      </c>
      <c r="BT2039" t="s">
        <v>131</v>
      </c>
      <c r="BV2039" t="str">
        <f>""</f>
        <v/>
      </c>
      <c r="BW2039" t="s">
        <v>135</v>
      </c>
      <c r="BX2039" t="str">
        <f t="shared" si="118"/>
        <v>Must have or be able to obtain an RN license in the State of Georgia.</v>
      </c>
      <c r="BY2039" t="str">
        <f>""</f>
        <v/>
      </c>
      <c r="BZ2039" t="str">
        <f>""</f>
        <v/>
      </c>
      <c r="CA2039" t="str">
        <f>""</f>
        <v/>
      </c>
      <c r="CB2039" t="s">
        <v>131</v>
      </c>
      <c r="CF2039" t="s">
        <v>131</v>
      </c>
      <c r="CH2039" t="str">
        <f>""</f>
        <v/>
      </c>
      <c r="CI2039" t="s">
        <v>131</v>
      </c>
      <c r="CK2039" t="s">
        <v>131</v>
      </c>
      <c r="CL2039" t="str">
        <f>""</f>
        <v/>
      </c>
      <c r="CM2039" t="str">
        <f>""</f>
        <v/>
      </c>
      <c r="CN2039" t="str">
        <f>""</f>
        <v/>
      </c>
      <c r="CO2039" t="str">
        <f>""</f>
        <v/>
      </c>
      <c r="CP2039" t="str">
        <f t="shared" si="115"/>
        <v>29-1141.00</v>
      </c>
      <c r="CQ2039" t="s">
        <v>232</v>
      </c>
      <c r="CR2039" t="s">
        <v>7112</v>
      </c>
      <c r="CS2039" t="s">
        <v>131</v>
      </c>
      <c r="CU2039" t="s">
        <v>8805</v>
      </c>
      <c r="CW2039" t="s">
        <v>3561</v>
      </c>
      <c r="CX2039" t="s">
        <v>643</v>
      </c>
      <c r="CZ2039" s="3" t="str">
        <f>"30046"</f>
        <v>30046</v>
      </c>
      <c r="DA2039" t="s">
        <v>131</v>
      </c>
      <c r="DB2039" t="str">
        <f>""</f>
        <v/>
      </c>
      <c r="DF2039" t="str">
        <f>""</f>
        <v/>
      </c>
    </row>
    <row r="2040" spans="1:110" ht="15" customHeight="1" x14ac:dyDescent="0.35">
      <c r="A2040" t="s">
        <v>19961</v>
      </c>
      <c r="B2040" t="s">
        <v>138</v>
      </c>
      <c r="C2040" s="1">
        <v>44364</v>
      </c>
      <c r="G2040" s="1">
        <v>44364</v>
      </c>
      <c r="H2040" t="s">
        <v>125</v>
      </c>
      <c r="I2040" t="s">
        <v>2694</v>
      </c>
      <c r="J2040" t="s">
        <v>1313</v>
      </c>
      <c r="L2040" t="s">
        <v>7112</v>
      </c>
      <c r="M2040" t="s">
        <v>7113</v>
      </c>
      <c r="N2040" t="s">
        <v>611</v>
      </c>
      <c r="O2040" t="s">
        <v>6704</v>
      </c>
      <c r="P2040" t="s">
        <v>818</v>
      </c>
      <c r="Q2040" s="3">
        <v>30040</v>
      </c>
      <c r="R2040" t="s">
        <v>128</v>
      </c>
      <c r="T2040" s="4">
        <v>18662963247</v>
      </c>
      <c r="V2040" t="s">
        <v>7114</v>
      </c>
      <c r="W2040" t="s">
        <v>7115</v>
      </c>
      <c r="Y2040" t="s">
        <v>7113</v>
      </c>
      <c r="Z2040" t="s">
        <v>611</v>
      </c>
      <c r="AA2040" t="s">
        <v>6704</v>
      </c>
      <c r="AB2040" t="s">
        <v>643</v>
      </c>
      <c r="AC2040" s="3" t="str">
        <f t="shared" si="116"/>
        <v>30040</v>
      </c>
      <c r="AD2040" t="s">
        <v>128</v>
      </c>
      <c r="AF2040" s="4">
        <v>18662963247</v>
      </c>
      <c r="AH2040" t="str">
        <f t="shared" si="117"/>
        <v>56131</v>
      </c>
      <c r="AI2040" t="s">
        <v>130</v>
      </c>
      <c r="AJ2040" t="s">
        <v>7116</v>
      </c>
      <c r="AK2040" t="s">
        <v>7117</v>
      </c>
      <c r="AM2040" t="s">
        <v>7118</v>
      </c>
      <c r="AN2040" t="s">
        <v>7119</v>
      </c>
      <c r="AO2040" t="s">
        <v>642</v>
      </c>
      <c r="AP2040" t="s">
        <v>643</v>
      </c>
      <c r="AQ2040" s="5">
        <v>30339</v>
      </c>
      <c r="AR2040" t="s">
        <v>128</v>
      </c>
      <c r="AS2040" t="s">
        <v>818</v>
      </c>
      <c r="AT2040" s="4">
        <v>17705512700</v>
      </c>
      <c r="AV2040" t="s">
        <v>7120</v>
      </c>
      <c r="AW2040" t="s">
        <v>7121</v>
      </c>
      <c r="AX2040" t="s">
        <v>131</v>
      </c>
      <c r="AY2040" t="s">
        <v>131</v>
      </c>
      <c r="AZ2040" t="s">
        <v>131</v>
      </c>
      <c r="BA2040" t="s">
        <v>131</v>
      </c>
      <c r="BB2040" t="s">
        <v>131</v>
      </c>
      <c r="BC2040" t="s">
        <v>131</v>
      </c>
      <c r="BD2040" t="s">
        <v>131</v>
      </c>
      <c r="BE2040" t="s">
        <v>132</v>
      </c>
      <c r="BH2040" t="s">
        <v>230</v>
      </c>
      <c r="BI2040" t="s">
        <v>131</v>
      </c>
      <c r="BL2040" t="s">
        <v>133</v>
      </c>
      <c r="BN2040" t="s">
        <v>604</v>
      </c>
      <c r="BO2040" t="s">
        <v>131</v>
      </c>
      <c r="BP2040" t="s">
        <v>134</v>
      </c>
      <c r="BQ2040" t="s">
        <v>131</v>
      </c>
      <c r="BS2040" t="str">
        <f t="shared" si="114"/>
        <v>N/A</v>
      </c>
      <c r="BT2040" t="s">
        <v>131</v>
      </c>
      <c r="BV2040" t="str">
        <f>""</f>
        <v/>
      </c>
      <c r="BW2040" t="s">
        <v>135</v>
      </c>
      <c r="BX2040" t="str">
        <f t="shared" si="118"/>
        <v>Must have or be able to obtain an RN license in the State of Georgia.</v>
      </c>
      <c r="BY2040" t="str">
        <f>""</f>
        <v/>
      </c>
      <c r="BZ2040" t="str">
        <f>""</f>
        <v/>
      </c>
      <c r="CA2040" t="str">
        <f>""</f>
        <v/>
      </c>
      <c r="CB2040" t="s">
        <v>131</v>
      </c>
      <c r="CF2040" t="s">
        <v>131</v>
      </c>
      <c r="CH2040" t="str">
        <f>""</f>
        <v/>
      </c>
      <c r="CI2040" t="s">
        <v>131</v>
      </c>
      <c r="CK2040" t="s">
        <v>131</v>
      </c>
      <c r="CL2040" t="str">
        <f>""</f>
        <v/>
      </c>
      <c r="CM2040" t="str">
        <f>""</f>
        <v/>
      </c>
      <c r="CN2040" t="str">
        <f>""</f>
        <v/>
      </c>
      <c r="CO2040" t="str">
        <f>""</f>
        <v/>
      </c>
      <c r="CP2040" t="str">
        <f t="shared" si="115"/>
        <v>29-1141.00</v>
      </c>
      <c r="CQ2040" t="s">
        <v>232</v>
      </c>
      <c r="CR2040" t="s">
        <v>7112</v>
      </c>
      <c r="CS2040" t="s">
        <v>131</v>
      </c>
      <c r="CU2040" t="s">
        <v>16568</v>
      </c>
      <c r="CW2040" t="s">
        <v>642</v>
      </c>
      <c r="CX2040" t="s">
        <v>643</v>
      </c>
      <c r="CZ2040" s="3" t="str">
        <f>"30312"</f>
        <v>30312</v>
      </c>
      <c r="DA2040" t="s">
        <v>131</v>
      </c>
      <c r="DB2040" t="str">
        <f>""</f>
        <v/>
      </c>
      <c r="DF2040" t="str">
        <f>""</f>
        <v/>
      </c>
    </row>
    <row r="2041" spans="1:110" ht="15" customHeight="1" x14ac:dyDescent="0.35">
      <c r="A2041" t="s">
        <v>20071</v>
      </c>
      <c r="B2041" t="s">
        <v>138</v>
      </c>
      <c r="C2041" s="1">
        <v>44364</v>
      </c>
      <c r="G2041" s="1">
        <v>44364</v>
      </c>
      <c r="H2041" t="s">
        <v>125</v>
      </c>
      <c r="I2041" t="s">
        <v>2694</v>
      </c>
      <c r="J2041" t="s">
        <v>1313</v>
      </c>
      <c r="L2041" t="s">
        <v>7112</v>
      </c>
      <c r="M2041" t="s">
        <v>7113</v>
      </c>
      <c r="N2041" t="s">
        <v>611</v>
      </c>
      <c r="O2041" t="s">
        <v>6704</v>
      </c>
      <c r="P2041" t="s">
        <v>818</v>
      </c>
      <c r="Q2041" s="3">
        <v>30040</v>
      </c>
      <c r="R2041" t="s">
        <v>128</v>
      </c>
      <c r="T2041" s="4">
        <v>18662963247</v>
      </c>
      <c r="V2041" t="s">
        <v>7114</v>
      </c>
      <c r="W2041" t="s">
        <v>7115</v>
      </c>
      <c r="Y2041" t="s">
        <v>7113</v>
      </c>
      <c r="Z2041" t="s">
        <v>611</v>
      </c>
      <c r="AA2041" t="s">
        <v>6704</v>
      </c>
      <c r="AB2041" t="s">
        <v>643</v>
      </c>
      <c r="AC2041" s="3" t="str">
        <f t="shared" si="116"/>
        <v>30040</v>
      </c>
      <c r="AD2041" t="s">
        <v>128</v>
      </c>
      <c r="AF2041" s="4">
        <v>18662963247</v>
      </c>
      <c r="AH2041" t="str">
        <f t="shared" si="117"/>
        <v>56131</v>
      </c>
      <c r="AI2041" t="s">
        <v>130</v>
      </c>
      <c r="AJ2041" t="s">
        <v>7116</v>
      </c>
      <c r="AK2041" t="s">
        <v>7117</v>
      </c>
      <c r="AM2041" t="s">
        <v>7118</v>
      </c>
      <c r="AN2041" t="s">
        <v>7119</v>
      </c>
      <c r="AO2041" t="s">
        <v>642</v>
      </c>
      <c r="AP2041" t="s">
        <v>643</v>
      </c>
      <c r="AQ2041" s="5">
        <v>30339</v>
      </c>
      <c r="AR2041" t="s">
        <v>128</v>
      </c>
      <c r="AS2041" t="s">
        <v>818</v>
      </c>
      <c r="AT2041" s="4">
        <v>17705512700</v>
      </c>
      <c r="AV2041" t="s">
        <v>7120</v>
      </c>
      <c r="AW2041" t="s">
        <v>7121</v>
      </c>
      <c r="AX2041" t="s">
        <v>131</v>
      </c>
      <c r="AY2041" t="s">
        <v>131</v>
      </c>
      <c r="AZ2041" t="s">
        <v>131</v>
      </c>
      <c r="BA2041" t="s">
        <v>131</v>
      </c>
      <c r="BB2041" t="s">
        <v>131</v>
      </c>
      <c r="BC2041" t="s">
        <v>131</v>
      </c>
      <c r="BD2041" t="s">
        <v>131</v>
      </c>
      <c r="BE2041" t="s">
        <v>132</v>
      </c>
      <c r="BH2041" t="s">
        <v>230</v>
      </c>
      <c r="BI2041" t="s">
        <v>131</v>
      </c>
      <c r="BL2041" t="s">
        <v>133</v>
      </c>
      <c r="BN2041" t="s">
        <v>604</v>
      </c>
      <c r="BO2041" t="s">
        <v>131</v>
      </c>
      <c r="BP2041" t="s">
        <v>134</v>
      </c>
      <c r="BQ2041" t="s">
        <v>131</v>
      </c>
      <c r="BS2041" t="str">
        <f t="shared" si="114"/>
        <v>N/A</v>
      </c>
      <c r="BT2041" t="s">
        <v>131</v>
      </c>
      <c r="BV2041" t="str">
        <f>""</f>
        <v/>
      </c>
      <c r="BW2041" t="s">
        <v>135</v>
      </c>
      <c r="BX2041" t="str">
        <f t="shared" si="118"/>
        <v>Must have or be able to obtain an RN license in the State of Georgia.</v>
      </c>
      <c r="BY2041" t="str">
        <f>""</f>
        <v/>
      </c>
      <c r="BZ2041" t="str">
        <f>""</f>
        <v/>
      </c>
      <c r="CA2041" t="str">
        <f>""</f>
        <v/>
      </c>
      <c r="CB2041" t="s">
        <v>131</v>
      </c>
      <c r="CF2041" t="s">
        <v>131</v>
      </c>
      <c r="CH2041" t="str">
        <f>""</f>
        <v/>
      </c>
      <c r="CI2041" t="s">
        <v>131</v>
      </c>
      <c r="CK2041" t="s">
        <v>131</v>
      </c>
      <c r="CL2041" t="str">
        <f>""</f>
        <v/>
      </c>
      <c r="CM2041" t="str">
        <f>""</f>
        <v/>
      </c>
      <c r="CN2041" t="str">
        <f>""</f>
        <v/>
      </c>
      <c r="CO2041" t="str">
        <f>""</f>
        <v/>
      </c>
      <c r="CP2041" t="str">
        <f t="shared" si="115"/>
        <v>29-1141.00</v>
      </c>
      <c r="CQ2041" t="s">
        <v>232</v>
      </c>
      <c r="CR2041" t="s">
        <v>7112</v>
      </c>
      <c r="CS2041" t="s">
        <v>131</v>
      </c>
      <c r="CU2041" t="s">
        <v>10438</v>
      </c>
      <c r="CW2041" t="s">
        <v>642</v>
      </c>
      <c r="CX2041" t="s">
        <v>643</v>
      </c>
      <c r="CZ2041" s="3" t="str">
        <f>"30344"</f>
        <v>30344</v>
      </c>
      <c r="DA2041" t="s">
        <v>131</v>
      </c>
      <c r="DB2041" t="str">
        <f>""</f>
        <v/>
      </c>
      <c r="DF2041" t="str">
        <f>""</f>
        <v/>
      </c>
    </row>
    <row r="2042" spans="1:110" ht="15" customHeight="1" x14ac:dyDescent="0.35">
      <c r="A2042" t="s">
        <v>9699</v>
      </c>
      <c r="B2042" t="s">
        <v>138</v>
      </c>
      <c r="C2042" s="1">
        <v>44364</v>
      </c>
      <c r="G2042" s="1">
        <v>44364</v>
      </c>
      <c r="H2042" t="s">
        <v>125</v>
      </c>
      <c r="I2042" t="s">
        <v>2694</v>
      </c>
      <c r="J2042" t="s">
        <v>1313</v>
      </c>
      <c r="L2042" t="s">
        <v>7112</v>
      </c>
      <c r="M2042" t="s">
        <v>7113</v>
      </c>
      <c r="N2042" t="s">
        <v>611</v>
      </c>
      <c r="O2042" t="s">
        <v>6704</v>
      </c>
      <c r="P2042" t="s">
        <v>818</v>
      </c>
      <c r="Q2042" s="3">
        <v>30040</v>
      </c>
      <c r="R2042" t="s">
        <v>128</v>
      </c>
      <c r="T2042" s="4">
        <v>18662963247</v>
      </c>
      <c r="V2042" t="s">
        <v>7114</v>
      </c>
      <c r="W2042" t="s">
        <v>7115</v>
      </c>
      <c r="Y2042" t="s">
        <v>7113</v>
      </c>
      <c r="Z2042" t="s">
        <v>611</v>
      </c>
      <c r="AA2042" t="s">
        <v>6704</v>
      </c>
      <c r="AB2042" t="s">
        <v>643</v>
      </c>
      <c r="AC2042" s="3" t="str">
        <f t="shared" si="116"/>
        <v>30040</v>
      </c>
      <c r="AD2042" t="s">
        <v>128</v>
      </c>
      <c r="AF2042" s="4">
        <v>18662963247</v>
      </c>
      <c r="AH2042" t="str">
        <f t="shared" si="117"/>
        <v>56131</v>
      </c>
      <c r="AI2042" t="s">
        <v>130</v>
      </c>
      <c r="AJ2042" t="s">
        <v>7116</v>
      </c>
      <c r="AK2042" t="s">
        <v>7117</v>
      </c>
      <c r="AM2042" t="s">
        <v>7118</v>
      </c>
      <c r="AN2042" t="s">
        <v>7119</v>
      </c>
      <c r="AO2042" t="s">
        <v>642</v>
      </c>
      <c r="AP2042" t="s">
        <v>643</v>
      </c>
      <c r="AQ2042" s="5">
        <v>30339</v>
      </c>
      <c r="AR2042" t="s">
        <v>128</v>
      </c>
      <c r="AS2042" t="s">
        <v>818</v>
      </c>
      <c r="AT2042" s="4">
        <v>17705512700</v>
      </c>
      <c r="AV2042" t="s">
        <v>7120</v>
      </c>
      <c r="AW2042" t="s">
        <v>7121</v>
      </c>
      <c r="AX2042" t="s">
        <v>131</v>
      </c>
      <c r="AY2042" t="s">
        <v>131</v>
      </c>
      <c r="AZ2042" t="s">
        <v>131</v>
      </c>
      <c r="BA2042" t="s">
        <v>131</v>
      </c>
      <c r="BB2042" t="s">
        <v>131</v>
      </c>
      <c r="BC2042" t="s">
        <v>131</v>
      </c>
      <c r="BD2042" t="s">
        <v>131</v>
      </c>
      <c r="BE2042" t="s">
        <v>132</v>
      </c>
      <c r="BH2042" t="s">
        <v>230</v>
      </c>
      <c r="BI2042" t="s">
        <v>131</v>
      </c>
      <c r="BL2042" t="s">
        <v>133</v>
      </c>
      <c r="BN2042" t="s">
        <v>604</v>
      </c>
      <c r="BO2042" t="s">
        <v>131</v>
      </c>
      <c r="BP2042" t="s">
        <v>134</v>
      </c>
      <c r="BQ2042" t="s">
        <v>131</v>
      </c>
      <c r="BS2042" t="str">
        <f t="shared" ref="BS2042:BS2073" si="119">"N/A"</f>
        <v>N/A</v>
      </c>
      <c r="BT2042" t="s">
        <v>131</v>
      </c>
      <c r="BV2042" t="str">
        <f>""</f>
        <v/>
      </c>
      <c r="BW2042" t="s">
        <v>135</v>
      </c>
      <c r="BX2042" t="str">
        <f t="shared" si="118"/>
        <v>Must have or be able to obtain an RN license in the State of Georgia.</v>
      </c>
      <c r="BY2042" t="str">
        <f>""</f>
        <v/>
      </c>
      <c r="BZ2042" t="str">
        <f>""</f>
        <v/>
      </c>
      <c r="CA2042" t="str">
        <f>""</f>
        <v/>
      </c>
      <c r="CB2042" t="s">
        <v>131</v>
      </c>
      <c r="CF2042" t="s">
        <v>131</v>
      </c>
      <c r="CH2042" t="str">
        <f>""</f>
        <v/>
      </c>
      <c r="CI2042" t="s">
        <v>131</v>
      </c>
      <c r="CK2042" t="s">
        <v>131</v>
      </c>
      <c r="CL2042" t="str">
        <f>""</f>
        <v/>
      </c>
      <c r="CM2042" t="str">
        <f>""</f>
        <v/>
      </c>
      <c r="CN2042" t="str">
        <f>""</f>
        <v/>
      </c>
      <c r="CO2042" t="str">
        <f>""</f>
        <v/>
      </c>
      <c r="CP2042" t="str">
        <f t="shared" si="115"/>
        <v>29-1141.00</v>
      </c>
      <c r="CQ2042" t="s">
        <v>232</v>
      </c>
      <c r="CR2042" t="s">
        <v>7112</v>
      </c>
      <c r="CS2042" t="s">
        <v>131</v>
      </c>
      <c r="CU2042" t="s">
        <v>9700</v>
      </c>
      <c r="CW2042" t="s">
        <v>9701</v>
      </c>
      <c r="CX2042" t="s">
        <v>643</v>
      </c>
      <c r="CZ2042" s="3" t="str">
        <f>"30106"</f>
        <v>30106</v>
      </c>
      <c r="DA2042" t="s">
        <v>131</v>
      </c>
      <c r="DB2042" t="str">
        <f>""</f>
        <v/>
      </c>
      <c r="DF2042" t="str">
        <f>""</f>
        <v/>
      </c>
    </row>
    <row r="2043" spans="1:110" ht="15" customHeight="1" x14ac:dyDescent="0.35">
      <c r="A2043" t="s">
        <v>17313</v>
      </c>
      <c r="B2043" t="s">
        <v>138</v>
      </c>
      <c r="C2043" s="1">
        <v>44364</v>
      </c>
      <c r="G2043" s="1">
        <v>44364</v>
      </c>
      <c r="H2043" t="s">
        <v>125</v>
      </c>
      <c r="I2043" t="s">
        <v>2694</v>
      </c>
      <c r="J2043" t="s">
        <v>1313</v>
      </c>
      <c r="L2043" t="s">
        <v>7112</v>
      </c>
      <c r="M2043" t="s">
        <v>7113</v>
      </c>
      <c r="N2043" t="s">
        <v>611</v>
      </c>
      <c r="O2043" t="s">
        <v>6704</v>
      </c>
      <c r="P2043" t="s">
        <v>818</v>
      </c>
      <c r="Q2043" s="3">
        <v>30040</v>
      </c>
      <c r="R2043" t="s">
        <v>128</v>
      </c>
      <c r="T2043" s="4">
        <v>18662963247</v>
      </c>
      <c r="V2043" t="s">
        <v>7114</v>
      </c>
      <c r="W2043" t="s">
        <v>7115</v>
      </c>
      <c r="Y2043" t="s">
        <v>7113</v>
      </c>
      <c r="Z2043" t="s">
        <v>611</v>
      </c>
      <c r="AA2043" t="s">
        <v>6704</v>
      </c>
      <c r="AB2043" t="s">
        <v>643</v>
      </c>
      <c r="AC2043" s="3" t="str">
        <f t="shared" si="116"/>
        <v>30040</v>
      </c>
      <c r="AD2043" t="s">
        <v>128</v>
      </c>
      <c r="AF2043" s="4">
        <v>18662963247</v>
      </c>
      <c r="AH2043" t="str">
        <f t="shared" si="117"/>
        <v>56131</v>
      </c>
      <c r="AI2043" t="s">
        <v>130</v>
      </c>
      <c r="AJ2043" t="s">
        <v>7116</v>
      </c>
      <c r="AK2043" t="s">
        <v>7117</v>
      </c>
      <c r="AM2043" t="s">
        <v>7118</v>
      </c>
      <c r="AN2043" t="s">
        <v>7119</v>
      </c>
      <c r="AO2043" t="s">
        <v>642</v>
      </c>
      <c r="AP2043" t="s">
        <v>643</v>
      </c>
      <c r="AQ2043" s="5">
        <v>30339</v>
      </c>
      <c r="AR2043" t="s">
        <v>128</v>
      </c>
      <c r="AS2043" t="s">
        <v>818</v>
      </c>
      <c r="AT2043" s="4">
        <v>17705512700</v>
      </c>
      <c r="AV2043" t="s">
        <v>7120</v>
      </c>
      <c r="AW2043" t="s">
        <v>7121</v>
      </c>
      <c r="AX2043" t="s">
        <v>131</v>
      </c>
      <c r="AY2043" t="s">
        <v>131</v>
      </c>
      <c r="AZ2043" t="s">
        <v>131</v>
      </c>
      <c r="BA2043" t="s">
        <v>131</v>
      </c>
      <c r="BB2043" t="s">
        <v>131</v>
      </c>
      <c r="BC2043" t="s">
        <v>131</v>
      </c>
      <c r="BD2043" t="s">
        <v>131</v>
      </c>
      <c r="BE2043" t="s">
        <v>132</v>
      </c>
      <c r="BH2043" t="s">
        <v>230</v>
      </c>
      <c r="BI2043" t="s">
        <v>131</v>
      </c>
      <c r="BL2043" t="s">
        <v>133</v>
      </c>
      <c r="BN2043" t="s">
        <v>604</v>
      </c>
      <c r="BO2043" t="s">
        <v>131</v>
      </c>
      <c r="BP2043" t="s">
        <v>134</v>
      </c>
      <c r="BQ2043" t="s">
        <v>131</v>
      </c>
      <c r="BS2043" t="str">
        <f t="shared" si="119"/>
        <v>N/A</v>
      </c>
      <c r="BT2043" t="s">
        <v>131</v>
      </c>
      <c r="BV2043" t="str">
        <f>""</f>
        <v/>
      </c>
      <c r="BW2043" t="s">
        <v>135</v>
      </c>
      <c r="BX2043" t="str">
        <f t="shared" si="118"/>
        <v>Must have or be able to obtain an RN license in the State of Georgia.</v>
      </c>
      <c r="BY2043" t="str">
        <f>""</f>
        <v/>
      </c>
      <c r="BZ2043" t="str">
        <f>""</f>
        <v/>
      </c>
      <c r="CA2043" t="str">
        <f>""</f>
        <v/>
      </c>
      <c r="CB2043" t="s">
        <v>131</v>
      </c>
      <c r="CF2043" t="s">
        <v>131</v>
      </c>
      <c r="CH2043" t="str">
        <f>""</f>
        <v/>
      </c>
      <c r="CI2043" t="s">
        <v>131</v>
      </c>
      <c r="CK2043" t="s">
        <v>131</v>
      </c>
      <c r="CL2043" t="str">
        <f>""</f>
        <v/>
      </c>
      <c r="CM2043" t="str">
        <f>""</f>
        <v/>
      </c>
      <c r="CN2043" t="str">
        <f>""</f>
        <v/>
      </c>
      <c r="CO2043" t="str">
        <f>""</f>
        <v/>
      </c>
      <c r="CP2043" t="str">
        <f t="shared" si="115"/>
        <v>29-1141.00</v>
      </c>
      <c r="CQ2043" t="s">
        <v>232</v>
      </c>
      <c r="CR2043" t="s">
        <v>7112</v>
      </c>
      <c r="CS2043" t="s">
        <v>131</v>
      </c>
      <c r="CU2043" t="s">
        <v>17314</v>
      </c>
      <c r="CW2043" t="s">
        <v>11899</v>
      </c>
      <c r="CX2043" t="s">
        <v>643</v>
      </c>
      <c r="CZ2043" s="3" t="str">
        <f>"30134"</f>
        <v>30134</v>
      </c>
      <c r="DA2043" t="s">
        <v>131</v>
      </c>
      <c r="DB2043" t="str">
        <f>""</f>
        <v/>
      </c>
      <c r="DF2043" t="str">
        <f>""</f>
        <v/>
      </c>
    </row>
    <row r="2044" spans="1:110" ht="15" customHeight="1" x14ac:dyDescent="0.35">
      <c r="A2044" t="s">
        <v>14216</v>
      </c>
      <c r="B2044" t="s">
        <v>138</v>
      </c>
      <c r="C2044" s="1">
        <v>44364</v>
      </c>
      <c r="G2044" s="1">
        <v>44364</v>
      </c>
      <c r="H2044" t="s">
        <v>125</v>
      </c>
      <c r="I2044" t="s">
        <v>2694</v>
      </c>
      <c r="J2044" t="s">
        <v>1313</v>
      </c>
      <c r="L2044" t="s">
        <v>7112</v>
      </c>
      <c r="M2044" t="s">
        <v>7113</v>
      </c>
      <c r="N2044" t="s">
        <v>611</v>
      </c>
      <c r="O2044" t="s">
        <v>6704</v>
      </c>
      <c r="P2044" t="s">
        <v>818</v>
      </c>
      <c r="Q2044" s="3">
        <v>30040</v>
      </c>
      <c r="R2044" t="s">
        <v>128</v>
      </c>
      <c r="T2044" s="4">
        <v>18662963247</v>
      </c>
      <c r="V2044" t="s">
        <v>7114</v>
      </c>
      <c r="W2044" t="s">
        <v>7115</v>
      </c>
      <c r="Y2044" t="s">
        <v>7113</v>
      </c>
      <c r="Z2044" t="s">
        <v>611</v>
      </c>
      <c r="AA2044" t="s">
        <v>6704</v>
      </c>
      <c r="AB2044" t="s">
        <v>643</v>
      </c>
      <c r="AC2044" s="3" t="str">
        <f t="shared" si="116"/>
        <v>30040</v>
      </c>
      <c r="AD2044" t="s">
        <v>128</v>
      </c>
      <c r="AF2044" s="4">
        <v>18662963247</v>
      </c>
      <c r="AH2044" t="str">
        <f t="shared" si="117"/>
        <v>56131</v>
      </c>
      <c r="AI2044" t="s">
        <v>130</v>
      </c>
      <c r="AJ2044" t="s">
        <v>7116</v>
      </c>
      <c r="AK2044" t="s">
        <v>7117</v>
      </c>
      <c r="AM2044" t="s">
        <v>7118</v>
      </c>
      <c r="AN2044" t="s">
        <v>7119</v>
      </c>
      <c r="AO2044" t="s">
        <v>642</v>
      </c>
      <c r="AP2044" t="s">
        <v>643</v>
      </c>
      <c r="AQ2044" s="5">
        <v>30339</v>
      </c>
      <c r="AR2044" t="s">
        <v>128</v>
      </c>
      <c r="AS2044" t="s">
        <v>818</v>
      </c>
      <c r="AT2044" s="4">
        <v>17705512700</v>
      </c>
      <c r="AV2044" t="s">
        <v>7120</v>
      </c>
      <c r="AW2044" t="s">
        <v>7121</v>
      </c>
      <c r="AX2044" t="s">
        <v>131</v>
      </c>
      <c r="AY2044" t="s">
        <v>131</v>
      </c>
      <c r="AZ2044" t="s">
        <v>131</v>
      </c>
      <c r="BA2044" t="s">
        <v>131</v>
      </c>
      <c r="BB2044" t="s">
        <v>131</v>
      </c>
      <c r="BC2044" t="s">
        <v>131</v>
      </c>
      <c r="BD2044" t="s">
        <v>131</v>
      </c>
      <c r="BE2044" t="s">
        <v>132</v>
      </c>
      <c r="BH2044" t="s">
        <v>230</v>
      </c>
      <c r="BI2044" t="s">
        <v>131</v>
      </c>
      <c r="BL2044" t="s">
        <v>133</v>
      </c>
      <c r="BN2044" t="s">
        <v>604</v>
      </c>
      <c r="BO2044" t="s">
        <v>131</v>
      </c>
      <c r="BP2044" t="s">
        <v>134</v>
      </c>
      <c r="BQ2044" t="s">
        <v>131</v>
      </c>
      <c r="BS2044" t="str">
        <f t="shared" si="119"/>
        <v>N/A</v>
      </c>
      <c r="BT2044" t="s">
        <v>131</v>
      </c>
      <c r="BV2044" t="str">
        <f>""</f>
        <v/>
      </c>
      <c r="BW2044" t="s">
        <v>135</v>
      </c>
      <c r="BX2044" t="str">
        <f t="shared" si="118"/>
        <v>Must have or be able to obtain an RN license in the State of Georgia.</v>
      </c>
      <c r="BY2044" t="str">
        <f>""</f>
        <v/>
      </c>
      <c r="BZ2044" t="str">
        <f>""</f>
        <v/>
      </c>
      <c r="CA2044" t="str">
        <f>""</f>
        <v/>
      </c>
      <c r="CB2044" t="s">
        <v>131</v>
      </c>
      <c r="CF2044" t="s">
        <v>131</v>
      </c>
      <c r="CH2044" t="str">
        <f>""</f>
        <v/>
      </c>
      <c r="CI2044" t="s">
        <v>131</v>
      </c>
      <c r="CK2044" t="s">
        <v>131</v>
      </c>
      <c r="CL2044" t="str">
        <f>""</f>
        <v/>
      </c>
      <c r="CM2044" t="str">
        <f>""</f>
        <v/>
      </c>
      <c r="CN2044" t="str">
        <f>""</f>
        <v/>
      </c>
      <c r="CO2044" t="str">
        <f>""</f>
        <v/>
      </c>
      <c r="CP2044" t="str">
        <f t="shared" si="115"/>
        <v>29-1141.00</v>
      </c>
      <c r="CQ2044" t="s">
        <v>232</v>
      </c>
      <c r="CR2044" t="s">
        <v>7112</v>
      </c>
      <c r="CS2044" t="s">
        <v>131</v>
      </c>
      <c r="CU2044" t="s">
        <v>14217</v>
      </c>
      <c r="CW2044" t="s">
        <v>6077</v>
      </c>
      <c r="CX2044" t="s">
        <v>643</v>
      </c>
      <c r="CZ2044" s="3" t="str">
        <f>"30060"</f>
        <v>30060</v>
      </c>
      <c r="DA2044" t="s">
        <v>131</v>
      </c>
      <c r="DB2044" t="str">
        <f>""</f>
        <v/>
      </c>
      <c r="DF2044" t="str">
        <f>""</f>
        <v/>
      </c>
    </row>
    <row r="2045" spans="1:110" ht="15" customHeight="1" x14ac:dyDescent="0.35">
      <c r="A2045" t="s">
        <v>12727</v>
      </c>
      <c r="B2045" t="s">
        <v>138</v>
      </c>
      <c r="C2045" s="1">
        <v>44364</v>
      </c>
      <c r="G2045" s="1">
        <v>44364</v>
      </c>
      <c r="H2045" t="s">
        <v>125</v>
      </c>
      <c r="I2045" t="s">
        <v>2694</v>
      </c>
      <c r="J2045" t="s">
        <v>1313</v>
      </c>
      <c r="L2045" t="s">
        <v>7112</v>
      </c>
      <c r="M2045" t="s">
        <v>7113</v>
      </c>
      <c r="N2045" t="s">
        <v>611</v>
      </c>
      <c r="O2045" t="s">
        <v>6704</v>
      </c>
      <c r="P2045" t="s">
        <v>818</v>
      </c>
      <c r="Q2045" s="3">
        <v>30040</v>
      </c>
      <c r="R2045" t="s">
        <v>128</v>
      </c>
      <c r="T2045" s="4">
        <v>18662963247</v>
      </c>
      <c r="V2045" t="s">
        <v>7114</v>
      </c>
      <c r="W2045" t="s">
        <v>7115</v>
      </c>
      <c r="Y2045" t="s">
        <v>7113</v>
      </c>
      <c r="Z2045" t="s">
        <v>611</v>
      </c>
      <c r="AA2045" t="s">
        <v>6704</v>
      </c>
      <c r="AB2045" t="s">
        <v>643</v>
      </c>
      <c r="AC2045" s="3" t="str">
        <f t="shared" si="116"/>
        <v>30040</v>
      </c>
      <c r="AD2045" t="s">
        <v>128</v>
      </c>
      <c r="AF2045" s="4">
        <v>18662963247</v>
      </c>
      <c r="AH2045" t="str">
        <f t="shared" si="117"/>
        <v>56131</v>
      </c>
      <c r="AI2045" t="s">
        <v>130</v>
      </c>
      <c r="AJ2045" t="s">
        <v>7116</v>
      </c>
      <c r="AK2045" t="s">
        <v>7117</v>
      </c>
      <c r="AM2045" t="s">
        <v>7118</v>
      </c>
      <c r="AN2045" t="s">
        <v>7119</v>
      </c>
      <c r="AO2045" t="s">
        <v>642</v>
      </c>
      <c r="AP2045" t="s">
        <v>643</v>
      </c>
      <c r="AQ2045" s="5">
        <v>30339</v>
      </c>
      <c r="AR2045" t="s">
        <v>128</v>
      </c>
      <c r="AS2045" t="s">
        <v>818</v>
      </c>
      <c r="AT2045" s="4">
        <v>17705512700</v>
      </c>
      <c r="AV2045" t="s">
        <v>7120</v>
      </c>
      <c r="AW2045" t="s">
        <v>7121</v>
      </c>
      <c r="AX2045" t="s">
        <v>131</v>
      </c>
      <c r="AY2045" t="s">
        <v>131</v>
      </c>
      <c r="AZ2045" t="s">
        <v>131</v>
      </c>
      <c r="BA2045" t="s">
        <v>131</v>
      </c>
      <c r="BB2045" t="s">
        <v>131</v>
      </c>
      <c r="BC2045" t="s">
        <v>131</v>
      </c>
      <c r="BD2045" t="s">
        <v>131</v>
      </c>
      <c r="BE2045" t="s">
        <v>132</v>
      </c>
      <c r="BH2045" t="s">
        <v>230</v>
      </c>
      <c r="BI2045" t="s">
        <v>131</v>
      </c>
      <c r="BL2045" t="s">
        <v>133</v>
      </c>
      <c r="BN2045" t="s">
        <v>604</v>
      </c>
      <c r="BO2045" t="s">
        <v>131</v>
      </c>
      <c r="BP2045" t="s">
        <v>134</v>
      </c>
      <c r="BQ2045" t="s">
        <v>131</v>
      </c>
      <c r="BS2045" t="str">
        <f t="shared" si="119"/>
        <v>N/A</v>
      </c>
      <c r="BT2045" t="s">
        <v>131</v>
      </c>
      <c r="BV2045" t="str">
        <f>""</f>
        <v/>
      </c>
      <c r="BW2045" t="s">
        <v>135</v>
      </c>
      <c r="BX2045" t="str">
        <f t="shared" si="118"/>
        <v>Must have or be able to obtain an RN license in the State of Georgia.</v>
      </c>
      <c r="BY2045" t="str">
        <f>""</f>
        <v/>
      </c>
      <c r="BZ2045" t="str">
        <f>""</f>
        <v/>
      </c>
      <c r="CA2045" t="str">
        <f>""</f>
        <v/>
      </c>
      <c r="CB2045" t="s">
        <v>131</v>
      </c>
      <c r="CF2045" t="s">
        <v>131</v>
      </c>
      <c r="CH2045" t="str">
        <f>""</f>
        <v/>
      </c>
      <c r="CI2045" t="s">
        <v>131</v>
      </c>
      <c r="CK2045" t="s">
        <v>131</v>
      </c>
      <c r="CL2045" t="str">
        <f>""</f>
        <v/>
      </c>
      <c r="CM2045" t="str">
        <f>""</f>
        <v/>
      </c>
      <c r="CN2045" t="str">
        <f>""</f>
        <v/>
      </c>
      <c r="CO2045" t="str">
        <f>""</f>
        <v/>
      </c>
      <c r="CP2045" t="str">
        <f t="shared" si="115"/>
        <v>29-1141.00</v>
      </c>
      <c r="CQ2045" t="s">
        <v>232</v>
      </c>
      <c r="CR2045" t="s">
        <v>7112</v>
      </c>
      <c r="CS2045" t="s">
        <v>131</v>
      </c>
      <c r="CU2045" t="s">
        <v>12728</v>
      </c>
      <c r="CW2045" t="s">
        <v>5895</v>
      </c>
      <c r="CX2045" t="s">
        <v>643</v>
      </c>
      <c r="CZ2045" s="3" t="str">
        <f>"30076"</f>
        <v>30076</v>
      </c>
      <c r="DA2045" t="s">
        <v>131</v>
      </c>
      <c r="DB2045" t="str">
        <f>""</f>
        <v/>
      </c>
      <c r="DF2045" t="str">
        <f>""</f>
        <v/>
      </c>
    </row>
    <row r="2046" spans="1:110" ht="15" customHeight="1" x14ac:dyDescent="0.35">
      <c r="A2046" t="s">
        <v>5257</v>
      </c>
      <c r="B2046" t="s">
        <v>138</v>
      </c>
      <c r="C2046" s="1">
        <v>44364</v>
      </c>
      <c r="G2046" s="1">
        <v>44364</v>
      </c>
      <c r="H2046" t="s">
        <v>125</v>
      </c>
      <c r="I2046" t="s">
        <v>4944</v>
      </c>
      <c r="J2046" t="s">
        <v>1025</v>
      </c>
      <c r="K2046" t="s">
        <v>2128</v>
      </c>
      <c r="L2046" t="s">
        <v>5258</v>
      </c>
      <c r="M2046" t="s">
        <v>5259</v>
      </c>
      <c r="N2046" t="s">
        <v>1641</v>
      </c>
      <c r="O2046" t="s">
        <v>4945</v>
      </c>
      <c r="P2046" t="s">
        <v>194</v>
      </c>
      <c r="Q2046" s="3">
        <v>33431</v>
      </c>
      <c r="R2046" t="s">
        <v>128</v>
      </c>
      <c r="T2046" s="4">
        <v>15619622116</v>
      </c>
      <c r="V2046" t="s">
        <v>4946</v>
      </c>
      <c r="W2046" t="s">
        <v>5260</v>
      </c>
      <c r="Y2046" t="s">
        <v>5261</v>
      </c>
      <c r="Z2046" t="s">
        <v>842</v>
      </c>
      <c r="AA2046" t="s">
        <v>5262</v>
      </c>
      <c r="AB2046" t="s">
        <v>377</v>
      </c>
      <c r="AC2046" s="3" t="str">
        <f>"01701"</f>
        <v>01701</v>
      </c>
      <c r="AD2046" t="s">
        <v>128</v>
      </c>
      <c r="AF2046" s="4">
        <v>15085326760</v>
      </c>
      <c r="AH2046" t="str">
        <f>"541310"</f>
        <v>541310</v>
      </c>
      <c r="AI2046" t="s">
        <v>130</v>
      </c>
      <c r="AJ2046" t="s">
        <v>4944</v>
      </c>
      <c r="AK2046" t="s">
        <v>1025</v>
      </c>
      <c r="AL2046" t="s">
        <v>2128</v>
      </c>
      <c r="AM2046" t="s">
        <v>5259</v>
      </c>
      <c r="AN2046" t="s">
        <v>1641</v>
      </c>
      <c r="AO2046" t="s">
        <v>4945</v>
      </c>
      <c r="AP2046" t="s">
        <v>195</v>
      </c>
      <c r="AQ2046" s="5">
        <v>33431</v>
      </c>
      <c r="AR2046" t="s">
        <v>128</v>
      </c>
      <c r="AT2046" s="4">
        <v>15619622116</v>
      </c>
      <c r="AV2046" t="s">
        <v>5263</v>
      </c>
      <c r="AW2046" t="s">
        <v>4947</v>
      </c>
      <c r="AX2046" t="s">
        <v>131</v>
      </c>
      <c r="AY2046" t="s">
        <v>131</v>
      </c>
      <c r="AZ2046" t="s">
        <v>131</v>
      </c>
      <c r="BA2046" t="s">
        <v>131</v>
      </c>
      <c r="BB2046" t="s">
        <v>131</v>
      </c>
      <c r="BC2046" t="s">
        <v>131</v>
      </c>
      <c r="BD2046" t="s">
        <v>131</v>
      </c>
      <c r="BE2046" t="s">
        <v>132</v>
      </c>
      <c r="BH2046" t="s">
        <v>849</v>
      </c>
      <c r="BI2046" t="s">
        <v>131</v>
      </c>
      <c r="BL2046" t="s">
        <v>133</v>
      </c>
      <c r="BN2046" t="s">
        <v>5264</v>
      </c>
      <c r="BO2046" t="s">
        <v>131</v>
      </c>
      <c r="BP2046" t="s">
        <v>134</v>
      </c>
      <c r="BQ2046" t="s">
        <v>131</v>
      </c>
      <c r="BS2046" t="str">
        <f t="shared" si="119"/>
        <v>N/A</v>
      </c>
      <c r="BT2046" t="s">
        <v>135</v>
      </c>
      <c r="BU2046">
        <v>24</v>
      </c>
      <c r="BV2046" t="str">
        <f>"Job offered, Process Exhaust and Dry Mechanical Lead, HVAC and Process Exhaust Superintendent, or related occupation."</f>
        <v>Job offered, Process Exhaust and Dry Mechanical Lead, HVAC and Process Exhaust Superintendent, or related occupation.</v>
      </c>
      <c r="BW2046" t="s">
        <v>135</v>
      </c>
      <c r="BX2046" t="str">
        <f>""</f>
        <v/>
      </c>
      <c r="BY2046" t="str">
        <f>""</f>
        <v/>
      </c>
      <c r="BZ2046" t="str">
        <f>""</f>
        <v/>
      </c>
      <c r="CA2046" t="s">
        <v>5265</v>
      </c>
      <c r="CB2046" t="s">
        <v>131</v>
      </c>
      <c r="CF2046" t="s">
        <v>131</v>
      </c>
      <c r="CH2046" t="str">
        <f>""</f>
        <v/>
      </c>
      <c r="CI2046" t="s">
        <v>131</v>
      </c>
      <c r="CK2046" t="s">
        <v>131</v>
      </c>
      <c r="CL2046" t="str">
        <f>""</f>
        <v/>
      </c>
      <c r="CM2046" t="str">
        <f>""</f>
        <v/>
      </c>
      <c r="CN2046" t="str">
        <f>""</f>
        <v/>
      </c>
      <c r="CO2046" t="str">
        <f>""</f>
        <v/>
      </c>
      <c r="CP2046" t="str">
        <f>"11-9021.00"</f>
        <v>11-9021.00</v>
      </c>
      <c r="CQ2046" t="s">
        <v>1331</v>
      </c>
      <c r="CR2046" t="s">
        <v>1264</v>
      </c>
      <c r="CS2046" t="s">
        <v>135</v>
      </c>
      <c r="CT2046" t="s">
        <v>4948</v>
      </c>
      <c r="CU2046" t="s">
        <v>5266</v>
      </c>
      <c r="CV2046" t="s">
        <v>997</v>
      </c>
      <c r="CW2046" t="s">
        <v>1511</v>
      </c>
      <c r="CX2046" t="s">
        <v>1512</v>
      </c>
      <c r="CZ2046" s="3" t="str">
        <f>"97006"</f>
        <v>97006</v>
      </c>
      <c r="DA2046" t="s">
        <v>131</v>
      </c>
      <c r="DB2046" t="str">
        <f>""</f>
        <v/>
      </c>
      <c r="DF2046" t="str">
        <f>""</f>
        <v/>
      </c>
    </row>
    <row r="2047" spans="1:110" ht="15" customHeight="1" x14ac:dyDescent="0.35">
      <c r="A2047" t="s">
        <v>15016</v>
      </c>
      <c r="B2047" t="s">
        <v>138</v>
      </c>
      <c r="C2047" s="1">
        <v>44364</v>
      </c>
      <c r="G2047" s="1">
        <v>44371</v>
      </c>
      <c r="H2047" t="s">
        <v>125</v>
      </c>
      <c r="I2047" t="s">
        <v>139</v>
      </c>
      <c r="J2047" t="s">
        <v>140</v>
      </c>
      <c r="L2047" t="s">
        <v>141</v>
      </c>
      <c r="M2047" t="s">
        <v>142</v>
      </c>
      <c r="O2047" t="s">
        <v>5807</v>
      </c>
      <c r="P2047" t="s">
        <v>144</v>
      </c>
      <c r="Q2047" s="3">
        <v>98052</v>
      </c>
      <c r="R2047" t="s">
        <v>128</v>
      </c>
      <c r="T2047" s="4">
        <v>14258828080</v>
      </c>
      <c r="V2047" t="s">
        <v>145</v>
      </c>
      <c r="W2047" t="s">
        <v>146</v>
      </c>
      <c r="X2047" t="s">
        <v>134</v>
      </c>
      <c r="Y2047" t="s">
        <v>147</v>
      </c>
      <c r="Z2047" t="s">
        <v>134</v>
      </c>
      <c r="AA2047" t="s">
        <v>148</v>
      </c>
      <c r="AB2047" t="s">
        <v>149</v>
      </c>
      <c r="AC2047" s="3" t="str">
        <f>"98052"</f>
        <v>98052</v>
      </c>
      <c r="AD2047" t="s">
        <v>128</v>
      </c>
      <c r="AE2047" t="s">
        <v>134</v>
      </c>
      <c r="AF2047" s="4">
        <v>14258828080</v>
      </c>
      <c r="AH2047" t="str">
        <f>"5112"</f>
        <v>5112</v>
      </c>
      <c r="AI2047" t="s">
        <v>130</v>
      </c>
      <c r="AJ2047" t="s">
        <v>150</v>
      </c>
      <c r="AK2047" t="s">
        <v>151</v>
      </c>
      <c r="AM2047" t="s">
        <v>6976</v>
      </c>
      <c r="AO2047" t="s">
        <v>241</v>
      </c>
      <c r="AQ2047" s="5" t="s">
        <v>155</v>
      </c>
      <c r="AR2047" t="s">
        <v>156</v>
      </c>
      <c r="AS2047" t="s">
        <v>243</v>
      </c>
      <c r="AT2047" s="4">
        <v>16046486785</v>
      </c>
      <c r="AV2047" t="s">
        <v>5489</v>
      </c>
      <c r="AW2047" t="s">
        <v>159</v>
      </c>
      <c r="AX2047" t="s">
        <v>131</v>
      </c>
      <c r="AY2047" t="s">
        <v>131</v>
      </c>
      <c r="AZ2047" t="s">
        <v>131</v>
      </c>
      <c r="BA2047" t="s">
        <v>131</v>
      </c>
      <c r="BB2047" t="s">
        <v>131</v>
      </c>
      <c r="BC2047" t="s">
        <v>131</v>
      </c>
      <c r="BD2047" t="s">
        <v>131</v>
      </c>
      <c r="BE2047" t="s">
        <v>132</v>
      </c>
      <c r="BH2047" t="s">
        <v>3178</v>
      </c>
      <c r="BI2047" t="s">
        <v>131</v>
      </c>
      <c r="BL2047" t="s">
        <v>133</v>
      </c>
      <c r="BN2047" t="s">
        <v>6977</v>
      </c>
      <c r="BO2047" t="s">
        <v>131</v>
      </c>
      <c r="BP2047" t="s">
        <v>134</v>
      </c>
      <c r="BQ2047" t="s">
        <v>131</v>
      </c>
      <c r="BS2047" t="str">
        <f t="shared" si="119"/>
        <v>N/A</v>
      </c>
      <c r="BT2047" t="s">
        <v>135</v>
      </c>
      <c r="BU2047">
        <v>24</v>
      </c>
      <c r="BV2047" t="str">
        <f>"Any Computer related occupation."</f>
        <v>Any Computer related occupation.</v>
      </c>
      <c r="BW2047" t="s">
        <v>135</v>
      </c>
      <c r="BX2047" t="str">
        <f>""</f>
        <v/>
      </c>
      <c r="BY2047" t="str">
        <f>""</f>
        <v/>
      </c>
      <c r="BZ2047" t="str">
        <f>""</f>
        <v/>
      </c>
      <c r="CA2047" t="str">
        <f>"This position also requires Education or Experience in: Algorithms; Data Structures; Machine Learning; Deep Learning, familiar with Transformers; Pytorch or TensorFlow; Data Mining; and Python, C++, C#, C or Java."</f>
        <v>This position also requires Education or Experience in: Algorithms; Data Structures; Machine Learning; Deep Learning, familiar with Transformers; Pytorch or TensorFlow; Data Mining; and Python, C++, C#, C or Java.</v>
      </c>
      <c r="CB2047" t="s">
        <v>131</v>
      </c>
      <c r="CF2047" t="s">
        <v>131</v>
      </c>
      <c r="CH2047" t="str">
        <f>""</f>
        <v/>
      </c>
      <c r="CI2047" t="s">
        <v>131</v>
      </c>
      <c r="CK2047" t="s">
        <v>131</v>
      </c>
      <c r="CL2047" t="str">
        <f>""</f>
        <v/>
      </c>
      <c r="CM2047" t="str">
        <f>""</f>
        <v/>
      </c>
      <c r="CN2047" t="str">
        <f>""</f>
        <v/>
      </c>
      <c r="CO2047" t="str">
        <f>""</f>
        <v/>
      </c>
      <c r="CP2047" t="str">
        <f>"15-2041.00"</f>
        <v>15-2041.00</v>
      </c>
      <c r="CQ2047" t="s">
        <v>379</v>
      </c>
      <c r="CR2047" t="s">
        <v>15017</v>
      </c>
      <c r="CS2047" t="s">
        <v>131</v>
      </c>
      <c r="CU2047" t="s">
        <v>142</v>
      </c>
      <c r="CW2047" t="s">
        <v>5807</v>
      </c>
      <c r="CX2047" t="s">
        <v>149</v>
      </c>
      <c r="CZ2047" s="3" t="str">
        <f>"98052"</f>
        <v>98052</v>
      </c>
      <c r="DA2047" t="s">
        <v>131</v>
      </c>
      <c r="DB2047" t="str">
        <f>""</f>
        <v/>
      </c>
      <c r="DF2047" t="str">
        <f>""</f>
        <v/>
      </c>
    </row>
    <row r="2048" spans="1:110" ht="15" customHeight="1" x14ac:dyDescent="0.35">
      <c r="A2048" t="s">
        <v>9958</v>
      </c>
      <c r="B2048" t="s">
        <v>138</v>
      </c>
      <c r="C2048" s="1">
        <v>44364</v>
      </c>
      <c r="G2048" s="1">
        <v>44371</v>
      </c>
      <c r="H2048" t="s">
        <v>125</v>
      </c>
      <c r="I2048" t="s">
        <v>139</v>
      </c>
      <c r="J2048" t="s">
        <v>140</v>
      </c>
      <c r="L2048" t="s">
        <v>141</v>
      </c>
      <c r="M2048" t="s">
        <v>142</v>
      </c>
      <c r="O2048" t="s">
        <v>143</v>
      </c>
      <c r="P2048" t="s">
        <v>144</v>
      </c>
      <c r="Q2048" s="3">
        <v>98052</v>
      </c>
      <c r="R2048" t="s">
        <v>128</v>
      </c>
      <c r="T2048" s="4">
        <v>14258828080</v>
      </c>
      <c r="V2048" t="s">
        <v>145</v>
      </c>
      <c r="W2048" t="s">
        <v>146</v>
      </c>
      <c r="X2048" t="s">
        <v>134</v>
      </c>
      <c r="Y2048" t="s">
        <v>147</v>
      </c>
      <c r="Z2048" t="s">
        <v>134</v>
      </c>
      <c r="AA2048" t="s">
        <v>148</v>
      </c>
      <c r="AB2048" t="s">
        <v>149</v>
      </c>
      <c r="AC2048" s="3" t="str">
        <f>"98052"</f>
        <v>98052</v>
      </c>
      <c r="AD2048" t="s">
        <v>128</v>
      </c>
      <c r="AE2048" t="s">
        <v>134</v>
      </c>
      <c r="AF2048" s="4">
        <v>14258828080</v>
      </c>
      <c r="AH2048" t="str">
        <f>"5112"</f>
        <v>5112</v>
      </c>
      <c r="AI2048" t="s">
        <v>130</v>
      </c>
      <c r="AJ2048" t="s">
        <v>150</v>
      </c>
      <c r="AK2048" t="s">
        <v>151</v>
      </c>
      <c r="AM2048" t="s">
        <v>6976</v>
      </c>
      <c r="AO2048" t="s">
        <v>241</v>
      </c>
      <c r="AQ2048" s="5" t="s">
        <v>155</v>
      </c>
      <c r="AR2048" t="s">
        <v>156</v>
      </c>
      <c r="AS2048" t="s">
        <v>243</v>
      </c>
      <c r="AT2048" s="4">
        <v>16046486785</v>
      </c>
      <c r="AV2048" t="s">
        <v>5489</v>
      </c>
      <c r="AW2048" t="s">
        <v>159</v>
      </c>
      <c r="AX2048" t="s">
        <v>131</v>
      </c>
      <c r="AY2048" t="s">
        <v>131</v>
      </c>
      <c r="AZ2048" t="s">
        <v>131</v>
      </c>
      <c r="BA2048" t="s">
        <v>131</v>
      </c>
      <c r="BB2048" t="s">
        <v>131</v>
      </c>
      <c r="BC2048" t="s">
        <v>131</v>
      </c>
      <c r="BD2048" t="s">
        <v>131</v>
      </c>
      <c r="BE2048" t="s">
        <v>160</v>
      </c>
      <c r="BF2048" t="s">
        <v>1612</v>
      </c>
      <c r="BG2048" s="1">
        <v>44317</v>
      </c>
      <c r="BH2048" t="s">
        <v>6344</v>
      </c>
      <c r="BI2048" t="s">
        <v>131</v>
      </c>
      <c r="BL2048" t="s">
        <v>133</v>
      </c>
      <c r="BN2048" t="s">
        <v>6977</v>
      </c>
      <c r="BO2048" t="s">
        <v>131</v>
      </c>
      <c r="BP2048" t="s">
        <v>134</v>
      </c>
      <c r="BQ2048" t="s">
        <v>131</v>
      </c>
      <c r="BS2048" t="str">
        <f t="shared" si="119"/>
        <v>N/A</v>
      </c>
      <c r="BT2048" t="s">
        <v>135</v>
      </c>
      <c r="BU2048">
        <v>60</v>
      </c>
      <c r="BV2048" t="str">
        <f>"Any Computer related occupation."</f>
        <v>Any Computer related occupation.</v>
      </c>
      <c r="BW2048" t="s">
        <v>135</v>
      </c>
      <c r="BX2048" t="str">
        <f>""</f>
        <v/>
      </c>
      <c r="BY2048" t="str">
        <f>""</f>
        <v/>
      </c>
      <c r="BZ2048" t="str">
        <f>""</f>
        <v/>
      </c>
      <c r="CA2048" t="s">
        <v>9959</v>
      </c>
      <c r="CB2048" t="s">
        <v>131</v>
      </c>
      <c r="CF2048" t="s">
        <v>131</v>
      </c>
      <c r="CH2048" t="str">
        <f>""</f>
        <v/>
      </c>
      <c r="CI2048" t="s">
        <v>131</v>
      </c>
      <c r="CK2048" t="s">
        <v>131</v>
      </c>
      <c r="CL2048" t="str">
        <f>""</f>
        <v/>
      </c>
      <c r="CM2048" t="str">
        <f>""</f>
        <v/>
      </c>
      <c r="CN2048" t="str">
        <f>""</f>
        <v/>
      </c>
      <c r="CO2048" t="str">
        <f>""</f>
        <v/>
      </c>
      <c r="CP2048" t="str">
        <f>"15-1132.00"</f>
        <v>15-1132.00</v>
      </c>
      <c r="CQ2048" t="s">
        <v>198</v>
      </c>
      <c r="CR2048" t="s">
        <v>6347</v>
      </c>
      <c r="CS2048" t="s">
        <v>131</v>
      </c>
      <c r="CU2048" t="s">
        <v>142</v>
      </c>
      <c r="CW2048" t="s">
        <v>5807</v>
      </c>
      <c r="CX2048" t="s">
        <v>149</v>
      </c>
      <c r="CZ2048" s="3" t="str">
        <f>"98052"</f>
        <v>98052</v>
      </c>
      <c r="DA2048" t="s">
        <v>131</v>
      </c>
      <c r="DB2048" t="str">
        <f>""</f>
        <v/>
      </c>
      <c r="DF2048" t="str">
        <f>""</f>
        <v/>
      </c>
    </row>
    <row r="2049" spans="1:110" ht="15" customHeight="1" x14ac:dyDescent="0.35">
      <c r="A2049" t="s">
        <v>19060</v>
      </c>
      <c r="B2049" t="s">
        <v>138</v>
      </c>
      <c r="C2049" s="1">
        <v>44364</v>
      </c>
      <c r="G2049" s="1">
        <v>44368</v>
      </c>
      <c r="H2049" t="s">
        <v>125</v>
      </c>
      <c r="I2049" t="s">
        <v>434</v>
      </c>
      <c r="J2049" t="s">
        <v>435</v>
      </c>
      <c r="K2049" t="s">
        <v>436</v>
      </c>
      <c r="L2049" t="s">
        <v>437</v>
      </c>
      <c r="M2049" t="s">
        <v>438</v>
      </c>
      <c r="N2049" t="s">
        <v>439</v>
      </c>
      <c r="O2049" t="s">
        <v>440</v>
      </c>
      <c r="P2049" t="s">
        <v>441</v>
      </c>
      <c r="Q2049" s="3">
        <v>43201</v>
      </c>
      <c r="R2049" t="s">
        <v>128</v>
      </c>
      <c r="T2049" s="4">
        <v>16142920611</v>
      </c>
      <c r="V2049" t="s">
        <v>442</v>
      </c>
      <c r="W2049" t="s">
        <v>443</v>
      </c>
      <c r="Y2049" t="s">
        <v>438</v>
      </c>
      <c r="Z2049" t="s">
        <v>439</v>
      </c>
      <c r="AA2049" t="s">
        <v>440</v>
      </c>
      <c r="AB2049" t="s">
        <v>444</v>
      </c>
      <c r="AC2049" s="3" t="str">
        <f>"43201"</f>
        <v>43201</v>
      </c>
      <c r="AD2049" t="s">
        <v>128</v>
      </c>
      <c r="AF2049" s="4">
        <v>16142920611</v>
      </c>
      <c r="AH2049" t="str">
        <f>"611310"</f>
        <v>611310</v>
      </c>
      <c r="AI2049" t="s">
        <v>130</v>
      </c>
      <c r="AJ2049" t="s">
        <v>434</v>
      </c>
      <c r="AK2049" t="s">
        <v>435</v>
      </c>
      <c r="AL2049" t="s">
        <v>436</v>
      </c>
      <c r="AM2049" t="s">
        <v>445</v>
      </c>
      <c r="AN2049" t="s">
        <v>439</v>
      </c>
      <c r="AO2049" t="s">
        <v>440</v>
      </c>
      <c r="AP2049" t="s">
        <v>444</v>
      </c>
      <c r="AQ2049" s="5">
        <v>43201</v>
      </c>
      <c r="AR2049" t="s">
        <v>128</v>
      </c>
      <c r="AT2049" s="4">
        <v>16142920611</v>
      </c>
      <c r="AV2049" t="s">
        <v>442</v>
      </c>
      <c r="AW2049" t="s">
        <v>443</v>
      </c>
      <c r="AX2049" t="s">
        <v>135</v>
      </c>
      <c r="AY2049" t="s">
        <v>135</v>
      </c>
      <c r="AZ2049" t="s">
        <v>131</v>
      </c>
      <c r="BA2049" t="s">
        <v>131</v>
      </c>
      <c r="BB2049" t="s">
        <v>134</v>
      </c>
      <c r="BC2049" t="s">
        <v>131</v>
      </c>
      <c r="BD2049" t="s">
        <v>131</v>
      </c>
      <c r="BE2049" t="s">
        <v>132</v>
      </c>
      <c r="BH2049" t="s">
        <v>7571</v>
      </c>
      <c r="BI2049" t="s">
        <v>131</v>
      </c>
      <c r="BL2049" t="s">
        <v>188</v>
      </c>
      <c r="BN2049" t="s">
        <v>19061</v>
      </c>
      <c r="BO2049" t="s">
        <v>131</v>
      </c>
      <c r="BP2049" t="s">
        <v>134</v>
      </c>
      <c r="BQ2049" t="s">
        <v>131</v>
      </c>
      <c r="BS2049" t="str">
        <f t="shared" si="119"/>
        <v>N/A</v>
      </c>
      <c r="BT2049" t="s">
        <v>135</v>
      </c>
      <c r="BU2049">
        <v>12</v>
      </c>
      <c r="BV2049" t="str">
        <f>"Experience teaching bioethics or related subject matter (experience may have been part-time and concurrent and-or concurrent with education).  "</f>
        <v xml:space="preserve">Experience teaching bioethics or related subject matter (experience may have been part-time and concurrent and-or concurrent with education).  </v>
      </c>
      <c r="BW2049" t="s">
        <v>135</v>
      </c>
      <c r="BX2049" t="str">
        <f>""</f>
        <v/>
      </c>
      <c r="BY2049" t="str">
        <f>""</f>
        <v/>
      </c>
      <c r="BZ2049" t="str">
        <f>""</f>
        <v/>
      </c>
      <c r="CA2049" t="str">
        <f>"Requires successful completion of a background check."</f>
        <v>Requires successful completion of a background check.</v>
      </c>
      <c r="CB2049" t="s">
        <v>131</v>
      </c>
      <c r="CF2049" t="s">
        <v>131</v>
      </c>
      <c r="CH2049" t="str">
        <f>""</f>
        <v/>
      </c>
      <c r="CI2049" t="s">
        <v>131</v>
      </c>
      <c r="CK2049" t="s">
        <v>131</v>
      </c>
      <c r="CL2049" t="str">
        <f>""</f>
        <v/>
      </c>
      <c r="CM2049" t="str">
        <f>""</f>
        <v/>
      </c>
      <c r="CN2049" t="str">
        <f>""</f>
        <v/>
      </c>
      <c r="CO2049" t="str">
        <f>""</f>
        <v/>
      </c>
      <c r="CP2049" t="str">
        <f>"25-1071.00"</f>
        <v>25-1071.00</v>
      </c>
      <c r="CQ2049" t="s">
        <v>1087</v>
      </c>
      <c r="CR2049" t="s">
        <v>717</v>
      </c>
      <c r="CS2049" t="s">
        <v>131</v>
      </c>
      <c r="CU2049" t="s">
        <v>19062</v>
      </c>
      <c r="CW2049" t="s">
        <v>440</v>
      </c>
      <c r="CX2049" t="s">
        <v>444</v>
      </c>
      <c r="CZ2049" s="3" t="str">
        <f>"43210"</f>
        <v>43210</v>
      </c>
      <c r="DA2049" t="s">
        <v>131</v>
      </c>
      <c r="DB2049" t="str">
        <f>""</f>
        <v/>
      </c>
      <c r="DF2049" t="str">
        <f>""</f>
        <v/>
      </c>
    </row>
    <row r="2050" spans="1:110" ht="15" customHeight="1" x14ac:dyDescent="0.35">
      <c r="A2050" t="s">
        <v>8396</v>
      </c>
      <c r="B2050" t="s">
        <v>138</v>
      </c>
      <c r="C2050" s="1">
        <v>44364</v>
      </c>
      <c r="G2050" s="1">
        <v>44365</v>
      </c>
      <c r="H2050" t="s">
        <v>125</v>
      </c>
      <c r="I2050" t="s">
        <v>4008</v>
      </c>
      <c r="J2050" t="s">
        <v>2557</v>
      </c>
      <c r="L2050" t="s">
        <v>4009</v>
      </c>
      <c r="M2050" t="s">
        <v>7651</v>
      </c>
      <c r="N2050" t="s">
        <v>7652</v>
      </c>
      <c r="O2050" t="s">
        <v>2424</v>
      </c>
      <c r="P2050" t="s">
        <v>720</v>
      </c>
      <c r="Q2050" s="3">
        <v>2116</v>
      </c>
      <c r="R2050" t="s">
        <v>128</v>
      </c>
      <c r="T2050" s="4">
        <v>18573153115</v>
      </c>
      <c r="V2050" t="s">
        <v>4012</v>
      </c>
      <c r="W2050" t="s">
        <v>8397</v>
      </c>
      <c r="Y2050" t="s">
        <v>4010</v>
      </c>
      <c r="Z2050" t="s">
        <v>4011</v>
      </c>
      <c r="AA2050" t="s">
        <v>376</v>
      </c>
      <c r="AB2050" t="s">
        <v>377</v>
      </c>
      <c r="AC2050" s="3" t="str">
        <f>"02116"</f>
        <v>02116</v>
      </c>
      <c r="AD2050" t="s">
        <v>128</v>
      </c>
      <c r="AF2050" s="4">
        <v>18573153115</v>
      </c>
      <c r="AH2050" t="str">
        <f>"45411"</f>
        <v>45411</v>
      </c>
      <c r="AI2050" t="s">
        <v>130</v>
      </c>
      <c r="AJ2050" t="s">
        <v>2245</v>
      </c>
      <c r="AK2050" t="s">
        <v>4013</v>
      </c>
      <c r="AL2050" t="s">
        <v>1660</v>
      </c>
      <c r="AM2050" t="s">
        <v>374</v>
      </c>
      <c r="AN2050" t="s">
        <v>375</v>
      </c>
      <c r="AO2050" t="s">
        <v>376</v>
      </c>
      <c r="AP2050" t="s">
        <v>377</v>
      </c>
      <c r="AQ2050" s="5">
        <v>2110</v>
      </c>
      <c r="AR2050" t="s">
        <v>128</v>
      </c>
      <c r="AT2050" s="4">
        <v>16175740400</v>
      </c>
      <c r="AV2050" t="s">
        <v>4014</v>
      </c>
      <c r="AW2050" t="s">
        <v>4015</v>
      </c>
      <c r="AX2050" t="s">
        <v>131</v>
      </c>
      <c r="AY2050" t="s">
        <v>131</v>
      </c>
      <c r="AZ2050" t="s">
        <v>131</v>
      </c>
      <c r="BA2050" t="s">
        <v>131</v>
      </c>
      <c r="BB2050" t="s">
        <v>131</v>
      </c>
      <c r="BC2050" t="s">
        <v>131</v>
      </c>
      <c r="BD2050" t="s">
        <v>131</v>
      </c>
      <c r="BE2050" t="s">
        <v>132</v>
      </c>
      <c r="BH2050" t="s">
        <v>6045</v>
      </c>
      <c r="BI2050" t="s">
        <v>131</v>
      </c>
      <c r="BL2050" t="s">
        <v>188</v>
      </c>
      <c r="BN2050" s="2" t="s">
        <v>8398</v>
      </c>
      <c r="BO2050" t="s">
        <v>131</v>
      </c>
      <c r="BP2050" t="s">
        <v>134</v>
      </c>
      <c r="BQ2050" t="s">
        <v>131</v>
      </c>
      <c r="BS2050" t="str">
        <f t="shared" si="119"/>
        <v>N/A</v>
      </c>
      <c r="BT2050" t="s">
        <v>135</v>
      </c>
      <c r="BU2050">
        <v>60</v>
      </c>
      <c r="BV2050" t="str">
        <f>"Experience in an engineering, technology consulting, analytics, or product management role."</f>
        <v>Experience in an engineering, technology consulting, analytics, or product management role.</v>
      </c>
      <c r="BW2050" t="s">
        <v>135</v>
      </c>
      <c r="BX2050" t="str">
        <f>""</f>
        <v/>
      </c>
      <c r="BY2050" t="str">
        <f>""</f>
        <v/>
      </c>
      <c r="BZ2050" t="str">
        <f>""</f>
        <v/>
      </c>
      <c r="CA2050" s="2" t="s">
        <v>8399</v>
      </c>
      <c r="CB2050" t="s">
        <v>131</v>
      </c>
      <c r="CF2050" t="s">
        <v>131</v>
      </c>
      <c r="CH2050" t="str">
        <f>""</f>
        <v/>
      </c>
      <c r="CI2050" t="s">
        <v>131</v>
      </c>
      <c r="CK2050" t="s">
        <v>131</v>
      </c>
      <c r="CL2050" t="str">
        <f>""</f>
        <v/>
      </c>
      <c r="CM2050" t="str">
        <f>""</f>
        <v/>
      </c>
      <c r="CN2050" t="str">
        <f>""</f>
        <v/>
      </c>
      <c r="CO2050" t="str">
        <f>""</f>
        <v/>
      </c>
      <c r="CP2050" t="str">
        <f>"15-1199.09"</f>
        <v>15-1199.09</v>
      </c>
      <c r="CQ2050" t="s">
        <v>697</v>
      </c>
      <c r="CR2050" t="s">
        <v>3888</v>
      </c>
      <c r="CS2050" t="s">
        <v>135</v>
      </c>
      <c r="CT2050" s="2" t="s">
        <v>8400</v>
      </c>
      <c r="CU2050" t="s">
        <v>4010</v>
      </c>
      <c r="CV2050" t="s">
        <v>4011</v>
      </c>
      <c r="CW2050" t="s">
        <v>376</v>
      </c>
      <c r="CX2050" t="s">
        <v>377</v>
      </c>
      <c r="CZ2050" s="3" t="str">
        <f>"02116"</f>
        <v>02116</v>
      </c>
      <c r="DA2050" t="s">
        <v>131</v>
      </c>
      <c r="DB2050" t="str">
        <f>""</f>
        <v/>
      </c>
      <c r="DF2050" t="str">
        <f>""</f>
        <v/>
      </c>
    </row>
    <row r="2051" spans="1:110" ht="15" customHeight="1" x14ac:dyDescent="0.35">
      <c r="A2051" t="s">
        <v>10208</v>
      </c>
      <c r="B2051" t="s">
        <v>138</v>
      </c>
      <c r="C2051" s="1">
        <v>44364</v>
      </c>
      <c r="G2051" s="1">
        <v>44371</v>
      </c>
      <c r="H2051" t="s">
        <v>125</v>
      </c>
      <c r="I2051" t="s">
        <v>139</v>
      </c>
      <c r="J2051" t="s">
        <v>140</v>
      </c>
      <c r="L2051" t="s">
        <v>141</v>
      </c>
      <c r="M2051" t="s">
        <v>142</v>
      </c>
      <c r="O2051" t="s">
        <v>143</v>
      </c>
      <c r="P2051" t="s">
        <v>144</v>
      </c>
      <c r="Q2051" s="3">
        <v>98052</v>
      </c>
      <c r="R2051" t="s">
        <v>128</v>
      </c>
      <c r="T2051" s="4">
        <v>14258828080</v>
      </c>
      <c r="V2051" t="s">
        <v>145</v>
      </c>
      <c r="W2051" t="s">
        <v>146</v>
      </c>
      <c r="X2051" t="s">
        <v>134</v>
      </c>
      <c r="Y2051" t="s">
        <v>147</v>
      </c>
      <c r="Z2051" t="s">
        <v>134</v>
      </c>
      <c r="AA2051" t="s">
        <v>148</v>
      </c>
      <c r="AB2051" t="s">
        <v>149</v>
      </c>
      <c r="AC2051" s="3" t="str">
        <f>"98052"</f>
        <v>98052</v>
      </c>
      <c r="AD2051" t="s">
        <v>128</v>
      </c>
      <c r="AE2051" t="s">
        <v>134</v>
      </c>
      <c r="AF2051" s="4">
        <v>14258828080</v>
      </c>
      <c r="AH2051" t="str">
        <f>"5112"</f>
        <v>5112</v>
      </c>
      <c r="AI2051" t="s">
        <v>130</v>
      </c>
      <c r="AJ2051" t="s">
        <v>150</v>
      </c>
      <c r="AK2051" t="s">
        <v>151</v>
      </c>
      <c r="AM2051" t="s">
        <v>6976</v>
      </c>
      <c r="AN2051" t="s">
        <v>2200</v>
      </c>
      <c r="AO2051" t="s">
        <v>241</v>
      </c>
      <c r="AQ2051" s="5" t="s">
        <v>155</v>
      </c>
      <c r="AR2051" t="s">
        <v>156</v>
      </c>
      <c r="AS2051" t="s">
        <v>243</v>
      </c>
      <c r="AT2051" s="4">
        <v>16046486785</v>
      </c>
      <c r="AV2051" t="s">
        <v>5489</v>
      </c>
      <c r="AW2051" t="s">
        <v>159</v>
      </c>
      <c r="AX2051" t="s">
        <v>131</v>
      </c>
      <c r="AY2051" t="s">
        <v>131</v>
      </c>
      <c r="AZ2051" t="s">
        <v>131</v>
      </c>
      <c r="BA2051" t="s">
        <v>131</v>
      </c>
      <c r="BB2051" t="s">
        <v>131</v>
      </c>
      <c r="BC2051" t="s">
        <v>131</v>
      </c>
      <c r="BD2051" t="s">
        <v>131</v>
      </c>
      <c r="BE2051" t="s">
        <v>132</v>
      </c>
      <c r="BH2051" t="s">
        <v>3178</v>
      </c>
      <c r="BI2051" t="s">
        <v>131</v>
      </c>
      <c r="BL2051" t="s">
        <v>188</v>
      </c>
      <c r="BN2051" t="s">
        <v>10209</v>
      </c>
      <c r="BO2051" t="s">
        <v>131</v>
      </c>
      <c r="BP2051" t="s">
        <v>134</v>
      </c>
      <c r="BQ2051" t="s">
        <v>131</v>
      </c>
      <c r="BS2051" t="str">
        <f t="shared" si="119"/>
        <v>N/A</v>
      </c>
      <c r="BT2051" t="s">
        <v>135</v>
      </c>
      <c r="BU2051">
        <v>24</v>
      </c>
      <c r="BV2051" t="str">
        <f>"Any Computer related occupation."</f>
        <v>Any Computer related occupation.</v>
      </c>
      <c r="BW2051" t="s">
        <v>135</v>
      </c>
      <c r="BX2051" t="str">
        <f>""</f>
        <v/>
      </c>
      <c r="BY2051" t="str">
        <f>""</f>
        <v/>
      </c>
      <c r="BZ2051" t="str">
        <f>""</f>
        <v/>
      </c>
      <c r="CA2051" t="str">
        <f>"This position also requires Education or Experience in: Big Data Modeling and Analysis; Big Data; Data Warehousing; ETL; SQL and/or T-SQL; SQL Server; and Statistics."</f>
        <v>This position also requires Education or Experience in: Big Data Modeling and Analysis; Big Data; Data Warehousing; ETL; SQL and/or T-SQL; SQL Server; and Statistics.</v>
      </c>
      <c r="CB2051" t="s">
        <v>131</v>
      </c>
      <c r="CF2051" t="s">
        <v>131</v>
      </c>
      <c r="CH2051" t="str">
        <f>""</f>
        <v/>
      </c>
      <c r="CI2051" t="s">
        <v>131</v>
      </c>
      <c r="CK2051" t="s">
        <v>131</v>
      </c>
      <c r="CL2051" t="str">
        <f>""</f>
        <v/>
      </c>
      <c r="CM2051" t="str">
        <f>""</f>
        <v/>
      </c>
      <c r="CN2051" t="str">
        <f>""</f>
        <v/>
      </c>
      <c r="CO2051" t="str">
        <f>""</f>
        <v/>
      </c>
      <c r="CP2051" t="str">
        <f>"15-2041.00"</f>
        <v>15-2041.00</v>
      </c>
      <c r="CQ2051" t="s">
        <v>379</v>
      </c>
      <c r="CR2051" t="s">
        <v>10210</v>
      </c>
      <c r="CS2051" t="s">
        <v>131</v>
      </c>
      <c r="CU2051" t="s">
        <v>142</v>
      </c>
      <c r="CW2051" t="s">
        <v>5807</v>
      </c>
      <c r="CX2051" t="s">
        <v>149</v>
      </c>
      <c r="CZ2051" s="3" t="str">
        <f>"98052"</f>
        <v>98052</v>
      </c>
      <c r="DA2051" t="s">
        <v>131</v>
      </c>
      <c r="DB2051" t="str">
        <f>""</f>
        <v/>
      </c>
      <c r="DF2051" t="str">
        <f>""</f>
        <v/>
      </c>
    </row>
    <row r="2052" spans="1:110" ht="15" customHeight="1" x14ac:dyDescent="0.35">
      <c r="A2052" t="s">
        <v>17544</v>
      </c>
      <c r="B2052" t="s">
        <v>138</v>
      </c>
      <c r="C2052" s="1">
        <v>44364</v>
      </c>
      <c r="G2052" s="1">
        <v>44365</v>
      </c>
      <c r="H2052" t="s">
        <v>125</v>
      </c>
      <c r="I2052" t="s">
        <v>4555</v>
      </c>
      <c r="J2052" t="s">
        <v>4556</v>
      </c>
      <c r="L2052" t="s">
        <v>4557</v>
      </c>
      <c r="M2052" t="s">
        <v>4558</v>
      </c>
      <c r="N2052" t="s">
        <v>4559</v>
      </c>
      <c r="O2052" t="s">
        <v>707</v>
      </c>
      <c r="P2052" t="s">
        <v>248</v>
      </c>
      <c r="Q2052" s="3">
        <v>55402</v>
      </c>
      <c r="R2052" t="s">
        <v>128</v>
      </c>
      <c r="T2052" s="4">
        <v>14163133158</v>
      </c>
      <c r="V2052" t="s">
        <v>4560</v>
      </c>
      <c r="W2052" t="s">
        <v>14962</v>
      </c>
      <c r="Y2052" t="s">
        <v>14963</v>
      </c>
      <c r="Z2052" t="s">
        <v>10736</v>
      </c>
      <c r="AA2052" t="s">
        <v>707</v>
      </c>
      <c r="AB2052" t="s">
        <v>249</v>
      </c>
      <c r="AC2052" s="3" t="str">
        <f>"55402"</f>
        <v>55402</v>
      </c>
      <c r="AD2052" t="s">
        <v>128</v>
      </c>
      <c r="AF2052" s="4">
        <v>14169747850</v>
      </c>
      <c r="AH2052" t="str">
        <f>"52211"</f>
        <v>52211</v>
      </c>
      <c r="AI2052" t="s">
        <v>130</v>
      </c>
      <c r="AJ2052" t="s">
        <v>3691</v>
      </c>
      <c r="AK2052" t="s">
        <v>492</v>
      </c>
      <c r="AL2052" t="s">
        <v>387</v>
      </c>
      <c r="AM2052" t="s">
        <v>278</v>
      </c>
      <c r="AN2052" t="s">
        <v>279</v>
      </c>
      <c r="AO2052" t="s">
        <v>3692</v>
      </c>
      <c r="AQ2052" s="5" t="s">
        <v>280</v>
      </c>
      <c r="AR2052" t="s">
        <v>156</v>
      </c>
      <c r="AS2052" t="s">
        <v>216</v>
      </c>
      <c r="AT2052" s="4">
        <v>14169325208</v>
      </c>
      <c r="AV2052" t="s">
        <v>3693</v>
      </c>
      <c r="AW2052" t="s">
        <v>159</v>
      </c>
      <c r="AX2052" t="s">
        <v>131</v>
      </c>
      <c r="AY2052" t="s">
        <v>131</v>
      </c>
      <c r="AZ2052" t="s">
        <v>131</v>
      </c>
      <c r="BA2052" t="s">
        <v>131</v>
      </c>
      <c r="BB2052" t="s">
        <v>131</v>
      </c>
      <c r="BC2052" t="s">
        <v>131</v>
      </c>
      <c r="BD2052" t="s">
        <v>131</v>
      </c>
      <c r="BE2052" t="s">
        <v>132</v>
      </c>
      <c r="BH2052" t="s">
        <v>3496</v>
      </c>
      <c r="BI2052" t="s">
        <v>131</v>
      </c>
      <c r="BL2052" t="s">
        <v>133</v>
      </c>
      <c r="BN2052" t="s">
        <v>14964</v>
      </c>
      <c r="BO2052" t="s">
        <v>131</v>
      </c>
      <c r="BP2052" t="s">
        <v>134</v>
      </c>
      <c r="BQ2052" t="s">
        <v>131</v>
      </c>
      <c r="BS2052" t="str">
        <f t="shared" si="119"/>
        <v>N/A</v>
      </c>
      <c r="BT2052" t="s">
        <v>135</v>
      </c>
      <c r="BU2052">
        <v>60</v>
      </c>
      <c r="BV2052" t="str">
        <f>"designing or supporting technical solutions (e.g. front-end and back-end systems)"</f>
        <v>designing or supporting technical solutions (e.g. front-end and back-end systems)</v>
      </c>
      <c r="BW2052" t="s">
        <v>135</v>
      </c>
      <c r="BX2052" t="str">
        <f>""</f>
        <v/>
      </c>
      <c r="BY2052" t="str">
        <f>""</f>
        <v/>
      </c>
      <c r="BZ2052" t="str">
        <f>""</f>
        <v/>
      </c>
      <c r="CA2052" t="s">
        <v>17545</v>
      </c>
      <c r="CB2052" t="s">
        <v>131</v>
      </c>
      <c r="CF2052" t="s">
        <v>131</v>
      </c>
      <c r="CH2052" t="str">
        <f>""</f>
        <v/>
      </c>
      <c r="CI2052" t="s">
        <v>131</v>
      </c>
      <c r="CK2052" t="s">
        <v>131</v>
      </c>
      <c r="CL2052" t="str">
        <f>""</f>
        <v/>
      </c>
      <c r="CM2052" t="str">
        <f>""</f>
        <v/>
      </c>
      <c r="CN2052" t="str">
        <f>""</f>
        <v/>
      </c>
      <c r="CO2052" t="str">
        <f>""</f>
        <v/>
      </c>
      <c r="CP2052" t="str">
        <f>"15-1199.09"</f>
        <v>15-1199.09</v>
      </c>
      <c r="CQ2052" t="s">
        <v>697</v>
      </c>
      <c r="CR2052" t="s">
        <v>14965</v>
      </c>
      <c r="CS2052" t="s">
        <v>131</v>
      </c>
      <c r="CU2052" t="s">
        <v>14966</v>
      </c>
      <c r="CW2052" t="s">
        <v>2482</v>
      </c>
      <c r="CX2052" t="s">
        <v>195</v>
      </c>
      <c r="CZ2052" s="3" t="str">
        <f>"32826"</f>
        <v>32826</v>
      </c>
      <c r="DA2052" t="s">
        <v>131</v>
      </c>
      <c r="DB2052" t="str">
        <f>""</f>
        <v/>
      </c>
      <c r="DF2052" t="str">
        <f>""</f>
        <v/>
      </c>
    </row>
    <row r="2053" spans="1:110" ht="15" customHeight="1" x14ac:dyDescent="0.35">
      <c r="A2053" t="s">
        <v>15887</v>
      </c>
      <c r="B2053" t="s">
        <v>138</v>
      </c>
      <c r="C2053" s="1">
        <v>44364</v>
      </c>
      <c r="G2053" s="1">
        <v>44365</v>
      </c>
      <c r="H2053" t="s">
        <v>125</v>
      </c>
      <c r="I2053" t="s">
        <v>3812</v>
      </c>
      <c r="J2053" t="s">
        <v>560</v>
      </c>
      <c r="L2053" t="s">
        <v>6842</v>
      </c>
      <c r="M2053" t="s">
        <v>6848</v>
      </c>
      <c r="O2053" t="s">
        <v>13669</v>
      </c>
      <c r="P2053" t="s">
        <v>412</v>
      </c>
      <c r="Q2053" s="3" t="s">
        <v>6844</v>
      </c>
      <c r="R2053" t="s">
        <v>128</v>
      </c>
      <c r="T2053" s="4">
        <v>12813483214</v>
      </c>
      <c r="V2053" t="s">
        <v>6845</v>
      </c>
      <c r="W2053" t="s">
        <v>6846</v>
      </c>
      <c r="X2053" t="s">
        <v>6847</v>
      </c>
      <c r="Y2053" t="s">
        <v>6848</v>
      </c>
      <c r="AA2053" t="s">
        <v>6843</v>
      </c>
      <c r="AB2053" t="s">
        <v>400</v>
      </c>
      <c r="AC2053" s="3" t="str">
        <f>"77339"</f>
        <v>77339</v>
      </c>
      <c r="AD2053" t="s">
        <v>128</v>
      </c>
      <c r="AF2053" s="4">
        <v>12813482871</v>
      </c>
      <c r="AH2053" t="str">
        <f>"561330"</f>
        <v>561330</v>
      </c>
      <c r="AI2053" t="s">
        <v>130</v>
      </c>
      <c r="AJ2053" t="s">
        <v>6849</v>
      </c>
      <c r="AK2053" t="s">
        <v>3722</v>
      </c>
      <c r="AM2053" t="s">
        <v>883</v>
      </c>
      <c r="AN2053" t="s">
        <v>884</v>
      </c>
      <c r="AO2053" t="s">
        <v>885</v>
      </c>
      <c r="AP2053" t="s">
        <v>400</v>
      </c>
      <c r="AQ2053" s="5">
        <v>77046</v>
      </c>
      <c r="AR2053" t="s">
        <v>128</v>
      </c>
      <c r="AT2053" s="4">
        <v>17133353930</v>
      </c>
      <c r="AV2053" t="s">
        <v>6850</v>
      </c>
      <c r="AW2053" t="s">
        <v>5575</v>
      </c>
      <c r="AX2053" t="s">
        <v>131</v>
      </c>
      <c r="AY2053" t="s">
        <v>131</v>
      </c>
      <c r="AZ2053" t="s">
        <v>131</v>
      </c>
      <c r="BA2053" t="s">
        <v>131</v>
      </c>
      <c r="BB2053" t="s">
        <v>131</v>
      </c>
      <c r="BC2053" t="s">
        <v>131</v>
      </c>
      <c r="BD2053" t="s">
        <v>131</v>
      </c>
      <c r="BE2053" t="s">
        <v>132</v>
      </c>
      <c r="BH2053" t="s">
        <v>15888</v>
      </c>
      <c r="BI2053" t="s">
        <v>131</v>
      </c>
      <c r="BL2053" t="s">
        <v>133</v>
      </c>
      <c r="BN2053" t="s">
        <v>3744</v>
      </c>
      <c r="BO2053" t="s">
        <v>131</v>
      </c>
      <c r="BP2053" t="s">
        <v>134</v>
      </c>
      <c r="BQ2053" t="s">
        <v>131</v>
      </c>
      <c r="BS2053" t="str">
        <f t="shared" si="119"/>
        <v>N/A</v>
      </c>
      <c r="BT2053" t="s">
        <v>135</v>
      </c>
      <c r="BU2053">
        <v>84</v>
      </c>
      <c r="BV2053" t="str">
        <f>"See F.a.2."</f>
        <v>See F.a.2.</v>
      </c>
      <c r="BW2053" t="s">
        <v>131</v>
      </c>
      <c r="BX2053" t="str">
        <f>""</f>
        <v/>
      </c>
      <c r="BY2053" t="str">
        <f>""</f>
        <v/>
      </c>
      <c r="BZ2053" t="str">
        <f>""</f>
        <v/>
      </c>
      <c r="CA2053" t="str">
        <f>""</f>
        <v/>
      </c>
      <c r="CB2053" t="s">
        <v>131</v>
      </c>
      <c r="CF2053" t="s">
        <v>131</v>
      </c>
      <c r="CH2053" t="str">
        <f>""</f>
        <v/>
      </c>
      <c r="CI2053" t="s">
        <v>131</v>
      </c>
      <c r="CK2053" t="s">
        <v>131</v>
      </c>
      <c r="CL2053" t="str">
        <f>""</f>
        <v/>
      </c>
      <c r="CM2053" t="str">
        <f>""</f>
        <v/>
      </c>
      <c r="CN2053" t="str">
        <f>""</f>
        <v/>
      </c>
      <c r="CO2053" t="str">
        <f>""</f>
        <v/>
      </c>
      <c r="CP2053" t="str">
        <f>"15-1132.00"</f>
        <v>15-1132.00</v>
      </c>
      <c r="CQ2053" t="s">
        <v>198</v>
      </c>
      <c r="CR2053" t="s">
        <v>15888</v>
      </c>
      <c r="CS2053" t="s">
        <v>131</v>
      </c>
      <c r="CU2053" t="s">
        <v>6848</v>
      </c>
      <c r="CW2053" t="s">
        <v>6843</v>
      </c>
      <c r="CX2053" t="s">
        <v>400</v>
      </c>
      <c r="CZ2053" s="3" t="str">
        <f>"77339-3802"</f>
        <v>77339-3802</v>
      </c>
      <c r="DA2053" t="s">
        <v>131</v>
      </c>
      <c r="DB2053" t="str">
        <f>""</f>
        <v/>
      </c>
      <c r="DF2053" t="str">
        <f>""</f>
        <v/>
      </c>
    </row>
    <row r="2054" spans="1:110" ht="15" customHeight="1" x14ac:dyDescent="0.35">
      <c r="A2054" t="s">
        <v>13385</v>
      </c>
      <c r="B2054" t="s">
        <v>138</v>
      </c>
      <c r="C2054" s="1">
        <v>44364</v>
      </c>
      <c r="G2054" s="1">
        <v>44368</v>
      </c>
      <c r="H2054" t="s">
        <v>125</v>
      </c>
      <c r="I2054" t="s">
        <v>13386</v>
      </c>
      <c r="J2054" t="s">
        <v>13387</v>
      </c>
      <c r="L2054" t="s">
        <v>5868</v>
      </c>
      <c r="M2054" t="s">
        <v>9030</v>
      </c>
      <c r="N2054" t="s">
        <v>9031</v>
      </c>
      <c r="O2054" t="s">
        <v>3735</v>
      </c>
      <c r="P2054" t="s">
        <v>412</v>
      </c>
      <c r="Q2054" s="3">
        <v>75080</v>
      </c>
      <c r="R2054" t="s">
        <v>128</v>
      </c>
      <c r="T2054" s="4">
        <v>19728036606</v>
      </c>
      <c r="V2054" t="s">
        <v>9029</v>
      </c>
      <c r="W2054" t="s">
        <v>13388</v>
      </c>
      <c r="Y2054" t="s">
        <v>13389</v>
      </c>
      <c r="Z2054" t="s">
        <v>785</v>
      </c>
      <c r="AA2054" t="s">
        <v>3735</v>
      </c>
      <c r="AB2054" t="s">
        <v>400</v>
      </c>
      <c r="AC2054" s="3" t="str">
        <f>"75080"</f>
        <v>75080</v>
      </c>
      <c r="AD2054" t="s">
        <v>128</v>
      </c>
      <c r="AF2054" s="4">
        <v>19728036606</v>
      </c>
      <c r="AH2054" t="str">
        <f>"541511"</f>
        <v>541511</v>
      </c>
      <c r="AI2054" t="s">
        <v>130</v>
      </c>
      <c r="AJ2054" t="s">
        <v>9032</v>
      </c>
      <c r="AK2054" t="s">
        <v>4391</v>
      </c>
      <c r="AM2054" t="s">
        <v>9033</v>
      </c>
      <c r="AN2054" t="s">
        <v>9034</v>
      </c>
      <c r="AO2054" t="s">
        <v>3735</v>
      </c>
      <c r="AP2054" t="s">
        <v>400</v>
      </c>
      <c r="AQ2054" s="5">
        <v>75080</v>
      </c>
      <c r="AR2054" t="s">
        <v>128</v>
      </c>
      <c r="AT2054" s="4">
        <v>12145975983</v>
      </c>
      <c r="AV2054" t="s">
        <v>9035</v>
      </c>
      <c r="AW2054" t="s">
        <v>13390</v>
      </c>
      <c r="AX2054" t="s">
        <v>131</v>
      </c>
      <c r="AY2054" t="s">
        <v>131</v>
      </c>
      <c r="AZ2054" t="s">
        <v>131</v>
      </c>
      <c r="BA2054" t="s">
        <v>131</v>
      </c>
      <c r="BB2054" t="s">
        <v>131</v>
      </c>
      <c r="BC2054" t="s">
        <v>131</v>
      </c>
      <c r="BD2054" t="s">
        <v>131</v>
      </c>
      <c r="BE2054" t="s">
        <v>132</v>
      </c>
      <c r="BH2054" t="s">
        <v>7336</v>
      </c>
      <c r="BI2054" t="s">
        <v>135</v>
      </c>
      <c r="BJ2054" t="s">
        <v>13391</v>
      </c>
      <c r="BK2054" t="s">
        <v>13392</v>
      </c>
      <c r="BL2054" t="s">
        <v>188</v>
      </c>
      <c r="BN2054" t="s">
        <v>13393</v>
      </c>
      <c r="BO2054" t="s">
        <v>131</v>
      </c>
      <c r="BP2054" t="s">
        <v>134</v>
      </c>
      <c r="BQ2054" t="s">
        <v>131</v>
      </c>
      <c r="BS2054" t="str">
        <f t="shared" si="119"/>
        <v>N/A</v>
      </c>
      <c r="BT2054" t="s">
        <v>135</v>
      </c>
      <c r="BU2054">
        <v>36</v>
      </c>
      <c r="BV2054" t="str">
        <f>"professional Accountant "</f>
        <v xml:space="preserve">professional Accountant </v>
      </c>
      <c r="BW2054" t="s">
        <v>135</v>
      </c>
      <c r="BX2054" t="str">
        <f>""</f>
        <v/>
      </c>
      <c r="BY2054" t="str">
        <f>""</f>
        <v/>
      </c>
      <c r="BZ2054" t="str">
        <f>""</f>
        <v/>
      </c>
      <c r="CA2054" t="str">
        <f>"IRS Enrolled Agent (EA)
Project Management Professional (PMP) training or certificate 
Certified Management Accountant (CMA) training or certificate  SAP (FICO) training or certificate 
Experience in Quickbook &amp; Microsoft Great Plains 
"</f>
        <v xml:space="preserve">IRS Enrolled Agent (EA)
Project Management Professional (PMP) training or certificate 
Certified Management Accountant (CMA) training or certificate  SAP (FICO) training or certificate 
Experience in Quickbook &amp; Microsoft Great Plains 
</v>
      </c>
      <c r="CB2054" t="s">
        <v>131</v>
      </c>
      <c r="CF2054" t="s">
        <v>131</v>
      </c>
      <c r="CH2054" t="str">
        <f>""</f>
        <v/>
      </c>
      <c r="CI2054" t="s">
        <v>131</v>
      </c>
      <c r="CK2054" t="s">
        <v>131</v>
      </c>
      <c r="CL2054" t="str">
        <f>""</f>
        <v/>
      </c>
      <c r="CM2054" t="str">
        <f>""</f>
        <v/>
      </c>
      <c r="CN2054" t="str">
        <f>""</f>
        <v/>
      </c>
      <c r="CO2054" t="str">
        <f>""</f>
        <v/>
      </c>
      <c r="CP2054" t="str">
        <f>"11-1021.00"</f>
        <v>11-1021.00</v>
      </c>
      <c r="CQ2054" t="s">
        <v>1296</v>
      </c>
      <c r="CR2054" t="s">
        <v>5868</v>
      </c>
      <c r="CS2054" t="s">
        <v>131</v>
      </c>
      <c r="CU2054" t="s">
        <v>9030</v>
      </c>
      <c r="CV2054" t="s">
        <v>9031</v>
      </c>
      <c r="CW2054" t="s">
        <v>3735</v>
      </c>
      <c r="CX2054" t="s">
        <v>400</v>
      </c>
      <c r="CZ2054" s="3" t="str">
        <f>"75080"</f>
        <v>75080</v>
      </c>
      <c r="DA2054" t="s">
        <v>131</v>
      </c>
      <c r="DB2054" t="str">
        <f>""</f>
        <v/>
      </c>
      <c r="DF2054" t="str">
        <f>""</f>
        <v/>
      </c>
    </row>
    <row r="2055" spans="1:110" ht="15" customHeight="1" x14ac:dyDescent="0.35">
      <c r="A2055" t="s">
        <v>7185</v>
      </c>
      <c r="B2055" t="s">
        <v>138</v>
      </c>
      <c r="C2055" s="1">
        <v>44364</v>
      </c>
      <c r="G2055" s="1">
        <v>44365</v>
      </c>
      <c r="H2055" t="s">
        <v>125</v>
      </c>
      <c r="I2055" t="s">
        <v>7186</v>
      </c>
      <c r="J2055" t="s">
        <v>7010</v>
      </c>
      <c r="L2055" t="s">
        <v>7187</v>
      </c>
      <c r="M2055" t="s">
        <v>7188</v>
      </c>
      <c r="O2055" t="s">
        <v>979</v>
      </c>
      <c r="P2055" t="s">
        <v>127</v>
      </c>
      <c r="Q2055" s="3">
        <v>11801</v>
      </c>
      <c r="R2055" t="s">
        <v>128</v>
      </c>
      <c r="T2055" s="4">
        <v>15166193175</v>
      </c>
      <c r="V2055" t="s">
        <v>7189</v>
      </c>
      <c r="W2055" t="s">
        <v>7190</v>
      </c>
      <c r="Y2055" t="s">
        <v>7188</v>
      </c>
      <c r="AA2055" t="s">
        <v>7191</v>
      </c>
      <c r="AB2055" t="s">
        <v>129</v>
      </c>
      <c r="AC2055" s="3" t="str">
        <f>"11801"</f>
        <v>11801</v>
      </c>
      <c r="AD2055" t="s">
        <v>128</v>
      </c>
      <c r="AF2055" s="4">
        <v>15127084750</v>
      </c>
      <c r="AH2055" t="str">
        <f>"541512"</f>
        <v>541512</v>
      </c>
      <c r="AI2055" t="s">
        <v>130</v>
      </c>
      <c r="AJ2055" t="s">
        <v>7192</v>
      </c>
      <c r="AK2055" t="s">
        <v>5364</v>
      </c>
      <c r="AL2055" t="s">
        <v>301</v>
      </c>
      <c r="AM2055" t="s">
        <v>7193</v>
      </c>
      <c r="AO2055" t="s">
        <v>600</v>
      </c>
      <c r="AP2055" t="s">
        <v>594</v>
      </c>
      <c r="AQ2055" s="5">
        <v>28210</v>
      </c>
      <c r="AR2055" t="s">
        <v>128</v>
      </c>
      <c r="AT2055" s="4">
        <v>17043621106</v>
      </c>
      <c r="AV2055" t="s">
        <v>7194</v>
      </c>
      <c r="AW2055" t="s">
        <v>7195</v>
      </c>
      <c r="AX2055" t="s">
        <v>131</v>
      </c>
      <c r="AY2055" t="s">
        <v>131</v>
      </c>
      <c r="AZ2055" t="s">
        <v>131</v>
      </c>
      <c r="BA2055" t="s">
        <v>131</v>
      </c>
      <c r="BB2055" t="s">
        <v>131</v>
      </c>
      <c r="BC2055" t="s">
        <v>131</v>
      </c>
      <c r="BD2055" t="s">
        <v>131</v>
      </c>
      <c r="BE2055" t="s">
        <v>132</v>
      </c>
      <c r="BH2055" t="s">
        <v>7196</v>
      </c>
      <c r="BI2055" t="s">
        <v>131</v>
      </c>
      <c r="BL2055" t="s">
        <v>133</v>
      </c>
      <c r="BN2055" t="s">
        <v>7197</v>
      </c>
      <c r="BO2055" t="s">
        <v>131</v>
      </c>
      <c r="BP2055" t="s">
        <v>134</v>
      </c>
      <c r="BQ2055" t="s">
        <v>131</v>
      </c>
      <c r="BS2055" t="str">
        <f t="shared" si="119"/>
        <v>N/A</v>
      </c>
      <c r="BT2055" t="s">
        <v>135</v>
      </c>
      <c r="BU2055">
        <v>60</v>
      </c>
      <c r="BV2055" t="str">
        <f>"Software Engineer"</f>
        <v>Software Engineer</v>
      </c>
      <c r="BW2055" t="s">
        <v>135</v>
      </c>
      <c r="BX2055" t="str">
        <f>""</f>
        <v/>
      </c>
      <c r="BY2055" t="str">
        <f>""</f>
        <v/>
      </c>
      <c r="BZ2055" t="str">
        <f>""</f>
        <v/>
      </c>
      <c r="CA2055" t="str">
        <f>"EXPERIENCE WITH POWERUP AMS
EXPERIENCE WITH LINUX BASED STB (SET TOP BOXES FOR CABLE TV) KNOWLEDGE OF TRANSMISSION CONTROL PROTOCOL (TCP)
CABLE INFRASTRUCTURE AND NETWORK EXPERIENCE
EXPERIENCE IN SOFTWARE DEVELOPMENT AND ARCHITECTURE"</f>
        <v>EXPERIENCE WITH POWERUP AMS
EXPERIENCE WITH LINUX BASED STB (SET TOP BOXES FOR CABLE TV) KNOWLEDGE OF TRANSMISSION CONTROL PROTOCOL (TCP)
CABLE INFRASTRUCTURE AND NETWORK EXPERIENCE
EXPERIENCE IN SOFTWARE DEVELOPMENT AND ARCHITECTURE</v>
      </c>
      <c r="CB2055" t="s">
        <v>131</v>
      </c>
      <c r="CF2055" t="s">
        <v>131</v>
      </c>
      <c r="CH2055" t="str">
        <f>""</f>
        <v/>
      </c>
      <c r="CI2055" t="s">
        <v>131</v>
      </c>
      <c r="CK2055" t="s">
        <v>131</v>
      </c>
      <c r="CL2055" t="str">
        <f>""</f>
        <v/>
      </c>
      <c r="CM2055" t="str">
        <f>""</f>
        <v/>
      </c>
      <c r="CN2055" t="str">
        <f>""</f>
        <v/>
      </c>
      <c r="CO2055" t="str">
        <f>""</f>
        <v/>
      </c>
      <c r="CP2055" t="str">
        <f>"15-1132.00"</f>
        <v>15-1132.00</v>
      </c>
      <c r="CQ2055" t="s">
        <v>198</v>
      </c>
      <c r="CR2055" t="s">
        <v>7198</v>
      </c>
      <c r="CS2055" t="s">
        <v>131</v>
      </c>
      <c r="CU2055" t="s">
        <v>7199</v>
      </c>
      <c r="CW2055" t="s">
        <v>5514</v>
      </c>
      <c r="CX2055" t="s">
        <v>471</v>
      </c>
      <c r="CZ2055" s="3" t="str">
        <f>"80111"</f>
        <v>80111</v>
      </c>
      <c r="DA2055" t="s">
        <v>131</v>
      </c>
      <c r="DB2055" t="str">
        <f>""</f>
        <v/>
      </c>
      <c r="DF2055" t="str">
        <f>""</f>
        <v/>
      </c>
    </row>
    <row r="2056" spans="1:110" ht="15" customHeight="1" x14ac:dyDescent="0.35">
      <c r="A2056" t="s">
        <v>17271</v>
      </c>
      <c r="B2056" t="s">
        <v>138</v>
      </c>
      <c r="C2056" s="1">
        <v>44364</v>
      </c>
      <c r="G2056" s="1">
        <v>44368</v>
      </c>
      <c r="H2056" t="s">
        <v>125</v>
      </c>
      <c r="I2056" t="s">
        <v>9609</v>
      </c>
      <c r="J2056" t="s">
        <v>17272</v>
      </c>
      <c r="L2056" t="s">
        <v>2223</v>
      </c>
      <c r="M2056" t="s">
        <v>17273</v>
      </c>
      <c r="N2056" t="s">
        <v>17274</v>
      </c>
      <c r="O2056" t="s">
        <v>17275</v>
      </c>
      <c r="P2056" t="s">
        <v>412</v>
      </c>
      <c r="Q2056" s="3">
        <v>75703</v>
      </c>
      <c r="R2056" t="s">
        <v>128</v>
      </c>
      <c r="T2056" s="4">
        <v>14694109353</v>
      </c>
      <c r="V2056" t="s">
        <v>17276</v>
      </c>
      <c r="W2056" t="s">
        <v>17277</v>
      </c>
      <c r="Y2056" t="s">
        <v>17273</v>
      </c>
      <c r="Z2056" t="s">
        <v>17278</v>
      </c>
      <c r="AA2056" t="s">
        <v>3991</v>
      </c>
      <c r="AB2056" t="s">
        <v>400</v>
      </c>
      <c r="AC2056" s="3" t="str">
        <f>"75703"</f>
        <v>75703</v>
      </c>
      <c r="AD2056" t="s">
        <v>128</v>
      </c>
      <c r="AF2056" s="4">
        <v>14694109353</v>
      </c>
      <c r="AH2056" t="str">
        <f>"541511"</f>
        <v>541511</v>
      </c>
      <c r="AI2056" t="s">
        <v>130</v>
      </c>
      <c r="AJ2056" t="s">
        <v>9032</v>
      </c>
      <c r="AK2056" t="s">
        <v>9032</v>
      </c>
      <c r="AM2056" t="s">
        <v>9033</v>
      </c>
      <c r="AN2056" t="s">
        <v>9034</v>
      </c>
      <c r="AO2056" t="s">
        <v>3735</v>
      </c>
      <c r="AP2056" t="s">
        <v>400</v>
      </c>
      <c r="AQ2056" s="5">
        <v>75080</v>
      </c>
      <c r="AR2056" t="s">
        <v>128</v>
      </c>
      <c r="AT2056" s="4">
        <v>12145975983</v>
      </c>
      <c r="AV2056" t="s">
        <v>9035</v>
      </c>
      <c r="AW2056" t="s">
        <v>17279</v>
      </c>
      <c r="AX2056" t="s">
        <v>131</v>
      </c>
      <c r="AY2056" t="s">
        <v>131</v>
      </c>
      <c r="AZ2056" t="s">
        <v>131</v>
      </c>
      <c r="BA2056" t="s">
        <v>131</v>
      </c>
      <c r="BB2056" t="s">
        <v>131</v>
      </c>
      <c r="BC2056" t="s">
        <v>131</v>
      </c>
      <c r="BD2056" t="s">
        <v>131</v>
      </c>
      <c r="BE2056" t="s">
        <v>132</v>
      </c>
      <c r="BH2056" t="s">
        <v>17280</v>
      </c>
      <c r="BI2056" t="s">
        <v>135</v>
      </c>
      <c r="BJ2056" t="s">
        <v>3761</v>
      </c>
      <c r="BK2056" t="s">
        <v>1783</v>
      </c>
      <c r="BL2056" t="s">
        <v>133</v>
      </c>
      <c r="BN2056" t="s">
        <v>17281</v>
      </c>
      <c r="BO2056" t="s">
        <v>131</v>
      </c>
      <c r="BP2056" t="s">
        <v>134</v>
      </c>
      <c r="BQ2056" t="s">
        <v>131</v>
      </c>
      <c r="BS2056" t="str">
        <f t="shared" si="119"/>
        <v>N/A</v>
      </c>
      <c r="BT2056" t="s">
        <v>135</v>
      </c>
      <c r="BU2056">
        <v>36</v>
      </c>
      <c r="BV2056" t="str">
        <f>"accountant "</f>
        <v xml:space="preserve">accountant </v>
      </c>
      <c r="BW2056" t="s">
        <v>135</v>
      </c>
      <c r="BX2056" t="str">
        <f>""</f>
        <v/>
      </c>
      <c r="BY2056" t="str">
        <f>""</f>
        <v/>
      </c>
      <c r="BZ2056" t="str">
        <f>""</f>
        <v/>
      </c>
      <c r="CA2056" t="str">
        <f>"IRS Enrolled Agent (EA
 Certified Management Accountant (CMA) training or certificate 
experience in Quicklook and Microsoft Great Plains 
"</f>
        <v xml:space="preserve">IRS Enrolled Agent (EA
 Certified Management Accountant (CMA) training or certificate 
experience in Quicklook and Microsoft Great Plains 
</v>
      </c>
      <c r="CB2056" t="s">
        <v>131</v>
      </c>
      <c r="CF2056" t="s">
        <v>131</v>
      </c>
      <c r="CH2056" t="str">
        <f>""</f>
        <v/>
      </c>
      <c r="CI2056" t="s">
        <v>131</v>
      </c>
      <c r="CK2056" t="s">
        <v>131</v>
      </c>
      <c r="CL2056" t="str">
        <f>""</f>
        <v/>
      </c>
      <c r="CM2056" t="str">
        <f>""</f>
        <v/>
      </c>
      <c r="CN2056" t="str">
        <f>""</f>
        <v/>
      </c>
      <c r="CO2056" t="str">
        <f>""</f>
        <v/>
      </c>
      <c r="CP2056" t="str">
        <f>"13-2011.00"</f>
        <v>13-2011.00</v>
      </c>
      <c r="CQ2056" t="s">
        <v>672</v>
      </c>
      <c r="CR2056" t="s">
        <v>2223</v>
      </c>
      <c r="CS2056" t="s">
        <v>131</v>
      </c>
      <c r="CU2056" t="s">
        <v>17273</v>
      </c>
      <c r="CV2056" t="s">
        <v>17278</v>
      </c>
      <c r="CW2056" t="s">
        <v>3991</v>
      </c>
      <c r="CX2056" t="s">
        <v>400</v>
      </c>
      <c r="CZ2056" s="3" t="str">
        <f>"75703"</f>
        <v>75703</v>
      </c>
      <c r="DA2056" t="s">
        <v>131</v>
      </c>
      <c r="DB2056" t="str">
        <f>""</f>
        <v/>
      </c>
      <c r="DF2056" t="str">
        <f>""</f>
        <v/>
      </c>
    </row>
    <row r="2057" spans="1:110" ht="15" customHeight="1" x14ac:dyDescent="0.35">
      <c r="A2057" t="s">
        <v>17106</v>
      </c>
      <c r="B2057" t="s">
        <v>138</v>
      </c>
      <c r="C2057" s="1">
        <v>44365</v>
      </c>
      <c r="G2057" s="1">
        <v>44369</v>
      </c>
      <c r="H2057" t="s">
        <v>125</v>
      </c>
      <c r="I2057" t="s">
        <v>1826</v>
      </c>
      <c r="J2057" t="s">
        <v>1827</v>
      </c>
      <c r="K2057" t="s">
        <v>387</v>
      </c>
      <c r="L2057" t="s">
        <v>1828</v>
      </c>
      <c r="M2057" t="s">
        <v>1829</v>
      </c>
      <c r="O2057" t="s">
        <v>1830</v>
      </c>
      <c r="P2057" t="s">
        <v>396</v>
      </c>
      <c r="Q2057" s="3">
        <v>72712</v>
      </c>
      <c r="R2057" t="s">
        <v>128</v>
      </c>
      <c r="T2057" s="4">
        <v>14792047224</v>
      </c>
      <c r="V2057" t="s">
        <v>1831</v>
      </c>
      <c r="W2057" t="s">
        <v>1832</v>
      </c>
      <c r="Y2057" t="s">
        <v>1833</v>
      </c>
      <c r="Z2057" t="s">
        <v>1834</v>
      </c>
      <c r="AA2057" t="s">
        <v>1835</v>
      </c>
      <c r="AB2057" t="s">
        <v>397</v>
      </c>
      <c r="AC2057" s="3" t="str">
        <f>"72716"</f>
        <v>72716</v>
      </c>
      <c r="AD2057" t="s">
        <v>128</v>
      </c>
      <c r="AF2057" s="4">
        <v>14792731993</v>
      </c>
      <c r="AH2057" t="str">
        <f>"452210"</f>
        <v>452210</v>
      </c>
      <c r="AI2057" t="s">
        <v>130</v>
      </c>
      <c r="AJ2057" t="s">
        <v>1836</v>
      </c>
      <c r="AK2057" t="s">
        <v>1837</v>
      </c>
      <c r="AM2057" t="s">
        <v>1838</v>
      </c>
      <c r="AN2057" t="s">
        <v>517</v>
      </c>
      <c r="AO2057" t="s">
        <v>129</v>
      </c>
      <c r="AP2057" t="s">
        <v>129</v>
      </c>
      <c r="AQ2057" s="5">
        <v>10018</v>
      </c>
      <c r="AR2057" t="s">
        <v>128</v>
      </c>
      <c r="AT2057" s="4">
        <v>12126888555</v>
      </c>
      <c r="AV2057" t="s">
        <v>17107</v>
      </c>
      <c r="AW2057" t="s">
        <v>1840</v>
      </c>
      <c r="AX2057" t="s">
        <v>131</v>
      </c>
      <c r="AY2057" t="s">
        <v>131</v>
      </c>
      <c r="AZ2057" t="s">
        <v>131</v>
      </c>
      <c r="BA2057" t="s">
        <v>131</v>
      </c>
      <c r="BB2057" t="s">
        <v>131</v>
      </c>
      <c r="BC2057" t="s">
        <v>131</v>
      </c>
      <c r="BD2057" t="s">
        <v>131</v>
      </c>
      <c r="BE2057" t="s">
        <v>132</v>
      </c>
      <c r="BH2057" t="s">
        <v>13536</v>
      </c>
      <c r="BI2057" t="s">
        <v>131</v>
      </c>
      <c r="BL2057" t="s">
        <v>133</v>
      </c>
      <c r="BN2057" t="s">
        <v>7200</v>
      </c>
      <c r="BO2057" t="s">
        <v>131</v>
      </c>
      <c r="BP2057" t="s">
        <v>134</v>
      </c>
      <c r="BQ2057" t="s">
        <v>131</v>
      </c>
      <c r="BS2057" t="str">
        <f t="shared" si="119"/>
        <v>N/A</v>
      </c>
      <c r="BT2057" t="s">
        <v>135</v>
      </c>
      <c r="BU2057">
        <v>24</v>
      </c>
      <c r="BV2057" t="str">
        <f>"Data science or related experience"</f>
        <v>Data science or related experience</v>
      </c>
      <c r="BW2057" t="s">
        <v>135</v>
      </c>
      <c r="BX2057" t="str">
        <f>""</f>
        <v/>
      </c>
      <c r="BY2057" t="str">
        <f>""</f>
        <v/>
      </c>
      <c r="BZ2057" t="str">
        <f>""</f>
        <v/>
      </c>
      <c r="CA2057" t="s">
        <v>13537</v>
      </c>
      <c r="CB2057" t="s">
        <v>135</v>
      </c>
      <c r="CC2057" t="s">
        <v>188</v>
      </c>
      <c r="CE2057" t="s">
        <v>7200</v>
      </c>
      <c r="CF2057" t="s">
        <v>131</v>
      </c>
      <c r="CH2057" t="str">
        <f>"N/A"</f>
        <v>N/A</v>
      </c>
      <c r="CI2057" t="s">
        <v>131</v>
      </c>
      <c r="CK2057" t="s">
        <v>135</v>
      </c>
      <c r="CL2057" t="str">
        <f>""</f>
        <v/>
      </c>
      <c r="CM2057" t="str">
        <f>""</f>
        <v/>
      </c>
      <c r="CN2057" t="str">
        <f>""</f>
        <v/>
      </c>
      <c r="CO2057" t="s">
        <v>13537</v>
      </c>
      <c r="CP2057" t="str">
        <f>"15-1199.08"</f>
        <v>15-1199.08</v>
      </c>
      <c r="CQ2057" t="s">
        <v>265</v>
      </c>
      <c r="CR2057" t="s">
        <v>3029</v>
      </c>
      <c r="CS2057" t="s">
        <v>131</v>
      </c>
      <c r="CU2057" t="s">
        <v>1829</v>
      </c>
      <c r="CW2057" t="s">
        <v>1830</v>
      </c>
      <c r="CX2057" t="s">
        <v>397</v>
      </c>
      <c r="CZ2057" s="3" t="str">
        <f>"72712"</f>
        <v>72712</v>
      </c>
      <c r="DA2057" t="s">
        <v>131</v>
      </c>
      <c r="DB2057" t="str">
        <f>""</f>
        <v/>
      </c>
      <c r="DF2057" t="str">
        <f>""</f>
        <v/>
      </c>
    </row>
    <row r="2058" spans="1:110" ht="15" customHeight="1" x14ac:dyDescent="0.35">
      <c r="A2058" t="s">
        <v>20143</v>
      </c>
      <c r="B2058" t="s">
        <v>138</v>
      </c>
      <c r="C2058" s="1">
        <v>44365</v>
      </c>
      <c r="G2058" s="1">
        <v>44367</v>
      </c>
      <c r="H2058" t="s">
        <v>125</v>
      </c>
      <c r="I2058" t="s">
        <v>8133</v>
      </c>
      <c r="J2058" t="s">
        <v>8134</v>
      </c>
      <c r="L2058" t="s">
        <v>530</v>
      </c>
      <c r="M2058" t="s">
        <v>3263</v>
      </c>
      <c r="N2058" t="s">
        <v>8135</v>
      </c>
      <c r="O2058" t="s">
        <v>494</v>
      </c>
      <c r="P2058" t="s">
        <v>127</v>
      </c>
      <c r="Q2058" s="3">
        <v>10004</v>
      </c>
      <c r="R2058" t="s">
        <v>128</v>
      </c>
      <c r="T2058" s="4">
        <v>16464458187</v>
      </c>
      <c r="V2058" t="s">
        <v>8136</v>
      </c>
      <c r="W2058" t="s">
        <v>1095</v>
      </c>
      <c r="Y2058" t="s">
        <v>1096</v>
      </c>
      <c r="Z2058" t="s">
        <v>1097</v>
      </c>
      <c r="AA2058" t="s">
        <v>129</v>
      </c>
      <c r="AB2058" t="s">
        <v>129</v>
      </c>
      <c r="AC2058" s="3" t="str">
        <f t="shared" ref="AC2058:AC2065" si="120">"10004"</f>
        <v>10004</v>
      </c>
      <c r="AD2058" t="s">
        <v>128</v>
      </c>
      <c r="AF2058" s="4">
        <v>16464458187</v>
      </c>
      <c r="AG2058">
        <v>0</v>
      </c>
      <c r="AH2058" t="str">
        <f t="shared" ref="AH2058:AH2065" si="121">"541511"</f>
        <v>541511</v>
      </c>
      <c r="AI2058" t="s">
        <v>130</v>
      </c>
      <c r="AJ2058" t="s">
        <v>1098</v>
      </c>
      <c r="AK2058" t="s">
        <v>913</v>
      </c>
      <c r="AM2058" t="s">
        <v>493</v>
      </c>
      <c r="AO2058" t="s">
        <v>494</v>
      </c>
      <c r="AP2058" t="s">
        <v>129</v>
      </c>
      <c r="AQ2058" s="5">
        <v>10018</v>
      </c>
      <c r="AR2058" t="s">
        <v>128</v>
      </c>
      <c r="AT2058" s="4">
        <v>12126888555</v>
      </c>
      <c r="AV2058" t="s">
        <v>8137</v>
      </c>
      <c r="AW2058" t="s">
        <v>386</v>
      </c>
      <c r="AX2058" t="s">
        <v>131</v>
      </c>
      <c r="AY2058" t="s">
        <v>131</v>
      </c>
      <c r="AZ2058" t="s">
        <v>131</v>
      </c>
      <c r="BA2058" t="s">
        <v>131</v>
      </c>
      <c r="BB2058" t="s">
        <v>131</v>
      </c>
      <c r="BC2058" t="s">
        <v>131</v>
      </c>
      <c r="BD2058" t="s">
        <v>131</v>
      </c>
      <c r="BE2058" t="s">
        <v>132</v>
      </c>
      <c r="BH2058" t="s">
        <v>11571</v>
      </c>
      <c r="BI2058" t="s">
        <v>131</v>
      </c>
      <c r="BL2058" t="s">
        <v>133</v>
      </c>
      <c r="BN2058" t="s">
        <v>18427</v>
      </c>
      <c r="BO2058" t="s">
        <v>131</v>
      </c>
      <c r="BP2058" t="s">
        <v>134</v>
      </c>
      <c r="BQ2058" t="s">
        <v>131</v>
      </c>
      <c r="BS2058" t="str">
        <f t="shared" si="119"/>
        <v>N/A</v>
      </c>
      <c r="BT2058" t="s">
        <v>135</v>
      </c>
      <c r="BU2058">
        <v>36</v>
      </c>
      <c r="BV2058" t="str">
        <f>"Database Administrator II; SQL Developer Senior; Programmer Analyst or related."</f>
        <v>Database Administrator II; SQL Developer Senior; Programmer Analyst or related.</v>
      </c>
      <c r="BW2058" t="s">
        <v>135</v>
      </c>
      <c r="BX2058" t="str">
        <f>""</f>
        <v/>
      </c>
      <c r="BY2058" t="str">
        <f>""</f>
        <v/>
      </c>
      <c r="BZ2058" t="str">
        <f>""</f>
        <v/>
      </c>
      <c r="CA2058" t="s">
        <v>18428</v>
      </c>
      <c r="CB2058" t="s">
        <v>131</v>
      </c>
      <c r="CF2058" t="s">
        <v>131</v>
      </c>
      <c r="CH2058" t="str">
        <f>""</f>
        <v/>
      </c>
      <c r="CI2058" t="s">
        <v>131</v>
      </c>
      <c r="CK2058" t="s">
        <v>131</v>
      </c>
      <c r="CL2058" t="str">
        <f>""</f>
        <v/>
      </c>
      <c r="CM2058" t="str">
        <f>""</f>
        <v/>
      </c>
      <c r="CN2058" t="str">
        <f>""</f>
        <v/>
      </c>
      <c r="CO2058" t="str">
        <f>""</f>
        <v/>
      </c>
      <c r="CP2058" t="str">
        <f>"15-1141.00"</f>
        <v>15-1141.00</v>
      </c>
      <c r="CQ2058" t="s">
        <v>1576</v>
      </c>
      <c r="CR2058" t="s">
        <v>5010</v>
      </c>
      <c r="CS2058" t="s">
        <v>135</v>
      </c>
      <c r="CT2058" t="s">
        <v>18429</v>
      </c>
      <c r="CU2058" t="s">
        <v>7852</v>
      </c>
      <c r="CV2058" t="s">
        <v>788</v>
      </c>
      <c r="CW2058" t="s">
        <v>2323</v>
      </c>
      <c r="CX2058" t="s">
        <v>594</v>
      </c>
      <c r="CZ2058" s="3" t="str">
        <f>"27703"</f>
        <v>27703</v>
      </c>
      <c r="DA2058" t="s">
        <v>131</v>
      </c>
      <c r="DB2058" t="str">
        <f>""</f>
        <v/>
      </c>
      <c r="DF2058" t="str">
        <f>""</f>
        <v/>
      </c>
    </row>
    <row r="2059" spans="1:110" ht="15" customHeight="1" x14ac:dyDescent="0.35">
      <c r="A2059" t="s">
        <v>16203</v>
      </c>
      <c r="B2059" t="s">
        <v>138</v>
      </c>
      <c r="C2059" s="1">
        <v>44365</v>
      </c>
      <c r="G2059" s="1">
        <v>44370</v>
      </c>
      <c r="H2059" t="s">
        <v>125</v>
      </c>
      <c r="I2059" t="s">
        <v>8133</v>
      </c>
      <c r="J2059" t="s">
        <v>8134</v>
      </c>
      <c r="L2059" t="s">
        <v>530</v>
      </c>
      <c r="M2059" t="s">
        <v>3263</v>
      </c>
      <c r="N2059" t="s">
        <v>8135</v>
      </c>
      <c r="O2059" t="s">
        <v>494</v>
      </c>
      <c r="P2059" t="s">
        <v>127</v>
      </c>
      <c r="Q2059" s="3">
        <v>10004</v>
      </c>
      <c r="R2059" t="s">
        <v>128</v>
      </c>
      <c r="T2059" s="4">
        <v>16464458187</v>
      </c>
      <c r="V2059" t="s">
        <v>8136</v>
      </c>
      <c r="W2059" t="s">
        <v>1095</v>
      </c>
      <c r="Y2059" t="s">
        <v>1096</v>
      </c>
      <c r="Z2059" t="s">
        <v>1097</v>
      </c>
      <c r="AA2059" t="s">
        <v>129</v>
      </c>
      <c r="AB2059" t="s">
        <v>129</v>
      </c>
      <c r="AC2059" s="3" t="str">
        <f t="shared" si="120"/>
        <v>10004</v>
      </c>
      <c r="AD2059" t="s">
        <v>128</v>
      </c>
      <c r="AF2059" s="4">
        <v>16464458187</v>
      </c>
      <c r="AG2059">
        <v>0</v>
      </c>
      <c r="AH2059" t="str">
        <f t="shared" si="121"/>
        <v>541511</v>
      </c>
      <c r="AI2059" t="s">
        <v>130</v>
      </c>
      <c r="AJ2059" t="s">
        <v>1098</v>
      </c>
      <c r="AK2059" t="s">
        <v>913</v>
      </c>
      <c r="AM2059" t="s">
        <v>493</v>
      </c>
      <c r="AO2059" t="s">
        <v>494</v>
      </c>
      <c r="AP2059" t="s">
        <v>129</v>
      </c>
      <c r="AQ2059" s="5">
        <v>10018</v>
      </c>
      <c r="AR2059" t="s">
        <v>128</v>
      </c>
      <c r="AT2059" s="4">
        <v>12126888555</v>
      </c>
      <c r="AV2059" t="s">
        <v>8137</v>
      </c>
      <c r="AW2059" t="s">
        <v>386</v>
      </c>
      <c r="AX2059" t="s">
        <v>131</v>
      </c>
      <c r="AY2059" t="s">
        <v>131</v>
      </c>
      <c r="AZ2059" t="s">
        <v>131</v>
      </c>
      <c r="BA2059" t="s">
        <v>131</v>
      </c>
      <c r="BB2059" t="s">
        <v>131</v>
      </c>
      <c r="BC2059" t="s">
        <v>131</v>
      </c>
      <c r="BD2059" t="s">
        <v>131</v>
      </c>
      <c r="BE2059" t="s">
        <v>132</v>
      </c>
      <c r="BH2059" t="s">
        <v>541</v>
      </c>
      <c r="BI2059" t="s">
        <v>131</v>
      </c>
      <c r="BL2059" t="s">
        <v>133</v>
      </c>
      <c r="BN2059" t="s">
        <v>16204</v>
      </c>
      <c r="BO2059" t="s">
        <v>131</v>
      </c>
      <c r="BP2059" t="s">
        <v>134</v>
      </c>
      <c r="BQ2059" t="s">
        <v>131</v>
      </c>
      <c r="BS2059" t="str">
        <f t="shared" si="119"/>
        <v>N/A</v>
      </c>
      <c r="BT2059" t="s">
        <v>135</v>
      </c>
      <c r="BU2059">
        <v>60</v>
      </c>
      <c r="BV2059" t="str">
        <f>"WebSphere Administrator or related."</f>
        <v>WebSphere Administrator or related.</v>
      </c>
      <c r="BW2059" t="s">
        <v>135</v>
      </c>
      <c r="BX2059" t="str">
        <f>""</f>
        <v/>
      </c>
      <c r="BY2059" t="str">
        <f>""</f>
        <v/>
      </c>
      <c r="BZ2059" t="str">
        <f>""</f>
        <v/>
      </c>
      <c r="CA2059" t="s">
        <v>16205</v>
      </c>
      <c r="CB2059" t="s">
        <v>135</v>
      </c>
      <c r="CC2059" t="s">
        <v>188</v>
      </c>
      <c r="CE2059" t="s">
        <v>16204</v>
      </c>
      <c r="CF2059" t="s">
        <v>131</v>
      </c>
      <c r="CH2059" t="str">
        <f>"N/A"</f>
        <v>N/A</v>
      </c>
      <c r="CI2059" t="s">
        <v>135</v>
      </c>
      <c r="CJ2059">
        <v>36</v>
      </c>
      <c r="CK2059" t="s">
        <v>135</v>
      </c>
      <c r="CL2059" t="str">
        <f>""</f>
        <v/>
      </c>
      <c r="CM2059" t="str">
        <f>""</f>
        <v/>
      </c>
      <c r="CN2059" t="str">
        <f>""</f>
        <v/>
      </c>
      <c r="CO2059" t="s">
        <v>16206</v>
      </c>
      <c r="CP2059" t="str">
        <f t="shared" ref="CP2059:CP2067" si="122">"15-1132.00"</f>
        <v>15-1132.00</v>
      </c>
      <c r="CQ2059" t="s">
        <v>198</v>
      </c>
      <c r="CR2059" t="s">
        <v>5010</v>
      </c>
      <c r="CS2059" t="s">
        <v>131</v>
      </c>
      <c r="CU2059" t="s">
        <v>7852</v>
      </c>
      <c r="CV2059" t="s">
        <v>788</v>
      </c>
      <c r="CW2059" t="s">
        <v>2323</v>
      </c>
      <c r="CX2059" t="s">
        <v>594</v>
      </c>
      <c r="CZ2059" s="3" t="str">
        <f>"27703"</f>
        <v>27703</v>
      </c>
      <c r="DA2059" t="s">
        <v>131</v>
      </c>
      <c r="DB2059" t="str">
        <f>""</f>
        <v/>
      </c>
      <c r="DF2059" t="str">
        <f>""</f>
        <v/>
      </c>
    </row>
    <row r="2060" spans="1:110" ht="15" customHeight="1" x14ac:dyDescent="0.35">
      <c r="A2060" t="s">
        <v>12354</v>
      </c>
      <c r="B2060" t="s">
        <v>138</v>
      </c>
      <c r="C2060" s="1">
        <v>44365</v>
      </c>
      <c r="G2060" s="1">
        <v>44367</v>
      </c>
      <c r="H2060" t="s">
        <v>125</v>
      </c>
      <c r="I2060" t="s">
        <v>8133</v>
      </c>
      <c r="J2060" t="s">
        <v>8134</v>
      </c>
      <c r="L2060" t="s">
        <v>530</v>
      </c>
      <c r="M2060" t="s">
        <v>3263</v>
      </c>
      <c r="N2060" t="s">
        <v>8135</v>
      </c>
      <c r="O2060" t="s">
        <v>494</v>
      </c>
      <c r="P2060" t="s">
        <v>127</v>
      </c>
      <c r="Q2060" s="3">
        <v>10004</v>
      </c>
      <c r="R2060" t="s">
        <v>128</v>
      </c>
      <c r="T2060" s="4">
        <v>16464458187</v>
      </c>
      <c r="V2060" t="s">
        <v>8136</v>
      </c>
      <c r="W2060" t="s">
        <v>1095</v>
      </c>
      <c r="Y2060" t="s">
        <v>1096</v>
      </c>
      <c r="Z2060" t="s">
        <v>1097</v>
      </c>
      <c r="AA2060" t="s">
        <v>129</v>
      </c>
      <c r="AB2060" t="s">
        <v>129</v>
      </c>
      <c r="AC2060" s="3" t="str">
        <f t="shared" si="120"/>
        <v>10004</v>
      </c>
      <c r="AD2060" t="s">
        <v>128</v>
      </c>
      <c r="AF2060" s="4">
        <v>16464458187</v>
      </c>
      <c r="AG2060">
        <v>0</v>
      </c>
      <c r="AH2060" t="str">
        <f t="shared" si="121"/>
        <v>541511</v>
      </c>
      <c r="AI2060" t="s">
        <v>130</v>
      </c>
      <c r="AJ2060" t="s">
        <v>1098</v>
      </c>
      <c r="AK2060" t="s">
        <v>913</v>
      </c>
      <c r="AM2060" t="s">
        <v>493</v>
      </c>
      <c r="AO2060" t="s">
        <v>494</v>
      </c>
      <c r="AP2060" t="s">
        <v>129</v>
      </c>
      <c r="AQ2060" s="5">
        <v>10018</v>
      </c>
      <c r="AR2060" t="s">
        <v>128</v>
      </c>
      <c r="AT2060" s="4">
        <v>12126888555</v>
      </c>
      <c r="AV2060" t="s">
        <v>8137</v>
      </c>
      <c r="AW2060" t="s">
        <v>386</v>
      </c>
      <c r="AX2060" t="s">
        <v>131</v>
      </c>
      <c r="AY2060" t="s">
        <v>131</v>
      </c>
      <c r="AZ2060" t="s">
        <v>131</v>
      </c>
      <c r="BA2060" t="s">
        <v>131</v>
      </c>
      <c r="BB2060" t="s">
        <v>131</v>
      </c>
      <c r="BC2060" t="s">
        <v>131</v>
      </c>
      <c r="BD2060" t="s">
        <v>131</v>
      </c>
      <c r="BE2060" t="s">
        <v>132</v>
      </c>
      <c r="BH2060" t="s">
        <v>12355</v>
      </c>
      <c r="BI2060" t="s">
        <v>131</v>
      </c>
      <c r="BL2060" t="s">
        <v>133</v>
      </c>
      <c r="BN2060" t="s">
        <v>12356</v>
      </c>
      <c r="BO2060" t="s">
        <v>131</v>
      </c>
      <c r="BP2060" t="s">
        <v>134</v>
      </c>
      <c r="BQ2060" t="s">
        <v>131</v>
      </c>
      <c r="BS2060" t="str">
        <f t="shared" si="119"/>
        <v>N/A</v>
      </c>
      <c r="BT2060" t="s">
        <v>135</v>
      </c>
      <c r="BU2060">
        <v>48</v>
      </c>
      <c r="BV2060" t="str">
        <f>"IT Systems Analyst or related."</f>
        <v>IT Systems Analyst or related.</v>
      </c>
      <c r="BW2060" t="s">
        <v>135</v>
      </c>
      <c r="BX2060" t="str">
        <f>""</f>
        <v/>
      </c>
      <c r="BY2060" t="str">
        <f>""</f>
        <v/>
      </c>
      <c r="BZ2060" t="str">
        <f>""</f>
        <v/>
      </c>
      <c r="CA2060" t="s">
        <v>12357</v>
      </c>
      <c r="CB2060" t="s">
        <v>135</v>
      </c>
      <c r="CC2060" t="s">
        <v>188</v>
      </c>
      <c r="CE2060" t="s">
        <v>12356</v>
      </c>
      <c r="CF2060" t="s">
        <v>131</v>
      </c>
      <c r="CH2060" t="str">
        <f>"N/A"</f>
        <v>N/A</v>
      </c>
      <c r="CI2060" t="s">
        <v>135</v>
      </c>
      <c r="CJ2060">
        <v>24</v>
      </c>
      <c r="CK2060" t="s">
        <v>135</v>
      </c>
      <c r="CL2060" t="str">
        <f>""</f>
        <v/>
      </c>
      <c r="CM2060" t="str">
        <f>""</f>
        <v/>
      </c>
      <c r="CN2060" t="str">
        <f>""</f>
        <v/>
      </c>
      <c r="CO2060" t="s">
        <v>12358</v>
      </c>
      <c r="CP2060" t="str">
        <f t="shared" si="122"/>
        <v>15-1132.00</v>
      </c>
      <c r="CQ2060" t="s">
        <v>198</v>
      </c>
      <c r="CR2060" t="s">
        <v>12359</v>
      </c>
      <c r="CS2060" t="s">
        <v>135</v>
      </c>
      <c r="CT2060" t="s">
        <v>12360</v>
      </c>
      <c r="CU2060" t="s">
        <v>12361</v>
      </c>
      <c r="CV2060" t="s">
        <v>7788</v>
      </c>
      <c r="CW2060" t="s">
        <v>729</v>
      </c>
      <c r="CX2060" t="s">
        <v>172</v>
      </c>
      <c r="CZ2060" s="3" t="str">
        <f>"91107"</f>
        <v>91107</v>
      </c>
      <c r="DA2060" t="s">
        <v>131</v>
      </c>
      <c r="DB2060" t="str">
        <f>""</f>
        <v/>
      </c>
      <c r="DF2060" t="str">
        <f>""</f>
        <v/>
      </c>
    </row>
    <row r="2061" spans="1:110" ht="15" customHeight="1" x14ac:dyDescent="0.35">
      <c r="A2061" t="s">
        <v>15792</v>
      </c>
      <c r="B2061" t="s">
        <v>138</v>
      </c>
      <c r="C2061" s="1">
        <v>44365</v>
      </c>
      <c r="G2061" s="1">
        <v>44367</v>
      </c>
      <c r="H2061" t="s">
        <v>125</v>
      </c>
      <c r="I2061" t="s">
        <v>8133</v>
      </c>
      <c r="J2061" t="s">
        <v>8134</v>
      </c>
      <c r="L2061" t="s">
        <v>530</v>
      </c>
      <c r="M2061" t="s">
        <v>3263</v>
      </c>
      <c r="N2061" t="s">
        <v>8135</v>
      </c>
      <c r="O2061" t="s">
        <v>494</v>
      </c>
      <c r="P2061" t="s">
        <v>127</v>
      </c>
      <c r="Q2061" s="3">
        <v>10004</v>
      </c>
      <c r="R2061" t="s">
        <v>128</v>
      </c>
      <c r="T2061" s="4">
        <v>16464458187</v>
      </c>
      <c r="V2061" t="s">
        <v>8136</v>
      </c>
      <c r="W2061" t="s">
        <v>1095</v>
      </c>
      <c r="Y2061" t="s">
        <v>1096</v>
      </c>
      <c r="Z2061" t="s">
        <v>1097</v>
      </c>
      <c r="AA2061" t="s">
        <v>129</v>
      </c>
      <c r="AB2061" t="s">
        <v>129</v>
      </c>
      <c r="AC2061" s="3" t="str">
        <f t="shared" si="120"/>
        <v>10004</v>
      </c>
      <c r="AD2061" t="s">
        <v>128</v>
      </c>
      <c r="AF2061" s="4">
        <v>16464458187</v>
      </c>
      <c r="AG2061">
        <v>0</v>
      </c>
      <c r="AH2061" t="str">
        <f t="shared" si="121"/>
        <v>541511</v>
      </c>
      <c r="AI2061" t="s">
        <v>130</v>
      </c>
      <c r="AJ2061" t="s">
        <v>1098</v>
      </c>
      <c r="AK2061" t="s">
        <v>913</v>
      </c>
      <c r="AM2061" t="s">
        <v>493</v>
      </c>
      <c r="AO2061" t="s">
        <v>494</v>
      </c>
      <c r="AP2061" t="s">
        <v>129</v>
      </c>
      <c r="AQ2061" s="5">
        <v>10018</v>
      </c>
      <c r="AR2061" t="s">
        <v>128</v>
      </c>
      <c r="AT2061" s="4">
        <v>12126888555</v>
      </c>
      <c r="AV2061" t="s">
        <v>8137</v>
      </c>
      <c r="AW2061" t="s">
        <v>386</v>
      </c>
      <c r="AX2061" t="s">
        <v>131</v>
      </c>
      <c r="AY2061" t="s">
        <v>131</v>
      </c>
      <c r="AZ2061" t="s">
        <v>131</v>
      </c>
      <c r="BA2061" t="s">
        <v>131</v>
      </c>
      <c r="BB2061" t="s">
        <v>131</v>
      </c>
      <c r="BC2061" t="s">
        <v>131</v>
      </c>
      <c r="BD2061" t="s">
        <v>131</v>
      </c>
      <c r="BE2061" t="s">
        <v>160</v>
      </c>
      <c r="BF2061" t="s">
        <v>7847</v>
      </c>
      <c r="BG2061" s="1">
        <v>43891</v>
      </c>
      <c r="BH2061" t="s">
        <v>12355</v>
      </c>
      <c r="BI2061" t="s">
        <v>131</v>
      </c>
      <c r="BL2061" t="s">
        <v>133</v>
      </c>
      <c r="BN2061" t="s">
        <v>12356</v>
      </c>
      <c r="BO2061" t="s">
        <v>131</v>
      </c>
      <c r="BP2061" t="s">
        <v>134</v>
      </c>
      <c r="BQ2061" t="s">
        <v>131</v>
      </c>
      <c r="BS2061" t="str">
        <f t="shared" si="119"/>
        <v>N/A</v>
      </c>
      <c r="BT2061" t="s">
        <v>135</v>
      </c>
      <c r="BU2061">
        <v>48</v>
      </c>
      <c r="BV2061" t="str">
        <f>"IT Systems Analyst or related."</f>
        <v>IT Systems Analyst or related.</v>
      </c>
      <c r="BW2061" t="s">
        <v>135</v>
      </c>
      <c r="BX2061" t="str">
        <f>""</f>
        <v/>
      </c>
      <c r="BY2061" t="str">
        <f>""</f>
        <v/>
      </c>
      <c r="BZ2061" t="str">
        <f>""</f>
        <v/>
      </c>
      <c r="CA2061" t="s">
        <v>12357</v>
      </c>
      <c r="CB2061" t="s">
        <v>135</v>
      </c>
      <c r="CC2061" t="s">
        <v>188</v>
      </c>
      <c r="CE2061" t="s">
        <v>12356</v>
      </c>
      <c r="CF2061" t="s">
        <v>131</v>
      </c>
      <c r="CH2061" t="str">
        <f>"N/A"</f>
        <v>N/A</v>
      </c>
      <c r="CI2061" t="s">
        <v>135</v>
      </c>
      <c r="CJ2061">
        <v>24</v>
      </c>
      <c r="CK2061" t="s">
        <v>135</v>
      </c>
      <c r="CL2061" t="str">
        <f>""</f>
        <v/>
      </c>
      <c r="CM2061" t="str">
        <f>""</f>
        <v/>
      </c>
      <c r="CN2061" t="str">
        <f>""</f>
        <v/>
      </c>
      <c r="CO2061" t="s">
        <v>12358</v>
      </c>
      <c r="CP2061" t="str">
        <f t="shared" si="122"/>
        <v>15-1132.00</v>
      </c>
      <c r="CQ2061" t="s">
        <v>198</v>
      </c>
      <c r="CR2061" t="s">
        <v>12359</v>
      </c>
      <c r="CS2061" t="s">
        <v>135</v>
      </c>
      <c r="CT2061" t="s">
        <v>12360</v>
      </c>
      <c r="CU2061" t="s">
        <v>12361</v>
      </c>
      <c r="CV2061" t="s">
        <v>7788</v>
      </c>
      <c r="CW2061" t="s">
        <v>729</v>
      </c>
      <c r="CX2061" t="s">
        <v>172</v>
      </c>
      <c r="CZ2061" s="3" t="str">
        <f>"91107"</f>
        <v>91107</v>
      </c>
      <c r="DA2061" t="s">
        <v>131</v>
      </c>
      <c r="DB2061" t="str">
        <f>""</f>
        <v/>
      </c>
      <c r="DF2061" t="str">
        <f>""</f>
        <v/>
      </c>
    </row>
    <row r="2062" spans="1:110" ht="15" customHeight="1" x14ac:dyDescent="0.35">
      <c r="A2062" t="s">
        <v>17867</v>
      </c>
      <c r="B2062" t="s">
        <v>138</v>
      </c>
      <c r="C2062" s="1">
        <v>44365</v>
      </c>
      <c r="G2062" s="1">
        <v>44367</v>
      </c>
      <c r="H2062" t="s">
        <v>125</v>
      </c>
      <c r="I2062" t="s">
        <v>8133</v>
      </c>
      <c r="J2062" t="s">
        <v>8134</v>
      </c>
      <c r="L2062" t="s">
        <v>530</v>
      </c>
      <c r="M2062" t="s">
        <v>3263</v>
      </c>
      <c r="N2062" t="s">
        <v>8135</v>
      </c>
      <c r="O2062" t="s">
        <v>494</v>
      </c>
      <c r="P2062" t="s">
        <v>127</v>
      </c>
      <c r="Q2062" s="3">
        <v>10004</v>
      </c>
      <c r="R2062" t="s">
        <v>128</v>
      </c>
      <c r="T2062" s="4">
        <v>16464458187</v>
      </c>
      <c r="V2062" t="s">
        <v>8136</v>
      </c>
      <c r="W2062" t="s">
        <v>1095</v>
      </c>
      <c r="Y2062" t="s">
        <v>1096</v>
      </c>
      <c r="Z2062" t="s">
        <v>1097</v>
      </c>
      <c r="AA2062" t="s">
        <v>129</v>
      </c>
      <c r="AB2062" t="s">
        <v>129</v>
      </c>
      <c r="AC2062" s="3" t="str">
        <f t="shared" si="120"/>
        <v>10004</v>
      </c>
      <c r="AD2062" t="s">
        <v>128</v>
      </c>
      <c r="AF2062" s="4">
        <v>16464458187</v>
      </c>
      <c r="AG2062">
        <v>0</v>
      </c>
      <c r="AH2062" t="str">
        <f t="shared" si="121"/>
        <v>541511</v>
      </c>
      <c r="AI2062" t="s">
        <v>130</v>
      </c>
      <c r="AJ2062" t="s">
        <v>1098</v>
      </c>
      <c r="AK2062" t="s">
        <v>913</v>
      </c>
      <c r="AM2062" t="s">
        <v>493</v>
      </c>
      <c r="AO2062" t="s">
        <v>494</v>
      </c>
      <c r="AP2062" t="s">
        <v>129</v>
      </c>
      <c r="AQ2062" s="5">
        <v>10018</v>
      </c>
      <c r="AR2062" t="s">
        <v>128</v>
      </c>
      <c r="AT2062" s="4">
        <v>12126888555</v>
      </c>
      <c r="AV2062" t="s">
        <v>8137</v>
      </c>
      <c r="AW2062" t="s">
        <v>386</v>
      </c>
      <c r="AX2062" t="s">
        <v>131</v>
      </c>
      <c r="AY2062" t="s">
        <v>131</v>
      </c>
      <c r="AZ2062" t="s">
        <v>131</v>
      </c>
      <c r="BA2062" t="s">
        <v>131</v>
      </c>
      <c r="BB2062" t="s">
        <v>131</v>
      </c>
      <c r="BC2062" t="s">
        <v>131</v>
      </c>
      <c r="BD2062" t="s">
        <v>131</v>
      </c>
      <c r="BE2062" t="s">
        <v>132</v>
      </c>
      <c r="BH2062" t="s">
        <v>7848</v>
      </c>
      <c r="BI2062" t="s">
        <v>131</v>
      </c>
      <c r="BL2062" t="s">
        <v>133</v>
      </c>
      <c r="BN2062" t="s">
        <v>7849</v>
      </c>
      <c r="BO2062" t="s">
        <v>131</v>
      </c>
      <c r="BP2062" t="s">
        <v>134</v>
      </c>
      <c r="BQ2062" t="s">
        <v>131</v>
      </c>
      <c r="BS2062" t="str">
        <f t="shared" si="119"/>
        <v>N/A</v>
      </c>
      <c r="BT2062" t="s">
        <v>135</v>
      </c>
      <c r="BU2062">
        <v>72</v>
      </c>
      <c r="BV2062" t="str">
        <f>"Associate Technical Lead or related."</f>
        <v>Associate Technical Lead or related.</v>
      </c>
      <c r="BW2062" t="s">
        <v>135</v>
      </c>
      <c r="BX2062" t="str">
        <f>""</f>
        <v/>
      </c>
      <c r="BY2062" t="str">
        <f>""</f>
        <v/>
      </c>
      <c r="BZ2062" t="str">
        <f>""</f>
        <v/>
      </c>
      <c r="CA2062" t="s">
        <v>7850</v>
      </c>
      <c r="CB2062" t="s">
        <v>135</v>
      </c>
      <c r="CC2062" t="s">
        <v>188</v>
      </c>
      <c r="CE2062" t="s">
        <v>7849</v>
      </c>
      <c r="CF2062" t="s">
        <v>131</v>
      </c>
      <c r="CH2062" t="str">
        <f>"N/A"</f>
        <v>N/A</v>
      </c>
      <c r="CI2062" t="s">
        <v>135</v>
      </c>
      <c r="CJ2062">
        <v>36</v>
      </c>
      <c r="CK2062" t="s">
        <v>135</v>
      </c>
      <c r="CL2062" t="str">
        <f>""</f>
        <v/>
      </c>
      <c r="CM2062" t="str">
        <f>""</f>
        <v/>
      </c>
      <c r="CN2062" t="str">
        <f>""</f>
        <v/>
      </c>
      <c r="CO2062" t="s">
        <v>11223</v>
      </c>
      <c r="CP2062" t="str">
        <f t="shared" si="122"/>
        <v>15-1132.00</v>
      </c>
      <c r="CQ2062" t="s">
        <v>198</v>
      </c>
      <c r="CR2062" t="s">
        <v>290</v>
      </c>
      <c r="CS2062" t="s">
        <v>135</v>
      </c>
      <c r="CT2062" t="s">
        <v>3163</v>
      </c>
      <c r="CU2062" t="s">
        <v>7852</v>
      </c>
      <c r="CV2062" t="s">
        <v>788</v>
      </c>
      <c r="CW2062" t="s">
        <v>2323</v>
      </c>
      <c r="CX2062" t="s">
        <v>594</v>
      </c>
      <c r="CZ2062" s="3" t="str">
        <f>"27703"</f>
        <v>27703</v>
      </c>
      <c r="DA2062" t="s">
        <v>131</v>
      </c>
      <c r="DB2062" t="str">
        <f>""</f>
        <v/>
      </c>
      <c r="DF2062" t="str">
        <f>""</f>
        <v/>
      </c>
    </row>
    <row r="2063" spans="1:110" ht="15" customHeight="1" x14ac:dyDescent="0.35">
      <c r="A2063" t="s">
        <v>15398</v>
      </c>
      <c r="B2063" t="s">
        <v>138</v>
      </c>
      <c r="C2063" s="1">
        <v>44365</v>
      </c>
      <c r="G2063" s="1">
        <v>44367</v>
      </c>
      <c r="H2063" t="s">
        <v>125</v>
      </c>
      <c r="I2063" t="s">
        <v>8133</v>
      </c>
      <c r="J2063" t="s">
        <v>8134</v>
      </c>
      <c r="L2063" t="s">
        <v>530</v>
      </c>
      <c r="M2063" t="s">
        <v>3263</v>
      </c>
      <c r="N2063" t="s">
        <v>8135</v>
      </c>
      <c r="O2063" t="s">
        <v>494</v>
      </c>
      <c r="P2063" t="s">
        <v>127</v>
      </c>
      <c r="Q2063" s="3">
        <v>10004</v>
      </c>
      <c r="R2063" t="s">
        <v>128</v>
      </c>
      <c r="T2063" s="4">
        <v>16464458187</v>
      </c>
      <c r="V2063" t="s">
        <v>8136</v>
      </c>
      <c r="W2063" t="s">
        <v>1095</v>
      </c>
      <c r="Y2063" t="s">
        <v>1096</v>
      </c>
      <c r="Z2063" t="s">
        <v>1097</v>
      </c>
      <c r="AA2063" t="s">
        <v>129</v>
      </c>
      <c r="AB2063" t="s">
        <v>129</v>
      </c>
      <c r="AC2063" s="3" t="str">
        <f t="shared" si="120"/>
        <v>10004</v>
      </c>
      <c r="AD2063" t="s">
        <v>128</v>
      </c>
      <c r="AF2063" s="4">
        <v>16464458187</v>
      </c>
      <c r="AG2063">
        <v>0</v>
      </c>
      <c r="AH2063" t="str">
        <f t="shared" si="121"/>
        <v>541511</v>
      </c>
      <c r="AI2063" t="s">
        <v>130</v>
      </c>
      <c r="AJ2063" t="s">
        <v>1098</v>
      </c>
      <c r="AK2063" t="s">
        <v>913</v>
      </c>
      <c r="AM2063" t="s">
        <v>493</v>
      </c>
      <c r="AO2063" t="s">
        <v>494</v>
      </c>
      <c r="AP2063" t="s">
        <v>129</v>
      </c>
      <c r="AQ2063" s="5">
        <v>10018</v>
      </c>
      <c r="AR2063" t="s">
        <v>128</v>
      </c>
      <c r="AT2063" s="4">
        <v>12126888555</v>
      </c>
      <c r="AV2063" t="s">
        <v>8137</v>
      </c>
      <c r="AW2063" t="s">
        <v>386</v>
      </c>
      <c r="AX2063" t="s">
        <v>131</v>
      </c>
      <c r="AY2063" t="s">
        <v>131</v>
      </c>
      <c r="AZ2063" t="s">
        <v>131</v>
      </c>
      <c r="BA2063" t="s">
        <v>131</v>
      </c>
      <c r="BB2063" t="s">
        <v>131</v>
      </c>
      <c r="BC2063" t="s">
        <v>131</v>
      </c>
      <c r="BD2063" t="s">
        <v>131</v>
      </c>
      <c r="BE2063" t="s">
        <v>160</v>
      </c>
      <c r="BF2063" t="s">
        <v>7847</v>
      </c>
      <c r="BG2063" s="1">
        <v>43891</v>
      </c>
      <c r="BH2063" t="s">
        <v>7848</v>
      </c>
      <c r="BI2063" t="s">
        <v>131</v>
      </c>
      <c r="BL2063" t="s">
        <v>133</v>
      </c>
      <c r="BN2063" t="s">
        <v>7849</v>
      </c>
      <c r="BO2063" t="s">
        <v>131</v>
      </c>
      <c r="BP2063" t="s">
        <v>134</v>
      </c>
      <c r="BQ2063" t="s">
        <v>131</v>
      </c>
      <c r="BS2063" t="str">
        <f t="shared" si="119"/>
        <v>N/A</v>
      </c>
      <c r="BT2063" t="s">
        <v>135</v>
      </c>
      <c r="BU2063">
        <v>72</v>
      </c>
      <c r="BV2063" t="str">
        <f>"Associate Technical Lead or related."</f>
        <v>Associate Technical Lead or related.</v>
      </c>
      <c r="BW2063" t="s">
        <v>135</v>
      </c>
      <c r="BX2063" t="str">
        <f>""</f>
        <v/>
      </c>
      <c r="BY2063" t="str">
        <f>""</f>
        <v/>
      </c>
      <c r="BZ2063" t="str">
        <f>""</f>
        <v/>
      </c>
      <c r="CA2063" t="s">
        <v>7850</v>
      </c>
      <c r="CB2063" t="s">
        <v>135</v>
      </c>
      <c r="CC2063" t="s">
        <v>188</v>
      </c>
      <c r="CE2063" t="s">
        <v>7849</v>
      </c>
      <c r="CF2063" t="s">
        <v>131</v>
      </c>
      <c r="CH2063" t="str">
        <f>"N/A"</f>
        <v>N/A</v>
      </c>
      <c r="CI2063" t="s">
        <v>135</v>
      </c>
      <c r="CJ2063">
        <v>36</v>
      </c>
      <c r="CK2063" t="s">
        <v>135</v>
      </c>
      <c r="CL2063" t="str">
        <f>""</f>
        <v/>
      </c>
      <c r="CM2063" t="str">
        <f>""</f>
        <v/>
      </c>
      <c r="CN2063" t="str">
        <f>""</f>
        <v/>
      </c>
      <c r="CO2063" t="s">
        <v>11223</v>
      </c>
      <c r="CP2063" t="str">
        <f t="shared" si="122"/>
        <v>15-1132.00</v>
      </c>
      <c r="CQ2063" t="s">
        <v>198</v>
      </c>
      <c r="CR2063" t="s">
        <v>290</v>
      </c>
      <c r="CS2063" t="s">
        <v>135</v>
      </c>
      <c r="CT2063" t="s">
        <v>7851</v>
      </c>
      <c r="CU2063" t="s">
        <v>7852</v>
      </c>
      <c r="CV2063" t="s">
        <v>788</v>
      </c>
      <c r="CW2063" t="s">
        <v>2323</v>
      </c>
      <c r="CX2063" t="s">
        <v>594</v>
      </c>
      <c r="CZ2063" s="3" t="str">
        <f>"27703"</f>
        <v>27703</v>
      </c>
      <c r="DA2063" t="s">
        <v>131</v>
      </c>
      <c r="DB2063" t="str">
        <f>""</f>
        <v/>
      </c>
      <c r="DF2063" t="str">
        <f>""</f>
        <v/>
      </c>
    </row>
    <row r="2064" spans="1:110" ht="15" customHeight="1" x14ac:dyDescent="0.35">
      <c r="A2064" t="s">
        <v>15715</v>
      </c>
      <c r="B2064" t="s">
        <v>138</v>
      </c>
      <c r="C2064" s="1">
        <v>44365</v>
      </c>
      <c r="G2064" s="1">
        <v>44368</v>
      </c>
      <c r="H2064" t="s">
        <v>125</v>
      </c>
      <c r="I2064" t="s">
        <v>8133</v>
      </c>
      <c r="J2064" t="s">
        <v>8134</v>
      </c>
      <c r="L2064" t="s">
        <v>530</v>
      </c>
      <c r="M2064" t="s">
        <v>3263</v>
      </c>
      <c r="N2064" t="s">
        <v>8135</v>
      </c>
      <c r="O2064" t="s">
        <v>494</v>
      </c>
      <c r="P2064" t="s">
        <v>127</v>
      </c>
      <c r="Q2064" s="3">
        <v>10004</v>
      </c>
      <c r="R2064" t="s">
        <v>128</v>
      </c>
      <c r="T2064" s="4">
        <v>16464458187</v>
      </c>
      <c r="V2064" t="s">
        <v>8136</v>
      </c>
      <c r="W2064" t="s">
        <v>1095</v>
      </c>
      <c r="Y2064" t="s">
        <v>1096</v>
      </c>
      <c r="Z2064" t="s">
        <v>1097</v>
      </c>
      <c r="AA2064" t="s">
        <v>129</v>
      </c>
      <c r="AB2064" t="s">
        <v>129</v>
      </c>
      <c r="AC2064" s="3" t="str">
        <f t="shared" si="120"/>
        <v>10004</v>
      </c>
      <c r="AD2064" t="s">
        <v>128</v>
      </c>
      <c r="AF2064" s="4">
        <v>16464458187</v>
      </c>
      <c r="AG2064">
        <v>0</v>
      </c>
      <c r="AH2064" t="str">
        <f t="shared" si="121"/>
        <v>541511</v>
      </c>
      <c r="AI2064" t="s">
        <v>130</v>
      </c>
      <c r="AJ2064" t="s">
        <v>1098</v>
      </c>
      <c r="AK2064" t="s">
        <v>913</v>
      </c>
      <c r="AM2064" t="s">
        <v>493</v>
      </c>
      <c r="AO2064" t="s">
        <v>494</v>
      </c>
      <c r="AP2064" t="s">
        <v>129</v>
      </c>
      <c r="AQ2064" s="5">
        <v>10018</v>
      </c>
      <c r="AR2064" t="s">
        <v>128</v>
      </c>
      <c r="AT2064" s="4">
        <v>12126888555</v>
      </c>
      <c r="AV2064" t="s">
        <v>8137</v>
      </c>
      <c r="AW2064" t="s">
        <v>386</v>
      </c>
      <c r="AX2064" t="s">
        <v>131</v>
      </c>
      <c r="AY2064" t="s">
        <v>131</v>
      </c>
      <c r="AZ2064" t="s">
        <v>131</v>
      </c>
      <c r="BA2064" t="s">
        <v>131</v>
      </c>
      <c r="BB2064" t="s">
        <v>131</v>
      </c>
      <c r="BC2064" t="s">
        <v>131</v>
      </c>
      <c r="BD2064" t="s">
        <v>131</v>
      </c>
      <c r="BE2064" t="s">
        <v>132</v>
      </c>
      <c r="BH2064" t="s">
        <v>1501</v>
      </c>
      <c r="BI2064" t="s">
        <v>131</v>
      </c>
      <c r="BL2064" t="s">
        <v>133</v>
      </c>
      <c r="BN2064" t="s">
        <v>14864</v>
      </c>
      <c r="BO2064" t="s">
        <v>131</v>
      </c>
      <c r="BP2064" t="s">
        <v>134</v>
      </c>
      <c r="BQ2064" t="s">
        <v>131</v>
      </c>
      <c r="BS2064" t="str">
        <f t="shared" si="119"/>
        <v>N/A</v>
      </c>
      <c r="BT2064" t="s">
        <v>135</v>
      </c>
      <c r="BU2064">
        <v>84</v>
      </c>
      <c r="BV2064" t="str">
        <f>"Principal Consultant End to End Solutions or related."</f>
        <v>Principal Consultant End to End Solutions or related.</v>
      </c>
      <c r="BW2064" t="s">
        <v>135</v>
      </c>
      <c r="BX2064" t="str">
        <f>""</f>
        <v/>
      </c>
      <c r="BY2064" t="str">
        <f>""</f>
        <v/>
      </c>
      <c r="BZ2064" t="str">
        <f>""</f>
        <v/>
      </c>
      <c r="CA2064" t="s">
        <v>14865</v>
      </c>
      <c r="CB2064" t="s">
        <v>131</v>
      </c>
      <c r="CF2064" t="s">
        <v>131</v>
      </c>
      <c r="CH2064" t="str">
        <f>""</f>
        <v/>
      </c>
      <c r="CI2064" t="s">
        <v>131</v>
      </c>
      <c r="CK2064" t="s">
        <v>131</v>
      </c>
      <c r="CL2064" t="str">
        <f>""</f>
        <v/>
      </c>
      <c r="CM2064" t="str">
        <f>""</f>
        <v/>
      </c>
      <c r="CN2064" t="str">
        <f>""</f>
        <v/>
      </c>
      <c r="CO2064" t="str">
        <f>""</f>
        <v/>
      </c>
      <c r="CP2064" t="str">
        <f t="shared" si="122"/>
        <v>15-1132.00</v>
      </c>
      <c r="CQ2064" t="s">
        <v>198</v>
      </c>
      <c r="CR2064" t="s">
        <v>5010</v>
      </c>
      <c r="CS2064" t="s">
        <v>131</v>
      </c>
      <c r="CU2064" t="s">
        <v>14866</v>
      </c>
      <c r="CV2064" t="s">
        <v>14867</v>
      </c>
      <c r="CW2064" t="s">
        <v>687</v>
      </c>
      <c r="CX2064" t="s">
        <v>444</v>
      </c>
      <c r="CZ2064" s="3" t="str">
        <f>"45249"</f>
        <v>45249</v>
      </c>
      <c r="DA2064" t="s">
        <v>131</v>
      </c>
      <c r="DB2064" t="str">
        <f>""</f>
        <v/>
      </c>
      <c r="DF2064" t="str">
        <f>""</f>
        <v/>
      </c>
    </row>
    <row r="2065" spans="1:110" ht="15" customHeight="1" x14ac:dyDescent="0.35">
      <c r="A2065" t="s">
        <v>14863</v>
      </c>
      <c r="B2065" t="s">
        <v>138</v>
      </c>
      <c r="C2065" s="1">
        <v>44365</v>
      </c>
      <c r="G2065" s="1">
        <v>44368</v>
      </c>
      <c r="H2065" t="s">
        <v>125</v>
      </c>
      <c r="I2065" t="s">
        <v>8133</v>
      </c>
      <c r="J2065" t="s">
        <v>8134</v>
      </c>
      <c r="L2065" t="s">
        <v>530</v>
      </c>
      <c r="M2065" t="s">
        <v>3263</v>
      </c>
      <c r="N2065" t="s">
        <v>8135</v>
      </c>
      <c r="O2065" t="s">
        <v>494</v>
      </c>
      <c r="P2065" t="s">
        <v>127</v>
      </c>
      <c r="Q2065" s="3">
        <v>10004</v>
      </c>
      <c r="R2065" t="s">
        <v>128</v>
      </c>
      <c r="T2065" s="4">
        <v>16464458187</v>
      </c>
      <c r="V2065" t="s">
        <v>8136</v>
      </c>
      <c r="W2065" t="s">
        <v>1095</v>
      </c>
      <c r="Y2065" t="s">
        <v>1096</v>
      </c>
      <c r="Z2065" t="s">
        <v>1097</v>
      </c>
      <c r="AA2065" t="s">
        <v>129</v>
      </c>
      <c r="AB2065" t="s">
        <v>129</v>
      </c>
      <c r="AC2065" s="3" t="str">
        <f t="shared" si="120"/>
        <v>10004</v>
      </c>
      <c r="AD2065" t="s">
        <v>128</v>
      </c>
      <c r="AF2065" s="4">
        <v>16464458187</v>
      </c>
      <c r="AG2065">
        <v>0</v>
      </c>
      <c r="AH2065" t="str">
        <f t="shared" si="121"/>
        <v>541511</v>
      </c>
      <c r="AI2065" t="s">
        <v>130</v>
      </c>
      <c r="AJ2065" t="s">
        <v>1098</v>
      </c>
      <c r="AK2065" t="s">
        <v>913</v>
      </c>
      <c r="AM2065" t="s">
        <v>493</v>
      </c>
      <c r="AO2065" t="s">
        <v>494</v>
      </c>
      <c r="AP2065" t="s">
        <v>129</v>
      </c>
      <c r="AQ2065" s="5">
        <v>10018</v>
      </c>
      <c r="AR2065" t="s">
        <v>128</v>
      </c>
      <c r="AT2065" s="4">
        <v>12126888555</v>
      </c>
      <c r="AV2065" t="s">
        <v>8137</v>
      </c>
      <c r="AW2065" t="s">
        <v>386</v>
      </c>
      <c r="AX2065" t="s">
        <v>131</v>
      </c>
      <c r="AY2065" t="s">
        <v>131</v>
      </c>
      <c r="AZ2065" t="s">
        <v>131</v>
      </c>
      <c r="BA2065" t="s">
        <v>131</v>
      </c>
      <c r="BB2065" t="s">
        <v>131</v>
      </c>
      <c r="BC2065" t="s">
        <v>131</v>
      </c>
      <c r="BD2065" t="s">
        <v>131</v>
      </c>
      <c r="BE2065" t="s">
        <v>160</v>
      </c>
      <c r="BF2065" t="s">
        <v>7847</v>
      </c>
      <c r="BG2065" s="1">
        <v>43891</v>
      </c>
      <c r="BH2065" t="s">
        <v>1501</v>
      </c>
      <c r="BI2065" t="s">
        <v>131</v>
      </c>
      <c r="BL2065" t="s">
        <v>133</v>
      </c>
      <c r="BN2065" t="s">
        <v>14864</v>
      </c>
      <c r="BO2065" t="s">
        <v>131</v>
      </c>
      <c r="BP2065" t="s">
        <v>134</v>
      </c>
      <c r="BQ2065" t="s">
        <v>131</v>
      </c>
      <c r="BS2065" t="str">
        <f t="shared" si="119"/>
        <v>N/A</v>
      </c>
      <c r="BT2065" t="s">
        <v>135</v>
      </c>
      <c r="BU2065">
        <v>84</v>
      </c>
      <c r="BV2065" t="str">
        <f>"Principal Consultant End to End Solutions or related."</f>
        <v>Principal Consultant End to End Solutions or related.</v>
      </c>
      <c r="BW2065" t="s">
        <v>135</v>
      </c>
      <c r="BX2065" t="str">
        <f>""</f>
        <v/>
      </c>
      <c r="BY2065" t="str">
        <f>""</f>
        <v/>
      </c>
      <c r="BZ2065" t="str">
        <f>""</f>
        <v/>
      </c>
      <c r="CA2065" t="s">
        <v>14865</v>
      </c>
      <c r="CB2065" t="s">
        <v>131</v>
      </c>
      <c r="CF2065" t="s">
        <v>131</v>
      </c>
      <c r="CH2065" t="str">
        <f>""</f>
        <v/>
      </c>
      <c r="CI2065" t="s">
        <v>131</v>
      </c>
      <c r="CK2065" t="s">
        <v>131</v>
      </c>
      <c r="CL2065" t="str">
        <f>""</f>
        <v/>
      </c>
      <c r="CM2065" t="str">
        <f>""</f>
        <v/>
      </c>
      <c r="CN2065" t="str">
        <f>""</f>
        <v/>
      </c>
      <c r="CO2065" t="str">
        <f>""</f>
        <v/>
      </c>
      <c r="CP2065" t="str">
        <f t="shared" si="122"/>
        <v>15-1132.00</v>
      </c>
      <c r="CQ2065" t="s">
        <v>198</v>
      </c>
      <c r="CR2065" t="s">
        <v>5010</v>
      </c>
      <c r="CS2065" t="s">
        <v>131</v>
      </c>
      <c r="CU2065" t="s">
        <v>14866</v>
      </c>
      <c r="CV2065" t="s">
        <v>14867</v>
      </c>
      <c r="CW2065" t="s">
        <v>687</v>
      </c>
      <c r="CX2065" t="s">
        <v>444</v>
      </c>
      <c r="CZ2065" s="3" t="str">
        <f>"45249"</f>
        <v>45249</v>
      </c>
      <c r="DA2065" t="s">
        <v>131</v>
      </c>
      <c r="DB2065" t="str">
        <f>""</f>
        <v/>
      </c>
      <c r="DF2065" t="str">
        <f>""</f>
        <v/>
      </c>
    </row>
    <row r="2066" spans="1:110" ht="15" customHeight="1" x14ac:dyDescent="0.35">
      <c r="A2066" t="s">
        <v>17227</v>
      </c>
      <c r="B2066" t="s">
        <v>138</v>
      </c>
      <c r="C2066" s="1">
        <v>44365</v>
      </c>
      <c r="G2066" s="1">
        <v>44365</v>
      </c>
      <c r="H2066" t="s">
        <v>125</v>
      </c>
      <c r="I2066" t="s">
        <v>3812</v>
      </c>
      <c r="J2066" t="s">
        <v>560</v>
      </c>
      <c r="L2066" t="s">
        <v>6842</v>
      </c>
      <c r="M2066" t="s">
        <v>6848</v>
      </c>
      <c r="O2066" t="s">
        <v>885</v>
      </c>
      <c r="P2066" t="s">
        <v>412</v>
      </c>
      <c r="Q2066" s="3" t="s">
        <v>6844</v>
      </c>
      <c r="R2066" t="s">
        <v>128</v>
      </c>
      <c r="T2066" s="4">
        <v>12813482871</v>
      </c>
      <c r="V2066" t="s">
        <v>6845</v>
      </c>
      <c r="W2066" t="s">
        <v>6846</v>
      </c>
      <c r="X2066" t="s">
        <v>6847</v>
      </c>
      <c r="Y2066" t="s">
        <v>6848</v>
      </c>
      <c r="AA2066" t="s">
        <v>6843</v>
      </c>
      <c r="AB2066" t="s">
        <v>400</v>
      </c>
      <c r="AC2066" s="3" t="str">
        <f>"77339-3802"</f>
        <v>77339-3802</v>
      </c>
      <c r="AD2066" t="s">
        <v>128</v>
      </c>
      <c r="AF2066" s="4">
        <v>12813482871</v>
      </c>
      <c r="AH2066" t="str">
        <f>"561330"</f>
        <v>561330</v>
      </c>
      <c r="AI2066" t="s">
        <v>130</v>
      </c>
      <c r="AJ2066" t="s">
        <v>6849</v>
      </c>
      <c r="AK2066" t="s">
        <v>3722</v>
      </c>
      <c r="AM2066" t="s">
        <v>883</v>
      </c>
      <c r="AN2066" t="s">
        <v>884</v>
      </c>
      <c r="AO2066" t="s">
        <v>885</v>
      </c>
      <c r="AP2066" t="s">
        <v>400</v>
      </c>
      <c r="AQ2066" s="5">
        <v>77046</v>
      </c>
      <c r="AR2066" t="s">
        <v>128</v>
      </c>
      <c r="AT2066" s="4">
        <v>17133353989</v>
      </c>
      <c r="AV2066" t="s">
        <v>6850</v>
      </c>
      <c r="AW2066" t="s">
        <v>5575</v>
      </c>
      <c r="AX2066" t="s">
        <v>131</v>
      </c>
      <c r="AY2066" t="s">
        <v>131</v>
      </c>
      <c r="AZ2066" t="s">
        <v>131</v>
      </c>
      <c r="BA2066" t="s">
        <v>131</v>
      </c>
      <c r="BB2066" t="s">
        <v>131</v>
      </c>
      <c r="BC2066" t="s">
        <v>131</v>
      </c>
      <c r="BD2066" t="s">
        <v>131</v>
      </c>
      <c r="BE2066" t="s">
        <v>132</v>
      </c>
      <c r="BH2066" t="s">
        <v>15888</v>
      </c>
      <c r="BI2066" t="s">
        <v>131</v>
      </c>
      <c r="BL2066" t="s">
        <v>133</v>
      </c>
      <c r="BN2066" t="s">
        <v>3744</v>
      </c>
      <c r="BO2066" t="s">
        <v>131</v>
      </c>
      <c r="BP2066" t="s">
        <v>134</v>
      </c>
      <c r="BQ2066" t="s">
        <v>131</v>
      </c>
      <c r="BS2066" t="str">
        <f t="shared" si="119"/>
        <v>N/A</v>
      </c>
      <c r="BT2066" t="s">
        <v>135</v>
      </c>
      <c r="BU2066">
        <v>84</v>
      </c>
      <c r="BV2066" t="str">
        <f>"See F.a.2."</f>
        <v>See F.a.2.</v>
      </c>
      <c r="BW2066" t="s">
        <v>131</v>
      </c>
      <c r="BX2066" t="str">
        <f>""</f>
        <v/>
      </c>
      <c r="BY2066" t="str">
        <f>""</f>
        <v/>
      </c>
      <c r="BZ2066" t="str">
        <f>""</f>
        <v/>
      </c>
      <c r="CA2066" t="str">
        <f>""</f>
        <v/>
      </c>
      <c r="CB2066" t="s">
        <v>131</v>
      </c>
      <c r="CF2066" t="s">
        <v>131</v>
      </c>
      <c r="CH2066" t="str">
        <f>""</f>
        <v/>
      </c>
      <c r="CI2066" t="s">
        <v>131</v>
      </c>
      <c r="CK2066" t="s">
        <v>131</v>
      </c>
      <c r="CL2066" t="str">
        <f>""</f>
        <v/>
      </c>
      <c r="CM2066" t="str">
        <f>""</f>
        <v/>
      </c>
      <c r="CN2066" t="str">
        <f>""</f>
        <v/>
      </c>
      <c r="CO2066" t="str">
        <f>""</f>
        <v/>
      </c>
      <c r="CP2066" t="str">
        <f t="shared" si="122"/>
        <v>15-1132.00</v>
      </c>
      <c r="CQ2066" t="s">
        <v>198</v>
      </c>
      <c r="CR2066" t="s">
        <v>15114</v>
      </c>
      <c r="CS2066" t="s">
        <v>131</v>
      </c>
      <c r="CU2066" t="s">
        <v>6848</v>
      </c>
      <c r="CW2066" t="s">
        <v>6843</v>
      </c>
      <c r="CX2066" t="s">
        <v>400</v>
      </c>
      <c r="CZ2066" s="3" t="str">
        <f>"77339-3802"</f>
        <v>77339-3802</v>
      </c>
      <c r="DA2066" t="s">
        <v>131</v>
      </c>
      <c r="DB2066" t="str">
        <f>""</f>
        <v/>
      </c>
      <c r="DF2066" t="str">
        <f>""</f>
        <v/>
      </c>
    </row>
    <row r="2067" spans="1:110" ht="15" customHeight="1" x14ac:dyDescent="0.35">
      <c r="A2067" t="s">
        <v>10323</v>
      </c>
      <c r="B2067" t="s">
        <v>138</v>
      </c>
      <c r="C2067" s="1">
        <v>44365</v>
      </c>
      <c r="G2067" s="1">
        <v>44365</v>
      </c>
      <c r="H2067" t="s">
        <v>125</v>
      </c>
      <c r="I2067" t="s">
        <v>7124</v>
      </c>
      <c r="J2067" t="s">
        <v>7125</v>
      </c>
      <c r="L2067" t="s">
        <v>395</v>
      </c>
      <c r="M2067" t="s">
        <v>7126</v>
      </c>
      <c r="N2067" t="s">
        <v>7127</v>
      </c>
      <c r="O2067" t="s">
        <v>1101</v>
      </c>
      <c r="P2067" t="s">
        <v>194</v>
      </c>
      <c r="Q2067" s="3">
        <v>32256</v>
      </c>
      <c r="R2067" t="s">
        <v>128</v>
      </c>
      <c r="T2067" s="4">
        <v>13022207349</v>
      </c>
      <c r="V2067" t="s">
        <v>7128</v>
      </c>
      <c r="W2067" t="s">
        <v>7129</v>
      </c>
      <c r="Y2067" t="s">
        <v>7126</v>
      </c>
      <c r="Z2067" t="s">
        <v>7127</v>
      </c>
      <c r="AA2067" t="s">
        <v>1101</v>
      </c>
      <c r="AB2067" t="s">
        <v>195</v>
      </c>
      <c r="AC2067" s="3" t="str">
        <f>"32256"</f>
        <v>32256</v>
      </c>
      <c r="AD2067" t="s">
        <v>128</v>
      </c>
      <c r="AF2067" s="4">
        <v>13022207349</v>
      </c>
      <c r="AH2067" t="str">
        <f>"54151"</f>
        <v>54151</v>
      </c>
      <c r="AI2067" t="s">
        <v>130</v>
      </c>
      <c r="AJ2067" t="s">
        <v>4506</v>
      </c>
      <c r="AK2067" t="s">
        <v>1060</v>
      </c>
      <c r="AL2067" t="s">
        <v>4173</v>
      </c>
      <c r="AM2067" t="s">
        <v>2002</v>
      </c>
      <c r="AN2067" t="s">
        <v>2003</v>
      </c>
      <c r="AO2067" t="s">
        <v>687</v>
      </c>
      <c r="AP2067" t="s">
        <v>444</v>
      </c>
      <c r="AQ2067" s="5">
        <v>45202</v>
      </c>
      <c r="AR2067" t="s">
        <v>128</v>
      </c>
      <c r="AT2067" s="4">
        <v>15133818472</v>
      </c>
      <c r="AU2067">
        <v>93</v>
      </c>
      <c r="AV2067" t="s">
        <v>5623</v>
      </c>
      <c r="AW2067" t="s">
        <v>5624</v>
      </c>
      <c r="AX2067" t="s">
        <v>131</v>
      </c>
      <c r="AY2067" t="s">
        <v>131</v>
      </c>
      <c r="AZ2067" t="s">
        <v>131</v>
      </c>
      <c r="BA2067" t="s">
        <v>131</v>
      </c>
      <c r="BB2067" t="s">
        <v>131</v>
      </c>
      <c r="BC2067" t="s">
        <v>131</v>
      </c>
      <c r="BD2067" t="s">
        <v>131</v>
      </c>
      <c r="BE2067" t="s">
        <v>132</v>
      </c>
      <c r="BH2067" t="s">
        <v>1133</v>
      </c>
      <c r="BI2067" t="s">
        <v>131</v>
      </c>
      <c r="BL2067" t="s">
        <v>188</v>
      </c>
      <c r="BN2067" t="s">
        <v>10324</v>
      </c>
      <c r="BO2067" t="s">
        <v>131</v>
      </c>
      <c r="BP2067" t="s">
        <v>134</v>
      </c>
      <c r="BQ2067" t="s">
        <v>131</v>
      </c>
      <c r="BS2067" t="str">
        <f t="shared" si="119"/>
        <v>N/A</v>
      </c>
      <c r="BT2067" t="s">
        <v>131</v>
      </c>
      <c r="BV2067" t="str">
        <f>""</f>
        <v/>
      </c>
      <c r="BW2067" t="s">
        <v>135</v>
      </c>
      <c r="BX2067" t="str">
        <f>""</f>
        <v/>
      </c>
      <c r="BY2067" t="str">
        <f>""</f>
        <v/>
      </c>
      <c r="BZ2067" t="str">
        <f>""</f>
        <v/>
      </c>
      <c r="CA2067" t="str">
        <f>"Must have college coursework in Network Operating System Design, Advance Database Design/Implementation, Advance TCP/IP Network Architecture, Algorithm Software Engineering Web App, Database Admin, and Cloud Computing Arch."</f>
        <v>Must have college coursework in Network Operating System Design, Advance Database Design/Implementation, Advance TCP/IP Network Architecture, Algorithm Software Engineering Web App, Database Admin, and Cloud Computing Arch.</v>
      </c>
      <c r="CB2067" t="s">
        <v>131</v>
      </c>
      <c r="CF2067" t="s">
        <v>131</v>
      </c>
      <c r="CH2067" t="str">
        <f>""</f>
        <v/>
      </c>
      <c r="CI2067" t="s">
        <v>131</v>
      </c>
      <c r="CK2067" t="s">
        <v>131</v>
      </c>
      <c r="CL2067" t="str">
        <f>""</f>
        <v/>
      </c>
      <c r="CM2067" t="str">
        <f>""</f>
        <v/>
      </c>
      <c r="CN2067" t="str">
        <f>""</f>
        <v/>
      </c>
      <c r="CO2067" t="str">
        <f>""</f>
        <v/>
      </c>
      <c r="CP2067" t="str">
        <f t="shared" si="122"/>
        <v>15-1132.00</v>
      </c>
      <c r="CQ2067" t="s">
        <v>198</v>
      </c>
      <c r="CS2067" t="s">
        <v>131</v>
      </c>
      <c r="CU2067" t="s">
        <v>7126</v>
      </c>
      <c r="CV2067" t="s">
        <v>7127</v>
      </c>
      <c r="CW2067" t="s">
        <v>1101</v>
      </c>
      <c r="CX2067" t="s">
        <v>195</v>
      </c>
      <c r="CZ2067" s="3" t="str">
        <f>"32256"</f>
        <v>32256</v>
      </c>
      <c r="DA2067" t="s">
        <v>131</v>
      </c>
      <c r="DB2067" t="str">
        <f>""</f>
        <v/>
      </c>
      <c r="DF2067" t="str">
        <f>""</f>
        <v/>
      </c>
    </row>
    <row r="2068" spans="1:110" ht="15" customHeight="1" x14ac:dyDescent="0.35">
      <c r="A2068" t="s">
        <v>14112</v>
      </c>
      <c r="B2068" t="s">
        <v>138</v>
      </c>
      <c r="C2068" s="1">
        <v>44365</v>
      </c>
      <c r="G2068" s="1">
        <v>44368</v>
      </c>
      <c r="H2068" t="s">
        <v>125</v>
      </c>
      <c r="I2068" t="s">
        <v>5920</v>
      </c>
      <c r="J2068" t="s">
        <v>5921</v>
      </c>
      <c r="L2068" t="s">
        <v>4687</v>
      </c>
      <c r="M2068" t="s">
        <v>517</v>
      </c>
      <c r="N2068" t="s">
        <v>14113</v>
      </c>
      <c r="O2068" t="s">
        <v>129</v>
      </c>
      <c r="P2068" t="s">
        <v>127</v>
      </c>
      <c r="Q2068" s="3">
        <v>10018</v>
      </c>
      <c r="R2068" t="s">
        <v>128</v>
      </c>
      <c r="T2068" s="4">
        <v>16468616942</v>
      </c>
      <c r="V2068" t="s">
        <v>7295</v>
      </c>
      <c r="W2068" t="s">
        <v>7296</v>
      </c>
      <c r="Y2068" t="s">
        <v>7296</v>
      </c>
      <c r="Z2068" t="s">
        <v>14114</v>
      </c>
      <c r="AA2068" t="s">
        <v>129</v>
      </c>
      <c r="AB2068" t="s">
        <v>129</v>
      </c>
      <c r="AC2068" s="3" t="str">
        <f>"10017"</f>
        <v>10017</v>
      </c>
      <c r="AD2068" t="s">
        <v>128</v>
      </c>
      <c r="AF2068" s="4">
        <v>12124151439</v>
      </c>
      <c r="AH2068" t="str">
        <f>"54161"</f>
        <v>54161</v>
      </c>
      <c r="AI2068" t="s">
        <v>130</v>
      </c>
      <c r="AJ2068" t="s">
        <v>7291</v>
      </c>
      <c r="AK2068" t="s">
        <v>7292</v>
      </c>
      <c r="AM2068" t="s">
        <v>517</v>
      </c>
      <c r="AN2068" t="s">
        <v>14113</v>
      </c>
      <c r="AO2068" t="s">
        <v>129</v>
      </c>
      <c r="AP2068" t="s">
        <v>129</v>
      </c>
      <c r="AQ2068" s="5">
        <v>10018</v>
      </c>
      <c r="AR2068" t="s">
        <v>128</v>
      </c>
      <c r="AT2068" s="4">
        <v>16468616942</v>
      </c>
      <c r="AV2068" t="s">
        <v>7295</v>
      </c>
      <c r="AW2068" t="s">
        <v>517</v>
      </c>
      <c r="AX2068" t="s">
        <v>131</v>
      </c>
      <c r="AY2068" t="s">
        <v>131</v>
      </c>
      <c r="AZ2068" t="s">
        <v>131</v>
      </c>
      <c r="BA2068" t="s">
        <v>131</v>
      </c>
      <c r="BB2068" t="s">
        <v>131</v>
      </c>
      <c r="BC2068" t="s">
        <v>131</v>
      </c>
      <c r="BD2068" t="s">
        <v>131</v>
      </c>
      <c r="BE2068" t="s">
        <v>132</v>
      </c>
      <c r="BH2068" t="s">
        <v>2535</v>
      </c>
      <c r="BI2068" t="s">
        <v>131</v>
      </c>
      <c r="BL2068" t="s">
        <v>188</v>
      </c>
      <c r="BN2068" t="s">
        <v>14115</v>
      </c>
      <c r="BO2068" t="s">
        <v>131</v>
      </c>
      <c r="BP2068" t="s">
        <v>134</v>
      </c>
      <c r="BQ2068" t="s">
        <v>131</v>
      </c>
      <c r="BS2068" t="str">
        <f t="shared" si="119"/>
        <v>N/A</v>
      </c>
      <c r="BT2068" t="s">
        <v>135</v>
      </c>
      <c r="BU2068">
        <v>24</v>
      </c>
      <c r="BV2068" t="str">
        <f>"Any meeting the requirements of F.b.5.a"</f>
        <v>Any meeting the requirements of F.b.5.a</v>
      </c>
      <c r="BW2068" t="s">
        <v>135</v>
      </c>
      <c r="BX2068" t="str">
        <f>""</f>
        <v/>
      </c>
      <c r="BY2068" t="str">
        <f>""</f>
        <v/>
      </c>
      <c r="BZ2068" t="str">
        <f>""</f>
        <v/>
      </c>
      <c r="CA2068" t="s">
        <v>14116</v>
      </c>
      <c r="CB2068" t="s">
        <v>131</v>
      </c>
      <c r="CF2068" t="s">
        <v>131</v>
      </c>
      <c r="CH2068" t="str">
        <f>""</f>
        <v/>
      </c>
      <c r="CI2068" t="s">
        <v>131</v>
      </c>
      <c r="CK2068" t="s">
        <v>131</v>
      </c>
      <c r="CL2068" t="str">
        <f>""</f>
        <v/>
      </c>
      <c r="CM2068" t="str">
        <f>""</f>
        <v/>
      </c>
      <c r="CN2068" t="str">
        <f>""</f>
        <v/>
      </c>
      <c r="CO2068" t="str">
        <f>""</f>
        <v/>
      </c>
      <c r="CP2068" t="str">
        <f>"15-2041.00"</f>
        <v>15-2041.00</v>
      </c>
      <c r="CQ2068" t="s">
        <v>379</v>
      </c>
      <c r="CR2068" t="s">
        <v>10135</v>
      </c>
      <c r="CS2068" t="s">
        <v>131</v>
      </c>
      <c r="CU2068" t="s">
        <v>5919</v>
      </c>
      <c r="CV2068" t="s">
        <v>5925</v>
      </c>
      <c r="CW2068" t="s">
        <v>2826</v>
      </c>
      <c r="CX2068" t="s">
        <v>263</v>
      </c>
      <c r="CZ2068" s="3" t="str">
        <f>"60601"</f>
        <v>60601</v>
      </c>
      <c r="DA2068" t="s">
        <v>131</v>
      </c>
      <c r="DB2068" t="str">
        <f>""</f>
        <v/>
      </c>
      <c r="DF2068" t="str">
        <f>""</f>
        <v/>
      </c>
    </row>
    <row r="2069" spans="1:110" ht="15" customHeight="1" x14ac:dyDescent="0.35">
      <c r="A2069" t="s">
        <v>18655</v>
      </c>
      <c r="B2069" t="s">
        <v>138</v>
      </c>
      <c r="C2069" s="1">
        <v>44365</v>
      </c>
      <c r="G2069" s="1">
        <v>44365</v>
      </c>
      <c r="H2069" t="s">
        <v>125</v>
      </c>
      <c r="I2069" t="s">
        <v>8006</v>
      </c>
      <c r="J2069" t="s">
        <v>804</v>
      </c>
      <c r="K2069" t="s">
        <v>610</v>
      </c>
      <c r="L2069" t="s">
        <v>2375</v>
      </c>
      <c r="M2069" t="s">
        <v>9792</v>
      </c>
      <c r="N2069">
        <v>109</v>
      </c>
      <c r="O2069" t="s">
        <v>6965</v>
      </c>
      <c r="P2069" t="s">
        <v>1217</v>
      </c>
      <c r="Q2069" s="3">
        <v>35209</v>
      </c>
      <c r="R2069" t="s">
        <v>128</v>
      </c>
      <c r="T2069" s="4">
        <v>12058718084</v>
      </c>
      <c r="V2069" t="s">
        <v>8007</v>
      </c>
      <c r="W2069" t="s">
        <v>18656</v>
      </c>
      <c r="X2069" t="s">
        <v>18657</v>
      </c>
      <c r="Y2069" t="s">
        <v>18121</v>
      </c>
      <c r="AA2069" t="s">
        <v>1040</v>
      </c>
      <c r="AB2069" t="s">
        <v>400</v>
      </c>
      <c r="AC2069" s="3" t="str">
        <f>"78704"</f>
        <v>78704</v>
      </c>
      <c r="AD2069" t="s">
        <v>128</v>
      </c>
      <c r="AF2069" s="4">
        <v>15127304813</v>
      </c>
      <c r="AH2069" t="str">
        <f>"62231"</f>
        <v>62231</v>
      </c>
      <c r="AI2069" t="s">
        <v>130</v>
      </c>
      <c r="AJ2069" t="s">
        <v>8008</v>
      </c>
      <c r="AK2069" t="s">
        <v>560</v>
      </c>
      <c r="AL2069" t="s">
        <v>827</v>
      </c>
      <c r="AM2069" t="s">
        <v>9792</v>
      </c>
      <c r="AN2069">
        <v>109</v>
      </c>
      <c r="AO2069" t="s">
        <v>6965</v>
      </c>
      <c r="AP2069" t="s">
        <v>1218</v>
      </c>
      <c r="AQ2069" s="5">
        <v>35209</v>
      </c>
      <c r="AR2069" t="s">
        <v>128</v>
      </c>
      <c r="AT2069" s="4">
        <v>12058718084</v>
      </c>
      <c r="AV2069" t="s">
        <v>8009</v>
      </c>
      <c r="AW2069" t="s">
        <v>13610</v>
      </c>
      <c r="AX2069" t="s">
        <v>131</v>
      </c>
      <c r="AY2069" t="s">
        <v>131</v>
      </c>
      <c r="AZ2069" t="s">
        <v>131</v>
      </c>
      <c r="BA2069" t="s">
        <v>131</v>
      </c>
      <c r="BB2069" t="s">
        <v>131</v>
      </c>
      <c r="BC2069" t="s">
        <v>131</v>
      </c>
      <c r="BD2069" t="s">
        <v>131</v>
      </c>
      <c r="BE2069" t="s">
        <v>132</v>
      </c>
      <c r="BH2069" t="s">
        <v>230</v>
      </c>
      <c r="BI2069" t="s">
        <v>131</v>
      </c>
      <c r="BL2069" t="s">
        <v>307</v>
      </c>
      <c r="BN2069" t="s">
        <v>604</v>
      </c>
      <c r="BO2069" t="s">
        <v>131</v>
      </c>
      <c r="BP2069" t="s">
        <v>134</v>
      </c>
      <c r="BQ2069" t="s">
        <v>131</v>
      </c>
      <c r="BS2069" t="str">
        <f t="shared" si="119"/>
        <v>N/A</v>
      </c>
      <c r="BT2069" t="s">
        <v>131</v>
      </c>
      <c r="BV2069" t="str">
        <f>""</f>
        <v/>
      </c>
      <c r="BW2069" t="s">
        <v>131</v>
      </c>
      <c r="BX2069" t="str">
        <f>""</f>
        <v/>
      </c>
      <c r="BY2069" t="str">
        <f>""</f>
        <v/>
      </c>
      <c r="BZ2069" t="str">
        <f>""</f>
        <v/>
      </c>
      <c r="CA2069" t="str">
        <f>""</f>
        <v/>
      </c>
      <c r="CB2069" t="s">
        <v>131</v>
      </c>
      <c r="CF2069" t="s">
        <v>131</v>
      </c>
      <c r="CH2069" t="str">
        <f>""</f>
        <v/>
      </c>
      <c r="CI2069" t="s">
        <v>131</v>
      </c>
      <c r="CK2069" t="s">
        <v>131</v>
      </c>
      <c r="CL2069" t="str">
        <f>""</f>
        <v/>
      </c>
      <c r="CM2069" t="str">
        <f>""</f>
        <v/>
      </c>
      <c r="CN2069" t="str">
        <f>""</f>
        <v/>
      </c>
      <c r="CO2069" t="str">
        <f>""</f>
        <v/>
      </c>
      <c r="CP2069" t="str">
        <f>"29-1141.00"</f>
        <v>29-1141.00</v>
      </c>
      <c r="CQ2069" t="s">
        <v>232</v>
      </c>
      <c r="CR2069" t="s">
        <v>1037</v>
      </c>
      <c r="CS2069" t="s">
        <v>131</v>
      </c>
      <c r="CU2069" t="s">
        <v>18658</v>
      </c>
      <c r="CW2069" t="s">
        <v>1040</v>
      </c>
      <c r="CX2069" t="s">
        <v>400</v>
      </c>
      <c r="CZ2069" s="3" t="str">
        <f>"78704"</f>
        <v>78704</v>
      </c>
      <c r="DA2069" t="s">
        <v>131</v>
      </c>
      <c r="DB2069" t="str">
        <f>""</f>
        <v/>
      </c>
      <c r="DF2069" t="str">
        <f>""</f>
        <v/>
      </c>
    </row>
    <row r="2070" spans="1:110" ht="15" customHeight="1" x14ac:dyDescent="0.35">
      <c r="A2070" t="s">
        <v>18218</v>
      </c>
      <c r="B2070" t="s">
        <v>138</v>
      </c>
      <c r="C2070" s="1">
        <v>44365</v>
      </c>
      <c r="G2070" s="1">
        <v>44365</v>
      </c>
      <c r="H2070" t="s">
        <v>125</v>
      </c>
      <c r="I2070" t="s">
        <v>409</v>
      </c>
      <c r="J2070" t="s">
        <v>435</v>
      </c>
      <c r="L2070" t="s">
        <v>395</v>
      </c>
      <c r="M2070" t="s">
        <v>11247</v>
      </c>
      <c r="N2070" t="s">
        <v>11248</v>
      </c>
      <c r="O2070" t="s">
        <v>200</v>
      </c>
      <c r="P2070" t="s">
        <v>194</v>
      </c>
      <c r="Q2070" s="3">
        <v>33411</v>
      </c>
      <c r="R2070" t="s">
        <v>128</v>
      </c>
      <c r="T2070" s="4">
        <v>18552575533</v>
      </c>
      <c r="V2070" t="s">
        <v>11249</v>
      </c>
      <c r="W2070" t="s">
        <v>18219</v>
      </c>
      <c r="Y2070" t="s">
        <v>11247</v>
      </c>
      <c r="Z2070" t="s">
        <v>11248</v>
      </c>
      <c r="AA2070" t="s">
        <v>200</v>
      </c>
      <c r="AB2070" t="s">
        <v>195</v>
      </c>
      <c r="AC2070" s="3" t="str">
        <f>"33411"</f>
        <v>33411</v>
      </c>
      <c r="AD2070" t="s">
        <v>128</v>
      </c>
      <c r="AF2070" s="4">
        <v>18552575533</v>
      </c>
      <c r="AH2070" t="str">
        <f>"524291"</f>
        <v>524291</v>
      </c>
      <c r="AI2070" t="s">
        <v>130</v>
      </c>
      <c r="AJ2070" t="s">
        <v>18220</v>
      </c>
      <c r="AK2070" t="s">
        <v>3509</v>
      </c>
      <c r="AM2070" t="s">
        <v>3510</v>
      </c>
      <c r="AN2070" t="s">
        <v>3511</v>
      </c>
      <c r="AO2070" t="s">
        <v>3512</v>
      </c>
      <c r="AP2070" t="s">
        <v>195</v>
      </c>
      <c r="AQ2070" s="5">
        <v>33483</v>
      </c>
      <c r="AR2070" t="s">
        <v>128</v>
      </c>
      <c r="AT2070" s="4">
        <v>19545091012</v>
      </c>
      <c r="AV2070" t="s">
        <v>3513</v>
      </c>
      <c r="AW2070" t="s">
        <v>3514</v>
      </c>
      <c r="AX2070" t="s">
        <v>131</v>
      </c>
      <c r="AY2070" t="s">
        <v>131</v>
      </c>
      <c r="AZ2070" t="s">
        <v>131</v>
      </c>
      <c r="BA2070" t="s">
        <v>131</v>
      </c>
      <c r="BB2070" t="s">
        <v>131</v>
      </c>
      <c r="BC2070" t="s">
        <v>131</v>
      </c>
      <c r="BD2070" t="s">
        <v>131</v>
      </c>
      <c r="BE2070" t="s">
        <v>132</v>
      </c>
      <c r="BH2070" t="s">
        <v>11250</v>
      </c>
      <c r="BI2070" t="s">
        <v>131</v>
      </c>
      <c r="BL2070" t="s">
        <v>167</v>
      </c>
      <c r="BO2070" t="s">
        <v>131</v>
      </c>
      <c r="BP2070" t="s">
        <v>134</v>
      </c>
      <c r="BQ2070" t="s">
        <v>131</v>
      </c>
      <c r="BS2070" t="str">
        <f t="shared" si="119"/>
        <v>N/A</v>
      </c>
      <c r="BT2070" t="s">
        <v>135</v>
      </c>
      <c r="BU2070">
        <v>12</v>
      </c>
      <c r="BV2070" t="str">
        <f>"CORPORATE TRAINER (RESIDENTIAL CLEANING SERVICE) or related field"</f>
        <v>CORPORATE TRAINER (RESIDENTIAL CLEANING SERVICE) or related field</v>
      </c>
      <c r="BW2070" t="s">
        <v>135</v>
      </c>
      <c r="BX2070" t="str">
        <f>"Current IICRC Water Damage Restoration certification."</f>
        <v>Current IICRC Water Damage Restoration certification.</v>
      </c>
      <c r="BY2070" t="str">
        <f>""</f>
        <v/>
      </c>
      <c r="BZ2070" t="str">
        <f>""</f>
        <v/>
      </c>
      <c r="CA2070" t="str">
        <f>"1 year of experience in job offered or related field"</f>
        <v>1 year of experience in job offered or related field</v>
      </c>
      <c r="CB2070" t="s">
        <v>131</v>
      </c>
      <c r="CF2070" t="s">
        <v>131</v>
      </c>
      <c r="CH2070" t="str">
        <f>""</f>
        <v/>
      </c>
      <c r="CI2070" t="s">
        <v>131</v>
      </c>
      <c r="CK2070" t="s">
        <v>131</v>
      </c>
      <c r="CL2070" t="str">
        <f>""</f>
        <v/>
      </c>
      <c r="CM2070" t="str">
        <f>""</f>
        <v/>
      </c>
      <c r="CN2070" t="str">
        <f>""</f>
        <v/>
      </c>
      <c r="CO2070" t="str">
        <f>""</f>
        <v/>
      </c>
      <c r="CP2070" t="str">
        <f>"11-3131.00"</f>
        <v>11-3131.00</v>
      </c>
      <c r="CQ2070" t="s">
        <v>3515</v>
      </c>
      <c r="CS2070" t="s">
        <v>131</v>
      </c>
      <c r="CU2070" t="s">
        <v>11247</v>
      </c>
      <c r="CV2070" t="s">
        <v>11248</v>
      </c>
      <c r="CW2070" t="s">
        <v>200</v>
      </c>
      <c r="CX2070" t="s">
        <v>195</v>
      </c>
      <c r="CZ2070" s="3" t="str">
        <f>"33411"</f>
        <v>33411</v>
      </c>
      <c r="DA2070" t="s">
        <v>131</v>
      </c>
      <c r="DB2070" t="str">
        <f>""</f>
        <v/>
      </c>
      <c r="DF2070" t="str">
        <f>""</f>
        <v/>
      </c>
    </row>
    <row r="2071" spans="1:110" ht="15" customHeight="1" x14ac:dyDescent="0.35">
      <c r="A2071" t="s">
        <v>9377</v>
      </c>
      <c r="B2071" t="s">
        <v>138</v>
      </c>
      <c r="C2071" s="1">
        <v>44365</v>
      </c>
      <c r="G2071" s="1">
        <v>44365</v>
      </c>
      <c r="H2071" t="s">
        <v>125</v>
      </c>
      <c r="I2071" t="s">
        <v>2416</v>
      </c>
      <c r="J2071" t="s">
        <v>2417</v>
      </c>
      <c r="L2071" t="s">
        <v>1847</v>
      </c>
      <c r="M2071" t="s">
        <v>2418</v>
      </c>
      <c r="O2071" t="s">
        <v>4084</v>
      </c>
      <c r="P2071" t="s">
        <v>311</v>
      </c>
      <c r="Q2071" s="3">
        <v>19103</v>
      </c>
      <c r="R2071" t="s">
        <v>128</v>
      </c>
      <c r="T2071" s="4">
        <v>16179608170</v>
      </c>
      <c r="V2071" t="s">
        <v>2420</v>
      </c>
      <c r="W2071" t="s">
        <v>2421</v>
      </c>
      <c r="Y2071" t="s">
        <v>2418</v>
      </c>
      <c r="AA2071" t="s">
        <v>4084</v>
      </c>
      <c r="AB2071" t="s">
        <v>312</v>
      </c>
      <c r="AC2071" s="3" t="str">
        <f>"19103"</f>
        <v>19103</v>
      </c>
      <c r="AD2071" t="s">
        <v>128</v>
      </c>
      <c r="AF2071" s="4">
        <v>16179608170</v>
      </c>
      <c r="AH2071" t="str">
        <f>"54161"</f>
        <v>54161</v>
      </c>
      <c r="AI2071" t="s">
        <v>130</v>
      </c>
      <c r="AJ2071" t="s">
        <v>4085</v>
      </c>
      <c r="AK2071" t="s">
        <v>9378</v>
      </c>
      <c r="AM2071" t="s">
        <v>4086</v>
      </c>
      <c r="AN2071" t="s">
        <v>4087</v>
      </c>
      <c r="AO2071" t="s">
        <v>2438</v>
      </c>
      <c r="AP2071" t="s">
        <v>400</v>
      </c>
      <c r="AQ2071" s="5">
        <v>75082</v>
      </c>
      <c r="AR2071" t="s">
        <v>128</v>
      </c>
      <c r="AT2071" s="4">
        <v>14693003253</v>
      </c>
      <c r="AV2071" t="s">
        <v>4088</v>
      </c>
      <c r="AW2071" t="s">
        <v>366</v>
      </c>
      <c r="AX2071" t="s">
        <v>131</v>
      </c>
      <c r="AY2071" t="s">
        <v>131</v>
      </c>
      <c r="AZ2071" t="s">
        <v>131</v>
      </c>
      <c r="BA2071" t="s">
        <v>131</v>
      </c>
      <c r="BB2071" t="s">
        <v>131</v>
      </c>
      <c r="BC2071" t="s">
        <v>131</v>
      </c>
      <c r="BD2071" t="s">
        <v>131</v>
      </c>
      <c r="BE2071" t="s">
        <v>132</v>
      </c>
      <c r="BH2071" t="s">
        <v>4089</v>
      </c>
      <c r="BI2071" t="s">
        <v>131</v>
      </c>
      <c r="BL2071" t="s">
        <v>133</v>
      </c>
      <c r="BN2071" t="s">
        <v>3778</v>
      </c>
      <c r="BO2071" t="s">
        <v>131</v>
      </c>
      <c r="BP2071" t="s">
        <v>134</v>
      </c>
      <c r="BQ2071" t="s">
        <v>131</v>
      </c>
      <c r="BS2071" t="str">
        <f t="shared" si="119"/>
        <v>N/A</v>
      </c>
      <c r="BT2071" t="s">
        <v>135</v>
      </c>
      <c r="BU2071">
        <v>24</v>
      </c>
      <c r="BV2071" t="str">
        <f>"See F.B.5."</f>
        <v>See F.B.5.</v>
      </c>
      <c r="BW2071" t="s">
        <v>135</v>
      </c>
      <c r="BX2071" t="str">
        <f>""</f>
        <v/>
      </c>
      <c r="BY2071" t="str">
        <f>""</f>
        <v/>
      </c>
      <c r="BZ2071" t="str">
        <f>""</f>
        <v/>
      </c>
      <c r="CA2071" t="s">
        <v>4090</v>
      </c>
      <c r="CB2071" t="s">
        <v>131</v>
      </c>
      <c r="CF2071" t="s">
        <v>131</v>
      </c>
      <c r="CH2071" t="str">
        <f>""</f>
        <v/>
      </c>
      <c r="CI2071" t="s">
        <v>131</v>
      </c>
      <c r="CK2071" t="s">
        <v>131</v>
      </c>
      <c r="CL2071" t="str">
        <f>""</f>
        <v/>
      </c>
      <c r="CM2071" t="str">
        <f>""</f>
        <v/>
      </c>
      <c r="CN2071" t="str">
        <f>""</f>
        <v/>
      </c>
      <c r="CO2071" t="str">
        <f>""</f>
        <v/>
      </c>
      <c r="CP2071" t="str">
        <f>"15-1132.00"</f>
        <v>15-1132.00</v>
      </c>
      <c r="CQ2071" t="s">
        <v>198</v>
      </c>
      <c r="CS2071" t="s">
        <v>135</v>
      </c>
      <c r="CT2071" t="s">
        <v>4091</v>
      </c>
      <c r="CU2071" t="s">
        <v>6237</v>
      </c>
      <c r="CW2071" t="s">
        <v>371</v>
      </c>
      <c r="CX2071" t="s">
        <v>149</v>
      </c>
      <c r="CZ2071" s="3" t="str">
        <f>"98104"</f>
        <v>98104</v>
      </c>
      <c r="DA2071" t="s">
        <v>135</v>
      </c>
      <c r="DB2071" t="str">
        <f>""</f>
        <v/>
      </c>
      <c r="DF2071" t="str">
        <f>""</f>
        <v/>
      </c>
    </row>
    <row r="2072" spans="1:110" ht="15" customHeight="1" x14ac:dyDescent="0.35">
      <c r="A2072" t="s">
        <v>7540</v>
      </c>
      <c r="B2072" t="s">
        <v>138</v>
      </c>
      <c r="C2072" s="1">
        <v>44365</v>
      </c>
      <c r="G2072" s="1">
        <v>44368</v>
      </c>
      <c r="H2072" t="s">
        <v>125</v>
      </c>
      <c r="I2072" t="s">
        <v>7541</v>
      </c>
      <c r="J2072" t="s">
        <v>7542</v>
      </c>
      <c r="L2072" t="s">
        <v>223</v>
      </c>
      <c r="M2072" t="s">
        <v>7543</v>
      </c>
      <c r="N2072" t="s">
        <v>2415</v>
      </c>
      <c r="O2072" t="s">
        <v>584</v>
      </c>
      <c r="P2072" t="s">
        <v>194</v>
      </c>
      <c r="Q2072" s="3">
        <v>33166</v>
      </c>
      <c r="R2072" t="s">
        <v>128</v>
      </c>
      <c r="T2072" s="4">
        <v>13056402400</v>
      </c>
      <c r="V2072" t="s">
        <v>7544</v>
      </c>
      <c r="W2072" t="s">
        <v>7545</v>
      </c>
      <c r="X2072" t="s">
        <v>7546</v>
      </c>
      <c r="Y2072" t="s">
        <v>7547</v>
      </c>
      <c r="Z2072" t="s">
        <v>2415</v>
      </c>
      <c r="AA2072" t="s">
        <v>584</v>
      </c>
      <c r="AB2072" t="s">
        <v>195</v>
      </c>
      <c r="AC2072" s="3" t="str">
        <f>"33166"</f>
        <v>33166</v>
      </c>
      <c r="AD2072" t="s">
        <v>128</v>
      </c>
      <c r="AF2072" s="4">
        <v>13056402400</v>
      </c>
      <c r="AH2072" t="str">
        <f>"442110"</f>
        <v>442110</v>
      </c>
      <c r="AI2072" t="s">
        <v>130</v>
      </c>
      <c r="AJ2072" t="s">
        <v>7548</v>
      </c>
      <c r="AK2072" t="s">
        <v>5956</v>
      </c>
      <c r="AM2072" t="s">
        <v>7549</v>
      </c>
      <c r="AN2072" t="s">
        <v>7550</v>
      </c>
      <c r="AO2072" t="s">
        <v>405</v>
      </c>
      <c r="AP2072" t="s">
        <v>195</v>
      </c>
      <c r="AQ2072" s="5">
        <v>32835</v>
      </c>
      <c r="AR2072" t="s">
        <v>128</v>
      </c>
      <c r="AT2072" s="4">
        <v>14074017072</v>
      </c>
      <c r="AV2072" t="s">
        <v>7551</v>
      </c>
      <c r="AW2072" t="s">
        <v>7552</v>
      </c>
      <c r="AX2072" t="s">
        <v>131</v>
      </c>
      <c r="AY2072" t="s">
        <v>131</v>
      </c>
      <c r="AZ2072" t="s">
        <v>131</v>
      </c>
      <c r="BA2072" t="s">
        <v>131</v>
      </c>
      <c r="BB2072" t="s">
        <v>131</v>
      </c>
      <c r="BC2072" t="s">
        <v>131</v>
      </c>
      <c r="BD2072" t="s">
        <v>131</v>
      </c>
      <c r="BE2072" t="s">
        <v>132</v>
      </c>
      <c r="BH2072" t="s">
        <v>7553</v>
      </c>
      <c r="BI2072" t="s">
        <v>135</v>
      </c>
      <c r="BJ2072" t="s">
        <v>5794</v>
      </c>
      <c r="BK2072" t="s">
        <v>3177</v>
      </c>
      <c r="BL2072" t="s">
        <v>167</v>
      </c>
      <c r="BO2072" t="s">
        <v>131</v>
      </c>
      <c r="BP2072" t="s">
        <v>134</v>
      </c>
      <c r="BQ2072" t="s">
        <v>131</v>
      </c>
      <c r="BS2072" t="str">
        <f t="shared" si="119"/>
        <v>N/A</v>
      </c>
      <c r="BT2072" t="s">
        <v>135</v>
      </c>
      <c r="BU2072">
        <v>60</v>
      </c>
      <c r="BV2072" t="str">
        <f>"SALES"</f>
        <v>SALES</v>
      </c>
      <c r="BW2072" t="s">
        <v>131</v>
      </c>
      <c r="BX2072" t="str">
        <f>""</f>
        <v/>
      </c>
      <c r="BY2072" t="str">
        <f>""</f>
        <v/>
      </c>
      <c r="BZ2072" t="str">
        <f>""</f>
        <v/>
      </c>
      <c r="CA2072" t="str">
        <f>""</f>
        <v/>
      </c>
      <c r="CB2072" t="s">
        <v>131</v>
      </c>
      <c r="CF2072" t="s">
        <v>131</v>
      </c>
      <c r="CH2072" t="str">
        <f>""</f>
        <v/>
      </c>
      <c r="CI2072" t="s">
        <v>131</v>
      </c>
      <c r="CK2072" t="s">
        <v>131</v>
      </c>
      <c r="CL2072" t="str">
        <f>""</f>
        <v/>
      </c>
      <c r="CM2072" t="str">
        <f>""</f>
        <v/>
      </c>
      <c r="CN2072" t="str">
        <f>""</f>
        <v/>
      </c>
      <c r="CO2072" t="str">
        <f>""</f>
        <v/>
      </c>
      <c r="CP2072" t="str">
        <f>"41-1011.00"</f>
        <v>41-1011.00</v>
      </c>
      <c r="CQ2072" t="s">
        <v>3177</v>
      </c>
      <c r="CS2072" t="s">
        <v>131</v>
      </c>
      <c r="CU2072" t="s">
        <v>7547</v>
      </c>
      <c r="CV2072" t="s">
        <v>2415</v>
      </c>
      <c r="CW2072" t="s">
        <v>584</v>
      </c>
      <c r="CX2072" t="s">
        <v>195</v>
      </c>
      <c r="CZ2072" s="3" t="str">
        <f>"33166"</f>
        <v>33166</v>
      </c>
      <c r="DA2072" t="s">
        <v>131</v>
      </c>
      <c r="DB2072" t="str">
        <f>""</f>
        <v/>
      </c>
      <c r="DF2072" t="str">
        <f>""</f>
        <v/>
      </c>
    </row>
    <row r="2073" spans="1:110" ht="15" customHeight="1" x14ac:dyDescent="0.35">
      <c r="A2073" t="s">
        <v>7136</v>
      </c>
      <c r="B2073" t="s">
        <v>138</v>
      </c>
      <c r="C2073" s="1">
        <v>44365</v>
      </c>
      <c r="G2073" s="1">
        <v>44365</v>
      </c>
      <c r="H2073" t="s">
        <v>125</v>
      </c>
      <c r="I2073" t="s">
        <v>1448</v>
      </c>
      <c r="J2073" t="s">
        <v>555</v>
      </c>
      <c r="L2073" t="s">
        <v>5781</v>
      </c>
      <c r="M2073" t="s">
        <v>5782</v>
      </c>
      <c r="O2073" t="s">
        <v>5783</v>
      </c>
      <c r="P2073" t="s">
        <v>4505</v>
      </c>
      <c r="Q2073" s="3">
        <v>59427</v>
      </c>
      <c r="R2073" t="s">
        <v>128</v>
      </c>
      <c r="T2073" s="4">
        <v>14068682526</v>
      </c>
      <c r="V2073" t="s">
        <v>5784</v>
      </c>
      <c r="W2073" t="s">
        <v>7137</v>
      </c>
      <c r="Y2073" t="s">
        <v>5782</v>
      </c>
      <c r="AA2073" t="s">
        <v>5783</v>
      </c>
      <c r="AB2073" t="s">
        <v>1234</v>
      </c>
      <c r="AC2073" s="3" t="str">
        <f>"59427"</f>
        <v>59427</v>
      </c>
      <c r="AD2073" t="s">
        <v>128</v>
      </c>
      <c r="AF2073" s="4">
        <v>14068682526</v>
      </c>
      <c r="AH2073" t="str">
        <f>"1121"</f>
        <v>1121</v>
      </c>
      <c r="AI2073" t="s">
        <v>130</v>
      </c>
      <c r="AJ2073" t="s">
        <v>5785</v>
      </c>
      <c r="AK2073" t="s">
        <v>913</v>
      </c>
      <c r="AL2073" t="s">
        <v>1060</v>
      </c>
      <c r="AM2073" t="s">
        <v>5786</v>
      </c>
      <c r="AO2073" t="s">
        <v>3721</v>
      </c>
      <c r="AP2073" t="s">
        <v>1234</v>
      </c>
      <c r="AQ2073" s="5">
        <v>59079</v>
      </c>
      <c r="AR2073" t="s">
        <v>128</v>
      </c>
      <c r="AT2073" s="4">
        <v>14063739828</v>
      </c>
      <c r="AV2073" t="s">
        <v>5787</v>
      </c>
      <c r="AW2073" t="s">
        <v>5788</v>
      </c>
      <c r="AX2073" t="s">
        <v>131</v>
      </c>
      <c r="AY2073" t="s">
        <v>131</v>
      </c>
      <c r="AZ2073" t="s">
        <v>131</v>
      </c>
      <c r="BA2073" t="s">
        <v>131</v>
      </c>
      <c r="BB2073" t="s">
        <v>131</v>
      </c>
      <c r="BC2073" t="s">
        <v>131</v>
      </c>
      <c r="BD2073" t="s">
        <v>131</v>
      </c>
      <c r="BE2073" t="s">
        <v>132</v>
      </c>
      <c r="BH2073" t="s">
        <v>5789</v>
      </c>
      <c r="BI2073" t="s">
        <v>131</v>
      </c>
      <c r="BL2073" t="s">
        <v>401</v>
      </c>
      <c r="BO2073" t="s">
        <v>131</v>
      </c>
      <c r="BP2073" t="s">
        <v>134</v>
      </c>
      <c r="BQ2073" t="s">
        <v>131</v>
      </c>
      <c r="BS2073" t="str">
        <f t="shared" si="119"/>
        <v>N/A</v>
      </c>
      <c r="BT2073" t="s">
        <v>135</v>
      </c>
      <c r="BU2073">
        <v>3</v>
      </c>
      <c r="BV2073" t="str">
        <f>"Cattle Worker"</f>
        <v>Cattle Worker</v>
      </c>
      <c r="BW2073" t="s">
        <v>131</v>
      </c>
      <c r="BX2073" t="str">
        <f>""</f>
        <v/>
      </c>
      <c r="BY2073" t="str">
        <f>""</f>
        <v/>
      </c>
      <c r="BZ2073" t="str">
        <f>""</f>
        <v/>
      </c>
      <c r="CA2073" t="str">
        <f>""</f>
        <v/>
      </c>
      <c r="CB2073" t="s">
        <v>131</v>
      </c>
      <c r="CF2073" t="s">
        <v>131</v>
      </c>
      <c r="CH2073" t="str">
        <f>""</f>
        <v/>
      </c>
      <c r="CI2073" t="s">
        <v>131</v>
      </c>
      <c r="CK2073" t="s">
        <v>131</v>
      </c>
      <c r="CL2073" t="str">
        <f>""</f>
        <v/>
      </c>
      <c r="CM2073" t="str">
        <f>""</f>
        <v/>
      </c>
      <c r="CN2073" t="str">
        <f>""</f>
        <v/>
      </c>
      <c r="CO2073" t="str">
        <f>""</f>
        <v/>
      </c>
      <c r="CP2073" t="str">
        <f>"45-2093.00"</f>
        <v>45-2093.00</v>
      </c>
      <c r="CQ2073" t="s">
        <v>5790</v>
      </c>
      <c r="CR2073" t="s">
        <v>3086</v>
      </c>
      <c r="CS2073" t="s">
        <v>131</v>
      </c>
      <c r="CU2073" t="s">
        <v>7138</v>
      </c>
      <c r="CW2073" t="s">
        <v>5783</v>
      </c>
      <c r="CX2073" t="s">
        <v>1234</v>
      </c>
      <c r="CZ2073" s="3" t="str">
        <f>"59427"</f>
        <v>59427</v>
      </c>
      <c r="DA2073" t="s">
        <v>131</v>
      </c>
      <c r="DB2073" t="str">
        <f>""</f>
        <v/>
      </c>
      <c r="DF2073" t="str">
        <f>""</f>
        <v/>
      </c>
    </row>
    <row r="2074" spans="1:110" ht="15" customHeight="1" x14ac:dyDescent="0.35">
      <c r="A2074" t="s">
        <v>19516</v>
      </c>
      <c r="B2074" t="s">
        <v>138</v>
      </c>
      <c r="C2074" s="1">
        <v>44365</v>
      </c>
      <c r="G2074" s="1">
        <v>44368</v>
      </c>
      <c r="H2074" t="s">
        <v>125</v>
      </c>
      <c r="I2074" t="s">
        <v>19517</v>
      </c>
      <c r="J2074" t="s">
        <v>3793</v>
      </c>
      <c r="K2074" t="s">
        <v>11350</v>
      </c>
      <c r="L2074" t="s">
        <v>126</v>
      </c>
      <c r="M2074" t="s">
        <v>19518</v>
      </c>
      <c r="O2074" t="s">
        <v>12535</v>
      </c>
      <c r="P2074" t="s">
        <v>194</v>
      </c>
      <c r="Q2074" s="3">
        <v>33064</v>
      </c>
      <c r="R2074" t="s">
        <v>128</v>
      </c>
      <c r="T2074" s="4">
        <v>19547811994</v>
      </c>
      <c r="V2074" t="s">
        <v>19519</v>
      </c>
      <c r="W2074" t="s">
        <v>19520</v>
      </c>
      <c r="Y2074" t="s">
        <v>19521</v>
      </c>
      <c r="AA2074" t="s">
        <v>19522</v>
      </c>
      <c r="AB2074" t="s">
        <v>195</v>
      </c>
      <c r="AC2074" s="3" t="str">
        <f>"33071"</f>
        <v>33071</v>
      </c>
      <c r="AD2074" t="s">
        <v>128</v>
      </c>
      <c r="AF2074" s="4">
        <v>18009290606</v>
      </c>
      <c r="AH2074" t="str">
        <f>"561790"</f>
        <v>561790</v>
      </c>
      <c r="AI2074" t="s">
        <v>130</v>
      </c>
      <c r="AJ2074" t="s">
        <v>19517</v>
      </c>
      <c r="AK2074" t="s">
        <v>3793</v>
      </c>
      <c r="AL2074" t="s">
        <v>11350</v>
      </c>
      <c r="AM2074" t="s">
        <v>19518</v>
      </c>
      <c r="AO2074" t="s">
        <v>12535</v>
      </c>
      <c r="AP2074" t="s">
        <v>195</v>
      </c>
      <c r="AQ2074" s="5">
        <v>33064</v>
      </c>
      <c r="AR2074" t="s">
        <v>128</v>
      </c>
      <c r="AT2074" s="4">
        <v>19547811994</v>
      </c>
      <c r="AV2074" t="s">
        <v>19523</v>
      </c>
      <c r="AW2074" t="s">
        <v>19524</v>
      </c>
      <c r="AX2074" t="s">
        <v>131</v>
      </c>
      <c r="AY2074" t="s">
        <v>131</v>
      </c>
      <c r="AZ2074" t="s">
        <v>131</v>
      </c>
      <c r="BA2074" t="s">
        <v>131</v>
      </c>
      <c r="BB2074" t="s">
        <v>131</v>
      </c>
      <c r="BC2074" t="s">
        <v>131</v>
      </c>
      <c r="BD2074" t="s">
        <v>131</v>
      </c>
      <c r="BE2074" t="s">
        <v>132</v>
      </c>
      <c r="BH2074" t="s">
        <v>19525</v>
      </c>
      <c r="BI2074" t="s">
        <v>131</v>
      </c>
      <c r="BL2074" t="s">
        <v>401</v>
      </c>
      <c r="BO2074" t="s">
        <v>131</v>
      </c>
      <c r="BP2074" t="s">
        <v>134</v>
      </c>
      <c r="BQ2074" t="s">
        <v>131</v>
      </c>
      <c r="BS2074" t="str">
        <f t="shared" ref="BS2074:BS2082" si="123">"N/A"</f>
        <v>N/A</v>
      </c>
      <c r="BT2074" t="s">
        <v>131</v>
      </c>
      <c r="BV2074" t="str">
        <f>""</f>
        <v/>
      </c>
      <c r="BW2074" t="s">
        <v>135</v>
      </c>
      <c r="BX2074" t="str">
        <f>"VALID POOL &amp; SPA OPERATOR CERTIFICATION (CPO) OR VALID POOL AND SPA TECHNICIAN CERTIFICATION"</f>
        <v>VALID POOL &amp; SPA OPERATOR CERTIFICATION (CPO) OR VALID POOL AND SPA TECHNICIAN CERTIFICATION</v>
      </c>
      <c r="BY2074" t="str">
        <f>""</f>
        <v/>
      </c>
      <c r="BZ2074" t="str">
        <f>""</f>
        <v/>
      </c>
      <c r="CA2074" t="str">
        <f>""</f>
        <v/>
      </c>
      <c r="CB2074" t="s">
        <v>131</v>
      </c>
      <c r="CF2074" t="s">
        <v>131</v>
      </c>
      <c r="CH2074" t="str">
        <f>""</f>
        <v/>
      </c>
      <c r="CI2074" t="s">
        <v>131</v>
      </c>
      <c r="CK2074" t="s">
        <v>131</v>
      </c>
      <c r="CL2074" t="str">
        <f>""</f>
        <v/>
      </c>
      <c r="CM2074" t="str">
        <f>""</f>
        <v/>
      </c>
      <c r="CN2074" t="str">
        <f>""</f>
        <v/>
      </c>
      <c r="CO2074" t="str">
        <f>""</f>
        <v/>
      </c>
      <c r="CP2074" t="str">
        <f>"37-2011.00"</f>
        <v>37-2011.00</v>
      </c>
      <c r="CQ2074" t="s">
        <v>794</v>
      </c>
      <c r="CR2074" t="s">
        <v>19525</v>
      </c>
      <c r="CS2074" t="s">
        <v>131</v>
      </c>
      <c r="CU2074" t="s">
        <v>19526</v>
      </c>
      <c r="CW2074" t="s">
        <v>19522</v>
      </c>
      <c r="CX2074" t="s">
        <v>195</v>
      </c>
      <c r="CZ2074" s="3" t="str">
        <f>"33071"</f>
        <v>33071</v>
      </c>
      <c r="DA2074" t="s">
        <v>131</v>
      </c>
      <c r="DB2074" t="str">
        <f>""</f>
        <v/>
      </c>
      <c r="DF2074" t="str">
        <f>""</f>
        <v/>
      </c>
    </row>
    <row r="2075" spans="1:110" ht="15" customHeight="1" x14ac:dyDescent="0.35">
      <c r="A2075" t="s">
        <v>8912</v>
      </c>
      <c r="B2075" t="s">
        <v>138</v>
      </c>
      <c r="C2075" s="1">
        <v>44365</v>
      </c>
      <c r="G2075" s="1">
        <v>44368</v>
      </c>
      <c r="H2075" t="s">
        <v>125</v>
      </c>
      <c r="I2075" t="s">
        <v>744</v>
      </c>
      <c r="J2075" t="s">
        <v>745</v>
      </c>
      <c r="K2075" t="s">
        <v>610</v>
      </c>
      <c r="L2075" t="s">
        <v>130</v>
      </c>
      <c r="M2075" t="s">
        <v>746</v>
      </c>
      <c r="O2075" t="s">
        <v>747</v>
      </c>
      <c r="P2075" t="s">
        <v>412</v>
      </c>
      <c r="Q2075" s="3">
        <v>77497</v>
      </c>
      <c r="R2075" t="s">
        <v>128</v>
      </c>
      <c r="T2075" s="4">
        <v>12812652522</v>
      </c>
      <c r="V2075" t="s">
        <v>748</v>
      </c>
      <c r="W2075" t="s">
        <v>743</v>
      </c>
      <c r="Y2075" t="s">
        <v>8913</v>
      </c>
      <c r="AA2075" t="s">
        <v>742</v>
      </c>
      <c r="AB2075" t="s">
        <v>400</v>
      </c>
      <c r="AC2075" s="3" t="str">
        <f>"77469"</f>
        <v>77469</v>
      </c>
      <c r="AD2075" t="s">
        <v>128</v>
      </c>
      <c r="AF2075" s="4">
        <v>18157627759</v>
      </c>
      <c r="AH2075" t="str">
        <f>"814110"</f>
        <v>814110</v>
      </c>
      <c r="AI2075" t="s">
        <v>130</v>
      </c>
      <c r="AJ2075" t="s">
        <v>744</v>
      </c>
      <c r="AK2075" t="s">
        <v>745</v>
      </c>
      <c r="AL2075" t="s">
        <v>610</v>
      </c>
      <c r="AM2075" t="s">
        <v>746</v>
      </c>
      <c r="AO2075" t="s">
        <v>747</v>
      </c>
      <c r="AP2075" t="s">
        <v>400</v>
      </c>
      <c r="AQ2075" s="5">
        <v>77497</v>
      </c>
      <c r="AR2075" t="s">
        <v>128</v>
      </c>
      <c r="AT2075" s="4">
        <v>12812652522</v>
      </c>
      <c r="AV2075" t="s">
        <v>748</v>
      </c>
      <c r="AW2075" t="s">
        <v>749</v>
      </c>
      <c r="AX2075" t="s">
        <v>131</v>
      </c>
      <c r="AY2075" t="s">
        <v>131</v>
      </c>
      <c r="AZ2075" t="s">
        <v>131</v>
      </c>
      <c r="BA2075" t="s">
        <v>131</v>
      </c>
      <c r="BB2075" t="s">
        <v>131</v>
      </c>
      <c r="BC2075" t="s">
        <v>131</v>
      </c>
      <c r="BD2075" t="s">
        <v>131</v>
      </c>
      <c r="BE2075" t="s">
        <v>132</v>
      </c>
      <c r="BH2075" t="s">
        <v>8914</v>
      </c>
      <c r="BI2075" t="s">
        <v>131</v>
      </c>
      <c r="BL2075" t="s">
        <v>401</v>
      </c>
      <c r="BO2075" t="s">
        <v>131</v>
      </c>
      <c r="BP2075" t="s">
        <v>134</v>
      </c>
      <c r="BQ2075" t="s">
        <v>131</v>
      </c>
      <c r="BS2075" t="str">
        <f t="shared" si="123"/>
        <v>N/A</v>
      </c>
      <c r="BT2075" t="s">
        <v>135</v>
      </c>
      <c r="BU2075">
        <v>24</v>
      </c>
      <c r="BV2075" t="str">
        <f>"Job Offered or as a Private Nanny"</f>
        <v>Job Offered or as a Private Nanny</v>
      </c>
      <c r="BW2075" t="s">
        <v>135</v>
      </c>
      <c r="BX2075" t="str">
        <f>""</f>
        <v/>
      </c>
      <c r="BY2075" t="str">
        <f>""</f>
        <v/>
      </c>
      <c r="BZ2075" t="str">
        <f>""</f>
        <v/>
      </c>
      <c r="CA2075" t="s">
        <v>750</v>
      </c>
      <c r="CB2075" t="s">
        <v>131</v>
      </c>
      <c r="CF2075" t="s">
        <v>131</v>
      </c>
      <c r="CH2075" t="str">
        <f>""</f>
        <v/>
      </c>
      <c r="CI2075" t="s">
        <v>131</v>
      </c>
      <c r="CK2075" t="s">
        <v>131</v>
      </c>
      <c r="CL2075" t="str">
        <f>""</f>
        <v/>
      </c>
      <c r="CM2075" t="str">
        <f>""</f>
        <v/>
      </c>
      <c r="CN2075" t="str">
        <f>""</f>
        <v/>
      </c>
      <c r="CO2075" t="str">
        <f>""</f>
        <v/>
      </c>
      <c r="CP2075" t="str">
        <f>"39-9011.01"</f>
        <v>39-9011.01</v>
      </c>
      <c r="CQ2075" t="s">
        <v>339</v>
      </c>
      <c r="CR2075" t="s">
        <v>751</v>
      </c>
      <c r="CS2075" t="s">
        <v>131</v>
      </c>
      <c r="CU2075" t="s">
        <v>8913</v>
      </c>
      <c r="CW2075" t="s">
        <v>742</v>
      </c>
      <c r="CX2075" t="s">
        <v>400</v>
      </c>
      <c r="CZ2075" s="3" t="str">
        <f>"77469"</f>
        <v>77469</v>
      </c>
      <c r="DA2075" t="s">
        <v>131</v>
      </c>
      <c r="DB2075" t="str">
        <f>""</f>
        <v/>
      </c>
      <c r="DF2075" t="str">
        <f>""</f>
        <v/>
      </c>
    </row>
    <row r="2076" spans="1:110" ht="15" customHeight="1" x14ac:dyDescent="0.35">
      <c r="A2076" t="s">
        <v>7567</v>
      </c>
      <c r="B2076" t="s">
        <v>138</v>
      </c>
      <c r="C2076" s="1">
        <v>44365</v>
      </c>
      <c r="G2076" s="1">
        <v>44365</v>
      </c>
      <c r="H2076" t="s">
        <v>125</v>
      </c>
      <c r="I2076" t="s">
        <v>1682</v>
      </c>
      <c r="J2076" t="s">
        <v>6162</v>
      </c>
      <c r="L2076" t="s">
        <v>7568</v>
      </c>
      <c r="M2076" t="s">
        <v>1684</v>
      </c>
      <c r="O2076" t="s">
        <v>1685</v>
      </c>
      <c r="P2076" t="s">
        <v>412</v>
      </c>
      <c r="Q2076" s="3">
        <v>76092</v>
      </c>
      <c r="R2076" t="s">
        <v>128</v>
      </c>
      <c r="T2076" s="4">
        <v>16822233051</v>
      </c>
      <c r="V2076" t="s">
        <v>6163</v>
      </c>
      <c r="W2076" t="s">
        <v>1687</v>
      </c>
      <c r="Y2076" t="s">
        <v>1684</v>
      </c>
      <c r="AA2076" t="s">
        <v>1685</v>
      </c>
      <c r="AB2076" t="s">
        <v>400</v>
      </c>
      <c r="AC2076" s="3" t="str">
        <f>"76092"</f>
        <v>76092</v>
      </c>
      <c r="AD2076" t="s">
        <v>128</v>
      </c>
      <c r="AF2076" s="4">
        <v>16822233051</v>
      </c>
      <c r="AH2076" t="str">
        <f>"541511"</f>
        <v>541511</v>
      </c>
      <c r="AI2076" t="s">
        <v>130</v>
      </c>
      <c r="AJ2076" t="s">
        <v>6164</v>
      </c>
      <c r="AK2076" t="s">
        <v>913</v>
      </c>
      <c r="AL2076" t="s">
        <v>684</v>
      </c>
      <c r="AM2076" t="s">
        <v>1644</v>
      </c>
      <c r="AN2076" t="s">
        <v>457</v>
      </c>
      <c r="AO2076" t="s">
        <v>458</v>
      </c>
      <c r="AP2076" t="s">
        <v>400</v>
      </c>
      <c r="AQ2076" s="5">
        <v>75082</v>
      </c>
      <c r="AR2076" t="s">
        <v>128</v>
      </c>
      <c r="AT2076" s="4">
        <v>14692909712</v>
      </c>
      <c r="AV2076" t="s">
        <v>6165</v>
      </c>
      <c r="AW2076" t="s">
        <v>367</v>
      </c>
      <c r="AX2076" t="s">
        <v>131</v>
      </c>
      <c r="AY2076" t="s">
        <v>131</v>
      </c>
      <c r="AZ2076" t="s">
        <v>131</v>
      </c>
      <c r="BA2076" t="s">
        <v>131</v>
      </c>
      <c r="BB2076" t="s">
        <v>131</v>
      </c>
      <c r="BC2076" t="s">
        <v>131</v>
      </c>
      <c r="BD2076" t="s">
        <v>131</v>
      </c>
      <c r="BE2076" t="s">
        <v>132</v>
      </c>
      <c r="BH2076" t="s">
        <v>7569</v>
      </c>
      <c r="BI2076" t="s">
        <v>131</v>
      </c>
      <c r="BL2076" t="s">
        <v>188</v>
      </c>
      <c r="BN2076" s="2" t="s">
        <v>6166</v>
      </c>
      <c r="BO2076" t="s">
        <v>131</v>
      </c>
      <c r="BP2076" t="s">
        <v>134</v>
      </c>
      <c r="BQ2076" t="s">
        <v>131</v>
      </c>
      <c r="BS2076" t="str">
        <f t="shared" si="123"/>
        <v>N/A</v>
      </c>
      <c r="BT2076" t="s">
        <v>135</v>
      </c>
      <c r="BU2076">
        <v>24</v>
      </c>
      <c r="BV2076" t="str">
        <f>"See F.a.2
"</f>
        <v xml:space="preserve">See F.a.2
</v>
      </c>
      <c r="BW2076" t="s">
        <v>135</v>
      </c>
      <c r="BX2076" t="str">
        <f>""</f>
        <v/>
      </c>
      <c r="BY2076" t="str">
        <f>""</f>
        <v/>
      </c>
      <c r="BZ2076" t="str">
        <f>""</f>
        <v/>
      </c>
      <c r="CA2076" t="str">
        <f>"See F.a.2
"</f>
        <v xml:space="preserve">See F.a.2
</v>
      </c>
      <c r="CB2076" t="s">
        <v>131</v>
      </c>
      <c r="CF2076" t="s">
        <v>131</v>
      </c>
      <c r="CH2076" t="str">
        <f>""</f>
        <v/>
      </c>
      <c r="CI2076" t="s">
        <v>131</v>
      </c>
      <c r="CK2076" t="s">
        <v>131</v>
      </c>
      <c r="CL2076" t="str">
        <f>""</f>
        <v/>
      </c>
      <c r="CM2076" t="str">
        <f>""</f>
        <v/>
      </c>
      <c r="CN2076" t="str">
        <f>""</f>
        <v/>
      </c>
      <c r="CO2076" t="str">
        <f>""</f>
        <v/>
      </c>
      <c r="CP2076" t="str">
        <f>"15-1133.00"</f>
        <v>15-1133.00</v>
      </c>
      <c r="CQ2076" t="s">
        <v>648</v>
      </c>
      <c r="CR2076" t="s">
        <v>7569</v>
      </c>
      <c r="CS2076" t="s">
        <v>131</v>
      </c>
      <c r="CU2076" t="s">
        <v>1684</v>
      </c>
      <c r="CW2076" t="s">
        <v>1685</v>
      </c>
      <c r="CX2076" t="s">
        <v>400</v>
      </c>
      <c r="CZ2076" s="3" t="str">
        <f>"76227"</f>
        <v>76227</v>
      </c>
      <c r="DA2076" t="s">
        <v>131</v>
      </c>
      <c r="DB2076" t="str">
        <f>""</f>
        <v/>
      </c>
      <c r="DF2076" t="str">
        <f>""</f>
        <v/>
      </c>
    </row>
    <row r="2077" spans="1:110" ht="15" customHeight="1" x14ac:dyDescent="0.35">
      <c r="A2077" t="s">
        <v>17820</v>
      </c>
      <c r="B2077" t="s">
        <v>138</v>
      </c>
      <c r="C2077" s="1">
        <v>44365</v>
      </c>
      <c r="G2077" s="1">
        <v>44366</v>
      </c>
      <c r="H2077" t="s">
        <v>125</v>
      </c>
      <c r="I2077" t="s">
        <v>441</v>
      </c>
      <c r="J2077" t="s">
        <v>16949</v>
      </c>
      <c r="K2077" t="s">
        <v>16944</v>
      </c>
      <c r="L2077" t="s">
        <v>16945</v>
      </c>
      <c r="M2077" t="s">
        <v>17821</v>
      </c>
      <c r="N2077" t="s">
        <v>16947</v>
      </c>
      <c r="O2077" t="s">
        <v>1663</v>
      </c>
      <c r="P2077" t="s">
        <v>178</v>
      </c>
      <c r="Q2077" s="3">
        <v>90010</v>
      </c>
      <c r="R2077" t="s">
        <v>128</v>
      </c>
      <c r="T2077" s="4">
        <v>12134871122</v>
      </c>
      <c r="V2077" t="s">
        <v>16948</v>
      </c>
      <c r="W2077" t="s">
        <v>17822</v>
      </c>
      <c r="Y2077" t="s">
        <v>17823</v>
      </c>
      <c r="Z2077" t="s">
        <v>11036</v>
      </c>
      <c r="AA2077" t="s">
        <v>17824</v>
      </c>
      <c r="AB2077" t="s">
        <v>276</v>
      </c>
      <c r="AC2077" s="3" t="str">
        <f>"07632"</f>
        <v>07632</v>
      </c>
      <c r="AD2077" t="s">
        <v>128</v>
      </c>
      <c r="AF2077" s="4">
        <v>12016085097</v>
      </c>
      <c r="AH2077" t="str">
        <f>"541512"</f>
        <v>541512</v>
      </c>
      <c r="AI2077" t="s">
        <v>130</v>
      </c>
      <c r="AJ2077" t="s">
        <v>441</v>
      </c>
      <c r="AK2077" t="s">
        <v>16949</v>
      </c>
      <c r="AL2077" t="s">
        <v>16944</v>
      </c>
      <c r="AM2077" t="s">
        <v>16946</v>
      </c>
      <c r="AN2077" t="s">
        <v>17825</v>
      </c>
      <c r="AO2077" t="s">
        <v>1663</v>
      </c>
      <c r="AP2077" t="s">
        <v>172</v>
      </c>
      <c r="AQ2077" s="5">
        <v>90010</v>
      </c>
      <c r="AR2077" t="s">
        <v>128</v>
      </c>
      <c r="AT2077" s="4">
        <v>12134871122</v>
      </c>
      <c r="AV2077" t="s">
        <v>16948</v>
      </c>
      <c r="AW2077" t="s">
        <v>16950</v>
      </c>
      <c r="AX2077" t="s">
        <v>131</v>
      </c>
      <c r="AY2077" t="s">
        <v>131</v>
      </c>
      <c r="AZ2077" t="s">
        <v>131</v>
      </c>
      <c r="BA2077" t="s">
        <v>131</v>
      </c>
      <c r="BB2077" t="s">
        <v>131</v>
      </c>
      <c r="BC2077" t="s">
        <v>131</v>
      </c>
      <c r="BD2077" t="s">
        <v>131</v>
      </c>
      <c r="BE2077" t="s">
        <v>132</v>
      </c>
      <c r="BH2077" t="s">
        <v>17826</v>
      </c>
      <c r="BI2077" t="s">
        <v>131</v>
      </c>
      <c r="BL2077" t="s">
        <v>133</v>
      </c>
      <c r="BN2077" t="s">
        <v>17827</v>
      </c>
      <c r="BO2077" t="s">
        <v>131</v>
      </c>
      <c r="BP2077" t="s">
        <v>134</v>
      </c>
      <c r="BQ2077" t="s">
        <v>131</v>
      </c>
      <c r="BS2077" t="str">
        <f t="shared" si="123"/>
        <v>N/A</v>
      </c>
      <c r="BT2077" t="s">
        <v>131</v>
      </c>
      <c r="BV2077" t="str">
        <f>""</f>
        <v/>
      </c>
      <c r="BW2077" t="s">
        <v>131</v>
      </c>
      <c r="BX2077" t="str">
        <f>""</f>
        <v/>
      </c>
      <c r="BY2077" t="str">
        <f>""</f>
        <v/>
      </c>
      <c r="BZ2077" t="str">
        <f>""</f>
        <v/>
      </c>
      <c r="CA2077" t="str">
        <f>""</f>
        <v/>
      </c>
      <c r="CB2077" t="s">
        <v>131</v>
      </c>
      <c r="CF2077" t="s">
        <v>131</v>
      </c>
      <c r="CH2077" t="str">
        <f>""</f>
        <v/>
      </c>
      <c r="CI2077" t="s">
        <v>131</v>
      </c>
      <c r="CK2077" t="s">
        <v>131</v>
      </c>
      <c r="CL2077" t="str">
        <f>""</f>
        <v/>
      </c>
      <c r="CM2077" t="str">
        <f>""</f>
        <v/>
      </c>
      <c r="CN2077" t="str">
        <f>""</f>
        <v/>
      </c>
      <c r="CO2077" t="str">
        <f>""</f>
        <v/>
      </c>
      <c r="CP2077" t="str">
        <f>"15-1152.00"</f>
        <v>15-1152.00</v>
      </c>
      <c r="CQ2077" t="s">
        <v>1676</v>
      </c>
      <c r="CS2077" t="s">
        <v>131</v>
      </c>
      <c r="CU2077" t="s">
        <v>17823</v>
      </c>
      <c r="CV2077" t="s">
        <v>11036</v>
      </c>
      <c r="CW2077" t="s">
        <v>1067</v>
      </c>
      <c r="CX2077" t="s">
        <v>276</v>
      </c>
      <c r="CZ2077" s="3" t="str">
        <f>"07632"</f>
        <v>07632</v>
      </c>
      <c r="DA2077" t="s">
        <v>131</v>
      </c>
      <c r="DB2077" t="str">
        <f>""</f>
        <v/>
      </c>
      <c r="DF2077" t="str">
        <f>""</f>
        <v/>
      </c>
    </row>
    <row r="2078" spans="1:110" ht="15" customHeight="1" x14ac:dyDescent="0.35">
      <c r="A2078" t="s">
        <v>13158</v>
      </c>
      <c r="B2078" t="s">
        <v>138</v>
      </c>
      <c r="C2078" s="1">
        <v>44365</v>
      </c>
      <c r="G2078" s="1">
        <v>44371</v>
      </c>
      <c r="H2078" t="s">
        <v>125</v>
      </c>
      <c r="I2078" t="s">
        <v>2411</v>
      </c>
      <c r="J2078" t="s">
        <v>618</v>
      </c>
      <c r="L2078" t="s">
        <v>5947</v>
      </c>
      <c r="M2078" t="s">
        <v>10570</v>
      </c>
      <c r="O2078" t="s">
        <v>650</v>
      </c>
      <c r="P2078" t="s">
        <v>178</v>
      </c>
      <c r="Q2078" s="3">
        <v>95054</v>
      </c>
      <c r="R2078" t="s">
        <v>128</v>
      </c>
      <c r="T2078" s="4">
        <v>14083134337</v>
      </c>
      <c r="V2078" t="s">
        <v>10571</v>
      </c>
      <c r="W2078" t="s">
        <v>10572</v>
      </c>
      <c r="Y2078" t="s">
        <v>10570</v>
      </c>
      <c r="AA2078" t="s">
        <v>650</v>
      </c>
      <c r="AB2078" t="s">
        <v>172</v>
      </c>
      <c r="AC2078" s="3" t="str">
        <f>"95054"</f>
        <v>95054</v>
      </c>
      <c r="AD2078" t="s">
        <v>128</v>
      </c>
      <c r="AF2078" s="4">
        <v>14083134337</v>
      </c>
      <c r="AH2078" t="str">
        <f>"541511"</f>
        <v>541511</v>
      </c>
      <c r="AI2078" t="s">
        <v>130</v>
      </c>
      <c r="AJ2078" t="s">
        <v>7141</v>
      </c>
      <c r="AK2078" t="s">
        <v>7392</v>
      </c>
      <c r="AM2078" t="s">
        <v>10574</v>
      </c>
      <c r="AO2078" t="s">
        <v>664</v>
      </c>
      <c r="AP2078" t="s">
        <v>172</v>
      </c>
      <c r="AQ2078" s="5">
        <v>95134</v>
      </c>
      <c r="AR2078" t="s">
        <v>128</v>
      </c>
      <c r="AT2078" s="4">
        <v>14086178947</v>
      </c>
      <c r="AV2078" t="s">
        <v>7393</v>
      </c>
      <c r="AW2078" t="s">
        <v>10573</v>
      </c>
      <c r="AX2078" t="s">
        <v>131</v>
      </c>
      <c r="AY2078" t="s">
        <v>131</v>
      </c>
      <c r="AZ2078" t="s">
        <v>131</v>
      </c>
      <c r="BA2078" t="s">
        <v>131</v>
      </c>
      <c r="BB2078" t="s">
        <v>131</v>
      </c>
      <c r="BC2078" t="s">
        <v>131</v>
      </c>
      <c r="BD2078" t="s">
        <v>131</v>
      </c>
      <c r="BE2078" t="s">
        <v>1948</v>
      </c>
      <c r="BH2078" t="s">
        <v>3274</v>
      </c>
      <c r="BI2078" t="s">
        <v>131</v>
      </c>
      <c r="BL2078" t="s">
        <v>188</v>
      </c>
      <c r="BN2078" t="s">
        <v>13159</v>
      </c>
      <c r="BO2078" t="s">
        <v>131</v>
      </c>
      <c r="BP2078" t="s">
        <v>134</v>
      </c>
      <c r="BQ2078" t="s">
        <v>131</v>
      </c>
      <c r="BS2078" t="str">
        <f t="shared" si="123"/>
        <v>N/A</v>
      </c>
      <c r="BT2078" t="s">
        <v>131</v>
      </c>
      <c r="BV2078" t="str">
        <f>""</f>
        <v/>
      </c>
      <c r="BW2078" t="s">
        <v>131</v>
      </c>
      <c r="BX2078" t="str">
        <f>""</f>
        <v/>
      </c>
      <c r="BY2078" t="str">
        <f>""</f>
        <v/>
      </c>
      <c r="BZ2078" t="str">
        <f>""</f>
        <v/>
      </c>
      <c r="CA2078" t="str">
        <f>""</f>
        <v/>
      </c>
      <c r="CB2078" t="s">
        <v>131</v>
      </c>
      <c r="CF2078" t="s">
        <v>131</v>
      </c>
      <c r="CH2078" t="str">
        <f>""</f>
        <v/>
      </c>
      <c r="CI2078" t="s">
        <v>131</v>
      </c>
      <c r="CK2078" t="s">
        <v>131</v>
      </c>
      <c r="CL2078" t="str">
        <f>""</f>
        <v/>
      </c>
      <c r="CM2078" t="str">
        <f>""</f>
        <v/>
      </c>
      <c r="CN2078" t="str">
        <f>""</f>
        <v/>
      </c>
      <c r="CO2078" t="str">
        <f>""</f>
        <v/>
      </c>
      <c r="CP2078" t="str">
        <f>"15-1132.00"</f>
        <v>15-1132.00</v>
      </c>
      <c r="CQ2078" t="s">
        <v>198</v>
      </c>
      <c r="CR2078" t="s">
        <v>3274</v>
      </c>
      <c r="CS2078" t="s">
        <v>131</v>
      </c>
      <c r="CU2078" t="s">
        <v>10570</v>
      </c>
      <c r="CW2078" t="s">
        <v>650</v>
      </c>
      <c r="CX2078" t="s">
        <v>172</v>
      </c>
      <c r="CZ2078" s="3" t="str">
        <f>"95054"</f>
        <v>95054</v>
      </c>
      <c r="DA2078" t="s">
        <v>131</v>
      </c>
      <c r="DB2078" t="str">
        <f>""</f>
        <v/>
      </c>
      <c r="DF2078" t="str">
        <f>""</f>
        <v/>
      </c>
    </row>
    <row r="2079" spans="1:110" ht="15" customHeight="1" x14ac:dyDescent="0.35">
      <c r="A2079" t="s">
        <v>16519</v>
      </c>
      <c r="B2079" t="s">
        <v>138</v>
      </c>
      <c r="C2079" s="1">
        <v>44366</v>
      </c>
      <c r="G2079" s="1">
        <v>44366</v>
      </c>
      <c r="H2079" t="s">
        <v>125</v>
      </c>
      <c r="I2079" t="s">
        <v>1492</v>
      </c>
      <c r="J2079" t="s">
        <v>1493</v>
      </c>
      <c r="K2079" t="s">
        <v>1312</v>
      </c>
      <c r="L2079" t="s">
        <v>1494</v>
      </c>
      <c r="M2079" t="s">
        <v>564</v>
      </c>
      <c r="N2079" t="s">
        <v>1495</v>
      </c>
      <c r="O2079" t="s">
        <v>220</v>
      </c>
      <c r="P2079" t="s">
        <v>178</v>
      </c>
      <c r="Q2079" s="3">
        <v>94104</v>
      </c>
      <c r="R2079" t="s">
        <v>128</v>
      </c>
      <c r="T2079" s="4">
        <v>14157717500</v>
      </c>
      <c r="U2079">
        <v>262</v>
      </c>
      <c r="V2079" t="s">
        <v>1496</v>
      </c>
      <c r="W2079" t="s">
        <v>4252</v>
      </c>
      <c r="Y2079" t="s">
        <v>4253</v>
      </c>
      <c r="Z2079" t="s">
        <v>4254</v>
      </c>
      <c r="AA2079" t="s">
        <v>2628</v>
      </c>
      <c r="AB2079" t="s">
        <v>172</v>
      </c>
      <c r="AC2079" s="3" t="str">
        <f>"94607"</f>
        <v>94607</v>
      </c>
      <c r="AD2079" t="s">
        <v>128</v>
      </c>
      <c r="AF2079" s="4">
        <v>15108339776</v>
      </c>
      <c r="AH2079" t="str">
        <f>"541990"</f>
        <v>541990</v>
      </c>
      <c r="AI2079" t="s">
        <v>130</v>
      </c>
      <c r="AJ2079" t="s">
        <v>4255</v>
      </c>
      <c r="AK2079" t="s">
        <v>4256</v>
      </c>
      <c r="AL2079" t="s">
        <v>403</v>
      </c>
      <c r="AM2079" t="s">
        <v>564</v>
      </c>
      <c r="AN2079" t="s">
        <v>1495</v>
      </c>
      <c r="AO2079" t="s">
        <v>220</v>
      </c>
      <c r="AP2079" t="s">
        <v>172</v>
      </c>
      <c r="AQ2079" s="5">
        <v>94104</v>
      </c>
      <c r="AR2079" t="s">
        <v>128</v>
      </c>
      <c r="AT2079" s="4">
        <v>14157717500</v>
      </c>
      <c r="AV2079" t="s">
        <v>4257</v>
      </c>
      <c r="AW2079" t="s">
        <v>251</v>
      </c>
      <c r="AX2079" t="s">
        <v>131</v>
      </c>
      <c r="AY2079" t="s">
        <v>131</v>
      </c>
      <c r="AZ2079" t="s">
        <v>131</v>
      </c>
      <c r="BA2079" t="s">
        <v>131</v>
      </c>
      <c r="BB2079" t="s">
        <v>131</v>
      </c>
      <c r="BC2079" t="s">
        <v>131</v>
      </c>
      <c r="BD2079" t="s">
        <v>131</v>
      </c>
      <c r="BE2079" t="s">
        <v>132</v>
      </c>
      <c r="BH2079" t="s">
        <v>16520</v>
      </c>
      <c r="BI2079" t="s">
        <v>131</v>
      </c>
      <c r="BL2079" t="s">
        <v>133</v>
      </c>
      <c r="BN2079" t="s">
        <v>16521</v>
      </c>
      <c r="BO2079" t="s">
        <v>131</v>
      </c>
      <c r="BP2079" t="s">
        <v>134</v>
      </c>
      <c r="BQ2079" t="s">
        <v>131</v>
      </c>
      <c r="BS2079" t="str">
        <f t="shared" si="123"/>
        <v>N/A</v>
      </c>
      <c r="BT2079" t="s">
        <v>135</v>
      </c>
      <c r="BU2079">
        <v>36</v>
      </c>
      <c r="BV2079" t="str">
        <f>"job offered, Risk Analyst, or related occupation"</f>
        <v>job offered, Risk Analyst, or related occupation</v>
      </c>
      <c r="BW2079" t="s">
        <v>135</v>
      </c>
      <c r="BX2079" t="str">
        <f>""</f>
        <v/>
      </c>
      <c r="BY2079" t="str">
        <f>""</f>
        <v/>
      </c>
      <c r="BZ2079" t="str">
        <f>""</f>
        <v/>
      </c>
      <c r="CA2079" t="str">
        <f>"Academic training or experience must include three (3) years in the following:
SAS; SQL; Python; R.
Extensive experience in training statistical machine learning models
Two (2) years of experience in working with credit bureau data.
"</f>
        <v xml:space="preserve">Academic training or experience must include three (3) years in the following:
SAS; SQL; Python; R.
Extensive experience in training statistical machine learning models
Two (2) years of experience in working with credit bureau data.
</v>
      </c>
      <c r="CB2079" t="s">
        <v>131</v>
      </c>
      <c r="CF2079" t="s">
        <v>131</v>
      </c>
      <c r="CH2079" t="str">
        <f>""</f>
        <v/>
      </c>
      <c r="CI2079" t="s">
        <v>131</v>
      </c>
      <c r="CK2079" t="s">
        <v>131</v>
      </c>
      <c r="CL2079" t="str">
        <f>""</f>
        <v/>
      </c>
      <c r="CM2079" t="str">
        <f>""</f>
        <v/>
      </c>
      <c r="CN2079" t="str">
        <f>""</f>
        <v/>
      </c>
      <c r="CO2079" t="str">
        <f>""</f>
        <v/>
      </c>
      <c r="CP2079" t="str">
        <f>"15-2041.00"</f>
        <v>15-2041.00</v>
      </c>
      <c r="CQ2079" t="s">
        <v>379</v>
      </c>
      <c r="CR2079" t="s">
        <v>16522</v>
      </c>
      <c r="CS2079" t="s">
        <v>135</v>
      </c>
      <c r="CT2079" t="s">
        <v>16523</v>
      </c>
      <c r="CU2079" t="s">
        <v>4253</v>
      </c>
      <c r="CV2079" t="s">
        <v>4254</v>
      </c>
      <c r="CW2079" t="s">
        <v>2628</v>
      </c>
      <c r="CX2079" t="s">
        <v>172</v>
      </c>
      <c r="CZ2079" s="3" t="str">
        <f>"94607"</f>
        <v>94607</v>
      </c>
      <c r="DA2079" t="s">
        <v>131</v>
      </c>
      <c r="DB2079" t="str">
        <f>""</f>
        <v/>
      </c>
      <c r="DF2079" t="str">
        <f>""</f>
        <v/>
      </c>
    </row>
    <row r="2080" spans="1:110" ht="15" customHeight="1" x14ac:dyDescent="0.35">
      <c r="A2080" t="s">
        <v>10429</v>
      </c>
      <c r="B2080" t="s">
        <v>138</v>
      </c>
      <c r="C2080" s="1">
        <v>44366</v>
      </c>
      <c r="G2080" s="1">
        <v>44377</v>
      </c>
      <c r="H2080" t="s">
        <v>125</v>
      </c>
      <c r="I2080" t="s">
        <v>502</v>
      </c>
      <c r="J2080" t="s">
        <v>503</v>
      </c>
      <c r="L2080" t="s">
        <v>504</v>
      </c>
      <c r="M2080" t="s">
        <v>505</v>
      </c>
      <c r="O2080" t="s">
        <v>506</v>
      </c>
      <c r="P2080" t="s">
        <v>507</v>
      </c>
      <c r="Q2080" s="3">
        <v>48170</v>
      </c>
      <c r="R2080" t="s">
        <v>128</v>
      </c>
      <c r="T2080" s="4">
        <v>17342289153</v>
      </c>
      <c r="V2080" t="s">
        <v>508</v>
      </c>
      <c r="W2080" t="s">
        <v>509</v>
      </c>
      <c r="Y2080" t="s">
        <v>510</v>
      </c>
      <c r="AA2080" t="s">
        <v>506</v>
      </c>
      <c r="AB2080" t="s">
        <v>511</v>
      </c>
      <c r="AC2080" s="3" t="str">
        <f>"48170"</f>
        <v>48170</v>
      </c>
      <c r="AD2080" t="s">
        <v>128</v>
      </c>
      <c r="AF2080" s="4">
        <v>17342289153</v>
      </c>
      <c r="AH2080" t="str">
        <f>"33611"</f>
        <v>33611</v>
      </c>
      <c r="AI2080" t="s">
        <v>130</v>
      </c>
      <c r="AJ2080" t="s">
        <v>512</v>
      </c>
      <c r="AK2080" t="s">
        <v>513</v>
      </c>
      <c r="AM2080" t="s">
        <v>514</v>
      </c>
      <c r="AO2080" t="s">
        <v>515</v>
      </c>
      <c r="AP2080" t="s">
        <v>129</v>
      </c>
      <c r="AQ2080" s="5">
        <v>10018</v>
      </c>
      <c r="AR2080" t="s">
        <v>128</v>
      </c>
      <c r="AT2080" s="4">
        <v>12126888555</v>
      </c>
      <c r="AV2080" t="s">
        <v>516</v>
      </c>
      <c r="AW2080" t="s">
        <v>517</v>
      </c>
      <c r="AX2080" t="s">
        <v>131</v>
      </c>
      <c r="AY2080" t="s">
        <v>131</v>
      </c>
      <c r="AZ2080" t="s">
        <v>131</v>
      </c>
      <c r="BA2080" t="s">
        <v>131</v>
      </c>
      <c r="BB2080" t="s">
        <v>131</v>
      </c>
      <c r="BC2080" t="s">
        <v>131</v>
      </c>
      <c r="BD2080" t="s">
        <v>131</v>
      </c>
      <c r="BE2080" t="s">
        <v>132</v>
      </c>
      <c r="BH2080" t="s">
        <v>10430</v>
      </c>
      <c r="BI2080" t="s">
        <v>131</v>
      </c>
      <c r="BL2080" t="s">
        <v>133</v>
      </c>
      <c r="BN2080" t="s">
        <v>10431</v>
      </c>
      <c r="BO2080" t="s">
        <v>131</v>
      </c>
      <c r="BP2080" t="s">
        <v>134</v>
      </c>
      <c r="BQ2080" t="s">
        <v>131</v>
      </c>
      <c r="BS2080" t="str">
        <f t="shared" si="123"/>
        <v>N/A</v>
      </c>
      <c r="BT2080" t="s">
        <v>135</v>
      </c>
      <c r="BU2080">
        <v>60</v>
      </c>
      <c r="BV2080" t="str">
        <f>"mobile application development"</f>
        <v>mobile application development</v>
      </c>
      <c r="BW2080" t="s">
        <v>135</v>
      </c>
      <c r="BX2080" t="str">
        <f>""</f>
        <v/>
      </c>
      <c r="BY2080" t="str">
        <f>""</f>
        <v/>
      </c>
      <c r="BZ2080" t="str">
        <f>""</f>
        <v/>
      </c>
      <c r="CA2080" t="s">
        <v>10432</v>
      </c>
      <c r="CB2080" t="s">
        <v>131</v>
      </c>
      <c r="CF2080" t="s">
        <v>131</v>
      </c>
      <c r="CH2080" t="str">
        <f>""</f>
        <v/>
      </c>
      <c r="CI2080" t="s">
        <v>131</v>
      </c>
      <c r="CK2080" t="s">
        <v>131</v>
      </c>
      <c r="CL2080" t="str">
        <f>""</f>
        <v/>
      </c>
      <c r="CM2080" t="str">
        <f>""</f>
        <v/>
      </c>
      <c r="CN2080" t="str">
        <f>""</f>
        <v/>
      </c>
      <c r="CO2080" t="str">
        <f>""</f>
        <v/>
      </c>
      <c r="CP2080" t="str">
        <f>"15-1132.00"</f>
        <v>15-1132.00</v>
      </c>
      <c r="CQ2080" t="s">
        <v>198</v>
      </c>
      <c r="CR2080" t="s">
        <v>10433</v>
      </c>
      <c r="CS2080" t="s">
        <v>131</v>
      </c>
      <c r="CU2080" t="s">
        <v>519</v>
      </c>
      <c r="CV2080" t="s">
        <v>520</v>
      </c>
      <c r="CW2080" t="s">
        <v>521</v>
      </c>
      <c r="CX2080" t="s">
        <v>172</v>
      </c>
      <c r="CZ2080" s="3" t="str">
        <f>"94304"</f>
        <v>94304</v>
      </c>
      <c r="DA2080" t="s">
        <v>131</v>
      </c>
      <c r="DB2080" t="str">
        <f>""</f>
        <v/>
      </c>
      <c r="DF2080" t="str">
        <f>""</f>
        <v/>
      </c>
    </row>
    <row r="2081" spans="1:110" ht="15" customHeight="1" x14ac:dyDescent="0.35">
      <c r="A2081" t="s">
        <v>19348</v>
      </c>
      <c r="B2081" t="s">
        <v>138</v>
      </c>
      <c r="C2081" s="1">
        <v>44366</v>
      </c>
      <c r="G2081" s="1">
        <v>44368</v>
      </c>
      <c r="H2081" t="s">
        <v>125</v>
      </c>
      <c r="I2081" t="s">
        <v>502</v>
      </c>
      <c r="J2081" t="s">
        <v>503</v>
      </c>
      <c r="L2081" t="s">
        <v>504</v>
      </c>
      <c r="M2081" t="s">
        <v>505</v>
      </c>
      <c r="O2081" t="s">
        <v>506</v>
      </c>
      <c r="P2081" t="s">
        <v>507</v>
      </c>
      <c r="Q2081" s="3">
        <v>48170</v>
      </c>
      <c r="R2081" t="s">
        <v>128</v>
      </c>
      <c r="T2081" s="4">
        <v>17342289153</v>
      </c>
      <c r="V2081" t="s">
        <v>508</v>
      </c>
      <c r="W2081" t="s">
        <v>509</v>
      </c>
      <c r="Y2081" t="s">
        <v>510</v>
      </c>
      <c r="AA2081" t="s">
        <v>506</v>
      </c>
      <c r="AB2081" t="s">
        <v>511</v>
      </c>
      <c r="AC2081" s="3" t="str">
        <f>"48170"</f>
        <v>48170</v>
      </c>
      <c r="AD2081" t="s">
        <v>128</v>
      </c>
      <c r="AF2081" s="4">
        <v>17342289153</v>
      </c>
      <c r="AH2081" t="str">
        <f>"33611"</f>
        <v>33611</v>
      </c>
      <c r="AI2081" t="s">
        <v>130</v>
      </c>
      <c r="AJ2081" t="s">
        <v>512</v>
      </c>
      <c r="AK2081" t="s">
        <v>513</v>
      </c>
      <c r="AM2081" t="s">
        <v>514</v>
      </c>
      <c r="AN2081" t="s">
        <v>515</v>
      </c>
      <c r="AO2081" t="s">
        <v>494</v>
      </c>
      <c r="AP2081" t="s">
        <v>129</v>
      </c>
      <c r="AQ2081" s="5">
        <v>10018</v>
      </c>
      <c r="AR2081" t="s">
        <v>128</v>
      </c>
      <c r="AT2081" s="4">
        <v>12126888555</v>
      </c>
      <c r="AV2081" t="s">
        <v>516</v>
      </c>
      <c r="AW2081" t="s">
        <v>517</v>
      </c>
      <c r="AX2081" t="s">
        <v>131</v>
      </c>
      <c r="AY2081" t="s">
        <v>131</v>
      </c>
      <c r="AZ2081" t="s">
        <v>131</v>
      </c>
      <c r="BA2081" t="s">
        <v>131</v>
      </c>
      <c r="BB2081" t="s">
        <v>131</v>
      </c>
      <c r="BC2081" t="s">
        <v>131</v>
      </c>
      <c r="BD2081" t="s">
        <v>131</v>
      </c>
      <c r="BE2081" t="s">
        <v>132</v>
      </c>
      <c r="BH2081" t="s">
        <v>19203</v>
      </c>
      <c r="BI2081" t="s">
        <v>135</v>
      </c>
      <c r="BJ2081" t="s">
        <v>3933</v>
      </c>
      <c r="BK2081" t="s">
        <v>518</v>
      </c>
      <c r="BL2081" t="s">
        <v>133</v>
      </c>
      <c r="BN2081" t="s">
        <v>19204</v>
      </c>
      <c r="BO2081" t="s">
        <v>131</v>
      </c>
      <c r="BP2081" t="s">
        <v>134</v>
      </c>
      <c r="BQ2081" t="s">
        <v>131</v>
      </c>
      <c r="BS2081" t="str">
        <f t="shared" si="123"/>
        <v>N/A</v>
      </c>
      <c r="BT2081" t="s">
        <v>135</v>
      </c>
      <c r="BU2081">
        <v>60</v>
      </c>
      <c r="BV2081" t="str">
        <f>"design engineering"</f>
        <v>design engineering</v>
      </c>
      <c r="BW2081" t="s">
        <v>135</v>
      </c>
      <c r="BX2081" t="str">
        <f>""</f>
        <v/>
      </c>
      <c r="BY2081" t="str">
        <f>""</f>
        <v/>
      </c>
      <c r="BZ2081" t="str">
        <f>""</f>
        <v/>
      </c>
      <c r="CA2081" t="s">
        <v>19205</v>
      </c>
      <c r="CB2081" t="s">
        <v>131</v>
      </c>
      <c r="CF2081" t="s">
        <v>131</v>
      </c>
      <c r="CH2081" t="str">
        <f>""</f>
        <v/>
      </c>
      <c r="CI2081" t="s">
        <v>131</v>
      </c>
      <c r="CK2081" t="s">
        <v>131</v>
      </c>
      <c r="CL2081" t="str">
        <f>""</f>
        <v/>
      </c>
      <c r="CM2081" t="str">
        <f>""</f>
        <v/>
      </c>
      <c r="CN2081" t="str">
        <f>""</f>
        <v/>
      </c>
      <c r="CO2081" t="str">
        <f>""</f>
        <v/>
      </c>
      <c r="CP2081" t="str">
        <f>"17-2141.00"</f>
        <v>17-2141.00</v>
      </c>
      <c r="CQ2081" t="s">
        <v>518</v>
      </c>
      <c r="CR2081" t="s">
        <v>19206</v>
      </c>
      <c r="CS2081" t="s">
        <v>135</v>
      </c>
      <c r="CT2081" t="s">
        <v>19349</v>
      </c>
      <c r="CU2081" t="s">
        <v>519</v>
      </c>
      <c r="CV2081" t="s">
        <v>520</v>
      </c>
      <c r="CW2081" t="s">
        <v>521</v>
      </c>
      <c r="CX2081" t="s">
        <v>172</v>
      </c>
      <c r="CZ2081" s="3" t="str">
        <f>"94304"</f>
        <v>94304</v>
      </c>
      <c r="DA2081" t="s">
        <v>131</v>
      </c>
      <c r="DB2081" t="str">
        <f>""</f>
        <v/>
      </c>
      <c r="DF2081" t="str">
        <f>""</f>
        <v/>
      </c>
    </row>
    <row r="2082" spans="1:110" ht="15" customHeight="1" x14ac:dyDescent="0.35">
      <c r="A2082" t="s">
        <v>11222</v>
      </c>
      <c r="B2082" t="s">
        <v>138</v>
      </c>
      <c r="C2082" s="1">
        <v>44368</v>
      </c>
      <c r="G2082" s="1">
        <v>44368</v>
      </c>
      <c r="H2082" t="s">
        <v>125</v>
      </c>
      <c r="I2082" t="s">
        <v>1090</v>
      </c>
      <c r="J2082" t="s">
        <v>1091</v>
      </c>
      <c r="L2082" t="s">
        <v>1092</v>
      </c>
      <c r="M2082" t="s">
        <v>1093</v>
      </c>
      <c r="O2082" t="s">
        <v>687</v>
      </c>
      <c r="P2082" t="s">
        <v>441</v>
      </c>
      <c r="Q2082" s="3">
        <v>45249</v>
      </c>
      <c r="R2082" t="s">
        <v>128</v>
      </c>
      <c r="T2082" s="4">
        <v>15139005712</v>
      </c>
      <c r="V2082" t="s">
        <v>1094</v>
      </c>
      <c r="W2082" t="s">
        <v>1095</v>
      </c>
      <c r="Y2082" t="s">
        <v>1096</v>
      </c>
      <c r="Z2082" t="s">
        <v>1097</v>
      </c>
      <c r="AA2082" t="s">
        <v>129</v>
      </c>
      <c r="AB2082" t="s">
        <v>129</v>
      </c>
      <c r="AC2082" s="3" t="str">
        <f>"10004"</f>
        <v>10004</v>
      </c>
      <c r="AD2082" t="s">
        <v>128</v>
      </c>
      <c r="AF2082" s="4">
        <v>16464458187</v>
      </c>
      <c r="AG2082">
        <v>0</v>
      </c>
      <c r="AH2082" t="str">
        <f>"541511"</f>
        <v>541511</v>
      </c>
      <c r="AI2082" t="s">
        <v>130</v>
      </c>
      <c r="AJ2082" t="s">
        <v>1098</v>
      </c>
      <c r="AK2082" t="s">
        <v>913</v>
      </c>
      <c r="AM2082" t="s">
        <v>493</v>
      </c>
      <c r="AO2082" t="s">
        <v>494</v>
      </c>
      <c r="AP2082" t="s">
        <v>129</v>
      </c>
      <c r="AQ2082" s="5">
        <v>10018</v>
      </c>
      <c r="AR2082" t="s">
        <v>128</v>
      </c>
      <c r="AT2082" s="4">
        <v>12126888555</v>
      </c>
      <c r="AV2082" t="s">
        <v>1488</v>
      </c>
      <c r="AW2082" t="s">
        <v>386</v>
      </c>
      <c r="AX2082" t="s">
        <v>131</v>
      </c>
      <c r="AY2082" t="s">
        <v>131</v>
      </c>
      <c r="AZ2082" t="s">
        <v>131</v>
      </c>
      <c r="BA2082" t="s">
        <v>131</v>
      </c>
      <c r="BB2082" t="s">
        <v>131</v>
      </c>
      <c r="BC2082" t="s">
        <v>131</v>
      </c>
      <c r="BD2082" t="s">
        <v>131</v>
      </c>
      <c r="BE2082" t="s">
        <v>160</v>
      </c>
      <c r="BF2082" t="s">
        <v>7847</v>
      </c>
      <c r="BG2082" s="1">
        <v>43891</v>
      </c>
      <c r="BH2082" t="s">
        <v>7848</v>
      </c>
      <c r="BI2082" t="s">
        <v>131</v>
      </c>
      <c r="BL2082" t="s">
        <v>133</v>
      </c>
      <c r="BN2082" t="s">
        <v>7849</v>
      </c>
      <c r="BO2082" t="s">
        <v>131</v>
      </c>
      <c r="BP2082" t="s">
        <v>134</v>
      </c>
      <c r="BQ2082" t="s">
        <v>131</v>
      </c>
      <c r="BS2082" t="str">
        <f t="shared" si="123"/>
        <v>N/A</v>
      </c>
      <c r="BT2082" t="s">
        <v>135</v>
      </c>
      <c r="BU2082">
        <v>72</v>
      </c>
      <c r="BV2082" t="str">
        <f>"Associate Technical Lead or related."</f>
        <v>Associate Technical Lead or related.</v>
      </c>
      <c r="BW2082" t="s">
        <v>135</v>
      </c>
      <c r="BX2082" t="str">
        <f>""</f>
        <v/>
      </c>
      <c r="BY2082" t="str">
        <f>""</f>
        <v/>
      </c>
      <c r="BZ2082" t="str">
        <f>""</f>
        <v/>
      </c>
      <c r="CA2082" t="s">
        <v>7850</v>
      </c>
      <c r="CB2082" t="s">
        <v>135</v>
      </c>
      <c r="CC2082" t="s">
        <v>188</v>
      </c>
      <c r="CE2082" t="s">
        <v>7849</v>
      </c>
      <c r="CF2082" t="s">
        <v>131</v>
      </c>
      <c r="CH2082" t="str">
        <f>"N/A"</f>
        <v>N/A</v>
      </c>
      <c r="CI2082" t="s">
        <v>135</v>
      </c>
      <c r="CJ2082">
        <v>36</v>
      </c>
      <c r="CK2082" t="s">
        <v>135</v>
      </c>
      <c r="CL2082" t="str">
        <f>""</f>
        <v/>
      </c>
      <c r="CM2082" t="str">
        <f>""</f>
        <v/>
      </c>
      <c r="CN2082" t="str">
        <f>""</f>
        <v/>
      </c>
      <c r="CO2082" t="s">
        <v>11223</v>
      </c>
      <c r="CP2082" t="str">
        <f>"15-1132.00"</f>
        <v>15-1132.00</v>
      </c>
      <c r="CQ2082" t="s">
        <v>198</v>
      </c>
      <c r="CR2082" t="s">
        <v>290</v>
      </c>
      <c r="CS2082" t="s">
        <v>135</v>
      </c>
      <c r="CT2082" t="s">
        <v>3163</v>
      </c>
      <c r="CU2082" t="s">
        <v>7852</v>
      </c>
      <c r="CV2082" t="s">
        <v>788</v>
      </c>
      <c r="CW2082" t="s">
        <v>2323</v>
      </c>
      <c r="CX2082" t="s">
        <v>594</v>
      </c>
      <c r="CZ2082" s="3" t="str">
        <f>"27703"</f>
        <v>27703</v>
      </c>
      <c r="DA2082" t="s">
        <v>131</v>
      </c>
      <c r="DB2082" t="str">
        <f>""</f>
        <v/>
      </c>
      <c r="DF2082" t="str">
        <f>""</f>
        <v/>
      </c>
    </row>
    <row r="2083" spans="1:110" ht="15" customHeight="1" x14ac:dyDescent="0.35">
      <c r="A2083" t="s">
        <v>12872</v>
      </c>
      <c r="B2083" t="s">
        <v>138</v>
      </c>
      <c r="C2083" s="1">
        <v>44368</v>
      </c>
      <c r="G2083" s="1">
        <v>44371</v>
      </c>
      <c r="H2083" t="s">
        <v>125</v>
      </c>
      <c r="I2083" t="s">
        <v>4098</v>
      </c>
      <c r="J2083" t="s">
        <v>4099</v>
      </c>
      <c r="K2083" t="s">
        <v>1225</v>
      </c>
      <c r="L2083" t="s">
        <v>223</v>
      </c>
      <c r="M2083" t="s">
        <v>4100</v>
      </c>
      <c r="N2083" t="s">
        <v>4101</v>
      </c>
      <c r="O2083" t="s">
        <v>4102</v>
      </c>
      <c r="P2083" t="s">
        <v>3462</v>
      </c>
      <c r="Q2083" s="3">
        <v>96952</v>
      </c>
      <c r="R2083" t="s">
        <v>128</v>
      </c>
      <c r="S2083" t="s">
        <v>134</v>
      </c>
      <c r="T2083" s="4">
        <v>16704339989</v>
      </c>
      <c r="V2083" t="s">
        <v>4103</v>
      </c>
      <c r="W2083" t="s">
        <v>4104</v>
      </c>
      <c r="X2083" t="s">
        <v>134</v>
      </c>
      <c r="Y2083" t="s">
        <v>4100</v>
      </c>
      <c r="Z2083" t="s">
        <v>4101</v>
      </c>
      <c r="AA2083" t="s">
        <v>4102</v>
      </c>
      <c r="AB2083" t="s">
        <v>3463</v>
      </c>
      <c r="AC2083" s="3" t="str">
        <f>"96952"</f>
        <v>96952</v>
      </c>
      <c r="AD2083" t="s">
        <v>128</v>
      </c>
      <c r="AE2083" t="s">
        <v>134</v>
      </c>
      <c r="AF2083" s="4">
        <v>16704339989</v>
      </c>
      <c r="AH2083" t="str">
        <f>"481111"</f>
        <v>481111</v>
      </c>
      <c r="AI2083" t="s">
        <v>167</v>
      </c>
      <c r="AX2083" t="s">
        <v>131</v>
      </c>
      <c r="AY2083" t="s">
        <v>131</v>
      </c>
      <c r="AZ2083" t="s">
        <v>131</v>
      </c>
      <c r="BA2083" t="s">
        <v>131</v>
      </c>
      <c r="BB2083" t="s">
        <v>131</v>
      </c>
      <c r="BC2083" t="s">
        <v>131</v>
      </c>
      <c r="BD2083" t="s">
        <v>131</v>
      </c>
      <c r="BE2083" t="s">
        <v>160</v>
      </c>
      <c r="BF2083" t="s">
        <v>4105</v>
      </c>
      <c r="BG2083" s="1">
        <v>44081</v>
      </c>
      <c r="BH2083" t="s">
        <v>12873</v>
      </c>
      <c r="BI2083" t="s">
        <v>131</v>
      </c>
      <c r="BL2083" t="s">
        <v>401</v>
      </c>
      <c r="BO2083" t="s">
        <v>131</v>
      </c>
      <c r="BP2083" t="s">
        <v>134</v>
      </c>
      <c r="BQ2083" t="s">
        <v>135</v>
      </c>
      <c r="BR2083">
        <v>2</v>
      </c>
      <c r="BS2083" t="str">
        <f>"REQ'D GROUND &amp; FLIGHT TRAINING PER FAA"</f>
        <v>REQ'D GROUND &amp; FLIGHT TRAINING PER FAA</v>
      </c>
      <c r="BT2083" t="s">
        <v>135</v>
      </c>
      <c r="BU2083">
        <v>6</v>
      </c>
      <c r="BV2083" t="str">
        <f>"Commercial Pilot"</f>
        <v>Commercial Pilot</v>
      </c>
      <c r="BW2083" t="s">
        <v>135</v>
      </c>
      <c r="BX2083" t="str">
        <f>""</f>
        <v/>
      </c>
      <c r="BY2083" t="str">
        <f>""</f>
        <v/>
      </c>
      <c r="BZ2083" t="str">
        <f>""</f>
        <v/>
      </c>
      <c r="CA2083" s="2" t="s">
        <v>12874</v>
      </c>
      <c r="CB2083" t="s">
        <v>131</v>
      </c>
      <c r="CF2083" t="s">
        <v>131</v>
      </c>
      <c r="CH2083" t="str">
        <f>""</f>
        <v/>
      </c>
      <c r="CI2083" t="s">
        <v>131</v>
      </c>
      <c r="CK2083" t="s">
        <v>131</v>
      </c>
      <c r="CL2083" t="str">
        <f>""</f>
        <v/>
      </c>
      <c r="CM2083" t="str">
        <f>""</f>
        <v/>
      </c>
      <c r="CN2083" t="str">
        <f>""</f>
        <v/>
      </c>
      <c r="CO2083" t="str">
        <f>""</f>
        <v/>
      </c>
      <c r="CP2083" t="str">
        <f>"53-2012.00"</f>
        <v>53-2012.00</v>
      </c>
      <c r="CQ2083" t="s">
        <v>2697</v>
      </c>
      <c r="CR2083" t="s">
        <v>12875</v>
      </c>
      <c r="CS2083" t="s">
        <v>131</v>
      </c>
      <c r="CU2083" t="s">
        <v>4100</v>
      </c>
      <c r="CV2083" t="s">
        <v>4101</v>
      </c>
      <c r="CW2083" t="s">
        <v>4102</v>
      </c>
      <c r="CX2083" t="s">
        <v>3463</v>
      </c>
      <c r="CZ2083" s="3" t="str">
        <f>"96952"</f>
        <v>96952</v>
      </c>
      <c r="DA2083" t="s">
        <v>131</v>
      </c>
      <c r="DB2083" t="str">
        <f>""</f>
        <v/>
      </c>
      <c r="DF2083" t="str">
        <f>""</f>
        <v/>
      </c>
    </row>
    <row r="2084" spans="1:110" ht="15" customHeight="1" x14ac:dyDescent="0.35">
      <c r="A2084" t="s">
        <v>17538</v>
      </c>
      <c r="B2084" t="s">
        <v>138</v>
      </c>
      <c r="C2084" s="1">
        <v>44368</v>
      </c>
      <c r="G2084" s="1">
        <v>44369</v>
      </c>
      <c r="H2084" t="s">
        <v>125</v>
      </c>
      <c r="I2084" t="s">
        <v>5483</v>
      </c>
      <c r="J2084" t="s">
        <v>1345</v>
      </c>
      <c r="L2084" t="s">
        <v>1346</v>
      </c>
      <c r="M2084" t="s">
        <v>1347</v>
      </c>
      <c r="O2084" t="s">
        <v>1348</v>
      </c>
      <c r="P2084" t="s">
        <v>539</v>
      </c>
      <c r="Q2084" s="3">
        <v>60015</v>
      </c>
      <c r="R2084" t="s">
        <v>128</v>
      </c>
      <c r="T2084" s="4">
        <v>12244052549</v>
      </c>
      <c r="V2084" t="s">
        <v>4535</v>
      </c>
      <c r="W2084" t="s">
        <v>4536</v>
      </c>
      <c r="Y2084" t="s">
        <v>1351</v>
      </c>
      <c r="AA2084" t="s">
        <v>1348</v>
      </c>
      <c r="AB2084" t="s">
        <v>263</v>
      </c>
      <c r="AC2084" s="3" t="str">
        <f>"60015"</f>
        <v>60015</v>
      </c>
      <c r="AD2084" t="s">
        <v>128</v>
      </c>
      <c r="AF2084" s="4">
        <v>12244053726</v>
      </c>
      <c r="AG2084">
        <v>0</v>
      </c>
      <c r="AH2084" t="str">
        <f>"522291"</f>
        <v>522291</v>
      </c>
      <c r="AI2084" t="s">
        <v>130</v>
      </c>
      <c r="AJ2084" t="s">
        <v>1352</v>
      </c>
      <c r="AK2084" t="s">
        <v>260</v>
      </c>
      <c r="AM2084" t="s">
        <v>493</v>
      </c>
      <c r="AO2084" t="s">
        <v>494</v>
      </c>
      <c r="AP2084" t="s">
        <v>129</v>
      </c>
      <c r="AQ2084" s="5">
        <v>10018</v>
      </c>
      <c r="AR2084" t="s">
        <v>128</v>
      </c>
      <c r="AT2084" s="4">
        <v>12126888555</v>
      </c>
      <c r="AV2084" t="s">
        <v>1353</v>
      </c>
      <c r="AW2084" t="s">
        <v>386</v>
      </c>
      <c r="AX2084" t="s">
        <v>131</v>
      </c>
      <c r="AY2084" t="s">
        <v>131</v>
      </c>
      <c r="AZ2084" t="s">
        <v>131</v>
      </c>
      <c r="BA2084" t="s">
        <v>131</v>
      </c>
      <c r="BB2084" t="s">
        <v>131</v>
      </c>
      <c r="BC2084" t="s">
        <v>131</v>
      </c>
      <c r="BD2084" t="s">
        <v>131</v>
      </c>
      <c r="BE2084" t="s">
        <v>160</v>
      </c>
      <c r="BF2084" t="s">
        <v>9013</v>
      </c>
      <c r="BG2084" s="1">
        <v>43922</v>
      </c>
      <c r="BH2084" t="s">
        <v>9014</v>
      </c>
      <c r="BI2084" t="s">
        <v>131</v>
      </c>
      <c r="BL2084" t="s">
        <v>133</v>
      </c>
      <c r="BN2084" t="s">
        <v>17539</v>
      </c>
      <c r="BO2084" t="s">
        <v>131</v>
      </c>
      <c r="BP2084" t="s">
        <v>134</v>
      </c>
      <c r="BQ2084" t="s">
        <v>131</v>
      </c>
      <c r="BS2084" t="str">
        <f t="shared" ref="BS2084:BS2115" si="124">"N/A"</f>
        <v>N/A</v>
      </c>
      <c r="BT2084" t="s">
        <v>135</v>
      </c>
      <c r="BU2084">
        <v>48</v>
      </c>
      <c r="BV2084" t="str">
        <f>"Lead Consultant, Associate Technical Architect or related."</f>
        <v>Lead Consultant, Associate Technical Architect or related.</v>
      </c>
      <c r="BW2084" t="s">
        <v>135</v>
      </c>
      <c r="BX2084" t="str">
        <f>""</f>
        <v/>
      </c>
      <c r="BY2084" t="str">
        <f>""</f>
        <v/>
      </c>
      <c r="BZ2084" t="str">
        <f>""</f>
        <v/>
      </c>
      <c r="CA2084" t="s">
        <v>9015</v>
      </c>
      <c r="CB2084" t="s">
        <v>131</v>
      </c>
      <c r="CF2084" t="s">
        <v>131</v>
      </c>
      <c r="CH2084" t="str">
        <f>""</f>
        <v/>
      </c>
      <c r="CI2084" t="s">
        <v>131</v>
      </c>
      <c r="CK2084" t="s">
        <v>131</v>
      </c>
      <c r="CL2084" t="str">
        <f>""</f>
        <v/>
      </c>
      <c r="CM2084" t="str">
        <f>""</f>
        <v/>
      </c>
      <c r="CN2084" t="str">
        <f>""</f>
        <v/>
      </c>
      <c r="CO2084" t="str">
        <f>""</f>
        <v/>
      </c>
      <c r="CP2084" t="str">
        <f>"15-1132.00"</f>
        <v>15-1132.00</v>
      </c>
      <c r="CQ2084" t="s">
        <v>198</v>
      </c>
      <c r="CR2084" t="s">
        <v>9016</v>
      </c>
      <c r="CS2084" t="s">
        <v>131</v>
      </c>
      <c r="CU2084" t="s">
        <v>1347</v>
      </c>
      <c r="CW2084" t="s">
        <v>1348</v>
      </c>
      <c r="CX2084" t="s">
        <v>263</v>
      </c>
      <c r="CZ2084" s="3" t="str">
        <f>"60015"</f>
        <v>60015</v>
      </c>
      <c r="DA2084" t="s">
        <v>131</v>
      </c>
      <c r="DB2084" t="str">
        <f>""</f>
        <v/>
      </c>
      <c r="DF2084" t="str">
        <f>""</f>
        <v/>
      </c>
    </row>
    <row r="2085" spans="1:110" ht="15" customHeight="1" x14ac:dyDescent="0.35">
      <c r="A2085" t="s">
        <v>17225</v>
      </c>
      <c r="B2085" t="s">
        <v>138</v>
      </c>
      <c r="C2085" s="1">
        <v>44368</v>
      </c>
      <c r="G2085" s="1">
        <v>44369</v>
      </c>
      <c r="H2085" t="s">
        <v>125</v>
      </c>
      <c r="I2085" t="s">
        <v>1074</v>
      </c>
      <c r="J2085" t="s">
        <v>11121</v>
      </c>
      <c r="K2085" t="s">
        <v>11122</v>
      </c>
      <c r="L2085" t="s">
        <v>3924</v>
      </c>
      <c r="M2085" t="s">
        <v>11123</v>
      </c>
      <c r="O2085" t="s">
        <v>3925</v>
      </c>
      <c r="P2085" t="s">
        <v>2878</v>
      </c>
      <c r="Q2085" s="3">
        <v>96814</v>
      </c>
      <c r="R2085" t="s">
        <v>128</v>
      </c>
      <c r="T2085" s="4">
        <v>18085967555</v>
      </c>
      <c r="V2085" t="s">
        <v>11124</v>
      </c>
      <c r="W2085" t="s">
        <v>11125</v>
      </c>
      <c r="X2085" t="s">
        <v>11126</v>
      </c>
      <c r="Y2085" t="s">
        <v>11123</v>
      </c>
      <c r="AA2085" t="s">
        <v>3925</v>
      </c>
      <c r="AB2085" t="s">
        <v>2879</v>
      </c>
      <c r="AC2085" s="3" t="str">
        <f>"96814"</f>
        <v>96814</v>
      </c>
      <c r="AD2085" t="s">
        <v>128</v>
      </c>
      <c r="AF2085" s="4">
        <v>18085967555</v>
      </c>
      <c r="AH2085" t="str">
        <f>"722511"</f>
        <v>722511</v>
      </c>
      <c r="AI2085" t="s">
        <v>130</v>
      </c>
      <c r="AJ2085" t="s">
        <v>1074</v>
      </c>
      <c r="AK2085" t="s">
        <v>13897</v>
      </c>
      <c r="AL2085" t="s">
        <v>1916</v>
      </c>
      <c r="AM2085" t="s">
        <v>3926</v>
      </c>
      <c r="AN2085" t="s">
        <v>3927</v>
      </c>
      <c r="AO2085" t="s">
        <v>3925</v>
      </c>
      <c r="AP2085" t="s">
        <v>2879</v>
      </c>
      <c r="AQ2085" s="5">
        <v>96813</v>
      </c>
      <c r="AR2085" t="s">
        <v>128</v>
      </c>
      <c r="AT2085" s="4">
        <v>18087987450</v>
      </c>
      <c r="AV2085" t="s">
        <v>3928</v>
      </c>
      <c r="AW2085" t="s">
        <v>3929</v>
      </c>
      <c r="AX2085" t="s">
        <v>131</v>
      </c>
      <c r="AY2085" t="s">
        <v>131</v>
      </c>
      <c r="AZ2085" t="s">
        <v>131</v>
      </c>
      <c r="BA2085" t="s">
        <v>131</v>
      </c>
      <c r="BB2085" t="s">
        <v>131</v>
      </c>
      <c r="BC2085" t="s">
        <v>131</v>
      </c>
      <c r="BD2085" t="s">
        <v>131</v>
      </c>
      <c r="BE2085" t="s">
        <v>132</v>
      </c>
      <c r="BH2085" t="s">
        <v>569</v>
      </c>
      <c r="BI2085" t="s">
        <v>131</v>
      </c>
      <c r="BL2085" t="s">
        <v>133</v>
      </c>
      <c r="BN2085" t="s">
        <v>17226</v>
      </c>
      <c r="BO2085" t="s">
        <v>131</v>
      </c>
      <c r="BP2085" t="s">
        <v>134</v>
      </c>
      <c r="BQ2085" t="s">
        <v>131</v>
      </c>
      <c r="BS2085" t="str">
        <f t="shared" si="124"/>
        <v>N/A</v>
      </c>
      <c r="BT2085" t="s">
        <v>131</v>
      </c>
      <c r="BV2085" t="str">
        <f>""</f>
        <v/>
      </c>
      <c r="BW2085" t="s">
        <v>135</v>
      </c>
      <c r="BX2085" t="str">
        <f>""</f>
        <v/>
      </c>
      <c r="BY2085" t="str">
        <f>"Must be proficient in Korean. "</f>
        <v xml:space="preserve">Must be proficient in Korean. </v>
      </c>
      <c r="BZ2085" t="str">
        <f>""</f>
        <v/>
      </c>
      <c r="CA2085" t="str">
        <f>""</f>
        <v/>
      </c>
      <c r="CB2085" t="s">
        <v>131</v>
      </c>
      <c r="CF2085" t="s">
        <v>131</v>
      </c>
      <c r="CH2085" t="str">
        <f>""</f>
        <v/>
      </c>
      <c r="CI2085" t="s">
        <v>131</v>
      </c>
      <c r="CK2085" t="s">
        <v>131</v>
      </c>
      <c r="CL2085" t="str">
        <f>""</f>
        <v/>
      </c>
      <c r="CM2085" t="str">
        <f>""</f>
        <v/>
      </c>
      <c r="CN2085" t="str">
        <f>""</f>
        <v/>
      </c>
      <c r="CO2085" t="str">
        <f>""</f>
        <v/>
      </c>
      <c r="CP2085" t="str">
        <f>"11-1021.00"</f>
        <v>11-1021.00</v>
      </c>
      <c r="CQ2085" t="s">
        <v>1296</v>
      </c>
      <c r="CS2085" t="s">
        <v>131</v>
      </c>
      <c r="CU2085" t="s">
        <v>11123</v>
      </c>
      <c r="CW2085" t="s">
        <v>3925</v>
      </c>
      <c r="CX2085" t="s">
        <v>2879</v>
      </c>
      <c r="CZ2085" s="3" t="str">
        <f>"96814"</f>
        <v>96814</v>
      </c>
      <c r="DA2085" t="s">
        <v>131</v>
      </c>
      <c r="DB2085" t="str">
        <f>""</f>
        <v/>
      </c>
      <c r="DF2085" t="str">
        <f>""</f>
        <v/>
      </c>
    </row>
    <row r="2086" spans="1:110" ht="15" customHeight="1" x14ac:dyDescent="0.35">
      <c r="A2086" t="s">
        <v>13895</v>
      </c>
      <c r="B2086" t="s">
        <v>138</v>
      </c>
      <c r="C2086" s="1">
        <v>44368</v>
      </c>
      <c r="G2086" s="1">
        <v>44369</v>
      </c>
      <c r="H2086" t="s">
        <v>125</v>
      </c>
      <c r="I2086" t="s">
        <v>1074</v>
      </c>
      <c r="J2086" t="s">
        <v>13896</v>
      </c>
      <c r="K2086" t="s">
        <v>11122</v>
      </c>
      <c r="L2086" t="s">
        <v>3924</v>
      </c>
      <c r="M2086" t="s">
        <v>11123</v>
      </c>
      <c r="O2086" t="s">
        <v>3925</v>
      </c>
      <c r="P2086" t="s">
        <v>2878</v>
      </c>
      <c r="Q2086" s="3">
        <v>96814</v>
      </c>
      <c r="R2086" t="s">
        <v>128</v>
      </c>
      <c r="T2086" s="4">
        <v>18085967555</v>
      </c>
      <c r="V2086" t="s">
        <v>11124</v>
      </c>
      <c r="W2086" t="s">
        <v>11125</v>
      </c>
      <c r="X2086" t="s">
        <v>11126</v>
      </c>
      <c r="Y2086" t="s">
        <v>11123</v>
      </c>
      <c r="AA2086" t="s">
        <v>3925</v>
      </c>
      <c r="AB2086" t="s">
        <v>2879</v>
      </c>
      <c r="AC2086" s="3" t="str">
        <f>"96814"</f>
        <v>96814</v>
      </c>
      <c r="AD2086" t="s">
        <v>128</v>
      </c>
      <c r="AF2086" s="4">
        <v>18085967555</v>
      </c>
      <c r="AH2086" t="str">
        <f>"722511"</f>
        <v>722511</v>
      </c>
      <c r="AI2086" t="s">
        <v>130</v>
      </c>
      <c r="AJ2086" t="s">
        <v>1074</v>
      </c>
      <c r="AK2086" t="s">
        <v>13897</v>
      </c>
      <c r="AL2086" t="s">
        <v>1916</v>
      </c>
      <c r="AM2086" t="s">
        <v>3926</v>
      </c>
      <c r="AN2086" t="s">
        <v>3927</v>
      </c>
      <c r="AO2086" t="s">
        <v>3925</v>
      </c>
      <c r="AP2086" t="s">
        <v>2879</v>
      </c>
      <c r="AQ2086" s="5">
        <v>96813</v>
      </c>
      <c r="AR2086" t="s">
        <v>128</v>
      </c>
      <c r="AT2086" s="4">
        <v>18087987450</v>
      </c>
      <c r="AV2086" t="s">
        <v>3928</v>
      </c>
      <c r="AW2086" t="s">
        <v>3929</v>
      </c>
      <c r="AX2086" t="s">
        <v>131</v>
      </c>
      <c r="AY2086" t="s">
        <v>131</v>
      </c>
      <c r="AZ2086" t="s">
        <v>131</v>
      </c>
      <c r="BA2086" t="s">
        <v>131</v>
      </c>
      <c r="BB2086" t="s">
        <v>131</v>
      </c>
      <c r="BC2086" t="s">
        <v>131</v>
      </c>
      <c r="BD2086" t="s">
        <v>131</v>
      </c>
      <c r="BE2086" t="s">
        <v>132</v>
      </c>
      <c r="BH2086" t="s">
        <v>569</v>
      </c>
      <c r="BI2086" t="s">
        <v>131</v>
      </c>
      <c r="BL2086" t="s">
        <v>133</v>
      </c>
      <c r="BN2086" t="s">
        <v>13898</v>
      </c>
      <c r="BO2086" t="s">
        <v>131</v>
      </c>
      <c r="BP2086" t="s">
        <v>134</v>
      </c>
      <c r="BQ2086" t="s">
        <v>131</v>
      </c>
      <c r="BS2086" t="str">
        <f t="shared" si="124"/>
        <v>N/A</v>
      </c>
      <c r="BT2086" t="s">
        <v>131</v>
      </c>
      <c r="BV2086" t="str">
        <f>""</f>
        <v/>
      </c>
      <c r="BW2086" t="s">
        <v>135</v>
      </c>
      <c r="BX2086" t="str">
        <f>""</f>
        <v/>
      </c>
      <c r="BY2086" t="str">
        <f>"Must be proficient in Korean. "</f>
        <v xml:space="preserve">Must be proficient in Korean. </v>
      </c>
      <c r="BZ2086" t="str">
        <f>""</f>
        <v/>
      </c>
      <c r="CA2086" t="str">
        <f>""</f>
        <v/>
      </c>
      <c r="CB2086" t="s">
        <v>131</v>
      </c>
      <c r="CF2086" t="s">
        <v>131</v>
      </c>
      <c r="CH2086" t="str">
        <f>""</f>
        <v/>
      </c>
      <c r="CI2086" t="s">
        <v>131</v>
      </c>
      <c r="CK2086" t="s">
        <v>131</v>
      </c>
      <c r="CL2086" t="str">
        <f>""</f>
        <v/>
      </c>
      <c r="CM2086" t="str">
        <f>""</f>
        <v/>
      </c>
      <c r="CN2086" t="str">
        <f>""</f>
        <v/>
      </c>
      <c r="CO2086" t="str">
        <f>""</f>
        <v/>
      </c>
      <c r="CP2086" t="str">
        <f>"11-1021.00"</f>
        <v>11-1021.00</v>
      </c>
      <c r="CQ2086" t="s">
        <v>1296</v>
      </c>
      <c r="CS2086" t="s">
        <v>131</v>
      </c>
      <c r="CU2086" t="s">
        <v>11123</v>
      </c>
      <c r="CW2086" t="s">
        <v>3925</v>
      </c>
      <c r="CX2086" t="s">
        <v>2879</v>
      </c>
      <c r="CZ2086" s="3" t="str">
        <f>"96814"</f>
        <v>96814</v>
      </c>
      <c r="DA2086" t="s">
        <v>131</v>
      </c>
      <c r="DB2086" t="str">
        <f>""</f>
        <v/>
      </c>
      <c r="DF2086" t="str">
        <f>""</f>
        <v/>
      </c>
    </row>
    <row r="2087" spans="1:110" ht="15" customHeight="1" x14ac:dyDescent="0.35">
      <c r="A2087" t="s">
        <v>17073</v>
      </c>
      <c r="B2087" t="s">
        <v>138</v>
      </c>
      <c r="C2087" s="1">
        <v>44368</v>
      </c>
      <c r="G2087" s="1">
        <v>44369</v>
      </c>
      <c r="H2087" t="s">
        <v>125</v>
      </c>
      <c r="I2087" t="s">
        <v>1074</v>
      </c>
      <c r="J2087" t="s">
        <v>11121</v>
      </c>
      <c r="K2087" t="s">
        <v>11122</v>
      </c>
      <c r="L2087" t="s">
        <v>3924</v>
      </c>
      <c r="M2087" t="s">
        <v>11123</v>
      </c>
      <c r="O2087" t="s">
        <v>3925</v>
      </c>
      <c r="P2087" t="s">
        <v>2878</v>
      </c>
      <c r="Q2087" s="3">
        <v>96814</v>
      </c>
      <c r="R2087" t="s">
        <v>128</v>
      </c>
      <c r="T2087" s="4">
        <v>18085967555</v>
      </c>
      <c r="V2087" t="s">
        <v>11124</v>
      </c>
      <c r="W2087" t="s">
        <v>11125</v>
      </c>
      <c r="X2087" t="s">
        <v>11126</v>
      </c>
      <c r="Y2087" t="s">
        <v>11123</v>
      </c>
      <c r="AA2087" t="s">
        <v>3925</v>
      </c>
      <c r="AB2087" t="s">
        <v>2879</v>
      </c>
      <c r="AC2087" s="3" t="str">
        <f>"96813"</f>
        <v>96813</v>
      </c>
      <c r="AD2087" t="s">
        <v>128</v>
      </c>
      <c r="AF2087" s="4">
        <v>18085967555</v>
      </c>
      <c r="AH2087" t="str">
        <f>"722511"</f>
        <v>722511</v>
      </c>
      <c r="AI2087" t="s">
        <v>130</v>
      </c>
      <c r="AJ2087" t="s">
        <v>1074</v>
      </c>
      <c r="AK2087" t="s">
        <v>17074</v>
      </c>
      <c r="AL2087" t="s">
        <v>1916</v>
      </c>
      <c r="AM2087" t="s">
        <v>3926</v>
      </c>
      <c r="AN2087" t="s">
        <v>3927</v>
      </c>
      <c r="AO2087" t="s">
        <v>3925</v>
      </c>
      <c r="AP2087" t="s">
        <v>2879</v>
      </c>
      <c r="AQ2087" s="5">
        <v>96813</v>
      </c>
      <c r="AR2087" t="s">
        <v>128</v>
      </c>
      <c r="AT2087" s="4">
        <v>18087987450</v>
      </c>
      <c r="AV2087" t="s">
        <v>3928</v>
      </c>
      <c r="AW2087" t="s">
        <v>3929</v>
      </c>
      <c r="AX2087" t="s">
        <v>131</v>
      </c>
      <c r="AY2087" t="s">
        <v>131</v>
      </c>
      <c r="AZ2087" t="s">
        <v>131</v>
      </c>
      <c r="BA2087" t="s">
        <v>131</v>
      </c>
      <c r="BB2087" t="s">
        <v>131</v>
      </c>
      <c r="BC2087" t="s">
        <v>131</v>
      </c>
      <c r="BD2087" t="s">
        <v>131</v>
      </c>
      <c r="BE2087" t="s">
        <v>132</v>
      </c>
      <c r="BH2087" t="s">
        <v>569</v>
      </c>
      <c r="BI2087" t="s">
        <v>131</v>
      </c>
      <c r="BL2087" t="s">
        <v>133</v>
      </c>
      <c r="BN2087" t="s">
        <v>17075</v>
      </c>
      <c r="BO2087" t="s">
        <v>131</v>
      </c>
      <c r="BP2087" t="s">
        <v>134</v>
      </c>
      <c r="BQ2087" t="s">
        <v>131</v>
      </c>
      <c r="BS2087" t="str">
        <f t="shared" si="124"/>
        <v>N/A</v>
      </c>
      <c r="BT2087" t="s">
        <v>131</v>
      </c>
      <c r="BV2087" t="str">
        <f>""</f>
        <v/>
      </c>
      <c r="BW2087" t="s">
        <v>131</v>
      </c>
      <c r="BX2087" t="str">
        <f>""</f>
        <v/>
      </c>
      <c r="BY2087" t="str">
        <f>""</f>
        <v/>
      </c>
      <c r="BZ2087" t="str">
        <f>""</f>
        <v/>
      </c>
      <c r="CA2087" t="str">
        <f>""</f>
        <v/>
      </c>
      <c r="CB2087" t="s">
        <v>131</v>
      </c>
      <c r="CF2087" t="s">
        <v>131</v>
      </c>
      <c r="CH2087" t="str">
        <f>""</f>
        <v/>
      </c>
      <c r="CI2087" t="s">
        <v>131</v>
      </c>
      <c r="CK2087" t="s">
        <v>131</v>
      </c>
      <c r="CL2087" t="str">
        <f>""</f>
        <v/>
      </c>
      <c r="CM2087" t="str">
        <f>""</f>
        <v/>
      </c>
      <c r="CN2087" t="str">
        <f>""</f>
        <v/>
      </c>
      <c r="CO2087" t="str">
        <f>""</f>
        <v/>
      </c>
      <c r="CP2087" t="str">
        <f>"11-1021.00"</f>
        <v>11-1021.00</v>
      </c>
      <c r="CQ2087" t="s">
        <v>1296</v>
      </c>
      <c r="CS2087" t="s">
        <v>131</v>
      </c>
      <c r="CU2087" t="s">
        <v>11123</v>
      </c>
      <c r="CW2087" t="s">
        <v>3925</v>
      </c>
      <c r="CX2087" t="s">
        <v>2879</v>
      </c>
      <c r="CZ2087" s="3" t="str">
        <f>"96814"</f>
        <v>96814</v>
      </c>
      <c r="DA2087" t="s">
        <v>131</v>
      </c>
      <c r="DB2087" t="str">
        <f>""</f>
        <v/>
      </c>
      <c r="DF2087" t="str">
        <f>""</f>
        <v/>
      </c>
    </row>
    <row r="2088" spans="1:110" ht="15" customHeight="1" x14ac:dyDescent="0.35">
      <c r="A2088" t="s">
        <v>8095</v>
      </c>
      <c r="B2088" t="s">
        <v>138</v>
      </c>
      <c r="C2088" s="1">
        <v>44368</v>
      </c>
      <c r="G2088" s="1">
        <v>44369</v>
      </c>
      <c r="H2088" t="s">
        <v>125</v>
      </c>
      <c r="I2088" t="s">
        <v>8096</v>
      </c>
      <c r="J2088" t="s">
        <v>2372</v>
      </c>
      <c r="L2088" t="s">
        <v>1752</v>
      </c>
      <c r="M2088" t="s">
        <v>8097</v>
      </c>
      <c r="O2088" t="s">
        <v>885</v>
      </c>
      <c r="P2088" t="s">
        <v>412</v>
      </c>
      <c r="Q2088" s="3">
        <v>77036</v>
      </c>
      <c r="R2088" t="s">
        <v>128</v>
      </c>
      <c r="T2088" s="4">
        <v>10013462237</v>
      </c>
      <c r="V2088" t="s">
        <v>8098</v>
      </c>
      <c r="W2088" t="s">
        <v>8099</v>
      </c>
      <c r="Y2088" t="s">
        <v>8100</v>
      </c>
      <c r="AA2088" t="s">
        <v>885</v>
      </c>
      <c r="AB2088" t="s">
        <v>400</v>
      </c>
      <c r="AC2088" s="3" t="str">
        <f>"77036"</f>
        <v>77036</v>
      </c>
      <c r="AD2088" t="s">
        <v>128</v>
      </c>
      <c r="AF2088" s="4">
        <v>17133753700</v>
      </c>
      <c r="AH2088" t="str">
        <f>"213112"</f>
        <v>213112</v>
      </c>
      <c r="AI2088" t="s">
        <v>130</v>
      </c>
      <c r="AJ2088" t="s">
        <v>3229</v>
      </c>
      <c r="AK2088" t="s">
        <v>3230</v>
      </c>
      <c r="AL2088" t="s">
        <v>589</v>
      </c>
      <c r="AM2088" t="s">
        <v>2020</v>
      </c>
      <c r="AN2088" t="s">
        <v>2021</v>
      </c>
      <c r="AO2088" t="s">
        <v>2022</v>
      </c>
      <c r="AP2088" t="s">
        <v>400</v>
      </c>
      <c r="AQ2088" s="5">
        <v>75001</v>
      </c>
      <c r="AR2088" t="s">
        <v>128</v>
      </c>
      <c r="AT2088" s="4">
        <v>14697910360</v>
      </c>
      <c r="AV2088" t="s">
        <v>8101</v>
      </c>
      <c r="AW2088" t="s">
        <v>517</v>
      </c>
      <c r="AX2088" t="s">
        <v>131</v>
      </c>
      <c r="AY2088" t="s">
        <v>131</v>
      </c>
      <c r="AZ2088" t="s">
        <v>131</v>
      </c>
      <c r="BA2088" t="s">
        <v>131</v>
      </c>
      <c r="BB2088" t="s">
        <v>131</v>
      </c>
      <c r="BC2088" t="s">
        <v>131</v>
      </c>
      <c r="BD2088" t="s">
        <v>131</v>
      </c>
      <c r="BE2088" t="s">
        <v>132</v>
      </c>
      <c r="BH2088" t="s">
        <v>8102</v>
      </c>
      <c r="BI2088" t="s">
        <v>135</v>
      </c>
      <c r="BJ2088" t="s">
        <v>3627</v>
      </c>
      <c r="BK2088" t="s">
        <v>697</v>
      </c>
      <c r="BL2088" t="s">
        <v>188</v>
      </c>
      <c r="BN2088" t="s">
        <v>8103</v>
      </c>
      <c r="BO2088" t="s">
        <v>131</v>
      </c>
      <c r="BP2088" t="s">
        <v>134</v>
      </c>
      <c r="BQ2088" t="s">
        <v>131</v>
      </c>
      <c r="BS2088" t="str">
        <f t="shared" si="124"/>
        <v>N/A</v>
      </c>
      <c r="BT2088" t="s">
        <v>135</v>
      </c>
      <c r="BU2088">
        <v>48</v>
      </c>
      <c r="BV2088" t="str">
        <f>"See F. b. 5 iv"</f>
        <v>See F. b. 5 iv</v>
      </c>
      <c r="BW2088" t="s">
        <v>135</v>
      </c>
      <c r="BX2088" t="str">
        <f>""</f>
        <v/>
      </c>
      <c r="BY2088" t="str">
        <f>""</f>
        <v/>
      </c>
      <c r="BZ2088" t="str">
        <f>""</f>
        <v/>
      </c>
      <c r="CA2088" t="s">
        <v>8104</v>
      </c>
      <c r="CB2088" t="s">
        <v>131</v>
      </c>
      <c r="CF2088" t="s">
        <v>131</v>
      </c>
      <c r="CH2088" t="str">
        <f>""</f>
        <v/>
      </c>
      <c r="CI2088" t="s">
        <v>131</v>
      </c>
      <c r="CK2088" t="s">
        <v>131</v>
      </c>
      <c r="CL2088" t="str">
        <f>""</f>
        <v/>
      </c>
      <c r="CM2088" t="str">
        <f>""</f>
        <v/>
      </c>
      <c r="CN2088" t="str">
        <f>""</f>
        <v/>
      </c>
      <c r="CO2088" t="str">
        <f>""</f>
        <v/>
      </c>
      <c r="CP2088" t="str">
        <f>"15-1199.09"</f>
        <v>15-1199.09</v>
      </c>
      <c r="CQ2088" t="s">
        <v>697</v>
      </c>
      <c r="CR2088" t="s">
        <v>460</v>
      </c>
      <c r="CS2088" t="s">
        <v>131</v>
      </c>
      <c r="CU2088" t="s">
        <v>8100</v>
      </c>
      <c r="CW2088" t="s">
        <v>6598</v>
      </c>
      <c r="CX2088" t="s">
        <v>400</v>
      </c>
      <c r="CZ2088" s="3" t="str">
        <f>"77036"</f>
        <v>77036</v>
      </c>
      <c r="DA2088" t="s">
        <v>131</v>
      </c>
      <c r="DB2088" t="str">
        <f>""</f>
        <v/>
      </c>
      <c r="DF2088" t="str">
        <f>""</f>
        <v/>
      </c>
    </row>
    <row r="2089" spans="1:110" ht="15" customHeight="1" x14ac:dyDescent="0.35">
      <c r="A2089" t="s">
        <v>13002</v>
      </c>
      <c r="B2089" t="s">
        <v>138</v>
      </c>
      <c r="C2089" s="1">
        <v>44368</v>
      </c>
      <c r="G2089" s="1">
        <v>44370</v>
      </c>
      <c r="H2089" t="s">
        <v>125</v>
      </c>
      <c r="I2089" t="s">
        <v>12217</v>
      </c>
      <c r="J2089" t="s">
        <v>260</v>
      </c>
      <c r="L2089" t="s">
        <v>2185</v>
      </c>
      <c r="M2089" t="s">
        <v>13003</v>
      </c>
      <c r="O2089" t="s">
        <v>1812</v>
      </c>
      <c r="P2089" t="s">
        <v>194</v>
      </c>
      <c r="Q2089" s="3">
        <v>33433</v>
      </c>
      <c r="R2089" t="s">
        <v>128</v>
      </c>
      <c r="T2089" s="4">
        <v>19142626415</v>
      </c>
      <c r="V2089" t="s">
        <v>13004</v>
      </c>
      <c r="W2089" t="s">
        <v>13005</v>
      </c>
      <c r="Y2089" t="s">
        <v>13006</v>
      </c>
      <c r="AA2089" t="s">
        <v>1812</v>
      </c>
      <c r="AB2089" t="s">
        <v>195</v>
      </c>
      <c r="AC2089" s="3" t="str">
        <f>"33433"</f>
        <v>33433</v>
      </c>
      <c r="AD2089" t="s">
        <v>128</v>
      </c>
      <c r="AF2089" s="4">
        <v>19142626415</v>
      </c>
      <c r="AH2089" t="str">
        <f>"814110"</f>
        <v>814110</v>
      </c>
      <c r="AI2089" t="s">
        <v>130</v>
      </c>
      <c r="AJ2089" t="s">
        <v>532</v>
      </c>
      <c r="AK2089" t="s">
        <v>533</v>
      </c>
      <c r="AL2089" t="s">
        <v>534</v>
      </c>
      <c r="AM2089" t="s">
        <v>535</v>
      </c>
      <c r="AO2089" t="s">
        <v>4189</v>
      </c>
      <c r="AP2089" t="s">
        <v>195</v>
      </c>
      <c r="AQ2089" s="5">
        <v>33064</v>
      </c>
      <c r="AR2089" t="s">
        <v>128</v>
      </c>
      <c r="AT2089" s="4">
        <v>19547811994</v>
      </c>
      <c r="AV2089" t="s">
        <v>537</v>
      </c>
      <c r="AW2089" t="s">
        <v>538</v>
      </c>
      <c r="AX2089" t="s">
        <v>131</v>
      </c>
      <c r="AY2089" t="s">
        <v>131</v>
      </c>
      <c r="AZ2089" t="s">
        <v>131</v>
      </c>
      <c r="BA2089" t="s">
        <v>131</v>
      </c>
      <c r="BB2089" t="s">
        <v>131</v>
      </c>
      <c r="BC2089" t="s">
        <v>131</v>
      </c>
      <c r="BD2089" t="s">
        <v>131</v>
      </c>
      <c r="BE2089" t="s">
        <v>132</v>
      </c>
      <c r="BH2089" t="s">
        <v>1639</v>
      </c>
      <c r="BI2089" t="s">
        <v>131</v>
      </c>
      <c r="BL2089" t="s">
        <v>401</v>
      </c>
      <c r="BO2089" t="s">
        <v>131</v>
      </c>
      <c r="BP2089" t="s">
        <v>134</v>
      </c>
      <c r="BQ2089" t="s">
        <v>131</v>
      </c>
      <c r="BS2089" t="str">
        <f t="shared" si="124"/>
        <v>N/A</v>
      </c>
      <c r="BT2089" t="s">
        <v>131</v>
      </c>
      <c r="BV2089" t="str">
        <f>""</f>
        <v/>
      </c>
      <c r="BW2089" t="s">
        <v>135</v>
      </c>
      <c r="BX2089" t="str">
        <f>"Valid Driver's License "</f>
        <v xml:space="preserve">Valid Driver's License </v>
      </c>
      <c r="BY2089" t="str">
        <f>""</f>
        <v/>
      </c>
      <c r="BZ2089" t="str">
        <f>""</f>
        <v/>
      </c>
      <c r="CA2089" t="str">
        <f>""</f>
        <v/>
      </c>
      <c r="CB2089" t="s">
        <v>131</v>
      </c>
      <c r="CF2089" t="s">
        <v>131</v>
      </c>
      <c r="CH2089" t="str">
        <f>""</f>
        <v/>
      </c>
      <c r="CI2089" t="s">
        <v>131</v>
      </c>
      <c r="CK2089" t="s">
        <v>131</v>
      </c>
      <c r="CL2089" t="str">
        <f>""</f>
        <v/>
      </c>
      <c r="CM2089" t="str">
        <f>""</f>
        <v/>
      </c>
      <c r="CN2089" t="str">
        <f>""</f>
        <v/>
      </c>
      <c r="CO2089" t="str">
        <f>""</f>
        <v/>
      </c>
      <c r="CP2089" t="str">
        <f>"37-2012.00"</f>
        <v>37-2012.00</v>
      </c>
      <c r="CQ2089" t="s">
        <v>479</v>
      </c>
      <c r="CS2089" t="s">
        <v>131</v>
      </c>
      <c r="CU2089" t="s">
        <v>13003</v>
      </c>
      <c r="CW2089" t="s">
        <v>12110</v>
      </c>
      <c r="CX2089" t="s">
        <v>195</v>
      </c>
      <c r="CZ2089" s="3" t="str">
        <f>"33433"</f>
        <v>33433</v>
      </c>
      <c r="DA2089" t="s">
        <v>131</v>
      </c>
      <c r="DB2089" t="str">
        <f>""</f>
        <v/>
      </c>
      <c r="DF2089" t="str">
        <f>""</f>
        <v/>
      </c>
    </row>
    <row r="2090" spans="1:110" ht="15" customHeight="1" x14ac:dyDescent="0.35">
      <c r="A2090" t="s">
        <v>18194</v>
      </c>
      <c r="B2090" t="s">
        <v>138</v>
      </c>
      <c r="C2090" s="1">
        <v>44368</v>
      </c>
      <c r="G2090" s="1">
        <v>44368</v>
      </c>
      <c r="H2090" t="s">
        <v>125</v>
      </c>
      <c r="I2090" t="s">
        <v>14168</v>
      </c>
      <c r="J2090" t="s">
        <v>14169</v>
      </c>
      <c r="L2090" t="s">
        <v>395</v>
      </c>
      <c r="M2090" t="s">
        <v>14170</v>
      </c>
      <c r="N2090" t="s">
        <v>6621</v>
      </c>
      <c r="O2090" t="s">
        <v>14172</v>
      </c>
      <c r="P2090" t="s">
        <v>273</v>
      </c>
      <c r="Q2090" s="3">
        <v>7035</v>
      </c>
      <c r="R2090" t="s">
        <v>128</v>
      </c>
      <c r="T2090" s="4">
        <v>18625715304</v>
      </c>
      <c r="V2090" t="s">
        <v>14173</v>
      </c>
      <c r="W2090" t="s">
        <v>18195</v>
      </c>
      <c r="Y2090" t="s">
        <v>14170</v>
      </c>
      <c r="Z2090" t="s">
        <v>6621</v>
      </c>
      <c r="AA2090" t="s">
        <v>14172</v>
      </c>
      <c r="AB2090" t="s">
        <v>276</v>
      </c>
      <c r="AC2090" s="3" t="str">
        <f>"07035"</f>
        <v>07035</v>
      </c>
      <c r="AD2090" t="s">
        <v>128</v>
      </c>
      <c r="AF2090" s="4">
        <v>18558541400</v>
      </c>
      <c r="AH2090" t="str">
        <f>"484121"</f>
        <v>484121</v>
      </c>
      <c r="AI2090" t="s">
        <v>167</v>
      </c>
      <c r="AX2090" t="s">
        <v>131</v>
      </c>
      <c r="AY2090" t="s">
        <v>131</v>
      </c>
      <c r="AZ2090" t="s">
        <v>131</v>
      </c>
      <c r="BA2090" t="s">
        <v>131</v>
      </c>
      <c r="BB2090" t="s">
        <v>131</v>
      </c>
      <c r="BC2090" t="s">
        <v>131</v>
      </c>
      <c r="BD2090" t="s">
        <v>131</v>
      </c>
      <c r="BE2090" t="s">
        <v>498</v>
      </c>
      <c r="BH2090" t="s">
        <v>18196</v>
      </c>
      <c r="BI2090" t="s">
        <v>131</v>
      </c>
      <c r="BL2090" t="s">
        <v>167</v>
      </c>
      <c r="BO2090" t="s">
        <v>131</v>
      </c>
      <c r="BP2090" t="s">
        <v>134</v>
      </c>
      <c r="BQ2090" t="s">
        <v>131</v>
      </c>
      <c r="BS2090" t="str">
        <f t="shared" si="124"/>
        <v>N/A</v>
      </c>
      <c r="BT2090" t="s">
        <v>135</v>
      </c>
      <c r="BU2090">
        <v>30</v>
      </c>
      <c r="BV2090" t="str">
        <f>"Commercial truck-trailer driving "</f>
        <v xml:space="preserve">Commercial truck-trailer driving </v>
      </c>
      <c r="BW2090" t="s">
        <v>135</v>
      </c>
      <c r="BX2090" t="str">
        <f>"Commercial Driver License  "</f>
        <v xml:space="preserve">Commercial Driver License  </v>
      </c>
      <c r="BY2090" t="str">
        <f>""</f>
        <v/>
      </c>
      <c r="BZ2090" t="str">
        <f>""</f>
        <v/>
      </c>
      <c r="CA2090" t="str">
        <f>""</f>
        <v/>
      </c>
      <c r="CB2090" t="s">
        <v>131</v>
      </c>
      <c r="CF2090" t="s">
        <v>131</v>
      </c>
      <c r="CH2090" t="str">
        <f>""</f>
        <v/>
      </c>
      <c r="CI2090" t="s">
        <v>131</v>
      </c>
      <c r="CK2090" t="s">
        <v>131</v>
      </c>
      <c r="CL2090" t="str">
        <f>""</f>
        <v/>
      </c>
      <c r="CM2090" t="str">
        <f>""</f>
        <v/>
      </c>
      <c r="CN2090" t="str">
        <f>""</f>
        <v/>
      </c>
      <c r="CO2090" t="str">
        <f>""</f>
        <v/>
      </c>
      <c r="CP2090" t="str">
        <f>"53-3032.00"</f>
        <v>53-3032.00</v>
      </c>
      <c r="CQ2090" t="s">
        <v>1238</v>
      </c>
      <c r="CS2090" t="s">
        <v>135</v>
      </c>
      <c r="CT2090" t="s">
        <v>18197</v>
      </c>
      <c r="CU2090" t="s">
        <v>14170</v>
      </c>
      <c r="CV2090" t="s">
        <v>14171</v>
      </c>
      <c r="CW2090" t="s">
        <v>14172</v>
      </c>
      <c r="CX2090" t="s">
        <v>276</v>
      </c>
      <c r="CZ2090" s="3" t="str">
        <f>"07035"</f>
        <v>07035</v>
      </c>
      <c r="DA2090" t="s">
        <v>131</v>
      </c>
      <c r="DB2090" t="str">
        <f>""</f>
        <v/>
      </c>
      <c r="DF2090" t="str">
        <f>""</f>
        <v/>
      </c>
    </row>
    <row r="2091" spans="1:110" ht="15" customHeight="1" x14ac:dyDescent="0.35">
      <c r="A2091" t="s">
        <v>18780</v>
      </c>
      <c r="B2091" t="s">
        <v>138</v>
      </c>
      <c r="C2091" s="1">
        <v>44368</v>
      </c>
      <c r="G2091" s="1">
        <v>44368</v>
      </c>
      <c r="H2091" t="s">
        <v>125</v>
      </c>
      <c r="I2091" t="s">
        <v>3710</v>
      </c>
      <c r="J2091" t="s">
        <v>4818</v>
      </c>
      <c r="L2091" t="s">
        <v>17511</v>
      </c>
      <c r="M2091" t="s">
        <v>17512</v>
      </c>
      <c r="O2091" t="s">
        <v>14535</v>
      </c>
      <c r="Q2091" s="3">
        <v>30144</v>
      </c>
      <c r="R2091" t="s">
        <v>643</v>
      </c>
      <c r="S2091" t="s">
        <v>818</v>
      </c>
      <c r="T2091" s="4">
        <v>17705297714</v>
      </c>
      <c r="V2091" t="s">
        <v>17513</v>
      </c>
      <c r="W2091" t="s">
        <v>18781</v>
      </c>
      <c r="Y2091" t="s">
        <v>17512</v>
      </c>
      <c r="AA2091" t="s">
        <v>14535</v>
      </c>
      <c r="AC2091" s="3" t="str">
        <f>"30144"</f>
        <v>30144</v>
      </c>
      <c r="AD2091" t="s">
        <v>643</v>
      </c>
      <c r="AE2091" t="s">
        <v>818</v>
      </c>
      <c r="AF2091" s="4">
        <v>17705297714</v>
      </c>
      <c r="AH2091" t="str">
        <f>"541310"</f>
        <v>541310</v>
      </c>
      <c r="AI2091" t="s">
        <v>130</v>
      </c>
      <c r="AJ2091" t="s">
        <v>3035</v>
      </c>
      <c r="AK2091" t="s">
        <v>5106</v>
      </c>
      <c r="AM2091" t="s">
        <v>6076</v>
      </c>
      <c r="AO2091" t="s">
        <v>6077</v>
      </c>
      <c r="AP2091" t="s">
        <v>643</v>
      </c>
      <c r="AQ2091" s="5">
        <v>30006</v>
      </c>
      <c r="AR2091" t="s">
        <v>128</v>
      </c>
      <c r="AT2091" s="4">
        <v>17705512700</v>
      </c>
      <c r="AV2091" t="s">
        <v>6078</v>
      </c>
      <c r="AW2091" t="s">
        <v>6079</v>
      </c>
      <c r="AX2091" t="s">
        <v>131</v>
      </c>
      <c r="AY2091" t="s">
        <v>131</v>
      </c>
      <c r="AZ2091" t="s">
        <v>131</v>
      </c>
      <c r="BA2091" t="s">
        <v>131</v>
      </c>
      <c r="BB2091" t="s">
        <v>131</v>
      </c>
      <c r="BC2091" t="s">
        <v>131</v>
      </c>
      <c r="BD2091" t="s">
        <v>131</v>
      </c>
      <c r="BE2091" t="s">
        <v>132</v>
      </c>
      <c r="BH2091" t="s">
        <v>10206</v>
      </c>
      <c r="BI2091" t="s">
        <v>131</v>
      </c>
      <c r="BL2091" t="s">
        <v>133</v>
      </c>
      <c r="BN2091" t="s">
        <v>2669</v>
      </c>
      <c r="BO2091" t="s">
        <v>131</v>
      </c>
      <c r="BP2091" t="s">
        <v>134</v>
      </c>
      <c r="BQ2091" t="s">
        <v>131</v>
      </c>
      <c r="BS2091" t="str">
        <f t="shared" si="124"/>
        <v>N/A</v>
      </c>
      <c r="BT2091" t="s">
        <v>131</v>
      </c>
      <c r="BV2091" t="str">
        <f>""</f>
        <v/>
      </c>
      <c r="BW2091" t="s">
        <v>135</v>
      </c>
      <c r="BX2091" t="str">
        <f>""</f>
        <v/>
      </c>
      <c r="BY2091" t="str">
        <f>""</f>
        <v/>
      </c>
      <c r="BZ2091" t="str">
        <f>""</f>
        <v/>
      </c>
      <c r="CA2091" t="str">
        <f>"Position requires a Bachelor's degree (or foreign equivalent) in Architecture."</f>
        <v>Position requires a Bachelor's degree (or foreign equivalent) in Architecture.</v>
      </c>
      <c r="CB2091" t="s">
        <v>131</v>
      </c>
      <c r="CF2091" t="s">
        <v>131</v>
      </c>
      <c r="CH2091" t="str">
        <f>""</f>
        <v/>
      </c>
      <c r="CI2091" t="s">
        <v>131</v>
      </c>
      <c r="CK2091" t="s">
        <v>131</v>
      </c>
      <c r="CL2091" t="str">
        <f>""</f>
        <v/>
      </c>
      <c r="CM2091" t="str">
        <f>""</f>
        <v/>
      </c>
      <c r="CN2091" t="str">
        <f>""</f>
        <v/>
      </c>
      <c r="CO2091" t="str">
        <f>""</f>
        <v/>
      </c>
      <c r="CP2091" t="str">
        <f>"17-3011.01"</f>
        <v>17-3011.01</v>
      </c>
      <c r="CQ2091" t="s">
        <v>4093</v>
      </c>
      <c r="CS2091" t="s">
        <v>131</v>
      </c>
      <c r="CU2091" t="s">
        <v>17512</v>
      </c>
      <c r="CW2091" t="s">
        <v>14535</v>
      </c>
      <c r="CX2091" t="s">
        <v>643</v>
      </c>
      <c r="CZ2091" s="3" t="str">
        <f>"30144"</f>
        <v>30144</v>
      </c>
      <c r="DA2091" t="s">
        <v>131</v>
      </c>
      <c r="DB2091" t="str">
        <f>""</f>
        <v/>
      </c>
      <c r="DF2091" t="str">
        <f>""</f>
        <v/>
      </c>
    </row>
    <row r="2092" spans="1:110" ht="15" customHeight="1" x14ac:dyDescent="0.35">
      <c r="A2092" t="s">
        <v>17535</v>
      </c>
      <c r="B2092" t="s">
        <v>138</v>
      </c>
      <c r="C2092" s="1">
        <v>44368</v>
      </c>
      <c r="G2092" s="1">
        <v>44368</v>
      </c>
      <c r="H2092" t="s">
        <v>125</v>
      </c>
      <c r="I2092" t="s">
        <v>5085</v>
      </c>
      <c r="J2092" t="s">
        <v>2120</v>
      </c>
      <c r="L2092" t="s">
        <v>5086</v>
      </c>
      <c r="M2092" t="s">
        <v>5087</v>
      </c>
      <c r="O2092" t="s">
        <v>5088</v>
      </c>
      <c r="P2092" t="s">
        <v>178</v>
      </c>
      <c r="Q2092" s="3">
        <v>94597</v>
      </c>
      <c r="R2092" t="s">
        <v>128</v>
      </c>
      <c r="T2092" s="4">
        <v>19252794160</v>
      </c>
      <c r="V2092" t="s">
        <v>5089</v>
      </c>
      <c r="W2092" t="s">
        <v>5090</v>
      </c>
      <c r="Y2092" t="s">
        <v>5087</v>
      </c>
      <c r="AA2092" t="s">
        <v>5088</v>
      </c>
      <c r="AB2092" t="s">
        <v>172</v>
      </c>
      <c r="AC2092" s="3" t="str">
        <f>"94597"</f>
        <v>94597</v>
      </c>
      <c r="AD2092" t="s">
        <v>128</v>
      </c>
      <c r="AF2092" s="4">
        <v>19252794160</v>
      </c>
      <c r="AH2092" t="str">
        <f>"524126"</f>
        <v>524126</v>
      </c>
      <c r="AI2092" t="s">
        <v>130</v>
      </c>
      <c r="AJ2092" t="s">
        <v>931</v>
      </c>
      <c r="AK2092" t="s">
        <v>5091</v>
      </c>
      <c r="AM2092" t="s">
        <v>5092</v>
      </c>
      <c r="AN2092" t="s">
        <v>2823</v>
      </c>
      <c r="AO2092" t="s">
        <v>220</v>
      </c>
      <c r="AP2092" t="s">
        <v>172</v>
      </c>
      <c r="AQ2092" s="5">
        <v>94111</v>
      </c>
      <c r="AR2092" t="s">
        <v>128</v>
      </c>
      <c r="AT2092" s="4">
        <v>14153959331</v>
      </c>
      <c r="AV2092" t="s">
        <v>5093</v>
      </c>
      <c r="AW2092" t="s">
        <v>5094</v>
      </c>
      <c r="AX2092" t="s">
        <v>131</v>
      </c>
      <c r="AY2092" t="s">
        <v>131</v>
      </c>
      <c r="AZ2092" t="s">
        <v>131</v>
      </c>
      <c r="BA2092" t="s">
        <v>131</v>
      </c>
      <c r="BB2092" t="s">
        <v>131</v>
      </c>
      <c r="BC2092" t="s">
        <v>131</v>
      </c>
      <c r="BD2092" t="s">
        <v>131</v>
      </c>
      <c r="BE2092" t="s">
        <v>160</v>
      </c>
      <c r="BF2092" t="s">
        <v>1612</v>
      </c>
      <c r="BG2092" s="1">
        <v>44331</v>
      </c>
      <c r="BH2092" t="s">
        <v>7333</v>
      </c>
      <c r="BI2092" t="s">
        <v>131</v>
      </c>
      <c r="BL2092" t="s">
        <v>188</v>
      </c>
      <c r="BN2092" t="s">
        <v>10282</v>
      </c>
      <c r="BO2092" t="s">
        <v>131</v>
      </c>
      <c r="BP2092" t="s">
        <v>134</v>
      </c>
      <c r="BQ2092" t="s">
        <v>131</v>
      </c>
      <c r="BS2092" t="str">
        <f t="shared" si="124"/>
        <v>N/A</v>
      </c>
      <c r="BT2092" t="s">
        <v>135</v>
      </c>
      <c r="BU2092">
        <v>24</v>
      </c>
      <c r="BV2092" t="str">
        <f>"[See Section F.a.2.]"</f>
        <v>[See Section F.a.2.]</v>
      </c>
      <c r="BW2092" t="s">
        <v>135</v>
      </c>
      <c r="BX2092" t="str">
        <f>""</f>
        <v/>
      </c>
      <c r="BY2092" t="str">
        <f>""</f>
        <v/>
      </c>
      <c r="BZ2092" t="str">
        <f>""</f>
        <v/>
      </c>
      <c r="CA2092" t="s">
        <v>7334</v>
      </c>
      <c r="CB2092" t="s">
        <v>135</v>
      </c>
      <c r="CC2092" t="s">
        <v>133</v>
      </c>
      <c r="CE2092" t="s">
        <v>10282</v>
      </c>
      <c r="CF2092" t="s">
        <v>131</v>
      </c>
      <c r="CH2092" t="str">
        <f>"N/A"</f>
        <v>N/A</v>
      </c>
      <c r="CI2092" t="s">
        <v>135</v>
      </c>
      <c r="CJ2092">
        <v>60</v>
      </c>
      <c r="CK2092" t="s">
        <v>135</v>
      </c>
      <c r="CL2092" t="str">
        <f>""</f>
        <v/>
      </c>
      <c r="CM2092" t="str">
        <f>""</f>
        <v/>
      </c>
      <c r="CN2092" t="str">
        <f>""</f>
        <v/>
      </c>
      <c r="CO2092" t="s">
        <v>7334</v>
      </c>
      <c r="CP2092" t="str">
        <f>"15-1132.00"</f>
        <v>15-1132.00</v>
      </c>
      <c r="CQ2092" t="s">
        <v>198</v>
      </c>
      <c r="CR2092" t="s">
        <v>7335</v>
      </c>
      <c r="CS2092" t="s">
        <v>131</v>
      </c>
      <c r="CU2092" t="s">
        <v>5950</v>
      </c>
      <c r="CW2092" t="s">
        <v>5095</v>
      </c>
      <c r="CX2092" t="s">
        <v>808</v>
      </c>
      <c r="CZ2092" s="3" t="str">
        <f>"85308"</f>
        <v>85308</v>
      </c>
      <c r="DA2092" t="s">
        <v>131</v>
      </c>
      <c r="DB2092" t="str">
        <f>""</f>
        <v/>
      </c>
      <c r="DF2092" t="str">
        <f>""</f>
        <v/>
      </c>
    </row>
    <row r="2093" spans="1:110" ht="15" customHeight="1" x14ac:dyDescent="0.35">
      <c r="A2093" t="s">
        <v>13454</v>
      </c>
      <c r="B2093" t="s">
        <v>138</v>
      </c>
      <c r="C2093" s="1">
        <v>44368</v>
      </c>
      <c r="G2093" s="1">
        <v>44368</v>
      </c>
      <c r="H2093" t="s">
        <v>125</v>
      </c>
      <c r="I2093" t="s">
        <v>744</v>
      </c>
      <c r="J2093" t="s">
        <v>745</v>
      </c>
      <c r="K2093" t="s">
        <v>610</v>
      </c>
      <c r="L2093" t="s">
        <v>130</v>
      </c>
      <c r="M2093" t="s">
        <v>746</v>
      </c>
      <c r="O2093" t="s">
        <v>747</v>
      </c>
      <c r="P2093" t="s">
        <v>412</v>
      </c>
      <c r="Q2093" s="3">
        <v>77497</v>
      </c>
      <c r="R2093" t="s">
        <v>128</v>
      </c>
      <c r="T2093" s="4">
        <v>12812652522</v>
      </c>
      <c r="V2093" t="s">
        <v>748</v>
      </c>
      <c r="W2093" t="s">
        <v>13455</v>
      </c>
      <c r="X2093" t="s">
        <v>12695</v>
      </c>
      <c r="Y2093" t="s">
        <v>13456</v>
      </c>
      <c r="AA2093" t="s">
        <v>13457</v>
      </c>
      <c r="AB2093" t="s">
        <v>258</v>
      </c>
      <c r="AC2093" s="3" t="str">
        <f>"64865"</f>
        <v>64865</v>
      </c>
      <c r="AD2093" t="s">
        <v>128</v>
      </c>
      <c r="AF2093" s="4">
        <v>16155456837</v>
      </c>
      <c r="AH2093" t="str">
        <f>"722511"</f>
        <v>722511</v>
      </c>
      <c r="AI2093" t="s">
        <v>130</v>
      </c>
      <c r="AJ2093" t="s">
        <v>744</v>
      </c>
      <c r="AK2093" t="s">
        <v>745</v>
      </c>
      <c r="AL2093" t="s">
        <v>610</v>
      </c>
      <c r="AM2093" t="s">
        <v>746</v>
      </c>
      <c r="AO2093" t="s">
        <v>747</v>
      </c>
      <c r="AP2093" t="s">
        <v>400</v>
      </c>
      <c r="AQ2093" s="5">
        <v>77497</v>
      </c>
      <c r="AR2093" t="s">
        <v>128</v>
      </c>
      <c r="AT2093" s="4">
        <v>12812652522</v>
      </c>
      <c r="AV2093" t="s">
        <v>748</v>
      </c>
      <c r="AW2093" t="s">
        <v>749</v>
      </c>
      <c r="AX2093" t="s">
        <v>131</v>
      </c>
      <c r="AY2093" t="s">
        <v>131</v>
      </c>
      <c r="AZ2093" t="s">
        <v>131</v>
      </c>
      <c r="BA2093" t="s">
        <v>131</v>
      </c>
      <c r="BB2093" t="s">
        <v>131</v>
      </c>
      <c r="BC2093" t="s">
        <v>131</v>
      </c>
      <c r="BD2093" t="s">
        <v>131</v>
      </c>
      <c r="BE2093" t="s">
        <v>132</v>
      </c>
      <c r="BH2093" t="s">
        <v>8832</v>
      </c>
      <c r="BI2093" t="s">
        <v>131</v>
      </c>
      <c r="BL2093" t="s">
        <v>401</v>
      </c>
      <c r="BO2093" t="s">
        <v>131</v>
      </c>
      <c r="BP2093" t="s">
        <v>134</v>
      </c>
      <c r="BQ2093" t="s">
        <v>131</v>
      </c>
      <c r="BS2093" t="str">
        <f t="shared" si="124"/>
        <v>N/A</v>
      </c>
      <c r="BT2093" t="s">
        <v>135</v>
      </c>
      <c r="BU2093">
        <v>12</v>
      </c>
      <c r="BV2093" t="str">
        <f>"Job offered or related position engaged in providing customer service in retail/food service/hospitality."</f>
        <v>Job offered or related position engaged in providing customer service in retail/food service/hospitality.</v>
      </c>
      <c r="BW2093" t="s">
        <v>135</v>
      </c>
      <c r="BX2093" t="str">
        <f>""</f>
        <v/>
      </c>
      <c r="BY2093" t="str">
        <f>""</f>
        <v/>
      </c>
      <c r="BZ2093" t="str">
        <f>""</f>
        <v/>
      </c>
      <c r="CA2093" t="s">
        <v>13458</v>
      </c>
      <c r="CB2093" t="s">
        <v>131</v>
      </c>
      <c r="CF2093" t="s">
        <v>131</v>
      </c>
      <c r="CH2093" t="str">
        <f>""</f>
        <v/>
      </c>
      <c r="CI2093" t="s">
        <v>131</v>
      </c>
      <c r="CK2093" t="s">
        <v>131</v>
      </c>
      <c r="CL2093" t="str">
        <f>""</f>
        <v/>
      </c>
      <c r="CM2093" t="str">
        <f>""</f>
        <v/>
      </c>
      <c r="CN2093" t="str">
        <f>""</f>
        <v/>
      </c>
      <c r="CO2093" t="str">
        <f>""</f>
        <v/>
      </c>
      <c r="CP2093" t="str">
        <f>"41-2011.00"</f>
        <v>41-2011.00</v>
      </c>
      <c r="CQ2093" t="s">
        <v>5621</v>
      </c>
      <c r="CR2093" t="s">
        <v>3176</v>
      </c>
      <c r="CS2093" t="s">
        <v>131</v>
      </c>
      <c r="CU2093" t="s">
        <v>13456</v>
      </c>
      <c r="CW2093" t="s">
        <v>13457</v>
      </c>
      <c r="CX2093" t="s">
        <v>258</v>
      </c>
      <c r="CZ2093" s="3" t="str">
        <f>"64865"</f>
        <v>64865</v>
      </c>
      <c r="DA2093" t="s">
        <v>131</v>
      </c>
      <c r="DB2093" t="str">
        <f>""</f>
        <v/>
      </c>
      <c r="DF2093" t="str">
        <f>""</f>
        <v/>
      </c>
    </row>
    <row r="2094" spans="1:110" ht="15" customHeight="1" x14ac:dyDescent="0.35">
      <c r="A2094" t="s">
        <v>10492</v>
      </c>
      <c r="B2094" t="s">
        <v>138</v>
      </c>
      <c r="C2094" s="1">
        <v>44368</v>
      </c>
      <c r="G2094" s="1">
        <v>44370</v>
      </c>
      <c r="H2094" t="s">
        <v>125</v>
      </c>
      <c r="I2094" t="s">
        <v>7808</v>
      </c>
      <c r="J2094" t="s">
        <v>10493</v>
      </c>
      <c r="L2094" t="s">
        <v>395</v>
      </c>
      <c r="M2094" t="s">
        <v>10494</v>
      </c>
      <c r="O2094" t="s">
        <v>1322</v>
      </c>
      <c r="P2094" t="s">
        <v>178</v>
      </c>
      <c r="Q2094" s="3">
        <v>94063</v>
      </c>
      <c r="R2094" t="s">
        <v>128</v>
      </c>
      <c r="T2094" s="4">
        <v>16266736799</v>
      </c>
      <c r="V2094" t="s">
        <v>10495</v>
      </c>
      <c r="W2094" t="s">
        <v>10496</v>
      </c>
      <c r="Y2094" t="s">
        <v>10494</v>
      </c>
      <c r="AA2094" t="s">
        <v>1322</v>
      </c>
      <c r="AB2094" t="s">
        <v>172</v>
      </c>
      <c r="AC2094" s="3" t="str">
        <f>"94063"</f>
        <v>94063</v>
      </c>
      <c r="AD2094" t="s">
        <v>128</v>
      </c>
      <c r="AF2094" s="4">
        <v>16266736799</v>
      </c>
      <c r="AH2094" t="str">
        <f>"445110"</f>
        <v>445110</v>
      </c>
      <c r="AI2094" t="s">
        <v>130</v>
      </c>
      <c r="AJ2094" t="s">
        <v>10497</v>
      </c>
      <c r="AK2094" t="s">
        <v>10498</v>
      </c>
      <c r="AM2094" t="s">
        <v>10499</v>
      </c>
      <c r="AO2094" t="s">
        <v>10500</v>
      </c>
      <c r="AP2094" t="s">
        <v>172</v>
      </c>
      <c r="AQ2094" s="5">
        <v>91801</v>
      </c>
      <c r="AR2094" t="s">
        <v>128</v>
      </c>
      <c r="AT2094" s="4">
        <v>16267827759</v>
      </c>
      <c r="AV2094" t="s">
        <v>10501</v>
      </c>
      <c r="AW2094" t="s">
        <v>10502</v>
      </c>
      <c r="AX2094" t="s">
        <v>131</v>
      </c>
      <c r="AY2094" t="s">
        <v>131</v>
      </c>
      <c r="AZ2094" t="s">
        <v>131</v>
      </c>
      <c r="BA2094" t="s">
        <v>131</v>
      </c>
      <c r="BB2094" t="s">
        <v>131</v>
      </c>
      <c r="BC2094" t="s">
        <v>131</v>
      </c>
      <c r="BD2094" t="s">
        <v>131</v>
      </c>
      <c r="BE2094" t="s">
        <v>132</v>
      </c>
      <c r="BH2094" t="s">
        <v>6953</v>
      </c>
      <c r="BI2094" t="s">
        <v>131</v>
      </c>
      <c r="BL2094" t="s">
        <v>133</v>
      </c>
      <c r="BN2094" t="s">
        <v>728</v>
      </c>
      <c r="BO2094" t="s">
        <v>131</v>
      </c>
      <c r="BP2094" t="s">
        <v>134</v>
      </c>
      <c r="BQ2094" t="s">
        <v>131</v>
      </c>
      <c r="BS2094" t="str">
        <f t="shared" si="124"/>
        <v>N/A</v>
      </c>
      <c r="BT2094" t="s">
        <v>131</v>
      </c>
      <c r="BV2094" t="str">
        <f>""</f>
        <v/>
      </c>
      <c r="BW2094" t="s">
        <v>131</v>
      </c>
      <c r="BX2094" t="str">
        <f>""</f>
        <v/>
      </c>
      <c r="BY2094" t="str">
        <f>""</f>
        <v/>
      </c>
      <c r="BZ2094" t="str">
        <f>""</f>
        <v/>
      </c>
      <c r="CA2094" t="str">
        <f>""</f>
        <v/>
      </c>
      <c r="CB2094" t="s">
        <v>131</v>
      </c>
      <c r="CF2094" t="s">
        <v>131</v>
      </c>
      <c r="CH2094" t="str">
        <f>""</f>
        <v/>
      </c>
      <c r="CI2094" t="s">
        <v>131</v>
      </c>
      <c r="CK2094" t="s">
        <v>131</v>
      </c>
      <c r="CL2094" t="str">
        <f>""</f>
        <v/>
      </c>
      <c r="CM2094" t="str">
        <f>""</f>
        <v/>
      </c>
      <c r="CN2094" t="str">
        <f>""</f>
        <v/>
      </c>
      <c r="CO2094" t="str">
        <f>""</f>
        <v/>
      </c>
      <c r="CP2094" t="str">
        <f>"13-1199.00"</f>
        <v>13-1199.00</v>
      </c>
      <c r="CQ2094" t="s">
        <v>5417</v>
      </c>
      <c r="CR2094" t="s">
        <v>10503</v>
      </c>
      <c r="CS2094" t="s">
        <v>131</v>
      </c>
      <c r="CU2094" t="s">
        <v>10504</v>
      </c>
      <c r="CW2094" t="s">
        <v>4616</v>
      </c>
      <c r="CX2094" t="s">
        <v>172</v>
      </c>
      <c r="CZ2094" s="3" t="str">
        <f>"94063"</f>
        <v>94063</v>
      </c>
      <c r="DA2094" t="s">
        <v>131</v>
      </c>
      <c r="DB2094" t="str">
        <f>""</f>
        <v/>
      </c>
      <c r="DF2094" t="str">
        <f>""</f>
        <v/>
      </c>
    </row>
    <row r="2095" spans="1:110" ht="15" customHeight="1" x14ac:dyDescent="0.35">
      <c r="A2095" t="s">
        <v>15481</v>
      </c>
      <c r="B2095" t="s">
        <v>138</v>
      </c>
      <c r="C2095" s="1">
        <v>44369</v>
      </c>
      <c r="G2095" s="1">
        <v>44372</v>
      </c>
      <c r="H2095" t="s">
        <v>125</v>
      </c>
      <c r="I2095" t="s">
        <v>4978</v>
      </c>
      <c r="J2095" t="s">
        <v>3936</v>
      </c>
      <c r="L2095" t="s">
        <v>2292</v>
      </c>
      <c r="M2095" t="s">
        <v>4979</v>
      </c>
      <c r="O2095" t="s">
        <v>4694</v>
      </c>
      <c r="P2095" t="s">
        <v>256</v>
      </c>
      <c r="Q2095" s="3">
        <v>65653</v>
      </c>
      <c r="R2095" t="s">
        <v>128</v>
      </c>
      <c r="T2095" s="4">
        <v>14175466337</v>
      </c>
      <c r="V2095" t="s">
        <v>4981</v>
      </c>
      <c r="W2095" t="s">
        <v>4982</v>
      </c>
      <c r="X2095" t="s">
        <v>10359</v>
      </c>
      <c r="Y2095" t="s">
        <v>4984</v>
      </c>
      <c r="AA2095" t="s">
        <v>4694</v>
      </c>
      <c r="AB2095" t="s">
        <v>258</v>
      </c>
      <c r="AC2095" s="3" t="str">
        <f>"65653"</f>
        <v>65653</v>
      </c>
      <c r="AD2095" t="s">
        <v>128</v>
      </c>
      <c r="AF2095" s="4">
        <v>14175466337</v>
      </c>
      <c r="AH2095" t="str">
        <f>"623110"</f>
        <v>623110</v>
      </c>
      <c r="AI2095" t="s">
        <v>130</v>
      </c>
      <c r="AJ2095" t="s">
        <v>4323</v>
      </c>
      <c r="AK2095" t="s">
        <v>4324</v>
      </c>
      <c r="AL2095" t="s">
        <v>4325</v>
      </c>
      <c r="AM2095" t="s">
        <v>4326</v>
      </c>
      <c r="AN2095" t="s">
        <v>788</v>
      </c>
      <c r="AO2095" t="s">
        <v>4859</v>
      </c>
      <c r="AP2095" t="s">
        <v>263</v>
      </c>
      <c r="AQ2095" s="5">
        <v>60555</v>
      </c>
      <c r="AR2095" t="s">
        <v>128</v>
      </c>
      <c r="AT2095" s="4">
        <v>17733661214</v>
      </c>
      <c r="AV2095" t="s">
        <v>4328</v>
      </c>
      <c r="AW2095" t="s">
        <v>4329</v>
      </c>
      <c r="AX2095" t="s">
        <v>131</v>
      </c>
      <c r="AY2095" t="s">
        <v>131</v>
      </c>
      <c r="AZ2095" t="s">
        <v>131</v>
      </c>
      <c r="BA2095" t="s">
        <v>131</v>
      </c>
      <c r="BB2095" t="s">
        <v>131</v>
      </c>
      <c r="BC2095" t="s">
        <v>131</v>
      </c>
      <c r="BD2095" t="s">
        <v>131</v>
      </c>
      <c r="BE2095" t="s">
        <v>132</v>
      </c>
      <c r="BH2095" t="s">
        <v>230</v>
      </c>
      <c r="BI2095" t="s">
        <v>131</v>
      </c>
      <c r="BL2095" t="s">
        <v>307</v>
      </c>
      <c r="BN2095" t="s">
        <v>604</v>
      </c>
      <c r="BO2095" t="s">
        <v>131</v>
      </c>
      <c r="BP2095" t="s">
        <v>134</v>
      </c>
      <c r="BQ2095" t="s">
        <v>131</v>
      </c>
      <c r="BS2095" t="str">
        <f t="shared" si="124"/>
        <v>N/A</v>
      </c>
      <c r="BT2095" t="s">
        <v>131</v>
      </c>
      <c r="BV2095" t="str">
        <f>""</f>
        <v/>
      </c>
      <c r="BW2095" t="s">
        <v>135</v>
      </c>
      <c r="BX2095" t="str">
        <f>"A FULL UNRESTRICTED REGISTERED NURSE LICENSE TO PRACTICE IN THE STATE OF MISSOURI."</f>
        <v>A FULL UNRESTRICTED REGISTERED NURSE LICENSE TO PRACTICE IN THE STATE OF MISSOURI.</v>
      </c>
      <c r="BY2095" t="str">
        <f>""</f>
        <v/>
      </c>
      <c r="BZ2095" t="str">
        <f>""</f>
        <v/>
      </c>
      <c r="CA2095" t="str">
        <f>"CANDIDATES MUST HAVE EITHER ONE OF THE FOLLOWING:  1. A FULL UNRESTRICTED LICENSE TO PRACTICE IN THE STATE OF MISSOURI; OR, 2. A CGFNS CERTIFICATE; OR, 3.  PROOF OF PASSING THE NCLEX-RN EXAMINATION. "</f>
        <v xml:space="preserve">CANDIDATES MUST HAVE EITHER ONE OF THE FOLLOWING:  1. A FULL UNRESTRICTED LICENSE TO PRACTICE IN THE STATE OF MISSOURI; OR, 2. A CGFNS CERTIFICATE; OR, 3.  PROOF OF PASSING THE NCLEX-RN EXAMINATION. </v>
      </c>
      <c r="CB2095" t="s">
        <v>131</v>
      </c>
      <c r="CF2095" t="s">
        <v>131</v>
      </c>
      <c r="CH2095" t="str">
        <f>""</f>
        <v/>
      </c>
      <c r="CI2095" t="s">
        <v>131</v>
      </c>
      <c r="CK2095" t="s">
        <v>131</v>
      </c>
      <c r="CL2095" t="str">
        <f>""</f>
        <v/>
      </c>
      <c r="CM2095" t="str">
        <f>""</f>
        <v/>
      </c>
      <c r="CN2095" t="str">
        <f>""</f>
        <v/>
      </c>
      <c r="CO2095" t="str">
        <f>""</f>
        <v/>
      </c>
      <c r="CP2095" t="str">
        <f>"29-1141.00"</f>
        <v>29-1141.00</v>
      </c>
      <c r="CQ2095" t="s">
        <v>232</v>
      </c>
      <c r="CR2095" t="s">
        <v>1037</v>
      </c>
      <c r="CS2095" t="s">
        <v>131</v>
      </c>
      <c r="CU2095" t="s">
        <v>4984</v>
      </c>
      <c r="CW2095" t="s">
        <v>4694</v>
      </c>
      <c r="CX2095" t="s">
        <v>258</v>
      </c>
      <c r="CZ2095" s="3" t="str">
        <f>"65653"</f>
        <v>65653</v>
      </c>
      <c r="DA2095" t="s">
        <v>131</v>
      </c>
      <c r="DB2095" t="str">
        <f>""</f>
        <v/>
      </c>
      <c r="DF2095" t="str">
        <f>""</f>
        <v/>
      </c>
    </row>
    <row r="2096" spans="1:110" ht="15" customHeight="1" x14ac:dyDescent="0.35">
      <c r="A2096" t="s">
        <v>18848</v>
      </c>
      <c r="B2096" t="s">
        <v>138</v>
      </c>
      <c r="C2096" s="1">
        <v>44369</v>
      </c>
      <c r="G2096" s="1">
        <v>44372</v>
      </c>
      <c r="H2096" t="s">
        <v>125</v>
      </c>
      <c r="I2096" t="s">
        <v>11503</v>
      </c>
      <c r="J2096" t="s">
        <v>5751</v>
      </c>
      <c r="L2096" t="s">
        <v>2292</v>
      </c>
      <c r="M2096" t="s">
        <v>5752</v>
      </c>
      <c r="O2096" t="s">
        <v>2412</v>
      </c>
      <c r="P2096" t="s">
        <v>256</v>
      </c>
      <c r="Q2096" s="3">
        <v>65203</v>
      </c>
      <c r="R2096" t="s">
        <v>128</v>
      </c>
      <c r="T2096" s="4">
        <v>15738743674</v>
      </c>
      <c r="V2096" t="s">
        <v>5753</v>
      </c>
      <c r="W2096" t="s">
        <v>18849</v>
      </c>
      <c r="X2096" t="s">
        <v>18850</v>
      </c>
      <c r="Y2096" t="s">
        <v>18851</v>
      </c>
      <c r="AA2096" t="s">
        <v>2412</v>
      </c>
      <c r="AB2096" t="s">
        <v>258</v>
      </c>
      <c r="AC2096" s="3" t="str">
        <f>"65203"</f>
        <v>65203</v>
      </c>
      <c r="AD2096" t="s">
        <v>128</v>
      </c>
      <c r="AF2096" s="4">
        <v>15738743674</v>
      </c>
      <c r="AH2096" t="str">
        <f>"623110"</f>
        <v>623110</v>
      </c>
      <c r="AI2096" t="s">
        <v>130</v>
      </c>
      <c r="AJ2096" t="s">
        <v>4323</v>
      </c>
      <c r="AK2096" t="s">
        <v>4324</v>
      </c>
      <c r="AL2096" t="s">
        <v>4325</v>
      </c>
      <c r="AM2096" t="s">
        <v>4985</v>
      </c>
      <c r="AN2096" t="s">
        <v>788</v>
      </c>
      <c r="AO2096" t="s">
        <v>4859</v>
      </c>
      <c r="AP2096" t="s">
        <v>263</v>
      </c>
      <c r="AQ2096" s="5">
        <v>60555</v>
      </c>
      <c r="AR2096" t="s">
        <v>128</v>
      </c>
      <c r="AT2096" s="4">
        <v>17733661214</v>
      </c>
      <c r="AV2096" t="s">
        <v>4328</v>
      </c>
      <c r="AW2096" t="s">
        <v>4329</v>
      </c>
      <c r="AX2096" t="s">
        <v>131</v>
      </c>
      <c r="AY2096" t="s">
        <v>131</v>
      </c>
      <c r="AZ2096" t="s">
        <v>131</v>
      </c>
      <c r="BA2096" t="s">
        <v>131</v>
      </c>
      <c r="BB2096" t="s">
        <v>131</v>
      </c>
      <c r="BC2096" t="s">
        <v>131</v>
      </c>
      <c r="BD2096" t="s">
        <v>131</v>
      </c>
      <c r="BE2096" t="s">
        <v>132</v>
      </c>
      <c r="BH2096" t="s">
        <v>230</v>
      </c>
      <c r="BI2096" t="s">
        <v>131</v>
      </c>
      <c r="BL2096" t="s">
        <v>307</v>
      </c>
      <c r="BN2096" t="s">
        <v>604</v>
      </c>
      <c r="BO2096" t="s">
        <v>131</v>
      </c>
      <c r="BP2096" t="s">
        <v>134</v>
      </c>
      <c r="BQ2096" t="s">
        <v>131</v>
      </c>
      <c r="BS2096" t="str">
        <f t="shared" si="124"/>
        <v>N/A</v>
      </c>
      <c r="BT2096" t="s">
        <v>131</v>
      </c>
      <c r="BV2096" t="str">
        <f>""</f>
        <v/>
      </c>
      <c r="BW2096" t="s">
        <v>135</v>
      </c>
      <c r="BX2096" t="str">
        <f>"A FULL UNRESTRICTED REGISTERED NURSE LICENSE TO PRACTICE IN THE STATE OF MISSOURI."</f>
        <v>A FULL UNRESTRICTED REGISTERED NURSE LICENSE TO PRACTICE IN THE STATE OF MISSOURI.</v>
      </c>
      <c r="BY2096" t="str">
        <f>""</f>
        <v/>
      </c>
      <c r="BZ2096" t="str">
        <f>""</f>
        <v/>
      </c>
      <c r="CA2096" t="str">
        <f>"CANDIDATES MUST HAVE EITHER ONE OF THE FOLLOWING: 1. A FULL UNRESTRICTED LICENSE TO PRACTICE IN THE STATE OF MISSOURI; OR, 2. A CGFNS CERTIFICATE; OR, 3. PROOF OF PASSING THE NCLEX-RN EXAMINATION. "</f>
        <v xml:space="preserve">CANDIDATES MUST HAVE EITHER ONE OF THE FOLLOWING: 1. A FULL UNRESTRICTED LICENSE TO PRACTICE IN THE STATE OF MISSOURI; OR, 2. A CGFNS CERTIFICATE; OR, 3. PROOF OF PASSING THE NCLEX-RN EXAMINATION. </v>
      </c>
      <c r="CB2096" t="s">
        <v>131</v>
      </c>
      <c r="CF2096" t="s">
        <v>131</v>
      </c>
      <c r="CH2096" t="str">
        <f>""</f>
        <v/>
      </c>
      <c r="CI2096" t="s">
        <v>131</v>
      </c>
      <c r="CK2096" t="s">
        <v>131</v>
      </c>
      <c r="CL2096" t="str">
        <f>""</f>
        <v/>
      </c>
      <c r="CM2096" t="str">
        <f>""</f>
        <v/>
      </c>
      <c r="CN2096" t="str">
        <f>""</f>
        <v/>
      </c>
      <c r="CO2096" t="str">
        <f>""</f>
        <v/>
      </c>
      <c r="CP2096" t="str">
        <f>"29-1141.00"</f>
        <v>29-1141.00</v>
      </c>
      <c r="CQ2096" t="s">
        <v>232</v>
      </c>
      <c r="CR2096" t="s">
        <v>1037</v>
      </c>
      <c r="CS2096" t="s">
        <v>131</v>
      </c>
      <c r="CU2096" t="s">
        <v>18851</v>
      </c>
      <c r="CW2096" t="s">
        <v>10198</v>
      </c>
      <c r="CX2096" t="s">
        <v>258</v>
      </c>
      <c r="CZ2096" s="3" t="str">
        <f>"65203"</f>
        <v>65203</v>
      </c>
      <c r="DA2096" t="s">
        <v>131</v>
      </c>
      <c r="DB2096" t="str">
        <f>""</f>
        <v/>
      </c>
      <c r="DF2096" t="str">
        <f>""</f>
        <v/>
      </c>
    </row>
    <row r="2097" spans="1:110" ht="15" customHeight="1" x14ac:dyDescent="0.35">
      <c r="A2097" t="s">
        <v>11743</v>
      </c>
      <c r="B2097" t="s">
        <v>138</v>
      </c>
      <c r="C2097" s="1">
        <v>44369</v>
      </c>
      <c r="G2097" s="1">
        <v>44372</v>
      </c>
      <c r="H2097" t="s">
        <v>125</v>
      </c>
      <c r="I2097" t="s">
        <v>1966</v>
      </c>
      <c r="J2097" t="s">
        <v>3706</v>
      </c>
      <c r="L2097" t="s">
        <v>2292</v>
      </c>
      <c r="M2097" t="s">
        <v>8966</v>
      </c>
      <c r="O2097" t="s">
        <v>8963</v>
      </c>
      <c r="P2097" t="s">
        <v>256</v>
      </c>
      <c r="Q2097" s="3">
        <v>65251</v>
      </c>
      <c r="R2097" t="s">
        <v>128</v>
      </c>
      <c r="T2097" s="4">
        <v>15736420202</v>
      </c>
      <c r="V2097" t="s">
        <v>8964</v>
      </c>
      <c r="W2097" t="s">
        <v>11744</v>
      </c>
      <c r="X2097" t="s">
        <v>8965</v>
      </c>
      <c r="Y2097" t="s">
        <v>8966</v>
      </c>
      <c r="AA2097" t="s">
        <v>8963</v>
      </c>
      <c r="AB2097" t="s">
        <v>258</v>
      </c>
      <c r="AC2097" s="3" t="str">
        <f>"65251"</f>
        <v>65251</v>
      </c>
      <c r="AD2097" t="s">
        <v>128</v>
      </c>
      <c r="AF2097" s="4">
        <v>15736420202</v>
      </c>
      <c r="AH2097" t="str">
        <f>"623110"</f>
        <v>623110</v>
      </c>
      <c r="AI2097" t="s">
        <v>130</v>
      </c>
      <c r="AJ2097" t="s">
        <v>4323</v>
      </c>
      <c r="AK2097" t="s">
        <v>4324</v>
      </c>
      <c r="AL2097" t="s">
        <v>4325</v>
      </c>
      <c r="AM2097" t="s">
        <v>4326</v>
      </c>
      <c r="AN2097" t="s">
        <v>788</v>
      </c>
      <c r="AO2097" t="s">
        <v>4859</v>
      </c>
      <c r="AP2097" t="s">
        <v>263</v>
      </c>
      <c r="AQ2097" s="5">
        <v>60555</v>
      </c>
      <c r="AR2097" t="s">
        <v>128</v>
      </c>
      <c r="AT2097" s="4">
        <v>17733661214</v>
      </c>
      <c r="AV2097" t="s">
        <v>4328</v>
      </c>
      <c r="AW2097" t="s">
        <v>4329</v>
      </c>
      <c r="AX2097" t="s">
        <v>131</v>
      </c>
      <c r="AY2097" t="s">
        <v>131</v>
      </c>
      <c r="AZ2097" t="s">
        <v>131</v>
      </c>
      <c r="BA2097" t="s">
        <v>131</v>
      </c>
      <c r="BB2097" t="s">
        <v>131</v>
      </c>
      <c r="BC2097" t="s">
        <v>131</v>
      </c>
      <c r="BD2097" t="s">
        <v>131</v>
      </c>
      <c r="BE2097" t="s">
        <v>132</v>
      </c>
      <c r="BH2097" t="s">
        <v>230</v>
      </c>
      <c r="BI2097" t="s">
        <v>131</v>
      </c>
      <c r="BL2097" t="s">
        <v>307</v>
      </c>
      <c r="BN2097" t="s">
        <v>604</v>
      </c>
      <c r="BO2097" t="s">
        <v>131</v>
      </c>
      <c r="BP2097" t="s">
        <v>134</v>
      </c>
      <c r="BQ2097" t="s">
        <v>131</v>
      </c>
      <c r="BS2097" t="str">
        <f t="shared" si="124"/>
        <v>N/A</v>
      </c>
      <c r="BT2097" t="s">
        <v>131</v>
      </c>
      <c r="BV2097" t="str">
        <f>""</f>
        <v/>
      </c>
      <c r="BW2097" t="s">
        <v>135</v>
      </c>
      <c r="BX2097" t="str">
        <f>"A FULL UNRESTRICTED REGISTERED NURSE LICENSE TO PRACTICE IN THE STATE OF MISSOURI."</f>
        <v>A FULL UNRESTRICTED REGISTERED NURSE LICENSE TO PRACTICE IN THE STATE OF MISSOURI.</v>
      </c>
      <c r="BY2097" t="str">
        <f>""</f>
        <v/>
      </c>
      <c r="BZ2097" t="str">
        <f>""</f>
        <v/>
      </c>
      <c r="CA2097" t="str">
        <f>"CANDIDATES MUST HAVE EITHER ONE OF THE FOLLOWING:  1. A FULL UNRESTRICTED LICENSE TO PRACTICE IN THE STATE OF MISSOURI; OR, 2. A CGFNS CERTIFICATE; OR, 3. PROOF OF PASSING THE NCLEX-RN EXAMINATION."</f>
        <v>CANDIDATES MUST HAVE EITHER ONE OF THE FOLLOWING:  1. A FULL UNRESTRICTED LICENSE TO PRACTICE IN THE STATE OF MISSOURI; OR, 2. A CGFNS CERTIFICATE; OR, 3. PROOF OF PASSING THE NCLEX-RN EXAMINATION.</v>
      </c>
      <c r="CB2097" t="s">
        <v>131</v>
      </c>
      <c r="CF2097" t="s">
        <v>131</v>
      </c>
      <c r="CH2097" t="str">
        <f>""</f>
        <v/>
      </c>
      <c r="CI2097" t="s">
        <v>131</v>
      </c>
      <c r="CK2097" t="s">
        <v>131</v>
      </c>
      <c r="CL2097" t="str">
        <f>""</f>
        <v/>
      </c>
      <c r="CM2097" t="str">
        <f>""</f>
        <v/>
      </c>
      <c r="CN2097" t="str">
        <f>""</f>
        <v/>
      </c>
      <c r="CO2097" t="str">
        <f>""</f>
        <v/>
      </c>
      <c r="CP2097" t="str">
        <f>"29-1141.00"</f>
        <v>29-1141.00</v>
      </c>
      <c r="CQ2097" t="s">
        <v>232</v>
      </c>
      <c r="CR2097" t="s">
        <v>1037</v>
      </c>
      <c r="CS2097" t="s">
        <v>131</v>
      </c>
      <c r="CU2097" t="s">
        <v>11745</v>
      </c>
      <c r="CW2097" t="s">
        <v>8963</v>
      </c>
      <c r="CX2097" t="s">
        <v>258</v>
      </c>
      <c r="CZ2097" s="3" t="str">
        <f>"65251"</f>
        <v>65251</v>
      </c>
      <c r="DA2097" t="s">
        <v>131</v>
      </c>
      <c r="DB2097" t="str">
        <f>""</f>
        <v/>
      </c>
      <c r="DF2097" t="str">
        <f>""</f>
        <v/>
      </c>
    </row>
    <row r="2098" spans="1:110" ht="15" customHeight="1" x14ac:dyDescent="0.35">
      <c r="A2098" t="s">
        <v>15495</v>
      </c>
      <c r="B2098" t="s">
        <v>138</v>
      </c>
      <c r="C2098" s="1">
        <v>44369</v>
      </c>
      <c r="G2098" s="1">
        <v>44372</v>
      </c>
      <c r="H2098" t="s">
        <v>125</v>
      </c>
      <c r="I2098" t="s">
        <v>7382</v>
      </c>
      <c r="J2098" t="s">
        <v>2518</v>
      </c>
      <c r="L2098" t="s">
        <v>2292</v>
      </c>
      <c r="M2098" t="s">
        <v>10897</v>
      </c>
      <c r="O2098" t="s">
        <v>670</v>
      </c>
      <c r="P2098" t="s">
        <v>256</v>
      </c>
      <c r="Q2098" s="3">
        <v>63379</v>
      </c>
      <c r="R2098" t="s">
        <v>128</v>
      </c>
      <c r="T2098" s="4">
        <v>16365285712</v>
      </c>
      <c r="V2098" t="s">
        <v>10894</v>
      </c>
      <c r="W2098" t="s">
        <v>15496</v>
      </c>
      <c r="X2098" t="s">
        <v>13861</v>
      </c>
      <c r="Y2098" t="s">
        <v>10897</v>
      </c>
      <c r="AA2098" t="s">
        <v>670</v>
      </c>
      <c r="AB2098" t="s">
        <v>258</v>
      </c>
      <c r="AC2098" s="3" t="str">
        <f>"63379"</f>
        <v>63379</v>
      </c>
      <c r="AD2098" t="s">
        <v>128</v>
      </c>
      <c r="AF2098" s="4">
        <v>16365285712</v>
      </c>
      <c r="AH2098" t="str">
        <f>"623110"</f>
        <v>623110</v>
      </c>
      <c r="AI2098" t="s">
        <v>130</v>
      </c>
      <c r="AJ2098" t="s">
        <v>15497</v>
      </c>
      <c r="AK2098" t="s">
        <v>15498</v>
      </c>
      <c r="AL2098" t="s">
        <v>4325</v>
      </c>
      <c r="AM2098" t="s">
        <v>4985</v>
      </c>
      <c r="AN2098" t="s">
        <v>788</v>
      </c>
      <c r="AO2098" t="s">
        <v>4327</v>
      </c>
      <c r="AP2098" t="s">
        <v>263</v>
      </c>
      <c r="AQ2098" s="5">
        <v>60555</v>
      </c>
      <c r="AR2098" t="s">
        <v>128</v>
      </c>
      <c r="AT2098" s="4">
        <v>17733661214</v>
      </c>
      <c r="AV2098" t="s">
        <v>4328</v>
      </c>
      <c r="AW2098" t="s">
        <v>4329</v>
      </c>
      <c r="AX2098" t="s">
        <v>131</v>
      </c>
      <c r="AY2098" t="s">
        <v>131</v>
      </c>
      <c r="AZ2098" t="s">
        <v>131</v>
      </c>
      <c r="BA2098" t="s">
        <v>131</v>
      </c>
      <c r="BB2098" t="s">
        <v>131</v>
      </c>
      <c r="BC2098" t="s">
        <v>131</v>
      </c>
      <c r="BD2098" t="s">
        <v>131</v>
      </c>
      <c r="BE2098" t="s">
        <v>132</v>
      </c>
      <c r="BH2098" t="s">
        <v>230</v>
      </c>
      <c r="BI2098" t="s">
        <v>131</v>
      </c>
      <c r="BL2098" t="s">
        <v>307</v>
      </c>
      <c r="BN2098" t="s">
        <v>604</v>
      </c>
      <c r="BO2098" t="s">
        <v>131</v>
      </c>
      <c r="BP2098" t="s">
        <v>134</v>
      </c>
      <c r="BQ2098" t="s">
        <v>131</v>
      </c>
      <c r="BS2098" t="str">
        <f t="shared" si="124"/>
        <v>N/A</v>
      </c>
      <c r="BT2098" t="s">
        <v>131</v>
      </c>
      <c r="BV2098" t="str">
        <f>""</f>
        <v/>
      </c>
      <c r="BW2098" t="s">
        <v>135</v>
      </c>
      <c r="BX2098" t="str">
        <f>"A FULL UNRESTRICTED REGISTERED NURSE LICENSE TO PRACTICE IN THE STATE OF MISSOURI. "</f>
        <v xml:space="preserve">A FULL UNRESTRICTED REGISTERED NURSE LICENSE TO PRACTICE IN THE STATE OF MISSOURI. </v>
      </c>
      <c r="BY2098" t="str">
        <f>""</f>
        <v/>
      </c>
      <c r="BZ2098" t="str">
        <f>""</f>
        <v/>
      </c>
      <c r="CA2098" t="str">
        <f>"CANDIDATES MUST HAVE EITHER ONE OF THE FOLLOWING: 1. A FULL UNRESTRICTED LICENSE TO PRACTICE IN THE STATE OF MISSOURI; OR, 2. A CGFNS CERTIFICATE; OR, 3. PROOF OF PASSING THE NCLEX-RN EXAMINATION.  "</f>
        <v xml:space="preserve">CANDIDATES MUST HAVE EITHER ONE OF THE FOLLOWING: 1. A FULL UNRESTRICTED LICENSE TO PRACTICE IN THE STATE OF MISSOURI; OR, 2. A CGFNS CERTIFICATE; OR, 3. PROOF OF PASSING THE NCLEX-RN EXAMINATION.  </v>
      </c>
      <c r="CB2098" t="s">
        <v>131</v>
      </c>
      <c r="CF2098" t="s">
        <v>131</v>
      </c>
      <c r="CH2098" t="str">
        <f>""</f>
        <v/>
      </c>
      <c r="CI2098" t="s">
        <v>131</v>
      </c>
      <c r="CK2098" t="s">
        <v>131</v>
      </c>
      <c r="CL2098" t="str">
        <f>""</f>
        <v/>
      </c>
      <c r="CM2098" t="str">
        <f>""</f>
        <v/>
      </c>
      <c r="CN2098" t="str">
        <f>""</f>
        <v/>
      </c>
      <c r="CO2098" t="str">
        <f>""</f>
        <v/>
      </c>
      <c r="CP2098" t="str">
        <f>"29-1141.00"</f>
        <v>29-1141.00</v>
      </c>
      <c r="CQ2098" t="s">
        <v>232</v>
      </c>
      <c r="CR2098" t="s">
        <v>1037</v>
      </c>
      <c r="CS2098" t="s">
        <v>131</v>
      </c>
      <c r="CU2098" t="s">
        <v>10897</v>
      </c>
      <c r="CW2098" t="s">
        <v>670</v>
      </c>
      <c r="CX2098" t="s">
        <v>258</v>
      </c>
      <c r="CZ2098" s="3" t="str">
        <f>"63379"</f>
        <v>63379</v>
      </c>
      <c r="DA2098" t="s">
        <v>131</v>
      </c>
      <c r="DB2098" t="str">
        <f>""</f>
        <v/>
      </c>
      <c r="DF2098" t="str">
        <f>""</f>
        <v/>
      </c>
    </row>
    <row r="2099" spans="1:110" ht="15" customHeight="1" x14ac:dyDescent="0.35">
      <c r="A2099" t="s">
        <v>15407</v>
      </c>
      <c r="B2099" t="s">
        <v>138</v>
      </c>
      <c r="C2099" s="1">
        <v>44369</v>
      </c>
      <c r="G2099" s="1">
        <v>44369</v>
      </c>
      <c r="H2099" t="s">
        <v>125</v>
      </c>
      <c r="I2099" t="s">
        <v>15360</v>
      </c>
      <c r="J2099" t="s">
        <v>2343</v>
      </c>
      <c r="L2099" t="s">
        <v>15361</v>
      </c>
      <c r="M2099" t="s">
        <v>15362</v>
      </c>
      <c r="O2099" t="s">
        <v>129</v>
      </c>
      <c r="P2099" t="s">
        <v>127</v>
      </c>
      <c r="Q2099" s="3">
        <v>10036</v>
      </c>
      <c r="R2099" t="s">
        <v>128</v>
      </c>
      <c r="T2099" s="4">
        <v>12122018213</v>
      </c>
      <c r="V2099" t="s">
        <v>15363</v>
      </c>
      <c r="W2099" t="s">
        <v>15408</v>
      </c>
      <c r="Y2099" t="s">
        <v>15362</v>
      </c>
      <c r="AA2099" t="s">
        <v>129</v>
      </c>
      <c r="AB2099" t="s">
        <v>129</v>
      </c>
      <c r="AC2099" s="3" t="str">
        <f>"10036"</f>
        <v>10036</v>
      </c>
      <c r="AD2099" t="s">
        <v>128</v>
      </c>
      <c r="AF2099" s="4">
        <v>12122018213</v>
      </c>
      <c r="AH2099" t="str">
        <f>"541490"</f>
        <v>541490</v>
      </c>
      <c r="AI2099" t="s">
        <v>130</v>
      </c>
      <c r="AJ2099" t="s">
        <v>15364</v>
      </c>
      <c r="AK2099" t="s">
        <v>1049</v>
      </c>
      <c r="AL2099" t="s">
        <v>1044</v>
      </c>
      <c r="AM2099" t="s">
        <v>7649</v>
      </c>
      <c r="AN2099" t="s">
        <v>3267</v>
      </c>
      <c r="AO2099" t="s">
        <v>2424</v>
      </c>
      <c r="AP2099" t="s">
        <v>377</v>
      </c>
      <c r="AQ2099" s="5">
        <v>2110</v>
      </c>
      <c r="AR2099" t="s">
        <v>128</v>
      </c>
      <c r="AT2099" s="4">
        <v>16175740400</v>
      </c>
      <c r="AV2099" t="s">
        <v>15365</v>
      </c>
      <c r="AW2099" t="s">
        <v>517</v>
      </c>
      <c r="AX2099" t="s">
        <v>131</v>
      </c>
      <c r="AY2099" t="s">
        <v>131</v>
      </c>
      <c r="AZ2099" t="s">
        <v>131</v>
      </c>
      <c r="BA2099" t="s">
        <v>131</v>
      </c>
      <c r="BB2099" t="s">
        <v>131</v>
      </c>
      <c r="BC2099" t="s">
        <v>131</v>
      </c>
      <c r="BD2099" t="s">
        <v>131</v>
      </c>
      <c r="BE2099" t="s">
        <v>132</v>
      </c>
      <c r="BH2099" t="s">
        <v>15366</v>
      </c>
      <c r="BI2099" t="s">
        <v>131</v>
      </c>
      <c r="BL2099" t="s">
        <v>133</v>
      </c>
      <c r="BN2099" t="s">
        <v>3889</v>
      </c>
      <c r="BO2099" t="s">
        <v>131</v>
      </c>
      <c r="BP2099" t="s">
        <v>134</v>
      </c>
      <c r="BQ2099" t="s">
        <v>131</v>
      </c>
      <c r="BS2099" t="str">
        <f t="shared" si="124"/>
        <v>N/A</v>
      </c>
      <c r="BT2099" t="s">
        <v>135</v>
      </c>
      <c r="BU2099">
        <v>36</v>
      </c>
      <c r="BV2099" t="str">
        <f>"Cloud technologies."</f>
        <v>Cloud technologies.</v>
      </c>
      <c r="BW2099" t="s">
        <v>135</v>
      </c>
      <c r="BX2099" t="str">
        <f>""</f>
        <v/>
      </c>
      <c r="BY2099" t="str">
        <f>""</f>
        <v/>
      </c>
      <c r="BZ2099" t="str">
        <f>""</f>
        <v/>
      </c>
      <c r="CA2099" s="2" t="s">
        <v>15367</v>
      </c>
      <c r="CB2099" t="s">
        <v>131</v>
      </c>
      <c r="CF2099" t="s">
        <v>131</v>
      </c>
      <c r="CH2099" t="str">
        <f>""</f>
        <v/>
      </c>
      <c r="CI2099" t="s">
        <v>131</v>
      </c>
      <c r="CK2099" t="s">
        <v>131</v>
      </c>
      <c r="CL2099" t="str">
        <f>""</f>
        <v/>
      </c>
      <c r="CM2099" t="str">
        <f>""</f>
        <v/>
      </c>
      <c r="CN2099" t="str">
        <f>""</f>
        <v/>
      </c>
      <c r="CO2099" t="str">
        <f>""</f>
        <v/>
      </c>
      <c r="CP2099" t="str">
        <f>"15-1121.00"</f>
        <v>15-1121.00</v>
      </c>
      <c r="CQ2099" t="s">
        <v>283</v>
      </c>
      <c r="CR2099" t="s">
        <v>15368</v>
      </c>
      <c r="CS2099" t="s">
        <v>131</v>
      </c>
      <c r="CU2099" t="s">
        <v>15369</v>
      </c>
      <c r="CW2099" t="s">
        <v>13131</v>
      </c>
      <c r="CX2099" t="s">
        <v>276</v>
      </c>
      <c r="CZ2099" s="3" t="str">
        <f>"07073"</f>
        <v>07073</v>
      </c>
      <c r="DA2099" t="s">
        <v>131</v>
      </c>
      <c r="DB2099" t="str">
        <f>""</f>
        <v/>
      </c>
      <c r="DF2099" t="str">
        <f>""</f>
        <v/>
      </c>
    </row>
    <row r="2100" spans="1:110" ht="15" customHeight="1" x14ac:dyDescent="0.35">
      <c r="A2100" t="s">
        <v>4315</v>
      </c>
      <c r="B2100" t="s">
        <v>138</v>
      </c>
      <c r="C2100" s="1">
        <v>44369</v>
      </c>
      <c r="G2100" s="1">
        <v>44372</v>
      </c>
      <c r="H2100" t="s">
        <v>125</v>
      </c>
      <c r="I2100" t="s">
        <v>4316</v>
      </c>
      <c r="J2100" t="s">
        <v>4317</v>
      </c>
      <c r="L2100" t="s">
        <v>2292</v>
      </c>
      <c r="M2100" t="s">
        <v>4318</v>
      </c>
      <c r="O2100" t="s">
        <v>2412</v>
      </c>
      <c r="P2100" t="s">
        <v>256</v>
      </c>
      <c r="Q2100" s="3">
        <v>65202</v>
      </c>
      <c r="R2100" t="s">
        <v>128</v>
      </c>
      <c r="T2100" s="4">
        <v>15734491448</v>
      </c>
      <c r="V2100" t="s">
        <v>4319</v>
      </c>
      <c r="W2100" t="s">
        <v>4320</v>
      </c>
      <c r="X2100" t="s">
        <v>4321</v>
      </c>
      <c r="Y2100" t="s">
        <v>4322</v>
      </c>
      <c r="AA2100" t="s">
        <v>2412</v>
      </c>
      <c r="AB2100" t="s">
        <v>258</v>
      </c>
      <c r="AC2100" s="3" t="str">
        <f>"65202"</f>
        <v>65202</v>
      </c>
      <c r="AD2100" t="s">
        <v>128</v>
      </c>
      <c r="AF2100" s="4">
        <v>15734491448</v>
      </c>
      <c r="AH2100" t="str">
        <f>"623110"</f>
        <v>623110</v>
      </c>
      <c r="AI2100" t="s">
        <v>130</v>
      </c>
      <c r="AJ2100" t="s">
        <v>4323</v>
      </c>
      <c r="AK2100" t="s">
        <v>4324</v>
      </c>
      <c r="AL2100" t="s">
        <v>4325</v>
      </c>
      <c r="AM2100" t="s">
        <v>4326</v>
      </c>
      <c r="AN2100" t="s">
        <v>788</v>
      </c>
      <c r="AO2100" t="s">
        <v>4327</v>
      </c>
      <c r="AP2100" t="s">
        <v>263</v>
      </c>
      <c r="AQ2100" s="5">
        <v>60555</v>
      </c>
      <c r="AR2100" t="s">
        <v>128</v>
      </c>
      <c r="AT2100" s="4">
        <v>17733661214</v>
      </c>
      <c r="AV2100" t="s">
        <v>4328</v>
      </c>
      <c r="AW2100" t="s">
        <v>4329</v>
      </c>
      <c r="AX2100" t="s">
        <v>131</v>
      </c>
      <c r="AY2100" t="s">
        <v>131</v>
      </c>
      <c r="AZ2100" t="s">
        <v>131</v>
      </c>
      <c r="BA2100" t="s">
        <v>131</v>
      </c>
      <c r="BB2100" t="s">
        <v>131</v>
      </c>
      <c r="BC2100" t="s">
        <v>131</v>
      </c>
      <c r="BD2100" t="s">
        <v>131</v>
      </c>
      <c r="BE2100" t="s">
        <v>132</v>
      </c>
      <c r="BH2100" t="s">
        <v>230</v>
      </c>
      <c r="BI2100" t="s">
        <v>131</v>
      </c>
      <c r="BL2100" t="s">
        <v>307</v>
      </c>
      <c r="BN2100" t="s">
        <v>604</v>
      </c>
      <c r="BO2100" t="s">
        <v>131</v>
      </c>
      <c r="BP2100" t="s">
        <v>134</v>
      </c>
      <c r="BQ2100" t="s">
        <v>131</v>
      </c>
      <c r="BS2100" t="str">
        <f t="shared" si="124"/>
        <v>N/A</v>
      </c>
      <c r="BT2100" t="s">
        <v>131</v>
      </c>
      <c r="BV2100" t="str">
        <f>""</f>
        <v/>
      </c>
      <c r="BW2100" t="s">
        <v>135</v>
      </c>
      <c r="BX2100" t="str">
        <f>"A FULL UNRESTRICTED REGISTERED NURSE LICENSE TO PRACTICE IN THE STATE OF MISSOURI."</f>
        <v>A FULL UNRESTRICTED REGISTERED NURSE LICENSE TO PRACTICE IN THE STATE OF MISSOURI.</v>
      </c>
      <c r="BY2100" t="str">
        <f>""</f>
        <v/>
      </c>
      <c r="BZ2100" t="str">
        <f>""</f>
        <v/>
      </c>
      <c r="CA2100" t="str">
        <f>"CANDIDATES MUST HAVE EITHER ONE OF THE FOLLOWING: 1. A FULL UNRESTRICTED LICENSE TO PRACTICE IN THE STATE OF MISSOURI; OR, 2. A CGFNS CERTIFICATE; OR, 3. PROOF OF PASSING THE NCLEX-RN EXAMINATION."</f>
        <v>CANDIDATES MUST HAVE EITHER ONE OF THE FOLLOWING: 1. A FULL UNRESTRICTED LICENSE TO PRACTICE IN THE STATE OF MISSOURI; OR, 2. A CGFNS CERTIFICATE; OR, 3. PROOF OF PASSING THE NCLEX-RN EXAMINATION.</v>
      </c>
      <c r="CB2100" t="s">
        <v>131</v>
      </c>
      <c r="CF2100" t="s">
        <v>131</v>
      </c>
      <c r="CH2100" t="str">
        <f>""</f>
        <v/>
      </c>
      <c r="CI2100" t="s">
        <v>131</v>
      </c>
      <c r="CK2100" t="s">
        <v>131</v>
      </c>
      <c r="CL2100" t="str">
        <f>""</f>
        <v/>
      </c>
      <c r="CM2100" t="str">
        <f>""</f>
        <v/>
      </c>
      <c r="CN2100" t="str">
        <f>""</f>
        <v/>
      </c>
      <c r="CO2100" t="str">
        <f>""</f>
        <v/>
      </c>
      <c r="CP2100" t="str">
        <f>"29-1141.00"</f>
        <v>29-1141.00</v>
      </c>
      <c r="CQ2100" t="s">
        <v>232</v>
      </c>
      <c r="CR2100" t="s">
        <v>1037</v>
      </c>
      <c r="CS2100" t="s">
        <v>131</v>
      </c>
      <c r="CU2100" t="s">
        <v>4322</v>
      </c>
      <c r="CW2100" t="s">
        <v>2412</v>
      </c>
      <c r="CX2100" t="s">
        <v>258</v>
      </c>
      <c r="CZ2100" s="3" t="str">
        <f>"65202"</f>
        <v>65202</v>
      </c>
      <c r="DA2100" t="s">
        <v>131</v>
      </c>
      <c r="DB2100" t="str">
        <f>""</f>
        <v/>
      </c>
      <c r="DF2100" t="str">
        <f>""</f>
        <v/>
      </c>
    </row>
    <row r="2101" spans="1:110" ht="15" customHeight="1" x14ac:dyDescent="0.35">
      <c r="A2101" t="s">
        <v>15809</v>
      </c>
      <c r="B2101" t="s">
        <v>138</v>
      </c>
      <c r="C2101" s="1">
        <v>44369</v>
      </c>
      <c r="G2101" s="1">
        <v>44369</v>
      </c>
      <c r="H2101" t="s">
        <v>125</v>
      </c>
      <c r="I2101" t="s">
        <v>7020</v>
      </c>
      <c r="J2101" t="s">
        <v>7911</v>
      </c>
      <c r="L2101" t="s">
        <v>15810</v>
      </c>
      <c r="M2101" t="s">
        <v>3656</v>
      </c>
      <c r="O2101" t="s">
        <v>1720</v>
      </c>
      <c r="P2101" t="s">
        <v>857</v>
      </c>
      <c r="Q2101" s="3">
        <v>85034</v>
      </c>
      <c r="R2101" t="s">
        <v>128</v>
      </c>
      <c r="T2101" s="4">
        <v>16024706379</v>
      </c>
      <c r="V2101" t="s">
        <v>3657</v>
      </c>
      <c r="W2101" t="s">
        <v>3658</v>
      </c>
      <c r="Y2101" t="s">
        <v>3659</v>
      </c>
      <c r="AA2101" t="s">
        <v>1720</v>
      </c>
      <c r="AB2101" t="s">
        <v>808</v>
      </c>
      <c r="AC2101" s="3" t="str">
        <f>"85034"</f>
        <v>85034</v>
      </c>
      <c r="AD2101" t="s">
        <v>128</v>
      </c>
      <c r="AF2101" s="4">
        <v>16024702886</v>
      </c>
      <c r="AH2101" t="str">
        <f>"33324"</f>
        <v>33324</v>
      </c>
      <c r="AI2101" t="s">
        <v>130</v>
      </c>
      <c r="AJ2101" t="s">
        <v>802</v>
      </c>
      <c r="AK2101" t="s">
        <v>803</v>
      </c>
      <c r="AL2101" t="s">
        <v>655</v>
      </c>
      <c r="AM2101" t="s">
        <v>805</v>
      </c>
      <c r="AN2101" t="s">
        <v>806</v>
      </c>
      <c r="AO2101" t="s">
        <v>807</v>
      </c>
      <c r="AP2101" t="s">
        <v>808</v>
      </c>
      <c r="AQ2101" s="5">
        <v>85020</v>
      </c>
      <c r="AR2101" t="s">
        <v>128</v>
      </c>
      <c r="AT2101" s="4">
        <v>16022661825</v>
      </c>
      <c r="AV2101" t="s">
        <v>3660</v>
      </c>
      <c r="AW2101" t="s">
        <v>548</v>
      </c>
      <c r="AX2101" t="s">
        <v>131</v>
      </c>
      <c r="AY2101" t="s">
        <v>131</v>
      </c>
      <c r="AZ2101" t="s">
        <v>131</v>
      </c>
      <c r="BA2101" t="s">
        <v>131</v>
      </c>
      <c r="BB2101" t="s">
        <v>131</v>
      </c>
      <c r="BC2101" t="s">
        <v>131</v>
      </c>
      <c r="BD2101" t="s">
        <v>131</v>
      </c>
      <c r="BE2101" t="s">
        <v>132</v>
      </c>
      <c r="BH2101" t="s">
        <v>541</v>
      </c>
      <c r="BI2101" t="s">
        <v>131</v>
      </c>
      <c r="BL2101" t="s">
        <v>188</v>
      </c>
      <c r="BN2101" t="s">
        <v>15811</v>
      </c>
      <c r="BO2101" t="s">
        <v>131</v>
      </c>
      <c r="BP2101" t="s">
        <v>134</v>
      </c>
      <c r="BQ2101" t="s">
        <v>131</v>
      </c>
      <c r="BS2101" t="str">
        <f t="shared" si="124"/>
        <v>N/A</v>
      </c>
      <c r="BT2101" t="s">
        <v>135</v>
      </c>
      <c r="BU2101">
        <v>24</v>
      </c>
      <c r="BV2101" t="str">
        <f>"job offered or related"</f>
        <v>job offered or related</v>
      </c>
      <c r="BW2101" t="s">
        <v>135</v>
      </c>
      <c r="BX2101" t="str">
        <f>""</f>
        <v/>
      </c>
      <c r="BY2101" t="str">
        <f>""</f>
        <v/>
      </c>
      <c r="BZ2101" t="str">
        <f>""</f>
        <v/>
      </c>
      <c r="CA2101" t="str">
        <f>"(1) Software Development.
(2) Software and HW troubleshooting skills.
(3) Technical communication skills.
(4) Create software configurations.
"</f>
        <v xml:space="preserve">(1) Software Development.
(2) Software and HW troubleshooting skills.
(3) Technical communication skills.
(4) Create software configurations.
</v>
      </c>
      <c r="CB2101" t="s">
        <v>131</v>
      </c>
      <c r="CF2101" t="s">
        <v>131</v>
      </c>
      <c r="CH2101" t="str">
        <f>""</f>
        <v/>
      </c>
      <c r="CI2101" t="s">
        <v>131</v>
      </c>
      <c r="CK2101" t="s">
        <v>131</v>
      </c>
      <c r="CL2101" t="str">
        <f>""</f>
        <v/>
      </c>
      <c r="CM2101" t="str">
        <f>""</f>
        <v/>
      </c>
      <c r="CN2101" t="str">
        <f>""</f>
        <v/>
      </c>
      <c r="CO2101" t="str">
        <f>""</f>
        <v/>
      </c>
      <c r="CP2101" t="str">
        <f>"15-1133.00"</f>
        <v>15-1133.00</v>
      </c>
      <c r="CQ2101" t="s">
        <v>648</v>
      </c>
      <c r="CR2101" t="s">
        <v>15812</v>
      </c>
      <c r="CS2101" t="s">
        <v>135</v>
      </c>
      <c r="CT2101" t="s">
        <v>15813</v>
      </c>
      <c r="CU2101" t="s">
        <v>3664</v>
      </c>
      <c r="CW2101" t="s">
        <v>807</v>
      </c>
      <c r="CX2101" t="s">
        <v>808</v>
      </c>
      <c r="CZ2101" s="3" t="str">
        <f>"85034"</f>
        <v>85034</v>
      </c>
      <c r="DA2101" t="s">
        <v>131</v>
      </c>
      <c r="DB2101" t="str">
        <f>""</f>
        <v/>
      </c>
      <c r="DF2101" t="str">
        <f>""</f>
        <v/>
      </c>
    </row>
    <row r="2102" spans="1:110" ht="15" customHeight="1" x14ac:dyDescent="0.35">
      <c r="A2102" t="s">
        <v>12750</v>
      </c>
      <c r="B2102" t="s">
        <v>138</v>
      </c>
      <c r="C2102" s="1">
        <v>44369</v>
      </c>
      <c r="G2102" s="1">
        <v>44369</v>
      </c>
      <c r="H2102" t="s">
        <v>125</v>
      </c>
      <c r="I2102" t="s">
        <v>651</v>
      </c>
      <c r="J2102" t="s">
        <v>12751</v>
      </c>
      <c r="L2102" t="s">
        <v>3782</v>
      </c>
      <c r="M2102" t="s">
        <v>12752</v>
      </c>
      <c r="N2102" t="s">
        <v>432</v>
      </c>
      <c r="O2102" t="s">
        <v>3459</v>
      </c>
      <c r="P2102" t="s">
        <v>539</v>
      </c>
      <c r="Q2102" s="3">
        <v>60025</v>
      </c>
      <c r="R2102" t="s">
        <v>128</v>
      </c>
      <c r="T2102" s="4">
        <v>18478340321</v>
      </c>
      <c r="V2102" t="s">
        <v>12753</v>
      </c>
      <c r="W2102" t="s">
        <v>12754</v>
      </c>
      <c r="Y2102" t="s">
        <v>12755</v>
      </c>
      <c r="AA2102" t="s">
        <v>6223</v>
      </c>
      <c r="AB2102" t="s">
        <v>263</v>
      </c>
      <c r="AC2102" s="3" t="str">
        <f>"60070"</f>
        <v>60070</v>
      </c>
      <c r="AD2102" t="s">
        <v>128</v>
      </c>
      <c r="AF2102" s="4">
        <v>12245678116</v>
      </c>
      <c r="AH2102" t="str">
        <f>"423990"</f>
        <v>423990</v>
      </c>
      <c r="AI2102" t="s">
        <v>167</v>
      </c>
      <c r="AX2102" t="s">
        <v>131</v>
      </c>
      <c r="AY2102" t="s">
        <v>131</v>
      </c>
      <c r="AZ2102" t="s">
        <v>131</v>
      </c>
      <c r="BA2102" t="s">
        <v>131</v>
      </c>
      <c r="BB2102" t="s">
        <v>131</v>
      </c>
      <c r="BC2102" t="s">
        <v>131</v>
      </c>
      <c r="BD2102" t="s">
        <v>131</v>
      </c>
      <c r="BE2102" t="s">
        <v>132</v>
      </c>
      <c r="BH2102" t="s">
        <v>12756</v>
      </c>
      <c r="BI2102" t="s">
        <v>131</v>
      </c>
      <c r="BL2102" t="s">
        <v>401</v>
      </c>
      <c r="BO2102" t="s">
        <v>131</v>
      </c>
      <c r="BP2102" t="s">
        <v>134</v>
      </c>
      <c r="BQ2102" t="s">
        <v>131</v>
      </c>
      <c r="BS2102" t="str">
        <f t="shared" si="124"/>
        <v>N/A</v>
      </c>
      <c r="BT2102" t="s">
        <v>131</v>
      </c>
      <c r="BV2102" t="str">
        <f>""</f>
        <v/>
      </c>
      <c r="BW2102" t="s">
        <v>135</v>
      </c>
      <c r="BX2102" t="str">
        <f>""</f>
        <v/>
      </c>
      <c r="BY2102" t="str">
        <f>"Fluency in Korean"</f>
        <v>Fluency in Korean</v>
      </c>
      <c r="BZ2102" t="str">
        <f>""</f>
        <v/>
      </c>
      <c r="CA2102" t="str">
        <f>""</f>
        <v/>
      </c>
      <c r="CB2102" t="s">
        <v>131</v>
      </c>
      <c r="CF2102" t="s">
        <v>131</v>
      </c>
      <c r="CH2102" t="str">
        <f>""</f>
        <v/>
      </c>
      <c r="CI2102" t="s">
        <v>131</v>
      </c>
      <c r="CK2102" t="s">
        <v>131</v>
      </c>
      <c r="CL2102" t="str">
        <f>""</f>
        <v/>
      </c>
      <c r="CM2102" t="str">
        <f>""</f>
        <v/>
      </c>
      <c r="CN2102" t="str">
        <f>""</f>
        <v/>
      </c>
      <c r="CO2102" t="str">
        <f>""</f>
        <v/>
      </c>
      <c r="CP2102" t="str">
        <f>"43-4171.00"</f>
        <v>43-4171.00</v>
      </c>
      <c r="CQ2102" t="s">
        <v>5025</v>
      </c>
      <c r="CR2102" t="s">
        <v>5025</v>
      </c>
      <c r="CS2102" t="s">
        <v>131</v>
      </c>
      <c r="CU2102" t="s">
        <v>12755</v>
      </c>
      <c r="CW2102" t="s">
        <v>6223</v>
      </c>
      <c r="CX2102" t="s">
        <v>263</v>
      </c>
      <c r="CZ2102" s="3" t="str">
        <f>"60070"</f>
        <v>60070</v>
      </c>
      <c r="DA2102" t="s">
        <v>131</v>
      </c>
      <c r="DB2102" t="str">
        <f>""</f>
        <v/>
      </c>
      <c r="DF2102" t="str">
        <f>""</f>
        <v/>
      </c>
    </row>
    <row r="2103" spans="1:110" ht="15" customHeight="1" x14ac:dyDescent="0.35">
      <c r="A2103" t="s">
        <v>6094</v>
      </c>
      <c r="B2103" t="s">
        <v>138</v>
      </c>
      <c r="C2103" s="1">
        <v>44369</v>
      </c>
      <c r="G2103" s="1">
        <v>44369</v>
      </c>
      <c r="H2103" t="s">
        <v>125</v>
      </c>
      <c r="I2103" t="s">
        <v>6095</v>
      </c>
      <c r="J2103" t="s">
        <v>4602</v>
      </c>
      <c r="L2103" t="s">
        <v>4267</v>
      </c>
      <c r="M2103" t="s">
        <v>6096</v>
      </c>
      <c r="O2103" t="s">
        <v>6097</v>
      </c>
      <c r="P2103" t="s">
        <v>178</v>
      </c>
      <c r="Q2103" s="3">
        <v>91505</v>
      </c>
      <c r="R2103" t="s">
        <v>128</v>
      </c>
      <c r="T2103" s="4">
        <v>18186418108</v>
      </c>
      <c r="V2103" t="s">
        <v>6098</v>
      </c>
      <c r="W2103" t="s">
        <v>6099</v>
      </c>
      <c r="Y2103" t="s">
        <v>3383</v>
      </c>
      <c r="AA2103" t="s">
        <v>494</v>
      </c>
      <c r="AB2103" t="s">
        <v>129</v>
      </c>
      <c r="AC2103" s="3" t="str">
        <f>"10001"</f>
        <v>10001</v>
      </c>
      <c r="AD2103" t="s">
        <v>128</v>
      </c>
      <c r="AF2103" s="4">
        <v>12125121000</v>
      </c>
      <c r="AH2103" t="str">
        <f>"515210"</f>
        <v>515210</v>
      </c>
      <c r="AI2103" t="s">
        <v>130</v>
      </c>
      <c r="AJ2103" t="s">
        <v>2371</v>
      </c>
      <c r="AK2103" t="s">
        <v>6100</v>
      </c>
      <c r="AL2103" t="s">
        <v>589</v>
      </c>
      <c r="AM2103" t="s">
        <v>5234</v>
      </c>
      <c r="AO2103" t="s">
        <v>1886</v>
      </c>
      <c r="AP2103" t="s">
        <v>400</v>
      </c>
      <c r="AQ2103" s="5">
        <v>75001</v>
      </c>
      <c r="AR2103" t="s">
        <v>128</v>
      </c>
      <c r="AT2103" s="4">
        <v>19722336646</v>
      </c>
      <c r="AV2103" t="s">
        <v>5235</v>
      </c>
      <c r="AW2103" t="s">
        <v>386</v>
      </c>
      <c r="AX2103" t="s">
        <v>131</v>
      </c>
      <c r="AY2103" t="s">
        <v>131</v>
      </c>
      <c r="AZ2103" t="s">
        <v>131</v>
      </c>
      <c r="BA2103" t="s">
        <v>131</v>
      </c>
      <c r="BB2103" t="s">
        <v>131</v>
      </c>
      <c r="BC2103" t="s">
        <v>131</v>
      </c>
      <c r="BD2103" t="s">
        <v>131</v>
      </c>
      <c r="BE2103" t="s">
        <v>132</v>
      </c>
      <c r="BH2103" t="s">
        <v>1629</v>
      </c>
      <c r="BI2103" t="s">
        <v>131</v>
      </c>
      <c r="BL2103" t="s">
        <v>133</v>
      </c>
      <c r="BN2103" t="s">
        <v>3597</v>
      </c>
      <c r="BO2103" t="s">
        <v>131</v>
      </c>
      <c r="BP2103" t="s">
        <v>134</v>
      </c>
      <c r="BQ2103" t="s">
        <v>131</v>
      </c>
      <c r="BS2103" t="str">
        <f t="shared" si="124"/>
        <v>N/A</v>
      </c>
      <c r="BT2103" t="s">
        <v>135</v>
      </c>
      <c r="BU2103">
        <v>60</v>
      </c>
      <c r="BV2103" t="str">
        <f>"See F.b.5 (iv)"</f>
        <v>See F.b.5 (iv)</v>
      </c>
      <c r="BW2103" t="s">
        <v>135</v>
      </c>
      <c r="BX2103" t="str">
        <f>""</f>
        <v/>
      </c>
      <c r="BY2103" t="str">
        <f>""</f>
        <v/>
      </c>
      <c r="BZ2103" t="str">
        <f>""</f>
        <v/>
      </c>
      <c r="CA2103" t="s">
        <v>6101</v>
      </c>
      <c r="CB2103" t="s">
        <v>131</v>
      </c>
      <c r="CF2103" t="s">
        <v>131</v>
      </c>
      <c r="CH2103" t="str">
        <f>""</f>
        <v/>
      </c>
      <c r="CI2103" t="s">
        <v>131</v>
      </c>
      <c r="CK2103" t="s">
        <v>131</v>
      </c>
      <c r="CL2103" t="str">
        <f>""</f>
        <v/>
      </c>
      <c r="CM2103" t="str">
        <f>""</f>
        <v/>
      </c>
      <c r="CN2103" t="str">
        <f>""</f>
        <v/>
      </c>
      <c r="CO2103" t="str">
        <f>""</f>
        <v/>
      </c>
      <c r="CP2103" t="str">
        <f>"15-1133.00"</f>
        <v>15-1133.00</v>
      </c>
      <c r="CQ2103" t="s">
        <v>648</v>
      </c>
      <c r="CR2103" t="s">
        <v>460</v>
      </c>
      <c r="CS2103" t="s">
        <v>131</v>
      </c>
      <c r="CU2103" t="s">
        <v>3383</v>
      </c>
      <c r="CW2103" t="s">
        <v>494</v>
      </c>
      <c r="CX2103" t="s">
        <v>129</v>
      </c>
      <c r="CZ2103" s="3" t="str">
        <f>"10001"</f>
        <v>10001</v>
      </c>
      <c r="DA2103" t="s">
        <v>131</v>
      </c>
      <c r="DB2103" t="str">
        <f>""</f>
        <v/>
      </c>
      <c r="DF2103" t="str">
        <f>""</f>
        <v/>
      </c>
    </row>
    <row r="2104" spans="1:110" ht="15" customHeight="1" x14ac:dyDescent="0.35">
      <c r="A2104" t="s">
        <v>20097</v>
      </c>
      <c r="B2104" t="s">
        <v>138</v>
      </c>
      <c r="C2104" s="1">
        <v>44369</v>
      </c>
      <c r="G2104" s="1">
        <v>44377</v>
      </c>
      <c r="H2104" t="s">
        <v>125</v>
      </c>
      <c r="I2104" t="s">
        <v>6808</v>
      </c>
      <c r="J2104" t="s">
        <v>1157</v>
      </c>
      <c r="K2104" t="s">
        <v>655</v>
      </c>
      <c r="L2104" t="s">
        <v>130</v>
      </c>
      <c r="M2104" t="s">
        <v>6809</v>
      </c>
      <c r="N2104" t="s">
        <v>3032</v>
      </c>
      <c r="O2104" t="s">
        <v>975</v>
      </c>
      <c r="P2104" t="s">
        <v>593</v>
      </c>
      <c r="Q2104" s="3">
        <v>27615</v>
      </c>
      <c r="R2104" t="s">
        <v>128</v>
      </c>
      <c r="T2104" s="4">
        <v>19196474821</v>
      </c>
      <c r="V2104" t="s">
        <v>6810</v>
      </c>
      <c r="W2104" t="s">
        <v>16414</v>
      </c>
      <c r="Y2104" t="s">
        <v>16415</v>
      </c>
      <c r="AA2104" t="s">
        <v>8386</v>
      </c>
      <c r="AB2104" t="s">
        <v>312</v>
      </c>
      <c r="AC2104" s="3" t="str">
        <f>"16066"</f>
        <v>16066</v>
      </c>
      <c r="AD2104" t="s">
        <v>128</v>
      </c>
      <c r="AF2104" s="4">
        <v>17247205687</v>
      </c>
      <c r="AH2104" t="str">
        <f>"492110"</f>
        <v>492110</v>
      </c>
      <c r="AI2104" t="s">
        <v>130</v>
      </c>
      <c r="AJ2104" t="s">
        <v>6808</v>
      </c>
      <c r="AK2104" t="s">
        <v>1157</v>
      </c>
      <c r="AL2104" t="s">
        <v>655</v>
      </c>
      <c r="AM2104" t="s">
        <v>6809</v>
      </c>
      <c r="AN2104" t="s">
        <v>3032</v>
      </c>
      <c r="AO2104" t="s">
        <v>975</v>
      </c>
      <c r="AP2104" t="s">
        <v>594</v>
      </c>
      <c r="AQ2104" s="5">
        <v>27615</v>
      </c>
      <c r="AR2104" t="s">
        <v>128</v>
      </c>
      <c r="AT2104" s="4">
        <v>19196474821</v>
      </c>
      <c r="AV2104" t="s">
        <v>6813</v>
      </c>
      <c r="AW2104" t="s">
        <v>6814</v>
      </c>
      <c r="AX2104" t="s">
        <v>131</v>
      </c>
      <c r="AY2104" t="s">
        <v>131</v>
      </c>
      <c r="AZ2104" t="s">
        <v>131</v>
      </c>
      <c r="BA2104" t="s">
        <v>131</v>
      </c>
      <c r="BB2104" t="s">
        <v>131</v>
      </c>
      <c r="BC2104" t="s">
        <v>131</v>
      </c>
      <c r="BD2104" t="s">
        <v>131</v>
      </c>
      <c r="BE2104" t="s">
        <v>132</v>
      </c>
      <c r="BH2104" t="s">
        <v>4968</v>
      </c>
      <c r="BI2104" t="s">
        <v>131</v>
      </c>
      <c r="BL2104" t="s">
        <v>188</v>
      </c>
      <c r="BN2104" t="s">
        <v>20098</v>
      </c>
      <c r="BO2104" t="s">
        <v>131</v>
      </c>
      <c r="BP2104" t="s">
        <v>134</v>
      </c>
      <c r="BQ2104" t="s">
        <v>131</v>
      </c>
      <c r="BS2104" t="str">
        <f t="shared" si="124"/>
        <v>N/A</v>
      </c>
      <c r="BT2104" t="s">
        <v>135</v>
      </c>
      <c r="BU2104">
        <v>24</v>
      </c>
      <c r="BV2104" t="str">
        <f>"Relevant experience in Oracle Database Administration on Unix platform."</f>
        <v>Relevant experience in Oracle Database Administration on Unix platform.</v>
      </c>
      <c r="BW2104" t="s">
        <v>135</v>
      </c>
      <c r="BX2104" t="str">
        <f>""</f>
        <v/>
      </c>
      <c r="BY2104" t="str">
        <f>""</f>
        <v/>
      </c>
      <c r="BZ2104" t="str">
        <f>""</f>
        <v/>
      </c>
      <c r="CA2104" t="s">
        <v>16416</v>
      </c>
      <c r="CB2104" t="s">
        <v>135</v>
      </c>
      <c r="CC2104" t="s">
        <v>658</v>
      </c>
      <c r="CD2104" t="s">
        <v>20099</v>
      </c>
      <c r="CE2104" t="s">
        <v>20100</v>
      </c>
      <c r="CF2104" t="s">
        <v>131</v>
      </c>
      <c r="CH2104" t="str">
        <f>"N/A"</f>
        <v>N/A</v>
      </c>
      <c r="CI2104" t="s">
        <v>135</v>
      </c>
      <c r="CJ2104">
        <v>48</v>
      </c>
      <c r="CK2104" t="s">
        <v>135</v>
      </c>
      <c r="CL2104" t="str">
        <f>""</f>
        <v/>
      </c>
      <c r="CM2104" t="str">
        <f>""</f>
        <v/>
      </c>
      <c r="CN2104" t="str">
        <f>""</f>
        <v/>
      </c>
      <c r="CO2104" t="s">
        <v>16416</v>
      </c>
      <c r="CP2104" t="str">
        <f>"15-1141.00"</f>
        <v>15-1141.00</v>
      </c>
      <c r="CQ2104" t="s">
        <v>1576</v>
      </c>
      <c r="CR2104" t="s">
        <v>16417</v>
      </c>
      <c r="CS2104" t="s">
        <v>131</v>
      </c>
      <c r="CU2104" t="s">
        <v>16418</v>
      </c>
      <c r="CW2104" t="s">
        <v>1271</v>
      </c>
      <c r="CX2104" t="s">
        <v>400</v>
      </c>
      <c r="CZ2104" s="3" t="str">
        <f>"76117"</f>
        <v>76117</v>
      </c>
      <c r="DA2104" t="s">
        <v>131</v>
      </c>
      <c r="DB2104" t="str">
        <f>""</f>
        <v/>
      </c>
      <c r="DF2104" t="str">
        <f>""</f>
        <v/>
      </c>
    </row>
    <row r="2105" spans="1:110" ht="15" customHeight="1" x14ac:dyDescent="0.35">
      <c r="A2105" t="s">
        <v>17359</v>
      </c>
      <c r="B2105" t="s">
        <v>138</v>
      </c>
      <c r="C2105" s="1">
        <v>44369</v>
      </c>
      <c r="G2105" s="1">
        <v>44369</v>
      </c>
      <c r="H2105" t="s">
        <v>125</v>
      </c>
      <c r="I2105" t="s">
        <v>1637</v>
      </c>
      <c r="J2105" t="s">
        <v>718</v>
      </c>
      <c r="L2105" t="s">
        <v>15066</v>
      </c>
      <c r="M2105" t="s">
        <v>15067</v>
      </c>
      <c r="N2105" t="s">
        <v>15068</v>
      </c>
      <c r="O2105" t="s">
        <v>376</v>
      </c>
      <c r="P2105" t="s">
        <v>720</v>
      </c>
      <c r="Q2105" s="3">
        <v>2215</v>
      </c>
      <c r="R2105" t="s">
        <v>128</v>
      </c>
      <c r="T2105" s="4">
        <v>16173532326</v>
      </c>
      <c r="V2105" t="s">
        <v>15069</v>
      </c>
      <c r="W2105" t="s">
        <v>15070</v>
      </c>
      <c r="Y2105" t="s">
        <v>15068</v>
      </c>
      <c r="AA2105" t="s">
        <v>376</v>
      </c>
      <c r="AB2105" t="s">
        <v>377</v>
      </c>
      <c r="AC2105" s="3" t="str">
        <f>"02215"</f>
        <v>02215</v>
      </c>
      <c r="AD2105" t="s">
        <v>128</v>
      </c>
      <c r="AF2105" s="4">
        <v>16173532326</v>
      </c>
      <c r="AH2105" t="str">
        <f>"61131"</f>
        <v>61131</v>
      </c>
      <c r="AI2105" t="s">
        <v>130</v>
      </c>
      <c r="AJ2105" t="s">
        <v>9080</v>
      </c>
      <c r="AK2105" t="s">
        <v>4435</v>
      </c>
      <c r="AL2105" t="s">
        <v>1198</v>
      </c>
      <c r="AM2105" t="s">
        <v>9081</v>
      </c>
      <c r="AN2105" t="s">
        <v>3384</v>
      </c>
      <c r="AO2105" t="s">
        <v>376</v>
      </c>
      <c r="AP2105" t="s">
        <v>377</v>
      </c>
      <c r="AQ2105" s="5">
        <v>2109</v>
      </c>
      <c r="AR2105" t="s">
        <v>128</v>
      </c>
      <c r="AT2105" s="4">
        <v>16175425111</v>
      </c>
      <c r="AV2105" t="s">
        <v>9082</v>
      </c>
      <c r="AW2105" t="s">
        <v>9083</v>
      </c>
      <c r="AX2105" t="s">
        <v>135</v>
      </c>
      <c r="AY2105" t="s">
        <v>135</v>
      </c>
      <c r="AZ2105" t="s">
        <v>131</v>
      </c>
      <c r="BA2105" t="s">
        <v>131</v>
      </c>
      <c r="BB2105" t="s">
        <v>134</v>
      </c>
      <c r="BC2105" t="s">
        <v>131</v>
      </c>
      <c r="BD2105" t="s">
        <v>131</v>
      </c>
      <c r="BE2105" t="s">
        <v>132</v>
      </c>
      <c r="BH2105" t="s">
        <v>446</v>
      </c>
      <c r="BI2105" t="s">
        <v>131</v>
      </c>
      <c r="BL2105" t="s">
        <v>447</v>
      </c>
      <c r="BN2105" t="s">
        <v>17360</v>
      </c>
      <c r="BO2105" t="s">
        <v>131</v>
      </c>
      <c r="BP2105" t="s">
        <v>134</v>
      </c>
      <c r="BQ2105" t="s">
        <v>131</v>
      </c>
      <c r="BS2105" t="str">
        <f t="shared" si="124"/>
        <v>N/A</v>
      </c>
      <c r="BT2105" t="s">
        <v>131</v>
      </c>
      <c r="BV2105" t="str">
        <f>""</f>
        <v/>
      </c>
      <c r="BW2105" t="s">
        <v>135</v>
      </c>
      <c r="BX2105" t="str">
        <f>""</f>
        <v/>
      </c>
      <c r="BY2105" t="str">
        <f>""</f>
        <v/>
      </c>
      <c r="BZ2105" t="str">
        <f>""</f>
        <v/>
      </c>
      <c r="CA2105" t="str">
        <f>"Must have demonstrated teaching ability at the university level; and research ability demonstrated through publications and/or conference presentations."</f>
        <v>Must have demonstrated teaching ability at the university level; and research ability demonstrated through publications and/or conference presentations.</v>
      </c>
      <c r="CB2105" t="s">
        <v>131</v>
      </c>
      <c r="CF2105" t="s">
        <v>131</v>
      </c>
      <c r="CH2105" t="str">
        <f>""</f>
        <v/>
      </c>
      <c r="CI2105" t="s">
        <v>131</v>
      </c>
      <c r="CK2105" t="s">
        <v>131</v>
      </c>
      <c r="CL2105" t="str">
        <f>""</f>
        <v/>
      </c>
      <c r="CM2105" t="str">
        <f>""</f>
        <v/>
      </c>
      <c r="CN2105" t="str">
        <f>""</f>
        <v/>
      </c>
      <c r="CO2105" t="str">
        <f>""</f>
        <v/>
      </c>
      <c r="CP2105" t="str">
        <f>"25-1011.00"</f>
        <v>25-1011.00</v>
      </c>
      <c r="CQ2105" t="s">
        <v>531</v>
      </c>
      <c r="CR2105" t="s">
        <v>4888</v>
      </c>
      <c r="CS2105" t="s">
        <v>131</v>
      </c>
      <c r="CU2105" t="s">
        <v>17361</v>
      </c>
      <c r="CW2105" t="s">
        <v>376</v>
      </c>
      <c r="CX2105" t="s">
        <v>377</v>
      </c>
      <c r="CZ2105" s="3" t="str">
        <f>"02215"</f>
        <v>02215</v>
      </c>
      <c r="DA2105" t="s">
        <v>131</v>
      </c>
      <c r="DB2105" t="str">
        <f>""</f>
        <v/>
      </c>
      <c r="DF2105" t="str">
        <f>""</f>
        <v/>
      </c>
    </row>
    <row r="2106" spans="1:110" ht="15" customHeight="1" x14ac:dyDescent="0.35">
      <c r="A2106" t="s">
        <v>6569</v>
      </c>
      <c r="B2106" t="s">
        <v>138</v>
      </c>
      <c r="C2106" s="1">
        <v>44369</v>
      </c>
      <c r="G2106" s="1">
        <v>44375</v>
      </c>
      <c r="H2106" t="s">
        <v>125</v>
      </c>
      <c r="I2106" t="s">
        <v>6570</v>
      </c>
      <c r="J2106" t="s">
        <v>1939</v>
      </c>
      <c r="L2106" t="s">
        <v>6571</v>
      </c>
      <c r="M2106" t="s">
        <v>6572</v>
      </c>
      <c r="O2106" t="s">
        <v>2323</v>
      </c>
      <c r="P2106" t="s">
        <v>593</v>
      </c>
      <c r="Q2106" s="3">
        <v>27709</v>
      </c>
      <c r="R2106" t="s">
        <v>128</v>
      </c>
      <c r="T2106" s="4">
        <v>19842452447</v>
      </c>
      <c r="V2106" t="s">
        <v>6573</v>
      </c>
      <c r="W2106" t="s">
        <v>6574</v>
      </c>
      <c r="Y2106" t="s">
        <v>6575</v>
      </c>
      <c r="AA2106" t="s">
        <v>1823</v>
      </c>
      <c r="AB2106" t="s">
        <v>594</v>
      </c>
      <c r="AC2106" s="3" t="str">
        <f>"27215"</f>
        <v>27215</v>
      </c>
      <c r="AD2106" t="s">
        <v>128</v>
      </c>
      <c r="AF2106" s="4">
        <v>19842452447</v>
      </c>
      <c r="AH2106" t="str">
        <f>"621511"</f>
        <v>621511</v>
      </c>
      <c r="AI2106" t="s">
        <v>130</v>
      </c>
      <c r="AJ2106" t="s">
        <v>6576</v>
      </c>
      <c r="AK2106" t="s">
        <v>2041</v>
      </c>
      <c r="AL2106" t="s">
        <v>6577</v>
      </c>
      <c r="AM2106" t="s">
        <v>6578</v>
      </c>
      <c r="AN2106" t="s">
        <v>240</v>
      </c>
      <c r="AO2106" t="s">
        <v>975</v>
      </c>
      <c r="AP2106" t="s">
        <v>594</v>
      </c>
      <c r="AQ2106" s="5">
        <v>27601</v>
      </c>
      <c r="AR2106" t="s">
        <v>128</v>
      </c>
      <c r="AT2106" s="4">
        <v>19198354632</v>
      </c>
      <c r="AV2106" t="s">
        <v>6579</v>
      </c>
      <c r="AW2106" t="s">
        <v>6580</v>
      </c>
      <c r="AX2106" t="s">
        <v>131</v>
      </c>
      <c r="AY2106" t="s">
        <v>131</v>
      </c>
      <c r="AZ2106" t="s">
        <v>131</v>
      </c>
      <c r="BA2106" t="s">
        <v>131</v>
      </c>
      <c r="BB2106" t="s">
        <v>131</v>
      </c>
      <c r="BC2106" t="s">
        <v>131</v>
      </c>
      <c r="BD2106" t="s">
        <v>131</v>
      </c>
      <c r="BE2106" t="s">
        <v>132</v>
      </c>
      <c r="BH2106" t="s">
        <v>6581</v>
      </c>
      <c r="BI2106" t="s">
        <v>131</v>
      </c>
      <c r="BL2106" t="s">
        <v>133</v>
      </c>
      <c r="BN2106" t="s">
        <v>6582</v>
      </c>
      <c r="BO2106" t="s">
        <v>131</v>
      </c>
      <c r="BP2106" t="s">
        <v>134</v>
      </c>
      <c r="BQ2106" t="s">
        <v>131</v>
      </c>
      <c r="BS2106" t="str">
        <f t="shared" si="124"/>
        <v>N/A</v>
      </c>
      <c r="BT2106" t="s">
        <v>135</v>
      </c>
      <c r="BU2106">
        <v>60</v>
      </c>
      <c r="BV2106" t="str">
        <f>"Database Administrator, Senior Software Developer, or Software Developer"</f>
        <v>Database Administrator, Senior Software Developer, or Software Developer</v>
      </c>
      <c r="BW2106" t="s">
        <v>135</v>
      </c>
      <c r="BX2106" t="str">
        <f>""</f>
        <v/>
      </c>
      <c r="BY2106" t="str">
        <f>""</f>
        <v/>
      </c>
      <c r="BZ2106" t="str">
        <f>""</f>
        <v/>
      </c>
      <c r="CA2106" s="2" t="s">
        <v>6583</v>
      </c>
      <c r="CB2106" t="s">
        <v>131</v>
      </c>
      <c r="CF2106" t="s">
        <v>131</v>
      </c>
      <c r="CH2106" t="str">
        <f>""</f>
        <v/>
      </c>
      <c r="CI2106" t="s">
        <v>131</v>
      </c>
      <c r="CK2106" t="s">
        <v>131</v>
      </c>
      <c r="CL2106" t="str">
        <f>""</f>
        <v/>
      </c>
      <c r="CM2106" t="str">
        <f>""</f>
        <v/>
      </c>
      <c r="CN2106" t="str">
        <f>""</f>
        <v/>
      </c>
      <c r="CO2106" t="str">
        <f>""</f>
        <v/>
      </c>
      <c r="CP2106" t="str">
        <f>"15-1141.00"</f>
        <v>15-1141.00</v>
      </c>
      <c r="CQ2106" t="s">
        <v>1576</v>
      </c>
      <c r="CS2106" t="s">
        <v>131</v>
      </c>
      <c r="CU2106" t="s">
        <v>6572</v>
      </c>
      <c r="CW2106" t="s">
        <v>2323</v>
      </c>
      <c r="CX2106" t="s">
        <v>594</v>
      </c>
      <c r="CZ2106" s="3" t="str">
        <f>"27709"</f>
        <v>27709</v>
      </c>
      <c r="DA2106" t="s">
        <v>131</v>
      </c>
      <c r="DB2106" t="str">
        <f>""</f>
        <v/>
      </c>
      <c r="DF2106" t="str">
        <f>""</f>
        <v/>
      </c>
    </row>
    <row r="2107" spans="1:110" ht="15" customHeight="1" x14ac:dyDescent="0.35">
      <c r="A2107" t="s">
        <v>16516</v>
      </c>
      <c r="B2107" t="s">
        <v>138</v>
      </c>
      <c r="C2107" s="1">
        <v>44369</v>
      </c>
      <c r="G2107" s="1">
        <v>44369</v>
      </c>
      <c r="H2107" t="s">
        <v>125</v>
      </c>
      <c r="I2107" t="s">
        <v>8096</v>
      </c>
      <c r="J2107" t="s">
        <v>2372</v>
      </c>
      <c r="L2107" t="s">
        <v>1752</v>
      </c>
      <c r="M2107" t="s">
        <v>8097</v>
      </c>
      <c r="O2107" t="s">
        <v>885</v>
      </c>
      <c r="P2107" t="s">
        <v>412</v>
      </c>
      <c r="Q2107" s="3">
        <v>77036</v>
      </c>
      <c r="R2107" t="s">
        <v>128</v>
      </c>
      <c r="T2107" s="4">
        <v>13462237106</v>
      </c>
      <c r="V2107" t="s">
        <v>8098</v>
      </c>
      <c r="W2107" t="s">
        <v>8099</v>
      </c>
      <c r="Y2107" t="s">
        <v>8100</v>
      </c>
      <c r="AA2107" t="s">
        <v>885</v>
      </c>
      <c r="AB2107" t="s">
        <v>400</v>
      </c>
      <c r="AC2107" s="3" t="str">
        <f>"77036"</f>
        <v>77036</v>
      </c>
      <c r="AD2107" t="s">
        <v>128</v>
      </c>
      <c r="AF2107" s="4">
        <v>17133753700</v>
      </c>
      <c r="AH2107" t="str">
        <f>"213112"</f>
        <v>213112</v>
      </c>
      <c r="AI2107" t="s">
        <v>130</v>
      </c>
      <c r="AJ2107" t="s">
        <v>3229</v>
      </c>
      <c r="AK2107" t="s">
        <v>3230</v>
      </c>
      <c r="AL2107" t="s">
        <v>589</v>
      </c>
      <c r="AM2107" t="s">
        <v>2020</v>
      </c>
      <c r="AN2107" t="s">
        <v>2021</v>
      </c>
      <c r="AO2107" t="s">
        <v>2022</v>
      </c>
      <c r="AP2107" t="s">
        <v>400</v>
      </c>
      <c r="AQ2107" s="5">
        <v>75001</v>
      </c>
      <c r="AR2107" t="s">
        <v>128</v>
      </c>
      <c r="AT2107" s="4">
        <v>14697910360</v>
      </c>
      <c r="AV2107" t="s">
        <v>3231</v>
      </c>
      <c r="AW2107" t="s">
        <v>517</v>
      </c>
      <c r="AX2107" t="s">
        <v>131</v>
      </c>
      <c r="AY2107" t="s">
        <v>131</v>
      </c>
      <c r="AZ2107" t="s">
        <v>131</v>
      </c>
      <c r="BA2107" t="s">
        <v>131</v>
      </c>
      <c r="BB2107" t="s">
        <v>131</v>
      </c>
      <c r="BC2107" t="s">
        <v>131</v>
      </c>
      <c r="BD2107" t="s">
        <v>131</v>
      </c>
      <c r="BE2107" t="s">
        <v>132</v>
      </c>
      <c r="BH2107" t="s">
        <v>8102</v>
      </c>
      <c r="BI2107" t="s">
        <v>135</v>
      </c>
      <c r="BJ2107" t="s">
        <v>3627</v>
      </c>
      <c r="BK2107" t="s">
        <v>697</v>
      </c>
      <c r="BL2107" t="s">
        <v>188</v>
      </c>
      <c r="BN2107" t="s">
        <v>8103</v>
      </c>
      <c r="BO2107" t="s">
        <v>131</v>
      </c>
      <c r="BP2107" t="s">
        <v>134</v>
      </c>
      <c r="BQ2107" t="s">
        <v>131</v>
      </c>
      <c r="BS2107" t="str">
        <f t="shared" si="124"/>
        <v>N/A</v>
      </c>
      <c r="BT2107" t="s">
        <v>135</v>
      </c>
      <c r="BU2107">
        <v>48</v>
      </c>
      <c r="BV2107" t="str">
        <f>"See F. b. 5 (iv)"</f>
        <v>See F. b. 5 (iv)</v>
      </c>
      <c r="BW2107" t="s">
        <v>135</v>
      </c>
      <c r="BX2107" t="str">
        <f>""</f>
        <v/>
      </c>
      <c r="BY2107" t="str">
        <f>""</f>
        <v/>
      </c>
      <c r="BZ2107" t="str">
        <f>""</f>
        <v/>
      </c>
      <c r="CA2107" t="s">
        <v>8104</v>
      </c>
      <c r="CB2107" t="s">
        <v>131</v>
      </c>
      <c r="CF2107" t="s">
        <v>131</v>
      </c>
      <c r="CH2107" t="str">
        <f>""</f>
        <v/>
      </c>
      <c r="CI2107" t="s">
        <v>131</v>
      </c>
      <c r="CK2107" t="s">
        <v>131</v>
      </c>
      <c r="CL2107" t="str">
        <f>""</f>
        <v/>
      </c>
      <c r="CM2107" t="str">
        <f>""</f>
        <v/>
      </c>
      <c r="CN2107" t="str">
        <f>""</f>
        <v/>
      </c>
      <c r="CO2107" t="str">
        <f>""</f>
        <v/>
      </c>
      <c r="CP2107" t="str">
        <f>"15-1199.09"</f>
        <v>15-1199.09</v>
      </c>
      <c r="CQ2107" t="s">
        <v>697</v>
      </c>
      <c r="CR2107" t="s">
        <v>460</v>
      </c>
      <c r="CS2107" t="s">
        <v>131</v>
      </c>
      <c r="CU2107" t="s">
        <v>8100</v>
      </c>
      <c r="CW2107" t="s">
        <v>885</v>
      </c>
      <c r="CX2107" t="s">
        <v>400</v>
      </c>
      <c r="CZ2107" s="3" t="str">
        <f>"77036"</f>
        <v>77036</v>
      </c>
      <c r="DA2107" t="s">
        <v>131</v>
      </c>
      <c r="DB2107" t="str">
        <f>""</f>
        <v/>
      </c>
      <c r="DF2107" t="str">
        <f>""</f>
        <v/>
      </c>
    </row>
    <row r="2108" spans="1:110" ht="15" customHeight="1" x14ac:dyDescent="0.35">
      <c r="A2108" t="s">
        <v>6484</v>
      </c>
      <c r="B2108" t="s">
        <v>138</v>
      </c>
      <c r="C2108" s="1">
        <v>44369</v>
      </c>
      <c r="G2108" s="1">
        <v>44369</v>
      </c>
      <c r="H2108" t="s">
        <v>125</v>
      </c>
      <c r="I2108" t="s">
        <v>6485</v>
      </c>
      <c r="J2108" t="s">
        <v>1668</v>
      </c>
      <c r="L2108" t="s">
        <v>6486</v>
      </c>
      <c r="M2108" t="s">
        <v>6487</v>
      </c>
      <c r="N2108" t="s">
        <v>3712</v>
      </c>
      <c r="O2108" t="s">
        <v>5514</v>
      </c>
      <c r="P2108" t="s">
        <v>467</v>
      </c>
      <c r="Q2108" s="3">
        <v>80111</v>
      </c>
      <c r="R2108" t="s">
        <v>128</v>
      </c>
      <c r="T2108" s="4">
        <v>13032003156</v>
      </c>
      <c r="V2108" t="s">
        <v>6488</v>
      </c>
      <c r="W2108" t="s">
        <v>6489</v>
      </c>
      <c r="X2108" t="s">
        <v>6490</v>
      </c>
      <c r="Y2108" t="s">
        <v>6487</v>
      </c>
      <c r="Z2108" t="s">
        <v>3712</v>
      </c>
      <c r="AA2108" t="s">
        <v>5514</v>
      </c>
      <c r="AB2108" t="s">
        <v>471</v>
      </c>
      <c r="AC2108" s="3" t="str">
        <f>"80111"</f>
        <v>80111</v>
      </c>
      <c r="AD2108" t="s">
        <v>128</v>
      </c>
      <c r="AF2108" s="4">
        <v>13032002000</v>
      </c>
      <c r="AH2108" t="str">
        <f>"541511"</f>
        <v>541511</v>
      </c>
      <c r="AI2108" t="s">
        <v>130</v>
      </c>
      <c r="AJ2108" t="s">
        <v>6491</v>
      </c>
      <c r="AK2108" t="s">
        <v>1060</v>
      </c>
      <c r="AL2108" t="s">
        <v>2374</v>
      </c>
      <c r="AM2108" t="s">
        <v>6492</v>
      </c>
      <c r="AN2108" t="s">
        <v>6493</v>
      </c>
      <c r="AO2108" t="s">
        <v>3577</v>
      </c>
      <c r="AP2108" t="s">
        <v>471</v>
      </c>
      <c r="AQ2108" s="5">
        <v>80222</v>
      </c>
      <c r="AR2108" t="s">
        <v>128</v>
      </c>
      <c r="AT2108" s="4">
        <v>13037646800</v>
      </c>
      <c r="AV2108" t="s">
        <v>6494</v>
      </c>
      <c r="AW2108" t="s">
        <v>6495</v>
      </c>
      <c r="AX2108" t="s">
        <v>131</v>
      </c>
      <c r="AY2108" t="s">
        <v>131</v>
      </c>
      <c r="AZ2108" t="s">
        <v>131</v>
      </c>
      <c r="BA2108" t="s">
        <v>131</v>
      </c>
      <c r="BB2108" t="s">
        <v>131</v>
      </c>
      <c r="BC2108" t="s">
        <v>131</v>
      </c>
      <c r="BD2108" t="s">
        <v>131</v>
      </c>
      <c r="BE2108" t="s">
        <v>132</v>
      </c>
      <c r="BH2108" t="s">
        <v>6496</v>
      </c>
      <c r="BI2108" t="s">
        <v>131</v>
      </c>
      <c r="BL2108" t="s">
        <v>188</v>
      </c>
      <c r="BN2108" t="s">
        <v>6497</v>
      </c>
      <c r="BO2108" t="s">
        <v>131</v>
      </c>
      <c r="BP2108" t="s">
        <v>134</v>
      </c>
      <c r="BQ2108" t="s">
        <v>131</v>
      </c>
      <c r="BS2108" t="str">
        <f t="shared" si="124"/>
        <v>N/A</v>
      </c>
      <c r="BT2108" t="s">
        <v>135</v>
      </c>
      <c r="BU2108">
        <v>24</v>
      </c>
      <c r="BV2108" t="str">
        <f>"Software Development Engineer Intern, Software Development Engineer I, or related. "</f>
        <v xml:space="preserve">Software Development Engineer Intern, Software Development Engineer I, or related. </v>
      </c>
      <c r="BW2108" t="s">
        <v>135</v>
      </c>
      <c r="BX2108" t="str">
        <f>""</f>
        <v/>
      </c>
      <c r="BY2108" t="str">
        <f>""</f>
        <v/>
      </c>
      <c r="BZ2108" t="str">
        <f>""</f>
        <v/>
      </c>
      <c r="CA2108" t="s">
        <v>6498</v>
      </c>
      <c r="CB2108" t="s">
        <v>135</v>
      </c>
      <c r="CC2108" t="s">
        <v>133</v>
      </c>
      <c r="CE2108" t="s">
        <v>6497</v>
      </c>
      <c r="CF2108" t="s">
        <v>131</v>
      </c>
      <c r="CH2108" t="str">
        <f>"N/A"</f>
        <v>N/A</v>
      </c>
      <c r="CI2108" t="s">
        <v>135</v>
      </c>
      <c r="CJ2108">
        <v>60</v>
      </c>
      <c r="CK2108" t="s">
        <v>135</v>
      </c>
      <c r="CL2108" t="str">
        <f>""</f>
        <v/>
      </c>
      <c r="CM2108" t="str">
        <f>""</f>
        <v/>
      </c>
      <c r="CN2108" t="str">
        <f>""</f>
        <v/>
      </c>
      <c r="CO2108" t="s">
        <v>6498</v>
      </c>
      <c r="CP2108" t="str">
        <f>"15-1132.00"</f>
        <v>15-1132.00</v>
      </c>
      <c r="CQ2108" t="s">
        <v>198</v>
      </c>
      <c r="CR2108" t="s">
        <v>6054</v>
      </c>
      <c r="CS2108" t="s">
        <v>131</v>
      </c>
      <c r="CU2108" t="s">
        <v>6499</v>
      </c>
      <c r="CV2108" t="s">
        <v>6500</v>
      </c>
      <c r="CW2108" t="s">
        <v>262</v>
      </c>
      <c r="CX2108" t="s">
        <v>263</v>
      </c>
      <c r="CZ2108" s="3" t="str">
        <f>"60602"</f>
        <v>60602</v>
      </c>
      <c r="DA2108" t="s">
        <v>131</v>
      </c>
      <c r="DB2108" t="str">
        <f>""</f>
        <v/>
      </c>
      <c r="DF2108" t="str">
        <f>""</f>
        <v/>
      </c>
    </row>
    <row r="2109" spans="1:110" ht="15" customHeight="1" x14ac:dyDescent="0.35">
      <c r="A2109" t="s">
        <v>5499</v>
      </c>
      <c r="B2109" t="s">
        <v>138</v>
      </c>
      <c r="C2109" s="1">
        <v>44369</v>
      </c>
      <c r="G2109" s="1">
        <v>44372</v>
      </c>
      <c r="H2109" t="s">
        <v>125</v>
      </c>
      <c r="I2109" t="s">
        <v>5500</v>
      </c>
      <c r="J2109" t="s">
        <v>2488</v>
      </c>
      <c r="L2109" t="s">
        <v>5501</v>
      </c>
      <c r="M2109" t="s">
        <v>5502</v>
      </c>
      <c r="O2109" t="s">
        <v>5225</v>
      </c>
      <c r="P2109" t="s">
        <v>256</v>
      </c>
      <c r="Q2109" s="3">
        <v>63131</v>
      </c>
      <c r="R2109" t="s">
        <v>128</v>
      </c>
      <c r="T2109" s="4">
        <v>13143949863</v>
      </c>
      <c r="V2109" t="s">
        <v>5503</v>
      </c>
      <c r="W2109" t="s">
        <v>5504</v>
      </c>
      <c r="Y2109" t="s">
        <v>5502</v>
      </c>
      <c r="AA2109" t="s">
        <v>5225</v>
      </c>
      <c r="AB2109" t="s">
        <v>258</v>
      </c>
      <c r="AC2109" s="3" t="str">
        <f>"63131"</f>
        <v>63131</v>
      </c>
      <c r="AD2109" t="s">
        <v>128</v>
      </c>
      <c r="AF2109" s="4">
        <v>13143949863</v>
      </c>
      <c r="AH2109" t="str">
        <f>"515210"</f>
        <v>515210</v>
      </c>
      <c r="AI2109" t="s">
        <v>130</v>
      </c>
      <c r="AJ2109" t="s">
        <v>5505</v>
      </c>
      <c r="AK2109" t="s">
        <v>5506</v>
      </c>
      <c r="AL2109" t="s">
        <v>2661</v>
      </c>
      <c r="AM2109" t="s">
        <v>5507</v>
      </c>
      <c r="AN2109" t="s">
        <v>5495</v>
      </c>
      <c r="AO2109" t="s">
        <v>4084</v>
      </c>
      <c r="AP2109" t="s">
        <v>312</v>
      </c>
      <c r="AQ2109" s="5">
        <v>19103</v>
      </c>
      <c r="AR2109" t="s">
        <v>128</v>
      </c>
      <c r="AT2109" s="4">
        <v>12158258600</v>
      </c>
      <c r="AV2109" t="s">
        <v>5508</v>
      </c>
      <c r="AW2109" t="s">
        <v>5509</v>
      </c>
      <c r="AX2109" t="s">
        <v>131</v>
      </c>
      <c r="AY2109" t="s">
        <v>131</v>
      </c>
      <c r="AZ2109" t="s">
        <v>131</v>
      </c>
      <c r="BA2109" t="s">
        <v>131</v>
      </c>
      <c r="BB2109" t="s">
        <v>131</v>
      </c>
      <c r="BC2109" t="s">
        <v>131</v>
      </c>
      <c r="BD2109" t="s">
        <v>131</v>
      </c>
      <c r="BE2109" t="s">
        <v>132</v>
      </c>
      <c r="BH2109" t="s">
        <v>5510</v>
      </c>
      <c r="BI2109" t="s">
        <v>135</v>
      </c>
      <c r="BJ2109" t="s">
        <v>597</v>
      </c>
      <c r="BK2109" t="s">
        <v>198</v>
      </c>
      <c r="BL2109" t="s">
        <v>133</v>
      </c>
      <c r="BN2109" t="s">
        <v>4265</v>
      </c>
      <c r="BO2109" t="s">
        <v>131</v>
      </c>
      <c r="BP2109" t="s">
        <v>134</v>
      </c>
      <c r="BQ2109" t="s">
        <v>131</v>
      </c>
      <c r="BS2109" t="str">
        <f t="shared" si="124"/>
        <v>N/A</v>
      </c>
      <c r="BT2109" t="s">
        <v>135</v>
      </c>
      <c r="BU2109">
        <v>96</v>
      </c>
      <c r="BV2109" t="str">
        <f>"Any occupation that provides the required experience."</f>
        <v>Any occupation that provides the required experience.</v>
      </c>
      <c r="BW2109" t="s">
        <v>135</v>
      </c>
      <c r="BX2109" t="str">
        <f>""</f>
        <v/>
      </c>
      <c r="BY2109" t="str">
        <f>""</f>
        <v/>
      </c>
      <c r="BZ2109" t="str">
        <f>""</f>
        <v/>
      </c>
      <c r="CA2109" t="s">
        <v>5511</v>
      </c>
      <c r="CB2109" t="s">
        <v>131</v>
      </c>
      <c r="CF2109" t="s">
        <v>131</v>
      </c>
      <c r="CH2109" t="str">
        <f>""</f>
        <v/>
      </c>
      <c r="CI2109" t="s">
        <v>131</v>
      </c>
      <c r="CK2109" t="s">
        <v>131</v>
      </c>
      <c r="CL2109" t="str">
        <f>""</f>
        <v/>
      </c>
      <c r="CM2109" t="str">
        <f>""</f>
        <v/>
      </c>
      <c r="CN2109" t="str">
        <f>""</f>
        <v/>
      </c>
      <c r="CO2109" t="str">
        <f>""</f>
        <v/>
      </c>
      <c r="CP2109" t="str">
        <f>"15-1132.00"</f>
        <v>15-1132.00</v>
      </c>
      <c r="CQ2109" t="s">
        <v>198</v>
      </c>
      <c r="CR2109" t="s">
        <v>5512</v>
      </c>
      <c r="CS2109" t="s">
        <v>131</v>
      </c>
      <c r="CU2109" t="s">
        <v>5513</v>
      </c>
      <c r="CW2109" t="s">
        <v>5514</v>
      </c>
      <c r="CX2109" t="s">
        <v>471</v>
      </c>
      <c r="CZ2109" s="3" t="str">
        <f>"80111"</f>
        <v>80111</v>
      </c>
      <c r="DA2109" t="s">
        <v>131</v>
      </c>
      <c r="DB2109" t="str">
        <f>""</f>
        <v/>
      </c>
      <c r="DF2109" t="str">
        <f>""</f>
        <v/>
      </c>
    </row>
    <row r="2110" spans="1:110" ht="15" customHeight="1" x14ac:dyDescent="0.35">
      <c r="A2110" t="s">
        <v>19810</v>
      </c>
      <c r="B2110" t="s">
        <v>138</v>
      </c>
      <c r="C2110" s="1">
        <v>44369</v>
      </c>
      <c r="G2110" s="1">
        <v>44372</v>
      </c>
      <c r="H2110" t="s">
        <v>125</v>
      </c>
      <c r="I2110" t="s">
        <v>5500</v>
      </c>
      <c r="J2110" t="s">
        <v>2488</v>
      </c>
      <c r="L2110" t="s">
        <v>5501</v>
      </c>
      <c r="M2110" t="s">
        <v>5502</v>
      </c>
      <c r="O2110" t="s">
        <v>5225</v>
      </c>
      <c r="P2110" t="s">
        <v>256</v>
      </c>
      <c r="Q2110" s="3">
        <v>63131</v>
      </c>
      <c r="R2110" t="s">
        <v>128</v>
      </c>
      <c r="T2110" s="4">
        <v>13143949863</v>
      </c>
      <c r="V2110" t="s">
        <v>5503</v>
      </c>
      <c r="W2110" t="s">
        <v>5504</v>
      </c>
      <c r="Y2110" t="s">
        <v>5502</v>
      </c>
      <c r="AA2110" t="s">
        <v>5225</v>
      </c>
      <c r="AB2110" t="s">
        <v>258</v>
      </c>
      <c r="AC2110" s="3" t="str">
        <f>"63131"</f>
        <v>63131</v>
      </c>
      <c r="AD2110" t="s">
        <v>128</v>
      </c>
      <c r="AF2110" s="4">
        <v>13143949863</v>
      </c>
      <c r="AH2110" t="str">
        <f>"515210"</f>
        <v>515210</v>
      </c>
      <c r="AI2110" t="s">
        <v>130</v>
      </c>
      <c r="AJ2110" t="s">
        <v>5505</v>
      </c>
      <c r="AK2110" t="s">
        <v>5506</v>
      </c>
      <c r="AL2110" t="s">
        <v>1660</v>
      </c>
      <c r="AM2110" t="s">
        <v>5507</v>
      </c>
      <c r="AN2110" t="s">
        <v>5495</v>
      </c>
      <c r="AO2110" t="s">
        <v>4084</v>
      </c>
      <c r="AP2110" t="s">
        <v>312</v>
      </c>
      <c r="AQ2110" s="5">
        <v>19103</v>
      </c>
      <c r="AR2110" t="s">
        <v>128</v>
      </c>
      <c r="AT2110" s="4">
        <v>12158258600</v>
      </c>
      <c r="AV2110" t="s">
        <v>5508</v>
      </c>
      <c r="AW2110" t="s">
        <v>5509</v>
      </c>
      <c r="AX2110" t="s">
        <v>131</v>
      </c>
      <c r="AY2110" t="s">
        <v>131</v>
      </c>
      <c r="AZ2110" t="s">
        <v>131</v>
      </c>
      <c r="BA2110" t="s">
        <v>131</v>
      </c>
      <c r="BB2110" t="s">
        <v>131</v>
      </c>
      <c r="BC2110" t="s">
        <v>131</v>
      </c>
      <c r="BD2110" t="s">
        <v>131</v>
      </c>
      <c r="BE2110" t="s">
        <v>132</v>
      </c>
      <c r="BH2110" t="s">
        <v>17268</v>
      </c>
      <c r="BI2110" t="s">
        <v>131</v>
      </c>
      <c r="BL2110" t="s">
        <v>133</v>
      </c>
      <c r="BN2110" t="s">
        <v>6283</v>
      </c>
      <c r="BO2110" t="s">
        <v>131</v>
      </c>
      <c r="BP2110" t="s">
        <v>134</v>
      </c>
      <c r="BQ2110" t="s">
        <v>131</v>
      </c>
      <c r="BS2110" t="str">
        <f t="shared" si="124"/>
        <v>N/A</v>
      </c>
      <c r="BT2110" t="s">
        <v>135</v>
      </c>
      <c r="BU2110">
        <v>36</v>
      </c>
      <c r="BV2110" t="str">
        <f>"ANY OCUPATION THAT PROVIDES THE REQUIRED EXPERIENCE."</f>
        <v>ANY OCUPATION THAT PROVIDES THE REQUIRED EXPERIENCE.</v>
      </c>
      <c r="BW2110" t="s">
        <v>135</v>
      </c>
      <c r="BX2110" t="str">
        <f>""</f>
        <v/>
      </c>
      <c r="BY2110" t="str">
        <f>""</f>
        <v/>
      </c>
      <c r="BZ2110" t="str">
        <f>""</f>
        <v/>
      </c>
      <c r="CA2110" t="s">
        <v>17269</v>
      </c>
      <c r="CB2110" t="s">
        <v>131</v>
      </c>
      <c r="CF2110" t="s">
        <v>131</v>
      </c>
      <c r="CH2110" t="str">
        <f>""</f>
        <v/>
      </c>
      <c r="CI2110" t="s">
        <v>131</v>
      </c>
      <c r="CK2110" t="s">
        <v>131</v>
      </c>
      <c r="CL2110" t="str">
        <f>""</f>
        <v/>
      </c>
      <c r="CM2110" t="str">
        <f>""</f>
        <v/>
      </c>
      <c r="CN2110" t="str">
        <f>""</f>
        <v/>
      </c>
      <c r="CO2110" t="str">
        <f>""</f>
        <v/>
      </c>
      <c r="CP2110" t="str">
        <f>"15-1143.00"</f>
        <v>15-1143.00</v>
      </c>
      <c r="CQ2110" t="s">
        <v>1065</v>
      </c>
      <c r="CR2110" t="s">
        <v>19811</v>
      </c>
      <c r="CS2110" t="s">
        <v>131</v>
      </c>
      <c r="CU2110" t="s">
        <v>16132</v>
      </c>
      <c r="CW2110" t="s">
        <v>5514</v>
      </c>
      <c r="CX2110" t="s">
        <v>471</v>
      </c>
      <c r="CZ2110" s="3" t="str">
        <f>"80111"</f>
        <v>80111</v>
      </c>
      <c r="DA2110" t="s">
        <v>131</v>
      </c>
      <c r="DB2110" t="str">
        <f>""</f>
        <v/>
      </c>
      <c r="DF2110" t="str">
        <f>""</f>
        <v/>
      </c>
    </row>
    <row r="2111" spans="1:110" ht="15" customHeight="1" x14ac:dyDescent="0.35">
      <c r="A2111" t="s">
        <v>11052</v>
      </c>
      <c r="B2111" t="s">
        <v>138</v>
      </c>
      <c r="C2111" s="1">
        <v>44369</v>
      </c>
      <c r="G2111" s="1">
        <v>44377</v>
      </c>
      <c r="H2111" t="s">
        <v>125</v>
      </c>
      <c r="I2111" t="s">
        <v>6808</v>
      </c>
      <c r="J2111" t="s">
        <v>1157</v>
      </c>
      <c r="K2111" t="s">
        <v>655</v>
      </c>
      <c r="L2111" t="s">
        <v>130</v>
      </c>
      <c r="M2111" t="s">
        <v>6809</v>
      </c>
      <c r="N2111" t="s">
        <v>3032</v>
      </c>
      <c r="O2111" t="s">
        <v>975</v>
      </c>
      <c r="P2111" t="s">
        <v>593</v>
      </c>
      <c r="Q2111" s="3">
        <v>27615</v>
      </c>
      <c r="R2111" t="s">
        <v>128</v>
      </c>
      <c r="T2111" s="4">
        <v>19196474821</v>
      </c>
      <c r="V2111" t="s">
        <v>6810</v>
      </c>
      <c r="W2111" t="s">
        <v>6811</v>
      </c>
      <c r="Y2111" t="s">
        <v>6812</v>
      </c>
      <c r="Z2111" t="s">
        <v>375</v>
      </c>
      <c r="AA2111" t="s">
        <v>4970</v>
      </c>
      <c r="AB2111" t="s">
        <v>779</v>
      </c>
      <c r="AC2111" s="3" t="str">
        <f>"38017"</f>
        <v>38017</v>
      </c>
      <c r="AD2111" t="s">
        <v>128</v>
      </c>
      <c r="AF2111" s="4">
        <v>19012634909</v>
      </c>
      <c r="AH2111" t="str">
        <f>"492110"</f>
        <v>492110</v>
      </c>
      <c r="AI2111" t="s">
        <v>130</v>
      </c>
      <c r="AJ2111" t="s">
        <v>6808</v>
      </c>
      <c r="AK2111" t="s">
        <v>1157</v>
      </c>
      <c r="AL2111" t="s">
        <v>655</v>
      </c>
      <c r="AM2111" t="s">
        <v>6809</v>
      </c>
      <c r="AN2111" t="s">
        <v>3032</v>
      </c>
      <c r="AO2111" t="s">
        <v>975</v>
      </c>
      <c r="AP2111" t="s">
        <v>594</v>
      </c>
      <c r="AQ2111" s="5">
        <v>27615</v>
      </c>
      <c r="AR2111" t="s">
        <v>128</v>
      </c>
      <c r="AT2111" s="4">
        <v>19196474821</v>
      </c>
      <c r="AV2111" t="s">
        <v>6813</v>
      </c>
      <c r="AW2111" t="s">
        <v>6814</v>
      </c>
      <c r="AX2111" t="s">
        <v>131</v>
      </c>
      <c r="AY2111" t="s">
        <v>131</v>
      </c>
      <c r="AZ2111" t="s">
        <v>131</v>
      </c>
      <c r="BA2111" t="s">
        <v>131</v>
      </c>
      <c r="BB2111" t="s">
        <v>131</v>
      </c>
      <c r="BC2111" t="s">
        <v>131</v>
      </c>
      <c r="BD2111" t="s">
        <v>131</v>
      </c>
      <c r="BE2111" t="s">
        <v>132</v>
      </c>
      <c r="BH2111" t="s">
        <v>11053</v>
      </c>
      <c r="BI2111" t="s">
        <v>131</v>
      </c>
      <c r="BL2111" t="s">
        <v>188</v>
      </c>
      <c r="BN2111" t="s">
        <v>10381</v>
      </c>
      <c r="BO2111" t="s">
        <v>131</v>
      </c>
      <c r="BP2111" t="s">
        <v>134</v>
      </c>
      <c r="BQ2111" t="s">
        <v>131</v>
      </c>
      <c r="BS2111" t="str">
        <f t="shared" si="124"/>
        <v>N/A</v>
      </c>
      <c r="BT2111" t="s">
        <v>135</v>
      </c>
      <c r="BU2111">
        <v>12</v>
      </c>
      <c r="BV2111" t="str">
        <f>"In information technology or engineering environment"</f>
        <v>In information technology or engineering environment</v>
      </c>
      <c r="BW2111" t="s">
        <v>135</v>
      </c>
      <c r="BX2111" t="str">
        <f>""</f>
        <v/>
      </c>
      <c r="BY2111" t="str">
        <f>""</f>
        <v/>
      </c>
      <c r="BZ2111" t="str">
        <f>""</f>
        <v/>
      </c>
      <c r="CA2111" t="str">
        <f>"Must have 1 year of experience with the following: Java; Spring or Spring Boot framework; CloudBees or Jenkins; Junit; Apache Maven; Git; and Eclipse."</f>
        <v>Must have 1 year of experience with the following: Java; Spring or Spring Boot framework; CloudBees or Jenkins; Junit; Apache Maven; Git; and Eclipse.</v>
      </c>
      <c r="CB2111" t="s">
        <v>135</v>
      </c>
      <c r="CC2111" t="s">
        <v>658</v>
      </c>
      <c r="CD2111" t="s">
        <v>11054</v>
      </c>
      <c r="CE2111" t="s">
        <v>11055</v>
      </c>
      <c r="CF2111" t="s">
        <v>131</v>
      </c>
      <c r="CH2111" t="str">
        <f>"N/A"</f>
        <v>N/A</v>
      </c>
      <c r="CI2111" t="s">
        <v>135</v>
      </c>
      <c r="CJ2111">
        <v>36</v>
      </c>
      <c r="CK2111" t="s">
        <v>135</v>
      </c>
      <c r="CL2111" t="str">
        <f>""</f>
        <v/>
      </c>
      <c r="CM2111" t="str">
        <f>""</f>
        <v/>
      </c>
      <c r="CN2111" t="str">
        <f>""</f>
        <v/>
      </c>
      <c r="CO2111" t="str">
        <f>"Must have 1 year of experience with the following: Java; Spring or Spring Boot framework; CloudBees or Jenkins; Junit; Apache Maven; Git; and Eclipse.
"</f>
        <v xml:space="preserve">Must have 1 year of experience with the following: Java; Spring or Spring Boot framework; CloudBees or Jenkins; Junit; Apache Maven; Git; and Eclipse.
</v>
      </c>
      <c r="CP2111" t="str">
        <f>"15-1132.00"</f>
        <v>15-1132.00</v>
      </c>
      <c r="CQ2111" t="s">
        <v>198</v>
      </c>
      <c r="CR2111" t="s">
        <v>6819</v>
      </c>
      <c r="CS2111" t="s">
        <v>131</v>
      </c>
      <c r="CU2111" t="s">
        <v>6820</v>
      </c>
      <c r="CW2111" t="s">
        <v>6821</v>
      </c>
      <c r="CX2111" t="s">
        <v>312</v>
      </c>
      <c r="CZ2111" s="3" t="str">
        <f>"15108"</f>
        <v>15108</v>
      </c>
      <c r="DA2111" t="s">
        <v>131</v>
      </c>
      <c r="DB2111" t="str">
        <f>""</f>
        <v/>
      </c>
      <c r="DF2111" t="str">
        <f>""</f>
        <v/>
      </c>
    </row>
    <row r="2112" spans="1:110" ht="15" customHeight="1" x14ac:dyDescent="0.35">
      <c r="A2112" t="s">
        <v>10489</v>
      </c>
      <c r="B2112" t="s">
        <v>138</v>
      </c>
      <c r="C2112" s="1">
        <v>44369</v>
      </c>
      <c r="G2112" s="1">
        <v>44370</v>
      </c>
      <c r="H2112" t="s">
        <v>125</v>
      </c>
      <c r="I2112" t="s">
        <v>9521</v>
      </c>
      <c r="J2112" t="s">
        <v>913</v>
      </c>
      <c r="L2112" t="s">
        <v>9522</v>
      </c>
      <c r="M2112" t="s">
        <v>9523</v>
      </c>
      <c r="O2112" t="s">
        <v>6429</v>
      </c>
      <c r="P2112" t="s">
        <v>720</v>
      </c>
      <c r="Q2112" s="3">
        <v>1111</v>
      </c>
      <c r="R2112" t="s">
        <v>128</v>
      </c>
      <c r="T2112" s="4">
        <v>16176954041</v>
      </c>
      <c r="V2112" t="s">
        <v>9524</v>
      </c>
      <c r="W2112" t="s">
        <v>9525</v>
      </c>
      <c r="Y2112" t="s">
        <v>9523</v>
      </c>
      <c r="AA2112" t="s">
        <v>6429</v>
      </c>
      <c r="AB2112" t="s">
        <v>377</v>
      </c>
      <c r="AC2112" s="3" t="str">
        <f>"01111"</f>
        <v>01111</v>
      </c>
      <c r="AD2112" t="s">
        <v>128</v>
      </c>
      <c r="AF2112" s="4">
        <v>14137441755</v>
      </c>
      <c r="AH2112" t="str">
        <f>"52411"</f>
        <v>52411</v>
      </c>
      <c r="AI2112" t="s">
        <v>130</v>
      </c>
      <c r="AJ2112" t="s">
        <v>1922</v>
      </c>
      <c r="AK2112" t="s">
        <v>922</v>
      </c>
      <c r="AL2112" t="s">
        <v>302</v>
      </c>
      <c r="AM2112" t="s">
        <v>1923</v>
      </c>
      <c r="AN2112" t="s">
        <v>1924</v>
      </c>
      <c r="AO2112" t="s">
        <v>1925</v>
      </c>
      <c r="AP2112" t="s">
        <v>377</v>
      </c>
      <c r="AQ2112" s="5">
        <v>1060</v>
      </c>
      <c r="AR2112" t="s">
        <v>128</v>
      </c>
      <c r="AT2112" s="4">
        <v>14135843232</v>
      </c>
      <c r="AV2112" t="s">
        <v>1926</v>
      </c>
      <c r="AW2112" t="s">
        <v>1923</v>
      </c>
      <c r="AX2112" t="s">
        <v>131</v>
      </c>
      <c r="AY2112" t="s">
        <v>131</v>
      </c>
      <c r="AZ2112" t="s">
        <v>131</v>
      </c>
      <c r="BA2112" t="s">
        <v>131</v>
      </c>
      <c r="BB2112" t="s">
        <v>131</v>
      </c>
      <c r="BC2112" t="s">
        <v>131</v>
      </c>
      <c r="BD2112" t="s">
        <v>131</v>
      </c>
      <c r="BE2112" t="s">
        <v>132</v>
      </c>
      <c r="BH2112" t="s">
        <v>10490</v>
      </c>
      <c r="BI2112" t="s">
        <v>131</v>
      </c>
      <c r="BL2112" t="s">
        <v>133</v>
      </c>
      <c r="BN2112" t="s">
        <v>3621</v>
      </c>
      <c r="BO2112" t="s">
        <v>131</v>
      </c>
      <c r="BP2112" t="s">
        <v>134</v>
      </c>
      <c r="BQ2112" t="s">
        <v>131</v>
      </c>
      <c r="BS2112" t="str">
        <f t="shared" si="124"/>
        <v>N/A</v>
      </c>
      <c r="BT2112" t="s">
        <v>135</v>
      </c>
      <c r="BU2112">
        <v>60</v>
      </c>
      <c r="BV2112" t="str">
        <f>"MDM Data Architect (Mastery) or related"</f>
        <v>MDM Data Architect (Mastery) or related</v>
      </c>
      <c r="BW2112" t="s">
        <v>135</v>
      </c>
      <c r="BX2112" t="str">
        <f>""</f>
        <v/>
      </c>
      <c r="BY2112" t="str">
        <f>""</f>
        <v/>
      </c>
      <c r="BZ2112" t="str">
        <f>""</f>
        <v/>
      </c>
      <c r="CA2112" t="str">
        <f>"Developing roadmaps for data management, utilizing Agile or Waterfall software engineering principles (SDLC) and methodologies, and using Master Data Management (MDM)."</f>
        <v>Developing roadmaps for data management, utilizing Agile or Waterfall software engineering principles (SDLC) and methodologies, and using Master Data Management (MDM).</v>
      </c>
      <c r="CB2112" t="s">
        <v>131</v>
      </c>
      <c r="CF2112" t="s">
        <v>131</v>
      </c>
      <c r="CH2112" t="str">
        <f>""</f>
        <v/>
      </c>
      <c r="CI2112" t="s">
        <v>131</v>
      </c>
      <c r="CK2112" t="s">
        <v>131</v>
      </c>
      <c r="CL2112" t="str">
        <f>""</f>
        <v/>
      </c>
      <c r="CM2112" t="str">
        <f>""</f>
        <v/>
      </c>
      <c r="CN2112" t="str">
        <f>""</f>
        <v/>
      </c>
      <c r="CO2112" t="str">
        <f>""</f>
        <v/>
      </c>
      <c r="CP2112" t="str">
        <f>"15-1199.06"</f>
        <v>15-1199.06</v>
      </c>
      <c r="CQ2112" t="s">
        <v>988</v>
      </c>
      <c r="CR2112" t="s">
        <v>10491</v>
      </c>
      <c r="CS2112" t="s">
        <v>131</v>
      </c>
      <c r="CU2112" t="s">
        <v>9526</v>
      </c>
      <c r="CW2112" t="s">
        <v>376</v>
      </c>
      <c r="CX2112" t="s">
        <v>377</v>
      </c>
      <c r="CZ2112" s="3" t="str">
        <f>"02210"</f>
        <v>02210</v>
      </c>
      <c r="DA2112" t="s">
        <v>131</v>
      </c>
      <c r="DB2112" t="str">
        <f>""</f>
        <v/>
      </c>
      <c r="DF2112" t="str">
        <f>""</f>
        <v/>
      </c>
    </row>
    <row r="2113" spans="1:110" ht="15" customHeight="1" x14ac:dyDescent="0.35">
      <c r="A2113" t="s">
        <v>9890</v>
      </c>
      <c r="B2113" t="s">
        <v>138</v>
      </c>
      <c r="C2113" s="1">
        <v>44369</v>
      </c>
      <c r="G2113" s="1">
        <v>44369</v>
      </c>
      <c r="H2113" t="s">
        <v>125</v>
      </c>
      <c r="I2113" t="s">
        <v>5729</v>
      </c>
      <c r="J2113" t="s">
        <v>4405</v>
      </c>
      <c r="K2113" t="s">
        <v>2314</v>
      </c>
      <c r="L2113" t="s">
        <v>1502</v>
      </c>
      <c r="M2113" t="s">
        <v>9891</v>
      </c>
      <c r="N2113" t="s">
        <v>4615</v>
      </c>
      <c r="O2113" t="s">
        <v>9892</v>
      </c>
      <c r="P2113" t="s">
        <v>248</v>
      </c>
      <c r="Q2113" s="3">
        <v>55318</v>
      </c>
      <c r="R2113" t="s">
        <v>128</v>
      </c>
      <c r="T2113" s="4">
        <v>16126181682</v>
      </c>
      <c r="V2113" t="s">
        <v>9893</v>
      </c>
      <c r="W2113" t="s">
        <v>9894</v>
      </c>
      <c r="X2113" t="s">
        <v>9895</v>
      </c>
      <c r="Y2113" t="s">
        <v>9896</v>
      </c>
      <c r="Z2113" t="s">
        <v>788</v>
      </c>
      <c r="AA2113" t="s">
        <v>9892</v>
      </c>
      <c r="AB2113" t="s">
        <v>249</v>
      </c>
      <c r="AC2113" s="3" t="str">
        <f>"55318"</f>
        <v>55318</v>
      </c>
      <c r="AD2113" t="s">
        <v>128</v>
      </c>
      <c r="AE2113" t="s">
        <v>134</v>
      </c>
      <c r="AF2113" s="4">
        <v>19523618029</v>
      </c>
      <c r="AH2113" t="str">
        <f>"62311"</f>
        <v>62311</v>
      </c>
      <c r="AI2113" t="s">
        <v>130</v>
      </c>
      <c r="AJ2113" t="s">
        <v>9897</v>
      </c>
      <c r="AK2113" t="s">
        <v>1071</v>
      </c>
      <c r="AL2113" t="s">
        <v>618</v>
      </c>
      <c r="AM2113" t="s">
        <v>9898</v>
      </c>
      <c r="AO2113" t="s">
        <v>171</v>
      </c>
      <c r="AP2113" t="s">
        <v>172</v>
      </c>
      <c r="AQ2113" s="5">
        <v>92620</v>
      </c>
      <c r="AR2113" t="s">
        <v>128</v>
      </c>
      <c r="AT2113" s="4">
        <v>17148631362</v>
      </c>
      <c r="AV2113" t="s">
        <v>9899</v>
      </c>
      <c r="AW2113" t="s">
        <v>9900</v>
      </c>
      <c r="AX2113" t="s">
        <v>131</v>
      </c>
      <c r="AY2113" t="s">
        <v>131</v>
      </c>
      <c r="AZ2113" t="s">
        <v>131</v>
      </c>
      <c r="BA2113" t="s">
        <v>131</v>
      </c>
      <c r="BB2113" t="s">
        <v>131</v>
      </c>
      <c r="BC2113" t="s">
        <v>131</v>
      </c>
      <c r="BD2113" t="s">
        <v>131</v>
      </c>
      <c r="BE2113" t="s">
        <v>132</v>
      </c>
      <c r="BH2113" t="s">
        <v>230</v>
      </c>
      <c r="BI2113" t="s">
        <v>131</v>
      </c>
      <c r="BL2113" t="s">
        <v>307</v>
      </c>
      <c r="BN2113" t="s">
        <v>604</v>
      </c>
      <c r="BO2113" t="s">
        <v>131</v>
      </c>
      <c r="BP2113" t="s">
        <v>134</v>
      </c>
      <c r="BQ2113" t="s">
        <v>131</v>
      </c>
      <c r="BS2113" t="str">
        <f t="shared" si="124"/>
        <v>N/A</v>
      </c>
      <c r="BT2113" t="s">
        <v>131</v>
      </c>
      <c r="BV2113" t="str">
        <f>""</f>
        <v/>
      </c>
      <c r="BW2113" t="s">
        <v>135</v>
      </c>
      <c r="BX2113" t="str">
        <f>"Must hold EITHER a CGFNS certificate, OR have passed the National Council Licensure Examination for Registered Nurses (NCLEX), OR hold an RN license in the state of intended employment pursuant to 20 CFR 656.5(a)(2)."</f>
        <v>Must hold EITHER a CGFNS certificate, OR have passed the National Council Licensure Examination for Registered Nurses (NCLEX), OR hold an RN license in the state of intended employment pursuant to 20 CFR 656.5(a)(2).</v>
      </c>
      <c r="BY2113" t="str">
        <f>""</f>
        <v/>
      </c>
      <c r="BZ2113" t="str">
        <f>""</f>
        <v/>
      </c>
      <c r="CA2113" t="str">
        <f>""</f>
        <v/>
      </c>
      <c r="CB2113" t="s">
        <v>131</v>
      </c>
      <c r="CF2113" t="s">
        <v>131</v>
      </c>
      <c r="CH2113" t="str">
        <f>""</f>
        <v/>
      </c>
      <c r="CI2113" t="s">
        <v>131</v>
      </c>
      <c r="CK2113" t="s">
        <v>131</v>
      </c>
      <c r="CL2113" t="str">
        <f>""</f>
        <v/>
      </c>
      <c r="CM2113" t="str">
        <f>""</f>
        <v/>
      </c>
      <c r="CN2113" t="str">
        <f>""</f>
        <v/>
      </c>
      <c r="CO2113" t="str">
        <f>""</f>
        <v/>
      </c>
      <c r="CP2113" t="str">
        <f>"29-1141.00"</f>
        <v>29-1141.00</v>
      </c>
      <c r="CQ2113" t="s">
        <v>232</v>
      </c>
      <c r="CR2113" t="s">
        <v>5558</v>
      </c>
      <c r="CS2113" t="s">
        <v>131</v>
      </c>
      <c r="CU2113" t="s">
        <v>9901</v>
      </c>
      <c r="CW2113" t="s">
        <v>9902</v>
      </c>
      <c r="CX2113" t="s">
        <v>195</v>
      </c>
      <c r="CZ2113" s="3" t="str">
        <f>"33771"</f>
        <v>33771</v>
      </c>
      <c r="DA2113" t="s">
        <v>131</v>
      </c>
      <c r="DB2113" t="str">
        <f>""</f>
        <v/>
      </c>
      <c r="DF2113" t="str">
        <f>""</f>
        <v/>
      </c>
    </row>
    <row r="2114" spans="1:110" ht="15" customHeight="1" x14ac:dyDescent="0.35">
      <c r="A2114" t="s">
        <v>15648</v>
      </c>
      <c r="B2114" t="s">
        <v>138</v>
      </c>
      <c r="C2114" s="1">
        <v>44369</v>
      </c>
      <c r="G2114" s="1">
        <v>44377</v>
      </c>
      <c r="H2114" t="s">
        <v>125</v>
      </c>
      <c r="I2114" t="s">
        <v>10083</v>
      </c>
      <c r="J2114" t="s">
        <v>8475</v>
      </c>
      <c r="L2114" t="s">
        <v>10084</v>
      </c>
      <c r="M2114" t="s">
        <v>10085</v>
      </c>
      <c r="O2114" t="s">
        <v>10086</v>
      </c>
      <c r="P2114" t="s">
        <v>467</v>
      </c>
      <c r="Q2114" s="3">
        <v>80111</v>
      </c>
      <c r="R2114" t="s">
        <v>128</v>
      </c>
      <c r="T2114" s="4">
        <v>13037374155</v>
      </c>
      <c r="V2114" t="s">
        <v>10087</v>
      </c>
      <c r="W2114" t="s">
        <v>10088</v>
      </c>
      <c r="X2114" t="s">
        <v>10089</v>
      </c>
      <c r="Y2114" t="s">
        <v>10090</v>
      </c>
      <c r="AA2114" t="s">
        <v>10091</v>
      </c>
      <c r="AB2114" t="s">
        <v>471</v>
      </c>
      <c r="AC2114" s="3" t="str">
        <f>"80111"</f>
        <v>80111</v>
      </c>
      <c r="AD2114" t="s">
        <v>128</v>
      </c>
      <c r="AF2114" s="4">
        <v>13037354155</v>
      </c>
      <c r="AH2114" t="str">
        <f>"52421"</f>
        <v>52421</v>
      </c>
      <c r="AI2114" t="s">
        <v>130</v>
      </c>
      <c r="AJ2114" t="s">
        <v>10092</v>
      </c>
      <c r="AK2114" t="s">
        <v>10093</v>
      </c>
      <c r="AL2114" t="s">
        <v>4907</v>
      </c>
      <c r="AM2114" t="s">
        <v>9606</v>
      </c>
      <c r="AN2114" t="s">
        <v>9607</v>
      </c>
      <c r="AO2114" t="s">
        <v>1643</v>
      </c>
      <c r="AP2114" t="s">
        <v>471</v>
      </c>
      <c r="AQ2114" s="5">
        <v>80202</v>
      </c>
      <c r="AR2114" t="s">
        <v>128</v>
      </c>
      <c r="AT2114" s="4">
        <v>13032183669</v>
      </c>
      <c r="AV2114" t="s">
        <v>10094</v>
      </c>
      <c r="AW2114" t="s">
        <v>9608</v>
      </c>
      <c r="AX2114" t="s">
        <v>131</v>
      </c>
      <c r="AY2114" t="s">
        <v>131</v>
      </c>
      <c r="AZ2114" t="s">
        <v>131</v>
      </c>
      <c r="BA2114" t="s">
        <v>131</v>
      </c>
      <c r="BB2114" t="s">
        <v>131</v>
      </c>
      <c r="BC2114" t="s">
        <v>131</v>
      </c>
      <c r="BD2114" t="s">
        <v>131</v>
      </c>
      <c r="BE2114" t="s">
        <v>132</v>
      </c>
      <c r="BH2114" t="s">
        <v>1501</v>
      </c>
      <c r="BI2114" t="s">
        <v>131</v>
      </c>
      <c r="BL2114" t="s">
        <v>188</v>
      </c>
      <c r="BN2114" t="s">
        <v>15649</v>
      </c>
      <c r="BO2114" t="s">
        <v>131</v>
      </c>
      <c r="BP2114" t="s">
        <v>134</v>
      </c>
      <c r="BQ2114" t="s">
        <v>131</v>
      </c>
      <c r="BS2114" t="str">
        <f t="shared" si="124"/>
        <v>N/A</v>
      </c>
      <c r="BT2114" t="s">
        <v>135</v>
      </c>
      <c r="BU2114">
        <v>24</v>
      </c>
      <c r="BV2114" t="str">
        <f>"senior software engineer, or related"</f>
        <v>senior software engineer, or related</v>
      </c>
      <c r="BW2114" t="s">
        <v>135</v>
      </c>
      <c r="BX2114" t="str">
        <f>""</f>
        <v/>
      </c>
      <c r="BY2114" t="str">
        <f>""</f>
        <v/>
      </c>
      <c r="BZ2114" t="str">
        <f>""</f>
        <v/>
      </c>
      <c r="CA2114" s="2" t="s">
        <v>15650</v>
      </c>
      <c r="CB2114" t="s">
        <v>135</v>
      </c>
      <c r="CC2114" t="s">
        <v>133</v>
      </c>
      <c r="CE2114" t="s">
        <v>15649</v>
      </c>
      <c r="CF2114" t="s">
        <v>131</v>
      </c>
      <c r="CH2114" t="str">
        <f>"N/A"</f>
        <v>N/A</v>
      </c>
      <c r="CI2114" t="s">
        <v>135</v>
      </c>
      <c r="CJ2114">
        <v>60</v>
      </c>
      <c r="CK2114" t="s">
        <v>135</v>
      </c>
      <c r="CL2114" t="str">
        <f>""</f>
        <v/>
      </c>
      <c r="CM2114" t="str">
        <f>""</f>
        <v/>
      </c>
      <c r="CN2114" t="str">
        <f>""</f>
        <v/>
      </c>
      <c r="CO2114" s="2" t="s">
        <v>15650</v>
      </c>
      <c r="CP2114" t="str">
        <f>"15-1132.00"</f>
        <v>15-1132.00</v>
      </c>
      <c r="CQ2114" t="s">
        <v>198</v>
      </c>
      <c r="CS2114" t="s">
        <v>131</v>
      </c>
      <c r="CU2114" t="s">
        <v>15651</v>
      </c>
      <c r="CV2114" t="s">
        <v>10096</v>
      </c>
      <c r="CW2114" t="s">
        <v>5514</v>
      </c>
      <c r="CX2114" t="s">
        <v>471</v>
      </c>
      <c r="CZ2114" s="3" t="str">
        <f>"80111"</f>
        <v>80111</v>
      </c>
      <c r="DA2114" t="s">
        <v>131</v>
      </c>
      <c r="DB2114" t="str">
        <f>""</f>
        <v/>
      </c>
      <c r="DF2114" t="str">
        <f>""</f>
        <v/>
      </c>
    </row>
    <row r="2115" spans="1:110" ht="15" customHeight="1" x14ac:dyDescent="0.35">
      <c r="A2115" t="s">
        <v>14281</v>
      </c>
      <c r="B2115" t="s">
        <v>138</v>
      </c>
      <c r="C2115" s="1">
        <v>44369</v>
      </c>
      <c r="G2115" s="1">
        <v>44369</v>
      </c>
      <c r="H2115" t="s">
        <v>125</v>
      </c>
      <c r="I2115" t="s">
        <v>6275</v>
      </c>
      <c r="J2115" t="s">
        <v>8510</v>
      </c>
      <c r="L2115" t="s">
        <v>6103</v>
      </c>
      <c r="M2115" t="s">
        <v>6104</v>
      </c>
      <c r="O2115" t="s">
        <v>523</v>
      </c>
      <c r="P2115" t="s">
        <v>178</v>
      </c>
      <c r="Q2115" s="3">
        <v>94107</v>
      </c>
      <c r="R2115" t="s">
        <v>128</v>
      </c>
      <c r="T2115" s="4">
        <v>16694448220</v>
      </c>
      <c r="V2115" t="s">
        <v>6105</v>
      </c>
      <c r="W2115" t="s">
        <v>6106</v>
      </c>
      <c r="Y2115" t="s">
        <v>6104</v>
      </c>
      <c r="AA2115" t="s">
        <v>523</v>
      </c>
      <c r="AB2115" t="s">
        <v>172</v>
      </c>
      <c r="AC2115" s="3" t="str">
        <f>"94107"</f>
        <v>94107</v>
      </c>
      <c r="AD2115" t="s">
        <v>128</v>
      </c>
      <c r="AF2115" s="4">
        <v>14158488400</v>
      </c>
      <c r="AH2115" t="str">
        <f>"51821"</f>
        <v>51821</v>
      </c>
      <c r="AI2115" t="s">
        <v>130</v>
      </c>
      <c r="AJ2115" t="s">
        <v>8511</v>
      </c>
      <c r="AK2115" t="s">
        <v>2812</v>
      </c>
      <c r="AM2115" t="s">
        <v>2114</v>
      </c>
      <c r="AN2115" t="s">
        <v>1478</v>
      </c>
      <c r="AO2115" t="s">
        <v>220</v>
      </c>
      <c r="AP2115" t="s">
        <v>172</v>
      </c>
      <c r="AQ2115" s="5">
        <v>94105</v>
      </c>
      <c r="AR2115" t="s">
        <v>128</v>
      </c>
      <c r="AT2115" s="4">
        <v>14159759800</v>
      </c>
      <c r="AV2115" t="s">
        <v>2813</v>
      </c>
      <c r="AW2115" t="s">
        <v>2774</v>
      </c>
      <c r="AX2115" t="s">
        <v>131</v>
      </c>
      <c r="AY2115" t="s">
        <v>131</v>
      </c>
      <c r="AZ2115" t="s">
        <v>131</v>
      </c>
      <c r="BA2115" t="s">
        <v>131</v>
      </c>
      <c r="BB2115" t="s">
        <v>131</v>
      </c>
      <c r="BC2115" t="s">
        <v>131</v>
      </c>
      <c r="BD2115" t="s">
        <v>131</v>
      </c>
      <c r="BE2115" t="s">
        <v>132</v>
      </c>
      <c r="BH2115" t="s">
        <v>3460</v>
      </c>
      <c r="BI2115" t="s">
        <v>131</v>
      </c>
      <c r="BL2115" t="s">
        <v>133</v>
      </c>
      <c r="BN2115" t="s">
        <v>8512</v>
      </c>
      <c r="BO2115" t="s">
        <v>131</v>
      </c>
      <c r="BP2115" t="s">
        <v>134</v>
      </c>
      <c r="BQ2115" t="s">
        <v>131</v>
      </c>
      <c r="BS2115" t="str">
        <f t="shared" si="124"/>
        <v>N/A</v>
      </c>
      <c r="BT2115" t="s">
        <v>135</v>
      </c>
      <c r="BU2115">
        <v>6</v>
      </c>
      <c r="BV2115" t="str">
        <f>"In job offered or related occupation."</f>
        <v>In job offered or related occupation.</v>
      </c>
      <c r="BW2115" t="s">
        <v>135</v>
      </c>
      <c r="BX2115" t="str">
        <f>""</f>
        <v/>
      </c>
      <c r="BY2115" t="str">
        <f>""</f>
        <v/>
      </c>
      <c r="BZ2115" t="str">
        <f>""</f>
        <v/>
      </c>
      <c r="CA2115" s="2" t="s">
        <v>14282</v>
      </c>
      <c r="CB2115" t="s">
        <v>131</v>
      </c>
      <c r="CF2115" t="s">
        <v>131</v>
      </c>
      <c r="CH2115" t="str">
        <f>""</f>
        <v/>
      </c>
      <c r="CI2115" t="s">
        <v>131</v>
      </c>
      <c r="CK2115" t="s">
        <v>131</v>
      </c>
      <c r="CL2115" t="str">
        <f>""</f>
        <v/>
      </c>
      <c r="CM2115" t="str">
        <f>""</f>
        <v/>
      </c>
      <c r="CN2115" t="str">
        <f>""</f>
        <v/>
      </c>
      <c r="CO2115" t="str">
        <f>""</f>
        <v/>
      </c>
      <c r="CP2115" t="str">
        <f>"15-1121.00"</f>
        <v>15-1121.00</v>
      </c>
      <c r="CQ2115" t="s">
        <v>283</v>
      </c>
      <c r="CR2115" t="s">
        <v>286</v>
      </c>
      <c r="CS2115" t="s">
        <v>131</v>
      </c>
      <c r="CU2115" t="s">
        <v>6107</v>
      </c>
      <c r="CW2115" t="s">
        <v>664</v>
      </c>
      <c r="CX2115" t="s">
        <v>172</v>
      </c>
      <c r="CZ2115" s="3" t="str">
        <f>"95128"</f>
        <v>95128</v>
      </c>
      <c r="DA2115" t="s">
        <v>131</v>
      </c>
      <c r="DB2115" t="str">
        <f>""</f>
        <v/>
      </c>
      <c r="DF2115" t="str">
        <f>""</f>
        <v/>
      </c>
    </row>
    <row r="2116" spans="1:110" ht="15" customHeight="1" x14ac:dyDescent="0.35">
      <c r="A2116" t="s">
        <v>19680</v>
      </c>
      <c r="B2116" t="s">
        <v>138</v>
      </c>
      <c r="C2116" s="1">
        <v>44369</v>
      </c>
      <c r="G2116" s="1">
        <v>44369</v>
      </c>
      <c r="H2116" t="s">
        <v>125</v>
      </c>
      <c r="I2116" t="s">
        <v>368</v>
      </c>
      <c r="J2116" t="s">
        <v>369</v>
      </c>
      <c r="K2116" t="s">
        <v>134</v>
      </c>
      <c r="L2116" t="s">
        <v>722</v>
      </c>
      <c r="M2116" t="s">
        <v>990</v>
      </c>
      <c r="O2116" t="s">
        <v>964</v>
      </c>
      <c r="P2116" t="s">
        <v>144</v>
      </c>
      <c r="Q2116" s="3">
        <v>98121</v>
      </c>
      <c r="R2116" t="s">
        <v>128</v>
      </c>
      <c r="S2116" t="s">
        <v>134</v>
      </c>
      <c r="T2116" s="4">
        <v>12062661000</v>
      </c>
      <c r="V2116" t="s">
        <v>372</v>
      </c>
      <c r="W2116" t="s">
        <v>14347</v>
      </c>
      <c r="Y2116" t="s">
        <v>370</v>
      </c>
      <c r="Z2116" t="s">
        <v>134</v>
      </c>
      <c r="AA2116" t="s">
        <v>964</v>
      </c>
      <c r="AB2116" t="s">
        <v>149</v>
      </c>
      <c r="AC2116" s="3" t="str">
        <f>"98121"</f>
        <v>98121</v>
      </c>
      <c r="AD2116" t="s">
        <v>128</v>
      </c>
      <c r="AE2116" t="s">
        <v>134</v>
      </c>
      <c r="AF2116" s="4">
        <v>12062661000</v>
      </c>
      <c r="AH2116" t="str">
        <f>"45411"</f>
        <v>45411</v>
      </c>
      <c r="AI2116" t="s">
        <v>130</v>
      </c>
      <c r="AJ2116" t="s">
        <v>4749</v>
      </c>
      <c r="AK2116" t="s">
        <v>14348</v>
      </c>
      <c r="AM2116" t="s">
        <v>475</v>
      </c>
      <c r="AN2116" t="s">
        <v>19681</v>
      </c>
      <c r="AO2116" t="s">
        <v>476</v>
      </c>
      <c r="AP2116" t="s">
        <v>172</v>
      </c>
      <c r="AQ2116" s="5">
        <v>90071</v>
      </c>
      <c r="AR2116" t="s">
        <v>128</v>
      </c>
      <c r="AT2116" s="4">
        <v>13108203322</v>
      </c>
      <c r="AV2116" t="s">
        <v>372</v>
      </c>
      <c r="AW2116" t="s">
        <v>386</v>
      </c>
      <c r="AX2116" t="s">
        <v>131</v>
      </c>
      <c r="AY2116" t="s">
        <v>131</v>
      </c>
      <c r="AZ2116" t="s">
        <v>131</v>
      </c>
      <c r="BA2116" t="s">
        <v>131</v>
      </c>
      <c r="BB2116" t="s">
        <v>131</v>
      </c>
      <c r="BC2116" t="s">
        <v>131</v>
      </c>
      <c r="BD2116" t="s">
        <v>131</v>
      </c>
      <c r="BE2116" t="s">
        <v>132</v>
      </c>
      <c r="BH2116" t="s">
        <v>3460</v>
      </c>
      <c r="BI2116" t="s">
        <v>131</v>
      </c>
      <c r="BL2116" t="s">
        <v>188</v>
      </c>
      <c r="BN2116" t="s">
        <v>724</v>
      </c>
      <c r="BO2116" t="s">
        <v>131</v>
      </c>
      <c r="BP2116" t="s">
        <v>134</v>
      </c>
      <c r="BQ2116" t="s">
        <v>131</v>
      </c>
      <c r="BS2116" t="str">
        <f t="shared" ref="BS2116:BS2147" si="125">"N/A"</f>
        <v>N/A</v>
      </c>
      <c r="BT2116" t="s">
        <v>135</v>
      </c>
      <c r="BU2116">
        <v>12</v>
      </c>
      <c r="BV2116" t="str">
        <f>"See F.b.5.a(IV)"</f>
        <v>See F.b.5.a(IV)</v>
      </c>
      <c r="BW2116" t="s">
        <v>135</v>
      </c>
      <c r="BX2116" t="str">
        <f>""</f>
        <v/>
      </c>
      <c r="BY2116" t="str">
        <f>""</f>
        <v/>
      </c>
      <c r="BZ2116" t="str">
        <f>""</f>
        <v/>
      </c>
      <c r="CA2116" t="s">
        <v>14349</v>
      </c>
      <c r="CB2116" t="s">
        <v>135</v>
      </c>
      <c r="CC2116" t="s">
        <v>133</v>
      </c>
      <c r="CE2116" t="s">
        <v>724</v>
      </c>
      <c r="CF2116" t="s">
        <v>131</v>
      </c>
      <c r="CH2116" t="str">
        <f>"N/A"</f>
        <v>N/A</v>
      </c>
      <c r="CI2116" t="s">
        <v>135</v>
      </c>
      <c r="CJ2116">
        <v>60</v>
      </c>
      <c r="CK2116" t="s">
        <v>135</v>
      </c>
      <c r="CL2116" t="str">
        <f>""</f>
        <v/>
      </c>
      <c r="CM2116" t="str">
        <f>""</f>
        <v/>
      </c>
      <c r="CN2116" t="str">
        <f>""</f>
        <v/>
      </c>
      <c r="CO2116" t="s">
        <v>14349</v>
      </c>
      <c r="CP2116" t="str">
        <f>"11-3021.00"</f>
        <v>11-3021.00</v>
      </c>
      <c r="CQ2116" t="s">
        <v>598</v>
      </c>
      <c r="CS2116" t="s">
        <v>131</v>
      </c>
      <c r="CU2116" t="s">
        <v>14350</v>
      </c>
      <c r="CW2116" t="s">
        <v>19682</v>
      </c>
      <c r="CX2116" t="s">
        <v>306</v>
      </c>
      <c r="CZ2116" s="3" t="str">
        <f>"22202"</f>
        <v>22202</v>
      </c>
      <c r="DA2116" t="s">
        <v>131</v>
      </c>
      <c r="DB2116" t="str">
        <f>""</f>
        <v/>
      </c>
      <c r="DF2116" t="str">
        <f>""</f>
        <v/>
      </c>
    </row>
    <row r="2117" spans="1:110" ht="15" customHeight="1" x14ac:dyDescent="0.35">
      <c r="A2117" t="s">
        <v>10726</v>
      </c>
      <c r="B2117" t="s">
        <v>138</v>
      </c>
      <c r="C2117" s="1">
        <v>44369</v>
      </c>
      <c r="G2117" s="1">
        <v>44369</v>
      </c>
      <c r="H2117" t="s">
        <v>125</v>
      </c>
      <c r="I2117" t="s">
        <v>851</v>
      </c>
      <c r="J2117" t="s">
        <v>852</v>
      </c>
      <c r="L2117" t="s">
        <v>853</v>
      </c>
      <c r="M2117" t="s">
        <v>854</v>
      </c>
      <c r="N2117" t="s">
        <v>855</v>
      </c>
      <c r="O2117" t="s">
        <v>856</v>
      </c>
      <c r="P2117" t="s">
        <v>857</v>
      </c>
      <c r="Q2117" s="3">
        <v>85248</v>
      </c>
      <c r="R2117" t="s">
        <v>128</v>
      </c>
      <c r="T2117" s="4">
        <v>14807154205</v>
      </c>
      <c r="V2117" t="s">
        <v>1508</v>
      </c>
      <c r="W2117" t="s">
        <v>858</v>
      </c>
      <c r="X2117" t="s">
        <v>858</v>
      </c>
      <c r="Y2117" t="s">
        <v>859</v>
      </c>
      <c r="AA2117" t="s">
        <v>650</v>
      </c>
      <c r="AB2117" t="s">
        <v>172</v>
      </c>
      <c r="AC2117" s="3" t="str">
        <f>"95054"</f>
        <v>95054</v>
      </c>
      <c r="AD2117" t="s">
        <v>128</v>
      </c>
      <c r="AE2117" t="s">
        <v>134</v>
      </c>
      <c r="AF2117" s="4">
        <v>14087651681</v>
      </c>
      <c r="AH2117" t="str">
        <f>"3344"</f>
        <v>3344</v>
      </c>
      <c r="AI2117" t="s">
        <v>130</v>
      </c>
      <c r="AJ2117" t="s">
        <v>860</v>
      </c>
      <c r="AK2117" t="s">
        <v>800</v>
      </c>
      <c r="AM2117" t="s">
        <v>861</v>
      </c>
      <c r="AN2117" t="s">
        <v>806</v>
      </c>
      <c r="AO2117" t="s">
        <v>807</v>
      </c>
      <c r="AP2117" t="s">
        <v>808</v>
      </c>
      <c r="AQ2117" s="5">
        <v>85020</v>
      </c>
      <c r="AR2117" t="s">
        <v>128</v>
      </c>
      <c r="AT2117" s="4">
        <v>16022661825</v>
      </c>
      <c r="AV2117" t="s">
        <v>862</v>
      </c>
      <c r="AW2117" t="s">
        <v>548</v>
      </c>
      <c r="AX2117" t="s">
        <v>131</v>
      </c>
      <c r="AY2117" t="s">
        <v>131</v>
      </c>
      <c r="AZ2117" t="s">
        <v>131</v>
      </c>
      <c r="BA2117" t="s">
        <v>131</v>
      </c>
      <c r="BB2117" t="s">
        <v>131</v>
      </c>
      <c r="BC2117" t="s">
        <v>131</v>
      </c>
      <c r="BD2117" t="s">
        <v>131</v>
      </c>
      <c r="BE2117" t="s">
        <v>132</v>
      </c>
      <c r="BH2117" t="s">
        <v>359</v>
      </c>
      <c r="BI2117" t="s">
        <v>131</v>
      </c>
      <c r="BL2117" t="s">
        <v>447</v>
      </c>
      <c r="BN2117" t="s">
        <v>10727</v>
      </c>
      <c r="BO2117" t="s">
        <v>131</v>
      </c>
      <c r="BP2117" t="s">
        <v>134</v>
      </c>
      <c r="BQ2117" t="s">
        <v>131</v>
      </c>
      <c r="BS2117" t="str">
        <f t="shared" si="125"/>
        <v>N/A</v>
      </c>
      <c r="BT2117" t="s">
        <v>131</v>
      </c>
      <c r="BV2117" t="str">
        <f>""</f>
        <v/>
      </c>
      <c r="BW2117" t="s">
        <v>135</v>
      </c>
      <c r="BX2117" t="str">
        <f>""</f>
        <v/>
      </c>
      <c r="BY2117" t="str">
        <f>""</f>
        <v/>
      </c>
      <c r="BZ2117" t="str">
        <f>""</f>
        <v/>
      </c>
      <c r="CA2117" t="str">
        <f>"SEM; Modeling; Design of Experiments; Material Characterization and/or Properties; Atom Probe Tomography; Transmission Electron Microscopy (TEM)
"</f>
        <v xml:space="preserve">SEM; Modeling; Design of Experiments; Material Characterization and/or Properties; Atom Probe Tomography; Transmission Electron Microscopy (TEM)
</v>
      </c>
      <c r="CB2117" t="s">
        <v>131</v>
      </c>
      <c r="CF2117" t="s">
        <v>131</v>
      </c>
      <c r="CH2117" t="str">
        <f>""</f>
        <v/>
      </c>
      <c r="CI2117" t="s">
        <v>131</v>
      </c>
      <c r="CK2117" t="s">
        <v>131</v>
      </c>
      <c r="CL2117" t="str">
        <f>""</f>
        <v/>
      </c>
      <c r="CM2117" t="str">
        <f>""</f>
        <v/>
      </c>
      <c r="CN2117" t="str">
        <f>""</f>
        <v/>
      </c>
      <c r="CO2117" t="str">
        <f>""</f>
        <v/>
      </c>
      <c r="CP2117" t="str">
        <f>"17-2131.00"</f>
        <v>17-2131.00</v>
      </c>
      <c r="CQ2117" t="s">
        <v>1724</v>
      </c>
      <c r="CR2117" t="s">
        <v>460</v>
      </c>
      <c r="CS2117" t="s">
        <v>131</v>
      </c>
      <c r="CU2117" t="s">
        <v>9665</v>
      </c>
      <c r="CW2117" t="s">
        <v>9666</v>
      </c>
      <c r="CX2117" t="s">
        <v>3100</v>
      </c>
      <c r="CZ2117" s="3" t="str">
        <f>"87124"</f>
        <v>87124</v>
      </c>
      <c r="DA2117" t="s">
        <v>131</v>
      </c>
      <c r="DB2117" t="str">
        <f>""</f>
        <v/>
      </c>
      <c r="DF2117" t="str">
        <f>""</f>
        <v/>
      </c>
    </row>
    <row r="2118" spans="1:110" ht="15" customHeight="1" x14ac:dyDescent="0.35">
      <c r="A2118" t="s">
        <v>16244</v>
      </c>
      <c r="B2118" t="s">
        <v>138</v>
      </c>
      <c r="C2118" s="1">
        <v>44369</v>
      </c>
      <c r="G2118" s="1">
        <v>44369</v>
      </c>
      <c r="H2118" t="s">
        <v>125</v>
      </c>
      <c r="I2118" t="s">
        <v>851</v>
      </c>
      <c r="J2118" t="s">
        <v>852</v>
      </c>
      <c r="L2118" t="s">
        <v>853</v>
      </c>
      <c r="M2118" t="s">
        <v>854</v>
      </c>
      <c r="N2118" t="s">
        <v>855</v>
      </c>
      <c r="O2118" t="s">
        <v>856</v>
      </c>
      <c r="P2118" t="s">
        <v>857</v>
      </c>
      <c r="Q2118" s="3">
        <v>85248</v>
      </c>
      <c r="R2118" t="s">
        <v>128</v>
      </c>
      <c r="T2118" s="4">
        <v>14807154205</v>
      </c>
      <c r="V2118" t="s">
        <v>1508</v>
      </c>
      <c r="W2118" t="s">
        <v>858</v>
      </c>
      <c r="X2118" t="s">
        <v>858</v>
      </c>
      <c r="Y2118" t="s">
        <v>859</v>
      </c>
      <c r="AA2118" t="s">
        <v>650</v>
      </c>
      <c r="AB2118" t="s">
        <v>172</v>
      </c>
      <c r="AC2118" s="3" t="str">
        <f>"95054"</f>
        <v>95054</v>
      </c>
      <c r="AD2118" t="s">
        <v>128</v>
      </c>
      <c r="AE2118" t="s">
        <v>134</v>
      </c>
      <c r="AF2118" s="4">
        <v>14087651681</v>
      </c>
      <c r="AH2118" t="str">
        <f>"3344"</f>
        <v>3344</v>
      </c>
      <c r="AI2118" t="s">
        <v>130</v>
      </c>
      <c r="AJ2118" t="s">
        <v>860</v>
      </c>
      <c r="AK2118" t="s">
        <v>800</v>
      </c>
      <c r="AM2118" t="s">
        <v>861</v>
      </c>
      <c r="AN2118" t="s">
        <v>806</v>
      </c>
      <c r="AO2118" t="s">
        <v>807</v>
      </c>
      <c r="AP2118" t="s">
        <v>808</v>
      </c>
      <c r="AQ2118" s="5">
        <v>85020</v>
      </c>
      <c r="AR2118" t="s">
        <v>128</v>
      </c>
      <c r="AT2118" s="4">
        <v>16022661825</v>
      </c>
      <c r="AV2118" t="s">
        <v>862</v>
      </c>
      <c r="AW2118" t="s">
        <v>548</v>
      </c>
      <c r="AX2118" t="s">
        <v>131</v>
      </c>
      <c r="AY2118" t="s">
        <v>131</v>
      </c>
      <c r="AZ2118" t="s">
        <v>131</v>
      </c>
      <c r="BA2118" t="s">
        <v>131</v>
      </c>
      <c r="BB2118" t="s">
        <v>131</v>
      </c>
      <c r="BC2118" t="s">
        <v>131</v>
      </c>
      <c r="BD2118" t="s">
        <v>131</v>
      </c>
      <c r="BE2118" t="s">
        <v>132</v>
      </c>
      <c r="BH2118" t="s">
        <v>359</v>
      </c>
      <c r="BI2118" t="s">
        <v>131</v>
      </c>
      <c r="BL2118" t="s">
        <v>447</v>
      </c>
      <c r="BN2118" t="s">
        <v>9664</v>
      </c>
      <c r="BO2118" t="s">
        <v>131</v>
      </c>
      <c r="BP2118" t="s">
        <v>134</v>
      </c>
      <c r="BQ2118" t="s">
        <v>131</v>
      </c>
      <c r="BS2118" t="str">
        <f t="shared" si="125"/>
        <v>N/A</v>
      </c>
      <c r="BT2118" t="s">
        <v>131</v>
      </c>
      <c r="BV2118" t="str">
        <f>""</f>
        <v/>
      </c>
      <c r="BW2118" t="s">
        <v>135</v>
      </c>
      <c r="BX2118" t="str">
        <f>""</f>
        <v/>
      </c>
      <c r="BY2118" t="str">
        <f>""</f>
        <v/>
      </c>
      <c r="BZ2118" t="str">
        <f>""</f>
        <v/>
      </c>
      <c r="CA2118" t="str">
        <f>"Thin Film Processing; Material Characterization and/or Properties; Statistical Data Analysis Tools; Optimization; Manufacturing; Nanoscale Fabrication
"</f>
        <v xml:space="preserve">Thin Film Processing; Material Characterization and/or Properties; Statistical Data Analysis Tools; Optimization; Manufacturing; Nanoscale Fabrication
</v>
      </c>
      <c r="CB2118" t="s">
        <v>131</v>
      </c>
      <c r="CF2118" t="s">
        <v>131</v>
      </c>
      <c r="CH2118" t="str">
        <f>""</f>
        <v/>
      </c>
      <c r="CI2118" t="s">
        <v>131</v>
      </c>
      <c r="CK2118" t="s">
        <v>131</v>
      </c>
      <c r="CL2118" t="str">
        <f>""</f>
        <v/>
      </c>
      <c r="CM2118" t="str">
        <f>""</f>
        <v/>
      </c>
      <c r="CN2118" t="str">
        <f>""</f>
        <v/>
      </c>
      <c r="CO2118" t="str">
        <f>""</f>
        <v/>
      </c>
      <c r="CP2118" t="str">
        <f>"17-2131.00"</f>
        <v>17-2131.00</v>
      </c>
      <c r="CQ2118" t="s">
        <v>1724</v>
      </c>
      <c r="CR2118" t="s">
        <v>460</v>
      </c>
      <c r="CS2118" t="s">
        <v>131</v>
      </c>
      <c r="CU2118" t="s">
        <v>9665</v>
      </c>
      <c r="CW2118" t="s">
        <v>9666</v>
      </c>
      <c r="CX2118" t="s">
        <v>3100</v>
      </c>
      <c r="CZ2118" s="3" t="str">
        <f>"87124"</f>
        <v>87124</v>
      </c>
      <c r="DA2118" t="s">
        <v>131</v>
      </c>
      <c r="DB2118" t="str">
        <f>""</f>
        <v/>
      </c>
      <c r="DF2118" t="str">
        <f>""</f>
        <v/>
      </c>
    </row>
    <row r="2119" spans="1:110" ht="15" customHeight="1" x14ac:dyDescent="0.35">
      <c r="A2119" t="s">
        <v>16817</v>
      </c>
      <c r="B2119" t="s">
        <v>138</v>
      </c>
      <c r="C2119" s="1">
        <v>44369</v>
      </c>
      <c r="G2119" s="1">
        <v>44369</v>
      </c>
      <c r="H2119" t="s">
        <v>125</v>
      </c>
      <c r="I2119" t="s">
        <v>851</v>
      </c>
      <c r="J2119" t="s">
        <v>852</v>
      </c>
      <c r="L2119" t="s">
        <v>853</v>
      </c>
      <c r="M2119" t="s">
        <v>854</v>
      </c>
      <c r="N2119" t="s">
        <v>855</v>
      </c>
      <c r="O2119" t="s">
        <v>856</v>
      </c>
      <c r="P2119" t="s">
        <v>857</v>
      </c>
      <c r="Q2119" s="3">
        <v>85248</v>
      </c>
      <c r="R2119" t="s">
        <v>128</v>
      </c>
      <c r="T2119" s="4">
        <v>14807154205</v>
      </c>
      <c r="V2119" t="s">
        <v>1508</v>
      </c>
      <c r="W2119" t="s">
        <v>858</v>
      </c>
      <c r="X2119" t="s">
        <v>858</v>
      </c>
      <c r="Y2119" t="s">
        <v>859</v>
      </c>
      <c r="AA2119" t="s">
        <v>650</v>
      </c>
      <c r="AB2119" t="s">
        <v>172</v>
      </c>
      <c r="AC2119" s="3" t="str">
        <f>"95054"</f>
        <v>95054</v>
      </c>
      <c r="AD2119" t="s">
        <v>128</v>
      </c>
      <c r="AE2119" t="s">
        <v>134</v>
      </c>
      <c r="AF2119" s="4">
        <v>14087651681</v>
      </c>
      <c r="AH2119" t="str">
        <f>"3344"</f>
        <v>3344</v>
      </c>
      <c r="AI2119" t="s">
        <v>130</v>
      </c>
      <c r="AJ2119" t="s">
        <v>860</v>
      </c>
      <c r="AK2119" t="s">
        <v>800</v>
      </c>
      <c r="AM2119" t="s">
        <v>861</v>
      </c>
      <c r="AN2119" t="s">
        <v>806</v>
      </c>
      <c r="AO2119" t="s">
        <v>807</v>
      </c>
      <c r="AP2119" t="s">
        <v>808</v>
      </c>
      <c r="AQ2119" s="5">
        <v>85020</v>
      </c>
      <c r="AR2119" t="s">
        <v>128</v>
      </c>
      <c r="AT2119" s="4">
        <v>16022661825</v>
      </c>
      <c r="AV2119" t="s">
        <v>862</v>
      </c>
      <c r="AW2119" t="s">
        <v>548</v>
      </c>
      <c r="AX2119" t="s">
        <v>131</v>
      </c>
      <c r="AY2119" t="s">
        <v>131</v>
      </c>
      <c r="AZ2119" t="s">
        <v>131</v>
      </c>
      <c r="BA2119" t="s">
        <v>131</v>
      </c>
      <c r="BB2119" t="s">
        <v>131</v>
      </c>
      <c r="BC2119" t="s">
        <v>131</v>
      </c>
      <c r="BD2119" t="s">
        <v>131</v>
      </c>
      <c r="BE2119" t="s">
        <v>132</v>
      </c>
      <c r="BH2119" t="s">
        <v>359</v>
      </c>
      <c r="BI2119" t="s">
        <v>131</v>
      </c>
      <c r="BL2119" t="s">
        <v>447</v>
      </c>
      <c r="BN2119" t="s">
        <v>10727</v>
      </c>
      <c r="BO2119" t="s">
        <v>131</v>
      </c>
      <c r="BP2119" t="s">
        <v>134</v>
      </c>
      <c r="BQ2119" t="s">
        <v>131</v>
      </c>
      <c r="BS2119" t="str">
        <f t="shared" si="125"/>
        <v>N/A</v>
      </c>
      <c r="BT2119" t="s">
        <v>131</v>
      </c>
      <c r="BV2119" t="str">
        <f>""</f>
        <v/>
      </c>
      <c r="BW2119" t="s">
        <v>135</v>
      </c>
      <c r="BX2119" t="str">
        <f>""</f>
        <v/>
      </c>
      <c r="BY2119" t="str">
        <f>""</f>
        <v/>
      </c>
      <c r="BZ2119" t="str">
        <f>""</f>
        <v/>
      </c>
      <c r="CA2119" t="str">
        <f>"SEM; Modeling; Design of Experiments; Material Characterization and/or Properties; Atom Probe Tomography; Transmission Electron Microscopy (TEM)
"</f>
        <v xml:space="preserve">SEM; Modeling; Design of Experiments; Material Characterization and/or Properties; Atom Probe Tomography; Transmission Electron Microscopy (TEM)
</v>
      </c>
      <c r="CB2119" t="s">
        <v>131</v>
      </c>
      <c r="CF2119" t="s">
        <v>131</v>
      </c>
      <c r="CH2119" t="str">
        <f>""</f>
        <v/>
      </c>
      <c r="CI2119" t="s">
        <v>131</v>
      </c>
      <c r="CK2119" t="s">
        <v>131</v>
      </c>
      <c r="CL2119" t="str">
        <f>""</f>
        <v/>
      </c>
      <c r="CM2119" t="str">
        <f>""</f>
        <v/>
      </c>
      <c r="CN2119" t="str">
        <f>""</f>
        <v/>
      </c>
      <c r="CO2119" t="str">
        <f>""</f>
        <v/>
      </c>
      <c r="CP2119" t="str">
        <f>"17-2131.00"</f>
        <v>17-2131.00</v>
      </c>
      <c r="CQ2119" t="s">
        <v>1724</v>
      </c>
      <c r="CR2119" t="s">
        <v>460</v>
      </c>
      <c r="CS2119" t="s">
        <v>131</v>
      </c>
      <c r="CU2119" t="s">
        <v>9665</v>
      </c>
      <c r="CW2119" t="s">
        <v>9666</v>
      </c>
      <c r="CX2119" t="s">
        <v>3100</v>
      </c>
      <c r="CZ2119" s="3" t="str">
        <f>"87124"</f>
        <v>87124</v>
      </c>
      <c r="DA2119" t="s">
        <v>131</v>
      </c>
      <c r="DB2119" t="str">
        <f>""</f>
        <v/>
      </c>
      <c r="DF2119" t="str">
        <f>""</f>
        <v/>
      </c>
    </row>
    <row r="2120" spans="1:110" ht="15" customHeight="1" x14ac:dyDescent="0.35">
      <c r="A2120" t="s">
        <v>15436</v>
      </c>
      <c r="B2120" t="s">
        <v>138</v>
      </c>
      <c r="C2120" s="1">
        <v>44370</v>
      </c>
      <c r="G2120" s="1">
        <v>44370</v>
      </c>
      <c r="H2120" t="s">
        <v>125</v>
      </c>
      <c r="I2120" t="s">
        <v>5483</v>
      </c>
      <c r="J2120" t="s">
        <v>1345</v>
      </c>
      <c r="L2120" t="s">
        <v>1346</v>
      </c>
      <c r="M2120" t="s">
        <v>1347</v>
      </c>
      <c r="O2120" t="s">
        <v>1348</v>
      </c>
      <c r="P2120" t="s">
        <v>539</v>
      </c>
      <c r="Q2120" s="3">
        <v>60015</v>
      </c>
      <c r="R2120" t="s">
        <v>128</v>
      </c>
      <c r="T2120" s="4">
        <v>12244052549</v>
      </c>
      <c r="V2120" t="s">
        <v>4535</v>
      </c>
      <c r="W2120" t="s">
        <v>1350</v>
      </c>
      <c r="Y2120" t="s">
        <v>1351</v>
      </c>
      <c r="AA2120" t="s">
        <v>1348</v>
      </c>
      <c r="AB2120" t="s">
        <v>263</v>
      </c>
      <c r="AC2120" s="3" t="str">
        <f>"60015"</f>
        <v>60015</v>
      </c>
      <c r="AD2120" t="s">
        <v>128</v>
      </c>
      <c r="AF2120" s="4">
        <v>12244053726</v>
      </c>
      <c r="AG2120">
        <v>0</v>
      </c>
      <c r="AH2120" t="str">
        <f>"522210"</f>
        <v>522210</v>
      </c>
      <c r="AI2120" t="s">
        <v>130</v>
      </c>
      <c r="AJ2120" t="s">
        <v>1352</v>
      </c>
      <c r="AK2120" t="s">
        <v>260</v>
      </c>
      <c r="AM2120" t="s">
        <v>493</v>
      </c>
      <c r="AO2120" t="s">
        <v>494</v>
      </c>
      <c r="AP2120" t="s">
        <v>129</v>
      </c>
      <c r="AQ2120" s="5">
        <v>10018</v>
      </c>
      <c r="AR2120" t="s">
        <v>128</v>
      </c>
      <c r="AT2120" s="4">
        <v>12126888555</v>
      </c>
      <c r="AV2120" t="s">
        <v>9157</v>
      </c>
      <c r="AW2120" t="s">
        <v>386</v>
      </c>
      <c r="AX2120" t="s">
        <v>131</v>
      </c>
      <c r="AY2120" t="s">
        <v>131</v>
      </c>
      <c r="AZ2120" t="s">
        <v>131</v>
      </c>
      <c r="BA2120" t="s">
        <v>131</v>
      </c>
      <c r="BB2120" t="s">
        <v>131</v>
      </c>
      <c r="BC2120" t="s">
        <v>131</v>
      </c>
      <c r="BD2120" t="s">
        <v>131</v>
      </c>
      <c r="BE2120" t="s">
        <v>132</v>
      </c>
      <c r="BH2120" t="s">
        <v>15437</v>
      </c>
      <c r="BI2120" t="s">
        <v>131</v>
      </c>
      <c r="BL2120" t="s">
        <v>133</v>
      </c>
      <c r="BN2120" t="s">
        <v>15438</v>
      </c>
      <c r="BO2120" t="s">
        <v>131</v>
      </c>
      <c r="BP2120" t="s">
        <v>134</v>
      </c>
      <c r="BQ2120" t="s">
        <v>131</v>
      </c>
      <c r="BS2120" t="str">
        <f t="shared" si="125"/>
        <v>N/A</v>
      </c>
      <c r="BT2120" t="s">
        <v>135</v>
      </c>
      <c r="BU2120">
        <v>72</v>
      </c>
      <c r="BV2120" t="str">
        <f>"Manager - DMS Change Agent; Business Process Improvement Manager; Senior Engineer-Design; Process Control Engineer; Engineer; Senior Associate Engineer "</f>
        <v xml:space="preserve">Manager - DMS Change Agent; Business Process Improvement Manager; Senior Engineer-Design; Process Control Engineer; Engineer; Senior Associate Engineer </v>
      </c>
      <c r="BW2120" t="s">
        <v>135</v>
      </c>
      <c r="BX2120" t="str">
        <f>""</f>
        <v/>
      </c>
      <c r="BY2120" t="str">
        <f>""</f>
        <v/>
      </c>
      <c r="BZ2120" t="str">
        <f>""</f>
        <v/>
      </c>
      <c r="CA2120" t="s">
        <v>15439</v>
      </c>
      <c r="CB2120" t="s">
        <v>135</v>
      </c>
      <c r="CC2120" t="s">
        <v>188</v>
      </c>
      <c r="CE2120" t="s">
        <v>15438</v>
      </c>
      <c r="CF2120" t="s">
        <v>131</v>
      </c>
      <c r="CH2120" t="str">
        <f>"N/A"</f>
        <v>N/A</v>
      </c>
      <c r="CI2120" t="s">
        <v>131</v>
      </c>
      <c r="CK2120" t="s">
        <v>135</v>
      </c>
      <c r="CL2120" t="str">
        <f>""</f>
        <v/>
      </c>
      <c r="CM2120" t="str">
        <f>""</f>
        <v/>
      </c>
      <c r="CN2120" t="str">
        <f>""</f>
        <v/>
      </c>
      <c r="CO2120" t="s">
        <v>15440</v>
      </c>
      <c r="CP2120" t="str">
        <f>"13-1111.00"</f>
        <v>13-1111.00</v>
      </c>
      <c r="CQ2120" t="s">
        <v>292</v>
      </c>
      <c r="CR2120" t="s">
        <v>15441</v>
      </c>
      <c r="CS2120" t="s">
        <v>131</v>
      </c>
      <c r="CU2120" t="s">
        <v>1347</v>
      </c>
      <c r="CW2120" t="s">
        <v>1348</v>
      </c>
      <c r="CX2120" t="s">
        <v>263</v>
      </c>
      <c r="CZ2120" s="3" t="str">
        <f>"60015"</f>
        <v>60015</v>
      </c>
      <c r="DA2120" t="s">
        <v>131</v>
      </c>
      <c r="DB2120" t="str">
        <f>""</f>
        <v/>
      </c>
      <c r="DF2120" t="str">
        <f>""</f>
        <v/>
      </c>
    </row>
    <row r="2121" spans="1:110" ht="15" customHeight="1" x14ac:dyDescent="0.35">
      <c r="A2121" t="s">
        <v>19002</v>
      </c>
      <c r="B2121" t="s">
        <v>138</v>
      </c>
      <c r="C2121" s="1">
        <v>44370</v>
      </c>
      <c r="G2121" s="1">
        <v>44370</v>
      </c>
      <c r="H2121" t="s">
        <v>125</v>
      </c>
      <c r="I2121" t="s">
        <v>8544</v>
      </c>
      <c r="J2121" t="s">
        <v>8541</v>
      </c>
      <c r="L2121" t="s">
        <v>2612</v>
      </c>
      <c r="M2121" t="s">
        <v>8542</v>
      </c>
      <c r="O2121" t="s">
        <v>735</v>
      </c>
      <c r="P2121" t="s">
        <v>818</v>
      </c>
      <c r="Q2121" s="3">
        <v>30005</v>
      </c>
      <c r="R2121" t="s">
        <v>128</v>
      </c>
      <c r="T2121" s="4">
        <v>16788679390</v>
      </c>
      <c r="U2121">
        <v>104</v>
      </c>
      <c r="V2121" t="s">
        <v>8543</v>
      </c>
      <c r="W2121" t="s">
        <v>16617</v>
      </c>
      <c r="Y2121" t="s">
        <v>16618</v>
      </c>
      <c r="AA2121" t="s">
        <v>15808</v>
      </c>
      <c r="AB2121" t="s">
        <v>643</v>
      </c>
      <c r="AC2121" s="3" t="str">
        <f>"30093"</f>
        <v>30093</v>
      </c>
      <c r="AD2121" t="s">
        <v>128</v>
      </c>
      <c r="AF2121" s="4">
        <v>17702791776</v>
      </c>
      <c r="AH2121" t="str">
        <f>"54151"</f>
        <v>54151</v>
      </c>
      <c r="AI2121" t="s">
        <v>130</v>
      </c>
      <c r="AJ2121" t="s">
        <v>8544</v>
      </c>
      <c r="AK2121" t="s">
        <v>8541</v>
      </c>
      <c r="AM2121" t="s">
        <v>8542</v>
      </c>
      <c r="AO2121" t="s">
        <v>735</v>
      </c>
      <c r="AP2121" t="s">
        <v>643</v>
      </c>
      <c r="AQ2121" s="5">
        <v>30005</v>
      </c>
      <c r="AR2121" t="s">
        <v>128</v>
      </c>
      <c r="AT2121" s="4">
        <v>16788679390</v>
      </c>
      <c r="AU2121">
        <v>104</v>
      </c>
      <c r="AV2121" t="s">
        <v>8543</v>
      </c>
      <c r="AW2121" t="s">
        <v>8545</v>
      </c>
      <c r="AX2121" t="s">
        <v>131</v>
      </c>
      <c r="AY2121" t="s">
        <v>131</v>
      </c>
      <c r="AZ2121" t="s">
        <v>131</v>
      </c>
      <c r="BA2121" t="s">
        <v>131</v>
      </c>
      <c r="BB2121" t="s">
        <v>131</v>
      </c>
      <c r="BC2121" t="s">
        <v>131</v>
      </c>
      <c r="BD2121" t="s">
        <v>131</v>
      </c>
      <c r="BE2121" t="s">
        <v>132</v>
      </c>
      <c r="BH2121" t="s">
        <v>19003</v>
      </c>
      <c r="BI2121" t="s">
        <v>131</v>
      </c>
      <c r="BL2121" t="s">
        <v>133</v>
      </c>
      <c r="BN2121" t="s">
        <v>19004</v>
      </c>
      <c r="BO2121" t="s">
        <v>131</v>
      </c>
      <c r="BP2121" t="s">
        <v>134</v>
      </c>
      <c r="BQ2121" t="s">
        <v>131</v>
      </c>
      <c r="BS2121" t="str">
        <f t="shared" si="125"/>
        <v>N/A</v>
      </c>
      <c r="BT2121" t="s">
        <v>135</v>
      </c>
      <c r="BU2121">
        <v>60</v>
      </c>
      <c r="BV2121" t="str">
        <f>"¿5 years¿of¿experience¿in job offered or related.¿Any suitable combination¿of education, training or¿experience accepted.¿"</f>
        <v>¿5 years¿of¿experience¿in job offered or related.¿Any suitable combination¿of education, training or¿experience accepted.¿</v>
      </c>
      <c r="BW2121" t="s">
        <v>131</v>
      </c>
      <c r="BX2121" t="str">
        <f>""</f>
        <v/>
      </c>
      <c r="BY2121" t="str">
        <f>""</f>
        <v/>
      </c>
      <c r="BZ2121" t="str">
        <f>""</f>
        <v/>
      </c>
      <c r="CA2121" t="str">
        <f>""</f>
        <v/>
      </c>
      <c r="CB2121" t="s">
        <v>131</v>
      </c>
      <c r="CF2121" t="s">
        <v>131</v>
      </c>
      <c r="CH2121" t="str">
        <f>""</f>
        <v/>
      </c>
      <c r="CI2121" t="s">
        <v>131</v>
      </c>
      <c r="CK2121" t="s">
        <v>131</v>
      </c>
      <c r="CL2121" t="str">
        <f>""</f>
        <v/>
      </c>
      <c r="CM2121" t="str">
        <f>""</f>
        <v/>
      </c>
      <c r="CN2121" t="str">
        <f>""</f>
        <v/>
      </c>
      <c r="CO2121" t="str">
        <f>""</f>
        <v/>
      </c>
      <c r="CP2121" t="str">
        <f>"15-1132.00"</f>
        <v>15-1132.00</v>
      </c>
      <c r="CQ2121" t="s">
        <v>198</v>
      </c>
      <c r="CR2121" t="s">
        <v>198</v>
      </c>
      <c r="CS2121" t="s">
        <v>135</v>
      </c>
      <c r="CT2121" t="s">
        <v>8546</v>
      </c>
      <c r="CU2121" t="s">
        <v>16618</v>
      </c>
      <c r="CW2121" t="s">
        <v>817</v>
      </c>
      <c r="CX2121" t="s">
        <v>643</v>
      </c>
      <c r="CZ2121" s="3" t="str">
        <f>"30093"</f>
        <v>30093</v>
      </c>
      <c r="DA2121" t="s">
        <v>131</v>
      </c>
      <c r="DB2121" t="str">
        <f>""</f>
        <v/>
      </c>
      <c r="DF2121" t="str">
        <f>""</f>
        <v/>
      </c>
    </row>
    <row r="2122" spans="1:110" ht="15" customHeight="1" x14ac:dyDescent="0.35">
      <c r="A2122" t="s">
        <v>17633</v>
      </c>
      <c r="B2122" t="s">
        <v>138</v>
      </c>
      <c r="C2122" s="1">
        <v>44370</v>
      </c>
      <c r="G2122" s="1">
        <v>44370</v>
      </c>
      <c r="H2122" t="s">
        <v>125</v>
      </c>
      <c r="I2122" t="s">
        <v>1090</v>
      </c>
      <c r="J2122" t="s">
        <v>1091</v>
      </c>
      <c r="L2122" t="s">
        <v>1092</v>
      </c>
      <c r="M2122" t="s">
        <v>1093</v>
      </c>
      <c r="O2122" t="s">
        <v>687</v>
      </c>
      <c r="P2122" t="s">
        <v>441</v>
      </c>
      <c r="Q2122" s="3">
        <v>45249</v>
      </c>
      <c r="R2122" t="s">
        <v>128</v>
      </c>
      <c r="T2122" s="4">
        <v>15139005712</v>
      </c>
      <c r="V2122" t="s">
        <v>1094</v>
      </c>
      <c r="W2122" t="s">
        <v>1095</v>
      </c>
      <c r="Y2122" t="s">
        <v>1096</v>
      </c>
      <c r="Z2122" t="s">
        <v>1097</v>
      </c>
      <c r="AA2122" t="s">
        <v>129</v>
      </c>
      <c r="AB2122" t="s">
        <v>129</v>
      </c>
      <c r="AC2122" s="3" t="str">
        <f>"10004"</f>
        <v>10004</v>
      </c>
      <c r="AD2122" t="s">
        <v>128</v>
      </c>
      <c r="AF2122" s="4">
        <v>16464458187</v>
      </c>
      <c r="AG2122">
        <v>0</v>
      </c>
      <c r="AH2122" t="str">
        <f>"541511"</f>
        <v>541511</v>
      </c>
      <c r="AI2122" t="s">
        <v>130</v>
      </c>
      <c r="AJ2122" t="s">
        <v>1098</v>
      </c>
      <c r="AK2122" t="s">
        <v>913</v>
      </c>
      <c r="AM2122" t="s">
        <v>493</v>
      </c>
      <c r="AO2122" t="s">
        <v>494</v>
      </c>
      <c r="AP2122" t="s">
        <v>129</v>
      </c>
      <c r="AQ2122" s="5">
        <v>10018</v>
      </c>
      <c r="AR2122" t="s">
        <v>128</v>
      </c>
      <c r="AT2122" s="4">
        <v>12126888555</v>
      </c>
      <c r="AV2122" t="s">
        <v>1488</v>
      </c>
      <c r="AW2122" t="s">
        <v>386</v>
      </c>
      <c r="AX2122" t="s">
        <v>131</v>
      </c>
      <c r="AY2122" t="s">
        <v>131</v>
      </c>
      <c r="AZ2122" t="s">
        <v>131</v>
      </c>
      <c r="BA2122" t="s">
        <v>131</v>
      </c>
      <c r="BB2122" t="s">
        <v>131</v>
      </c>
      <c r="BC2122" t="s">
        <v>131</v>
      </c>
      <c r="BD2122" t="s">
        <v>131</v>
      </c>
      <c r="BE2122" t="s">
        <v>160</v>
      </c>
      <c r="BF2122" t="s">
        <v>7847</v>
      </c>
      <c r="BG2122" s="1">
        <v>43891</v>
      </c>
      <c r="BH2122" t="s">
        <v>6511</v>
      </c>
      <c r="BI2122" t="s">
        <v>135</v>
      </c>
      <c r="BJ2122" t="s">
        <v>17634</v>
      </c>
      <c r="BK2122" t="s">
        <v>17635</v>
      </c>
      <c r="BL2122" t="s">
        <v>133</v>
      </c>
      <c r="BN2122" t="s">
        <v>17636</v>
      </c>
      <c r="BO2122" t="s">
        <v>131</v>
      </c>
      <c r="BP2122" t="s">
        <v>134</v>
      </c>
      <c r="BQ2122" t="s">
        <v>131</v>
      </c>
      <c r="BS2122" t="str">
        <f t="shared" si="125"/>
        <v>N/A</v>
      </c>
      <c r="BT2122" t="s">
        <v>135</v>
      </c>
      <c r="BU2122">
        <v>60</v>
      </c>
      <c r="BV2122" t="str">
        <f>"Senior System Analyst or related."</f>
        <v>Senior System Analyst or related.</v>
      </c>
      <c r="BW2122" t="s">
        <v>135</v>
      </c>
      <c r="BX2122" t="str">
        <f>""</f>
        <v/>
      </c>
      <c r="BY2122" t="str">
        <f>""</f>
        <v/>
      </c>
      <c r="BZ2122" t="str">
        <f>""</f>
        <v/>
      </c>
      <c r="CA2122" t="s">
        <v>17637</v>
      </c>
      <c r="CB2122" t="s">
        <v>131</v>
      </c>
      <c r="CF2122" t="s">
        <v>131</v>
      </c>
      <c r="CH2122" t="str">
        <f>""</f>
        <v/>
      </c>
      <c r="CI2122" t="s">
        <v>131</v>
      </c>
      <c r="CK2122" t="s">
        <v>131</v>
      </c>
      <c r="CL2122" t="str">
        <f>""</f>
        <v/>
      </c>
      <c r="CM2122" t="str">
        <f>""</f>
        <v/>
      </c>
      <c r="CN2122" t="str">
        <f>""</f>
        <v/>
      </c>
      <c r="CO2122" t="str">
        <f>""</f>
        <v/>
      </c>
      <c r="CP2122" t="str">
        <f>"11-3021.00"</f>
        <v>11-3021.00</v>
      </c>
      <c r="CQ2122" t="s">
        <v>598</v>
      </c>
      <c r="CR2122" t="s">
        <v>17638</v>
      </c>
      <c r="CS2122" t="s">
        <v>131</v>
      </c>
      <c r="CU2122" t="s">
        <v>1100</v>
      </c>
      <c r="CW2122" t="s">
        <v>1101</v>
      </c>
      <c r="CX2122" t="s">
        <v>195</v>
      </c>
      <c r="CZ2122" s="3" t="str">
        <f>"32204"</f>
        <v>32204</v>
      </c>
      <c r="DA2122" t="s">
        <v>131</v>
      </c>
      <c r="DB2122" t="str">
        <f>""</f>
        <v/>
      </c>
      <c r="DF2122" t="str">
        <f>""</f>
        <v/>
      </c>
    </row>
    <row r="2123" spans="1:110" ht="15" customHeight="1" x14ac:dyDescent="0.35">
      <c r="A2123" t="s">
        <v>2244</v>
      </c>
      <c r="B2123" t="s">
        <v>138</v>
      </c>
      <c r="C2123" s="1">
        <v>44370</v>
      </c>
      <c r="G2123" s="1">
        <v>44371</v>
      </c>
      <c r="H2123" t="s">
        <v>125</v>
      </c>
      <c r="I2123" t="s">
        <v>2245</v>
      </c>
      <c r="J2123" t="s">
        <v>1036</v>
      </c>
      <c r="K2123" t="s">
        <v>2246</v>
      </c>
      <c r="L2123" t="s">
        <v>130</v>
      </c>
      <c r="M2123" t="s">
        <v>2247</v>
      </c>
      <c r="N2123" t="s">
        <v>2248</v>
      </c>
      <c r="O2123" t="s">
        <v>1669</v>
      </c>
      <c r="P2123" t="s">
        <v>127</v>
      </c>
      <c r="Q2123" s="3">
        <v>14202</v>
      </c>
      <c r="R2123" t="s">
        <v>128</v>
      </c>
      <c r="S2123" t="s">
        <v>494</v>
      </c>
      <c r="T2123" s="4">
        <v>17168535100</v>
      </c>
      <c r="V2123" t="s">
        <v>2249</v>
      </c>
      <c r="W2123" t="s">
        <v>2250</v>
      </c>
      <c r="X2123" t="s">
        <v>2251</v>
      </c>
      <c r="Y2123" t="s">
        <v>2252</v>
      </c>
      <c r="AA2123" t="s">
        <v>2253</v>
      </c>
      <c r="AB2123" t="s">
        <v>306</v>
      </c>
      <c r="AC2123" s="3" t="str">
        <f>"23320"</f>
        <v>23320</v>
      </c>
      <c r="AD2123" t="s">
        <v>128</v>
      </c>
      <c r="AF2123" s="4">
        <v>17574139100</v>
      </c>
      <c r="AH2123" t="str">
        <f>"541511"</f>
        <v>541511</v>
      </c>
      <c r="AI2123" t="s">
        <v>130</v>
      </c>
      <c r="AJ2123" t="s">
        <v>2245</v>
      </c>
      <c r="AK2123" t="s">
        <v>1036</v>
      </c>
      <c r="AL2123" t="s">
        <v>2254</v>
      </c>
      <c r="AM2123" t="s">
        <v>2247</v>
      </c>
      <c r="AN2123" t="s">
        <v>2248</v>
      </c>
      <c r="AO2123" t="s">
        <v>1669</v>
      </c>
      <c r="AP2123" t="s">
        <v>129</v>
      </c>
      <c r="AQ2123" s="5">
        <v>14202</v>
      </c>
      <c r="AR2123" t="s">
        <v>128</v>
      </c>
      <c r="AT2123" s="4">
        <v>17168535100</v>
      </c>
      <c r="AV2123" t="s">
        <v>2249</v>
      </c>
      <c r="AW2123" t="s">
        <v>2255</v>
      </c>
      <c r="AX2123" t="s">
        <v>131</v>
      </c>
      <c r="AY2123" t="s">
        <v>131</v>
      </c>
      <c r="AZ2123" t="s">
        <v>131</v>
      </c>
      <c r="BA2123" t="s">
        <v>131</v>
      </c>
      <c r="BB2123" t="s">
        <v>131</v>
      </c>
      <c r="BC2123" t="s">
        <v>131</v>
      </c>
      <c r="BD2123" t="s">
        <v>131</v>
      </c>
      <c r="BE2123" t="s">
        <v>132</v>
      </c>
      <c r="BH2123" t="s">
        <v>2256</v>
      </c>
      <c r="BI2123" t="s">
        <v>131</v>
      </c>
      <c r="BL2123" t="s">
        <v>133</v>
      </c>
      <c r="BN2123" t="s">
        <v>2257</v>
      </c>
      <c r="BO2123" t="s">
        <v>131</v>
      </c>
      <c r="BP2123" t="s">
        <v>134</v>
      </c>
      <c r="BQ2123" t="s">
        <v>131</v>
      </c>
      <c r="BS2123" t="str">
        <f t="shared" si="125"/>
        <v>N/A</v>
      </c>
      <c r="BT2123" t="s">
        <v>135</v>
      </c>
      <c r="BU2123">
        <v>24</v>
      </c>
      <c r="BV2123" t="str">
        <f>"Two years' experience in the job duties as stated."</f>
        <v>Two years' experience in the job duties as stated.</v>
      </c>
      <c r="BW2123" t="s">
        <v>131</v>
      </c>
      <c r="BX2123" t="str">
        <f>""</f>
        <v/>
      </c>
      <c r="BY2123" t="str">
        <f>""</f>
        <v/>
      </c>
      <c r="BZ2123" t="str">
        <f>""</f>
        <v/>
      </c>
      <c r="CA2123" t="str">
        <f>""</f>
        <v/>
      </c>
      <c r="CB2123" t="s">
        <v>131</v>
      </c>
      <c r="CF2123" t="s">
        <v>131</v>
      </c>
      <c r="CH2123" t="str">
        <f>""</f>
        <v/>
      </c>
      <c r="CI2123" t="s">
        <v>131</v>
      </c>
      <c r="CK2123" t="s">
        <v>131</v>
      </c>
      <c r="CL2123" t="str">
        <f>""</f>
        <v/>
      </c>
      <c r="CM2123" t="str">
        <f>""</f>
        <v/>
      </c>
      <c r="CN2123" t="str">
        <f>""</f>
        <v/>
      </c>
      <c r="CO2123" t="str">
        <f>""</f>
        <v/>
      </c>
      <c r="CP2123" t="str">
        <f>"15-1132.00"</f>
        <v>15-1132.00</v>
      </c>
      <c r="CQ2123" t="s">
        <v>198</v>
      </c>
      <c r="CS2123" t="s">
        <v>135</v>
      </c>
      <c r="CT2123" t="s">
        <v>2258</v>
      </c>
      <c r="CU2123" t="s">
        <v>2252</v>
      </c>
      <c r="CW2123" t="s">
        <v>2253</v>
      </c>
      <c r="CX2123" t="s">
        <v>306</v>
      </c>
      <c r="CZ2123" s="3" t="str">
        <f>"23320"</f>
        <v>23320</v>
      </c>
      <c r="DA2123" t="s">
        <v>131</v>
      </c>
      <c r="DB2123" t="str">
        <f>""</f>
        <v/>
      </c>
      <c r="DF2123" t="str">
        <f>""</f>
        <v/>
      </c>
    </row>
    <row r="2124" spans="1:110" ht="15" customHeight="1" x14ac:dyDescent="0.35">
      <c r="A2124" t="s">
        <v>13297</v>
      </c>
      <c r="B2124" t="s">
        <v>138</v>
      </c>
      <c r="C2124" s="1">
        <v>44370</v>
      </c>
      <c r="G2124" s="1">
        <v>44372</v>
      </c>
      <c r="H2124" t="s">
        <v>125</v>
      </c>
      <c r="I2124" t="s">
        <v>6424</v>
      </c>
      <c r="J2124" t="s">
        <v>5106</v>
      </c>
      <c r="L2124" t="s">
        <v>1177</v>
      </c>
      <c r="M2124" t="s">
        <v>13298</v>
      </c>
      <c r="N2124" t="s">
        <v>6426</v>
      </c>
      <c r="O2124" t="s">
        <v>494</v>
      </c>
      <c r="P2124" t="s">
        <v>127</v>
      </c>
      <c r="Q2124" s="3">
        <v>10009</v>
      </c>
      <c r="R2124" t="s">
        <v>128</v>
      </c>
      <c r="T2124" s="4">
        <v>19177033874</v>
      </c>
      <c r="V2124" t="s">
        <v>13299</v>
      </c>
      <c r="W2124" t="s">
        <v>13300</v>
      </c>
      <c r="Y2124" t="s">
        <v>6425</v>
      </c>
      <c r="Z2124" t="s">
        <v>6426</v>
      </c>
      <c r="AA2124" t="s">
        <v>494</v>
      </c>
      <c r="AB2124" t="s">
        <v>129</v>
      </c>
      <c r="AC2124" s="3" t="str">
        <f>"10009"</f>
        <v>10009</v>
      </c>
      <c r="AD2124" t="s">
        <v>128</v>
      </c>
      <c r="AF2124" s="4">
        <v>19177033874</v>
      </c>
      <c r="AH2124" t="str">
        <f>"531390"</f>
        <v>531390</v>
      </c>
      <c r="AI2124" t="s">
        <v>130</v>
      </c>
      <c r="AJ2124" t="s">
        <v>4106</v>
      </c>
      <c r="AK2124" t="s">
        <v>4107</v>
      </c>
      <c r="AM2124" t="s">
        <v>4108</v>
      </c>
      <c r="AN2124" t="s">
        <v>4109</v>
      </c>
      <c r="AO2124" t="s">
        <v>494</v>
      </c>
      <c r="AP2124" t="s">
        <v>129</v>
      </c>
      <c r="AQ2124" s="5">
        <v>10018</v>
      </c>
      <c r="AR2124" t="s">
        <v>128</v>
      </c>
      <c r="AT2124" s="4">
        <v>12129206947</v>
      </c>
      <c r="AV2124" t="s">
        <v>4110</v>
      </c>
      <c r="AW2124" t="s">
        <v>4111</v>
      </c>
      <c r="AX2124" t="s">
        <v>131</v>
      </c>
      <c r="AY2124" t="s">
        <v>131</v>
      </c>
      <c r="AZ2124" t="s">
        <v>131</v>
      </c>
      <c r="BA2124" t="s">
        <v>131</v>
      </c>
      <c r="BB2124" t="s">
        <v>131</v>
      </c>
      <c r="BC2124" t="s">
        <v>131</v>
      </c>
      <c r="BD2124" t="s">
        <v>131</v>
      </c>
      <c r="BE2124" t="s">
        <v>132</v>
      </c>
      <c r="BH2124" t="s">
        <v>6427</v>
      </c>
      <c r="BI2124" t="s">
        <v>131</v>
      </c>
      <c r="BL2124" t="s">
        <v>188</v>
      </c>
      <c r="BN2124" t="s">
        <v>13301</v>
      </c>
      <c r="BO2124" t="s">
        <v>131</v>
      </c>
      <c r="BP2124" t="s">
        <v>134</v>
      </c>
      <c r="BQ2124" t="s">
        <v>131</v>
      </c>
      <c r="BS2124" t="str">
        <f t="shared" si="125"/>
        <v>N/A</v>
      </c>
      <c r="BT2124" t="s">
        <v>135</v>
      </c>
      <c r="BU2124">
        <v>12</v>
      </c>
      <c r="BV2124" t="str">
        <f>"Statistician, Data Analyst, or related position in a real estate environment."</f>
        <v>Statistician, Data Analyst, or related position in a real estate environment.</v>
      </c>
      <c r="BW2124" t="s">
        <v>135</v>
      </c>
      <c r="BX2124" t="str">
        <f>""</f>
        <v/>
      </c>
      <c r="BY2124" t="str">
        <f>""</f>
        <v/>
      </c>
      <c r="BZ2124" t="str">
        <f>""</f>
        <v/>
      </c>
      <c r="CA2124" t="str">
        <f>"Proficiency in R, SPSS, Advanced Excel, and Tableau."</f>
        <v>Proficiency in R, SPSS, Advanced Excel, and Tableau.</v>
      </c>
      <c r="CB2124" t="s">
        <v>131</v>
      </c>
      <c r="CF2124" t="s">
        <v>131</v>
      </c>
      <c r="CH2124" t="str">
        <f>""</f>
        <v/>
      </c>
      <c r="CI2124" t="s">
        <v>131</v>
      </c>
      <c r="CK2124" t="s">
        <v>131</v>
      </c>
      <c r="CL2124" t="str">
        <f>""</f>
        <v/>
      </c>
      <c r="CM2124" t="str">
        <f>""</f>
        <v/>
      </c>
      <c r="CN2124" t="str">
        <f>""</f>
        <v/>
      </c>
      <c r="CO2124" t="str">
        <f>""</f>
        <v/>
      </c>
      <c r="CP2124" t="str">
        <f>"15-2041.00"</f>
        <v>15-2041.00</v>
      </c>
      <c r="CQ2124" t="s">
        <v>379</v>
      </c>
      <c r="CS2124" t="s">
        <v>131</v>
      </c>
      <c r="CU2124" t="s">
        <v>6425</v>
      </c>
      <c r="CV2124" t="s">
        <v>6426</v>
      </c>
      <c r="CW2124" t="s">
        <v>494</v>
      </c>
      <c r="CX2124" t="s">
        <v>129</v>
      </c>
      <c r="CZ2124" s="3" t="str">
        <f>"10009"</f>
        <v>10009</v>
      </c>
      <c r="DA2124" t="s">
        <v>131</v>
      </c>
      <c r="DB2124" t="str">
        <f>""</f>
        <v/>
      </c>
      <c r="DF2124" t="str">
        <f>""</f>
        <v/>
      </c>
    </row>
    <row r="2125" spans="1:110" ht="15" customHeight="1" x14ac:dyDescent="0.35">
      <c r="A2125" t="s">
        <v>15879</v>
      </c>
      <c r="B2125" t="s">
        <v>138</v>
      </c>
      <c r="C2125" s="1">
        <v>44370</v>
      </c>
      <c r="G2125" s="1">
        <v>44372</v>
      </c>
      <c r="H2125" t="s">
        <v>125</v>
      </c>
      <c r="I2125" t="s">
        <v>9718</v>
      </c>
      <c r="J2125" t="s">
        <v>9719</v>
      </c>
      <c r="L2125" t="s">
        <v>2292</v>
      </c>
      <c r="M2125" t="s">
        <v>4322</v>
      </c>
      <c r="O2125" t="s">
        <v>2412</v>
      </c>
      <c r="P2125" t="s">
        <v>256</v>
      </c>
      <c r="Q2125" s="3">
        <v>65202</v>
      </c>
      <c r="R2125" t="s">
        <v>128</v>
      </c>
      <c r="T2125" s="4">
        <v>15734491448</v>
      </c>
      <c r="V2125" t="s">
        <v>4319</v>
      </c>
      <c r="W2125" t="s">
        <v>4320</v>
      </c>
      <c r="X2125" t="s">
        <v>4321</v>
      </c>
      <c r="Y2125" t="s">
        <v>4322</v>
      </c>
      <c r="AA2125" t="s">
        <v>2412</v>
      </c>
      <c r="AB2125" t="s">
        <v>258</v>
      </c>
      <c r="AC2125" s="3" t="str">
        <f>"65202"</f>
        <v>65202</v>
      </c>
      <c r="AD2125" t="s">
        <v>128</v>
      </c>
      <c r="AF2125" s="4">
        <v>15734491448</v>
      </c>
      <c r="AH2125" t="str">
        <f>"623110"</f>
        <v>623110</v>
      </c>
      <c r="AI2125" t="s">
        <v>130</v>
      </c>
      <c r="AJ2125" t="s">
        <v>4323</v>
      </c>
      <c r="AK2125" t="s">
        <v>4324</v>
      </c>
      <c r="AL2125" t="s">
        <v>4325</v>
      </c>
      <c r="AM2125" t="s">
        <v>4326</v>
      </c>
      <c r="AN2125" t="s">
        <v>788</v>
      </c>
      <c r="AO2125" t="s">
        <v>4859</v>
      </c>
      <c r="AP2125" t="s">
        <v>263</v>
      </c>
      <c r="AQ2125" s="5">
        <v>60555</v>
      </c>
      <c r="AR2125" t="s">
        <v>128</v>
      </c>
      <c r="AT2125" s="4">
        <v>17733661214</v>
      </c>
      <c r="AV2125" t="s">
        <v>4328</v>
      </c>
      <c r="AW2125" t="s">
        <v>4329</v>
      </c>
      <c r="AX2125" t="s">
        <v>131</v>
      </c>
      <c r="AY2125" t="s">
        <v>131</v>
      </c>
      <c r="AZ2125" t="s">
        <v>131</v>
      </c>
      <c r="BA2125" t="s">
        <v>131</v>
      </c>
      <c r="BB2125" t="s">
        <v>131</v>
      </c>
      <c r="BC2125" t="s">
        <v>131</v>
      </c>
      <c r="BD2125" t="s">
        <v>131</v>
      </c>
      <c r="BE2125" t="s">
        <v>132</v>
      </c>
      <c r="BH2125" t="s">
        <v>230</v>
      </c>
      <c r="BI2125" t="s">
        <v>131</v>
      </c>
      <c r="BL2125" t="s">
        <v>307</v>
      </c>
      <c r="BN2125" t="s">
        <v>604</v>
      </c>
      <c r="BO2125" t="s">
        <v>131</v>
      </c>
      <c r="BP2125" t="s">
        <v>134</v>
      </c>
      <c r="BQ2125" t="s">
        <v>131</v>
      </c>
      <c r="BS2125" t="str">
        <f t="shared" si="125"/>
        <v>N/A</v>
      </c>
      <c r="BT2125" t="s">
        <v>131</v>
      </c>
      <c r="BV2125" t="str">
        <f>""</f>
        <v/>
      </c>
      <c r="BW2125" t="s">
        <v>135</v>
      </c>
      <c r="BX2125" t="str">
        <f>"CANDIDATES MUST HAVE AT LEAST ONE OF THE FOLLOWING: 
1. A FULL UNRESTRICTED LICENSE TO PRACTICE IN THE STATE OF INTENDED EMPLOYMENT; OR, 
2. A CGFNS CERTIFICATE; OR,
3. PROOF OF PASSING THE NCLEX-RN EXAMINATION. "</f>
        <v xml:space="preserve">CANDIDATES MUST HAVE AT LEAST ONE OF THE FOLLOWING: 
1. A FULL UNRESTRICTED LICENSE TO PRACTICE IN THE STATE OF INTENDED EMPLOYMENT; OR, 
2. A CGFNS CERTIFICATE; OR,
3. PROOF OF PASSING THE NCLEX-RN EXAMINATION. </v>
      </c>
      <c r="BY2125" t="str">
        <f>""</f>
        <v/>
      </c>
      <c r="BZ2125" t="str">
        <f>""</f>
        <v/>
      </c>
      <c r="CA2125" t="str">
        <f>"CANDIDATES MUST HAVE AT LEAST ONE OF THE FOLLOWING: 
1. A FULL UNRESTRICTED LICENSE TO PRACTICE IN THE STATE OF INTENDED EMPLOYMENT; OR, 
2. A CGFNS CERTIFICATE; OR,
3. PROOF OF PASSING THE NCLEX-RN EXAMINATION. "</f>
        <v xml:space="preserve">CANDIDATES MUST HAVE AT LEAST ONE OF THE FOLLOWING: 
1. A FULL UNRESTRICTED LICENSE TO PRACTICE IN THE STATE OF INTENDED EMPLOYMENT; OR, 
2. A CGFNS CERTIFICATE; OR,
3. PROOF OF PASSING THE NCLEX-RN EXAMINATION. </v>
      </c>
      <c r="CB2125" t="s">
        <v>131</v>
      </c>
      <c r="CF2125" t="s">
        <v>131</v>
      </c>
      <c r="CH2125" t="str">
        <f>""</f>
        <v/>
      </c>
      <c r="CI2125" t="s">
        <v>131</v>
      </c>
      <c r="CK2125" t="s">
        <v>131</v>
      </c>
      <c r="CL2125" t="str">
        <f>""</f>
        <v/>
      </c>
      <c r="CM2125" t="str">
        <f>""</f>
        <v/>
      </c>
      <c r="CN2125" t="str">
        <f>""</f>
        <v/>
      </c>
      <c r="CO2125" t="str">
        <f>""</f>
        <v/>
      </c>
      <c r="CP2125" t="str">
        <f>"29-1141.00"</f>
        <v>29-1141.00</v>
      </c>
      <c r="CQ2125" t="s">
        <v>232</v>
      </c>
      <c r="CR2125" t="s">
        <v>1037</v>
      </c>
      <c r="CS2125" t="s">
        <v>131</v>
      </c>
      <c r="CU2125" t="s">
        <v>4318</v>
      </c>
      <c r="CW2125" t="s">
        <v>2412</v>
      </c>
      <c r="CX2125" t="s">
        <v>258</v>
      </c>
      <c r="CZ2125" s="3" t="str">
        <f>"65202"</f>
        <v>65202</v>
      </c>
      <c r="DA2125" t="s">
        <v>131</v>
      </c>
      <c r="DB2125" t="str">
        <f>""</f>
        <v/>
      </c>
      <c r="DF2125" t="str">
        <f>""</f>
        <v/>
      </c>
    </row>
    <row r="2126" spans="1:110" ht="15" customHeight="1" x14ac:dyDescent="0.35">
      <c r="A2126" t="s">
        <v>11241</v>
      </c>
      <c r="B2126" t="s">
        <v>138</v>
      </c>
      <c r="C2126" s="1">
        <v>44370</v>
      </c>
      <c r="G2126" s="1">
        <v>44370</v>
      </c>
      <c r="H2126" t="s">
        <v>125</v>
      </c>
      <c r="I2126" t="s">
        <v>5992</v>
      </c>
      <c r="J2126" t="s">
        <v>6446</v>
      </c>
      <c r="L2126" t="s">
        <v>628</v>
      </c>
      <c r="M2126" t="s">
        <v>6447</v>
      </c>
      <c r="O2126" t="s">
        <v>5238</v>
      </c>
      <c r="P2126" t="s">
        <v>273</v>
      </c>
      <c r="Q2126" s="3">
        <v>8701</v>
      </c>
      <c r="R2126" t="s">
        <v>128</v>
      </c>
      <c r="S2126" t="s">
        <v>127</v>
      </c>
      <c r="T2126" s="4">
        <v>17329873824</v>
      </c>
      <c r="V2126" t="s">
        <v>6448</v>
      </c>
      <c r="W2126" t="s">
        <v>6449</v>
      </c>
      <c r="Y2126" t="s">
        <v>6447</v>
      </c>
      <c r="AA2126" t="s">
        <v>5238</v>
      </c>
      <c r="AB2126" t="s">
        <v>276</v>
      </c>
      <c r="AC2126" s="3" t="str">
        <f>"08701"</f>
        <v>08701</v>
      </c>
      <c r="AD2126" t="s">
        <v>128</v>
      </c>
      <c r="AF2126" s="4">
        <v>17323673667</v>
      </c>
      <c r="AH2126" t="str">
        <f>"62134"</f>
        <v>62134</v>
      </c>
      <c r="AI2126" t="s">
        <v>130</v>
      </c>
      <c r="AJ2126" t="s">
        <v>5164</v>
      </c>
      <c r="AK2126" t="s">
        <v>3358</v>
      </c>
      <c r="AM2126" t="s">
        <v>6450</v>
      </c>
      <c r="AO2126" t="s">
        <v>494</v>
      </c>
      <c r="AP2126" t="s">
        <v>129</v>
      </c>
      <c r="AQ2126" s="5">
        <v>10170</v>
      </c>
      <c r="AR2126" t="s">
        <v>128</v>
      </c>
      <c r="AT2126" s="4">
        <v>19173387624</v>
      </c>
      <c r="AV2126" t="s">
        <v>6451</v>
      </c>
      <c r="AW2126" t="s">
        <v>6452</v>
      </c>
      <c r="AX2126" t="s">
        <v>131</v>
      </c>
      <c r="AY2126" t="s">
        <v>131</v>
      </c>
      <c r="AZ2126" t="s">
        <v>131</v>
      </c>
      <c r="BA2126" t="s">
        <v>131</v>
      </c>
      <c r="BB2126" t="s">
        <v>131</v>
      </c>
      <c r="BC2126" t="s">
        <v>131</v>
      </c>
      <c r="BD2126" t="s">
        <v>131</v>
      </c>
      <c r="BE2126" t="s">
        <v>132</v>
      </c>
      <c r="BH2126" t="s">
        <v>1150</v>
      </c>
      <c r="BI2126" t="s">
        <v>131</v>
      </c>
      <c r="BL2126" t="s">
        <v>133</v>
      </c>
      <c r="BN2126" t="s">
        <v>6453</v>
      </c>
      <c r="BO2126" t="s">
        <v>131</v>
      </c>
      <c r="BP2126" t="s">
        <v>134</v>
      </c>
      <c r="BQ2126" t="s">
        <v>131</v>
      </c>
      <c r="BS2126" t="str">
        <f t="shared" si="125"/>
        <v>N/A</v>
      </c>
      <c r="BT2126" t="s">
        <v>131</v>
      </c>
      <c r="BV2126" t="str">
        <f>""</f>
        <v/>
      </c>
      <c r="BW2126" t="s">
        <v>135</v>
      </c>
      <c r="BX2126" t="str">
        <f>"A license to practice physical therapy in the State of New Jersey is required. "</f>
        <v xml:space="preserve">A license to practice physical therapy in the State of New Jersey is required. </v>
      </c>
      <c r="BY2126" t="str">
        <f>""</f>
        <v/>
      </c>
      <c r="BZ2126" t="str">
        <f>""</f>
        <v/>
      </c>
      <c r="CA2126" t="str">
        <f>""</f>
        <v/>
      </c>
      <c r="CB2126" t="s">
        <v>131</v>
      </c>
      <c r="CF2126" t="s">
        <v>131</v>
      </c>
      <c r="CH2126" t="str">
        <f>""</f>
        <v/>
      </c>
      <c r="CI2126" t="s">
        <v>131</v>
      </c>
      <c r="CK2126" t="s">
        <v>131</v>
      </c>
      <c r="CL2126" t="str">
        <f>""</f>
        <v/>
      </c>
      <c r="CM2126" t="str">
        <f>""</f>
        <v/>
      </c>
      <c r="CN2126" t="str">
        <f>""</f>
        <v/>
      </c>
      <c r="CO2126" t="str">
        <f>""</f>
        <v/>
      </c>
      <c r="CP2126" t="str">
        <f>"29-1123.00"</f>
        <v>29-1123.00</v>
      </c>
      <c r="CQ2126" t="s">
        <v>962</v>
      </c>
      <c r="CR2126" t="s">
        <v>11242</v>
      </c>
      <c r="CS2126" t="s">
        <v>131</v>
      </c>
      <c r="CU2126" t="s">
        <v>11243</v>
      </c>
      <c r="CW2126" t="s">
        <v>2098</v>
      </c>
      <c r="CX2126" t="s">
        <v>276</v>
      </c>
      <c r="CZ2126" s="3" t="str">
        <f>"07055"</f>
        <v>07055</v>
      </c>
      <c r="DA2126" t="s">
        <v>131</v>
      </c>
      <c r="DB2126" t="str">
        <f>""</f>
        <v/>
      </c>
      <c r="DF2126" t="str">
        <f>""</f>
        <v/>
      </c>
    </row>
    <row r="2127" spans="1:110" ht="15" customHeight="1" x14ac:dyDescent="0.35">
      <c r="A2127" t="s">
        <v>16557</v>
      </c>
      <c r="B2127" t="s">
        <v>138</v>
      </c>
      <c r="C2127" s="1">
        <v>44370</v>
      </c>
      <c r="G2127" s="1">
        <v>44372</v>
      </c>
      <c r="H2127" t="s">
        <v>125</v>
      </c>
      <c r="I2127" t="s">
        <v>3875</v>
      </c>
      <c r="J2127" t="s">
        <v>3519</v>
      </c>
      <c r="L2127" t="s">
        <v>2292</v>
      </c>
      <c r="M2127" t="s">
        <v>10893</v>
      </c>
      <c r="O2127" t="s">
        <v>670</v>
      </c>
      <c r="P2127" t="s">
        <v>256</v>
      </c>
      <c r="Q2127" s="3">
        <v>63379</v>
      </c>
      <c r="R2127" t="s">
        <v>128</v>
      </c>
      <c r="T2127" s="4">
        <v>16365285712</v>
      </c>
      <c r="V2127" t="s">
        <v>10894</v>
      </c>
      <c r="W2127" t="s">
        <v>10895</v>
      </c>
      <c r="X2127" t="s">
        <v>13861</v>
      </c>
      <c r="Y2127" t="s">
        <v>10893</v>
      </c>
      <c r="AA2127" t="s">
        <v>670</v>
      </c>
      <c r="AB2127" t="s">
        <v>258</v>
      </c>
      <c r="AC2127" s="3" t="str">
        <f>"63379"</f>
        <v>63379</v>
      </c>
      <c r="AD2127" t="s">
        <v>128</v>
      </c>
      <c r="AF2127" s="4">
        <v>16365285712</v>
      </c>
      <c r="AH2127" t="str">
        <f>"623110"</f>
        <v>623110</v>
      </c>
      <c r="AI2127" t="s">
        <v>130</v>
      </c>
      <c r="AJ2127" t="s">
        <v>4323</v>
      </c>
      <c r="AK2127" t="s">
        <v>4324</v>
      </c>
      <c r="AL2127" t="s">
        <v>4325</v>
      </c>
      <c r="AM2127" t="s">
        <v>4326</v>
      </c>
      <c r="AN2127" t="s">
        <v>788</v>
      </c>
      <c r="AO2127" t="s">
        <v>4859</v>
      </c>
      <c r="AP2127" t="s">
        <v>263</v>
      </c>
      <c r="AQ2127" s="5">
        <v>60555</v>
      </c>
      <c r="AR2127" t="s">
        <v>128</v>
      </c>
      <c r="AT2127" s="4">
        <v>17733661214</v>
      </c>
      <c r="AV2127" t="s">
        <v>4328</v>
      </c>
      <c r="AW2127" t="s">
        <v>4329</v>
      </c>
      <c r="AX2127" t="s">
        <v>131</v>
      </c>
      <c r="AY2127" t="s">
        <v>131</v>
      </c>
      <c r="AZ2127" t="s">
        <v>131</v>
      </c>
      <c r="BA2127" t="s">
        <v>131</v>
      </c>
      <c r="BB2127" t="s">
        <v>131</v>
      </c>
      <c r="BC2127" t="s">
        <v>131</v>
      </c>
      <c r="BD2127" t="s">
        <v>131</v>
      </c>
      <c r="BE2127" t="s">
        <v>132</v>
      </c>
      <c r="BH2127" t="s">
        <v>230</v>
      </c>
      <c r="BI2127" t="s">
        <v>131</v>
      </c>
      <c r="BL2127" t="s">
        <v>307</v>
      </c>
      <c r="BN2127" t="s">
        <v>604</v>
      </c>
      <c r="BO2127" t="s">
        <v>131</v>
      </c>
      <c r="BP2127" t="s">
        <v>134</v>
      </c>
      <c r="BQ2127" t="s">
        <v>131</v>
      </c>
      <c r="BS2127" t="str">
        <f t="shared" si="125"/>
        <v>N/A</v>
      </c>
      <c r="BT2127" t="s">
        <v>131</v>
      </c>
      <c r="BV2127" t="str">
        <f>""</f>
        <v/>
      </c>
      <c r="BW2127" t="s">
        <v>135</v>
      </c>
      <c r="BX2127" t="str">
        <f>"CANDIDATES MUST HAVE AT LEAST ONE OF THE FOLLOWING: 
1. A FULL UNRESTRICTED LICENSE TO PRACTICE IN THE STATE OF INTENDED EMPLOYMENT; OR,
2. A CGFNS CERTIFICATE; OR, 
3. PROOF OF PASSING THE NCLEX-RN EXAMINATION.  "</f>
        <v xml:space="preserve">CANDIDATES MUST HAVE AT LEAST ONE OF THE FOLLOWING: 
1. A FULL UNRESTRICTED LICENSE TO PRACTICE IN THE STATE OF INTENDED EMPLOYMENT; OR,
2. A CGFNS CERTIFICATE; OR, 
3. PROOF OF PASSING THE NCLEX-RN EXAMINATION.  </v>
      </c>
      <c r="BY2127" t="str">
        <f>""</f>
        <v/>
      </c>
      <c r="BZ2127" t="str">
        <f>""</f>
        <v/>
      </c>
      <c r="CA2127" t="str">
        <f>"CANDIDATES MUST HAVE AT LEAST ONE OF THE FOLLOWING: 
1. A FULL UNRESTRICTED LICENSE TO PRACTICE IN THE STATE OF INTENDED EMPLOYMENT; OR,
2. A CGFNS CERTIFICATE; OR, 
3. PROOF OF PASSING THE NCLEX-RN EXAMINATION.  "</f>
        <v xml:space="preserve">CANDIDATES MUST HAVE AT LEAST ONE OF THE FOLLOWING: 
1. A FULL UNRESTRICTED LICENSE TO PRACTICE IN THE STATE OF INTENDED EMPLOYMENT; OR,
2. A CGFNS CERTIFICATE; OR, 
3. PROOF OF PASSING THE NCLEX-RN EXAMINATION.  </v>
      </c>
      <c r="CB2127" t="s">
        <v>131</v>
      </c>
      <c r="CF2127" t="s">
        <v>131</v>
      </c>
      <c r="CH2127" t="str">
        <f>""</f>
        <v/>
      </c>
      <c r="CI2127" t="s">
        <v>131</v>
      </c>
      <c r="CK2127" t="s">
        <v>131</v>
      </c>
      <c r="CL2127" t="str">
        <f>""</f>
        <v/>
      </c>
      <c r="CM2127" t="str">
        <f>""</f>
        <v/>
      </c>
      <c r="CN2127" t="str">
        <f>""</f>
        <v/>
      </c>
      <c r="CO2127" t="str">
        <f>""</f>
        <v/>
      </c>
      <c r="CP2127" t="str">
        <f>"29-1141.00"</f>
        <v>29-1141.00</v>
      </c>
      <c r="CQ2127" t="s">
        <v>232</v>
      </c>
      <c r="CR2127" t="s">
        <v>1037</v>
      </c>
      <c r="CS2127" t="s">
        <v>131</v>
      </c>
      <c r="CU2127" t="s">
        <v>10893</v>
      </c>
      <c r="CW2127" t="s">
        <v>670</v>
      </c>
      <c r="CX2127" t="s">
        <v>258</v>
      </c>
      <c r="CZ2127" s="3" t="str">
        <f>"63379"</f>
        <v>63379</v>
      </c>
      <c r="DA2127" t="s">
        <v>131</v>
      </c>
      <c r="DB2127" t="str">
        <f>""</f>
        <v/>
      </c>
      <c r="DF2127" t="str">
        <f>""</f>
        <v/>
      </c>
    </row>
    <row r="2128" spans="1:110" ht="15" customHeight="1" x14ac:dyDescent="0.35">
      <c r="A2128" t="s">
        <v>19614</v>
      </c>
      <c r="B2128" t="s">
        <v>138</v>
      </c>
      <c r="C2128" s="1">
        <v>44370</v>
      </c>
      <c r="G2128" s="1">
        <v>44372</v>
      </c>
      <c r="H2128" t="s">
        <v>125</v>
      </c>
      <c r="I2128" t="s">
        <v>9227</v>
      </c>
      <c r="J2128" t="s">
        <v>3706</v>
      </c>
      <c r="L2128" t="s">
        <v>2292</v>
      </c>
      <c r="M2128" t="s">
        <v>8966</v>
      </c>
      <c r="O2128" t="s">
        <v>8963</v>
      </c>
      <c r="P2128" t="s">
        <v>256</v>
      </c>
      <c r="Q2128" s="3">
        <v>65251</v>
      </c>
      <c r="R2128" t="s">
        <v>128</v>
      </c>
      <c r="T2128" s="4">
        <v>15736420202</v>
      </c>
      <c r="V2128" t="s">
        <v>8964</v>
      </c>
      <c r="W2128" t="s">
        <v>11744</v>
      </c>
      <c r="X2128" t="s">
        <v>8965</v>
      </c>
      <c r="Y2128" t="s">
        <v>11745</v>
      </c>
      <c r="AA2128" t="s">
        <v>8963</v>
      </c>
      <c r="AB2128" t="s">
        <v>258</v>
      </c>
      <c r="AC2128" s="3" t="str">
        <f>"65251"</f>
        <v>65251</v>
      </c>
      <c r="AD2128" t="s">
        <v>128</v>
      </c>
      <c r="AF2128" s="4">
        <v>15736420202</v>
      </c>
      <c r="AH2128" t="str">
        <f>"623110"</f>
        <v>623110</v>
      </c>
      <c r="AI2128" t="s">
        <v>130</v>
      </c>
      <c r="AJ2128" t="s">
        <v>4323</v>
      </c>
      <c r="AK2128" t="s">
        <v>4324</v>
      </c>
      <c r="AL2128" t="s">
        <v>4325</v>
      </c>
      <c r="AM2128" t="s">
        <v>4326</v>
      </c>
      <c r="AN2128" t="s">
        <v>788</v>
      </c>
      <c r="AO2128" t="s">
        <v>4859</v>
      </c>
      <c r="AP2128" t="s">
        <v>263</v>
      </c>
      <c r="AQ2128" s="5">
        <v>60555</v>
      </c>
      <c r="AR2128" t="s">
        <v>128</v>
      </c>
      <c r="AT2128" s="4">
        <v>17733661214</v>
      </c>
      <c r="AV2128" t="s">
        <v>4328</v>
      </c>
      <c r="AW2128" t="s">
        <v>4329</v>
      </c>
      <c r="AX2128" t="s">
        <v>131</v>
      </c>
      <c r="AY2128" t="s">
        <v>131</v>
      </c>
      <c r="AZ2128" t="s">
        <v>131</v>
      </c>
      <c r="BA2128" t="s">
        <v>131</v>
      </c>
      <c r="BB2128" t="s">
        <v>131</v>
      </c>
      <c r="BC2128" t="s">
        <v>131</v>
      </c>
      <c r="BD2128" t="s">
        <v>131</v>
      </c>
      <c r="BE2128" t="s">
        <v>132</v>
      </c>
      <c r="BH2128" t="s">
        <v>230</v>
      </c>
      <c r="BI2128" t="s">
        <v>131</v>
      </c>
      <c r="BL2128" t="s">
        <v>307</v>
      </c>
      <c r="BN2128" t="s">
        <v>604</v>
      </c>
      <c r="BO2128" t="s">
        <v>131</v>
      </c>
      <c r="BP2128" t="s">
        <v>134</v>
      </c>
      <c r="BQ2128" t="s">
        <v>131</v>
      </c>
      <c r="BS2128" t="str">
        <f t="shared" si="125"/>
        <v>N/A</v>
      </c>
      <c r="BT2128" t="s">
        <v>131</v>
      </c>
      <c r="BV2128" t="str">
        <f>""</f>
        <v/>
      </c>
      <c r="BW2128" t="s">
        <v>135</v>
      </c>
      <c r="BX2128" t="str">
        <f>"CANDIDATES MUST HAVE AT LEAST ONE OF THE FOLLOWING: 
1. A FULL UNRESTRICTED LICENSE IN THE STATE OF INTENDED EMPLOYMENT; OR,
2. A CGFNS CERTIFICATE; OR, 
3. PROOF OF PASSING THE NCLEX-RN EXAMINATION."</f>
        <v>CANDIDATES MUST HAVE AT LEAST ONE OF THE FOLLOWING: 
1. A FULL UNRESTRICTED LICENSE IN THE STATE OF INTENDED EMPLOYMENT; OR,
2. A CGFNS CERTIFICATE; OR, 
3. PROOF OF PASSING THE NCLEX-RN EXAMINATION.</v>
      </c>
      <c r="BY2128" t="str">
        <f>""</f>
        <v/>
      </c>
      <c r="BZ2128" t="str">
        <f>""</f>
        <v/>
      </c>
      <c r="CA2128" t="str">
        <f>"CANDIDATES MUST HAVE AT LEAST ONE OF THE FOLLOWING: 
1. A FULL UNRESTRICTED LICENSE IN THE STATE OF INTENDED EMPLOYMENT; OR,
2. A CGFNS CERTIFICATE; OR, 
3. PROOF OF PASSING THE NCLEX-RN EXAMINATION."</f>
        <v>CANDIDATES MUST HAVE AT LEAST ONE OF THE FOLLOWING: 
1. A FULL UNRESTRICTED LICENSE IN THE STATE OF INTENDED EMPLOYMENT; OR,
2. A CGFNS CERTIFICATE; OR, 
3. PROOF OF PASSING THE NCLEX-RN EXAMINATION.</v>
      </c>
      <c r="CB2128" t="s">
        <v>131</v>
      </c>
      <c r="CF2128" t="s">
        <v>131</v>
      </c>
      <c r="CH2128" t="str">
        <f>""</f>
        <v/>
      </c>
      <c r="CI2128" t="s">
        <v>131</v>
      </c>
      <c r="CK2128" t="s">
        <v>131</v>
      </c>
      <c r="CL2128" t="str">
        <f>""</f>
        <v/>
      </c>
      <c r="CM2128" t="str">
        <f>""</f>
        <v/>
      </c>
      <c r="CN2128" t="str">
        <f>""</f>
        <v/>
      </c>
      <c r="CO2128" t="str">
        <f>""</f>
        <v/>
      </c>
      <c r="CP2128" t="str">
        <f>"29-1141.00"</f>
        <v>29-1141.00</v>
      </c>
      <c r="CQ2128" t="s">
        <v>232</v>
      </c>
      <c r="CR2128" t="s">
        <v>1037</v>
      </c>
      <c r="CS2128" t="s">
        <v>131</v>
      </c>
      <c r="CU2128" t="s">
        <v>8966</v>
      </c>
      <c r="CW2128" t="s">
        <v>8963</v>
      </c>
      <c r="CX2128" t="s">
        <v>258</v>
      </c>
      <c r="CZ2128" s="3" t="str">
        <f>"65251"</f>
        <v>65251</v>
      </c>
      <c r="DA2128" t="s">
        <v>131</v>
      </c>
      <c r="DB2128" t="str">
        <f>""</f>
        <v/>
      </c>
      <c r="DF2128" t="str">
        <f>""</f>
        <v/>
      </c>
    </row>
    <row r="2129" spans="1:110" ht="15" customHeight="1" x14ac:dyDescent="0.35">
      <c r="A2129" t="s">
        <v>5749</v>
      </c>
      <c r="B2129" t="s">
        <v>138</v>
      </c>
      <c r="C2129" s="1">
        <v>44370</v>
      </c>
      <c r="G2129" s="1">
        <v>44372</v>
      </c>
      <c r="H2129" t="s">
        <v>125</v>
      </c>
      <c r="I2129" t="s">
        <v>5750</v>
      </c>
      <c r="J2129" t="s">
        <v>5751</v>
      </c>
      <c r="L2129" t="s">
        <v>2292</v>
      </c>
      <c r="M2129" t="s">
        <v>5752</v>
      </c>
      <c r="O2129" t="s">
        <v>2412</v>
      </c>
      <c r="P2129" t="s">
        <v>256</v>
      </c>
      <c r="Q2129" s="3">
        <v>65203</v>
      </c>
      <c r="R2129" t="s">
        <v>128</v>
      </c>
      <c r="T2129" s="4">
        <v>15738743674</v>
      </c>
      <c r="V2129" t="s">
        <v>5753</v>
      </c>
      <c r="W2129" t="s">
        <v>5754</v>
      </c>
      <c r="X2129" t="s">
        <v>5755</v>
      </c>
      <c r="Y2129" t="s">
        <v>5752</v>
      </c>
      <c r="AA2129" t="s">
        <v>2412</v>
      </c>
      <c r="AB2129" t="s">
        <v>258</v>
      </c>
      <c r="AC2129" s="3" t="str">
        <f>"65203"</f>
        <v>65203</v>
      </c>
      <c r="AD2129" t="s">
        <v>128</v>
      </c>
      <c r="AF2129" s="4">
        <v>15738743674</v>
      </c>
      <c r="AH2129" t="str">
        <f>"623110"</f>
        <v>623110</v>
      </c>
      <c r="AI2129" t="s">
        <v>130</v>
      </c>
      <c r="AJ2129" t="s">
        <v>4323</v>
      </c>
      <c r="AK2129" t="s">
        <v>4324</v>
      </c>
      <c r="AL2129" t="s">
        <v>4325</v>
      </c>
      <c r="AM2129" t="s">
        <v>4326</v>
      </c>
      <c r="AN2129" t="s">
        <v>788</v>
      </c>
      <c r="AO2129" t="s">
        <v>4327</v>
      </c>
      <c r="AP2129" t="s">
        <v>263</v>
      </c>
      <c r="AQ2129" s="5">
        <v>60555</v>
      </c>
      <c r="AR2129" t="s">
        <v>128</v>
      </c>
      <c r="AT2129" s="4">
        <v>17733661214</v>
      </c>
      <c r="AV2129" t="s">
        <v>4328</v>
      </c>
      <c r="AW2129" t="s">
        <v>4329</v>
      </c>
      <c r="AX2129" t="s">
        <v>131</v>
      </c>
      <c r="AY2129" t="s">
        <v>131</v>
      </c>
      <c r="AZ2129" t="s">
        <v>131</v>
      </c>
      <c r="BA2129" t="s">
        <v>131</v>
      </c>
      <c r="BB2129" t="s">
        <v>131</v>
      </c>
      <c r="BC2129" t="s">
        <v>131</v>
      </c>
      <c r="BD2129" t="s">
        <v>131</v>
      </c>
      <c r="BE2129" t="s">
        <v>132</v>
      </c>
      <c r="BH2129" t="s">
        <v>230</v>
      </c>
      <c r="BI2129" t="s">
        <v>131</v>
      </c>
      <c r="BL2129" t="s">
        <v>307</v>
      </c>
      <c r="BN2129" t="s">
        <v>604</v>
      </c>
      <c r="BO2129" t="s">
        <v>131</v>
      </c>
      <c r="BP2129" t="s">
        <v>134</v>
      </c>
      <c r="BQ2129" t="s">
        <v>131</v>
      </c>
      <c r="BS2129" t="str">
        <f t="shared" si="125"/>
        <v>N/A</v>
      </c>
      <c r="BT2129" t="s">
        <v>131</v>
      </c>
      <c r="BV2129" t="str">
        <f>""</f>
        <v/>
      </c>
      <c r="BW2129" t="s">
        <v>135</v>
      </c>
      <c r="BX2129" t="str">
        <f>"CANDIDATES MUST HAVE AT LEAST ONE OF THE FOLLOWING:
1. A FULL UNRESTRICTED LICENSE TO PRACTICE IN THE STATE OF INTENDED EMPLOYMENT; OR, 
2. A CGFNS CERTIFICATE; OR, 
3. PROOF OF PASSING THE NCLEX-RN EXAMINATION."</f>
        <v>CANDIDATES MUST HAVE AT LEAST ONE OF THE FOLLOWING:
1. A FULL UNRESTRICTED LICENSE TO PRACTICE IN THE STATE OF INTENDED EMPLOYMENT; OR, 
2. A CGFNS CERTIFICATE; OR, 
3. PROOF OF PASSING THE NCLEX-RN EXAMINATION.</v>
      </c>
      <c r="BY2129" t="str">
        <f>""</f>
        <v/>
      </c>
      <c r="BZ2129" t="str">
        <f>""</f>
        <v/>
      </c>
      <c r="CA2129" t="str">
        <f>"CANDIDATES MUST HAVE AT LEAST ONE OF THE FOLLOWING:
1. A FULL UNRESTRICTED LICENSE TO PRACTICE IN THE STATE OF INTENDED EMPLOYMENT; OR, 
2. A CGFNS CERTIFICATE; OR, 
3. PROOF OF PASSING THE NCLEX-RN EXAMINATION."</f>
        <v>CANDIDATES MUST HAVE AT LEAST ONE OF THE FOLLOWING:
1. A FULL UNRESTRICTED LICENSE TO PRACTICE IN THE STATE OF INTENDED EMPLOYMENT; OR, 
2. A CGFNS CERTIFICATE; OR, 
3. PROOF OF PASSING THE NCLEX-RN EXAMINATION.</v>
      </c>
      <c r="CB2129" t="s">
        <v>131</v>
      </c>
      <c r="CF2129" t="s">
        <v>131</v>
      </c>
      <c r="CH2129" t="str">
        <f>""</f>
        <v/>
      </c>
      <c r="CI2129" t="s">
        <v>131</v>
      </c>
      <c r="CK2129" t="s">
        <v>131</v>
      </c>
      <c r="CL2129" t="str">
        <f>""</f>
        <v/>
      </c>
      <c r="CM2129" t="str">
        <f>""</f>
        <v/>
      </c>
      <c r="CN2129" t="str">
        <f>""</f>
        <v/>
      </c>
      <c r="CO2129" t="str">
        <f>""</f>
        <v/>
      </c>
      <c r="CP2129" t="str">
        <f>"29-1141.00"</f>
        <v>29-1141.00</v>
      </c>
      <c r="CQ2129" t="s">
        <v>232</v>
      </c>
      <c r="CR2129" t="s">
        <v>1037</v>
      </c>
      <c r="CS2129" t="s">
        <v>131</v>
      </c>
      <c r="CU2129" t="s">
        <v>5752</v>
      </c>
      <c r="CW2129" t="s">
        <v>2412</v>
      </c>
      <c r="CX2129" t="s">
        <v>258</v>
      </c>
      <c r="CZ2129" s="3" t="str">
        <f>"65203"</f>
        <v>65203</v>
      </c>
      <c r="DA2129" t="s">
        <v>131</v>
      </c>
      <c r="DB2129" t="str">
        <f>""</f>
        <v/>
      </c>
      <c r="DF2129" t="str">
        <f>""</f>
        <v/>
      </c>
    </row>
    <row r="2130" spans="1:110" ht="15" customHeight="1" x14ac:dyDescent="0.35">
      <c r="A2130" t="s">
        <v>16028</v>
      </c>
      <c r="B2130" t="s">
        <v>138</v>
      </c>
      <c r="C2130" s="1">
        <v>44370</v>
      </c>
      <c r="G2130" s="1">
        <v>44372</v>
      </c>
      <c r="H2130" t="s">
        <v>125</v>
      </c>
      <c r="I2130" t="s">
        <v>11503</v>
      </c>
      <c r="J2130" t="s">
        <v>5751</v>
      </c>
      <c r="L2130" t="s">
        <v>2292</v>
      </c>
      <c r="M2130" t="s">
        <v>5752</v>
      </c>
      <c r="O2130" t="s">
        <v>2412</v>
      </c>
      <c r="P2130" t="s">
        <v>256</v>
      </c>
      <c r="Q2130" s="3">
        <v>65203</v>
      </c>
      <c r="R2130" t="s">
        <v>128</v>
      </c>
      <c r="T2130" s="4">
        <v>15738743674</v>
      </c>
      <c r="V2130" t="s">
        <v>5753</v>
      </c>
      <c r="W2130" t="s">
        <v>5754</v>
      </c>
      <c r="X2130" t="s">
        <v>5755</v>
      </c>
      <c r="Y2130" t="s">
        <v>5752</v>
      </c>
      <c r="AA2130" t="s">
        <v>2412</v>
      </c>
      <c r="AB2130" t="s">
        <v>258</v>
      </c>
      <c r="AC2130" s="3" t="str">
        <f>"65203"</f>
        <v>65203</v>
      </c>
      <c r="AD2130" t="s">
        <v>128</v>
      </c>
      <c r="AF2130" s="4">
        <v>15738743674</v>
      </c>
      <c r="AH2130" t="str">
        <f>"623110"</f>
        <v>623110</v>
      </c>
      <c r="AI2130" t="s">
        <v>130</v>
      </c>
      <c r="AJ2130" t="s">
        <v>4323</v>
      </c>
      <c r="AK2130" t="s">
        <v>4324</v>
      </c>
      <c r="AL2130" t="s">
        <v>4325</v>
      </c>
      <c r="AM2130" t="s">
        <v>4326</v>
      </c>
      <c r="AN2130" t="s">
        <v>788</v>
      </c>
      <c r="AO2130" t="s">
        <v>4859</v>
      </c>
      <c r="AP2130" t="s">
        <v>263</v>
      </c>
      <c r="AQ2130" s="5">
        <v>60555</v>
      </c>
      <c r="AR2130" t="s">
        <v>128</v>
      </c>
      <c r="AT2130" s="4">
        <v>17733661214</v>
      </c>
      <c r="AV2130" t="s">
        <v>4328</v>
      </c>
      <c r="AW2130" t="s">
        <v>4329</v>
      </c>
      <c r="AX2130" t="s">
        <v>131</v>
      </c>
      <c r="AY2130" t="s">
        <v>131</v>
      </c>
      <c r="AZ2130" t="s">
        <v>131</v>
      </c>
      <c r="BA2130" t="s">
        <v>131</v>
      </c>
      <c r="BB2130" t="s">
        <v>131</v>
      </c>
      <c r="BC2130" t="s">
        <v>131</v>
      </c>
      <c r="BD2130" t="s">
        <v>131</v>
      </c>
      <c r="BE2130" t="s">
        <v>132</v>
      </c>
      <c r="BH2130" t="s">
        <v>230</v>
      </c>
      <c r="BI2130" t="s">
        <v>131</v>
      </c>
      <c r="BL2130" t="s">
        <v>307</v>
      </c>
      <c r="BN2130" t="s">
        <v>604</v>
      </c>
      <c r="BO2130" t="s">
        <v>131</v>
      </c>
      <c r="BP2130" t="s">
        <v>134</v>
      </c>
      <c r="BQ2130" t="s">
        <v>131</v>
      </c>
      <c r="BS2130" t="str">
        <f t="shared" si="125"/>
        <v>N/A</v>
      </c>
      <c r="BT2130" t="s">
        <v>131</v>
      </c>
      <c r="BV2130" t="str">
        <f>""</f>
        <v/>
      </c>
      <c r="BW2130" t="s">
        <v>135</v>
      </c>
      <c r="BX2130" t="str">
        <f>""</f>
        <v/>
      </c>
      <c r="BY2130" t="str">
        <f>""</f>
        <v/>
      </c>
      <c r="BZ2130" t="str">
        <f>""</f>
        <v/>
      </c>
      <c r="CA2130" t="str">
        <f>"CANDIDATES MUST HAVE AT LEAST ONE OF THE FOLLOWING:
1. A FULL UNRESTRICTED LICENSE TO PRACTICE IN THE STATE OF INTENDED EMPLOYMENT; OR, 
2. A CGFNS CERTIFICATE; OR, 
3. PROOF OF PASSING THE NCLEX-RN EXAMINATION."</f>
        <v>CANDIDATES MUST HAVE AT LEAST ONE OF THE FOLLOWING:
1. A FULL UNRESTRICTED LICENSE TO PRACTICE IN THE STATE OF INTENDED EMPLOYMENT; OR, 
2. A CGFNS CERTIFICATE; OR, 
3. PROOF OF PASSING THE NCLEX-RN EXAMINATION.</v>
      </c>
      <c r="CB2130" t="s">
        <v>131</v>
      </c>
      <c r="CF2130" t="s">
        <v>131</v>
      </c>
      <c r="CH2130" t="str">
        <f>""</f>
        <v/>
      </c>
      <c r="CI2130" t="s">
        <v>131</v>
      </c>
      <c r="CK2130" t="s">
        <v>131</v>
      </c>
      <c r="CL2130" t="str">
        <f>""</f>
        <v/>
      </c>
      <c r="CM2130" t="str">
        <f>""</f>
        <v/>
      </c>
      <c r="CN2130" t="str">
        <f>""</f>
        <v/>
      </c>
      <c r="CO2130" t="str">
        <f>""</f>
        <v/>
      </c>
      <c r="CP2130" t="str">
        <f>"29-1141.00"</f>
        <v>29-1141.00</v>
      </c>
      <c r="CQ2130" t="s">
        <v>232</v>
      </c>
      <c r="CR2130" t="s">
        <v>1037</v>
      </c>
      <c r="CS2130" t="s">
        <v>131</v>
      </c>
      <c r="CU2130" t="s">
        <v>5752</v>
      </c>
      <c r="CW2130" t="s">
        <v>2412</v>
      </c>
      <c r="CX2130" t="s">
        <v>258</v>
      </c>
      <c r="CZ2130" s="3" t="str">
        <f>"65203"</f>
        <v>65203</v>
      </c>
      <c r="DA2130" t="s">
        <v>131</v>
      </c>
      <c r="DB2130" t="str">
        <f>""</f>
        <v/>
      </c>
      <c r="DF2130" t="str">
        <f>""</f>
        <v/>
      </c>
    </row>
    <row r="2131" spans="1:110" ht="15" customHeight="1" x14ac:dyDescent="0.35">
      <c r="A2131" t="s">
        <v>12546</v>
      </c>
      <c r="B2131" t="s">
        <v>138</v>
      </c>
      <c r="C2131" s="1">
        <v>44370</v>
      </c>
      <c r="G2131" s="1">
        <v>44371</v>
      </c>
      <c r="H2131" t="s">
        <v>125</v>
      </c>
      <c r="I2131" t="s">
        <v>12547</v>
      </c>
      <c r="J2131" t="s">
        <v>12548</v>
      </c>
      <c r="L2131" t="s">
        <v>12549</v>
      </c>
      <c r="M2131" t="s">
        <v>10539</v>
      </c>
      <c r="N2131" t="s">
        <v>985</v>
      </c>
      <c r="O2131" t="s">
        <v>523</v>
      </c>
      <c r="P2131" t="s">
        <v>178</v>
      </c>
      <c r="Q2131" s="3">
        <v>94104</v>
      </c>
      <c r="R2131" t="s">
        <v>128</v>
      </c>
      <c r="T2131" s="4">
        <v>14158396885</v>
      </c>
      <c r="V2131" t="s">
        <v>12550</v>
      </c>
      <c r="W2131" t="s">
        <v>12551</v>
      </c>
      <c r="Y2131" t="s">
        <v>10539</v>
      </c>
      <c r="Z2131" t="s">
        <v>985</v>
      </c>
      <c r="AA2131" t="s">
        <v>220</v>
      </c>
      <c r="AB2131" t="s">
        <v>172</v>
      </c>
      <c r="AC2131" s="3" t="str">
        <f>"94104"</f>
        <v>94104</v>
      </c>
      <c r="AD2131" t="s">
        <v>128</v>
      </c>
      <c r="AF2131" s="4">
        <v>14158396885</v>
      </c>
      <c r="AH2131" t="str">
        <f>"51119"</f>
        <v>51119</v>
      </c>
      <c r="AI2131" t="s">
        <v>130</v>
      </c>
      <c r="AJ2131" t="s">
        <v>1775</v>
      </c>
      <c r="AK2131" t="s">
        <v>804</v>
      </c>
      <c r="AL2131" t="s">
        <v>474</v>
      </c>
      <c r="AM2131" t="s">
        <v>5092</v>
      </c>
      <c r="AN2131" t="s">
        <v>2823</v>
      </c>
      <c r="AO2131" t="s">
        <v>523</v>
      </c>
      <c r="AP2131" t="s">
        <v>172</v>
      </c>
      <c r="AQ2131" s="5">
        <v>94111</v>
      </c>
      <c r="AR2131" t="s">
        <v>128</v>
      </c>
      <c r="AT2131" s="4">
        <v>14153959331</v>
      </c>
      <c r="AU2131">
        <v>320</v>
      </c>
      <c r="AV2131" t="s">
        <v>12552</v>
      </c>
      <c r="AW2131" t="s">
        <v>5094</v>
      </c>
      <c r="AX2131" t="s">
        <v>131</v>
      </c>
      <c r="AY2131" t="s">
        <v>131</v>
      </c>
      <c r="AZ2131" t="s">
        <v>131</v>
      </c>
      <c r="BA2131" t="s">
        <v>131</v>
      </c>
      <c r="BB2131" t="s">
        <v>131</v>
      </c>
      <c r="BC2131" t="s">
        <v>131</v>
      </c>
      <c r="BD2131" t="s">
        <v>131</v>
      </c>
      <c r="BE2131" t="s">
        <v>132</v>
      </c>
      <c r="BH2131" t="s">
        <v>2693</v>
      </c>
      <c r="BI2131" t="s">
        <v>131</v>
      </c>
      <c r="BL2131" t="s">
        <v>188</v>
      </c>
      <c r="BN2131" t="s">
        <v>12553</v>
      </c>
      <c r="BO2131" t="s">
        <v>131</v>
      </c>
      <c r="BP2131" t="s">
        <v>134</v>
      </c>
      <c r="BQ2131" t="s">
        <v>131</v>
      </c>
      <c r="BS2131" t="str">
        <f t="shared" si="125"/>
        <v>N/A</v>
      </c>
      <c r="BT2131" t="s">
        <v>135</v>
      </c>
      <c r="BU2131">
        <v>24</v>
      </c>
      <c r="BV2131" t="str">
        <f>"AN OCCUPATION INVOLVING EXPERIENCE BUILDING DATA PRODUCTS AND WORKFLOWS TO DELIVER DATA INSIGHTS. "</f>
        <v xml:space="preserve">AN OCCUPATION INVOLVING EXPERIENCE BUILDING DATA PRODUCTS AND WORKFLOWS TO DELIVER DATA INSIGHTS. </v>
      </c>
      <c r="BW2131" t="s">
        <v>135</v>
      </c>
      <c r="BX2131" t="str">
        <f>""</f>
        <v/>
      </c>
      <c r="BY2131" t="str">
        <f>""</f>
        <v/>
      </c>
      <c r="BZ2131" t="str">
        <f>""</f>
        <v/>
      </c>
      <c r="CA2131" s="2" t="s">
        <v>12554</v>
      </c>
      <c r="CB2131" t="s">
        <v>135</v>
      </c>
      <c r="CC2131" t="s">
        <v>133</v>
      </c>
      <c r="CE2131" t="s">
        <v>12553</v>
      </c>
      <c r="CF2131" t="s">
        <v>131</v>
      </c>
      <c r="CH2131" t="str">
        <f>"N/A"</f>
        <v>N/A</v>
      </c>
      <c r="CI2131" t="s">
        <v>135</v>
      </c>
      <c r="CJ2131">
        <v>60</v>
      </c>
      <c r="CK2131" t="s">
        <v>135</v>
      </c>
      <c r="CL2131" t="str">
        <f>""</f>
        <v/>
      </c>
      <c r="CM2131" t="str">
        <f>""</f>
        <v/>
      </c>
      <c r="CN2131" t="str">
        <f>""</f>
        <v/>
      </c>
      <c r="CO2131" s="2" t="s">
        <v>12554</v>
      </c>
      <c r="CP2131" t="str">
        <f>"15-2041.00"</f>
        <v>15-2041.00</v>
      </c>
      <c r="CQ2131" t="s">
        <v>379</v>
      </c>
      <c r="CR2131" t="s">
        <v>12216</v>
      </c>
      <c r="CS2131" t="s">
        <v>131</v>
      </c>
      <c r="CU2131" t="s">
        <v>12555</v>
      </c>
      <c r="CV2131" t="s">
        <v>12556</v>
      </c>
      <c r="CW2131" t="s">
        <v>11351</v>
      </c>
      <c r="CX2131" t="s">
        <v>129</v>
      </c>
      <c r="CZ2131" s="3" t="str">
        <f>"11109"</f>
        <v>11109</v>
      </c>
      <c r="DA2131" t="s">
        <v>131</v>
      </c>
      <c r="DB2131" t="str">
        <f>""</f>
        <v/>
      </c>
      <c r="DF2131" t="str">
        <f>""</f>
        <v/>
      </c>
    </row>
    <row r="2132" spans="1:110" ht="15" customHeight="1" x14ac:dyDescent="0.35">
      <c r="A2132" t="s">
        <v>5562</v>
      </c>
      <c r="B2132" t="s">
        <v>138</v>
      </c>
      <c r="C2132" s="1">
        <v>44370</v>
      </c>
      <c r="G2132" s="1">
        <v>44370</v>
      </c>
      <c r="H2132" t="s">
        <v>125</v>
      </c>
      <c r="I2132" t="s">
        <v>5563</v>
      </c>
      <c r="J2132" t="s">
        <v>5564</v>
      </c>
      <c r="L2132" t="s">
        <v>5565</v>
      </c>
      <c r="M2132" t="s">
        <v>5566</v>
      </c>
      <c r="O2132" t="s">
        <v>5567</v>
      </c>
      <c r="P2132" t="s">
        <v>273</v>
      </c>
      <c r="Q2132" s="3">
        <v>7660</v>
      </c>
      <c r="R2132" t="s">
        <v>128</v>
      </c>
      <c r="T2132" s="4">
        <v>12016578092</v>
      </c>
      <c r="V2132" t="s">
        <v>5568</v>
      </c>
      <c r="W2132" t="s">
        <v>5569</v>
      </c>
      <c r="Y2132" t="s">
        <v>5570</v>
      </c>
      <c r="AA2132" t="s">
        <v>5571</v>
      </c>
      <c r="AB2132" t="s">
        <v>276</v>
      </c>
      <c r="AC2132" s="3" t="str">
        <f>"07660"</f>
        <v>07660</v>
      </c>
      <c r="AD2132" t="s">
        <v>128</v>
      </c>
      <c r="AF2132" s="4">
        <v>12016578092</v>
      </c>
      <c r="AH2132" t="str">
        <f>"425110"</f>
        <v>425110</v>
      </c>
      <c r="AI2132" t="s">
        <v>130</v>
      </c>
      <c r="AJ2132" t="s">
        <v>5572</v>
      </c>
      <c r="AK2132" t="s">
        <v>3604</v>
      </c>
      <c r="AM2132" t="s">
        <v>5573</v>
      </c>
      <c r="AN2132" t="s">
        <v>904</v>
      </c>
      <c r="AO2132" t="s">
        <v>399</v>
      </c>
      <c r="AP2132" t="s">
        <v>400</v>
      </c>
      <c r="AQ2132" s="5">
        <v>75202</v>
      </c>
      <c r="AR2132" t="s">
        <v>128</v>
      </c>
      <c r="AT2132" s="4">
        <v>17132298733</v>
      </c>
      <c r="AV2132" t="s">
        <v>5574</v>
      </c>
      <c r="AW2132" t="s">
        <v>5575</v>
      </c>
      <c r="AX2132" t="s">
        <v>131</v>
      </c>
      <c r="AY2132" t="s">
        <v>131</v>
      </c>
      <c r="AZ2132" t="s">
        <v>131</v>
      </c>
      <c r="BA2132" t="s">
        <v>131</v>
      </c>
      <c r="BB2132" t="s">
        <v>131</v>
      </c>
      <c r="BC2132" t="s">
        <v>131</v>
      </c>
      <c r="BD2132" t="s">
        <v>131</v>
      </c>
      <c r="BE2132" t="s">
        <v>132</v>
      </c>
      <c r="BH2132" t="s">
        <v>5576</v>
      </c>
      <c r="BI2132" t="s">
        <v>131</v>
      </c>
      <c r="BL2132" t="s">
        <v>188</v>
      </c>
      <c r="BN2132" t="s">
        <v>5577</v>
      </c>
      <c r="BO2132" t="s">
        <v>131</v>
      </c>
      <c r="BP2132" t="s">
        <v>134</v>
      </c>
      <c r="BQ2132" t="s">
        <v>131</v>
      </c>
      <c r="BS2132" t="str">
        <f t="shared" si="125"/>
        <v>N/A</v>
      </c>
      <c r="BT2132" t="s">
        <v>135</v>
      </c>
      <c r="BU2132">
        <v>60</v>
      </c>
      <c r="BV2132" t="str">
        <f>"Related occupation including process innovation and improvement, marketing with P&amp;L responsibility, product and brand management, business development, finance, or consulting. "</f>
        <v xml:space="preserve">Related occupation including process innovation and improvement, marketing with P&amp;L responsibility, product and brand management, business development, finance, or consulting. </v>
      </c>
      <c r="BW2132" t="s">
        <v>135</v>
      </c>
      <c r="BX2132" t="str">
        <f>""</f>
        <v/>
      </c>
      <c r="BY2132" t="str">
        <f>""</f>
        <v/>
      </c>
      <c r="BZ2132" t="str">
        <f>""</f>
        <v/>
      </c>
      <c r="CA2132" t="s">
        <v>5578</v>
      </c>
      <c r="CB2132" t="s">
        <v>131</v>
      </c>
      <c r="CF2132" t="s">
        <v>131</v>
      </c>
      <c r="CH2132" t="str">
        <f>""</f>
        <v/>
      </c>
      <c r="CI2132" t="s">
        <v>131</v>
      </c>
      <c r="CK2132" t="s">
        <v>131</v>
      </c>
      <c r="CL2132" t="str">
        <f>""</f>
        <v/>
      </c>
      <c r="CM2132" t="str">
        <f>""</f>
        <v/>
      </c>
      <c r="CN2132" t="str">
        <f>""</f>
        <v/>
      </c>
      <c r="CO2132" t="str">
        <f>""</f>
        <v/>
      </c>
      <c r="CP2132" t="str">
        <f>"13-1161.00"</f>
        <v>13-1161.00</v>
      </c>
      <c r="CQ2132" t="s">
        <v>252</v>
      </c>
      <c r="CS2132" t="s">
        <v>131</v>
      </c>
      <c r="CU2132" t="s">
        <v>5566</v>
      </c>
      <c r="CW2132" t="s">
        <v>5567</v>
      </c>
      <c r="CX2132" t="s">
        <v>276</v>
      </c>
      <c r="CZ2132" s="3" t="str">
        <f>"07660"</f>
        <v>07660</v>
      </c>
      <c r="DA2132" t="s">
        <v>131</v>
      </c>
      <c r="DB2132" t="str">
        <f>""</f>
        <v/>
      </c>
      <c r="DF2132" t="str">
        <f>""</f>
        <v/>
      </c>
    </row>
    <row r="2133" spans="1:110" ht="15" customHeight="1" x14ac:dyDescent="0.35">
      <c r="A2133" t="s">
        <v>10358</v>
      </c>
      <c r="B2133" t="s">
        <v>138</v>
      </c>
      <c r="C2133" s="1">
        <v>44370</v>
      </c>
      <c r="G2133" s="1">
        <v>44372</v>
      </c>
      <c r="H2133" t="s">
        <v>125</v>
      </c>
      <c r="I2133" t="s">
        <v>4978</v>
      </c>
      <c r="J2133" t="s">
        <v>3936</v>
      </c>
      <c r="L2133" t="s">
        <v>2292</v>
      </c>
      <c r="M2133" t="s">
        <v>4984</v>
      </c>
      <c r="O2133" t="s">
        <v>4694</v>
      </c>
      <c r="P2133" t="s">
        <v>256</v>
      </c>
      <c r="Q2133" s="3">
        <v>65653</v>
      </c>
      <c r="R2133" t="s">
        <v>128</v>
      </c>
      <c r="T2133" s="4">
        <v>14175466337</v>
      </c>
      <c r="V2133" t="s">
        <v>4981</v>
      </c>
      <c r="W2133" t="s">
        <v>4982</v>
      </c>
      <c r="X2133" t="s">
        <v>10359</v>
      </c>
      <c r="Y2133" t="s">
        <v>4984</v>
      </c>
      <c r="AA2133" t="s">
        <v>4694</v>
      </c>
      <c r="AB2133" t="s">
        <v>258</v>
      </c>
      <c r="AC2133" s="3" t="str">
        <f>"65653"</f>
        <v>65653</v>
      </c>
      <c r="AD2133" t="s">
        <v>128</v>
      </c>
      <c r="AF2133" s="4">
        <v>14175466337</v>
      </c>
      <c r="AH2133" t="str">
        <f>"623110"</f>
        <v>623110</v>
      </c>
      <c r="AI2133" t="s">
        <v>130</v>
      </c>
      <c r="AJ2133" t="s">
        <v>4323</v>
      </c>
      <c r="AK2133" t="s">
        <v>4324</v>
      </c>
      <c r="AL2133" t="s">
        <v>4325</v>
      </c>
      <c r="AM2133" t="s">
        <v>4326</v>
      </c>
      <c r="AO2133" t="s">
        <v>4859</v>
      </c>
      <c r="AP2133" t="s">
        <v>263</v>
      </c>
      <c r="AQ2133" s="5">
        <v>60555</v>
      </c>
      <c r="AR2133" t="s">
        <v>128</v>
      </c>
      <c r="AT2133" s="4">
        <v>17733661214</v>
      </c>
      <c r="AV2133" t="s">
        <v>4328</v>
      </c>
      <c r="AW2133" t="s">
        <v>4329</v>
      </c>
      <c r="AX2133" t="s">
        <v>131</v>
      </c>
      <c r="AY2133" t="s">
        <v>131</v>
      </c>
      <c r="AZ2133" t="s">
        <v>131</v>
      </c>
      <c r="BA2133" t="s">
        <v>131</v>
      </c>
      <c r="BB2133" t="s">
        <v>131</v>
      </c>
      <c r="BC2133" t="s">
        <v>131</v>
      </c>
      <c r="BD2133" t="s">
        <v>131</v>
      </c>
      <c r="BE2133" t="s">
        <v>132</v>
      </c>
      <c r="BH2133" t="s">
        <v>230</v>
      </c>
      <c r="BI2133" t="s">
        <v>131</v>
      </c>
      <c r="BL2133" t="s">
        <v>307</v>
      </c>
      <c r="BN2133" t="s">
        <v>604</v>
      </c>
      <c r="BO2133" t="s">
        <v>131</v>
      </c>
      <c r="BP2133" t="s">
        <v>134</v>
      </c>
      <c r="BQ2133" t="s">
        <v>131</v>
      </c>
      <c r="BS2133" t="str">
        <f t="shared" si="125"/>
        <v>N/A</v>
      </c>
      <c r="BT2133" t="s">
        <v>131</v>
      </c>
      <c r="BV2133" t="str">
        <f>""</f>
        <v/>
      </c>
      <c r="BW2133" t="s">
        <v>135</v>
      </c>
      <c r="BX2133" t="str">
        <f>"CANDIDATES MUST HAVE AT LEAST ONE OF THE FOLLOWING:
1. A FULL UNRESTRICTED LICENSE TO PRACTICE IN THE STATE OF INTENDED EMPLOYMENT; OR,
2. A CGFNS CERTIFICATE; OR, 
3. PROOF OF PASSING THE NCLEX-RN EXAMINATION."</f>
        <v>CANDIDATES MUST HAVE AT LEAST ONE OF THE FOLLOWING:
1. A FULL UNRESTRICTED LICENSE TO PRACTICE IN THE STATE OF INTENDED EMPLOYMENT; OR,
2. A CGFNS CERTIFICATE; OR, 
3. PROOF OF PASSING THE NCLEX-RN EXAMINATION.</v>
      </c>
      <c r="BY2133" t="str">
        <f>""</f>
        <v/>
      </c>
      <c r="BZ2133" t="str">
        <f>""</f>
        <v/>
      </c>
      <c r="CA2133" t="str">
        <f>"CANDIDATES MUST HAVE AT LEAST ONE OF THE FOLLOWING:
1. A FULL UNRESTRICTED LICENSE TO PRACTICE IN THE STATE OF INTENDED EMPLOYMENT; OR,
2. A CGFNS CERTIFICATE; OR, 
3. PROOF OF PASSING THE NCLEX-RN EXAMINATION."</f>
        <v>CANDIDATES MUST HAVE AT LEAST ONE OF THE FOLLOWING:
1. A FULL UNRESTRICTED LICENSE TO PRACTICE IN THE STATE OF INTENDED EMPLOYMENT; OR,
2. A CGFNS CERTIFICATE; OR, 
3. PROOF OF PASSING THE NCLEX-RN EXAMINATION.</v>
      </c>
      <c r="CB2133" t="s">
        <v>131</v>
      </c>
      <c r="CF2133" t="s">
        <v>131</v>
      </c>
      <c r="CH2133" t="str">
        <f>""</f>
        <v/>
      </c>
      <c r="CI2133" t="s">
        <v>131</v>
      </c>
      <c r="CK2133" t="s">
        <v>131</v>
      </c>
      <c r="CL2133" t="str">
        <f>""</f>
        <v/>
      </c>
      <c r="CM2133" t="str">
        <f>""</f>
        <v/>
      </c>
      <c r="CN2133" t="str">
        <f>""</f>
        <v/>
      </c>
      <c r="CO2133" t="str">
        <f>""</f>
        <v/>
      </c>
      <c r="CP2133" t="str">
        <f>"29-1141.00"</f>
        <v>29-1141.00</v>
      </c>
      <c r="CQ2133" t="s">
        <v>232</v>
      </c>
      <c r="CR2133" t="s">
        <v>1037</v>
      </c>
      <c r="CS2133" t="s">
        <v>131</v>
      </c>
      <c r="CU2133" t="s">
        <v>4984</v>
      </c>
      <c r="CW2133" t="s">
        <v>4694</v>
      </c>
      <c r="CX2133" t="s">
        <v>258</v>
      </c>
      <c r="CZ2133" s="3" t="str">
        <f>"65653"</f>
        <v>65653</v>
      </c>
      <c r="DA2133" t="s">
        <v>131</v>
      </c>
      <c r="DB2133" t="str">
        <f>""</f>
        <v/>
      </c>
      <c r="DF2133" t="str">
        <f>""</f>
        <v/>
      </c>
    </row>
    <row r="2134" spans="1:110" ht="15" customHeight="1" x14ac:dyDescent="0.35">
      <c r="A2134" t="s">
        <v>16051</v>
      </c>
      <c r="B2134" t="s">
        <v>138</v>
      </c>
      <c r="C2134" s="1">
        <v>44370</v>
      </c>
      <c r="G2134" s="1">
        <v>44370</v>
      </c>
      <c r="H2134" t="s">
        <v>125</v>
      </c>
      <c r="I2134" t="s">
        <v>2520</v>
      </c>
      <c r="J2134" t="s">
        <v>10663</v>
      </c>
      <c r="L2134" t="s">
        <v>460</v>
      </c>
      <c r="M2134" t="s">
        <v>14904</v>
      </c>
      <c r="O2134" t="s">
        <v>3559</v>
      </c>
      <c r="P2134" t="s">
        <v>412</v>
      </c>
      <c r="Q2134" s="3">
        <v>78415</v>
      </c>
      <c r="R2134" t="s">
        <v>128</v>
      </c>
      <c r="T2134" s="4">
        <v>13618556096</v>
      </c>
      <c r="V2134" t="s">
        <v>14905</v>
      </c>
      <c r="W2134" t="s">
        <v>16052</v>
      </c>
      <c r="Y2134" t="s">
        <v>14904</v>
      </c>
      <c r="AA2134" t="s">
        <v>3559</v>
      </c>
      <c r="AB2134" t="s">
        <v>400</v>
      </c>
      <c r="AC2134" s="3" t="str">
        <f>"78415"</f>
        <v>78415</v>
      </c>
      <c r="AD2134" t="s">
        <v>128</v>
      </c>
      <c r="AF2134" s="4">
        <v>13618556096</v>
      </c>
      <c r="AH2134" t="str">
        <f>"722511"</f>
        <v>722511</v>
      </c>
      <c r="AI2134" t="s">
        <v>130</v>
      </c>
      <c r="AJ2134" t="s">
        <v>2520</v>
      </c>
      <c r="AK2134" t="s">
        <v>12275</v>
      </c>
      <c r="AL2134" t="s">
        <v>4071</v>
      </c>
      <c r="AM2134" t="s">
        <v>12276</v>
      </c>
      <c r="AN2134" t="s">
        <v>12277</v>
      </c>
      <c r="AO2134" t="s">
        <v>885</v>
      </c>
      <c r="AP2134" t="s">
        <v>400</v>
      </c>
      <c r="AQ2134" s="5">
        <v>77036</v>
      </c>
      <c r="AR2134" t="s">
        <v>128</v>
      </c>
      <c r="AT2134" s="4">
        <v>12812243835</v>
      </c>
      <c r="AV2134" t="s">
        <v>12278</v>
      </c>
      <c r="AW2134" t="s">
        <v>12279</v>
      </c>
      <c r="AX2134" t="s">
        <v>131</v>
      </c>
      <c r="AY2134" t="s">
        <v>131</v>
      </c>
      <c r="AZ2134" t="s">
        <v>131</v>
      </c>
      <c r="BA2134" t="s">
        <v>131</v>
      </c>
      <c r="BB2134" t="s">
        <v>131</v>
      </c>
      <c r="BC2134" t="s">
        <v>131</v>
      </c>
      <c r="BD2134" t="s">
        <v>131</v>
      </c>
      <c r="BE2134" t="s">
        <v>132</v>
      </c>
      <c r="BH2134" t="s">
        <v>14907</v>
      </c>
      <c r="BI2134" t="s">
        <v>131</v>
      </c>
      <c r="BL2134" t="s">
        <v>167</v>
      </c>
      <c r="BO2134" t="s">
        <v>131</v>
      </c>
      <c r="BP2134" t="s">
        <v>134</v>
      </c>
      <c r="BQ2134" t="s">
        <v>131</v>
      </c>
      <c r="BS2134" t="str">
        <f t="shared" si="125"/>
        <v>N/A</v>
      </c>
      <c r="BT2134" t="s">
        <v>135</v>
      </c>
      <c r="BU2134">
        <v>12</v>
      </c>
      <c r="BV2134" t="str">
        <f>"Food chef or cood"</f>
        <v>Food chef or cood</v>
      </c>
      <c r="BW2134" t="s">
        <v>135</v>
      </c>
      <c r="BX2134" t="str">
        <f>""</f>
        <v/>
      </c>
      <c r="BY2134" t="str">
        <f>""</f>
        <v/>
      </c>
      <c r="BZ2134" t="str">
        <f>""</f>
        <v/>
      </c>
      <c r="CA2134" t="str">
        <f>"Must have 1 year of experience in the exact job described."</f>
        <v>Must have 1 year of experience in the exact job described.</v>
      </c>
      <c r="CB2134" t="s">
        <v>131</v>
      </c>
      <c r="CF2134" t="s">
        <v>131</v>
      </c>
      <c r="CH2134" t="str">
        <f>""</f>
        <v/>
      </c>
      <c r="CI2134" t="s">
        <v>131</v>
      </c>
      <c r="CK2134" t="s">
        <v>131</v>
      </c>
      <c r="CL2134" t="str">
        <f>""</f>
        <v/>
      </c>
      <c r="CM2134" t="str">
        <f>""</f>
        <v/>
      </c>
      <c r="CN2134" t="str">
        <f>""</f>
        <v/>
      </c>
      <c r="CO2134" t="str">
        <f>""</f>
        <v/>
      </c>
      <c r="CP2134" t="str">
        <f>"35-2014.00"</f>
        <v>35-2014.00</v>
      </c>
      <c r="CQ2134" t="s">
        <v>581</v>
      </c>
      <c r="CR2134" t="s">
        <v>5496</v>
      </c>
      <c r="CS2134" t="s">
        <v>131</v>
      </c>
      <c r="CU2134" t="s">
        <v>14904</v>
      </c>
      <c r="CW2134" t="s">
        <v>3559</v>
      </c>
      <c r="CX2134" t="s">
        <v>400</v>
      </c>
      <c r="CZ2134" s="3" t="str">
        <f>"78415"</f>
        <v>78415</v>
      </c>
      <c r="DA2134" t="s">
        <v>131</v>
      </c>
      <c r="DB2134" t="str">
        <f>""</f>
        <v/>
      </c>
      <c r="DF2134" t="str">
        <f>""</f>
        <v/>
      </c>
    </row>
    <row r="2135" spans="1:110" ht="15" customHeight="1" x14ac:dyDescent="0.35">
      <c r="A2135" t="s">
        <v>12834</v>
      </c>
      <c r="B2135" t="s">
        <v>138</v>
      </c>
      <c r="C2135" s="1">
        <v>44370</v>
      </c>
      <c r="G2135" s="1">
        <v>44372</v>
      </c>
      <c r="H2135" t="s">
        <v>125</v>
      </c>
      <c r="I2135" t="s">
        <v>4978</v>
      </c>
      <c r="J2135" t="s">
        <v>3936</v>
      </c>
      <c r="L2135" t="s">
        <v>2292</v>
      </c>
      <c r="M2135" t="s">
        <v>4984</v>
      </c>
      <c r="O2135" t="s">
        <v>4694</v>
      </c>
      <c r="P2135" t="s">
        <v>256</v>
      </c>
      <c r="Q2135" s="3">
        <v>65653</v>
      </c>
      <c r="R2135" t="s">
        <v>128</v>
      </c>
      <c r="T2135" s="4">
        <v>14175466337</v>
      </c>
      <c r="V2135" t="s">
        <v>4981</v>
      </c>
      <c r="W2135" t="s">
        <v>4982</v>
      </c>
      <c r="X2135" t="s">
        <v>10359</v>
      </c>
      <c r="Y2135" t="s">
        <v>4984</v>
      </c>
      <c r="AA2135" t="s">
        <v>4694</v>
      </c>
      <c r="AB2135" t="s">
        <v>258</v>
      </c>
      <c r="AC2135" s="3" t="str">
        <f>"65653"</f>
        <v>65653</v>
      </c>
      <c r="AD2135" t="s">
        <v>128</v>
      </c>
      <c r="AF2135" s="4">
        <v>14175466337</v>
      </c>
      <c r="AH2135" t="str">
        <f>"623110"</f>
        <v>623110</v>
      </c>
      <c r="AI2135" t="s">
        <v>130</v>
      </c>
      <c r="AJ2135" t="s">
        <v>4323</v>
      </c>
      <c r="AK2135" t="s">
        <v>4324</v>
      </c>
      <c r="AL2135" t="s">
        <v>4325</v>
      </c>
      <c r="AM2135" t="s">
        <v>4326</v>
      </c>
      <c r="AN2135" t="s">
        <v>788</v>
      </c>
      <c r="AO2135" t="s">
        <v>4859</v>
      </c>
      <c r="AP2135" t="s">
        <v>263</v>
      </c>
      <c r="AQ2135" s="5">
        <v>60555</v>
      </c>
      <c r="AR2135" t="s">
        <v>128</v>
      </c>
      <c r="AT2135" s="4">
        <v>17733661214</v>
      </c>
      <c r="AV2135" t="s">
        <v>4328</v>
      </c>
      <c r="AW2135" t="s">
        <v>4329</v>
      </c>
      <c r="AX2135" t="s">
        <v>131</v>
      </c>
      <c r="AY2135" t="s">
        <v>131</v>
      </c>
      <c r="AZ2135" t="s">
        <v>131</v>
      </c>
      <c r="BA2135" t="s">
        <v>131</v>
      </c>
      <c r="BB2135" t="s">
        <v>131</v>
      </c>
      <c r="BC2135" t="s">
        <v>131</v>
      </c>
      <c r="BD2135" t="s">
        <v>131</v>
      </c>
      <c r="BE2135" t="s">
        <v>132</v>
      </c>
      <c r="BH2135" t="s">
        <v>230</v>
      </c>
      <c r="BI2135" t="s">
        <v>131</v>
      </c>
      <c r="BL2135" t="s">
        <v>307</v>
      </c>
      <c r="BN2135" t="s">
        <v>604</v>
      </c>
      <c r="BO2135" t="s">
        <v>131</v>
      </c>
      <c r="BP2135" t="s">
        <v>134</v>
      </c>
      <c r="BQ2135" t="s">
        <v>131</v>
      </c>
      <c r="BS2135" t="str">
        <f t="shared" si="125"/>
        <v>N/A</v>
      </c>
      <c r="BT2135" t="s">
        <v>131</v>
      </c>
      <c r="BV2135" t="str">
        <f>""</f>
        <v/>
      </c>
      <c r="BW2135" t="s">
        <v>135</v>
      </c>
      <c r="BX2135" t="str">
        <f>""</f>
        <v/>
      </c>
      <c r="BY2135" t="str">
        <f>""</f>
        <v/>
      </c>
      <c r="BZ2135" t="str">
        <f>""</f>
        <v/>
      </c>
      <c r="CA2135" t="str">
        <f>"CANDIDATES MUST HAVE AT LEAST ONE OF THE FOLLOWING:
1. A FULL UNRESTRICTED LICENSE TO PRACTICE IN THE STATE OF INTENDED EMPLOYMENT; OR,
2. A CGFNS CERTIFICATE; OR, 
3. PROOF OF PASSING THE NCLEX-RN EXAMINATION."</f>
        <v>CANDIDATES MUST HAVE AT LEAST ONE OF THE FOLLOWING:
1. A FULL UNRESTRICTED LICENSE TO PRACTICE IN THE STATE OF INTENDED EMPLOYMENT; OR,
2. A CGFNS CERTIFICATE; OR, 
3. PROOF OF PASSING THE NCLEX-RN EXAMINATION.</v>
      </c>
      <c r="CB2135" t="s">
        <v>131</v>
      </c>
      <c r="CF2135" t="s">
        <v>131</v>
      </c>
      <c r="CH2135" t="str">
        <f>""</f>
        <v/>
      </c>
      <c r="CI2135" t="s">
        <v>131</v>
      </c>
      <c r="CK2135" t="s">
        <v>131</v>
      </c>
      <c r="CL2135" t="str">
        <f>""</f>
        <v/>
      </c>
      <c r="CM2135" t="str">
        <f>""</f>
        <v/>
      </c>
      <c r="CN2135" t="str">
        <f>""</f>
        <v/>
      </c>
      <c r="CO2135" t="str">
        <f>""</f>
        <v/>
      </c>
      <c r="CP2135" t="str">
        <f>"29-1141.00"</f>
        <v>29-1141.00</v>
      </c>
      <c r="CQ2135" t="s">
        <v>232</v>
      </c>
      <c r="CR2135" t="s">
        <v>1037</v>
      </c>
      <c r="CS2135" t="s">
        <v>131</v>
      </c>
      <c r="CU2135" t="s">
        <v>4984</v>
      </c>
      <c r="CW2135" t="s">
        <v>4694</v>
      </c>
      <c r="CX2135" t="s">
        <v>258</v>
      </c>
      <c r="CZ2135" s="3" t="str">
        <f>"65653"</f>
        <v>65653</v>
      </c>
      <c r="DA2135" t="s">
        <v>131</v>
      </c>
      <c r="DB2135" t="str">
        <f>""</f>
        <v/>
      </c>
      <c r="DF2135" t="str">
        <f>""</f>
        <v/>
      </c>
    </row>
    <row r="2136" spans="1:110" ht="15" customHeight="1" x14ac:dyDescent="0.35">
      <c r="A2136" t="s">
        <v>6852</v>
      </c>
      <c r="B2136" t="s">
        <v>138</v>
      </c>
      <c r="C2136" s="1">
        <v>44370</v>
      </c>
      <c r="G2136" s="1">
        <v>44370</v>
      </c>
      <c r="H2136" t="s">
        <v>125</v>
      </c>
      <c r="I2136" t="s">
        <v>6853</v>
      </c>
      <c r="J2136" t="s">
        <v>1811</v>
      </c>
      <c r="L2136" t="s">
        <v>6854</v>
      </c>
      <c r="M2136" t="s">
        <v>6855</v>
      </c>
      <c r="O2136" t="s">
        <v>6856</v>
      </c>
      <c r="P2136" t="s">
        <v>441</v>
      </c>
      <c r="Q2136" s="3">
        <v>45342</v>
      </c>
      <c r="R2136" t="s">
        <v>128</v>
      </c>
      <c r="T2136" s="4">
        <v>19376894159</v>
      </c>
      <c r="V2136" t="s">
        <v>6857</v>
      </c>
      <c r="W2136" t="s">
        <v>6858</v>
      </c>
      <c r="X2136" t="s">
        <v>6859</v>
      </c>
      <c r="Y2136" t="s">
        <v>6855</v>
      </c>
      <c r="AA2136" t="s">
        <v>6856</v>
      </c>
      <c r="AB2136" t="s">
        <v>444</v>
      </c>
      <c r="AC2136" s="3" t="str">
        <f>"45342"</f>
        <v>45342</v>
      </c>
      <c r="AD2136" t="s">
        <v>128</v>
      </c>
      <c r="AF2136" s="4">
        <v>19378984724</v>
      </c>
      <c r="AH2136" t="str">
        <f>"517312"</f>
        <v>517312</v>
      </c>
      <c r="AI2136" t="s">
        <v>130</v>
      </c>
      <c r="AJ2136" t="s">
        <v>6860</v>
      </c>
      <c r="AK2136" t="s">
        <v>4744</v>
      </c>
      <c r="AM2136" t="s">
        <v>6861</v>
      </c>
      <c r="AN2136" t="s">
        <v>6862</v>
      </c>
      <c r="AO2136" t="s">
        <v>3890</v>
      </c>
      <c r="AP2136" t="s">
        <v>444</v>
      </c>
      <c r="AQ2136" s="5">
        <v>45402</v>
      </c>
      <c r="AR2136" t="s">
        <v>128</v>
      </c>
      <c r="AT2136" s="4">
        <v>19376848890</v>
      </c>
      <c r="AV2136" t="s">
        <v>6863</v>
      </c>
      <c r="AW2136" t="s">
        <v>6864</v>
      </c>
      <c r="AX2136" t="s">
        <v>131</v>
      </c>
      <c r="AY2136" t="s">
        <v>131</v>
      </c>
      <c r="AZ2136" t="s">
        <v>131</v>
      </c>
      <c r="BA2136" t="s">
        <v>131</v>
      </c>
      <c r="BB2136" t="s">
        <v>131</v>
      </c>
      <c r="BC2136" t="s">
        <v>131</v>
      </c>
      <c r="BD2136" t="s">
        <v>131</v>
      </c>
      <c r="BE2136" t="s">
        <v>132</v>
      </c>
      <c r="BH2136" t="s">
        <v>6865</v>
      </c>
      <c r="BI2136" t="s">
        <v>135</v>
      </c>
      <c r="BJ2136" t="s">
        <v>6866</v>
      </c>
      <c r="BK2136" t="s">
        <v>6867</v>
      </c>
      <c r="BL2136" t="s">
        <v>188</v>
      </c>
      <c r="BN2136" t="s">
        <v>6868</v>
      </c>
      <c r="BO2136" t="s">
        <v>131</v>
      </c>
      <c r="BP2136" t="s">
        <v>134</v>
      </c>
      <c r="BQ2136" t="s">
        <v>131</v>
      </c>
      <c r="BS2136" t="str">
        <f t="shared" si="125"/>
        <v>N/A</v>
      </c>
      <c r="BT2136" t="s">
        <v>135</v>
      </c>
      <c r="BU2136">
        <v>120</v>
      </c>
      <c r="BV2136" t="str">
        <f>"10+ years’ experience in the design and development of Cellular Interdiction products and operation practices required. 
"</f>
        <v xml:space="preserve">10+ years’ experience in the design and development of Cellular Interdiction products and operation practices required. 
</v>
      </c>
      <c r="BW2136" t="s">
        <v>135</v>
      </c>
      <c r="BX2136" t="str">
        <f>""</f>
        <v/>
      </c>
      <c r="BY2136" t="str">
        <f>""</f>
        <v/>
      </c>
      <c r="BZ2136" t="str">
        <f>""</f>
        <v/>
      </c>
      <c r="CA2136" s="2" t="s">
        <v>6869</v>
      </c>
      <c r="CB2136" t="s">
        <v>131</v>
      </c>
      <c r="CF2136" t="s">
        <v>131</v>
      </c>
      <c r="CH2136" t="str">
        <f>""</f>
        <v/>
      </c>
      <c r="CI2136" t="s">
        <v>131</v>
      </c>
      <c r="CK2136" t="s">
        <v>131</v>
      </c>
      <c r="CL2136" t="str">
        <f>""</f>
        <v/>
      </c>
      <c r="CM2136" t="str">
        <f>""</f>
        <v/>
      </c>
      <c r="CN2136" t="str">
        <f>""</f>
        <v/>
      </c>
      <c r="CO2136" t="str">
        <f>""</f>
        <v/>
      </c>
      <c r="CP2136" t="str">
        <f>"11-1021.00"</f>
        <v>11-1021.00</v>
      </c>
      <c r="CQ2136" t="s">
        <v>1296</v>
      </c>
      <c r="CR2136" t="s">
        <v>583</v>
      </c>
      <c r="CS2136" t="s">
        <v>131</v>
      </c>
      <c r="CU2136" t="s">
        <v>6855</v>
      </c>
      <c r="CW2136" t="s">
        <v>6856</v>
      </c>
      <c r="CX2136" t="s">
        <v>444</v>
      </c>
      <c r="CZ2136" s="3" t="str">
        <f>"45342"</f>
        <v>45342</v>
      </c>
      <c r="DA2136" t="s">
        <v>131</v>
      </c>
      <c r="DB2136" t="str">
        <f>""</f>
        <v/>
      </c>
      <c r="DF2136" t="str">
        <f>""</f>
        <v/>
      </c>
    </row>
    <row r="2137" spans="1:110" ht="15" customHeight="1" x14ac:dyDescent="0.35">
      <c r="A2137" t="s">
        <v>12964</v>
      </c>
      <c r="B2137" t="s">
        <v>138</v>
      </c>
      <c r="C2137" s="1">
        <v>44370</v>
      </c>
      <c r="G2137" s="1">
        <v>44372</v>
      </c>
      <c r="H2137" t="s">
        <v>125</v>
      </c>
      <c r="I2137" t="s">
        <v>1966</v>
      </c>
      <c r="J2137" t="s">
        <v>3706</v>
      </c>
      <c r="L2137" t="s">
        <v>2292</v>
      </c>
      <c r="M2137" t="s">
        <v>11745</v>
      </c>
      <c r="O2137" t="s">
        <v>8963</v>
      </c>
      <c r="P2137" t="s">
        <v>256</v>
      </c>
      <c r="Q2137" s="3">
        <v>65251</v>
      </c>
      <c r="R2137" t="s">
        <v>128</v>
      </c>
      <c r="T2137" s="4">
        <v>15736420202</v>
      </c>
      <c r="V2137" t="s">
        <v>8964</v>
      </c>
      <c r="W2137" t="s">
        <v>11744</v>
      </c>
      <c r="X2137" t="s">
        <v>8965</v>
      </c>
      <c r="Y2137" t="s">
        <v>8966</v>
      </c>
      <c r="AA2137" t="s">
        <v>8963</v>
      </c>
      <c r="AB2137" t="s">
        <v>258</v>
      </c>
      <c r="AC2137" s="3" t="str">
        <f>"65251"</f>
        <v>65251</v>
      </c>
      <c r="AD2137" t="s">
        <v>128</v>
      </c>
      <c r="AF2137" s="4">
        <v>15736420202</v>
      </c>
      <c r="AH2137" t="str">
        <f>"623110"</f>
        <v>623110</v>
      </c>
      <c r="AI2137" t="s">
        <v>130</v>
      </c>
      <c r="AJ2137" t="s">
        <v>4323</v>
      </c>
      <c r="AK2137" t="s">
        <v>4324</v>
      </c>
      <c r="AL2137" t="s">
        <v>4325</v>
      </c>
      <c r="AM2137" t="s">
        <v>4326</v>
      </c>
      <c r="AN2137" t="s">
        <v>788</v>
      </c>
      <c r="AO2137" t="s">
        <v>4859</v>
      </c>
      <c r="AP2137" t="s">
        <v>263</v>
      </c>
      <c r="AQ2137" s="5">
        <v>60555</v>
      </c>
      <c r="AR2137" t="s">
        <v>128</v>
      </c>
      <c r="AT2137" s="4">
        <v>17733661214</v>
      </c>
      <c r="AV2137" t="s">
        <v>4328</v>
      </c>
      <c r="AW2137" t="s">
        <v>4329</v>
      </c>
      <c r="AX2137" t="s">
        <v>131</v>
      </c>
      <c r="AY2137" t="s">
        <v>131</v>
      </c>
      <c r="AZ2137" t="s">
        <v>131</v>
      </c>
      <c r="BA2137" t="s">
        <v>131</v>
      </c>
      <c r="BB2137" t="s">
        <v>131</v>
      </c>
      <c r="BC2137" t="s">
        <v>131</v>
      </c>
      <c r="BD2137" t="s">
        <v>131</v>
      </c>
      <c r="BE2137" t="s">
        <v>132</v>
      </c>
      <c r="BH2137" t="s">
        <v>230</v>
      </c>
      <c r="BI2137" t="s">
        <v>131</v>
      </c>
      <c r="BL2137" t="s">
        <v>307</v>
      </c>
      <c r="BN2137" t="s">
        <v>604</v>
      </c>
      <c r="BO2137" t="s">
        <v>131</v>
      </c>
      <c r="BP2137" t="s">
        <v>134</v>
      </c>
      <c r="BQ2137" t="s">
        <v>131</v>
      </c>
      <c r="BS2137" t="str">
        <f t="shared" si="125"/>
        <v>N/A</v>
      </c>
      <c r="BT2137" t="s">
        <v>131</v>
      </c>
      <c r="BV2137" t="str">
        <f>""</f>
        <v/>
      </c>
      <c r="BW2137" t="s">
        <v>135</v>
      </c>
      <c r="BX2137" t="str">
        <f>"CANDIDATES MUST HAVE AT LEAST ONE OF THE FOLLOWING:
1. A FULL UNRESTRICTED LICENSE TO PRACTICE IN THE STATE OF INTENDED EMPLOYMENT; OR, 
2. A CGFNS CERTIFICATE; OR, 
3. PROOF OF PASSING THE NCLEX-RN EXAMINATION."</f>
        <v>CANDIDATES MUST HAVE AT LEAST ONE OF THE FOLLOWING:
1. A FULL UNRESTRICTED LICENSE TO PRACTICE IN THE STATE OF INTENDED EMPLOYMENT; OR, 
2. A CGFNS CERTIFICATE; OR, 
3. PROOF OF PASSING THE NCLEX-RN EXAMINATION.</v>
      </c>
      <c r="BY2137" t="str">
        <f>""</f>
        <v/>
      </c>
      <c r="BZ2137" t="str">
        <f>""</f>
        <v/>
      </c>
      <c r="CA2137" t="str">
        <f>"CANDIDATES MUST HAVE AT LEAST ONE OF THE FOLLOWING:
1. A FULL UNRESTRICTED LICENSE TO PRACTICE IN THE STATE OF INTENDED EMPLOYMENT; OR, 
2. A CGFNS CERTIFICATE; OR, 
3. PROOF OF PASSING THE NCLEX-RN EXAMINATION."</f>
        <v>CANDIDATES MUST HAVE AT LEAST ONE OF THE FOLLOWING:
1. A FULL UNRESTRICTED LICENSE TO PRACTICE IN THE STATE OF INTENDED EMPLOYMENT; OR, 
2. A CGFNS CERTIFICATE; OR, 
3. PROOF OF PASSING THE NCLEX-RN EXAMINATION.</v>
      </c>
      <c r="CB2137" t="s">
        <v>131</v>
      </c>
      <c r="CF2137" t="s">
        <v>131</v>
      </c>
      <c r="CH2137" t="str">
        <f>""</f>
        <v/>
      </c>
      <c r="CI2137" t="s">
        <v>131</v>
      </c>
      <c r="CK2137" t="s">
        <v>131</v>
      </c>
      <c r="CL2137" t="str">
        <f>""</f>
        <v/>
      </c>
      <c r="CM2137" t="str">
        <f>""</f>
        <v/>
      </c>
      <c r="CN2137" t="str">
        <f>""</f>
        <v/>
      </c>
      <c r="CO2137" t="str">
        <f>""</f>
        <v/>
      </c>
      <c r="CP2137" t="str">
        <f>"29-1141.00"</f>
        <v>29-1141.00</v>
      </c>
      <c r="CQ2137" t="s">
        <v>232</v>
      </c>
      <c r="CR2137" t="s">
        <v>1037</v>
      </c>
      <c r="CS2137" t="s">
        <v>131</v>
      </c>
      <c r="CU2137" t="s">
        <v>8966</v>
      </c>
      <c r="CW2137" t="s">
        <v>8963</v>
      </c>
      <c r="CX2137" t="s">
        <v>258</v>
      </c>
      <c r="CZ2137" s="3" t="str">
        <f>"65251"</f>
        <v>65251</v>
      </c>
      <c r="DA2137" t="s">
        <v>131</v>
      </c>
      <c r="DB2137" t="str">
        <f>""</f>
        <v/>
      </c>
      <c r="DF2137" t="str">
        <f>""</f>
        <v/>
      </c>
    </row>
    <row r="2138" spans="1:110" ht="15" customHeight="1" x14ac:dyDescent="0.35">
      <c r="A2138" t="s">
        <v>14903</v>
      </c>
      <c r="B2138" t="s">
        <v>138</v>
      </c>
      <c r="C2138" s="1">
        <v>44370</v>
      </c>
      <c r="G2138" s="1">
        <v>44370</v>
      </c>
      <c r="H2138" t="s">
        <v>125</v>
      </c>
      <c r="I2138" t="s">
        <v>2520</v>
      </c>
      <c r="J2138" t="s">
        <v>10663</v>
      </c>
      <c r="L2138" t="s">
        <v>460</v>
      </c>
      <c r="M2138" t="s">
        <v>14904</v>
      </c>
      <c r="O2138" t="s">
        <v>3559</v>
      </c>
      <c r="P2138" t="s">
        <v>412</v>
      </c>
      <c r="Q2138" s="3">
        <v>78415</v>
      </c>
      <c r="R2138" t="s">
        <v>128</v>
      </c>
      <c r="T2138" s="4">
        <v>13618556096</v>
      </c>
      <c r="V2138" t="s">
        <v>14905</v>
      </c>
      <c r="W2138" t="s">
        <v>14906</v>
      </c>
      <c r="Y2138" t="s">
        <v>14904</v>
      </c>
      <c r="AA2138" t="s">
        <v>3559</v>
      </c>
      <c r="AB2138" t="s">
        <v>400</v>
      </c>
      <c r="AC2138" s="3" t="str">
        <f>"78415"</f>
        <v>78415</v>
      </c>
      <c r="AD2138" t="s">
        <v>128</v>
      </c>
      <c r="AF2138" s="4">
        <v>13618556096</v>
      </c>
      <c r="AH2138" t="str">
        <f>"722511"</f>
        <v>722511</v>
      </c>
      <c r="AI2138" t="s">
        <v>130</v>
      </c>
      <c r="AJ2138" t="s">
        <v>2520</v>
      </c>
      <c r="AK2138" t="s">
        <v>12275</v>
      </c>
      <c r="AL2138" t="s">
        <v>4071</v>
      </c>
      <c r="AM2138" t="s">
        <v>12276</v>
      </c>
      <c r="AN2138" t="s">
        <v>12277</v>
      </c>
      <c r="AO2138" t="s">
        <v>885</v>
      </c>
      <c r="AP2138" t="s">
        <v>400</v>
      </c>
      <c r="AQ2138" s="5">
        <v>77036</v>
      </c>
      <c r="AR2138" t="s">
        <v>128</v>
      </c>
      <c r="AT2138" s="4">
        <v>12812243835</v>
      </c>
      <c r="AV2138" t="s">
        <v>12278</v>
      </c>
      <c r="AW2138" t="s">
        <v>12279</v>
      </c>
      <c r="AX2138" t="s">
        <v>131</v>
      </c>
      <c r="AY2138" t="s">
        <v>131</v>
      </c>
      <c r="AZ2138" t="s">
        <v>131</v>
      </c>
      <c r="BA2138" t="s">
        <v>131</v>
      </c>
      <c r="BB2138" t="s">
        <v>131</v>
      </c>
      <c r="BC2138" t="s">
        <v>131</v>
      </c>
      <c r="BD2138" t="s">
        <v>131</v>
      </c>
      <c r="BE2138" t="s">
        <v>132</v>
      </c>
      <c r="BH2138" t="s">
        <v>14907</v>
      </c>
      <c r="BI2138" t="s">
        <v>131</v>
      </c>
      <c r="BL2138" t="s">
        <v>167</v>
      </c>
      <c r="BO2138" t="s">
        <v>131</v>
      </c>
      <c r="BP2138" t="s">
        <v>134</v>
      </c>
      <c r="BQ2138" t="s">
        <v>131</v>
      </c>
      <c r="BS2138" t="str">
        <f t="shared" si="125"/>
        <v>N/A</v>
      </c>
      <c r="BT2138" t="s">
        <v>135</v>
      </c>
      <c r="BU2138">
        <v>12</v>
      </c>
      <c r="BV2138" t="str">
        <f>"Food Chef or Cook"</f>
        <v>Food Chef or Cook</v>
      </c>
      <c r="BW2138" t="s">
        <v>135</v>
      </c>
      <c r="BX2138" t="str">
        <f>""</f>
        <v/>
      </c>
      <c r="BY2138" t="str">
        <f>""</f>
        <v/>
      </c>
      <c r="BZ2138" t="str">
        <f>""</f>
        <v/>
      </c>
      <c r="CA2138" t="str">
        <f>"Must have 1 year of experience in the exact job described."</f>
        <v>Must have 1 year of experience in the exact job described.</v>
      </c>
      <c r="CB2138" t="s">
        <v>131</v>
      </c>
      <c r="CF2138" t="s">
        <v>131</v>
      </c>
      <c r="CH2138" t="str">
        <f>""</f>
        <v/>
      </c>
      <c r="CI2138" t="s">
        <v>131</v>
      </c>
      <c r="CK2138" t="s">
        <v>131</v>
      </c>
      <c r="CL2138" t="str">
        <f>""</f>
        <v/>
      </c>
      <c r="CM2138" t="str">
        <f>""</f>
        <v/>
      </c>
      <c r="CN2138" t="str">
        <f>""</f>
        <v/>
      </c>
      <c r="CO2138" t="str">
        <f>""</f>
        <v/>
      </c>
      <c r="CP2138" t="str">
        <f>"35-2014.00"</f>
        <v>35-2014.00</v>
      </c>
      <c r="CQ2138" t="s">
        <v>581</v>
      </c>
      <c r="CR2138" t="s">
        <v>5496</v>
      </c>
      <c r="CS2138" t="s">
        <v>131</v>
      </c>
      <c r="CU2138" t="s">
        <v>14904</v>
      </c>
      <c r="CW2138" t="s">
        <v>3559</v>
      </c>
      <c r="CX2138" t="s">
        <v>400</v>
      </c>
      <c r="CZ2138" s="3" t="str">
        <f>"78415"</f>
        <v>78415</v>
      </c>
      <c r="DA2138" t="s">
        <v>131</v>
      </c>
      <c r="DB2138" t="str">
        <f>""</f>
        <v/>
      </c>
      <c r="DF2138" t="str">
        <f>""</f>
        <v/>
      </c>
    </row>
    <row r="2139" spans="1:110" ht="15" customHeight="1" x14ac:dyDescent="0.35">
      <c r="A2139" t="s">
        <v>13205</v>
      </c>
      <c r="B2139" t="s">
        <v>138</v>
      </c>
      <c r="C2139" s="1">
        <v>44370</v>
      </c>
      <c r="G2139" s="1">
        <v>44372</v>
      </c>
      <c r="H2139" t="s">
        <v>125</v>
      </c>
      <c r="I2139" t="s">
        <v>2068</v>
      </c>
      <c r="J2139" t="s">
        <v>1846</v>
      </c>
      <c r="K2139" t="s">
        <v>2314</v>
      </c>
      <c r="L2139" t="s">
        <v>9427</v>
      </c>
      <c r="M2139" t="s">
        <v>13206</v>
      </c>
      <c r="O2139" t="s">
        <v>12936</v>
      </c>
      <c r="P2139" t="s">
        <v>539</v>
      </c>
      <c r="Q2139" s="3">
        <v>60035</v>
      </c>
      <c r="R2139" t="s">
        <v>128</v>
      </c>
      <c r="T2139" s="4">
        <v>18472744465</v>
      </c>
      <c r="V2139" t="s">
        <v>13207</v>
      </c>
      <c r="W2139" t="s">
        <v>13208</v>
      </c>
      <c r="Y2139" t="s">
        <v>13209</v>
      </c>
      <c r="AA2139" t="s">
        <v>12936</v>
      </c>
      <c r="AB2139" t="s">
        <v>263</v>
      </c>
      <c r="AC2139" s="3" t="str">
        <f>"60035"</f>
        <v>60035</v>
      </c>
      <c r="AD2139" t="s">
        <v>128</v>
      </c>
      <c r="AF2139" s="4">
        <v>18477800275</v>
      </c>
      <c r="AH2139" t="str">
        <f>"541511"</f>
        <v>541511</v>
      </c>
      <c r="AI2139" t="s">
        <v>130</v>
      </c>
      <c r="AJ2139" t="s">
        <v>4452</v>
      </c>
      <c r="AK2139" t="s">
        <v>1468</v>
      </c>
      <c r="AL2139" t="s">
        <v>739</v>
      </c>
      <c r="AM2139" t="s">
        <v>3182</v>
      </c>
      <c r="AN2139" t="s">
        <v>656</v>
      </c>
      <c r="AO2139" t="s">
        <v>642</v>
      </c>
      <c r="AP2139" t="s">
        <v>643</v>
      </c>
      <c r="AQ2139" s="5">
        <v>30309</v>
      </c>
      <c r="AR2139" t="s">
        <v>128</v>
      </c>
      <c r="AT2139" s="4">
        <v>14048565527</v>
      </c>
      <c r="AV2139" t="s">
        <v>4453</v>
      </c>
      <c r="AW2139" t="s">
        <v>386</v>
      </c>
      <c r="AX2139" t="s">
        <v>131</v>
      </c>
      <c r="AY2139" t="s">
        <v>131</v>
      </c>
      <c r="AZ2139" t="s">
        <v>131</v>
      </c>
      <c r="BA2139" t="s">
        <v>131</v>
      </c>
      <c r="BB2139" t="s">
        <v>131</v>
      </c>
      <c r="BC2139" t="s">
        <v>131</v>
      </c>
      <c r="BD2139" t="s">
        <v>131</v>
      </c>
      <c r="BE2139" t="s">
        <v>132</v>
      </c>
      <c r="BH2139" t="s">
        <v>13210</v>
      </c>
      <c r="BI2139" t="s">
        <v>131</v>
      </c>
      <c r="BL2139" t="s">
        <v>401</v>
      </c>
      <c r="BO2139" t="s">
        <v>131</v>
      </c>
      <c r="BP2139" t="s">
        <v>134</v>
      </c>
      <c r="BQ2139" t="s">
        <v>131</v>
      </c>
      <c r="BS2139" t="str">
        <f t="shared" si="125"/>
        <v>N/A</v>
      </c>
      <c r="BT2139" t="s">
        <v>135</v>
      </c>
      <c r="BU2139">
        <v>60</v>
      </c>
      <c r="BV2139" t="str">
        <f>"Any occupation in which required experience was gained."</f>
        <v>Any occupation in which required experience was gained.</v>
      </c>
      <c r="BW2139" t="s">
        <v>135</v>
      </c>
      <c r="BX2139" t="str">
        <f>""</f>
        <v/>
      </c>
      <c r="BY2139" t="str">
        <f>""</f>
        <v/>
      </c>
      <c r="BZ2139" t="str">
        <f>""</f>
        <v/>
      </c>
      <c r="CA2139" t="s">
        <v>13211</v>
      </c>
      <c r="CB2139" t="s">
        <v>131</v>
      </c>
      <c r="CF2139" t="s">
        <v>131</v>
      </c>
      <c r="CH2139" t="str">
        <f>""</f>
        <v/>
      </c>
      <c r="CI2139" t="s">
        <v>131</v>
      </c>
      <c r="CK2139" t="s">
        <v>131</v>
      </c>
      <c r="CL2139" t="str">
        <f>""</f>
        <v/>
      </c>
      <c r="CM2139" t="str">
        <f>""</f>
        <v/>
      </c>
      <c r="CN2139" t="str">
        <f>""</f>
        <v/>
      </c>
      <c r="CO2139" t="str">
        <f>""</f>
        <v/>
      </c>
      <c r="CP2139" t="str">
        <f>"15-1142.00"</f>
        <v>15-1142.00</v>
      </c>
      <c r="CQ2139" t="s">
        <v>960</v>
      </c>
      <c r="CR2139" t="s">
        <v>13212</v>
      </c>
      <c r="CS2139" t="s">
        <v>135</v>
      </c>
      <c r="CT2139" t="s">
        <v>13213</v>
      </c>
      <c r="CU2139" t="s">
        <v>13214</v>
      </c>
      <c r="CW2139" t="s">
        <v>12936</v>
      </c>
      <c r="CX2139" t="s">
        <v>263</v>
      </c>
      <c r="CZ2139" s="3" t="str">
        <f>"60035"</f>
        <v>60035</v>
      </c>
      <c r="DA2139" t="s">
        <v>131</v>
      </c>
      <c r="DB2139" t="str">
        <f>""</f>
        <v/>
      </c>
      <c r="DF2139" t="str">
        <f>""</f>
        <v/>
      </c>
    </row>
    <row r="2140" spans="1:110" ht="15" customHeight="1" x14ac:dyDescent="0.35">
      <c r="A2140" t="s">
        <v>14536</v>
      </c>
      <c r="B2140" t="s">
        <v>138</v>
      </c>
      <c r="C2140" s="1">
        <v>44370</v>
      </c>
      <c r="G2140" s="1">
        <v>44377</v>
      </c>
      <c r="H2140" t="s">
        <v>125</v>
      </c>
      <c r="I2140" t="s">
        <v>8555</v>
      </c>
      <c r="J2140" t="s">
        <v>14537</v>
      </c>
      <c r="L2140" t="s">
        <v>349</v>
      </c>
      <c r="M2140" t="s">
        <v>14538</v>
      </c>
      <c r="N2140" t="s">
        <v>698</v>
      </c>
      <c r="O2140" t="s">
        <v>3891</v>
      </c>
      <c r="P2140" t="s">
        <v>826</v>
      </c>
      <c r="Q2140" s="3">
        <v>20878</v>
      </c>
      <c r="R2140" t="s">
        <v>128</v>
      </c>
      <c r="T2140" s="4">
        <v>12404548458</v>
      </c>
      <c r="V2140" t="s">
        <v>14539</v>
      </c>
      <c r="W2140" t="s">
        <v>14540</v>
      </c>
      <c r="Y2140" t="s">
        <v>14538</v>
      </c>
      <c r="Z2140" t="s">
        <v>698</v>
      </c>
      <c r="AA2140" t="s">
        <v>3891</v>
      </c>
      <c r="AB2140" t="s">
        <v>382</v>
      </c>
      <c r="AC2140" s="3" t="str">
        <f>"20878"</f>
        <v>20878</v>
      </c>
      <c r="AD2140" t="s">
        <v>128</v>
      </c>
      <c r="AF2140" s="4">
        <v>13019476523</v>
      </c>
      <c r="AH2140" t="str">
        <f>"5417"</f>
        <v>5417</v>
      </c>
      <c r="AI2140" t="s">
        <v>130</v>
      </c>
      <c r="AJ2140" t="s">
        <v>4452</v>
      </c>
      <c r="AK2140" t="s">
        <v>1468</v>
      </c>
      <c r="AL2140" t="s">
        <v>739</v>
      </c>
      <c r="AM2140" t="s">
        <v>3182</v>
      </c>
      <c r="AN2140" t="s">
        <v>656</v>
      </c>
      <c r="AO2140" t="s">
        <v>642</v>
      </c>
      <c r="AP2140" t="s">
        <v>643</v>
      </c>
      <c r="AQ2140" s="5">
        <v>30309</v>
      </c>
      <c r="AR2140" t="s">
        <v>128</v>
      </c>
      <c r="AT2140" s="4">
        <v>14048565527</v>
      </c>
      <c r="AV2140" t="s">
        <v>4453</v>
      </c>
      <c r="AW2140" t="s">
        <v>386</v>
      </c>
      <c r="AX2140" t="s">
        <v>131</v>
      </c>
      <c r="AY2140" t="s">
        <v>131</v>
      </c>
      <c r="AZ2140" t="s">
        <v>131</v>
      </c>
      <c r="BA2140" t="s">
        <v>131</v>
      </c>
      <c r="BB2140" t="s">
        <v>131</v>
      </c>
      <c r="BC2140" t="s">
        <v>131</v>
      </c>
      <c r="BD2140" t="s">
        <v>131</v>
      </c>
      <c r="BE2140" t="s">
        <v>132</v>
      </c>
      <c r="BH2140" t="s">
        <v>14541</v>
      </c>
      <c r="BI2140" t="s">
        <v>135</v>
      </c>
      <c r="BJ2140" t="s">
        <v>14542</v>
      </c>
      <c r="BK2140" t="s">
        <v>10937</v>
      </c>
      <c r="BL2140" t="s">
        <v>188</v>
      </c>
      <c r="BN2140" t="s">
        <v>14543</v>
      </c>
      <c r="BO2140" t="s">
        <v>131</v>
      </c>
      <c r="BP2140" t="s">
        <v>134</v>
      </c>
      <c r="BQ2140" t="s">
        <v>131</v>
      </c>
      <c r="BS2140" t="str">
        <f t="shared" si="125"/>
        <v>N/A</v>
      </c>
      <c r="BT2140" t="s">
        <v>131</v>
      </c>
      <c r="BV2140" t="str">
        <f>""</f>
        <v/>
      </c>
      <c r="BW2140" t="s">
        <v>135</v>
      </c>
      <c r="BX2140" t="str">
        <f>""</f>
        <v/>
      </c>
      <c r="BY2140" t="str">
        <f>""</f>
        <v/>
      </c>
      <c r="BZ2140" t="str">
        <f>""</f>
        <v/>
      </c>
      <c r="CA2140" t="s">
        <v>14544</v>
      </c>
      <c r="CB2140" t="s">
        <v>131</v>
      </c>
      <c r="CF2140" t="s">
        <v>131</v>
      </c>
      <c r="CH2140" t="str">
        <f>""</f>
        <v/>
      </c>
      <c r="CI2140" t="s">
        <v>131</v>
      </c>
      <c r="CK2140" t="s">
        <v>131</v>
      </c>
      <c r="CL2140" t="str">
        <f>""</f>
        <v/>
      </c>
      <c r="CM2140" t="str">
        <f>""</f>
        <v/>
      </c>
      <c r="CN2140" t="str">
        <f>""</f>
        <v/>
      </c>
      <c r="CO2140" t="str">
        <f>""</f>
        <v/>
      </c>
      <c r="CP2140" t="str">
        <f>"19-1029.02"</f>
        <v>19-1029.02</v>
      </c>
      <c r="CQ2140" t="s">
        <v>4429</v>
      </c>
      <c r="CR2140" t="s">
        <v>14545</v>
      </c>
      <c r="CS2140" t="s">
        <v>131</v>
      </c>
      <c r="CU2140" t="s">
        <v>14538</v>
      </c>
      <c r="CV2140" t="s">
        <v>698</v>
      </c>
      <c r="CW2140" t="s">
        <v>3891</v>
      </c>
      <c r="CX2140" t="s">
        <v>382</v>
      </c>
      <c r="CZ2140" s="3" t="str">
        <f>"20878"</f>
        <v>20878</v>
      </c>
      <c r="DA2140" t="s">
        <v>131</v>
      </c>
      <c r="DB2140" t="str">
        <f>""</f>
        <v/>
      </c>
      <c r="DF2140" t="str">
        <f>""</f>
        <v/>
      </c>
    </row>
    <row r="2141" spans="1:110" ht="15" customHeight="1" x14ac:dyDescent="0.35">
      <c r="A2141" t="s">
        <v>6170</v>
      </c>
      <c r="B2141" t="s">
        <v>138</v>
      </c>
      <c r="C2141" s="1">
        <v>44370</v>
      </c>
      <c r="G2141" s="1">
        <v>44370</v>
      </c>
      <c r="H2141" t="s">
        <v>125</v>
      </c>
      <c r="I2141" t="s">
        <v>6171</v>
      </c>
      <c r="J2141" t="s">
        <v>6172</v>
      </c>
      <c r="L2141" t="s">
        <v>771</v>
      </c>
      <c r="M2141" t="s">
        <v>6173</v>
      </c>
      <c r="O2141" t="s">
        <v>1513</v>
      </c>
      <c r="P2141" t="s">
        <v>412</v>
      </c>
      <c r="Q2141" s="3">
        <v>75247</v>
      </c>
      <c r="R2141" t="s">
        <v>128</v>
      </c>
      <c r="T2141" s="4">
        <v>12145664399</v>
      </c>
      <c r="V2141" t="s">
        <v>6174</v>
      </c>
      <c r="W2141" t="s">
        <v>6175</v>
      </c>
      <c r="X2141" t="s">
        <v>6176</v>
      </c>
      <c r="Y2141" t="s">
        <v>6173</v>
      </c>
      <c r="AA2141" t="s">
        <v>1513</v>
      </c>
      <c r="AB2141" t="s">
        <v>400</v>
      </c>
      <c r="AC2141" s="3" t="str">
        <f>"75247"</f>
        <v>75247</v>
      </c>
      <c r="AD2141" t="s">
        <v>128</v>
      </c>
      <c r="AF2141" s="4">
        <v>19722512610</v>
      </c>
      <c r="AH2141" t="str">
        <f>"44531"</f>
        <v>44531</v>
      </c>
      <c r="AI2141" t="s">
        <v>130</v>
      </c>
      <c r="AJ2141" t="s">
        <v>6177</v>
      </c>
      <c r="AK2141" t="s">
        <v>6178</v>
      </c>
      <c r="AL2141" t="s">
        <v>6179</v>
      </c>
      <c r="AM2141" t="s">
        <v>6180</v>
      </c>
      <c r="AN2141" t="s">
        <v>6181</v>
      </c>
      <c r="AO2141" t="s">
        <v>3818</v>
      </c>
      <c r="AP2141" t="s">
        <v>400</v>
      </c>
      <c r="AQ2141" s="5">
        <v>75062</v>
      </c>
      <c r="AR2141" t="s">
        <v>128</v>
      </c>
      <c r="AT2141" s="4">
        <v>14694409444</v>
      </c>
      <c r="AV2141" t="s">
        <v>6182</v>
      </c>
      <c r="AW2141" t="s">
        <v>6183</v>
      </c>
      <c r="AX2141" t="s">
        <v>131</v>
      </c>
      <c r="AY2141" t="s">
        <v>131</v>
      </c>
      <c r="AZ2141" t="s">
        <v>131</v>
      </c>
      <c r="BA2141" t="s">
        <v>131</v>
      </c>
      <c r="BB2141" t="s">
        <v>131</v>
      </c>
      <c r="BC2141" t="s">
        <v>131</v>
      </c>
      <c r="BD2141" t="s">
        <v>131</v>
      </c>
      <c r="BE2141" t="s">
        <v>132</v>
      </c>
      <c r="BH2141" t="s">
        <v>460</v>
      </c>
      <c r="BI2141" t="s">
        <v>135</v>
      </c>
      <c r="BJ2141" t="s">
        <v>6184</v>
      </c>
      <c r="BK2141" t="s">
        <v>5621</v>
      </c>
      <c r="BL2141" t="s">
        <v>401</v>
      </c>
      <c r="BO2141" t="s">
        <v>131</v>
      </c>
      <c r="BP2141" t="s">
        <v>134</v>
      </c>
      <c r="BQ2141" t="s">
        <v>131</v>
      </c>
      <c r="BS2141" t="str">
        <f t="shared" si="125"/>
        <v>N/A</v>
      </c>
      <c r="BT2141" t="s">
        <v>131</v>
      </c>
      <c r="BV2141" t="str">
        <f>""</f>
        <v/>
      </c>
      <c r="BW2141" t="s">
        <v>131</v>
      </c>
      <c r="BX2141" t="str">
        <f>""</f>
        <v/>
      </c>
      <c r="BY2141" t="str">
        <f>""</f>
        <v/>
      </c>
      <c r="BZ2141" t="str">
        <f>""</f>
        <v/>
      </c>
      <c r="CA2141" t="str">
        <f>""</f>
        <v/>
      </c>
      <c r="CB2141" t="s">
        <v>131</v>
      </c>
      <c r="CF2141" t="s">
        <v>131</v>
      </c>
      <c r="CH2141" t="str">
        <f>""</f>
        <v/>
      </c>
      <c r="CI2141" t="s">
        <v>131</v>
      </c>
      <c r="CK2141" t="s">
        <v>131</v>
      </c>
      <c r="CL2141" t="str">
        <f>""</f>
        <v/>
      </c>
      <c r="CM2141" t="str">
        <f>""</f>
        <v/>
      </c>
      <c r="CN2141" t="str">
        <f>""</f>
        <v/>
      </c>
      <c r="CO2141" t="str">
        <f>""</f>
        <v/>
      </c>
      <c r="CP2141" t="str">
        <f>"11-9199.00"</f>
        <v>11-9199.00</v>
      </c>
      <c r="CQ2141" t="s">
        <v>2827</v>
      </c>
      <c r="CR2141" t="s">
        <v>1105</v>
      </c>
      <c r="CS2141" t="s">
        <v>131</v>
      </c>
      <c r="CU2141" t="s">
        <v>6185</v>
      </c>
      <c r="CW2141" t="s">
        <v>3818</v>
      </c>
      <c r="CX2141" t="s">
        <v>400</v>
      </c>
      <c r="CZ2141" s="3" t="str">
        <f>"75060"</f>
        <v>75060</v>
      </c>
      <c r="DA2141" t="s">
        <v>131</v>
      </c>
      <c r="DB2141" t="str">
        <f>""</f>
        <v/>
      </c>
      <c r="DF2141" t="str">
        <f>""</f>
        <v/>
      </c>
    </row>
    <row r="2142" spans="1:110" ht="15" customHeight="1" x14ac:dyDescent="0.35">
      <c r="A2142" t="s">
        <v>16881</v>
      </c>
      <c r="B2142" t="s">
        <v>138</v>
      </c>
      <c r="C2142" s="1">
        <v>44370</v>
      </c>
      <c r="G2142" s="1">
        <v>44377</v>
      </c>
      <c r="H2142" t="s">
        <v>125</v>
      </c>
      <c r="I2142" t="s">
        <v>14847</v>
      </c>
      <c r="J2142" t="s">
        <v>8342</v>
      </c>
      <c r="K2142" t="s">
        <v>2126</v>
      </c>
      <c r="L2142" t="s">
        <v>16882</v>
      </c>
      <c r="M2142" t="s">
        <v>883</v>
      </c>
      <c r="N2142" t="s">
        <v>884</v>
      </c>
      <c r="O2142" t="s">
        <v>885</v>
      </c>
      <c r="P2142" t="s">
        <v>412</v>
      </c>
      <c r="Q2142" s="3">
        <v>77046</v>
      </c>
      <c r="R2142" t="s">
        <v>128</v>
      </c>
      <c r="T2142" s="4">
        <v>18324260305</v>
      </c>
      <c r="V2142" t="s">
        <v>14849</v>
      </c>
      <c r="W2142" t="s">
        <v>14846</v>
      </c>
      <c r="Y2142" t="s">
        <v>14845</v>
      </c>
      <c r="AA2142" t="s">
        <v>2832</v>
      </c>
      <c r="AB2142" t="s">
        <v>400</v>
      </c>
      <c r="AC2142" s="3" t="str">
        <f>"77077"</f>
        <v>77077</v>
      </c>
      <c r="AD2142" t="s">
        <v>128</v>
      </c>
      <c r="AF2142" s="4">
        <v>18324864729</v>
      </c>
      <c r="AH2142" t="str">
        <f>"213112"</f>
        <v>213112</v>
      </c>
      <c r="AI2142" t="s">
        <v>130</v>
      </c>
      <c r="AJ2142" t="s">
        <v>14847</v>
      </c>
      <c r="AK2142" t="s">
        <v>8342</v>
      </c>
      <c r="AL2142" t="s">
        <v>14848</v>
      </c>
      <c r="AM2142" t="s">
        <v>883</v>
      </c>
      <c r="AN2142" t="s">
        <v>884</v>
      </c>
      <c r="AO2142" t="s">
        <v>885</v>
      </c>
      <c r="AP2142" t="s">
        <v>400</v>
      </c>
      <c r="AQ2142" s="5">
        <v>77046</v>
      </c>
      <c r="AR2142" t="s">
        <v>128</v>
      </c>
      <c r="AT2142" s="4">
        <v>18324260305</v>
      </c>
      <c r="AV2142" t="s">
        <v>14849</v>
      </c>
      <c r="AW2142" t="s">
        <v>886</v>
      </c>
      <c r="AX2142" t="s">
        <v>131</v>
      </c>
      <c r="AY2142" t="s">
        <v>131</v>
      </c>
      <c r="AZ2142" t="s">
        <v>131</v>
      </c>
      <c r="BA2142" t="s">
        <v>131</v>
      </c>
      <c r="BB2142" t="s">
        <v>131</v>
      </c>
      <c r="BC2142" t="s">
        <v>131</v>
      </c>
      <c r="BD2142" t="s">
        <v>131</v>
      </c>
      <c r="BE2142" t="s">
        <v>132</v>
      </c>
      <c r="BH2142" t="s">
        <v>14850</v>
      </c>
      <c r="BI2142" t="s">
        <v>131</v>
      </c>
      <c r="BL2142" t="s">
        <v>133</v>
      </c>
      <c r="BN2142" t="s">
        <v>2834</v>
      </c>
      <c r="BO2142" t="s">
        <v>131</v>
      </c>
      <c r="BP2142" t="s">
        <v>134</v>
      </c>
      <c r="BQ2142" t="s">
        <v>131</v>
      </c>
      <c r="BS2142" t="str">
        <f t="shared" si="125"/>
        <v>N/A</v>
      </c>
      <c r="BT2142" t="s">
        <v>135</v>
      </c>
      <c r="BU2142">
        <v>48</v>
      </c>
      <c r="BV2142" t="str">
        <f>"Please refer to F.b.5 for complete details"</f>
        <v>Please refer to F.b.5 for complete details</v>
      </c>
      <c r="BW2142" t="s">
        <v>135</v>
      </c>
      <c r="BX2142" t="str">
        <f>""</f>
        <v/>
      </c>
      <c r="BY2142" t="str">
        <f>""</f>
        <v/>
      </c>
      <c r="BZ2142" t="str">
        <f>""</f>
        <v/>
      </c>
      <c r="CA2142" s="2" t="s">
        <v>16883</v>
      </c>
      <c r="CB2142" t="s">
        <v>131</v>
      </c>
      <c r="CF2142" t="s">
        <v>131</v>
      </c>
      <c r="CH2142" t="str">
        <f>""</f>
        <v/>
      </c>
      <c r="CI2142" t="s">
        <v>131</v>
      </c>
      <c r="CK2142" t="s">
        <v>131</v>
      </c>
      <c r="CL2142" t="str">
        <f>""</f>
        <v/>
      </c>
      <c r="CM2142" t="str">
        <f>""</f>
        <v/>
      </c>
      <c r="CN2142" t="str">
        <f>""</f>
        <v/>
      </c>
      <c r="CO2142" t="str">
        <f>""</f>
        <v/>
      </c>
      <c r="CP2142" t="str">
        <f>"17-2141.00"</f>
        <v>17-2141.00</v>
      </c>
      <c r="CQ2142" t="s">
        <v>518</v>
      </c>
      <c r="CR2142" t="s">
        <v>14851</v>
      </c>
      <c r="CS2142" t="s">
        <v>135</v>
      </c>
      <c r="CT2142" t="s">
        <v>14852</v>
      </c>
      <c r="CU2142" t="s">
        <v>14845</v>
      </c>
      <c r="CW2142" t="s">
        <v>2832</v>
      </c>
      <c r="CX2142" t="s">
        <v>400</v>
      </c>
      <c r="CZ2142" s="3" t="str">
        <f>"77077"</f>
        <v>77077</v>
      </c>
      <c r="DA2142" t="s">
        <v>131</v>
      </c>
      <c r="DB2142" t="str">
        <f>""</f>
        <v/>
      </c>
      <c r="DF2142" t="str">
        <f>""</f>
        <v/>
      </c>
    </row>
    <row r="2143" spans="1:110" ht="15" customHeight="1" x14ac:dyDescent="0.35">
      <c r="A2143" t="s">
        <v>13170</v>
      </c>
      <c r="B2143" t="s">
        <v>138</v>
      </c>
      <c r="C2143" s="1">
        <v>44370</v>
      </c>
      <c r="G2143" s="1">
        <v>44371</v>
      </c>
      <c r="H2143" t="s">
        <v>125</v>
      </c>
      <c r="I2143" t="s">
        <v>139</v>
      </c>
      <c r="J2143" t="s">
        <v>140</v>
      </c>
      <c r="L2143" t="s">
        <v>141</v>
      </c>
      <c r="M2143" t="s">
        <v>142</v>
      </c>
      <c r="O2143" t="s">
        <v>143</v>
      </c>
      <c r="P2143" t="s">
        <v>144</v>
      </c>
      <c r="Q2143" s="3">
        <v>98052</v>
      </c>
      <c r="R2143" t="s">
        <v>128</v>
      </c>
      <c r="T2143" s="4">
        <v>14255383872</v>
      </c>
      <c r="U2143">
        <v>8387</v>
      </c>
      <c r="V2143" t="s">
        <v>145</v>
      </c>
      <c r="W2143" t="s">
        <v>146</v>
      </c>
      <c r="X2143" t="s">
        <v>134</v>
      </c>
      <c r="Y2143" t="s">
        <v>147</v>
      </c>
      <c r="Z2143" t="s">
        <v>134</v>
      </c>
      <c r="AA2143" t="s">
        <v>148</v>
      </c>
      <c r="AB2143" t="s">
        <v>149</v>
      </c>
      <c r="AC2143" s="3" t="str">
        <f>"98052"</f>
        <v>98052</v>
      </c>
      <c r="AD2143" t="s">
        <v>128</v>
      </c>
      <c r="AE2143" t="s">
        <v>134</v>
      </c>
      <c r="AF2143" s="4">
        <v>14258828080</v>
      </c>
      <c r="AH2143" t="str">
        <f>"5112"</f>
        <v>5112</v>
      </c>
      <c r="AI2143" t="s">
        <v>130</v>
      </c>
      <c r="AJ2143" t="s">
        <v>150</v>
      </c>
      <c r="AK2143" t="s">
        <v>151</v>
      </c>
      <c r="AM2143" t="s">
        <v>5354</v>
      </c>
      <c r="AN2143" t="s">
        <v>590</v>
      </c>
      <c r="AO2143" t="s">
        <v>241</v>
      </c>
      <c r="AQ2143" s="5" t="s">
        <v>155</v>
      </c>
      <c r="AR2143" t="s">
        <v>156</v>
      </c>
      <c r="AS2143" t="s">
        <v>243</v>
      </c>
      <c r="AT2143" s="4">
        <v>16046486785</v>
      </c>
      <c r="AV2143" t="s">
        <v>158</v>
      </c>
      <c r="AW2143" t="s">
        <v>159</v>
      </c>
      <c r="AX2143" t="s">
        <v>131</v>
      </c>
      <c r="AY2143" t="s">
        <v>131</v>
      </c>
      <c r="AZ2143" t="s">
        <v>131</v>
      </c>
      <c r="BA2143" t="s">
        <v>131</v>
      </c>
      <c r="BB2143" t="s">
        <v>131</v>
      </c>
      <c r="BC2143" t="s">
        <v>131</v>
      </c>
      <c r="BD2143" t="s">
        <v>131</v>
      </c>
      <c r="BE2143" t="s">
        <v>132</v>
      </c>
      <c r="BH2143" t="s">
        <v>2256</v>
      </c>
      <c r="BI2143" t="s">
        <v>131</v>
      </c>
      <c r="BL2143" t="s">
        <v>133</v>
      </c>
      <c r="BN2143" t="s">
        <v>3273</v>
      </c>
      <c r="BO2143" t="s">
        <v>131</v>
      </c>
      <c r="BP2143" t="s">
        <v>134</v>
      </c>
      <c r="BQ2143" t="s">
        <v>131</v>
      </c>
      <c r="BS2143" t="str">
        <f t="shared" si="125"/>
        <v>N/A</v>
      </c>
      <c r="BT2143" t="s">
        <v>135</v>
      </c>
      <c r="BU2143">
        <v>36</v>
      </c>
      <c r="BV2143" t="str">
        <f>"Any computer related occupation"</f>
        <v>Any computer related occupation</v>
      </c>
      <c r="BW2143" t="s">
        <v>135</v>
      </c>
      <c r="BX2143" t="str">
        <f>""</f>
        <v/>
      </c>
      <c r="BY2143" t="str">
        <f>""</f>
        <v/>
      </c>
      <c r="BZ2143" t="str">
        <f>""</f>
        <v/>
      </c>
      <c r="CA2143" s="2" t="s">
        <v>13171</v>
      </c>
      <c r="CB2143" t="s">
        <v>131</v>
      </c>
      <c r="CF2143" t="s">
        <v>131</v>
      </c>
      <c r="CH2143" t="str">
        <f>""</f>
        <v/>
      </c>
      <c r="CI2143" t="s">
        <v>131</v>
      </c>
      <c r="CK2143" t="s">
        <v>131</v>
      </c>
      <c r="CL2143" t="str">
        <f>""</f>
        <v/>
      </c>
      <c r="CM2143" t="str">
        <f>""</f>
        <v/>
      </c>
      <c r="CN2143" t="str">
        <f>""</f>
        <v/>
      </c>
      <c r="CO2143" t="str">
        <f>""</f>
        <v/>
      </c>
      <c r="CP2143" t="str">
        <f>"15-1132.00"</f>
        <v>15-1132.00</v>
      </c>
      <c r="CQ2143" t="s">
        <v>198</v>
      </c>
      <c r="CR2143" t="s">
        <v>13172</v>
      </c>
      <c r="CS2143" t="s">
        <v>131</v>
      </c>
      <c r="CU2143" t="s">
        <v>142</v>
      </c>
      <c r="CW2143" t="s">
        <v>143</v>
      </c>
      <c r="CX2143" t="s">
        <v>149</v>
      </c>
      <c r="CZ2143" s="3" t="str">
        <f>"98052"</f>
        <v>98052</v>
      </c>
      <c r="DA2143" t="s">
        <v>131</v>
      </c>
      <c r="DB2143" t="str">
        <f>""</f>
        <v/>
      </c>
      <c r="DF2143" t="str">
        <f>""</f>
        <v/>
      </c>
    </row>
    <row r="2144" spans="1:110" ht="15" customHeight="1" x14ac:dyDescent="0.35">
      <c r="A2144" t="s">
        <v>13741</v>
      </c>
      <c r="B2144" t="s">
        <v>138</v>
      </c>
      <c r="C2144" s="1">
        <v>44370</v>
      </c>
      <c r="G2144" s="1">
        <v>44371</v>
      </c>
      <c r="H2144" t="s">
        <v>125</v>
      </c>
      <c r="I2144" t="s">
        <v>139</v>
      </c>
      <c r="J2144" t="s">
        <v>140</v>
      </c>
      <c r="L2144" t="s">
        <v>141</v>
      </c>
      <c r="M2144" t="s">
        <v>142</v>
      </c>
      <c r="O2144" t="s">
        <v>143</v>
      </c>
      <c r="P2144" t="s">
        <v>144</v>
      </c>
      <c r="Q2144" s="3">
        <v>98052</v>
      </c>
      <c r="R2144" t="s">
        <v>128</v>
      </c>
      <c r="T2144" s="4">
        <v>14255383872</v>
      </c>
      <c r="U2144">
        <v>8387</v>
      </c>
      <c r="V2144" t="s">
        <v>145</v>
      </c>
      <c r="W2144" t="s">
        <v>146</v>
      </c>
      <c r="X2144" t="s">
        <v>134</v>
      </c>
      <c r="Y2144" t="s">
        <v>147</v>
      </c>
      <c r="Z2144" t="s">
        <v>134</v>
      </c>
      <c r="AA2144" t="s">
        <v>148</v>
      </c>
      <c r="AB2144" t="s">
        <v>149</v>
      </c>
      <c r="AC2144" s="3" t="str">
        <f>"98052"</f>
        <v>98052</v>
      </c>
      <c r="AD2144" t="s">
        <v>128</v>
      </c>
      <c r="AE2144" t="s">
        <v>134</v>
      </c>
      <c r="AF2144" s="4">
        <v>14258828080</v>
      </c>
      <c r="AH2144" t="str">
        <f>"5112"</f>
        <v>5112</v>
      </c>
      <c r="AI2144" t="s">
        <v>130</v>
      </c>
      <c r="AJ2144" t="s">
        <v>150</v>
      </c>
      <c r="AK2144" t="s">
        <v>151</v>
      </c>
      <c r="AM2144" t="s">
        <v>5354</v>
      </c>
      <c r="AN2144" t="s">
        <v>590</v>
      </c>
      <c r="AO2144" t="s">
        <v>241</v>
      </c>
      <c r="AQ2144" s="5" t="s">
        <v>155</v>
      </c>
      <c r="AR2144" t="s">
        <v>156</v>
      </c>
      <c r="AS2144" t="s">
        <v>243</v>
      </c>
      <c r="AT2144" s="4">
        <v>16046486785</v>
      </c>
      <c r="AV2144" t="s">
        <v>158</v>
      </c>
      <c r="AW2144" t="s">
        <v>159</v>
      </c>
      <c r="AX2144" t="s">
        <v>131</v>
      </c>
      <c r="AY2144" t="s">
        <v>131</v>
      </c>
      <c r="AZ2144" t="s">
        <v>131</v>
      </c>
      <c r="BA2144" t="s">
        <v>131</v>
      </c>
      <c r="BB2144" t="s">
        <v>131</v>
      </c>
      <c r="BC2144" t="s">
        <v>131</v>
      </c>
      <c r="BD2144" t="s">
        <v>131</v>
      </c>
      <c r="BE2144" t="s">
        <v>132</v>
      </c>
      <c r="BH2144" t="s">
        <v>2256</v>
      </c>
      <c r="BI2144" t="s">
        <v>131</v>
      </c>
      <c r="BL2144" t="s">
        <v>133</v>
      </c>
      <c r="BN2144" t="s">
        <v>3273</v>
      </c>
      <c r="BO2144" t="s">
        <v>131</v>
      </c>
      <c r="BP2144" t="s">
        <v>134</v>
      </c>
      <c r="BQ2144" t="s">
        <v>131</v>
      </c>
      <c r="BS2144" t="str">
        <f t="shared" si="125"/>
        <v>N/A</v>
      </c>
      <c r="BT2144" t="s">
        <v>135</v>
      </c>
      <c r="BU2144">
        <v>24</v>
      </c>
      <c r="BV2144" t="str">
        <f>"Any computer related occupation"</f>
        <v>Any computer related occupation</v>
      </c>
      <c r="BW2144" t="s">
        <v>135</v>
      </c>
      <c r="BX2144" t="str">
        <f>""</f>
        <v/>
      </c>
      <c r="BY2144" t="str">
        <f>""</f>
        <v/>
      </c>
      <c r="BZ2144" t="str">
        <f>""</f>
        <v/>
      </c>
      <c r="CA2144" s="2" t="s">
        <v>13742</v>
      </c>
      <c r="CB2144" t="s">
        <v>131</v>
      </c>
      <c r="CF2144" t="s">
        <v>131</v>
      </c>
      <c r="CH2144" t="str">
        <f>""</f>
        <v/>
      </c>
      <c r="CI2144" t="s">
        <v>131</v>
      </c>
      <c r="CK2144" t="s">
        <v>131</v>
      </c>
      <c r="CL2144" t="str">
        <f>""</f>
        <v/>
      </c>
      <c r="CM2144" t="str">
        <f>""</f>
        <v/>
      </c>
      <c r="CN2144" t="str">
        <f>""</f>
        <v/>
      </c>
      <c r="CO2144" t="str">
        <f>""</f>
        <v/>
      </c>
      <c r="CP2144" t="str">
        <f>"15-1132.00"</f>
        <v>15-1132.00</v>
      </c>
      <c r="CQ2144" t="s">
        <v>198</v>
      </c>
      <c r="CR2144" t="s">
        <v>3322</v>
      </c>
      <c r="CS2144" t="s">
        <v>131</v>
      </c>
      <c r="CU2144" t="s">
        <v>142</v>
      </c>
      <c r="CW2144" t="s">
        <v>143</v>
      </c>
      <c r="CX2144" t="s">
        <v>149</v>
      </c>
      <c r="CZ2144" s="3" t="str">
        <f>"98052"</f>
        <v>98052</v>
      </c>
      <c r="DA2144" t="s">
        <v>131</v>
      </c>
      <c r="DB2144" t="str">
        <f>""</f>
        <v/>
      </c>
      <c r="DF2144" t="str">
        <f>""</f>
        <v/>
      </c>
    </row>
    <row r="2145" spans="1:110" ht="15" customHeight="1" x14ac:dyDescent="0.35">
      <c r="A2145" t="s">
        <v>19467</v>
      </c>
      <c r="B2145" t="s">
        <v>138</v>
      </c>
      <c r="C2145" s="1">
        <v>44370</v>
      </c>
      <c r="G2145" s="1">
        <v>44370</v>
      </c>
      <c r="H2145" t="s">
        <v>125</v>
      </c>
      <c r="I2145" t="s">
        <v>1616</v>
      </c>
      <c r="J2145" t="s">
        <v>2793</v>
      </c>
      <c r="L2145" t="s">
        <v>2794</v>
      </c>
      <c r="M2145" t="s">
        <v>2795</v>
      </c>
      <c r="O2145" t="s">
        <v>2796</v>
      </c>
      <c r="P2145" t="s">
        <v>178</v>
      </c>
      <c r="Q2145" s="3">
        <v>92656</v>
      </c>
      <c r="R2145" t="s">
        <v>128</v>
      </c>
      <c r="T2145" s="4">
        <v>19495332644</v>
      </c>
      <c r="V2145" t="s">
        <v>2797</v>
      </c>
      <c r="W2145" t="s">
        <v>2798</v>
      </c>
      <c r="Y2145" t="s">
        <v>2795</v>
      </c>
      <c r="AA2145" t="s">
        <v>2796</v>
      </c>
      <c r="AB2145" t="s">
        <v>172</v>
      </c>
      <c r="AC2145" s="3" t="str">
        <f>"92656"</f>
        <v>92656</v>
      </c>
      <c r="AD2145" t="s">
        <v>128</v>
      </c>
      <c r="AF2145" s="4">
        <v>19495332644</v>
      </c>
      <c r="AH2145" t="str">
        <f>"54151"</f>
        <v>54151</v>
      </c>
      <c r="AI2145" t="s">
        <v>130</v>
      </c>
      <c r="AJ2145" t="s">
        <v>1931</v>
      </c>
      <c r="AK2145" t="s">
        <v>1932</v>
      </c>
      <c r="AM2145" t="s">
        <v>1934</v>
      </c>
      <c r="AO2145" t="s">
        <v>1077</v>
      </c>
      <c r="AP2145" t="s">
        <v>172</v>
      </c>
      <c r="AQ2145" s="5">
        <v>90703</v>
      </c>
      <c r="AR2145" t="s">
        <v>128</v>
      </c>
      <c r="AT2145" s="4">
        <v>15622291220</v>
      </c>
      <c r="AV2145" t="s">
        <v>1935</v>
      </c>
      <c r="AW2145" t="s">
        <v>2799</v>
      </c>
      <c r="AX2145" t="s">
        <v>131</v>
      </c>
      <c r="AY2145" t="s">
        <v>131</v>
      </c>
      <c r="AZ2145" t="s">
        <v>131</v>
      </c>
      <c r="BA2145" t="s">
        <v>131</v>
      </c>
      <c r="BB2145" t="s">
        <v>131</v>
      </c>
      <c r="BC2145" t="s">
        <v>131</v>
      </c>
      <c r="BD2145" t="s">
        <v>131</v>
      </c>
      <c r="BE2145" t="s">
        <v>132</v>
      </c>
      <c r="BH2145" t="s">
        <v>19468</v>
      </c>
      <c r="BI2145" t="s">
        <v>131</v>
      </c>
      <c r="BL2145" t="s">
        <v>133</v>
      </c>
      <c r="BN2145" t="s">
        <v>11639</v>
      </c>
      <c r="BO2145" t="s">
        <v>131</v>
      </c>
      <c r="BP2145" t="s">
        <v>134</v>
      </c>
      <c r="BQ2145" t="s">
        <v>131</v>
      </c>
      <c r="BS2145" t="str">
        <f t="shared" si="125"/>
        <v>N/A</v>
      </c>
      <c r="BT2145" t="s">
        <v>135</v>
      </c>
      <c r="BU2145">
        <v>24</v>
      </c>
      <c r="BV2145" t="str">
        <f>"Test Analyst or related occupation"</f>
        <v>Test Analyst or related occupation</v>
      </c>
      <c r="BW2145" t="s">
        <v>135</v>
      </c>
      <c r="BX2145" t="str">
        <f>""</f>
        <v/>
      </c>
      <c r="BY2145" t="str">
        <f>""</f>
        <v/>
      </c>
      <c r="BZ2145" t="str">
        <f>""</f>
        <v/>
      </c>
      <c r="CA2145" s="2" t="s">
        <v>2800</v>
      </c>
      <c r="CB2145" t="s">
        <v>135</v>
      </c>
      <c r="CC2145" t="s">
        <v>658</v>
      </c>
      <c r="CD2145" t="s">
        <v>2801</v>
      </c>
      <c r="CE2145" t="s">
        <v>11639</v>
      </c>
      <c r="CF2145" t="s">
        <v>131</v>
      </c>
      <c r="CH2145" t="str">
        <f>"N/A"</f>
        <v>N/A</v>
      </c>
      <c r="CI2145" t="s">
        <v>135</v>
      </c>
      <c r="CJ2145">
        <v>36</v>
      </c>
      <c r="CK2145" t="s">
        <v>131</v>
      </c>
      <c r="CL2145" t="str">
        <f>""</f>
        <v/>
      </c>
      <c r="CM2145" t="str">
        <f>""</f>
        <v/>
      </c>
      <c r="CN2145" t="str">
        <f>""</f>
        <v/>
      </c>
      <c r="CO2145" t="str">
        <f>""</f>
        <v/>
      </c>
      <c r="CP2145" t="str">
        <f>"15-1121.00"</f>
        <v>15-1121.00</v>
      </c>
      <c r="CQ2145" t="s">
        <v>283</v>
      </c>
      <c r="CR2145" t="s">
        <v>19468</v>
      </c>
      <c r="CS2145" t="s">
        <v>135</v>
      </c>
      <c r="CT2145" t="e">
        <f>- TRAVEL AND/OR RELOCATE TO UNANTICIPATED CLIENT SITE LOCATIONS THROUGHOUT THE U.S. AS NEEDED BY THE COMPANY WITH EXPENSES PAID BY THE EMPLOYER.</f>
        <v>#NAME?</v>
      </c>
      <c r="CU2145" t="s">
        <v>2795</v>
      </c>
      <c r="CW2145" t="s">
        <v>2796</v>
      </c>
      <c r="CX2145" t="s">
        <v>172</v>
      </c>
      <c r="CZ2145" s="3" t="str">
        <f>"92656"</f>
        <v>92656</v>
      </c>
      <c r="DA2145" t="s">
        <v>131</v>
      </c>
      <c r="DB2145" t="str">
        <f>""</f>
        <v/>
      </c>
      <c r="DF2145" t="str">
        <f>""</f>
        <v/>
      </c>
    </row>
    <row r="2146" spans="1:110" ht="15" customHeight="1" x14ac:dyDescent="0.35">
      <c r="A2146" t="s">
        <v>17549</v>
      </c>
      <c r="B2146" t="s">
        <v>138</v>
      </c>
      <c r="C2146" s="1">
        <v>44370</v>
      </c>
      <c r="G2146" s="1">
        <v>44370</v>
      </c>
      <c r="H2146" t="s">
        <v>125</v>
      </c>
      <c r="I2146" t="s">
        <v>1616</v>
      </c>
      <c r="J2146" t="s">
        <v>2793</v>
      </c>
      <c r="L2146" t="s">
        <v>2794</v>
      </c>
      <c r="M2146" t="s">
        <v>2795</v>
      </c>
      <c r="O2146" t="s">
        <v>2796</v>
      </c>
      <c r="P2146" t="s">
        <v>178</v>
      </c>
      <c r="Q2146" s="3">
        <v>92656</v>
      </c>
      <c r="R2146" t="s">
        <v>128</v>
      </c>
      <c r="T2146" s="4">
        <v>19495332644</v>
      </c>
      <c r="V2146" t="s">
        <v>2797</v>
      </c>
      <c r="W2146" t="s">
        <v>2798</v>
      </c>
      <c r="Y2146" t="s">
        <v>2795</v>
      </c>
      <c r="AA2146" t="s">
        <v>2796</v>
      </c>
      <c r="AB2146" t="s">
        <v>172</v>
      </c>
      <c r="AC2146" s="3" t="str">
        <f>"92656"</f>
        <v>92656</v>
      </c>
      <c r="AD2146" t="s">
        <v>128</v>
      </c>
      <c r="AF2146" s="4">
        <v>19495332644</v>
      </c>
      <c r="AH2146" t="str">
        <f>"54151"</f>
        <v>54151</v>
      </c>
      <c r="AI2146" t="s">
        <v>130</v>
      </c>
      <c r="AJ2146" t="s">
        <v>1931</v>
      </c>
      <c r="AK2146" t="s">
        <v>1932</v>
      </c>
      <c r="AM2146" t="s">
        <v>1934</v>
      </c>
      <c r="AO2146" t="s">
        <v>1077</v>
      </c>
      <c r="AP2146" t="s">
        <v>172</v>
      </c>
      <c r="AQ2146" s="5">
        <v>90703</v>
      </c>
      <c r="AR2146" t="s">
        <v>128</v>
      </c>
      <c r="AT2146" s="4">
        <v>15622291220</v>
      </c>
      <c r="AV2146" t="s">
        <v>1935</v>
      </c>
      <c r="AW2146" t="s">
        <v>2799</v>
      </c>
      <c r="AX2146" t="s">
        <v>131</v>
      </c>
      <c r="AY2146" t="s">
        <v>131</v>
      </c>
      <c r="AZ2146" t="s">
        <v>131</v>
      </c>
      <c r="BA2146" t="s">
        <v>131</v>
      </c>
      <c r="BB2146" t="s">
        <v>131</v>
      </c>
      <c r="BC2146" t="s">
        <v>131</v>
      </c>
      <c r="BD2146" t="s">
        <v>131</v>
      </c>
      <c r="BE2146" t="s">
        <v>132</v>
      </c>
      <c r="BH2146" t="s">
        <v>1158</v>
      </c>
      <c r="BI2146" t="s">
        <v>135</v>
      </c>
      <c r="BJ2146" t="s">
        <v>17550</v>
      </c>
      <c r="BK2146" t="s">
        <v>17551</v>
      </c>
      <c r="BL2146" t="s">
        <v>133</v>
      </c>
      <c r="BN2146" t="s">
        <v>4313</v>
      </c>
      <c r="BO2146" t="s">
        <v>131</v>
      </c>
      <c r="BP2146" t="s">
        <v>134</v>
      </c>
      <c r="BQ2146" t="s">
        <v>131</v>
      </c>
      <c r="BS2146" t="str">
        <f t="shared" si="125"/>
        <v>N/A</v>
      </c>
      <c r="BT2146" t="s">
        <v>135</v>
      </c>
      <c r="BU2146">
        <v>24</v>
      </c>
      <c r="BV2146" t="str">
        <f>"Project Manager or related occupation"</f>
        <v>Project Manager or related occupation</v>
      </c>
      <c r="BW2146" t="s">
        <v>135</v>
      </c>
      <c r="BX2146" t="str">
        <f>""</f>
        <v/>
      </c>
      <c r="BY2146" t="str">
        <f>""</f>
        <v/>
      </c>
      <c r="BZ2146" t="str">
        <f>""</f>
        <v/>
      </c>
      <c r="CA2146" s="2" t="s">
        <v>2800</v>
      </c>
      <c r="CB2146" t="s">
        <v>135</v>
      </c>
      <c r="CC2146" t="s">
        <v>658</v>
      </c>
      <c r="CD2146" t="s">
        <v>2801</v>
      </c>
      <c r="CE2146" t="s">
        <v>4313</v>
      </c>
      <c r="CF2146" t="s">
        <v>131</v>
      </c>
      <c r="CH2146" t="str">
        <f>"N/A"</f>
        <v>N/A</v>
      </c>
      <c r="CI2146" t="s">
        <v>135</v>
      </c>
      <c r="CJ2146">
        <v>36</v>
      </c>
      <c r="CK2146" t="s">
        <v>131</v>
      </c>
      <c r="CL2146" t="str">
        <f>""</f>
        <v/>
      </c>
      <c r="CM2146" t="str">
        <f>""</f>
        <v/>
      </c>
      <c r="CN2146" t="str">
        <f>""</f>
        <v/>
      </c>
      <c r="CO2146" t="str">
        <f>""</f>
        <v/>
      </c>
      <c r="CP2146" t="str">
        <f>"11-3021.00"</f>
        <v>11-3021.00</v>
      </c>
      <c r="CQ2146" t="s">
        <v>598</v>
      </c>
      <c r="CR2146" t="s">
        <v>10388</v>
      </c>
      <c r="CS2146" t="s">
        <v>135</v>
      </c>
      <c r="CT2146" t="s">
        <v>3880</v>
      </c>
      <c r="CU2146" t="s">
        <v>2795</v>
      </c>
      <c r="CW2146" t="s">
        <v>2796</v>
      </c>
      <c r="CX2146" t="s">
        <v>172</v>
      </c>
      <c r="CZ2146" s="3" t="str">
        <f>"92656"</f>
        <v>92656</v>
      </c>
      <c r="DA2146" t="s">
        <v>131</v>
      </c>
      <c r="DB2146" t="str">
        <f>""</f>
        <v/>
      </c>
      <c r="DF2146" t="str">
        <f>""</f>
        <v/>
      </c>
    </row>
    <row r="2147" spans="1:110" ht="15" customHeight="1" x14ac:dyDescent="0.35">
      <c r="A2147" t="s">
        <v>20148</v>
      </c>
      <c r="B2147" t="s">
        <v>138</v>
      </c>
      <c r="C2147" s="1">
        <v>44371</v>
      </c>
      <c r="G2147" s="1">
        <v>44377</v>
      </c>
      <c r="H2147" t="s">
        <v>125</v>
      </c>
      <c r="I2147" t="s">
        <v>4555</v>
      </c>
      <c r="J2147" t="s">
        <v>4556</v>
      </c>
      <c r="L2147" t="s">
        <v>4557</v>
      </c>
      <c r="M2147" t="s">
        <v>4558</v>
      </c>
      <c r="N2147" t="s">
        <v>4559</v>
      </c>
      <c r="O2147" t="s">
        <v>707</v>
      </c>
      <c r="P2147" t="s">
        <v>248</v>
      </c>
      <c r="Q2147" s="3">
        <v>55402</v>
      </c>
      <c r="R2147" t="s">
        <v>128</v>
      </c>
      <c r="T2147" s="4">
        <v>14163133158</v>
      </c>
      <c r="V2147" t="s">
        <v>4560</v>
      </c>
      <c r="W2147" t="s">
        <v>4561</v>
      </c>
      <c r="Y2147" t="s">
        <v>4558</v>
      </c>
      <c r="Z2147" t="s">
        <v>4562</v>
      </c>
      <c r="AA2147" t="s">
        <v>707</v>
      </c>
      <c r="AB2147" t="s">
        <v>249</v>
      </c>
      <c r="AC2147" s="3" t="str">
        <f>"55402"</f>
        <v>55402</v>
      </c>
      <c r="AD2147" t="s">
        <v>128</v>
      </c>
      <c r="AF2147" s="4">
        <v>16123717256</v>
      </c>
      <c r="AH2147" t="str">
        <f>"52211"</f>
        <v>52211</v>
      </c>
      <c r="AI2147" t="s">
        <v>130</v>
      </c>
      <c r="AJ2147" t="s">
        <v>3691</v>
      </c>
      <c r="AK2147" t="s">
        <v>492</v>
      </c>
      <c r="AL2147" t="s">
        <v>387</v>
      </c>
      <c r="AM2147" t="s">
        <v>278</v>
      </c>
      <c r="AN2147" t="s">
        <v>279</v>
      </c>
      <c r="AO2147" t="s">
        <v>3692</v>
      </c>
      <c r="AQ2147" s="5" t="s">
        <v>280</v>
      </c>
      <c r="AR2147" t="s">
        <v>156</v>
      </c>
      <c r="AS2147" t="s">
        <v>216</v>
      </c>
      <c r="AT2147" s="4">
        <v>14169325208</v>
      </c>
      <c r="AV2147" t="s">
        <v>3693</v>
      </c>
      <c r="AW2147" t="s">
        <v>159</v>
      </c>
      <c r="AX2147" t="s">
        <v>131</v>
      </c>
      <c r="AY2147" t="s">
        <v>131</v>
      </c>
      <c r="AZ2147" t="s">
        <v>131</v>
      </c>
      <c r="BA2147" t="s">
        <v>131</v>
      </c>
      <c r="BB2147" t="s">
        <v>131</v>
      </c>
      <c r="BC2147" t="s">
        <v>131</v>
      </c>
      <c r="BD2147" t="s">
        <v>131</v>
      </c>
      <c r="BE2147" t="s">
        <v>132</v>
      </c>
      <c r="BH2147" t="s">
        <v>14709</v>
      </c>
      <c r="BI2147" t="s">
        <v>131</v>
      </c>
      <c r="BL2147" t="s">
        <v>133</v>
      </c>
      <c r="BN2147" t="s">
        <v>14710</v>
      </c>
      <c r="BO2147" t="s">
        <v>131</v>
      </c>
      <c r="BP2147" t="s">
        <v>134</v>
      </c>
      <c r="BQ2147" t="s">
        <v>131</v>
      </c>
      <c r="BS2147" t="str">
        <f t="shared" si="125"/>
        <v>N/A</v>
      </c>
      <c r="BT2147" t="s">
        <v>135</v>
      </c>
      <c r="BU2147">
        <v>84</v>
      </c>
      <c r="BV2147" t="str">
        <f>"quantitative modelling and data analysis"</f>
        <v>quantitative modelling and data analysis</v>
      </c>
      <c r="BW2147" t="s">
        <v>135</v>
      </c>
      <c r="BX2147" t="str">
        <f>""</f>
        <v/>
      </c>
      <c r="BY2147" t="str">
        <f>""</f>
        <v/>
      </c>
      <c r="BZ2147" t="str">
        <f>""</f>
        <v/>
      </c>
      <c r="CA2147" s="2" t="s">
        <v>20149</v>
      </c>
      <c r="CB2147" t="s">
        <v>131</v>
      </c>
      <c r="CF2147" t="s">
        <v>131</v>
      </c>
      <c r="CH2147" t="str">
        <f>""</f>
        <v/>
      </c>
      <c r="CI2147" t="s">
        <v>131</v>
      </c>
      <c r="CK2147" t="s">
        <v>131</v>
      </c>
      <c r="CL2147" t="str">
        <f>""</f>
        <v/>
      </c>
      <c r="CM2147" t="str">
        <f>""</f>
        <v/>
      </c>
      <c r="CN2147" t="str">
        <f>""</f>
        <v/>
      </c>
      <c r="CO2147" t="str">
        <f>""</f>
        <v/>
      </c>
      <c r="CP2147" t="str">
        <f>"13-2099.01"</f>
        <v>13-2099.01</v>
      </c>
      <c r="CQ2147" t="s">
        <v>552</v>
      </c>
      <c r="CR2147" t="s">
        <v>361</v>
      </c>
      <c r="CS2147" t="s">
        <v>135</v>
      </c>
      <c r="CT2147" t="s">
        <v>14711</v>
      </c>
      <c r="CU2147" t="s">
        <v>2087</v>
      </c>
      <c r="CW2147" t="s">
        <v>494</v>
      </c>
      <c r="CX2147" t="s">
        <v>129</v>
      </c>
      <c r="CZ2147" s="3" t="str">
        <f>"10281"</f>
        <v>10281</v>
      </c>
      <c r="DA2147" t="s">
        <v>131</v>
      </c>
      <c r="DB2147" t="str">
        <f>""</f>
        <v/>
      </c>
      <c r="DF2147" t="str">
        <f>""</f>
        <v/>
      </c>
    </row>
    <row r="2148" spans="1:110" ht="15" customHeight="1" x14ac:dyDescent="0.35">
      <c r="A2148" t="s">
        <v>19881</v>
      </c>
      <c r="B2148" t="s">
        <v>138</v>
      </c>
      <c r="C2148" s="1">
        <v>44371</v>
      </c>
      <c r="G2148" s="1">
        <v>44371</v>
      </c>
      <c r="H2148" t="s">
        <v>125</v>
      </c>
      <c r="I2148" t="s">
        <v>10371</v>
      </c>
      <c r="J2148" t="s">
        <v>19882</v>
      </c>
      <c r="L2148" t="s">
        <v>460</v>
      </c>
      <c r="M2148" t="s">
        <v>10372</v>
      </c>
      <c r="O2148" t="s">
        <v>363</v>
      </c>
      <c r="P2148" t="s">
        <v>273</v>
      </c>
      <c r="Q2148" s="3">
        <v>8854</v>
      </c>
      <c r="R2148" t="s">
        <v>128</v>
      </c>
      <c r="T2148" s="4">
        <v>17326400030</v>
      </c>
      <c r="V2148" t="s">
        <v>10373</v>
      </c>
      <c r="W2148" t="s">
        <v>19883</v>
      </c>
      <c r="Y2148" t="s">
        <v>10372</v>
      </c>
      <c r="AA2148" t="s">
        <v>19101</v>
      </c>
      <c r="AB2148" t="s">
        <v>276</v>
      </c>
      <c r="AC2148" s="3" t="str">
        <f>"08854"</f>
        <v>08854</v>
      </c>
      <c r="AD2148" t="s">
        <v>128</v>
      </c>
      <c r="AF2148" s="4">
        <v>17326400030</v>
      </c>
      <c r="AH2148" t="str">
        <f>"54171"</f>
        <v>54171</v>
      </c>
      <c r="AI2148" t="s">
        <v>130</v>
      </c>
      <c r="AJ2148" t="s">
        <v>3356</v>
      </c>
      <c r="AK2148" t="s">
        <v>9387</v>
      </c>
      <c r="AM2148" t="s">
        <v>9388</v>
      </c>
      <c r="AN2148" t="s">
        <v>5527</v>
      </c>
      <c r="AO2148" t="s">
        <v>1730</v>
      </c>
      <c r="AP2148" t="s">
        <v>276</v>
      </c>
      <c r="AQ2148" s="5">
        <v>8817</v>
      </c>
      <c r="AR2148" t="s">
        <v>128</v>
      </c>
      <c r="AT2148" s="4">
        <v>17328198839</v>
      </c>
      <c r="AV2148" t="s">
        <v>9389</v>
      </c>
      <c r="AW2148" t="s">
        <v>9390</v>
      </c>
      <c r="AX2148" t="s">
        <v>131</v>
      </c>
      <c r="AY2148" t="s">
        <v>131</v>
      </c>
      <c r="AZ2148" t="s">
        <v>131</v>
      </c>
      <c r="BA2148" t="s">
        <v>131</v>
      </c>
      <c r="BB2148" t="s">
        <v>131</v>
      </c>
      <c r="BC2148" t="s">
        <v>131</v>
      </c>
      <c r="BD2148" t="s">
        <v>131</v>
      </c>
      <c r="BE2148" t="s">
        <v>132</v>
      </c>
      <c r="BH2148" t="s">
        <v>4178</v>
      </c>
      <c r="BI2148" t="s">
        <v>131</v>
      </c>
      <c r="BL2148" t="s">
        <v>188</v>
      </c>
      <c r="BN2148" t="s">
        <v>10374</v>
      </c>
      <c r="BO2148" t="s">
        <v>131</v>
      </c>
      <c r="BP2148" t="s">
        <v>134</v>
      </c>
      <c r="BQ2148" t="s">
        <v>131</v>
      </c>
      <c r="BS2148" t="str">
        <f t="shared" ref="BS2148:BS2179" si="126">"N/A"</f>
        <v>N/A</v>
      </c>
      <c r="BT2148" t="s">
        <v>131</v>
      </c>
      <c r="BV2148" t="str">
        <f>""</f>
        <v/>
      </c>
      <c r="BW2148" t="s">
        <v>135</v>
      </c>
      <c r="BX2148" t="str">
        <f>""</f>
        <v/>
      </c>
      <c r="BY2148" t="str">
        <f>""</f>
        <v/>
      </c>
      <c r="BZ2148" t="str">
        <f>""</f>
        <v/>
      </c>
      <c r="CA2148" t="str">
        <f>"Strong skills in drug development, process optimization, basic QA/QC knowledge and ability to solve formulation challenges and technologies. "</f>
        <v xml:space="preserve">Strong skills in drug development, process optimization, basic QA/QC knowledge and ability to solve formulation challenges and technologies. </v>
      </c>
      <c r="CB2148" t="s">
        <v>131</v>
      </c>
      <c r="CF2148" t="s">
        <v>131</v>
      </c>
      <c r="CH2148" t="str">
        <f>""</f>
        <v/>
      </c>
      <c r="CI2148" t="s">
        <v>131</v>
      </c>
      <c r="CK2148" t="s">
        <v>131</v>
      </c>
      <c r="CL2148" t="str">
        <f>""</f>
        <v/>
      </c>
      <c r="CM2148" t="str">
        <f>""</f>
        <v/>
      </c>
      <c r="CN2148" t="str">
        <f>""</f>
        <v/>
      </c>
      <c r="CO2148" t="str">
        <f>""</f>
        <v/>
      </c>
      <c r="CP2148" t="str">
        <f>"17-2112.00"</f>
        <v>17-2112.00</v>
      </c>
      <c r="CQ2148" t="s">
        <v>360</v>
      </c>
      <c r="CR2148" t="s">
        <v>460</v>
      </c>
      <c r="CS2148" t="s">
        <v>131</v>
      </c>
      <c r="CU2148" t="s">
        <v>10372</v>
      </c>
      <c r="CW2148" t="s">
        <v>363</v>
      </c>
      <c r="CX2148" t="s">
        <v>276</v>
      </c>
      <c r="CZ2148" s="3" t="str">
        <f>"08854"</f>
        <v>08854</v>
      </c>
      <c r="DA2148" t="s">
        <v>131</v>
      </c>
      <c r="DB2148" t="str">
        <f>""</f>
        <v/>
      </c>
      <c r="DF2148" t="str">
        <f>""</f>
        <v/>
      </c>
    </row>
    <row r="2149" spans="1:110" ht="15" customHeight="1" x14ac:dyDescent="0.35">
      <c r="A2149" t="s">
        <v>9314</v>
      </c>
      <c r="B2149" t="s">
        <v>138</v>
      </c>
      <c r="C2149" s="1">
        <v>44371</v>
      </c>
      <c r="G2149" s="1">
        <v>44372</v>
      </c>
      <c r="H2149" t="s">
        <v>125</v>
      </c>
      <c r="I2149" t="s">
        <v>9315</v>
      </c>
      <c r="J2149" t="s">
        <v>3923</v>
      </c>
      <c r="K2149" t="s">
        <v>387</v>
      </c>
      <c r="L2149" t="s">
        <v>130</v>
      </c>
      <c r="M2149" t="s">
        <v>9316</v>
      </c>
      <c r="N2149" t="s">
        <v>9317</v>
      </c>
      <c r="O2149" t="s">
        <v>620</v>
      </c>
      <c r="P2149" t="s">
        <v>194</v>
      </c>
      <c r="Q2149" s="3">
        <v>33134</v>
      </c>
      <c r="R2149" t="s">
        <v>128</v>
      </c>
      <c r="T2149" s="4">
        <v>13054468686</v>
      </c>
      <c r="V2149" t="s">
        <v>9318</v>
      </c>
      <c r="W2149" t="s">
        <v>9319</v>
      </c>
      <c r="Y2149" t="s">
        <v>9320</v>
      </c>
      <c r="AA2149" t="s">
        <v>975</v>
      </c>
      <c r="AB2149" t="s">
        <v>594</v>
      </c>
      <c r="AC2149" s="3" t="str">
        <f>"27606"</f>
        <v>27606</v>
      </c>
      <c r="AD2149" t="s">
        <v>128</v>
      </c>
      <c r="AF2149" s="4">
        <v>19196160993</v>
      </c>
      <c r="AH2149" t="str">
        <f>"561730"</f>
        <v>561730</v>
      </c>
      <c r="AI2149" t="s">
        <v>130</v>
      </c>
      <c r="AJ2149" t="s">
        <v>9315</v>
      </c>
      <c r="AK2149" t="s">
        <v>3923</v>
      </c>
      <c r="AL2149" t="s">
        <v>610</v>
      </c>
      <c r="AM2149" t="s">
        <v>9316</v>
      </c>
      <c r="AN2149" t="s">
        <v>9317</v>
      </c>
      <c r="AO2149" t="s">
        <v>620</v>
      </c>
      <c r="AP2149" t="s">
        <v>195</v>
      </c>
      <c r="AQ2149" s="5">
        <v>33134</v>
      </c>
      <c r="AR2149" t="s">
        <v>128</v>
      </c>
      <c r="AT2149" s="4">
        <v>13054458686</v>
      </c>
      <c r="AV2149" t="s">
        <v>9318</v>
      </c>
      <c r="AW2149" t="s">
        <v>9321</v>
      </c>
      <c r="AX2149" t="s">
        <v>131</v>
      </c>
      <c r="AY2149" t="s">
        <v>131</v>
      </c>
      <c r="AZ2149" t="s">
        <v>131</v>
      </c>
      <c r="BA2149" t="s">
        <v>131</v>
      </c>
      <c r="BB2149" t="s">
        <v>131</v>
      </c>
      <c r="BC2149" t="s">
        <v>131</v>
      </c>
      <c r="BD2149" t="s">
        <v>131</v>
      </c>
      <c r="BE2149" t="s">
        <v>132</v>
      </c>
      <c r="BH2149" t="s">
        <v>9322</v>
      </c>
      <c r="BI2149" t="s">
        <v>135</v>
      </c>
      <c r="BJ2149" t="s">
        <v>1424</v>
      </c>
      <c r="BK2149" t="s">
        <v>1425</v>
      </c>
      <c r="BL2149" t="s">
        <v>167</v>
      </c>
      <c r="BO2149" t="s">
        <v>131</v>
      </c>
      <c r="BP2149" t="s">
        <v>134</v>
      </c>
      <c r="BQ2149" t="s">
        <v>131</v>
      </c>
      <c r="BS2149" t="str">
        <f t="shared" si="126"/>
        <v>N/A</v>
      </c>
      <c r="BT2149" t="s">
        <v>135</v>
      </c>
      <c r="BU2149">
        <v>24</v>
      </c>
      <c r="BV2149" t="str">
        <f>"Heavy Equipment Operator"</f>
        <v>Heavy Equipment Operator</v>
      </c>
      <c r="BW2149" t="s">
        <v>131</v>
      </c>
      <c r="BX2149" t="str">
        <f>""</f>
        <v/>
      </c>
      <c r="BY2149" t="str">
        <f>""</f>
        <v/>
      </c>
      <c r="BZ2149" t="str">
        <f>""</f>
        <v/>
      </c>
      <c r="CA2149" t="str">
        <f>""</f>
        <v/>
      </c>
      <c r="CB2149" t="s">
        <v>131</v>
      </c>
      <c r="CF2149" t="s">
        <v>131</v>
      </c>
      <c r="CH2149" t="str">
        <f>""</f>
        <v/>
      </c>
      <c r="CI2149" t="s">
        <v>131</v>
      </c>
      <c r="CK2149" t="s">
        <v>131</v>
      </c>
      <c r="CL2149" t="str">
        <f>""</f>
        <v/>
      </c>
      <c r="CM2149" t="str">
        <f>""</f>
        <v/>
      </c>
      <c r="CN2149" t="str">
        <f>""</f>
        <v/>
      </c>
      <c r="CO2149" t="str">
        <f>""</f>
        <v/>
      </c>
      <c r="CP2149" t="str">
        <f>"47-2073.00"</f>
        <v>47-2073.00</v>
      </c>
      <c r="CQ2149" t="s">
        <v>402</v>
      </c>
      <c r="CS2149" t="s">
        <v>135</v>
      </c>
      <c r="CT2149" t="s">
        <v>9323</v>
      </c>
      <c r="CU2149" t="s">
        <v>9320</v>
      </c>
      <c r="CW2149" t="s">
        <v>975</v>
      </c>
      <c r="CX2149" t="s">
        <v>594</v>
      </c>
      <c r="CZ2149" s="3" t="str">
        <f>"27606"</f>
        <v>27606</v>
      </c>
      <c r="DA2149" t="s">
        <v>135</v>
      </c>
      <c r="DB2149" t="str">
        <f>""</f>
        <v/>
      </c>
      <c r="DF2149" t="str">
        <f>""</f>
        <v/>
      </c>
    </row>
    <row r="2150" spans="1:110" ht="15" customHeight="1" x14ac:dyDescent="0.35">
      <c r="A2150" t="s">
        <v>19602</v>
      </c>
      <c r="B2150" t="s">
        <v>138</v>
      </c>
      <c r="C2150" s="1">
        <v>44371</v>
      </c>
      <c r="G2150" s="1">
        <v>44375</v>
      </c>
      <c r="H2150" t="s">
        <v>125</v>
      </c>
      <c r="I2150" t="s">
        <v>7825</v>
      </c>
      <c r="J2150" t="s">
        <v>1499</v>
      </c>
      <c r="K2150" t="s">
        <v>2374</v>
      </c>
      <c r="L2150" t="s">
        <v>130</v>
      </c>
      <c r="M2150" t="s">
        <v>19603</v>
      </c>
      <c r="N2150" t="s">
        <v>16916</v>
      </c>
      <c r="O2150" t="s">
        <v>12270</v>
      </c>
      <c r="P2150" t="s">
        <v>127</v>
      </c>
      <c r="Q2150" s="3">
        <v>11542</v>
      </c>
      <c r="R2150" t="s">
        <v>128</v>
      </c>
      <c r="T2150" s="4">
        <v>15166718187</v>
      </c>
      <c r="U2150">
        <v>101</v>
      </c>
      <c r="V2150" t="s">
        <v>8177</v>
      </c>
      <c r="W2150" t="s">
        <v>8173</v>
      </c>
      <c r="Y2150" t="s">
        <v>8171</v>
      </c>
      <c r="AA2150" t="s">
        <v>8172</v>
      </c>
      <c r="AB2150" t="s">
        <v>129</v>
      </c>
      <c r="AC2150" s="3" t="str">
        <f>"10522"</f>
        <v>10522</v>
      </c>
      <c r="AD2150" t="s">
        <v>128</v>
      </c>
      <c r="AF2150" s="4">
        <v>19147126172</v>
      </c>
      <c r="AH2150" t="str">
        <f>"541511"</f>
        <v>541511</v>
      </c>
      <c r="AI2150" t="s">
        <v>130</v>
      </c>
      <c r="AJ2150" t="s">
        <v>7825</v>
      </c>
      <c r="AK2150" t="s">
        <v>1499</v>
      </c>
      <c r="AL2150" t="s">
        <v>2374</v>
      </c>
      <c r="AM2150" t="s">
        <v>19603</v>
      </c>
      <c r="AN2150" t="s">
        <v>16916</v>
      </c>
      <c r="AO2150" t="s">
        <v>8176</v>
      </c>
      <c r="AP2150" t="s">
        <v>129</v>
      </c>
      <c r="AQ2150" s="5">
        <v>11542</v>
      </c>
      <c r="AR2150" t="s">
        <v>128</v>
      </c>
      <c r="AT2150" s="4">
        <v>15166718187</v>
      </c>
      <c r="AU2150">
        <v>101</v>
      </c>
      <c r="AV2150" t="s">
        <v>8177</v>
      </c>
      <c r="AW2150" t="s">
        <v>8178</v>
      </c>
      <c r="AX2150" t="s">
        <v>131</v>
      </c>
      <c r="AY2150" t="s">
        <v>131</v>
      </c>
      <c r="AZ2150" t="s">
        <v>131</v>
      </c>
      <c r="BA2150" t="s">
        <v>131</v>
      </c>
      <c r="BB2150" t="s">
        <v>131</v>
      </c>
      <c r="BC2150" t="s">
        <v>131</v>
      </c>
      <c r="BD2150" t="s">
        <v>131</v>
      </c>
      <c r="BE2150" t="s">
        <v>132</v>
      </c>
      <c r="BH2150" t="s">
        <v>8179</v>
      </c>
      <c r="BI2150" t="s">
        <v>135</v>
      </c>
      <c r="BJ2150" t="s">
        <v>597</v>
      </c>
      <c r="BK2150" t="s">
        <v>198</v>
      </c>
      <c r="BL2150" t="s">
        <v>188</v>
      </c>
      <c r="BN2150" t="s">
        <v>8180</v>
      </c>
      <c r="BO2150" t="s">
        <v>131</v>
      </c>
      <c r="BP2150" t="s">
        <v>134</v>
      </c>
      <c r="BQ2150" t="s">
        <v>131</v>
      </c>
      <c r="BS2150" t="str">
        <f t="shared" si="126"/>
        <v>N/A</v>
      </c>
      <c r="BT2150" t="s">
        <v>135</v>
      </c>
      <c r="BU2150">
        <v>48</v>
      </c>
      <c r="BV2150" t="str">
        <f>"Software Developer or Software Engineer"</f>
        <v>Software Developer or Software Engineer</v>
      </c>
      <c r="BW2150" t="s">
        <v>135</v>
      </c>
      <c r="BX2150" t="str">
        <f>""</f>
        <v/>
      </c>
      <c r="BY2150" t="str">
        <f>""</f>
        <v/>
      </c>
      <c r="BZ2150" t="str">
        <f>""</f>
        <v/>
      </c>
      <c r="CA2150" t="str">
        <f>"Experience must include use of Salesforce Apex."</f>
        <v>Experience must include use of Salesforce Apex.</v>
      </c>
      <c r="CB2150" t="s">
        <v>135</v>
      </c>
      <c r="CC2150" t="s">
        <v>133</v>
      </c>
      <c r="CE2150" t="s">
        <v>19604</v>
      </c>
      <c r="CF2150" t="s">
        <v>131</v>
      </c>
      <c r="CH2150" t="str">
        <f>"N/A"</f>
        <v>N/A</v>
      </c>
      <c r="CI2150" t="s">
        <v>135</v>
      </c>
      <c r="CJ2150">
        <v>60</v>
      </c>
      <c r="CK2150" t="s">
        <v>135</v>
      </c>
      <c r="CL2150" t="str">
        <f>""</f>
        <v/>
      </c>
      <c r="CM2150" t="str">
        <f>""</f>
        <v/>
      </c>
      <c r="CN2150" t="str">
        <f>""</f>
        <v/>
      </c>
      <c r="CO2150" t="s">
        <v>19605</v>
      </c>
      <c r="CP2150" t="str">
        <f>"15-1132.00"</f>
        <v>15-1132.00</v>
      </c>
      <c r="CQ2150" t="s">
        <v>198</v>
      </c>
      <c r="CR2150" t="s">
        <v>395</v>
      </c>
      <c r="CS2150" t="s">
        <v>131</v>
      </c>
      <c r="CU2150" t="s">
        <v>8171</v>
      </c>
      <c r="CW2150" t="s">
        <v>8172</v>
      </c>
      <c r="CX2150" t="s">
        <v>129</v>
      </c>
      <c r="CZ2150" s="3" t="str">
        <f>"10522"</f>
        <v>10522</v>
      </c>
      <c r="DA2150" t="s">
        <v>131</v>
      </c>
      <c r="DB2150" t="str">
        <f>""</f>
        <v/>
      </c>
      <c r="DF2150" t="str">
        <f>""</f>
        <v/>
      </c>
    </row>
    <row r="2151" spans="1:110" ht="15" customHeight="1" x14ac:dyDescent="0.35">
      <c r="A2151" t="s">
        <v>15452</v>
      </c>
      <c r="B2151" t="s">
        <v>138</v>
      </c>
      <c r="C2151" s="1">
        <v>44371</v>
      </c>
      <c r="G2151" s="1">
        <v>44377</v>
      </c>
      <c r="H2151" t="s">
        <v>125</v>
      </c>
      <c r="I2151" t="s">
        <v>2371</v>
      </c>
      <c r="J2151" t="s">
        <v>15453</v>
      </c>
      <c r="L2151" t="s">
        <v>15454</v>
      </c>
      <c r="M2151" t="s">
        <v>15455</v>
      </c>
      <c r="N2151" t="s">
        <v>15456</v>
      </c>
      <c r="O2151" t="s">
        <v>494</v>
      </c>
      <c r="P2151" t="s">
        <v>127</v>
      </c>
      <c r="Q2151" s="3">
        <v>10007</v>
      </c>
      <c r="R2151" t="s">
        <v>128</v>
      </c>
      <c r="T2151" s="4">
        <v>13015094325</v>
      </c>
      <c r="V2151" t="s">
        <v>15457</v>
      </c>
      <c r="W2151" t="s">
        <v>15458</v>
      </c>
      <c r="X2151" t="s">
        <v>15459</v>
      </c>
      <c r="Y2151" t="s">
        <v>15455</v>
      </c>
      <c r="Z2151" t="s">
        <v>15456</v>
      </c>
      <c r="AA2151" t="s">
        <v>494</v>
      </c>
      <c r="AB2151" t="s">
        <v>129</v>
      </c>
      <c r="AC2151" s="3" t="str">
        <f>"10007"</f>
        <v>10007</v>
      </c>
      <c r="AD2151" t="s">
        <v>128</v>
      </c>
      <c r="AF2151" s="4">
        <v>19178331314</v>
      </c>
      <c r="AH2151" t="str">
        <f>"541511"</f>
        <v>541511</v>
      </c>
      <c r="AI2151" t="s">
        <v>130</v>
      </c>
      <c r="AJ2151" t="s">
        <v>1606</v>
      </c>
      <c r="AK2151" t="s">
        <v>804</v>
      </c>
      <c r="AL2151" t="s">
        <v>1607</v>
      </c>
      <c r="AM2151" t="s">
        <v>15460</v>
      </c>
      <c r="AN2151" t="s">
        <v>15461</v>
      </c>
      <c r="AO2151" t="s">
        <v>262</v>
      </c>
      <c r="AP2151" t="s">
        <v>263</v>
      </c>
      <c r="AQ2151" s="5">
        <v>60690</v>
      </c>
      <c r="AR2151" t="s">
        <v>128</v>
      </c>
      <c r="AT2151" s="4">
        <v>13128002889</v>
      </c>
      <c r="AV2151" t="s">
        <v>1610</v>
      </c>
      <c r="AW2151" t="s">
        <v>6053</v>
      </c>
      <c r="AX2151" t="s">
        <v>131</v>
      </c>
      <c r="AY2151" t="s">
        <v>131</v>
      </c>
      <c r="AZ2151" t="s">
        <v>131</v>
      </c>
      <c r="BA2151" t="s">
        <v>131</v>
      </c>
      <c r="BB2151" t="s">
        <v>131</v>
      </c>
      <c r="BC2151" t="s">
        <v>131</v>
      </c>
      <c r="BD2151" t="s">
        <v>131</v>
      </c>
      <c r="BE2151" t="s">
        <v>132</v>
      </c>
      <c r="BH2151" t="s">
        <v>3907</v>
      </c>
      <c r="BI2151" t="s">
        <v>131</v>
      </c>
      <c r="BL2151" t="s">
        <v>188</v>
      </c>
      <c r="BN2151" t="s">
        <v>15462</v>
      </c>
      <c r="BO2151" t="s">
        <v>131</v>
      </c>
      <c r="BP2151" t="s">
        <v>134</v>
      </c>
      <c r="BQ2151" t="s">
        <v>131</v>
      </c>
      <c r="BS2151" t="str">
        <f t="shared" si="126"/>
        <v>N/A</v>
      </c>
      <c r="BT2151" t="s">
        <v>135</v>
      </c>
      <c r="BU2151">
        <v>6</v>
      </c>
      <c r="BV2151" t="str">
        <f>"Any related occupation"</f>
        <v>Any related occupation</v>
      </c>
      <c r="BW2151" t="s">
        <v>135</v>
      </c>
      <c r="BX2151" t="str">
        <f>""</f>
        <v/>
      </c>
      <c r="BY2151" t="str">
        <f>""</f>
        <v/>
      </c>
      <c r="BZ2151" t="str">
        <f>""</f>
        <v/>
      </c>
      <c r="CA2151" t="s">
        <v>15463</v>
      </c>
      <c r="CB2151" t="s">
        <v>131</v>
      </c>
      <c r="CF2151" t="s">
        <v>131</v>
      </c>
      <c r="CH2151" t="str">
        <f>""</f>
        <v/>
      </c>
      <c r="CI2151" t="s">
        <v>131</v>
      </c>
      <c r="CK2151" t="s">
        <v>131</v>
      </c>
      <c r="CL2151" t="str">
        <f>""</f>
        <v/>
      </c>
      <c r="CM2151" t="str">
        <f>""</f>
        <v/>
      </c>
      <c r="CN2151" t="str">
        <f>""</f>
        <v/>
      </c>
      <c r="CO2151" t="str">
        <f>""</f>
        <v/>
      </c>
      <c r="CP2151" t="str">
        <f>"15-1111.00"</f>
        <v>15-1111.00</v>
      </c>
      <c r="CQ2151" t="s">
        <v>726</v>
      </c>
      <c r="CR2151" t="s">
        <v>8024</v>
      </c>
      <c r="CS2151" t="s">
        <v>131</v>
      </c>
      <c r="CU2151" t="s">
        <v>15455</v>
      </c>
      <c r="CV2151" t="s">
        <v>15456</v>
      </c>
      <c r="CW2151" t="s">
        <v>494</v>
      </c>
      <c r="CX2151" t="s">
        <v>129</v>
      </c>
      <c r="CZ2151" s="3" t="str">
        <f>"10007"</f>
        <v>10007</v>
      </c>
      <c r="DA2151" t="s">
        <v>131</v>
      </c>
      <c r="DB2151" t="str">
        <f>""</f>
        <v/>
      </c>
      <c r="DF2151" t="str">
        <f>""</f>
        <v/>
      </c>
    </row>
    <row r="2152" spans="1:110" ht="15" customHeight="1" x14ac:dyDescent="0.35">
      <c r="A2152" t="s">
        <v>14329</v>
      </c>
      <c r="B2152" t="s">
        <v>138</v>
      </c>
      <c r="C2152" s="1">
        <v>44371</v>
      </c>
      <c r="G2152" s="1">
        <v>44371</v>
      </c>
      <c r="H2152" t="s">
        <v>125</v>
      </c>
      <c r="I2152" t="s">
        <v>139</v>
      </c>
      <c r="J2152" t="s">
        <v>140</v>
      </c>
      <c r="L2152" t="s">
        <v>141</v>
      </c>
      <c r="M2152" t="s">
        <v>142</v>
      </c>
      <c r="O2152" t="s">
        <v>143</v>
      </c>
      <c r="P2152" t="s">
        <v>144</v>
      </c>
      <c r="Q2152" s="3">
        <v>98052</v>
      </c>
      <c r="R2152" t="s">
        <v>128</v>
      </c>
      <c r="T2152" s="4">
        <v>14255383872</v>
      </c>
      <c r="V2152" t="s">
        <v>145</v>
      </c>
      <c r="W2152" t="s">
        <v>146</v>
      </c>
      <c r="X2152" t="s">
        <v>134</v>
      </c>
      <c r="Y2152" t="s">
        <v>147</v>
      </c>
      <c r="Z2152" t="s">
        <v>134</v>
      </c>
      <c r="AA2152" t="s">
        <v>148</v>
      </c>
      <c r="AB2152" t="s">
        <v>149</v>
      </c>
      <c r="AC2152" s="3" t="str">
        <f>"98052"</f>
        <v>98052</v>
      </c>
      <c r="AD2152" t="s">
        <v>128</v>
      </c>
      <c r="AE2152" t="s">
        <v>134</v>
      </c>
      <c r="AF2152" s="4">
        <v>14258828080</v>
      </c>
      <c r="AH2152" t="str">
        <f>"5112"</f>
        <v>5112</v>
      </c>
      <c r="AI2152" t="s">
        <v>130</v>
      </c>
      <c r="AJ2152" t="s">
        <v>150</v>
      </c>
      <c r="AK2152" t="s">
        <v>151</v>
      </c>
      <c r="AM2152" t="s">
        <v>5354</v>
      </c>
      <c r="AN2152" t="s">
        <v>590</v>
      </c>
      <c r="AO2152" t="s">
        <v>241</v>
      </c>
      <c r="AQ2152" s="5" t="s">
        <v>155</v>
      </c>
      <c r="AR2152" t="s">
        <v>156</v>
      </c>
      <c r="AS2152" t="s">
        <v>243</v>
      </c>
      <c r="AT2152" s="4">
        <v>16046486785</v>
      </c>
      <c r="AV2152" t="s">
        <v>158</v>
      </c>
      <c r="AW2152" t="s">
        <v>159</v>
      </c>
      <c r="AX2152" t="s">
        <v>131</v>
      </c>
      <c r="AY2152" t="s">
        <v>131</v>
      </c>
      <c r="AZ2152" t="s">
        <v>131</v>
      </c>
      <c r="BA2152" t="s">
        <v>131</v>
      </c>
      <c r="BB2152" t="s">
        <v>131</v>
      </c>
      <c r="BC2152" t="s">
        <v>131</v>
      </c>
      <c r="BD2152" t="s">
        <v>131</v>
      </c>
      <c r="BE2152" t="s">
        <v>132</v>
      </c>
      <c r="BH2152" t="s">
        <v>2256</v>
      </c>
      <c r="BI2152" t="s">
        <v>131</v>
      </c>
      <c r="BL2152" t="s">
        <v>133</v>
      </c>
      <c r="BN2152" t="s">
        <v>3273</v>
      </c>
      <c r="BO2152" t="s">
        <v>131</v>
      </c>
      <c r="BP2152" t="s">
        <v>134</v>
      </c>
      <c r="BQ2152" t="s">
        <v>131</v>
      </c>
      <c r="BS2152" t="str">
        <f t="shared" si="126"/>
        <v>N/A</v>
      </c>
      <c r="BT2152" t="s">
        <v>135</v>
      </c>
      <c r="BU2152">
        <v>36</v>
      </c>
      <c r="BV2152" t="str">
        <f>"Any computer related occupation"</f>
        <v>Any computer related occupation</v>
      </c>
      <c r="BW2152" t="s">
        <v>135</v>
      </c>
      <c r="BX2152" t="str">
        <f>""</f>
        <v/>
      </c>
      <c r="BY2152" t="str">
        <f>""</f>
        <v/>
      </c>
      <c r="BZ2152" t="str">
        <f>""</f>
        <v/>
      </c>
      <c r="CA2152" s="2" t="s">
        <v>13171</v>
      </c>
      <c r="CB2152" t="s">
        <v>131</v>
      </c>
      <c r="CF2152" t="s">
        <v>131</v>
      </c>
      <c r="CH2152" t="str">
        <f>""</f>
        <v/>
      </c>
      <c r="CI2152" t="s">
        <v>131</v>
      </c>
      <c r="CK2152" t="s">
        <v>131</v>
      </c>
      <c r="CL2152" t="str">
        <f>""</f>
        <v/>
      </c>
      <c r="CM2152" t="str">
        <f>""</f>
        <v/>
      </c>
      <c r="CN2152" t="str">
        <f>""</f>
        <v/>
      </c>
      <c r="CO2152" t="str">
        <f>""</f>
        <v/>
      </c>
      <c r="CP2152" t="str">
        <f>"15-1132.00"</f>
        <v>15-1132.00</v>
      </c>
      <c r="CQ2152" t="s">
        <v>198</v>
      </c>
      <c r="CR2152" t="s">
        <v>13172</v>
      </c>
      <c r="CS2152" t="s">
        <v>131</v>
      </c>
      <c r="CU2152" t="s">
        <v>142</v>
      </c>
      <c r="CW2152" t="s">
        <v>143</v>
      </c>
      <c r="CX2152" t="s">
        <v>149</v>
      </c>
      <c r="CZ2152" s="3" t="str">
        <f>"98052"</f>
        <v>98052</v>
      </c>
      <c r="DA2152" t="s">
        <v>131</v>
      </c>
      <c r="DB2152" t="str">
        <f>""</f>
        <v/>
      </c>
      <c r="DF2152" t="str">
        <f>""</f>
        <v/>
      </c>
    </row>
    <row r="2153" spans="1:110" ht="15" customHeight="1" x14ac:dyDescent="0.35">
      <c r="A2153" t="s">
        <v>19483</v>
      </c>
      <c r="B2153" t="s">
        <v>138</v>
      </c>
      <c r="C2153" s="1">
        <v>44371</v>
      </c>
      <c r="G2153" s="1">
        <v>44371</v>
      </c>
      <c r="H2153" t="s">
        <v>125</v>
      </c>
      <c r="I2153" t="s">
        <v>139</v>
      </c>
      <c r="J2153" t="s">
        <v>140</v>
      </c>
      <c r="L2153" t="s">
        <v>141</v>
      </c>
      <c r="M2153" t="s">
        <v>142</v>
      </c>
      <c r="O2153" t="s">
        <v>143</v>
      </c>
      <c r="P2153" t="s">
        <v>144</v>
      </c>
      <c r="Q2153" s="3">
        <v>98052</v>
      </c>
      <c r="R2153" t="s">
        <v>128</v>
      </c>
      <c r="T2153" s="4">
        <v>14255383872</v>
      </c>
      <c r="V2153" t="s">
        <v>145</v>
      </c>
      <c r="W2153" t="s">
        <v>146</v>
      </c>
      <c r="X2153" t="s">
        <v>134</v>
      </c>
      <c r="Y2153" t="s">
        <v>147</v>
      </c>
      <c r="Z2153" t="s">
        <v>134</v>
      </c>
      <c r="AA2153" t="s">
        <v>148</v>
      </c>
      <c r="AB2153" t="s">
        <v>149</v>
      </c>
      <c r="AC2153" s="3" t="str">
        <f>"98052"</f>
        <v>98052</v>
      </c>
      <c r="AD2153" t="s">
        <v>128</v>
      </c>
      <c r="AE2153" t="s">
        <v>134</v>
      </c>
      <c r="AF2153" s="4">
        <v>14258828080</v>
      </c>
      <c r="AH2153" t="str">
        <f>"5112"</f>
        <v>5112</v>
      </c>
      <c r="AI2153" t="s">
        <v>130</v>
      </c>
      <c r="AJ2153" t="s">
        <v>150</v>
      </c>
      <c r="AK2153" t="s">
        <v>151</v>
      </c>
      <c r="AM2153" t="s">
        <v>5354</v>
      </c>
      <c r="AN2153" t="s">
        <v>590</v>
      </c>
      <c r="AO2153" t="s">
        <v>241</v>
      </c>
      <c r="AQ2153" s="5" t="s">
        <v>155</v>
      </c>
      <c r="AR2153" t="s">
        <v>156</v>
      </c>
      <c r="AS2153" t="s">
        <v>243</v>
      </c>
      <c r="AT2153" s="4">
        <v>16046486785</v>
      </c>
      <c r="AV2153" t="s">
        <v>158</v>
      </c>
      <c r="AW2153" t="s">
        <v>159</v>
      </c>
      <c r="AX2153" t="s">
        <v>131</v>
      </c>
      <c r="AY2153" t="s">
        <v>131</v>
      </c>
      <c r="AZ2153" t="s">
        <v>131</v>
      </c>
      <c r="BA2153" t="s">
        <v>131</v>
      </c>
      <c r="BB2153" t="s">
        <v>131</v>
      </c>
      <c r="BC2153" t="s">
        <v>131</v>
      </c>
      <c r="BD2153" t="s">
        <v>131</v>
      </c>
      <c r="BE2153" t="s">
        <v>132</v>
      </c>
      <c r="BH2153" t="s">
        <v>2256</v>
      </c>
      <c r="BI2153" t="s">
        <v>131</v>
      </c>
      <c r="BL2153" t="s">
        <v>133</v>
      </c>
      <c r="BN2153" t="s">
        <v>3273</v>
      </c>
      <c r="BO2153" t="s">
        <v>131</v>
      </c>
      <c r="BP2153" t="s">
        <v>134</v>
      </c>
      <c r="BQ2153" t="s">
        <v>131</v>
      </c>
      <c r="BS2153" t="str">
        <f t="shared" si="126"/>
        <v>N/A</v>
      </c>
      <c r="BT2153" t="s">
        <v>135</v>
      </c>
      <c r="BU2153">
        <v>24</v>
      </c>
      <c r="BV2153" t="str">
        <f>"Any computer related occupation"</f>
        <v>Any computer related occupation</v>
      </c>
      <c r="BW2153" t="s">
        <v>135</v>
      </c>
      <c r="BX2153" t="str">
        <f>""</f>
        <v/>
      </c>
      <c r="BY2153" t="str">
        <f>""</f>
        <v/>
      </c>
      <c r="BZ2153" t="str">
        <f>""</f>
        <v/>
      </c>
      <c r="CA2153" s="2" t="s">
        <v>13742</v>
      </c>
      <c r="CB2153" t="s">
        <v>131</v>
      </c>
      <c r="CF2153" t="s">
        <v>131</v>
      </c>
      <c r="CH2153" t="str">
        <f>""</f>
        <v/>
      </c>
      <c r="CI2153" t="s">
        <v>131</v>
      </c>
      <c r="CK2153" t="s">
        <v>131</v>
      </c>
      <c r="CL2153" t="str">
        <f>""</f>
        <v/>
      </c>
      <c r="CM2153" t="str">
        <f>""</f>
        <v/>
      </c>
      <c r="CN2153" t="str">
        <f>""</f>
        <v/>
      </c>
      <c r="CO2153" t="str">
        <f>""</f>
        <v/>
      </c>
      <c r="CP2153" t="str">
        <f>"15-1132.00"</f>
        <v>15-1132.00</v>
      </c>
      <c r="CQ2153" t="s">
        <v>198</v>
      </c>
      <c r="CR2153" t="s">
        <v>3322</v>
      </c>
      <c r="CS2153" t="s">
        <v>131</v>
      </c>
      <c r="CU2153" t="s">
        <v>142</v>
      </c>
      <c r="CW2153" t="s">
        <v>143</v>
      </c>
      <c r="CX2153" t="s">
        <v>149</v>
      </c>
      <c r="CZ2153" s="3" t="str">
        <f>"98052"</f>
        <v>98052</v>
      </c>
      <c r="DA2153" t="s">
        <v>131</v>
      </c>
      <c r="DB2153" t="str">
        <f>""</f>
        <v/>
      </c>
      <c r="DF2153" t="str">
        <f>""</f>
        <v/>
      </c>
    </row>
    <row r="2154" spans="1:110" ht="15" customHeight="1" x14ac:dyDescent="0.35">
      <c r="A2154" t="s">
        <v>18085</v>
      </c>
      <c r="B2154" t="s">
        <v>138</v>
      </c>
      <c r="C2154" s="1">
        <v>44371</v>
      </c>
      <c r="G2154" s="1">
        <v>44372</v>
      </c>
      <c r="H2154" t="s">
        <v>125</v>
      </c>
      <c r="I2154" t="s">
        <v>1298</v>
      </c>
      <c r="J2154" t="s">
        <v>1299</v>
      </c>
      <c r="L2154" t="s">
        <v>1300</v>
      </c>
      <c r="M2154" t="s">
        <v>1301</v>
      </c>
      <c r="O2154" t="s">
        <v>664</v>
      </c>
      <c r="P2154" t="s">
        <v>178</v>
      </c>
      <c r="Q2154" s="3">
        <v>95134</v>
      </c>
      <c r="R2154" t="s">
        <v>128</v>
      </c>
      <c r="T2154" s="4">
        <v>14085264000</v>
      </c>
      <c r="V2154" t="s">
        <v>1302</v>
      </c>
      <c r="W2154" t="s">
        <v>1303</v>
      </c>
      <c r="Y2154" t="s">
        <v>1301</v>
      </c>
      <c r="AA2154" t="s">
        <v>664</v>
      </c>
      <c r="AB2154" t="s">
        <v>172</v>
      </c>
      <c r="AC2154" s="3" t="str">
        <f>"95134"</f>
        <v>95134</v>
      </c>
      <c r="AD2154" t="s">
        <v>128</v>
      </c>
      <c r="AF2154" s="4">
        <v>14085264000</v>
      </c>
      <c r="AG2154">
        <v>0</v>
      </c>
      <c r="AH2154" t="str">
        <f>"334111"</f>
        <v>334111</v>
      </c>
      <c r="AI2154" t="s">
        <v>130</v>
      </c>
      <c r="AJ2154" t="s">
        <v>18086</v>
      </c>
      <c r="AK2154" t="s">
        <v>6761</v>
      </c>
      <c r="AM2154" t="s">
        <v>663</v>
      </c>
      <c r="AO2154" t="s">
        <v>664</v>
      </c>
      <c r="AP2154" t="s">
        <v>172</v>
      </c>
      <c r="AQ2154" s="5">
        <v>95134</v>
      </c>
      <c r="AR2154" t="s">
        <v>128</v>
      </c>
      <c r="AS2154" t="s">
        <v>172</v>
      </c>
      <c r="AT2154" s="4">
        <v>14089190600</v>
      </c>
      <c r="AU2154">
        <v>0</v>
      </c>
      <c r="AV2154" t="s">
        <v>1305</v>
      </c>
      <c r="AW2154" t="s">
        <v>386</v>
      </c>
      <c r="AX2154" t="s">
        <v>131</v>
      </c>
      <c r="AY2154" t="s">
        <v>131</v>
      </c>
      <c r="AZ2154" t="s">
        <v>131</v>
      </c>
      <c r="BA2154" t="s">
        <v>131</v>
      </c>
      <c r="BB2154" t="s">
        <v>131</v>
      </c>
      <c r="BC2154" t="s">
        <v>131</v>
      </c>
      <c r="BD2154" t="s">
        <v>131</v>
      </c>
      <c r="BE2154" t="s">
        <v>132</v>
      </c>
      <c r="BH2154" t="s">
        <v>542</v>
      </c>
      <c r="BI2154" t="s">
        <v>131</v>
      </c>
      <c r="BL2154" t="s">
        <v>133</v>
      </c>
      <c r="BN2154" t="s">
        <v>12342</v>
      </c>
      <c r="BO2154" t="s">
        <v>131</v>
      </c>
      <c r="BP2154" t="s">
        <v>134</v>
      </c>
      <c r="BQ2154" t="s">
        <v>131</v>
      </c>
      <c r="BS2154" t="str">
        <f t="shared" si="126"/>
        <v>N/A</v>
      </c>
      <c r="BT2154" t="s">
        <v>135</v>
      </c>
      <c r="BU2154">
        <v>60</v>
      </c>
      <c r="BV2154" t="str">
        <f>"Post-baccalaureate, progressive experience in job offered or related occupation. "</f>
        <v xml:space="preserve">Post-baccalaureate, progressive experience in job offered or related occupation. </v>
      </c>
      <c r="BW2154" t="s">
        <v>135</v>
      </c>
      <c r="BX2154" t="str">
        <f>""</f>
        <v/>
      </c>
      <c r="BY2154" t="str">
        <f>""</f>
        <v/>
      </c>
      <c r="BZ2154" t="str">
        <f>""</f>
        <v/>
      </c>
      <c r="CA2154" t="s">
        <v>18087</v>
      </c>
      <c r="CB2154" t="s">
        <v>131</v>
      </c>
      <c r="CF2154" t="s">
        <v>131</v>
      </c>
      <c r="CH2154" t="str">
        <f>""</f>
        <v/>
      </c>
      <c r="CI2154" t="s">
        <v>131</v>
      </c>
      <c r="CK2154" t="s">
        <v>131</v>
      </c>
      <c r="CL2154" t="str">
        <f>""</f>
        <v/>
      </c>
      <c r="CM2154" t="str">
        <f>""</f>
        <v/>
      </c>
      <c r="CN2154" t="str">
        <f>""</f>
        <v/>
      </c>
      <c r="CO2154" t="str">
        <f>""</f>
        <v/>
      </c>
      <c r="CP2154" t="str">
        <f>"15-1133.00"</f>
        <v>15-1133.00</v>
      </c>
      <c r="CQ2154" t="s">
        <v>648</v>
      </c>
      <c r="CR2154" t="s">
        <v>6154</v>
      </c>
      <c r="CS2154" t="s">
        <v>131</v>
      </c>
      <c r="CU2154" t="s">
        <v>1307</v>
      </c>
      <c r="CV2154" t="s">
        <v>12500</v>
      </c>
      <c r="CW2154" t="s">
        <v>664</v>
      </c>
      <c r="CX2154" t="s">
        <v>172</v>
      </c>
      <c r="CZ2154" s="3" t="str">
        <f>"95134"</f>
        <v>95134</v>
      </c>
      <c r="DA2154" t="s">
        <v>131</v>
      </c>
      <c r="DB2154" t="str">
        <f>""</f>
        <v/>
      </c>
      <c r="DF2154" t="str">
        <f>""</f>
        <v/>
      </c>
    </row>
    <row r="2155" spans="1:110" ht="15" customHeight="1" x14ac:dyDescent="0.35">
      <c r="A2155" t="s">
        <v>8332</v>
      </c>
      <c r="B2155" t="s">
        <v>138</v>
      </c>
      <c r="C2155" s="1">
        <v>44371</v>
      </c>
      <c r="G2155" s="1">
        <v>44371</v>
      </c>
      <c r="H2155" t="s">
        <v>125</v>
      </c>
      <c r="I2155" t="s">
        <v>2221</v>
      </c>
      <c r="J2155" t="s">
        <v>2222</v>
      </c>
      <c r="L2155" t="s">
        <v>5136</v>
      </c>
      <c r="M2155" t="s">
        <v>8333</v>
      </c>
      <c r="N2155" t="s">
        <v>8334</v>
      </c>
      <c r="O2155" t="s">
        <v>376</v>
      </c>
      <c r="P2155" t="s">
        <v>720</v>
      </c>
      <c r="Q2155" s="3">
        <v>2110</v>
      </c>
      <c r="R2155" t="s">
        <v>128</v>
      </c>
      <c r="T2155" s="4">
        <v>13333333333</v>
      </c>
      <c r="V2155" t="s">
        <v>2225</v>
      </c>
      <c r="W2155" t="s">
        <v>2226</v>
      </c>
      <c r="Y2155" t="s">
        <v>8335</v>
      </c>
      <c r="AA2155" t="s">
        <v>2228</v>
      </c>
      <c r="AB2155" t="s">
        <v>172</v>
      </c>
      <c r="AC2155" s="3" t="str">
        <f t="shared" ref="AC2155:AC2166" si="127">"99999"</f>
        <v>99999</v>
      </c>
      <c r="AD2155" t="s">
        <v>128</v>
      </c>
      <c r="AF2155" s="4">
        <v>15555555555</v>
      </c>
      <c r="AH2155" t="str">
        <f t="shared" ref="AH2155:AH2166" si="128">"11234"</f>
        <v>11234</v>
      </c>
      <c r="AI2155" t="s">
        <v>130</v>
      </c>
      <c r="AJ2155" t="s">
        <v>2229</v>
      </c>
      <c r="AK2155" t="s">
        <v>1456</v>
      </c>
      <c r="AM2155" t="s">
        <v>2230</v>
      </c>
      <c r="AO2155" t="s">
        <v>376</v>
      </c>
      <c r="AP2155" t="s">
        <v>377</v>
      </c>
      <c r="AQ2155" s="5">
        <v>2110</v>
      </c>
      <c r="AR2155" t="s">
        <v>128</v>
      </c>
      <c r="AT2155" s="4">
        <v>19995554444</v>
      </c>
      <c r="AV2155" t="s">
        <v>2225</v>
      </c>
      <c r="AW2155" t="s">
        <v>2226</v>
      </c>
      <c r="AX2155" t="s">
        <v>131</v>
      </c>
      <c r="AY2155" t="s">
        <v>131</v>
      </c>
      <c r="AZ2155" t="s">
        <v>131</v>
      </c>
      <c r="BA2155" t="s">
        <v>131</v>
      </c>
      <c r="BB2155" t="s">
        <v>131</v>
      </c>
      <c r="BC2155" t="s">
        <v>131</v>
      </c>
      <c r="BD2155" t="s">
        <v>131</v>
      </c>
      <c r="BE2155" t="s">
        <v>132</v>
      </c>
      <c r="BH2155" t="s">
        <v>2232</v>
      </c>
      <c r="BI2155" t="s">
        <v>131</v>
      </c>
      <c r="BL2155" t="s">
        <v>133</v>
      </c>
      <c r="BN2155" t="s">
        <v>5139</v>
      </c>
      <c r="BO2155" t="s">
        <v>131</v>
      </c>
      <c r="BP2155" t="s">
        <v>134</v>
      </c>
      <c r="BQ2155" t="s">
        <v>131</v>
      </c>
      <c r="BS2155" t="str">
        <f t="shared" si="126"/>
        <v>N/A</v>
      </c>
      <c r="BT2155" t="s">
        <v>135</v>
      </c>
      <c r="BU2155">
        <v>60</v>
      </c>
      <c r="BV2155" t="str">
        <f>"*Please see Box F.b.5"</f>
        <v>*Please see Box F.b.5</v>
      </c>
      <c r="BW2155" t="s">
        <v>135</v>
      </c>
      <c r="BX2155" t="str">
        <f>""</f>
        <v/>
      </c>
      <c r="BY2155" t="str">
        <f>""</f>
        <v/>
      </c>
      <c r="BZ2155" t="str">
        <f>""</f>
        <v/>
      </c>
      <c r="CA2155" s="2" t="s">
        <v>5140</v>
      </c>
      <c r="CB2155" t="s">
        <v>131</v>
      </c>
      <c r="CF2155" t="s">
        <v>131</v>
      </c>
      <c r="CH2155" t="str">
        <f>""</f>
        <v/>
      </c>
      <c r="CI2155" t="s">
        <v>131</v>
      </c>
      <c r="CK2155" t="s">
        <v>131</v>
      </c>
      <c r="CL2155" t="str">
        <f>""</f>
        <v/>
      </c>
      <c r="CM2155" t="str">
        <f>""</f>
        <v/>
      </c>
      <c r="CN2155" t="str">
        <f>""</f>
        <v/>
      </c>
      <c r="CO2155" t="str">
        <f>""</f>
        <v/>
      </c>
      <c r="CP2155" t="str">
        <f t="shared" ref="CP2155:CP2166" si="129">"11-1011.00"</f>
        <v>11-1011.00</v>
      </c>
      <c r="CQ2155" t="s">
        <v>2235</v>
      </c>
      <c r="CR2155" t="s">
        <v>583</v>
      </c>
      <c r="CS2155" t="s">
        <v>135</v>
      </c>
      <c r="CT2155" t="s">
        <v>2236</v>
      </c>
      <c r="CU2155" t="s">
        <v>2237</v>
      </c>
      <c r="CW2155" t="s">
        <v>1546</v>
      </c>
      <c r="CX2155" t="s">
        <v>377</v>
      </c>
      <c r="CZ2155" s="3" t="str">
        <f t="shared" ref="CZ2155:CZ2162" si="130">"02110"</f>
        <v>02110</v>
      </c>
      <c r="DA2155" t="s">
        <v>131</v>
      </c>
      <c r="DB2155" t="str">
        <f>""</f>
        <v/>
      </c>
      <c r="DF2155" t="str">
        <f>""</f>
        <v/>
      </c>
    </row>
    <row r="2156" spans="1:110" ht="15" customHeight="1" x14ac:dyDescent="0.35">
      <c r="A2156" t="s">
        <v>15716</v>
      </c>
      <c r="B2156" t="s">
        <v>138</v>
      </c>
      <c r="C2156" s="1">
        <v>44371</v>
      </c>
      <c r="G2156" s="1">
        <v>44371</v>
      </c>
      <c r="H2156" t="s">
        <v>125</v>
      </c>
      <c r="I2156" t="s">
        <v>2221</v>
      </c>
      <c r="J2156" t="s">
        <v>11234</v>
      </c>
      <c r="L2156" t="s">
        <v>2223</v>
      </c>
      <c r="M2156" t="s">
        <v>15717</v>
      </c>
      <c r="N2156" t="s">
        <v>15718</v>
      </c>
      <c r="O2156" t="s">
        <v>8250</v>
      </c>
      <c r="P2156" t="s">
        <v>720</v>
      </c>
      <c r="Q2156" s="3">
        <v>2110</v>
      </c>
      <c r="R2156" t="s">
        <v>128</v>
      </c>
      <c r="T2156" s="4">
        <v>12222222222</v>
      </c>
      <c r="V2156" t="s">
        <v>2225</v>
      </c>
      <c r="W2156" t="s">
        <v>2231</v>
      </c>
      <c r="Y2156" t="s">
        <v>2227</v>
      </c>
      <c r="AA2156" t="s">
        <v>15719</v>
      </c>
      <c r="AB2156" t="s">
        <v>172</v>
      </c>
      <c r="AC2156" s="3" t="str">
        <f t="shared" si="127"/>
        <v>99999</v>
      </c>
      <c r="AD2156" t="s">
        <v>128</v>
      </c>
      <c r="AF2156" s="4">
        <v>19999999999</v>
      </c>
      <c r="AH2156" t="str">
        <f t="shared" si="128"/>
        <v>11234</v>
      </c>
      <c r="AI2156" t="s">
        <v>130</v>
      </c>
      <c r="AJ2156" t="s">
        <v>2229</v>
      </c>
      <c r="AK2156" t="s">
        <v>11236</v>
      </c>
      <c r="AM2156" t="s">
        <v>15720</v>
      </c>
      <c r="AO2156" t="s">
        <v>376</v>
      </c>
      <c r="AP2156" t="s">
        <v>377</v>
      </c>
      <c r="AQ2156" s="5">
        <v>2110</v>
      </c>
      <c r="AR2156" t="s">
        <v>128</v>
      </c>
      <c r="AT2156" s="4">
        <v>17777777777</v>
      </c>
      <c r="AV2156" t="s">
        <v>2225</v>
      </c>
      <c r="AW2156" t="s">
        <v>2231</v>
      </c>
      <c r="AX2156" t="s">
        <v>131</v>
      </c>
      <c r="AY2156" t="s">
        <v>131</v>
      </c>
      <c r="AZ2156" t="s">
        <v>131</v>
      </c>
      <c r="BA2156" t="s">
        <v>131</v>
      </c>
      <c r="BB2156" t="s">
        <v>131</v>
      </c>
      <c r="BC2156" t="s">
        <v>131</v>
      </c>
      <c r="BD2156" t="s">
        <v>131</v>
      </c>
      <c r="BE2156" t="s">
        <v>132</v>
      </c>
      <c r="BH2156" t="s">
        <v>15721</v>
      </c>
      <c r="BI2156" t="s">
        <v>131</v>
      </c>
      <c r="BL2156" t="s">
        <v>133</v>
      </c>
      <c r="BN2156" t="s">
        <v>5139</v>
      </c>
      <c r="BO2156" t="s">
        <v>131</v>
      </c>
      <c r="BP2156" t="s">
        <v>134</v>
      </c>
      <c r="BQ2156" t="s">
        <v>131</v>
      </c>
      <c r="BS2156" t="str">
        <f t="shared" si="126"/>
        <v>N/A</v>
      </c>
      <c r="BT2156" t="s">
        <v>135</v>
      </c>
      <c r="BU2156">
        <v>60</v>
      </c>
      <c r="BV2156" t="str">
        <f>"*Please see Box F.b.5 "</f>
        <v xml:space="preserve">*Please see Box F.b.5 </v>
      </c>
      <c r="BW2156" t="s">
        <v>135</v>
      </c>
      <c r="BX2156" t="str">
        <f>""</f>
        <v/>
      </c>
      <c r="BY2156" t="str">
        <f>""</f>
        <v/>
      </c>
      <c r="BZ2156" t="str">
        <f>""</f>
        <v/>
      </c>
      <c r="CA2156" s="2" t="s">
        <v>15722</v>
      </c>
      <c r="CB2156" t="s">
        <v>131</v>
      </c>
      <c r="CF2156" t="s">
        <v>131</v>
      </c>
      <c r="CH2156" t="str">
        <f>""</f>
        <v/>
      </c>
      <c r="CI2156" t="s">
        <v>131</v>
      </c>
      <c r="CK2156" t="s">
        <v>131</v>
      </c>
      <c r="CL2156" t="str">
        <f>""</f>
        <v/>
      </c>
      <c r="CM2156" t="str">
        <f>""</f>
        <v/>
      </c>
      <c r="CN2156" t="str">
        <f>""</f>
        <v/>
      </c>
      <c r="CO2156" t="str">
        <f>""</f>
        <v/>
      </c>
      <c r="CP2156" t="str">
        <f t="shared" si="129"/>
        <v>11-1011.00</v>
      </c>
      <c r="CQ2156" t="s">
        <v>2235</v>
      </c>
      <c r="CR2156" t="s">
        <v>8040</v>
      </c>
      <c r="CS2156" t="s">
        <v>135</v>
      </c>
      <c r="CT2156" t="s">
        <v>11238</v>
      </c>
      <c r="CU2156" t="s">
        <v>15723</v>
      </c>
      <c r="CW2156" t="s">
        <v>2238</v>
      </c>
      <c r="CX2156" t="s">
        <v>377</v>
      </c>
      <c r="CZ2156" s="3" t="str">
        <f t="shared" si="130"/>
        <v>02110</v>
      </c>
      <c r="DA2156" t="s">
        <v>131</v>
      </c>
      <c r="DB2156" t="str">
        <f>""</f>
        <v/>
      </c>
      <c r="DF2156" t="str">
        <f>""</f>
        <v/>
      </c>
    </row>
    <row r="2157" spans="1:110" ht="15" customHeight="1" x14ac:dyDescent="0.35">
      <c r="A2157" t="s">
        <v>19670</v>
      </c>
      <c r="B2157" t="s">
        <v>138</v>
      </c>
      <c r="C2157" s="1">
        <v>44371</v>
      </c>
      <c r="G2157" s="1">
        <v>44371</v>
      </c>
      <c r="H2157" t="s">
        <v>125</v>
      </c>
      <c r="I2157" t="s">
        <v>2221</v>
      </c>
      <c r="J2157" t="s">
        <v>2222</v>
      </c>
      <c r="L2157" t="s">
        <v>15019</v>
      </c>
      <c r="M2157" t="s">
        <v>19671</v>
      </c>
      <c r="O2157" t="s">
        <v>376</v>
      </c>
      <c r="P2157" t="s">
        <v>720</v>
      </c>
      <c r="Q2157" s="3">
        <v>2110</v>
      </c>
      <c r="R2157" t="s">
        <v>128</v>
      </c>
      <c r="T2157" s="4">
        <v>13333333333</v>
      </c>
      <c r="V2157" t="s">
        <v>2225</v>
      </c>
      <c r="W2157" t="s">
        <v>2226</v>
      </c>
      <c r="Y2157" t="s">
        <v>5138</v>
      </c>
      <c r="AA2157" t="s">
        <v>15719</v>
      </c>
      <c r="AB2157" t="s">
        <v>172</v>
      </c>
      <c r="AC2157" s="3" t="str">
        <f t="shared" si="127"/>
        <v>99999</v>
      </c>
      <c r="AD2157" t="s">
        <v>128</v>
      </c>
      <c r="AF2157" s="4">
        <v>15555555555</v>
      </c>
      <c r="AH2157" t="str">
        <f t="shared" si="128"/>
        <v>11234</v>
      </c>
      <c r="AI2157" t="s">
        <v>130</v>
      </c>
      <c r="AJ2157" t="s">
        <v>2229</v>
      </c>
      <c r="AK2157" t="s">
        <v>1456</v>
      </c>
      <c r="AM2157" t="s">
        <v>2230</v>
      </c>
      <c r="AO2157" t="s">
        <v>376</v>
      </c>
      <c r="AP2157" t="s">
        <v>377</v>
      </c>
      <c r="AQ2157" s="5">
        <v>2110</v>
      </c>
      <c r="AR2157" t="s">
        <v>128</v>
      </c>
      <c r="AT2157" s="4">
        <v>17777777777</v>
      </c>
      <c r="AV2157" t="s">
        <v>2225</v>
      </c>
      <c r="AW2157" t="s">
        <v>2226</v>
      </c>
      <c r="AX2157" t="s">
        <v>131</v>
      </c>
      <c r="AY2157" t="s">
        <v>131</v>
      </c>
      <c r="AZ2157" t="s">
        <v>131</v>
      </c>
      <c r="BA2157" t="s">
        <v>131</v>
      </c>
      <c r="BB2157" t="s">
        <v>131</v>
      </c>
      <c r="BC2157" t="s">
        <v>131</v>
      </c>
      <c r="BD2157" t="s">
        <v>131</v>
      </c>
      <c r="BE2157" t="s">
        <v>132</v>
      </c>
      <c r="BH2157" t="s">
        <v>2232</v>
      </c>
      <c r="BI2157" t="s">
        <v>131</v>
      </c>
      <c r="BL2157" t="s">
        <v>133</v>
      </c>
      <c r="BN2157" t="s">
        <v>5139</v>
      </c>
      <c r="BO2157" t="s">
        <v>131</v>
      </c>
      <c r="BP2157" t="s">
        <v>134</v>
      </c>
      <c r="BQ2157" t="s">
        <v>131</v>
      </c>
      <c r="BS2157" t="str">
        <f t="shared" si="126"/>
        <v>N/A</v>
      </c>
      <c r="BT2157" t="s">
        <v>135</v>
      </c>
      <c r="BU2157">
        <v>60</v>
      </c>
      <c r="BV2157" t="str">
        <f>"Please see Box F.b.5"</f>
        <v>Please see Box F.b.5</v>
      </c>
      <c r="BW2157" t="s">
        <v>135</v>
      </c>
      <c r="BX2157" t="str">
        <f>""</f>
        <v/>
      </c>
      <c r="BY2157" t="str">
        <f>""</f>
        <v/>
      </c>
      <c r="BZ2157" t="str">
        <f>""</f>
        <v/>
      </c>
      <c r="CA2157" s="2" t="s">
        <v>19672</v>
      </c>
      <c r="CB2157" t="s">
        <v>131</v>
      </c>
      <c r="CF2157" t="s">
        <v>131</v>
      </c>
      <c r="CH2157" t="str">
        <f>""</f>
        <v/>
      </c>
      <c r="CI2157" t="s">
        <v>131</v>
      </c>
      <c r="CK2157" t="s">
        <v>131</v>
      </c>
      <c r="CL2157" t="str">
        <f>""</f>
        <v/>
      </c>
      <c r="CM2157" t="str">
        <f>""</f>
        <v/>
      </c>
      <c r="CN2157" t="str">
        <f>""</f>
        <v/>
      </c>
      <c r="CO2157" t="str">
        <f>""</f>
        <v/>
      </c>
      <c r="CP2157" t="str">
        <f t="shared" si="129"/>
        <v>11-1011.00</v>
      </c>
      <c r="CQ2157" t="s">
        <v>2235</v>
      </c>
      <c r="CR2157" t="s">
        <v>1310</v>
      </c>
      <c r="CS2157" t="s">
        <v>135</v>
      </c>
      <c r="CT2157" t="s">
        <v>2236</v>
      </c>
      <c r="CU2157" t="s">
        <v>2237</v>
      </c>
      <c r="CW2157" t="s">
        <v>1647</v>
      </c>
      <c r="CX2157" t="s">
        <v>377</v>
      </c>
      <c r="CZ2157" s="3" t="str">
        <f t="shared" si="130"/>
        <v>02110</v>
      </c>
      <c r="DA2157" t="s">
        <v>131</v>
      </c>
      <c r="DB2157" t="str">
        <f>""</f>
        <v/>
      </c>
      <c r="DF2157" t="str">
        <f>""</f>
        <v/>
      </c>
    </row>
    <row r="2158" spans="1:110" ht="15" customHeight="1" x14ac:dyDescent="0.35">
      <c r="A2158" t="s">
        <v>16357</v>
      </c>
      <c r="B2158" t="s">
        <v>138</v>
      </c>
      <c r="C2158" s="1">
        <v>44371</v>
      </c>
      <c r="G2158" s="1">
        <v>44371</v>
      </c>
      <c r="H2158" t="s">
        <v>125</v>
      </c>
      <c r="I2158" t="s">
        <v>2221</v>
      </c>
      <c r="J2158" t="s">
        <v>2222</v>
      </c>
      <c r="L2158" t="s">
        <v>5136</v>
      </c>
      <c r="M2158" t="s">
        <v>5137</v>
      </c>
      <c r="O2158" t="s">
        <v>376</v>
      </c>
      <c r="P2158" t="s">
        <v>720</v>
      </c>
      <c r="Q2158" s="3">
        <v>2110</v>
      </c>
      <c r="R2158" t="s">
        <v>128</v>
      </c>
      <c r="T2158" s="4">
        <v>13333333333</v>
      </c>
      <c r="V2158" t="s">
        <v>2225</v>
      </c>
      <c r="W2158" t="s">
        <v>2226</v>
      </c>
      <c r="Y2158" t="s">
        <v>5138</v>
      </c>
      <c r="AA2158" t="s">
        <v>2228</v>
      </c>
      <c r="AB2158" t="s">
        <v>172</v>
      </c>
      <c r="AC2158" s="3" t="str">
        <f t="shared" si="127"/>
        <v>99999</v>
      </c>
      <c r="AD2158" t="s">
        <v>128</v>
      </c>
      <c r="AF2158" s="4">
        <v>15555555555</v>
      </c>
      <c r="AH2158" t="str">
        <f t="shared" si="128"/>
        <v>11234</v>
      </c>
      <c r="AI2158" t="s">
        <v>130</v>
      </c>
      <c r="AJ2158" t="s">
        <v>2229</v>
      </c>
      <c r="AK2158" t="s">
        <v>1456</v>
      </c>
      <c r="AM2158" t="s">
        <v>2230</v>
      </c>
      <c r="AO2158" t="s">
        <v>376</v>
      </c>
      <c r="AP2158" t="s">
        <v>377</v>
      </c>
      <c r="AQ2158" s="5">
        <v>2110</v>
      </c>
      <c r="AR2158" t="s">
        <v>128</v>
      </c>
      <c r="AT2158" s="4">
        <v>19999999999</v>
      </c>
      <c r="AV2158" t="s">
        <v>2225</v>
      </c>
      <c r="AW2158" t="s">
        <v>2226</v>
      </c>
      <c r="AX2158" t="s">
        <v>131</v>
      </c>
      <c r="AY2158" t="s">
        <v>131</v>
      </c>
      <c r="AZ2158" t="s">
        <v>131</v>
      </c>
      <c r="BA2158" t="s">
        <v>131</v>
      </c>
      <c r="BB2158" t="s">
        <v>131</v>
      </c>
      <c r="BC2158" t="s">
        <v>131</v>
      </c>
      <c r="BD2158" t="s">
        <v>131</v>
      </c>
      <c r="BE2158" t="s">
        <v>132</v>
      </c>
      <c r="BH2158" t="s">
        <v>2232</v>
      </c>
      <c r="BI2158" t="s">
        <v>131</v>
      </c>
      <c r="BL2158" t="s">
        <v>133</v>
      </c>
      <c r="BN2158" t="s">
        <v>5139</v>
      </c>
      <c r="BO2158" t="s">
        <v>131</v>
      </c>
      <c r="BP2158" t="s">
        <v>134</v>
      </c>
      <c r="BQ2158" t="s">
        <v>131</v>
      </c>
      <c r="BS2158" t="str">
        <f t="shared" si="126"/>
        <v>N/A</v>
      </c>
      <c r="BT2158" t="s">
        <v>135</v>
      </c>
      <c r="BU2158">
        <v>60</v>
      </c>
      <c r="BV2158" t="str">
        <f>"*Please see Box F.b.5"</f>
        <v>*Please see Box F.b.5</v>
      </c>
      <c r="BW2158" t="s">
        <v>135</v>
      </c>
      <c r="BX2158" t="str">
        <f>""</f>
        <v/>
      </c>
      <c r="BY2158" t="str">
        <f>""</f>
        <v/>
      </c>
      <c r="BZ2158" t="str">
        <f>""</f>
        <v/>
      </c>
      <c r="CA2158" s="2" t="s">
        <v>5140</v>
      </c>
      <c r="CB2158" t="s">
        <v>131</v>
      </c>
      <c r="CF2158" t="s">
        <v>131</v>
      </c>
      <c r="CH2158" t="str">
        <f>""</f>
        <v/>
      </c>
      <c r="CI2158" t="s">
        <v>131</v>
      </c>
      <c r="CK2158" t="s">
        <v>131</v>
      </c>
      <c r="CL2158" t="str">
        <f>""</f>
        <v/>
      </c>
      <c r="CM2158" t="str">
        <f>""</f>
        <v/>
      </c>
      <c r="CN2158" t="str">
        <f>""</f>
        <v/>
      </c>
      <c r="CO2158" t="str">
        <f>""</f>
        <v/>
      </c>
      <c r="CP2158" t="str">
        <f t="shared" si="129"/>
        <v>11-1011.00</v>
      </c>
      <c r="CQ2158" t="s">
        <v>2235</v>
      </c>
      <c r="CR2158" t="s">
        <v>583</v>
      </c>
      <c r="CS2158" t="s">
        <v>135</v>
      </c>
      <c r="CT2158" t="s">
        <v>2236</v>
      </c>
      <c r="CU2158" t="s">
        <v>2237</v>
      </c>
      <c r="CW2158" t="s">
        <v>1647</v>
      </c>
      <c r="CX2158" t="s">
        <v>377</v>
      </c>
      <c r="CZ2158" s="3" t="str">
        <f t="shared" si="130"/>
        <v>02110</v>
      </c>
      <c r="DA2158" t="s">
        <v>131</v>
      </c>
      <c r="DB2158" t="str">
        <f>""</f>
        <v/>
      </c>
      <c r="DF2158" t="str">
        <f>""</f>
        <v/>
      </c>
    </row>
    <row r="2159" spans="1:110" ht="15" customHeight="1" x14ac:dyDescent="0.35">
      <c r="A2159" t="s">
        <v>19748</v>
      </c>
      <c r="B2159" t="s">
        <v>138</v>
      </c>
      <c r="C2159" s="1">
        <v>44371</v>
      </c>
      <c r="G2159" s="1">
        <v>44371</v>
      </c>
      <c r="H2159" t="s">
        <v>125</v>
      </c>
      <c r="I2159" t="s">
        <v>2221</v>
      </c>
      <c r="J2159" t="s">
        <v>2222</v>
      </c>
      <c r="L2159" t="s">
        <v>5136</v>
      </c>
      <c r="M2159" t="s">
        <v>5137</v>
      </c>
      <c r="O2159" t="s">
        <v>376</v>
      </c>
      <c r="P2159" t="s">
        <v>720</v>
      </c>
      <c r="Q2159" s="3">
        <v>2110</v>
      </c>
      <c r="R2159" t="s">
        <v>128</v>
      </c>
      <c r="T2159" s="4">
        <v>13333333333</v>
      </c>
      <c r="V2159" t="s">
        <v>2225</v>
      </c>
      <c r="W2159" t="s">
        <v>2226</v>
      </c>
      <c r="Y2159" t="s">
        <v>5138</v>
      </c>
      <c r="AA2159" t="s">
        <v>2228</v>
      </c>
      <c r="AB2159" t="s">
        <v>172</v>
      </c>
      <c r="AC2159" s="3" t="str">
        <f t="shared" si="127"/>
        <v>99999</v>
      </c>
      <c r="AD2159" t="s">
        <v>128</v>
      </c>
      <c r="AF2159" s="4">
        <v>15555555555</v>
      </c>
      <c r="AH2159" t="str">
        <f t="shared" si="128"/>
        <v>11234</v>
      </c>
      <c r="AI2159" t="s">
        <v>130</v>
      </c>
      <c r="AJ2159" t="s">
        <v>2229</v>
      </c>
      <c r="AK2159" t="s">
        <v>1456</v>
      </c>
      <c r="AM2159" t="s">
        <v>2230</v>
      </c>
      <c r="AO2159" t="s">
        <v>376</v>
      </c>
      <c r="AP2159" t="s">
        <v>377</v>
      </c>
      <c r="AQ2159" s="5">
        <v>2110</v>
      </c>
      <c r="AR2159" t="s">
        <v>128</v>
      </c>
      <c r="AT2159" s="4">
        <v>19999999999</v>
      </c>
      <c r="AV2159" t="s">
        <v>2225</v>
      </c>
      <c r="AW2159" t="s">
        <v>2226</v>
      </c>
      <c r="AX2159" t="s">
        <v>131</v>
      </c>
      <c r="AY2159" t="s">
        <v>131</v>
      </c>
      <c r="AZ2159" t="s">
        <v>131</v>
      </c>
      <c r="BA2159" t="s">
        <v>131</v>
      </c>
      <c r="BB2159" t="s">
        <v>131</v>
      </c>
      <c r="BC2159" t="s">
        <v>131</v>
      </c>
      <c r="BD2159" t="s">
        <v>131</v>
      </c>
      <c r="BE2159" t="s">
        <v>132</v>
      </c>
      <c r="BH2159" t="s">
        <v>2232</v>
      </c>
      <c r="BI2159" t="s">
        <v>131</v>
      </c>
      <c r="BL2159" t="s">
        <v>133</v>
      </c>
      <c r="BN2159" t="s">
        <v>5139</v>
      </c>
      <c r="BO2159" t="s">
        <v>131</v>
      </c>
      <c r="BP2159" t="s">
        <v>134</v>
      </c>
      <c r="BQ2159" t="s">
        <v>131</v>
      </c>
      <c r="BS2159" t="str">
        <f t="shared" si="126"/>
        <v>N/A</v>
      </c>
      <c r="BT2159" t="s">
        <v>135</v>
      </c>
      <c r="BU2159">
        <v>60</v>
      </c>
      <c r="BV2159" t="str">
        <f>"*Please see Box F.b.5"</f>
        <v>*Please see Box F.b.5</v>
      </c>
      <c r="BW2159" t="s">
        <v>135</v>
      </c>
      <c r="BX2159" t="str">
        <f>""</f>
        <v/>
      </c>
      <c r="BY2159" t="str">
        <f>""</f>
        <v/>
      </c>
      <c r="BZ2159" t="str">
        <f>""</f>
        <v/>
      </c>
      <c r="CA2159" s="2" t="s">
        <v>19749</v>
      </c>
      <c r="CB2159" t="s">
        <v>131</v>
      </c>
      <c r="CF2159" t="s">
        <v>131</v>
      </c>
      <c r="CH2159" t="str">
        <f>""</f>
        <v/>
      </c>
      <c r="CI2159" t="s">
        <v>131</v>
      </c>
      <c r="CK2159" t="s">
        <v>131</v>
      </c>
      <c r="CL2159" t="str">
        <f>""</f>
        <v/>
      </c>
      <c r="CM2159" t="str">
        <f>""</f>
        <v/>
      </c>
      <c r="CN2159" t="str">
        <f>""</f>
        <v/>
      </c>
      <c r="CO2159" t="str">
        <f>""</f>
        <v/>
      </c>
      <c r="CP2159" t="str">
        <f t="shared" si="129"/>
        <v>11-1011.00</v>
      </c>
      <c r="CQ2159" t="s">
        <v>2235</v>
      </c>
      <c r="CR2159" t="s">
        <v>1310</v>
      </c>
      <c r="CS2159" t="s">
        <v>135</v>
      </c>
      <c r="CT2159" t="s">
        <v>2236</v>
      </c>
      <c r="CU2159" t="s">
        <v>2237</v>
      </c>
      <c r="CW2159" t="s">
        <v>1647</v>
      </c>
      <c r="CX2159" t="s">
        <v>377</v>
      </c>
      <c r="CZ2159" s="3" t="str">
        <f t="shared" si="130"/>
        <v>02110</v>
      </c>
      <c r="DA2159" t="s">
        <v>131</v>
      </c>
      <c r="DB2159" t="str">
        <f>""</f>
        <v/>
      </c>
      <c r="DF2159" t="str">
        <f>""</f>
        <v/>
      </c>
    </row>
    <row r="2160" spans="1:110" ht="15" customHeight="1" x14ac:dyDescent="0.35">
      <c r="A2160" t="s">
        <v>11233</v>
      </c>
      <c r="B2160" t="s">
        <v>138</v>
      </c>
      <c r="C2160" s="1">
        <v>44371</v>
      </c>
      <c r="G2160" s="1">
        <v>44371</v>
      </c>
      <c r="H2160" t="s">
        <v>125</v>
      </c>
      <c r="I2160" t="s">
        <v>627</v>
      </c>
      <c r="J2160" t="s">
        <v>11234</v>
      </c>
      <c r="L2160" t="s">
        <v>5136</v>
      </c>
      <c r="M2160" t="s">
        <v>11235</v>
      </c>
      <c r="O2160" t="s">
        <v>376</v>
      </c>
      <c r="P2160" t="s">
        <v>720</v>
      </c>
      <c r="Q2160" s="3">
        <v>2110</v>
      </c>
      <c r="R2160" t="s">
        <v>128</v>
      </c>
      <c r="T2160" s="4">
        <v>13333333333</v>
      </c>
      <c r="V2160" t="s">
        <v>2225</v>
      </c>
      <c r="W2160" t="s">
        <v>2231</v>
      </c>
      <c r="Y2160" t="s">
        <v>2227</v>
      </c>
      <c r="AA2160" t="s">
        <v>2228</v>
      </c>
      <c r="AB2160" t="s">
        <v>172</v>
      </c>
      <c r="AC2160" s="3" t="str">
        <f t="shared" si="127"/>
        <v>99999</v>
      </c>
      <c r="AD2160" t="s">
        <v>128</v>
      </c>
      <c r="AF2160" s="4">
        <v>15555555555</v>
      </c>
      <c r="AH2160" t="str">
        <f t="shared" si="128"/>
        <v>11234</v>
      </c>
      <c r="AI2160" t="s">
        <v>130</v>
      </c>
      <c r="AJ2160" t="s">
        <v>2229</v>
      </c>
      <c r="AK2160" t="s">
        <v>11236</v>
      </c>
      <c r="AM2160" t="s">
        <v>2230</v>
      </c>
      <c r="AO2160" t="s">
        <v>376</v>
      </c>
      <c r="AP2160" t="s">
        <v>377</v>
      </c>
      <c r="AQ2160" s="5">
        <v>2110</v>
      </c>
      <c r="AR2160" t="s">
        <v>128</v>
      </c>
      <c r="AT2160" s="4">
        <v>19999999999</v>
      </c>
      <c r="AV2160" t="s">
        <v>2225</v>
      </c>
      <c r="AW2160" t="s">
        <v>2231</v>
      </c>
      <c r="AX2160" t="s">
        <v>131</v>
      </c>
      <c r="AY2160" t="s">
        <v>131</v>
      </c>
      <c r="AZ2160" t="s">
        <v>131</v>
      </c>
      <c r="BA2160" t="s">
        <v>131</v>
      </c>
      <c r="BB2160" t="s">
        <v>131</v>
      </c>
      <c r="BC2160" t="s">
        <v>131</v>
      </c>
      <c r="BD2160" t="s">
        <v>131</v>
      </c>
      <c r="BE2160" t="s">
        <v>132</v>
      </c>
      <c r="BH2160" t="s">
        <v>2232</v>
      </c>
      <c r="BI2160" t="s">
        <v>131</v>
      </c>
      <c r="BL2160" t="s">
        <v>133</v>
      </c>
      <c r="BN2160" t="s">
        <v>5139</v>
      </c>
      <c r="BO2160" t="s">
        <v>131</v>
      </c>
      <c r="BP2160" t="s">
        <v>134</v>
      </c>
      <c r="BQ2160" t="s">
        <v>131</v>
      </c>
      <c r="BS2160" t="str">
        <f t="shared" si="126"/>
        <v>N/A</v>
      </c>
      <c r="BT2160" t="s">
        <v>135</v>
      </c>
      <c r="BU2160">
        <v>60</v>
      </c>
      <c r="BV2160" t="str">
        <f>"* Please see F.b.5"</f>
        <v>* Please see F.b.5</v>
      </c>
      <c r="BW2160" t="s">
        <v>135</v>
      </c>
      <c r="BX2160" t="str">
        <f>""</f>
        <v/>
      </c>
      <c r="BY2160" t="str">
        <f>""</f>
        <v/>
      </c>
      <c r="BZ2160" t="str">
        <f>""</f>
        <v/>
      </c>
      <c r="CA2160" s="2" t="s">
        <v>11237</v>
      </c>
      <c r="CB2160" t="s">
        <v>131</v>
      </c>
      <c r="CF2160" t="s">
        <v>131</v>
      </c>
      <c r="CH2160" t="str">
        <f>""</f>
        <v/>
      </c>
      <c r="CI2160" t="s">
        <v>131</v>
      </c>
      <c r="CK2160" t="s">
        <v>131</v>
      </c>
      <c r="CL2160" t="str">
        <f>""</f>
        <v/>
      </c>
      <c r="CM2160" t="str">
        <f>""</f>
        <v/>
      </c>
      <c r="CN2160" t="str">
        <f>""</f>
        <v/>
      </c>
      <c r="CO2160" t="str">
        <f>""</f>
        <v/>
      </c>
      <c r="CP2160" t="str">
        <f t="shared" si="129"/>
        <v>11-1011.00</v>
      </c>
      <c r="CQ2160" t="s">
        <v>2235</v>
      </c>
      <c r="CR2160" t="s">
        <v>8040</v>
      </c>
      <c r="CS2160" t="s">
        <v>135</v>
      </c>
      <c r="CT2160" t="s">
        <v>11238</v>
      </c>
      <c r="CU2160" t="s">
        <v>11239</v>
      </c>
      <c r="CW2160" t="s">
        <v>2238</v>
      </c>
      <c r="CX2160" t="s">
        <v>377</v>
      </c>
      <c r="CZ2160" s="3" t="str">
        <f t="shared" si="130"/>
        <v>02110</v>
      </c>
      <c r="DA2160" t="s">
        <v>131</v>
      </c>
      <c r="DB2160" t="str">
        <f>""</f>
        <v/>
      </c>
      <c r="DF2160" t="str">
        <f>""</f>
        <v/>
      </c>
    </row>
    <row r="2161" spans="1:110" ht="15" customHeight="1" x14ac:dyDescent="0.35">
      <c r="A2161" t="s">
        <v>5135</v>
      </c>
      <c r="B2161" t="s">
        <v>138</v>
      </c>
      <c r="C2161" s="1">
        <v>44371</v>
      </c>
      <c r="G2161" s="1">
        <v>44371</v>
      </c>
      <c r="H2161" t="s">
        <v>125</v>
      </c>
      <c r="I2161" t="s">
        <v>2221</v>
      </c>
      <c r="J2161" t="s">
        <v>2222</v>
      </c>
      <c r="L2161" t="s">
        <v>5136</v>
      </c>
      <c r="M2161" t="s">
        <v>5137</v>
      </c>
      <c r="O2161" t="s">
        <v>376</v>
      </c>
      <c r="P2161" t="s">
        <v>720</v>
      </c>
      <c r="Q2161" s="3">
        <v>2110</v>
      </c>
      <c r="R2161" t="s">
        <v>128</v>
      </c>
      <c r="T2161" s="4">
        <v>13333333333</v>
      </c>
      <c r="V2161" t="s">
        <v>2225</v>
      </c>
      <c r="W2161" t="s">
        <v>2226</v>
      </c>
      <c r="Y2161" t="s">
        <v>5138</v>
      </c>
      <c r="AA2161" t="s">
        <v>2228</v>
      </c>
      <c r="AB2161" t="s">
        <v>172</v>
      </c>
      <c r="AC2161" s="3" t="str">
        <f t="shared" si="127"/>
        <v>99999</v>
      </c>
      <c r="AD2161" t="s">
        <v>128</v>
      </c>
      <c r="AF2161" s="4">
        <v>15555555555</v>
      </c>
      <c r="AH2161" t="str">
        <f t="shared" si="128"/>
        <v>11234</v>
      </c>
      <c r="AI2161" t="s">
        <v>130</v>
      </c>
      <c r="AJ2161" t="s">
        <v>2229</v>
      </c>
      <c r="AK2161" t="s">
        <v>1456</v>
      </c>
      <c r="AM2161" t="s">
        <v>2230</v>
      </c>
      <c r="AO2161" t="s">
        <v>376</v>
      </c>
      <c r="AP2161" t="s">
        <v>377</v>
      </c>
      <c r="AQ2161" s="5">
        <v>2110</v>
      </c>
      <c r="AR2161" t="s">
        <v>128</v>
      </c>
      <c r="AT2161" s="4">
        <v>19999999999</v>
      </c>
      <c r="AV2161" t="s">
        <v>2225</v>
      </c>
      <c r="AW2161" t="s">
        <v>2226</v>
      </c>
      <c r="AX2161" t="s">
        <v>131</v>
      </c>
      <c r="AY2161" t="s">
        <v>131</v>
      </c>
      <c r="AZ2161" t="s">
        <v>131</v>
      </c>
      <c r="BA2161" t="s">
        <v>131</v>
      </c>
      <c r="BB2161" t="s">
        <v>131</v>
      </c>
      <c r="BC2161" t="s">
        <v>131</v>
      </c>
      <c r="BD2161" t="s">
        <v>131</v>
      </c>
      <c r="BE2161" t="s">
        <v>132</v>
      </c>
      <c r="BH2161" t="s">
        <v>2232</v>
      </c>
      <c r="BI2161" t="s">
        <v>131</v>
      </c>
      <c r="BL2161" t="s">
        <v>133</v>
      </c>
      <c r="BN2161" t="s">
        <v>5139</v>
      </c>
      <c r="BO2161" t="s">
        <v>131</v>
      </c>
      <c r="BP2161" t="s">
        <v>134</v>
      </c>
      <c r="BQ2161" t="s">
        <v>131</v>
      </c>
      <c r="BS2161" t="str">
        <f t="shared" si="126"/>
        <v>N/A</v>
      </c>
      <c r="BT2161" t="s">
        <v>135</v>
      </c>
      <c r="BU2161">
        <v>60</v>
      </c>
      <c r="BV2161" t="str">
        <f>"Please see Box F.b.5"</f>
        <v>Please see Box F.b.5</v>
      </c>
      <c r="BW2161" t="s">
        <v>135</v>
      </c>
      <c r="BX2161" t="str">
        <f>""</f>
        <v/>
      </c>
      <c r="BY2161" t="str">
        <f>""</f>
        <v/>
      </c>
      <c r="BZ2161" t="str">
        <f>""</f>
        <v/>
      </c>
      <c r="CA2161" s="2" t="s">
        <v>5140</v>
      </c>
      <c r="CB2161" t="s">
        <v>131</v>
      </c>
      <c r="CF2161" t="s">
        <v>131</v>
      </c>
      <c r="CH2161" t="str">
        <f>""</f>
        <v/>
      </c>
      <c r="CI2161" t="s">
        <v>131</v>
      </c>
      <c r="CK2161" t="s">
        <v>131</v>
      </c>
      <c r="CL2161" t="str">
        <f>""</f>
        <v/>
      </c>
      <c r="CM2161" t="str">
        <f>""</f>
        <v/>
      </c>
      <c r="CN2161" t="str">
        <f>""</f>
        <v/>
      </c>
      <c r="CO2161" t="str">
        <f>""</f>
        <v/>
      </c>
      <c r="CP2161" t="str">
        <f t="shared" si="129"/>
        <v>11-1011.00</v>
      </c>
      <c r="CQ2161" t="s">
        <v>2235</v>
      </c>
      <c r="CR2161" t="s">
        <v>583</v>
      </c>
      <c r="CS2161" t="s">
        <v>135</v>
      </c>
      <c r="CT2161" t="s">
        <v>2236</v>
      </c>
      <c r="CU2161" t="s">
        <v>2237</v>
      </c>
      <c r="CW2161" t="s">
        <v>1647</v>
      </c>
      <c r="CX2161" t="s">
        <v>377</v>
      </c>
      <c r="CZ2161" s="3" t="str">
        <f t="shared" si="130"/>
        <v>02110</v>
      </c>
      <c r="DA2161" t="s">
        <v>131</v>
      </c>
      <c r="DB2161" t="str">
        <f>""</f>
        <v/>
      </c>
      <c r="DF2161" t="str">
        <f>""</f>
        <v/>
      </c>
    </row>
    <row r="2162" spans="1:110" ht="15" customHeight="1" x14ac:dyDescent="0.35">
      <c r="A2162" t="s">
        <v>15001</v>
      </c>
      <c r="B2162" t="s">
        <v>138</v>
      </c>
      <c r="C2162" s="1">
        <v>44371</v>
      </c>
      <c r="G2162" s="1">
        <v>44371</v>
      </c>
      <c r="H2162" t="s">
        <v>125</v>
      </c>
      <c r="I2162" t="s">
        <v>2221</v>
      </c>
      <c r="J2162" t="s">
        <v>2222</v>
      </c>
      <c r="L2162" t="s">
        <v>15002</v>
      </c>
      <c r="M2162" t="s">
        <v>5137</v>
      </c>
      <c r="N2162" t="s">
        <v>2690</v>
      </c>
      <c r="O2162" t="s">
        <v>376</v>
      </c>
      <c r="P2162" t="s">
        <v>720</v>
      </c>
      <c r="Q2162" s="3">
        <v>2110</v>
      </c>
      <c r="R2162" t="s">
        <v>128</v>
      </c>
      <c r="T2162" s="4">
        <v>15555555555</v>
      </c>
      <c r="V2162" t="s">
        <v>2225</v>
      </c>
      <c r="W2162" t="s">
        <v>2226</v>
      </c>
      <c r="Y2162" t="s">
        <v>8335</v>
      </c>
      <c r="AA2162" t="s">
        <v>2228</v>
      </c>
      <c r="AB2162" t="s">
        <v>172</v>
      </c>
      <c r="AC2162" s="3" t="str">
        <f t="shared" si="127"/>
        <v>99999</v>
      </c>
      <c r="AD2162" t="s">
        <v>128</v>
      </c>
      <c r="AF2162" s="4">
        <v>15555555555</v>
      </c>
      <c r="AH2162" t="str">
        <f t="shared" si="128"/>
        <v>11234</v>
      </c>
      <c r="AI2162" t="s">
        <v>130</v>
      </c>
      <c r="AJ2162" t="s">
        <v>2229</v>
      </c>
      <c r="AK2162" t="s">
        <v>1456</v>
      </c>
      <c r="AM2162" t="s">
        <v>2230</v>
      </c>
      <c r="AO2162" t="s">
        <v>376</v>
      </c>
      <c r="AP2162" t="s">
        <v>377</v>
      </c>
      <c r="AQ2162" s="5">
        <v>2110</v>
      </c>
      <c r="AR2162" t="s">
        <v>128</v>
      </c>
      <c r="AT2162" s="4">
        <v>15555555555</v>
      </c>
      <c r="AV2162" t="s">
        <v>2225</v>
      </c>
      <c r="AW2162" t="s">
        <v>15003</v>
      </c>
      <c r="AX2162" t="s">
        <v>131</v>
      </c>
      <c r="AY2162" t="s">
        <v>131</v>
      </c>
      <c r="AZ2162" t="s">
        <v>131</v>
      </c>
      <c r="BA2162" t="s">
        <v>131</v>
      </c>
      <c r="BB2162" t="s">
        <v>131</v>
      </c>
      <c r="BC2162" t="s">
        <v>131</v>
      </c>
      <c r="BD2162" t="s">
        <v>131</v>
      </c>
      <c r="BE2162" t="s">
        <v>132</v>
      </c>
      <c r="BH2162" t="s">
        <v>2232</v>
      </c>
      <c r="BI2162" t="s">
        <v>131</v>
      </c>
      <c r="BL2162" t="s">
        <v>133</v>
      </c>
      <c r="BN2162" t="s">
        <v>15004</v>
      </c>
      <c r="BO2162" t="s">
        <v>131</v>
      </c>
      <c r="BP2162" t="s">
        <v>134</v>
      </c>
      <c r="BQ2162" t="s">
        <v>131</v>
      </c>
      <c r="BS2162" t="str">
        <f t="shared" si="126"/>
        <v>N/A</v>
      </c>
      <c r="BT2162" t="s">
        <v>135</v>
      </c>
      <c r="BU2162">
        <v>60</v>
      </c>
      <c r="BV2162" t="str">
        <f>"*Please see box F.b.5"</f>
        <v>*Please see box F.b.5</v>
      </c>
      <c r="BW2162" t="s">
        <v>135</v>
      </c>
      <c r="BX2162" t="str">
        <f>""</f>
        <v/>
      </c>
      <c r="BY2162" t="str">
        <f>""</f>
        <v/>
      </c>
      <c r="BZ2162" t="str">
        <f>""</f>
        <v/>
      </c>
      <c r="CA2162" s="2" t="s">
        <v>15005</v>
      </c>
      <c r="CB2162" t="s">
        <v>131</v>
      </c>
      <c r="CF2162" t="s">
        <v>131</v>
      </c>
      <c r="CH2162" t="str">
        <f>""</f>
        <v/>
      </c>
      <c r="CI2162" t="s">
        <v>131</v>
      </c>
      <c r="CK2162" t="s">
        <v>131</v>
      </c>
      <c r="CL2162" t="str">
        <f>""</f>
        <v/>
      </c>
      <c r="CM2162" t="str">
        <f>""</f>
        <v/>
      </c>
      <c r="CN2162" t="str">
        <f>""</f>
        <v/>
      </c>
      <c r="CO2162" t="str">
        <f>""</f>
        <v/>
      </c>
      <c r="CP2162" t="str">
        <f t="shared" si="129"/>
        <v>11-1011.00</v>
      </c>
      <c r="CQ2162" t="s">
        <v>2235</v>
      </c>
      <c r="CR2162" t="s">
        <v>583</v>
      </c>
      <c r="CS2162" t="s">
        <v>135</v>
      </c>
      <c r="CT2162" t="s">
        <v>15006</v>
      </c>
      <c r="CU2162" t="s">
        <v>15007</v>
      </c>
      <c r="CW2162" t="s">
        <v>1647</v>
      </c>
      <c r="CX2162" t="s">
        <v>377</v>
      </c>
      <c r="CZ2162" s="3" t="str">
        <f t="shared" si="130"/>
        <v>02110</v>
      </c>
      <c r="DA2162" t="s">
        <v>131</v>
      </c>
      <c r="DB2162" t="str">
        <f>""</f>
        <v/>
      </c>
      <c r="DF2162" t="str">
        <f>""</f>
        <v/>
      </c>
    </row>
    <row r="2163" spans="1:110" ht="15" customHeight="1" x14ac:dyDescent="0.35">
      <c r="A2163" t="s">
        <v>16431</v>
      </c>
      <c r="B2163" t="s">
        <v>138</v>
      </c>
      <c r="C2163" s="1">
        <v>44371</v>
      </c>
      <c r="G2163" s="1">
        <v>44371</v>
      </c>
      <c r="H2163" t="s">
        <v>125</v>
      </c>
      <c r="I2163" t="s">
        <v>2221</v>
      </c>
      <c r="J2163" t="s">
        <v>2222</v>
      </c>
      <c r="L2163" t="s">
        <v>16432</v>
      </c>
      <c r="M2163" t="s">
        <v>5137</v>
      </c>
      <c r="O2163" t="s">
        <v>476</v>
      </c>
      <c r="P2163" t="s">
        <v>178</v>
      </c>
      <c r="Q2163" s="3">
        <v>90210</v>
      </c>
      <c r="R2163" t="s">
        <v>128</v>
      </c>
      <c r="T2163" s="4">
        <v>13333333333</v>
      </c>
      <c r="V2163" t="s">
        <v>16433</v>
      </c>
      <c r="W2163" t="s">
        <v>2231</v>
      </c>
      <c r="Y2163" t="s">
        <v>16434</v>
      </c>
      <c r="AA2163" t="s">
        <v>2228</v>
      </c>
      <c r="AB2163" t="s">
        <v>172</v>
      </c>
      <c r="AC2163" s="3" t="str">
        <f t="shared" si="127"/>
        <v>99999</v>
      </c>
      <c r="AD2163" t="s">
        <v>128</v>
      </c>
      <c r="AF2163" s="4">
        <v>15555555555</v>
      </c>
      <c r="AH2163" t="str">
        <f t="shared" si="128"/>
        <v>11234</v>
      </c>
      <c r="AI2163" t="s">
        <v>130</v>
      </c>
      <c r="AJ2163" t="s">
        <v>2229</v>
      </c>
      <c r="AK2163" t="s">
        <v>1456</v>
      </c>
      <c r="AM2163" t="s">
        <v>2230</v>
      </c>
      <c r="AO2163" t="s">
        <v>376</v>
      </c>
      <c r="AP2163" t="s">
        <v>377</v>
      </c>
      <c r="AQ2163" s="5">
        <v>2110</v>
      </c>
      <c r="AR2163" t="s">
        <v>128</v>
      </c>
      <c r="AT2163" s="4">
        <v>19999999999</v>
      </c>
      <c r="AV2163" t="s">
        <v>16435</v>
      </c>
      <c r="AW2163" t="s">
        <v>2231</v>
      </c>
      <c r="AX2163" t="s">
        <v>131</v>
      </c>
      <c r="AY2163" t="s">
        <v>131</v>
      </c>
      <c r="AZ2163" t="s">
        <v>131</v>
      </c>
      <c r="BA2163" t="s">
        <v>131</v>
      </c>
      <c r="BB2163" t="s">
        <v>131</v>
      </c>
      <c r="BC2163" t="s">
        <v>131</v>
      </c>
      <c r="BD2163" t="s">
        <v>131</v>
      </c>
      <c r="BE2163" t="s">
        <v>132</v>
      </c>
      <c r="BH2163" t="s">
        <v>2232</v>
      </c>
      <c r="BI2163" t="s">
        <v>131</v>
      </c>
      <c r="BL2163" t="s">
        <v>133</v>
      </c>
      <c r="BN2163" t="s">
        <v>16436</v>
      </c>
      <c r="BO2163" t="s">
        <v>131</v>
      </c>
      <c r="BP2163" t="s">
        <v>134</v>
      </c>
      <c r="BQ2163" t="s">
        <v>131</v>
      </c>
      <c r="BS2163" t="str">
        <f t="shared" si="126"/>
        <v>N/A</v>
      </c>
      <c r="BT2163" t="s">
        <v>135</v>
      </c>
      <c r="BU2163">
        <v>60</v>
      </c>
      <c r="BV2163" t="str">
        <f>"*Please see Box F.b. 5"</f>
        <v>*Please see Box F.b. 5</v>
      </c>
      <c r="BW2163" t="s">
        <v>135</v>
      </c>
      <c r="BX2163" t="str">
        <f>""</f>
        <v/>
      </c>
      <c r="BY2163" t="str">
        <f>""</f>
        <v/>
      </c>
      <c r="BZ2163" t="str">
        <f>""</f>
        <v/>
      </c>
      <c r="CA2163" s="2" t="s">
        <v>5140</v>
      </c>
      <c r="CB2163" t="s">
        <v>131</v>
      </c>
      <c r="CF2163" t="s">
        <v>131</v>
      </c>
      <c r="CH2163" t="str">
        <f>""</f>
        <v/>
      </c>
      <c r="CI2163" t="s">
        <v>131</v>
      </c>
      <c r="CK2163" t="s">
        <v>131</v>
      </c>
      <c r="CL2163" t="str">
        <f>""</f>
        <v/>
      </c>
      <c r="CM2163" t="str">
        <f>""</f>
        <v/>
      </c>
      <c r="CN2163" t="str">
        <f>""</f>
        <v/>
      </c>
      <c r="CO2163" t="str">
        <f>""</f>
        <v/>
      </c>
      <c r="CP2163" t="str">
        <f t="shared" si="129"/>
        <v>11-1011.00</v>
      </c>
      <c r="CQ2163" t="s">
        <v>2235</v>
      </c>
      <c r="CR2163" t="s">
        <v>1310</v>
      </c>
      <c r="CS2163" t="s">
        <v>135</v>
      </c>
      <c r="CT2163" t="s">
        <v>2236</v>
      </c>
      <c r="CU2163" t="s">
        <v>16437</v>
      </c>
      <c r="CW2163" t="s">
        <v>15719</v>
      </c>
      <c r="CX2163" t="s">
        <v>172</v>
      </c>
      <c r="CZ2163" s="3" t="str">
        <f>"90000"</f>
        <v>90000</v>
      </c>
      <c r="DA2163" t="s">
        <v>131</v>
      </c>
      <c r="DB2163" t="str">
        <f>""</f>
        <v/>
      </c>
      <c r="DF2163" t="str">
        <f>""</f>
        <v/>
      </c>
    </row>
    <row r="2164" spans="1:110" ht="15" customHeight="1" x14ac:dyDescent="0.35">
      <c r="A2164" t="s">
        <v>15018</v>
      </c>
      <c r="B2164" t="s">
        <v>138</v>
      </c>
      <c r="C2164" s="1">
        <v>44371</v>
      </c>
      <c r="G2164" s="1">
        <v>44371</v>
      </c>
      <c r="H2164" t="s">
        <v>125</v>
      </c>
      <c r="I2164" t="s">
        <v>2221</v>
      </c>
      <c r="J2164" t="s">
        <v>2222</v>
      </c>
      <c r="L2164" t="s">
        <v>15019</v>
      </c>
      <c r="M2164" t="s">
        <v>5137</v>
      </c>
      <c r="O2164" t="s">
        <v>376</v>
      </c>
      <c r="P2164" t="s">
        <v>720</v>
      </c>
      <c r="Q2164" s="3">
        <v>2110</v>
      </c>
      <c r="R2164" t="s">
        <v>128</v>
      </c>
      <c r="T2164" s="4">
        <v>13333333333</v>
      </c>
      <c r="V2164" t="s">
        <v>2225</v>
      </c>
      <c r="W2164" t="s">
        <v>15020</v>
      </c>
      <c r="Y2164" t="s">
        <v>5138</v>
      </c>
      <c r="AA2164" t="s">
        <v>2228</v>
      </c>
      <c r="AB2164" t="s">
        <v>172</v>
      </c>
      <c r="AC2164" s="3" t="str">
        <f t="shared" si="127"/>
        <v>99999</v>
      </c>
      <c r="AD2164" t="s">
        <v>128</v>
      </c>
      <c r="AF2164" s="4">
        <v>15555555555</v>
      </c>
      <c r="AH2164" t="str">
        <f t="shared" si="128"/>
        <v>11234</v>
      </c>
      <c r="AI2164" t="s">
        <v>130</v>
      </c>
      <c r="AJ2164" t="s">
        <v>2229</v>
      </c>
      <c r="AK2164" t="s">
        <v>1456</v>
      </c>
      <c r="AM2164" t="s">
        <v>15021</v>
      </c>
      <c r="AO2164" t="s">
        <v>376</v>
      </c>
      <c r="AP2164" t="s">
        <v>377</v>
      </c>
      <c r="AQ2164" s="5">
        <v>2110</v>
      </c>
      <c r="AR2164" t="s">
        <v>128</v>
      </c>
      <c r="AT2164" s="4">
        <v>19999999999</v>
      </c>
      <c r="AV2164" t="s">
        <v>2225</v>
      </c>
      <c r="AW2164" t="s">
        <v>15020</v>
      </c>
      <c r="AX2164" t="s">
        <v>131</v>
      </c>
      <c r="AY2164" t="s">
        <v>131</v>
      </c>
      <c r="AZ2164" t="s">
        <v>131</v>
      </c>
      <c r="BA2164" t="s">
        <v>131</v>
      </c>
      <c r="BB2164" t="s">
        <v>131</v>
      </c>
      <c r="BC2164" t="s">
        <v>131</v>
      </c>
      <c r="BD2164" t="s">
        <v>131</v>
      </c>
      <c r="BE2164" t="s">
        <v>132</v>
      </c>
      <c r="BH2164" t="s">
        <v>2232</v>
      </c>
      <c r="BI2164" t="s">
        <v>131</v>
      </c>
      <c r="BL2164" t="s">
        <v>133</v>
      </c>
      <c r="BN2164" t="s">
        <v>5139</v>
      </c>
      <c r="BO2164" t="s">
        <v>131</v>
      </c>
      <c r="BP2164" t="s">
        <v>134</v>
      </c>
      <c r="BQ2164" t="s">
        <v>131</v>
      </c>
      <c r="BS2164" t="str">
        <f t="shared" si="126"/>
        <v>N/A</v>
      </c>
      <c r="BT2164" t="s">
        <v>135</v>
      </c>
      <c r="BU2164">
        <v>60</v>
      </c>
      <c r="BV2164" t="str">
        <f>"* Please see Box F.b.5"</f>
        <v>* Please see Box F.b.5</v>
      </c>
      <c r="BW2164" t="s">
        <v>135</v>
      </c>
      <c r="BX2164" t="str">
        <f>""</f>
        <v/>
      </c>
      <c r="BY2164" t="str">
        <f>""</f>
        <v/>
      </c>
      <c r="BZ2164" t="str">
        <f>""</f>
        <v/>
      </c>
      <c r="CA2164" s="2" t="s">
        <v>15022</v>
      </c>
      <c r="CB2164" t="s">
        <v>131</v>
      </c>
      <c r="CF2164" t="s">
        <v>131</v>
      </c>
      <c r="CH2164" t="str">
        <f>""</f>
        <v/>
      </c>
      <c r="CI2164" t="s">
        <v>131</v>
      </c>
      <c r="CK2164" t="s">
        <v>131</v>
      </c>
      <c r="CL2164" t="str">
        <f>""</f>
        <v/>
      </c>
      <c r="CM2164" t="str">
        <f>""</f>
        <v/>
      </c>
      <c r="CN2164" t="str">
        <f>""</f>
        <v/>
      </c>
      <c r="CO2164" t="str">
        <f>""</f>
        <v/>
      </c>
      <c r="CP2164" t="str">
        <f t="shared" si="129"/>
        <v>11-1011.00</v>
      </c>
      <c r="CQ2164" t="s">
        <v>2235</v>
      </c>
      <c r="CR2164" t="s">
        <v>583</v>
      </c>
      <c r="CS2164" t="s">
        <v>135</v>
      </c>
      <c r="CT2164" t="s">
        <v>2236</v>
      </c>
      <c r="CU2164" t="s">
        <v>2237</v>
      </c>
      <c r="CW2164" t="s">
        <v>1647</v>
      </c>
      <c r="CX2164" t="s">
        <v>377</v>
      </c>
      <c r="CZ2164" s="3" t="str">
        <f>"02110"</f>
        <v>02110</v>
      </c>
      <c r="DA2164" t="s">
        <v>131</v>
      </c>
      <c r="DB2164" t="str">
        <f>""</f>
        <v/>
      </c>
      <c r="DF2164" t="str">
        <f>""</f>
        <v/>
      </c>
    </row>
    <row r="2165" spans="1:110" ht="15" customHeight="1" x14ac:dyDescent="0.35">
      <c r="A2165" t="s">
        <v>19249</v>
      </c>
      <c r="B2165" t="s">
        <v>138</v>
      </c>
      <c r="C2165" s="1">
        <v>44371</v>
      </c>
      <c r="G2165" s="1">
        <v>44371</v>
      </c>
      <c r="H2165" t="s">
        <v>125</v>
      </c>
      <c r="I2165" t="s">
        <v>2221</v>
      </c>
      <c r="J2165" t="s">
        <v>2222</v>
      </c>
      <c r="L2165" t="s">
        <v>19250</v>
      </c>
      <c r="M2165" t="s">
        <v>19251</v>
      </c>
      <c r="N2165" t="s">
        <v>19252</v>
      </c>
      <c r="O2165" t="s">
        <v>8250</v>
      </c>
      <c r="P2165" t="s">
        <v>720</v>
      </c>
      <c r="Q2165" s="3">
        <v>2110</v>
      </c>
      <c r="R2165" t="s">
        <v>128</v>
      </c>
      <c r="T2165" s="4">
        <v>13333333333</v>
      </c>
      <c r="V2165" t="s">
        <v>2225</v>
      </c>
      <c r="W2165" t="s">
        <v>2226</v>
      </c>
      <c r="Y2165" t="s">
        <v>5138</v>
      </c>
      <c r="AA2165" t="s">
        <v>2228</v>
      </c>
      <c r="AB2165" t="s">
        <v>172</v>
      </c>
      <c r="AC2165" s="3" t="str">
        <f t="shared" si="127"/>
        <v>99999</v>
      </c>
      <c r="AD2165" t="s">
        <v>128</v>
      </c>
      <c r="AF2165" s="4">
        <v>15555555555</v>
      </c>
      <c r="AH2165" t="str">
        <f t="shared" si="128"/>
        <v>11234</v>
      </c>
      <c r="AI2165" t="s">
        <v>130</v>
      </c>
      <c r="AJ2165" t="s">
        <v>2229</v>
      </c>
      <c r="AK2165" t="s">
        <v>11236</v>
      </c>
      <c r="AM2165" t="s">
        <v>2230</v>
      </c>
      <c r="AO2165" t="s">
        <v>376</v>
      </c>
      <c r="AP2165" t="s">
        <v>377</v>
      </c>
      <c r="AQ2165" s="5">
        <v>2210</v>
      </c>
      <c r="AR2165" t="s">
        <v>128</v>
      </c>
      <c r="AT2165" s="4">
        <v>19999999999</v>
      </c>
      <c r="AV2165" t="s">
        <v>2225</v>
      </c>
      <c r="AW2165" t="s">
        <v>19253</v>
      </c>
      <c r="AX2165" t="s">
        <v>131</v>
      </c>
      <c r="AY2165" t="s">
        <v>131</v>
      </c>
      <c r="AZ2165" t="s">
        <v>131</v>
      </c>
      <c r="BA2165" t="s">
        <v>131</v>
      </c>
      <c r="BB2165" t="s">
        <v>131</v>
      </c>
      <c r="BC2165" t="s">
        <v>131</v>
      </c>
      <c r="BD2165" t="s">
        <v>131</v>
      </c>
      <c r="BE2165" t="s">
        <v>132</v>
      </c>
      <c r="BH2165" t="s">
        <v>2232</v>
      </c>
      <c r="BI2165" t="s">
        <v>131</v>
      </c>
      <c r="BL2165" t="s">
        <v>133</v>
      </c>
      <c r="BN2165" t="s">
        <v>5139</v>
      </c>
      <c r="BO2165" t="s">
        <v>131</v>
      </c>
      <c r="BP2165" t="s">
        <v>134</v>
      </c>
      <c r="BQ2165" t="s">
        <v>131</v>
      </c>
      <c r="BS2165" t="str">
        <f t="shared" si="126"/>
        <v>N/A</v>
      </c>
      <c r="BT2165" t="s">
        <v>135</v>
      </c>
      <c r="BU2165">
        <v>60</v>
      </c>
      <c r="BV2165" t="str">
        <f>"*Please see Box F.b.5"</f>
        <v>*Please see Box F.b.5</v>
      </c>
      <c r="BW2165" t="s">
        <v>135</v>
      </c>
      <c r="BX2165" t="str">
        <f>""</f>
        <v/>
      </c>
      <c r="BY2165" t="str">
        <f>""</f>
        <v/>
      </c>
      <c r="BZ2165" t="str">
        <f>""</f>
        <v/>
      </c>
      <c r="CA2165" s="2" t="s">
        <v>19254</v>
      </c>
      <c r="CB2165" t="s">
        <v>131</v>
      </c>
      <c r="CF2165" t="s">
        <v>131</v>
      </c>
      <c r="CH2165" t="str">
        <f>""</f>
        <v/>
      </c>
      <c r="CI2165" t="s">
        <v>131</v>
      </c>
      <c r="CK2165" t="s">
        <v>131</v>
      </c>
      <c r="CL2165" t="str">
        <f>""</f>
        <v/>
      </c>
      <c r="CM2165" t="str">
        <f>""</f>
        <v/>
      </c>
      <c r="CN2165" t="str">
        <f>""</f>
        <v/>
      </c>
      <c r="CO2165" t="str">
        <f>""</f>
        <v/>
      </c>
      <c r="CP2165" t="str">
        <f t="shared" si="129"/>
        <v>11-1011.00</v>
      </c>
      <c r="CQ2165" t="s">
        <v>2235</v>
      </c>
      <c r="CR2165" t="s">
        <v>583</v>
      </c>
      <c r="CS2165" t="s">
        <v>135</v>
      </c>
      <c r="CT2165" t="s">
        <v>2236</v>
      </c>
      <c r="CU2165" t="s">
        <v>2237</v>
      </c>
      <c r="CW2165" t="s">
        <v>376</v>
      </c>
      <c r="CX2165" t="s">
        <v>377</v>
      </c>
      <c r="CZ2165" s="3" t="str">
        <f>"02110"</f>
        <v>02110</v>
      </c>
      <c r="DA2165" t="s">
        <v>131</v>
      </c>
      <c r="DB2165" t="str">
        <f>""</f>
        <v/>
      </c>
      <c r="DF2165" t="str">
        <f>""</f>
        <v/>
      </c>
    </row>
    <row r="2166" spans="1:110" ht="15" customHeight="1" x14ac:dyDescent="0.35">
      <c r="A2166" t="s">
        <v>2220</v>
      </c>
      <c r="B2166" t="s">
        <v>138</v>
      </c>
      <c r="C2166" s="1">
        <v>44371</v>
      </c>
      <c r="G2166" s="1">
        <v>44371</v>
      </c>
      <c r="H2166" t="s">
        <v>125</v>
      </c>
      <c r="I2166" t="s">
        <v>2221</v>
      </c>
      <c r="J2166" t="s">
        <v>2222</v>
      </c>
      <c r="L2166" t="s">
        <v>2223</v>
      </c>
      <c r="M2166" t="s">
        <v>2224</v>
      </c>
      <c r="O2166" t="s">
        <v>376</v>
      </c>
      <c r="P2166" t="s">
        <v>720</v>
      </c>
      <c r="Q2166" s="3">
        <v>2110</v>
      </c>
      <c r="R2166" t="s">
        <v>128</v>
      </c>
      <c r="T2166" s="4">
        <v>13333333333</v>
      </c>
      <c r="V2166" t="s">
        <v>2225</v>
      </c>
      <c r="W2166" t="s">
        <v>2226</v>
      </c>
      <c r="Y2166" t="s">
        <v>2227</v>
      </c>
      <c r="AA2166" t="s">
        <v>2228</v>
      </c>
      <c r="AB2166" t="s">
        <v>172</v>
      </c>
      <c r="AC2166" s="3" t="str">
        <f t="shared" si="127"/>
        <v>99999</v>
      </c>
      <c r="AD2166" t="s">
        <v>128</v>
      </c>
      <c r="AF2166" s="4">
        <v>13333333333</v>
      </c>
      <c r="AH2166" t="str">
        <f t="shared" si="128"/>
        <v>11234</v>
      </c>
      <c r="AI2166" t="s">
        <v>130</v>
      </c>
      <c r="AJ2166" t="s">
        <v>2229</v>
      </c>
      <c r="AK2166" t="s">
        <v>1456</v>
      </c>
      <c r="AM2166" t="s">
        <v>2230</v>
      </c>
      <c r="AO2166" t="s">
        <v>376</v>
      </c>
      <c r="AP2166" t="s">
        <v>377</v>
      </c>
      <c r="AQ2166" s="5">
        <v>2110</v>
      </c>
      <c r="AR2166" t="s">
        <v>128</v>
      </c>
      <c r="AT2166" s="4">
        <v>19999999999</v>
      </c>
      <c r="AV2166" t="s">
        <v>2225</v>
      </c>
      <c r="AW2166" t="s">
        <v>2231</v>
      </c>
      <c r="AX2166" t="s">
        <v>131</v>
      </c>
      <c r="AY2166" t="s">
        <v>131</v>
      </c>
      <c r="AZ2166" t="s">
        <v>131</v>
      </c>
      <c r="BA2166" t="s">
        <v>131</v>
      </c>
      <c r="BB2166" t="s">
        <v>131</v>
      </c>
      <c r="BC2166" t="s">
        <v>131</v>
      </c>
      <c r="BD2166" t="s">
        <v>131</v>
      </c>
      <c r="BE2166" t="s">
        <v>132</v>
      </c>
      <c r="BH2166" t="s">
        <v>2232</v>
      </c>
      <c r="BI2166" t="s">
        <v>131</v>
      </c>
      <c r="BL2166" t="s">
        <v>133</v>
      </c>
      <c r="BN2166" t="s">
        <v>2233</v>
      </c>
      <c r="BO2166" t="s">
        <v>131</v>
      </c>
      <c r="BP2166" t="s">
        <v>134</v>
      </c>
      <c r="BQ2166" t="s">
        <v>131</v>
      </c>
      <c r="BS2166" t="str">
        <f t="shared" si="126"/>
        <v>N/A</v>
      </c>
      <c r="BT2166" t="s">
        <v>135</v>
      </c>
      <c r="BU2166">
        <v>60</v>
      </c>
      <c r="BV2166" t="str">
        <f>"*Please see Box F.b.5"</f>
        <v>*Please see Box F.b.5</v>
      </c>
      <c r="BW2166" t="s">
        <v>135</v>
      </c>
      <c r="BX2166" t="str">
        <f>""</f>
        <v/>
      </c>
      <c r="BY2166" t="str">
        <f>""</f>
        <v/>
      </c>
      <c r="BZ2166" t="str">
        <f>""</f>
        <v/>
      </c>
      <c r="CA2166" s="2" t="s">
        <v>2234</v>
      </c>
      <c r="CB2166" t="s">
        <v>131</v>
      </c>
      <c r="CF2166" t="s">
        <v>131</v>
      </c>
      <c r="CH2166" t="str">
        <f>""</f>
        <v/>
      </c>
      <c r="CI2166" t="s">
        <v>131</v>
      </c>
      <c r="CK2166" t="s">
        <v>131</v>
      </c>
      <c r="CL2166" t="str">
        <f>""</f>
        <v/>
      </c>
      <c r="CM2166" t="str">
        <f>""</f>
        <v/>
      </c>
      <c r="CN2166" t="str">
        <f>""</f>
        <v/>
      </c>
      <c r="CO2166" t="str">
        <f>""</f>
        <v/>
      </c>
      <c r="CP2166" t="str">
        <f t="shared" si="129"/>
        <v>11-1011.00</v>
      </c>
      <c r="CQ2166" t="s">
        <v>2235</v>
      </c>
      <c r="CR2166" t="s">
        <v>583</v>
      </c>
      <c r="CS2166" t="s">
        <v>135</v>
      </c>
      <c r="CT2166" t="s">
        <v>2236</v>
      </c>
      <c r="CU2166" t="s">
        <v>2237</v>
      </c>
      <c r="CW2166" t="s">
        <v>2238</v>
      </c>
      <c r="CX2166" t="s">
        <v>377</v>
      </c>
      <c r="CZ2166" s="3" t="str">
        <f>"02110"</f>
        <v>02110</v>
      </c>
      <c r="DA2166" t="s">
        <v>131</v>
      </c>
      <c r="DB2166" t="str">
        <f>""</f>
        <v/>
      </c>
      <c r="DF2166" t="str">
        <f>""</f>
        <v/>
      </c>
    </row>
    <row r="2167" spans="1:110" ht="15" customHeight="1" x14ac:dyDescent="0.35">
      <c r="A2167" t="s">
        <v>18880</v>
      </c>
      <c r="B2167" t="s">
        <v>138</v>
      </c>
      <c r="C2167" s="1">
        <v>44371</v>
      </c>
      <c r="G2167" s="1">
        <v>44371</v>
      </c>
      <c r="H2167" t="s">
        <v>125</v>
      </c>
      <c r="I2167" t="s">
        <v>1401</v>
      </c>
      <c r="J2167" t="s">
        <v>1402</v>
      </c>
      <c r="K2167" t="s">
        <v>134</v>
      </c>
      <c r="L2167" t="s">
        <v>1092</v>
      </c>
      <c r="M2167" t="s">
        <v>1403</v>
      </c>
      <c r="N2167" t="s">
        <v>134</v>
      </c>
      <c r="O2167" t="s">
        <v>664</v>
      </c>
      <c r="P2167" t="s">
        <v>178</v>
      </c>
      <c r="Q2167" s="3">
        <v>95131</v>
      </c>
      <c r="R2167" t="s">
        <v>128</v>
      </c>
      <c r="T2167" s="4">
        <v>14089672992</v>
      </c>
      <c r="U2167">
        <v>0</v>
      </c>
      <c r="V2167" t="s">
        <v>1404</v>
      </c>
      <c r="W2167" t="s">
        <v>1405</v>
      </c>
      <c r="Y2167" t="s">
        <v>1403</v>
      </c>
      <c r="Z2167" t="s">
        <v>134</v>
      </c>
      <c r="AA2167" t="s">
        <v>664</v>
      </c>
      <c r="AB2167" t="s">
        <v>172</v>
      </c>
      <c r="AC2167" s="3" t="str">
        <f>"95131"</f>
        <v>95131</v>
      </c>
      <c r="AD2167" t="s">
        <v>128</v>
      </c>
      <c r="AE2167" t="s">
        <v>134</v>
      </c>
      <c r="AF2167" s="4">
        <v>14089672992</v>
      </c>
      <c r="AG2167">
        <v>0</v>
      </c>
      <c r="AH2167" t="str">
        <f>"52232"</f>
        <v>52232</v>
      </c>
      <c r="AI2167" t="s">
        <v>130</v>
      </c>
      <c r="AJ2167" t="s">
        <v>1406</v>
      </c>
      <c r="AK2167" t="s">
        <v>1407</v>
      </c>
      <c r="AL2167" t="s">
        <v>134</v>
      </c>
      <c r="AM2167" t="s">
        <v>1408</v>
      </c>
      <c r="AN2167" t="s">
        <v>690</v>
      </c>
      <c r="AO2167" t="s">
        <v>691</v>
      </c>
      <c r="AP2167" t="s">
        <v>306</v>
      </c>
      <c r="AQ2167" s="5">
        <v>22201</v>
      </c>
      <c r="AR2167" t="s">
        <v>128</v>
      </c>
      <c r="AS2167" t="s">
        <v>134</v>
      </c>
      <c r="AT2167" s="4">
        <v>17036784000</v>
      </c>
      <c r="AU2167">
        <v>0</v>
      </c>
      <c r="AV2167" t="s">
        <v>1409</v>
      </c>
      <c r="AW2167" t="s">
        <v>692</v>
      </c>
      <c r="AX2167" t="s">
        <v>131</v>
      </c>
      <c r="AY2167" t="s">
        <v>131</v>
      </c>
      <c r="AZ2167" t="s">
        <v>131</v>
      </c>
      <c r="BA2167" t="s">
        <v>131</v>
      </c>
      <c r="BB2167" t="s">
        <v>131</v>
      </c>
      <c r="BC2167" t="s">
        <v>131</v>
      </c>
      <c r="BD2167" t="s">
        <v>131</v>
      </c>
      <c r="BE2167" t="s">
        <v>160</v>
      </c>
      <c r="BF2167" t="s">
        <v>1480</v>
      </c>
      <c r="BG2167" s="1">
        <v>44331</v>
      </c>
      <c r="BH2167" t="s">
        <v>17162</v>
      </c>
      <c r="BI2167" t="s">
        <v>135</v>
      </c>
      <c r="BJ2167" t="s">
        <v>16314</v>
      </c>
      <c r="BK2167" t="s">
        <v>16315</v>
      </c>
      <c r="BL2167" t="s">
        <v>188</v>
      </c>
      <c r="BN2167" t="s">
        <v>17163</v>
      </c>
      <c r="BO2167" t="s">
        <v>131</v>
      </c>
      <c r="BP2167" t="s">
        <v>134</v>
      </c>
      <c r="BQ2167" t="s">
        <v>131</v>
      </c>
      <c r="BS2167" t="str">
        <f t="shared" si="126"/>
        <v>N/A</v>
      </c>
      <c r="BT2167" t="s">
        <v>135</v>
      </c>
      <c r="BU2167">
        <v>12</v>
      </c>
      <c r="BV2167" t="str">
        <f>"field of product management."</f>
        <v>field of product management.</v>
      </c>
      <c r="BW2167" t="s">
        <v>135</v>
      </c>
      <c r="BX2167" t="str">
        <f>""</f>
        <v/>
      </c>
      <c r="BY2167" t="str">
        <f>""</f>
        <v/>
      </c>
      <c r="BZ2167" t="str">
        <f>""</f>
        <v/>
      </c>
      <c r="CA2167" s="2" t="s">
        <v>17164</v>
      </c>
      <c r="CB2167" t="s">
        <v>131</v>
      </c>
      <c r="CF2167" t="s">
        <v>131</v>
      </c>
      <c r="CH2167" t="str">
        <f>""</f>
        <v/>
      </c>
      <c r="CI2167" t="s">
        <v>131</v>
      </c>
      <c r="CK2167" t="s">
        <v>131</v>
      </c>
      <c r="CL2167" t="str">
        <f>""</f>
        <v/>
      </c>
      <c r="CM2167" t="str">
        <f>""</f>
        <v/>
      </c>
      <c r="CN2167" t="str">
        <f>""</f>
        <v/>
      </c>
      <c r="CO2167" t="str">
        <f>""</f>
        <v/>
      </c>
      <c r="CP2167" t="str">
        <f>"11-3021.00"</f>
        <v>11-3021.00</v>
      </c>
      <c r="CQ2167" t="s">
        <v>598</v>
      </c>
      <c r="CR2167" t="s">
        <v>8473</v>
      </c>
      <c r="CS2167" t="s">
        <v>131</v>
      </c>
      <c r="CU2167" t="s">
        <v>1403</v>
      </c>
      <c r="CW2167" t="s">
        <v>664</v>
      </c>
      <c r="CX2167" t="s">
        <v>172</v>
      </c>
      <c r="CZ2167" s="3" t="str">
        <f>"95131"</f>
        <v>95131</v>
      </c>
      <c r="DA2167" t="s">
        <v>131</v>
      </c>
      <c r="DB2167" t="str">
        <f>""</f>
        <v/>
      </c>
      <c r="DF2167" t="str">
        <f>""</f>
        <v/>
      </c>
    </row>
    <row r="2168" spans="1:110" ht="15" customHeight="1" x14ac:dyDescent="0.35">
      <c r="A2168" t="s">
        <v>16842</v>
      </c>
      <c r="B2168" t="s">
        <v>138</v>
      </c>
      <c r="C2168" s="1">
        <v>44371</v>
      </c>
      <c r="G2168" s="1">
        <v>44371</v>
      </c>
      <c r="H2168" t="s">
        <v>125</v>
      </c>
      <c r="I2168" t="s">
        <v>1616</v>
      </c>
      <c r="J2168" t="s">
        <v>2793</v>
      </c>
      <c r="L2168" t="s">
        <v>2794</v>
      </c>
      <c r="M2168" t="s">
        <v>2795</v>
      </c>
      <c r="O2168" t="s">
        <v>2796</v>
      </c>
      <c r="P2168" t="s">
        <v>178</v>
      </c>
      <c r="Q2168" s="3">
        <v>92656</v>
      </c>
      <c r="R2168" t="s">
        <v>128</v>
      </c>
      <c r="T2168" s="4">
        <v>19495332644</v>
      </c>
      <c r="V2168" t="s">
        <v>2797</v>
      </c>
      <c r="W2168" t="s">
        <v>2798</v>
      </c>
      <c r="Y2168" t="s">
        <v>2795</v>
      </c>
      <c r="AA2168" t="s">
        <v>2796</v>
      </c>
      <c r="AB2168" t="s">
        <v>172</v>
      </c>
      <c r="AC2168" s="3" t="str">
        <f>"92656"</f>
        <v>92656</v>
      </c>
      <c r="AD2168" t="s">
        <v>128</v>
      </c>
      <c r="AF2168" s="4">
        <v>19495332644</v>
      </c>
      <c r="AH2168" t="str">
        <f>"54151"</f>
        <v>54151</v>
      </c>
      <c r="AI2168" t="s">
        <v>130</v>
      </c>
      <c r="AJ2168" t="s">
        <v>1931</v>
      </c>
      <c r="AK2168" t="s">
        <v>1932</v>
      </c>
      <c r="AM2168" t="s">
        <v>1934</v>
      </c>
      <c r="AO2168" t="s">
        <v>1077</v>
      </c>
      <c r="AP2168" t="s">
        <v>172</v>
      </c>
      <c r="AQ2168" s="5">
        <v>90703</v>
      </c>
      <c r="AR2168" t="s">
        <v>128</v>
      </c>
      <c r="AT2168" s="4">
        <v>15622291220</v>
      </c>
      <c r="AV2168" t="s">
        <v>1935</v>
      </c>
      <c r="AW2168" t="s">
        <v>2799</v>
      </c>
      <c r="AX2168" t="s">
        <v>131</v>
      </c>
      <c r="AY2168" t="s">
        <v>131</v>
      </c>
      <c r="AZ2168" t="s">
        <v>131</v>
      </c>
      <c r="BA2168" t="s">
        <v>131</v>
      </c>
      <c r="BB2168" t="s">
        <v>131</v>
      </c>
      <c r="BC2168" t="s">
        <v>131</v>
      </c>
      <c r="BD2168" t="s">
        <v>131</v>
      </c>
      <c r="BE2168" t="s">
        <v>132</v>
      </c>
      <c r="BH2168" t="s">
        <v>7908</v>
      </c>
      <c r="BI2168" t="s">
        <v>131</v>
      </c>
      <c r="BL2168" t="s">
        <v>133</v>
      </c>
      <c r="BN2168" t="s">
        <v>7872</v>
      </c>
      <c r="BO2168" t="s">
        <v>131</v>
      </c>
      <c r="BP2168" t="s">
        <v>134</v>
      </c>
      <c r="BQ2168" t="s">
        <v>131</v>
      </c>
      <c r="BS2168" t="str">
        <f t="shared" si="126"/>
        <v>N/A</v>
      </c>
      <c r="BT2168" t="s">
        <v>135</v>
      </c>
      <c r="BU2168">
        <v>24</v>
      </c>
      <c r="BV2168" t="str">
        <f>"Senior Systems Analyst-General or related occupation"</f>
        <v>Senior Systems Analyst-General or related occupation</v>
      </c>
      <c r="BW2168" t="s">
        <v>131</v>
      </c>
      <c r="BX2168" t="str">
        <f>""</f>
        <v/>
      </c>
      <c r="BY2168" t="str">
        <f>""</f>
        <v/>
      </c>
      <c r="BZ2168" t="str">
        <f>""</f>
        <v/>
      </c>
      <c r="CA2168" t="str">
        <f>""</f>
        <v/>
      </c>
      <c r="CB2168" t="s">
        <v>131</v>
      </c>
      <c r="CF2168" t="s">
        <v>131</v>
      </c>
      <c r="CH2168" t="str">
        <f>""</f>
        <v/>
      </c>
      <c r="CI2168" t="s">
        <v>131</v>
      </c>
      <c r="CK2168" t="s">
        <v>131</v>
      </c>
      <c r="CL2168" t="str">
        <f>""</f>
        <v/>
      </c>
      <c r="CM2168" t="str">
        <f>""</f>
        <v/>
      </c>
      <c r="CN2168" t="str">
        <f>""</f>
        <v/>
      </c>
      <c r="CO2168" t="str">
        <f>""</f>
        <v/>
      </c>
      <c r="CP2168" t="str">
        <f>"15-1121.00"</f>
        <v>15-1121.00</v>
      </c>
      <c r="CQ2168" t="s">
        <v>283</v>
      </c>
      <c r="CR2168" t="s">
        <v>2802</v>
      </c>
      <c r="CS2168" t="s">
        <v>135</v>
      </c>
      <c r="CT2168" t="s">
        <v>3880</v>
      </c>
      <c r="CU2168" t="s">
        <v>2795</v>
      </c>
      <c r="CV2168" t="s">
        <v>2803</v>
      </c>
      <c r="CW2168" t="s">
        <v>2796</v>
      </c>
      <c r="CX2168" t="s">
        <v>172</v>
      </c>
      <c r="CZ2168" s="3" t="str">
        <f>"92656"</f>
        <v>92656</v>
      </c>
      <c r="DA2168" t="s">
        <v>131</v>
      </c>
      <c r="DB2168" t="str">
        <f>""</f>
        <v/>
      </c>
      <c r="DF2168" t="str">
        <f>""</f>
        <v/>
      </c>
    </row>
    <row r="2169" spans="1:110" ht="15" customHeight="1" x14ac:dyDescent="0.35">
      <c r="A2169" t="s">
        <v>11766</v>
      </c>
      <c r="B2169" t="s">
        <v>138</v>
      </c>
      <c r="C2169" s="1">
        <v>44371</v>
      </c>
      <c r="G2169" s="1">
        <v>44371</v>
      </c>
      <c r="H2169" t="s">
        <v>125</v>
      </c>
      <c r="I2169" t="s">
        <v>860</v>
      </c>
      <c r="J2169" t="s">
        <v>662</v>
      </c>
      <c r="K2169" t="s">
        <v>2930</v>
      </c>
      <c r="L2169" t="s">
        <v>2931</v>
      </c>
      <c r="M2169" t="s">
        <v>2932</v>
      </c>
      <c r="O2169" t="s">
        <v>2150</v>
      </c>
      <c r="P2169" t="s">
        <v>778</v>
      </c>
      <c r="Q2169" s="3">
        <v>37214</v>
      </c>
      <c r="R2169" t="s">
        <v>128</v>
      </c>
      <c r="T2169" s="4">
        <v>16153918416</v>
      </c>
      <c r="V2169" t="s">
        <v>2933</v>
      </c>
      <c r="W2169" t="s">
        <v>2934</v>
      </c>
      <c r="Y2169" t="s">
        <v>2935</v>
      </c>
      <c r="AA2169" t="s">
        <v>600</v>
      </c>
      <c r="AB2169" t="s">
        <v>594</v>
      </c>
      <c r="AC2169" s="3" t="str">
        <f>"28202"</f>
        <v>28202</v>
      </c>
      <c r="AD2169" t="s">
        <v>128</v>
      </c>
      <c r="AF2169" s="4">
        <v>16153918416</v>
      </c>
      <c r="AH2169" t="str">
        <f>"5221"</f>
        <v>5221</v>
      </c>
      <c r="AI2169" t="s">
        <v>130</v>
      </c>
      <c r="AJ2169" t="s">
        <v>2936</v>
      </c>
      <c r="AK2169" t="s">
        <v>2937</v>
      </c>
      <c r="AM2169" t="s">
        <v>2938</v>
      </c>
      <c r="AN2169" t="s">
        <v>2939</v>
      </c>
      <c r="AO2169" t="s">
        <v>642</v>
      </c>
      <c r="AP2169" t="s">
        <v>643</v>
      </c>
      <c r="AQ2169" s="5">
        <v>30309</v>
      </c>
      <c r="AR2169" t="s">
        <v>128</v>
      </c>
      <c r="AT2169" s="4">
        <v>14048817375</v>
      </c>
      <c r="AU2169">
        <v>7375</v>
      </c>
      <c r="AV2169" t="s">
        <v>2940</v>
      </c>
      <c r="AW2169" t="s">
        <v>2939</v>
      </c>
      <c r="AX2169" t="s">
        <v>131</v>
      </c>
      <c r="AY2169" t="s">
        <v>131</v>
      </c>
      <c r="AZ2169" t="s">
        <v>131</v>
      </c>
      <c r="BA2169" t="s">
        <v>131</v>
      </c>
      <c r="BB2169" t="s">
        <v>131</v>
      </c>
      <c r="BC2169" t="s">
        <v>131</v>
      </c>
      <c r="BD2169" t="s">
        <v>131</v>
      </c>
      <c r="BE2169" t="s">
        <v>132</v>
      </c>
      <c r="BH2169" t="s">
        <v>11767</v>
      </c>
      <c r="BI2169" t="s">
        <v>131</v>
      </c>
      <c r="BL2169" t="s">
        <v>133</v>
      </c>
      <c r="BN2169" t="s">
        <v>11768</v>
      </c>
      <c r="BO2169" t="s">
        <v>131</v>
      </c>
      <c r="BP2169" t="s">
        <v>134</v>
      </c>
      <c r="BQ2169" t="s">
        <v>131</v>
      </c>
      <c r="BS2169" t="str">
        <f t="shared" si="126"/>
        <v>N/A</v>
      </c>
      <c r="BT2169" t="s">
        <v>135</v>
      </c>
      <c r="BU2169">
        <v>120</v>
      </c>
      <c r="BV2169" t="str">
        <f>"Must have 10 years of progressive experience in IT positions "</f>
        <v xml:space="preserve">Must have 10 years of progressive experience in IT positions </v>
      </c>
      <c r="BW2169" t="s">
        <v>135</v>
      </c>
      <c r="BX2169" t="str">
        <f>"Must have Microsoft SQL Server Database Certification and AWS Cloud Certified Solutions Architect. "</f>
        <v xml:space="preserve">Must have Microsoft SQL Server Database Certification and AWS Cloud Certified Solutions Architect. </v>
      </c>
      <c r="BY2169" t="str">
        <f>""</f>
        <v/>
      </c>
      <c r="BZ2169" t="str">
        <f>""</f>
        <v/>
      </c>
      <c r="CA2169" t="s">
        <v>11769</v>
      </c>
      <c r="CB2169" t="s">
        <v>131</v>
      </c>
      <c r="CF2169" t="s">
        <v>131</v>
      </c>
      <c r="CH2169" t="str">
        <f>""</f>
        <v/>
      </c>
      <c r="CI2169" t="s">
        <v>131</v>
      </c>
      <c r="CK2169" t="s">
        <v>131</v>
      </c>
      <c r="CL2169" t="str">
        <f>""</f>
        <v/>
      </c>
      <c r="CM2169" t="str">
        <f>""</f>
        <v/>
      </c>
      <c r="CN2169" t="str">
        <f>""</f>
        <v/>
      </c>
      <c r="CO2169" t="str">
        <f>""</f>
        <v/>
      </c>
      <c r="CP2169" t="str">
        <f>"15-1199.06"</f>
        <v>15-1199.06</v>
      </c>
      <c r="CQ2169" t="s">
        <v>988</v>
      </c>
      <c r="CS2169" t="s">
        <v>131</v>
      </c>
      <c r="CU2169" t="s">
        <v>11770</v>
      </c>
      <c r="CW2169" t="s">
        <v>642</v>
      </c>
      <c r="CX2169" t="s">
        <v>643</v>
      </c>
      <c r="CZ2169" s="3" t="str">
        <f>"30309"</f>
        <v>30309</v>
      </c>
      <c r="DA2169" t="s">
        <v>131</v>
      </c>
      <c r="DB2169" t="str">
        <f>""</f>
        <v/>
      </c>
      <c r="DF2169" t="str">
        <f>""</f>
        <v/>
      </c>
    </row>
    <row r="2170" spans="1:110" ht="15" customHeight="1" x14ac:dyDescent="0.35">
      <c r="A2170" t="s">
        <v>18184</v>
      </c>
      <c r="B2170" t="s">
        <v>138</v>
      </c>
      <c r="C2170" s="1">
        <v>44371</v>
      </c>
      <c r="G2170" s="1">
        <v>44372</v>
      </c>
      <c r="H2170" t="s">
        <v>125</v>
      </c>
      <c r="I2170" t="s">
        <v>1448</v>
      </c>
      <c r="J2170" t="s">
        <v>18185</v>
      </c>
      <c r="L2170" t="s">
        <v>1089</v>
      </c>
      <c r="M2170" t="s">
        <v>15831</v>
      </c>
      <c r="O2170" t="s">
        <v>7574</v>
      </c>
      <c r="P2170" t="s">
        <v>178</v>
      </c>
      <c r="Q2170" s="3">
        <v>95971</v>
      </c>
      <c r="R2170" t="s">
        <v>128</v>
      </c>
      <c r="T2170" s="4">
        <v>15302832121</v>
      </c>
      <c r="V2170" t="s">
        <v>18186</v>
      </c>
      <c r="W2170" t="s">
        <v>15832</v>
      </c>
      <c r="Y2170" t="s">
        <v>15831</v>
      </c>
      <c r="AA2170" t="s">
        <v>7574</v>
      </c>
      <c r="AB2170" t="s">
        <v>172</v>
      </c>
      <c r="AC2170" s="3" t="str">
        <f>"95971"</f>
        <v>95971</v>
      </c>
      <c r="AD2170" t="s">
        <v>128</v>
      </c>
      <c r="AF2170" s="4">
        <v>15302832121</v>
      </c>
      <c r="AH2170" t="str">
        <f>"62211"</f>
        <v>62211</v>
      </c>
      <c r="AI2170" t="s">
        <v>130</v>
      </c>
      <c r="AJ2170" t="s">
        <v>4717</v>
      </c>
      <c r="AK2170" t="s">
        <v>704</v>
      </c>
      <c r="AL2170" t="s">
        <v>610</v>
      </c>
      <c r="AM2170" t="s">
        <v>8305</v>
      </c>
      <c r="AN2170" t="s">
        <v>3495</v>
      </c>
      <c r="AO2170" t="s">
        <v>1257</v>
      </c>
      <c r="AP2170" t="s">
        <v>172</v>
      </c>
      <c r="AQ2170" s="5">
        <v>91436</v>
      </c>
      <c r="AR2170" t="s">
        <v>128</v>
      </c>
      <c r="AT2170" s="4">
        <v>18187285800</v>
      </c>
      <c r="AV2170" t="s">
        <v>15833</v>
      </c>
      <c r="AW2170" t="s">
        <v>8306</v>
      </c>
      <c r="AX2170" t="s">
        <v>131</v>
      </c>
      <c r="AY2170" t="s">
        <v>131</v>
      </c>
      <c r="AZ2170" t="s">
        <v>131</v>
      </c>
      <c r="BA2170" t="s">
        <v>131</v>
      </c>
      <c r="BB2170" t="s">
        <v>131</v>
      </c>
      <c r="BC2170" t="s">
        <v>131</v>
      </c>
      <c r="BD2170" t="s">
        <v>131</v>
      </c>
      <c r="BE2170" t="s">
        <v>132</v>
      </c>
      <c r="BH2170" t="s">
        <v>2621</v>
      </c>
      <c r="BI2170" t="s">
        <v>131</v>
      </c>
      <c r="BL2170" t="s">
        <v>133</v>
      </c>
      <c r="BN2170" t="s">
        <v>18187</v>
      </c>
      <c r="BO2170" t="s">
        <v>131</v>
      </c>
      <c r="BP2170" t="s">
        <v>134</v>
      </c>
      <c r="BQ2170" t="s">
        <v>131</v>
      </c>
      <c r="BS2170" t="str">
        <f t="shared" si="126"/>
        <v>N/A</v>
      </c>
      <c r="BT2170" t="s">
        <v>131</v>
      </c>
      <c r="BV2170" t="str">
        <f>""</f>
        <v/>
      </c>
      <c r="BW2170" t="s">
        <v>135</v>
      </c>
      <c r="BX2170" t="str">
        <f>"Must have California CLS License"</f>
        <v>Must have California CLS License</v>
      </c>
      <c r="BY2170" t="str">
        <f>""</f>
        <v/>
      </c>
      <c r="BZ2170" t="str">
        <f>""</f>
        <v/>
      </c>
      <c r="CA2170" t="str">
        <f>""</f>
        <v/>
      </c>
      <c r="CB2170" t="s">
        <v>131</v>
      </c>
      <c r="CF2170" t="s">
        <v>131</v>
      </c>
      <c r="CH2170" t="str">
        <f>""</f>
        <v/>
      </c>
      <c r="CI2170" t="s">
        <v>131</v>
      </c>
      <c r="CK2170" t="s">
        <v>131</v>
      </c>
      <c r="CL2170" t="str">
        <f>""</f>
        <v/>
      </c>
      <c r="CM2170" t="str">
        <f>""</f>
        <v/>
      </c>
      <c r="CN2170" t="str">
        <f>""</f>
        <v/>
      </c>
      <c r="CO2170" t="str">
        <f>""</f>
        <v/>
      </c>
      <c r="CP2170" t="str">
        <f>"29-2012.00"</f>
        <v>29-2012.00</v>
      </c>
      <c r="CQ2170" t="s">
        <v>11089</v>
      </c>
      <c r="CS2170" t="s">
        <v>131</v>
      </c>
      <c r="CU2170" t="s">
        <v>15831</v>
      </c>
      <c r="CW2170" t="s">
        <v>7574</v>
      </c>
      <c r="CX2170" t="s">
        <v>172</v>
      </c>
      <c r="CZ2170" s="3" t="str">
        <f>"95971"</f>
        <v>95971</v>
      </c>
      <c r="DA2170" t="s">
        <v>131</v>
      </c>
      <c r="DB2170" t="str">
        <f>""</f>
        <v/>
      </c>
      <c r="DF2170" t="str">
        <f>""</f>
        <v/>
      </c>
    </row>
    <row r="2171" spans="1:110" ht="15" customHeight="1" x14ac:dyDescent="0.35">
      <c r="A2171" t="s">
        <v>4023</v>
      </c>
      <c r="B2171" t="s">
        <v>138</v>
      </c>
      <c r="C2171" s="1">
        <v>44371</v>
      </c>
      <c r="G2171" s="1">
        <v>44372</v>
      </c>
      <c r="H2171" t="s">
        <v>125</v>
      </c>
      <c r="I2171" t="s">
        <v>783</v>
      </c>
      <c r="J2171" t="s">
        <v>784</v>
      </c>
      <c r="L2171" t="s">
        <v>2612</v>
      </c>
      <c r="M2171" t="s">
        <v>4024</v>
      </c>
      <c r="N2171" t="s">
        <v>785</v>
      </c>
      <c r="O2171" t="s">
        <v>620</v>
      </c>
      <c r="P2171" t="s">
        <v>194</v>
      </c>
      <c r="Q2171" s="3">
        <v>33134</v>
      </c>
      <c r="R2171" t="s">
        <v>128</v>
      </c>
      <c r="T2171" s="4">
        <v>13057793565</v>
      </c>
      <c r="V2171" t="s">
        <v>4025</v>
      </c>
      <c r="W2171" t="s">
        <v>4026</v>
      </c>
      <c r="Y2171" t="s">
        <v>4027</v>
      </c>
      <c r="AA2171" t="s">
        <v>197</v>
      </c>
      <c r="AB2171" t="s">
        <v>195</v>
      </c>
      <c r="AC2171" s="3" t="str">
        <f>"33619"</f>
        <v>33619</v>
      </c>
      <c r="AD2171" t="s">
        <v>128</v>
      </c>
      <c r="AF2171" s="4">
        <v>18132412288</v>
      </c>
      <c r="AH2171" t="str">
        <f>"541330"</f>
        <v>541330</v>
      </c>
      <c r="AI2171" t="s">
        <v>130</v>
      </c>
      <c r="AJ2171" t="s">
        <v>783</v>
      </c>
      <c r="AK2171" t="s">
        <v>784</v>
      </c>
      <c r="AM2171" t="s">
        <v>4024</v>
      </c>
      <c r="AN2171" t="s">
        <v>785</v>
      </c>
      <c r="AO2171" t="s">
        <v>620</v>
      </c>
      <c r="AP2171" t="s">
        <v>195</v>
      </c>
      <c r="AQ2171" s="5">
        <v>33134</v>
      </c>
      <c r="AR2171" t="s">
        <v>128</v>
      </c>
      <c r="AT2171" s="4">
        <v>13057793565</v>
      </c>
      <c r="AV2171" t="s">
        <v>4025</v>
      </c>
      <c r="AW2171" t="s">
        <v>786</v>
      </c>
      <c r="AX2171" t="s">
        <v>131</v>
      </c>
      <c r="AY2171" t="s">
        <v>131</v>
      </c>
      <c r="AZ2171" t="s">
        <v>131</v>
      </c>
      <c r="BA2171" t="s">
        <v>131</v>
      </c>
      <c r="BB2171" t="s">
        <v>131</v>
      </c>
      <c r="BC2171" t="s">
        <v>131</v>
      </c>
      <c r="BD2171" t="s">
        <v>131</v>
      </c>
      <c r="BE2171" t="s">
        <v>132</v>
      </c>
      <c r="BH2171" t="s">
        <v>4028</v>
      </c>
      <c r="BI2171" t="s">
        <v>131</v>
      </c>
      <c r="BL2171" t="s">
        <v>133</v>
      </c>
      <c r="BN2171" t="s">
        <v>2702</v>
      </c>
      <c r="BO2171" t="s">
        <v>131</v>
      </c>
      <c r="BP2171" t="s">
        <v>134</v>
      </c>
      <c r="BQ2171" t="s">
        <v>131</v>
      </c>
      <c r="BS2171" t="str">
        <f t="shared" si="126"/>
        <v>N/A</v>
      </c>
      <c r="BT2171" t="s">
        <v>135</v>
      </c>
      <c r="BU2171">
        <v>24</v>
      </c>
      <c r="BV2171" t="str">
        <f>"Electrical project engineering involvg intl industrial electrical power distribution systems/research, design/implemntation of electrcl power distr, metering/control systms for power generating equip."</f>
        <v>Electrical project engineering involvg intl industrial electrical power distribution systems/research, design/implemntation of electrcl power distr, metering/control systms for power generating equip.</v>
      </c>
      <c r="BW2171" t="s">
        <v>131</v>
      </c>
      <c r="BX2171" t="str">
        <f>""</f>
        <v/>
      </c>
      <c r="BY2171" t="str">
        <f>""</f>
        <v/>
      </c>
      <c r="BZ2171" t="str">
        <f>""</f>
        <v/>
      </c>
      <c r="CA2171" t="str">
        <f>""</f>
        <v/>
      </c>
      <c r="CB2171" t="s">
        <v>131</v>
      </c>
      <c r="CF2171" t="s">
        <v>131</v>
      </c>
      <c r="CH2171" t="str">
        <f>""</f>
        <v/>
      </c>
      <c r="CI2171" t="s">
        <v>131</v>
      </c>
      <c r="CK2171" t="s">
        <v>131</v>
      </c>
      <c r="CL2171" t="str">
        <f>""</f>
        <v/>
      </c>
      <c r="CM2171" t="str">
        <f>""</f>
        <v/>
      </c>
      <c r="CN2171" t="str">
        <f>""</f>
        <v/>
      </c>
      <c r="CO2171" t="str">
        <f>""</f>
        <v/>
      </c>
      <c r="CP2171" t="str">
        <f>"17-2071.00"</f>
        <v>17-2071.00</v>
      </c>
      <c r="CQ2171" t="s">
        <v>649</v>
      </c>
      <c r="CR2171" t="s">
        <v>1205</v>
      </c>
      <c r="CS2171" t="s">
        <v>131</v>
      </c>
      <c r="CU2171" t="s">
        <v>4027</v>
      </c>
      <c r="CW2171" t="s">
        <v>4029</v>
      </c>
      <c r="CX2171" t="s">
        <v>195</v>
      </c>
      <c r="CZ2171" s="3" t="str">
        <f>"33619"</f>
        <v>33619</v>
      </c>
      <c r="DA2171" t="s">
        <v>131</v>
      </c>
      <c r="DB2171" t="str">
        <f>""</f>
        <v/>
      </c>
      <c r="DF2171" t="str">
        <f>""</f>
        <v/>
      </c>
    </row>
    <row r="2172" spans="1:110" ht="15" customHeight="1" x14ac:dyDescent="0.35">
      <c r="A2172" t="s">
        <v>9556</v>
      </c>
      <c r="B2172" t="s">
        <v>138</v>
      </c>
      <c r="C2172" s="1">
        <v>44371</v>
      </c>
      <c r="G2172" s="1">
        <v>44376</v>
      </c>
      <c r="H2172" t="s">
        <v>125</v>
      </c>
      <c r="I2172" t="s">
        <v>9557</v>
      </c>
      <c r="J2172" t="s">
        <v>2115</v>
      </c>
      <c r="L2172" t="s">
        <v>9558</v>
      </c>
      <c r="M2172" t="s">
        <v>9559</v>
      </c>
      <c r="N2172" t="s">
        <v>565</v>
      </c>
      <c r="O2172" t="s">
        <v>657</v>
      </c>
      <c r="P2172" t="s">
        <v>256</v>
      </c>
      <c r="Q2172" s="3">
        <v>64112</v>
      </c>
      <c r="R2172" t="s">
        <v>128</v>
      </c>
      <c r="T2172" s="4">
        <v>18167311901</v>
      </c>
      <c r="V2172" t="s">
        <v>9560</v>
      </c>
      <c r="W2172" t="s">
        <v>9561</v>
      </c>
      <c r="Y2172" t="s">
        <v>9559</v>
      </c>
      <c r="Z2172" t="s">
        <v>565</v>
      </c>
      <c r="AA2172" t="s">
        <v>657</v>
      </c>
      <c r="AB2172" t="s">
        <v>258</v>
      </c>
      <c r="AC2172" s="3" t="str">
        <f>"64112"</f>
        <v>64112</v>
      </c>
      <c r="AD2172" t="s">
        <v>128</v>
      </c>
      <c r="AF2172" s="4">
        <v>18167311901</v>
      </c>
      <c r="AH2172" t="str">
        <f>"551114"</f>
        <v>551114</v>
      </c>
      <c r="AI2172" t="s">
        <v>130</v>
      </c>
      <c r="AJ2172" t="s">
        <v>8206</v>
      </c>
      <c r="AK2172" t="s">
        <v>6151</v>
      </c>
      <c r="AL2172" t="s">
        <v>1942</v>
      </c>
      <c r="AM2172" t="s">
        <v>8207</v>
      </c>
      <c r="AN2172" t="s">
        <v>1779</v>
      </c>
      <c r="AO2172" t="s">
        <v>657</v>
      </c>
      <c r="AP2172" t="s">
        <v>258</v>
      </c>
      <c r="AQ2172" s="5">
        <v>64112</v>
      </c>
      <c r="AR2172" t="s">
        <v>128</v>
      </c>
      <c r="AT2172" s="4">
        <v>18169838309</v>
      </c>
      <c r="AV2172" t="s">
        <v>8208</v>
      </c>
      <c r="AW2172" t="s">
        <v>8209</v>
      </c>
      <c r="AX2172" t="s">
        <v>131</v>
      </c>
      <c r="AY2172" t="s">
        <v>131</v>
      </c>
      <c r="AZ2172" t="s">
        <v>131</v>
      </c>
      <c r="BA2172" t="s">
        <v>131</v>
      </c>
      <c r="BB2172" t="s">
        <v>131</v>
      </c>
      <c r="BC2172" t="s">
        <v>131</v>
      </c>
      <c r="BD2172" t="s">
        <v>131</v>
      </c>
      <c r="BE2172" t="s">
        <v>132</v>
      </c>
      <c r="BH2172" t="s">
        <v>9562</v>
      </c>
      <c r="BI2172" t="s">
        <v>131</v>
      </c>
      <c r="BL2172" t="s">
        <v>133</v>
      </c>
      <c r="BN2172" t="s">
        <v>9563</v>
      </c>
      <c r="BO2172" t="s">
        <v>131</v>
      </c>
      <c r="BP2172" t="s">
        <v>134</v>
      </c>
      <c r="BQ2172" t="s">
        <v>131</v>
      </c>
      <c r="BS2172" t="str">
        <f t="shared" si="126"/>
        <v>N/A</v>
      </c>
      <c r="BT2172" t="s">
        <v>135</v>
      </c>
      <c r="BU2172">
        <v>72</v>
      </c>
      <c r="BV2172" t="str">
        <f>"any SAP function to include systems implementation, configuration, user support, and training"</f>
        <v>any SAP function to include systems implementation, configuration, user support, and training</v>
      </c>
      <c r="BW2172" t="s">
        <v>135</v>
      </c>
      <c r="BX2172" t="str">
        <f>""</f>
        <v/>
      </c>
      <c r="BY2172" t="str">
        <f>""</f>
        <v/>
      </c>
      <c r="BZ2172" t="str">
        <f>""</f>
        <v/>
      </c>
      <c r="CA2172" t="s">
        <v>9564</v>
      </c>
      <c r="CB2172" t="s">
        <v>131</v>
      </c>
      <c r="CF2172" t="s">
        <v>131</v>
      </c>
      <c r="CH2172" t="str">
        <f>""</f>
        <v/>
      </c>
      <c r="CI2172" t="s">
        <v>131</v>
      </c>
      <c r="CK2172" t="s">
        <v>131</v>
      </c>
      <c r="CL2172" t="str">
        <f>""</f>
        <v/>
      </c>
      <c r="CM2172" t="str">
        <f>""</f>
        <v/>
      </c>
      <c r="CN2172" t="str">
        <f>""</f>
        <v/>
      </c>
      <c r="CO2172" t="str">
        <f>""</f>
        <v/>
      </c>
      <c r="CP2172" t="str">
        <f>"15-1132.00"</f>
        <v>15-1132.00</v>
      </c>
      <c r="CQ2172" t="s">
        <v>198</v>
      </c>
      <c r="CR2172" t="s">
        <v>9565</v>
      </c>
      <c r="CS2172" t="s">
        <v>131</v>
      </c>
      <c r="CU2172" t="s">
        <v>9559</v>
      </c>
      <c r="CV2172" t="s">
        <v>565</v>
      </c>
      <c r="CW2172" t="s">
        <v>657</v>
      </c>
      <c r="CX2172" t="s">
        <v>258</v>
      </c>
      <c r="CZ2172" s="3" t="str">
        <f>"64112"</f>
        <v>64112</v>
      </c>
      <c r="DA2172" t="s">
        <v>131</v>
      </c>
      <c r="DB2172" t="str">
        <f>""</f>
        <v/>
      </c>
      <c r="DF2172" t="str">
        <f>""</f>
        <v/>
      </c>
    </row>
    <row r="2173" spans="1:110" ht="15" customHeight="1" x14ac:dyDescent="0.35">
      <c r="A2173" t="s">
        <v>13697</v>
      </c>
      <c r="B2173" t="s">
        <v>138</v>
      </c>
      <c r="C2173" s="1">
        <v>44372</v>
      </c>
      <c r="G2173" s="1">
        <v>44372</v>
      </c>
      <c r="H2173" t="s">
        <v>125</v>
      </c>
      <c r="I2173" t="s">
        <v>10417</v>
      </c>
      <c r="J2173" t="s">
        <v>6823</v>
      </c>
      <c r="L2173" t="s">
        <v>395</v>
      </c>
      <c r="M2173" t="s">
        <v>10418</v>
      </c>
      <c r="O2173" t="s">
        <v>9466</v>
      </c>
      <c r="P2173" t="s">
        <v>127</v>
      </c>
      <c r="Q2173" s="3">
        <v>11576</v>
      </c>
      <c r="R2173" t="s">
        <v>128</v>
      </c>
      <c r="T2173" s="4">
        <v>19177800024</v>
      </c>
      <c r="V2173" t="s">
        <v>10419</v>
      </c>
      <c r="W2173" t="s">
        <v>10420</v>
      </c>
      <c r="Y2173" t="s">
        <v>10418</v>
      </c>
      <c r="AA2173" t="s">
        <v>9466</v>
      </c>
      <c r="AB2173" t="s">
        <v>129</v>
      </c>
      <c r="AC2173" s="3" t="str">
        <f>"11576"</f>
        <v>11576</v>
      </c>
      <c r="AD2173" t="s">
        <v>128</v>
      </c>
      <c r="AF2173" s="4">
        <v>19177800024</v>
      </c>
      <c r="AH2173" t="str">
        <f>"236118"</f>
        <v>236118</v>
      </c>
      <c r="AI2173" t="s">
        <v>130</v>
      </c>
      <c r="AJ2173" t="s">
        <v>10421</v>
      </c>
      <c r="AK2173" t="s">
        <v>260</v>
      </c>
      <c r="AM2173" t="s">
        <v>10422</v>
      </c>
      <c r="AO2173" t="s">
        <v>494</v>
      </c>
      <c r="AP2173" t="s">
        <v>129</v>
      </c>
      <c r="AQ2173" s="5">
        <v>10022</v>
      </c>
      <c r="AR2173" t="s">
        <v>128</v>
      </c>
      <c r="AT2173" s="4">
        <v>16462779516</v>
      </c>
      <c r="AV2173" t="s">
        <v>10423</v>
      </c>
      <c r="AW2173" t="s">
        <v>13698</v>
      </c>
      <c r="AX2173" t="s">
        <v>131</v>
      </c>
      <c r="AY2173" t="s">
        <v>131</v>
      </c>
      <c r="AZ2173" t="s">
        <v>131</v>
      </c>
      <c r="BA2173" t="s">
        <v>131</v>
      </c>
      <c r="BB2173" t="s">
        <v>131</v>
      </c>
      <c r="BC2173" t="s">
        <v>131</v>
      </c>
      <c r="BD2173" t="s">
        <v>131</v>
      </c>
      <c r="BE2173" t="s">
        <v>132</v>
      </c>
      <c r="BH2173" t="s">
        <v>10425</v>
      </c>
      <c r="BI2173" t="s">
        <v>131</v>
      </c>
      <c r="BL2173" t="s">
        <v>167</v>
      </c>
      <c r="BO2173" t="s">
        <v>131</v>
      </c>
      <c r="BP2173" t="s">
        <v>134</v>
      </c>
      <c r="BQ2173" t="s">
        <v>131</v>
      </c>
      <c r="BS2173" t="str">
        <f t="shared" si="126"/>
        <v>N/A</v>
      </c>
      <c r="BT2173" t="s">
        <v>135</v>
      </c>
      <c r="BU2173">
        <v>24</v>
      </c>
      <c r="BV2173" t="str">
        <f>"Stone Carver"</f>
        <v>Stone Carver</v>
      </c>
      <c r="BW2173" t="s">
        <v>131</v>
      </c>
      <c r="BX2173" t="str">
        <f>""</f>
        <v/>
      </c>
      <c r="BY2173" t="str">
        <f>""</f>
        <v/>
      </c>
      <c r="BZ2173" t="str">
        <f>""</f>
        <v/>
      </c>
      <c r="CA2173" t="str">
        <f>""</f>
        <v/>
      </c>
      <c r="CB2173" t="s">
        <v>131</v>
      </c>
      <c r="CF2173" t="s">
        <v>131</v>
      </c>
      <c r="CH2173" t="str">
        <f>""</f>
        <v/>
      </c>
      <c r="CI2173" t="s">
        <v>131</v>
      </c>
      <c r="CK2173" t="s">
        <v>131</v>
      </c>
      <c r="CL2173" t="str">
        <f>""</f>
        <v/>
      </c>
      <c r="CM2173" t="str">
        <f>""</f>
        <v/>
      </c>
      <c r="CN2173" t="str">
        <f>""</f>
        <v/>
      </c>
      <c r="CO2173" t="str">
        <f>""</f>
        <v/>
      </c>
      <c r="CP2173" t="str">
        <f>"51-9195.03"</f>
        <v>51-9195.03</v>
      </c>
      <c r="CQ2173" t="s">
        <v>4788</v>
      </c>
      <c r="CS2173" t="s">
        <v>131</v>
      </c>
      <c r="CU2173" t="s">
        <v>10418</v>
      </c>
      <c r="CW2173" t="s">
        <v>9466</v>
      </c>
      <c r="CX2173" t="s">
        <v>129</v>
      </c>
      <c r="CZ2173" s="3" t="str">
        <f>"11576"</f>
        <v>11576</v>
      </c>
      <c r="DA2173" t="s">
        <v>131</v>
      </c>
      <c r="DB2173" t="str">
        <f>""</f>
        <v/>
      </c>
      <c r="DF2173" t="str">
        <f>""</f>
        <v/>
      </c>
    </row>
    <row r="2174" spans="1:110" ht="15" customHeight="1" x14ac:dyDescent="0.35">
      <c r="A2174" t="s">
        <v>15204</v>
      </c>
      <c r="B2174" t="s">
        <v>138</v>
      </c>
      <c r="C2174" s="1">
        <v>44372</v>
      </c>
      <c r="G2174" s="1">
        <v>44372</v>
      </c>
      <c r="H2174" t="s">
        <v>125</v>
      </c>
      <c r="I2174" t="s">
        <v>7825</v>
      </c>
      <c r="J2174" t="s">
        <v>1499</v>
      </c>
      <c r="K2174" t="s">
        <v>2210</v>
      </c>
      <c r="L2174" t="s">
        <v>130</v>
      </c>
      <c r="M2174" t="s">
        <v>8174</v>
      </c>
      <c r="N2174" t="s">
        <v>8175</v>
      </c>
      <c r="O2174" t="s">
        <v>8176</v>
      </c>
      <c r="P2174" t="s">
        <v>127</v>
      </c>
      <c r="Q2174" s="3">
        <v>11542</v>
      </c>
      <c r="R2174" t="s">
        <v>128</v>
      </c>
      <c r="T2174" s="4">
        <v>15166718187</v>
      </c>
      <c r="U2174">
        <v>101</v>
      </c>
      <c r="V2174" t="s">
        <v>12271</v>
      </c>
      <c r="W2174" t="s">
        <v>11134</v>
      </c>
      <c r="Y2174" t="s">
        <v>11133</v>
      </c>
      <c r="Z2174" t="s">
        <v>997</v>
      </c>
      <c r="AA2174" t="s">
        <v>1647</v>
      </c>
      <c r="AB2174" t="s">
        <v>377</v>
      </c>
      <c r="AC2174" s="3" t="str">
        <f>"02451"</f>
        <v>02451</v>
      </c>
      <c r="AD2174" t="s">
        <v>128</v>
      </c>
      <c r="AF2174" s="4">
        <v>17816094957</v>
      </c>
      <c r="AH2174" t="str">
        <f>"5416"</f>
        <v>5416</v>
      </c>
      <c r="AI2174" t="s">
        <v>130</v>
      </c>
      <c r="AJ2174" t="s">
        <v>7825</v>
      </c>
      <c r="AK2174" t="s">
        <v>1499</v>
      </c>
      <c r="AL2174" t="s">
        <v>2210</v>
      </c>
      <c r="AM2174" t="s">
        <v>8174</v>
      </c>
      <c r="AN2174" t="s">
        <v>8175</v>
      </c>
      <c r="AO2174" t="s">
        <v>8176</v>
      </c>
      <c r="AP2174" t="s">
        <v>129</v>
      </c>
      <c r="AQ2174" s="5">
        <v>11542</v>
      </c>
      <c r="AR2174" t="s">
        <v>128</v>
      </c>
      <c r="AT2174" s="4">
        <v>15166718187</v>
      </c>
      <c r="AU2174">
        <v>101</v>
      </c>
      <c r="AV2174" t="s">
        <v>12271</v>
      </c>
      <c r="AW2174" t="s">
        <v>8178</v>
      </c>
      <c r="AX2174" t="s">
        <v>131</v>
      </c>
      <c r="AY2174" t="s">
        <v>131</v>
      </c>
      <c r="AZ2174" t="s">
        <v>131</v>
      </c>
      <c r="BA2174" t="s">
        <v>131</v>
      </c>
      <c r="BB2174" t="s">
        <v>131</v>
      </c>
      <c r="BC2174" t="s">
        <v>131</v>
      </c>
      <c r="BD2174" t="s">
        <v>131</v>
      </c>
      <c r="BE2174" t="s">
        <v>132</v>
      </c>
      <c r="BH2174" t="s">
        <v>12273</v>
      </c>
      <c r="BI2174" t="s">
        <v>131</v>
      </c>
      <c r="BL2174" t="s">
        <v>188</v>
      </c>
      <c r="BN2174" t="s">
        <v>12274</v>
      </c>
      <c r="BO2174" t="s">
        <v>131</v>
      </c>
      <c r="BP2174" t="s">
        <v>134</v>
      </c>
      <c r="BQ2174" t="s">
        <v>131</v>
      </c>
      <c r="BS2174" t="str">
        <f t="shared" si="126"/>
        <v>N/A</v>
      </c>
      <c r="BT2174" t="s">
        <v>135</v>
      </c>
      <c r="BU2174">
        <v>24</v>
      </c>
      <c r="BV2174" t="str">
        <f>"Project Manager, Life Sciences Consultant, Life Scientist, or Strategy Consultant in a position in the life sciences industry. "</f>
        <v xml:space="preserve">Project Manager, Life Sciences Consultant, Life Scientist, or Strategy Consultant in a position in the life sciences industry. </v>
      </c>
      <c r="BW2174" t="s">
        <v>131</v>
      </c>
      <c r="BX2174" t="str">
        <f>""</f>
        <v/>
      </c>
      <c r="BY2174" t="str">
        <f>""</f>
        <v/>
      </c>
      <c r="BZ2174" t="str">
        <f>""</f>
        <v/>
      </c>
      <c r="CA2174" t="str">
        <f>""</f>
        <v/>
      </c>
      <c r="CB2174" t="s">
        <v>135</v>
      </c>
      <c r="CC2174" t="s">
        <v>133</v>
      </c>
      <c r="CE2174" t="s">
        <v>12274</v>
      </c>
      <c r="CF2174" t="s">
        <v>131</v>
      </c>
      <c r="CH2174" t="str">
        <f>"N/A"</f>
        <v>N/A</v>
      </c>
      <c r="CI2174" t="s">
        <v>135</v>
      </c>
      <c r="CJ2174">
        <v>60</v>
      </c>
      <c r="CK2174" t="s">
        <v>135</v>
      </c>
      <c r="CL2174" t="str">
        <f>""</f>
        <v/>
      </c>
      <c r="CM2174" t="str">
        <f>""</f>
        <v/>
      </c>
      <c r="CN2174" t="str">
        <f>""</f>
        <v/>
      </c>
      <c r="CO2174" t="str">
        <f>"Five (5) years of progressive professional experience performing forecasting and ROI services in the life sciences industry. "</f>
        <v xml:space="preserve">Five (5) years of progressive professional experience performing forecasting and ROI services in the life sciences industry. </v>
      </c>
      <c r="CP2174" t="str">
        <f>"15-2031.00"</f>
        <v>15-2031.00</v>
      </c>
      <c r="CQ2174" t="s">
        <v>887</v>
      </c>
      <c r="CR2174" t="s">
        <v>1928</v>
      </c>
      <c r="CS2174" t="s">
        <v>131</v>
      </c>
      <c r="CU2174" t="s">
        <v>11133</v>
      </c>
      <c r="CW2174" t="s">
        <v>1647</v>
      </c>
      <c r="CX2174" t="s">
        <v>377</v>
      </c>
      <c r="CZ2174" s="3" t="str">
        <f>"02451"</f>
        <v>02451</v>
      </c>
      <c r="DA2174" t="s">
        <v>131</v>
      </c>
      <c r="DB2174" t="str">
        <f>""</f>
        <v/>
      </c>
      <c r="DF2174" t="str">
        <f>""</f>
        <v/>
      </c>
    </row>
    <row r="2175" spans="1:110" ht="15" customHeight="1" x14ac:dyDescent="0.35">
      <c r="A2175" t="s">
        <v>16447</v>
      </c>
      <c r="B2175" t="s">
        <v>138</v>
      </c>
      <c r="C2175" s="1">
        <v>44372</v>
      </c>
      <c r="G2175" s="1">
        <v>44372</v>
      </c>
      <c r="H2175" t="s">
        <v>125</v>
      </c>
      <c r="I2175" t="s">
        <v>10505</v>
      </c>
      <c r="J2175" t="s">
        <v>10506</v>
      </c>
      <c r="L2175" t="s">
        <v>2223</v>
      </c>
      <c r="M2175" t="s">
        <v>10507</v>
      </c>
      <c r="N2175" t="s">
        <v>788</v>
      </c>
      <c r="O2175" t="s">
        <v>3502</v>
      </c>
      <c r="P2175" t="s">
        <v>507</v>
      </c>
      <c r="Q2175" s="3">
        <v>48075</v>
      </c>
      <c r="R2175" t="s">
        <v>128</v>
      </c>
      <c r="T2175" s="4">
        <v>12489963508</v>
      </c>
      <c r="V2175" t="s">
        <v>10508</v>
      </c>
      <c r="W2175" t="s">
        <v>16448</v>
      </c>
      <c r="X2175" t="s">
        <v>10509</v>
      </c>
      <c r="Y2175" t="s">
        <v>10507</v>
      </c>
      <c r="Z2175" t="s">
        <v>788</v>
      </c>
      <c r="AA2175" t="s">
        <v>3502</v>
      </c>
      <c r="AB2175" t="s">
        <v>511</v>
      </c>
      <c r="AC2175" s="3" t="str">
        <f>"48075"</f>
        <v>48075</v>
      </c>
      <c r="AD2175" t="s">
        <v>128</v>
      </c>
      <c r="AF2175" s="4">
        <v>12487841021</v>
      </c>
      <c r="AH2175" t="str">
        <f>"518210"</f>
        <v>518210</v>
      </c>
      <c r="AI2175" t="s">
        <v>130</v>
      </c>
      <c r="AJ2175" t="s">
        <v>764</v>
      </c>
      <c r="AK2175" t="s">
        <v>679</v>
      </c>
      <c r="AM2175" t="s">
        <v>525</v>
      </c>
      <c r="AN2175" t="s">
        <v>526</v>
      </c>
      <c r="AO2175" t="s">
        <v>262</v>
      </c>
      <c r="AP2175" t="s">
        <v>263</v>
      </c>
      <c r="AQ2175" s="5">
        <v>60606</v>
      </c>
      <c r="AR2175" t="s">
        <v>128</v>
      </c>
      <c r="AT2175" s="4">
        <v>13127226300</v>
      </c>
      <c r="AV2175" t="s">
        <v>681</v>
      </c>
      <c r="AW2175" t="s">
        <v>528</v>
      </c>
      <c r="AX2175" t="s">
        <v>131</v>
      </c>
      <c r="AY2175" t="s">
        <v>131</v>
      </c>
      <c r="AZ2175" t="s">
        <v>131</v>
      </c>
      <c r="BA2175" t="s">
        <v>131</v>
      </c>
      <c r="BB2175" t="s">
        <v>131</v>
      </c>
      <c r="BC2175" t="s">
        <v>131</v>
      </c>
      <c r="BD2175" t="s">
        <v>131</v>
      </c>
      <c r="BE2175" t="s">
        <v>132</v>
      </c>
      <c r="BH2175" t="s">
        <v>10510</v>
      </c>
      <c r="BI2175" t="s">
        <v>131</v>
      </c>
      <c r="BL2175" t="s">
        <v>133</v>
      </c>
      <c r="BN2175" t="s">
        <v>10604</v>
      </c>
      <c r="BO2175" t="s">
        <v>131</v>
      </c>
      <c r="BP2175" t="s">
        <v>134</v>
      </c>
      <c r="BQ2175" t="s">
        <v>131</v>
      </c>
      <c r="BS2175" t="str">
        <f t="shared" si="126"/>
        <v>N/A</v>
      </c>
      <c r="BT2175" t="s">
        <v>135</v>
      </c>
      <c r="BU2175">
        <v>48</v>
      </c>
      <c r="BV2175" t="str">
        <f>"SAP Basis Administration or related experience "</f>
        <v xml:space="preserve">SAP Basis Administration or related experience </v>
      </c>
      <c r="BW2175" t="s">
        <v>135</v>
      </c>
      <c r="BX2175" t="str">
        <f>""</f>
        <v/>
      </c>
      <c r="BY2175" t="str">
        <f>""</f>
        <v/>
      </c>
      <c r="BZ2175" t="str">
        <f>""</f>
        <v/>
      </c>
      <c r="CA2175" t="s">
        <v>10511</v>
      </c>
      <c r="CB2175" t="s">
        <v>131</v>
      </c>
      <c r="CF2175" t="s">
        <v>131</v>
      </c>
      <c r="CH2175" t="str">
        <f>""</f>
        <v/>
      </c>
      <c r="CI2175" t="s">
        <v>131</v>
      </c>
      <c r="CK2175" t="s">
        <v>131</v>
      </c>
      <c r="CL2175" t="str">
        <f>""</f>
        <v/>
      </c>
      <c r="CM2175" t="str">
        <f>""</f>
        <v/>
      </c>
      <c r="CN2175" t="str">
        <f>""</f>
        <v/>
      </c>
      <c r="CO2175" t="str">
        <f>""</f>
        <v/>
      </c>
      <c r="CP2175" t="str">
        <f>"15-1121.00"</f>
        <v>15-1121.00</v>
      </c>
      <c r="CQ2175" t="s">
        <v>283</v>
      </c>
      <c r="CS2175" t="s">
        <v>135</v>
      </c>
      <c r="CT2175" t="s">
        <v>16449</v>
      </c>
      <c r="CU2175" t="s">
        <v>10507</v>
      </c>
      <c r="CV2175" t="s">
        <v>788</v>
      </c>
      <c r="CW2175" t="s">
        <v>3502</v>
      </c>
      <c r="CX2175" t="s">
        <v>511</v>
      </c>
      <c r="CZ2175" s="3" t="str">
        <f>"48075"</f>
        <v>48075</v>
      </c>
      <c r="DA2175" t="s">
        <v>131</v>
      </c>
      <c r="DB2175" t="str">
        <f>""</f>
        <v/>
      </c>
      <c r="DF2175" t="str">
        <f>""</f>
        <v/>
      </c>
    </row>
    <row r="2176" spans="1:110" ht="15" customHeight="1" x14ac:dyDescent="0.35">
      <c r="A2176" t="s">
        <v>8092</v>
      </c>
      <c r="B2176" t="s">
        <v>138</v>
      </c>
      <c r="C2176" s="1">
        <v>44372</v>
      </c>
      <c r="G2176" s="1">
        <v>44375</v>
      </c>
      <c r="H2176" t="s">
        <v>125</v>
      </c>
      <c r="I2176" t="s">
        <v>5033</v>
      </c>
      <c r="J2176" t="s">
        <v>3706</v>
      </c>
      <c r="L2176" t="s">
        <v>5034</v>
      </c>
      <c r="M2176" t="s">
        <v>5035</v>
      </c>
      <c r="N2176" t="s">
        <v>997</v>
      </c>
      <c r="O2176" t="s">
        <v>4064</v>
      </c>
      <c r="P2176" t="s">
        <v>273</v>
      </c>
      <c r="Q2176" s="3">
        <v>7054</v>
      </c>
      <c r="R2176" t="s">
        <v>128</v>
      </c>
      <c r="T2176" s="4">
        <v>19735604956</v>
      </c>
      <c r="V2176" t="s">
        <v>5036</v>
      </c>
      <c r="W2176" t="s">
        <v>5037</v>
      </c>
      <c r="Y2176" t="s">
        <v>8093</v>
      </c>
      <c r="Z2176" t="s">
        <v>8094</v>
      </c>
      <c r="AA2176" t="s">
        <v>494</v>
      </c>
      <c r="AB2176" t="s">
        <v>129</v>
      </c>
      <c r="AC2176" s="3" t="str">
        <f>"10001"</f>
        <v>10001</v>
      </c>
      <c r="AD2176" t="s">
        <v>128</v>
      </c>
      <c r="AF2176" s="4">
        <v>19735604900</v>
      </c>
      <c r="AH2176" t="str">
        <f>"5413"</f>
        <v>5413</v>
      </c>
      <c r="AI2176" t="s">
        <v>130</v>
      </c>
      <c r="AJ2176" t="s">
        <v>3625</v>
      </c>
      <c r="AK2176" t="s">
        <v>737</v>
      </c>
      <c r="AM2176" t="s">
        <v>5040</v>
      </c>
      <c r="AN2176" t="s">
        <v>4485</v>
      </c>
      <c r="AO2176" t="s">
        <v>310</v>
      </c>
      <c r="AP2176" t="s">
        <v>312</v>
      </c>
      <c r="AQ2176" s="5">
        <v>19106</v>
      </c>
      <c r="AR2176" t="s">
        <v>128</v>
      </c>
      <c r="AT2176" s="4">
        <v>12159250705</v>
      </c>
      <c r="AV2176" t="s">
        <v>5041</v>
      </c>
      <c r="AW2176" t="s">
        <v>4486</v>
      </c>
      <c r="AX2176" t="s">
        <v>131</v>
      </c>
      <c r="AY2176" t="s">
        <v>131</v>
      </c>
      <c r="AZ2176" t="s">
        <v>131</v>
      </c>
      <c r="BA2176" t="s">
        <v>131</v>
      </c>
      <c r="BB2176" t="s">
        <v>131</v>
      </c>
      <c r="BC2176" t="s">
        <v>131</v>
      </c>
      <c r="BD2176" t="s">
        <v>131</v>
      </c>
      <c r="BE2176" t="s">
        <v>160</v>
      </c>
      <c r="BF2176" t="s">
        <v>5042</v>
      </c>
      <c r="BG2176" s="1">
        <v>43922</v>
      </c>
      <c r="BH2176" t="s">
        <v>3036</v>
      </c>
      <c r="BI2176" t="s">
        <v>131</v>
      </c>
      <c r="BL2176" t="s">
        <v>133</v>
      </c>
      <c r="BN2176" t="s">
        <v>5043</v>
      </c>
      <c r="BO2176" t="s">
        <v>131</v>
      </c>
      <c r="BP2176" t="s">
        <v>134</v>
      </c>
      <c r="BQ2176" t="s">
        <v>131</v>
      </c>
      <c r="BS2176" t="str">
        <f t="shared" si="126"/>
        <v>N/A</v>
      </c>
      <c r="BT2176" t="s">
        <v>135</v>
      </c>
      <c r="BU2176">
        <v>36</v>
      </c>
      <c r="BV2176" t="str">
        <f>"Any engineering role"</f>
        <v>Any engineering role</v>
      </c>
      <c r="BW2176" t="s">
        <v>135</v>
      </c>
      <c r="BX2176" t="str">
        <f>""</f>
        <v/>
      </c>
      <c r="BY2176" t="str">
        <f>""</f>
        <v/>
      </c>
      <c r="BZ2176" t="str">
        <f>""</f>
        <v/>
      </c>
      <c r="CA2176" t="s">
        <v>5044</v>
      </c>
      <c r="CB2176" t="s">
        <v>131</v>
      </c>
      <c r="CF2176" t="s">
        <v>131</v>
      </c>
      <c r="CH2176" t="str">
        <f>""</f>
        <v/>
      </c>
      <c r="CI2176" t="s">
        <v>131</v>
      </c>
      <c r="CK2176" t="s">
        <v>131</v>
      </c>
      <c r="CL2176" t="str">
        <f>""</f>
        <v/>
      </c>
      <c r="CM2176" t="str">
        <f>""</f>
        <v/>
      </c>
      <c r="CN2176" t="str">
        <f>""</f>
        <v/>
      </c>
      <c r="CO2176" t="str">
        <f>""</f>
        <v/>
      </c>
      <c r="CP2176" t="str">
        <f>"17-2051.00"</f>
        <v>17-2051.00</v>
      </c>
      <c r="CQ2176" t="s">
        <v>787</v>
      </c>
      <c r="CR2176" t="s">
        <v>3637</v>
      </c>
      <c r="CS2176" t="s">
        <v>131</v>
      </c>
      <c r="CU2176" t="s">
        <v>5038</v>
      </c>
      <c r="CV2176" t="s">
        <v>5039</v>
      </c>
      <c r="CW2176" t="s">
        <v>494</v>
      </c>
      <c r="CX2176" t="s">
        <v>129</v>
      </c>
      <c r="CZ2176" s="3" t="str">
        <f>"10001"</f>
        <v>10001</v>
      </c>
      <c r="DA2176" t="s">
        <v>131</v>
      </c>
      <c r="DB2176" t="str">
        <f>""</f>
        <v/>
      </c>
      <c r="DF2176" t="str">
        <f>""</f>
        <v/>
      </c>
    </row>
    <row r="2177" spans="1:110" ht="15" customHeight="1" x14ac:dyDescent="0.35">
      <c r="A2177" t="s">
        <v>16030</v>
      </c>
      <c r="B2177" t="s">
        <v>138</v>
      </c>
      <c r="C2177" s="1">
        <v>44372</v>
      </c>
      <c r="G2177" s="1">
        <v>44372</v>
      </c>
      <c r="H2177" t="s">
        <v>125</v>
      </c>
      <c r="I2177" t="s">
        <v>1682</v>
      </c>
      <c r="J2177" t="s">
        <v>354</v>
      </c>
      <c r="L2177" t="s">
        <v>1683</v>
      </c>
      <c r="M2177" t="s">
        <v>1684</v>
      </c>
      <c r="O2177" t="s">
        <v>1685</v>
      </c>
      <c r="P2177" t="s">
        <v>412</v>
      </c>
      <c r="Q2177" s="3">
        <v>76092</v>
      </c>
      <c r="R2177" t="s">
        <v>128</v>
      </c>
      <c r="T2177" s="4">
        <v>12145295826</v>
      </c>
      <c r="V2177" t="s">
        <v>1686</v>
      </c>
      <c r="W2177" t="s">
        <v>16031</v>
      </c>
      <c r="Y2177" t="s">
        <v>1684</v>
      </c>
      <c r="AA2177" t="s">
        <v>1685</v>
      </c>
      <c r="AB2177" t="s">
        <v>400</v>
      </c>
      <c r="AC2177" s="3" t="str">
        <f>"76092"</f>
        <v>76092</v>
      </c>
      <c r="AD2177" t="s">
        <v>128</v>
      </c>
      <c r="AF2177" s="4">
        <v>12145295826</v>
      </c>
      <c r="AH2177" t="str">
        <f>"541511"</f>
        <v>541511</v>
      </c>
      <c r="AI2177" t="s">
        <v>130</v>
      </c>
      <c r="AJ2177" t="s">
        <v>1688</v>
      </c>
      <c r="AK2177" t="s">
        <v>1689</v>
      </c>
      <c r="AM2177" t="s">
        <v>1690</v>
      </c>
      <c r="AN2177" t="s">
        <v>1691</v>
      </c>
      <c r="AO2177" t="s">
        <v>1692</v>
      </c>
      <c r="AP2177" t="s">
        <v>382</v>
      </c>
      <c r="AQ2177" s="5">
        <v>20910</v>
      </c>
      <c r="AR2177" t="s">
        <v>128</v>
      </c>
      <c r="AT2177" s="4">
        <v>12023296556</v>
      </c>
      <c r="AV2177" t="s">
        <v>1693</v>
      </c>
      <c r="AW2177" t="s">
        <v>7230</v>
      </c>
      <c r="AX2177" t="s">
        <v>131</v>
      </c>
      <c r="AY2177" t="s">
        <v>131</v>
      </c>
      <c r="AZ2177" t="s">
        <v>131</v>
      </c>
      <c r="BA2177" t="s">
        <v>131</v>
      </c>
      <c r="BB2177" t="s">
        <v>131</v>
      </c>
      <c r="BC2177" t="s">
        <v>131</v>
      </c>
      <c r="BD2177" t="s">
        <v>131</v>
      </c>
      <c r="BE2177" t="s">
        <v>132</v>
      </c>
      <c r="BH2177" t="s">
        <v>1694</v>
      </c>
      <c r="BI2177" t="s">
        <v>135</v>
      </c>
      <c r="BJ2177" t="s">
        <v>597</v>
      </c>
      <c r="BK2177" t="s">
        <v>198</v>
      </c>
      <c r="BL2177" t="s">
        <v>133</v>
      </c>
      <c r="BN2177" t="s">
        <v>16032</v>
      </c>
      <c r="BO2177" t="s">
        <v>131</v>
      </c>
      <c r="BP2177" t="s">
        <v>134</v>
      </c>
      <c r="BQ2177" t="s">
        <v>131</v>
      </c>
      <c r="BS2177" t="str">
        <f t="shared" si="126"/>
        <v>N/A</v>
      </c>
      <c r="BT2177" t="s">
        <v>135</v>
      </c>
      <c r="BU2177">
        <v>24</v>
      </c>
      <c r="BV2177" t="str">
        <f>"Software Engineering or software development"</f>
        <v>Software Engineering or software development</v>
      </c>
      <c r="BW2177" t="s">
        <v>135</v>
      </c>
      <c r="BX2177" t="str">
        <f>""</f>
        <v/>
      </c>
      <c r="BY2177" t="str">
        <f>""</f>
        <v/>
      </c>
      <c r="BZ2177" t="str">
        <f>""</f>
        <v/>
      </c>
      <c r="CA2177" t="str">
        <f>"applications development and testing"</f>
        <v>applications development and testing</v>
      </c>
      <c r="CB2177" t="s">
        <v>131</v>
      </c>
      <c r="CF2177" t="s">
        <v>131</v>
      </c>
      <c r="CH2177" t="str">
        <f>""</f>
        <v/>
      </c>
      <c r="CI2177" t="s">
        <v>131</v>
      </c>
      <c r="CK2177" t="s">
        <v>131</v>
      </c>
      <c r="CL2177" t="str">
        <f>""</f>
        <v/>
      </c>
      <c r="CM2177" t="str">
        <f>""</f>
        <v/>
      </c>
      <c r="CN2177" t="str">
        <f>""</f>
        <v/>
      </c>
      <c r="CO2177" t="str">
        <f>""</f>
        <v/>
      </c>
      <c r="CP2177" t="str">
        <f>"15-1132.00"</f>
        <v>15-1132.00</v>
      </c>
      <c r="CQ2177" t="s">
        <v>198</v>
      </c>
      <c r="CS2177" t="s">
        <v>131</v>
      </c>
      <c r="CU2177" t="s">
        <v>1684</v>
      </c>
      <c r="CW2177" t="s">
        <v>1685</v>
      </c>
      <c r="CX2177" t="s">
        <v>400</v>
      </c>
      <c r="CZ2177" s="3" t="str">
        <f>"76092"</f>
        <v>76092</v>
      </c>
      <c r="DA2177" t="s">
        <v>131</v>
      </c>
      <c r="DB2177" t="str">
        <f>""</f>
        <v/>
      </c>
      <c r="DF2177" t="str">
        <f>""</f>
        <v/>
      </c>
    </row>
    <row r="2178" spans="1:110" ht="15" customHeight="1" x14ac:dyDescent="0.35">
      <c r="A2178" t="s">
        <v>18539</v>
      </c>
      <c r="B2178" t="s">
        <v>138</v>
      </c>
      <c r="C2178" s="1">
        <v>44372</v>
      </c>
      <c r="G2178" s="1">
        <v>44372</v>
      </c>
      <c r="H2178" t="s">
        <v>125</v>
      </c>
      <c r="I2178" t="s">
        <v>13307</v>
      </c>
      <c r="J2178" t="s">
        <v>1333</v>
      </c>
      <c r="L2178" t="s">
        <v>395</v>
      </c>
      <c r="M2178" t="s">
        <v>13308</v>
      </c>
      <c r="O2178" t="s">
        <v>13309</v>
      </c>
      <c r="P2178" t="s">
        <v>127</v>
      </c>
      <c r="Q2178" s="3">
        <v>11780</v>
      </c>
      <c r="R2178" t="s">
        <v>128</v>
      </c>
      <c r="T2178" s="4">
        <v>16315846330</v>
      </c>
      <c r="V2178" t="s">
        <v>13310</v>
      </c>
      <c r="W2178" t="s">
        <v>13311</v>
      </c>
      <c r="X2178" t="s">
        <v>1253</v>
      </c>
      <c r="Y2178" t="s">
        <v>13308</v>
      </c>
      <c r="AA2178" t="s">
        <v>13309</v>
      </c>
      <c r="AB2178" t="s">
        <v>129</v>
      </c>
      <c r="AC2178" s="3" t="str">
        <f>"11780"</f>
        <v>11780</v>
      </c>
      <c r="AD2178" t="s">
        <v>128</v>
      </c>
      <c r="AF2178" s="4">
        <v>16315846330</v>
      </c>
      <c r="AH2178" t="str">
        <f>"111421"</f>
        <v>111421</v>
      </c>
      <c r="AI2178" t="s">
        <v>130</v>
      </c>
      <c r="AJ2178" t="s">
        <v>4890</v>
      </c>
      <c r="AK2178" t="s">
        <v>4891</v>
      </c>
      <c r="AL2178" t="s">
        <v>4892</v>
      </c>
      <c r="AM2178" t="s">
        <v>4893</v>
      </c>
      <c r="AN2178" t="s">
        <v>4894</v>
      </c>
      <c r="AO2178" t="s">
        <v>4895</v>
      </c>
      <c r="AP2178" t="s">
        <v>306</v>
      </c>
      <c r="AQ2178" s="5">
        <v>23462</v>
      </c>
      <c r="AR2178" t="s">
        <v>128</v>
      </c>
      <c r="AT2178" s="4">
        <v>17573337513</v>
      </c>
      <c r="AU2178">
        <v>7513</v>
      </c>
      <c r="AV2178" t="s">
        <v>4896</v>
      </c>
      <c r="AW2178" t="s">
        <v>4897</v>
      </c>
      <c r="AX2178" t="s">
        <v>131</v>
      </c>
      <c r="AY2178" t="s">
        <v>131</v>
      </c>
      <c r="AZ2178" t="s">
        <v>131</v>
      </c>
      <c r="BA2178" t="s">
        <v>131</v>
      </c>
      <c r="BB2178" t="s">
        <v>131</v>
      </c>
      <c r="BC2178" t="s">
        <v>131</v>
      </c>
      <c r="BD2178" t="s">
        <v>131</v>
      </c>
      <c r="BE2178" t="s">
        <v>132</v>
      </c>
      <c r="BH2178" t="s">
        <v>13312</v>
      </c>
      <c r="BI2178" t="s">
        <v>135</v>
      </c>
      <c r="BJ2178" t="s">
        <v>8680</v>
      </c>
      <c r="BK2178" t="s">
        <v>3820</v>
      </c>
      <c r="BL2178" t="s">
        <v>133</v>
      </c>
      <c r="BN2178" t="s">
        <v>13313</v>
      </c>
      <c r="BO2178" t="s">
        <v>131</v>
      </c>
      <c r="BP2178" t="s">
        <v>134</v>
      </c>
      <c r="BQ2178" t="s">
        <v>131</v>
      </c>
      <c r="BS2178" t="str">
        <f t="shared" si="126"/>
        <v>N/A</v>
      </c>
      <c r="BT2178" t="s">
        <v>135</v>
      </c>
      <c r="BU2178">
        <v>12</v>
      </c>
      <c r="BV2178" t="str">
        <f>"Horticultural greenhouse position"</f>
        <v>Horticultural greenhouse position</v>
      </c>
      <c r="BW2178" t="s">
        <v>135</v>
      </c>
      <c r="BX2178" t="str">
        <f>""</f>
        <v/>
      </c>
      <c r="BY2178" t="str">
        <f>""</f>
        <v/>
      </c>
      <c r="BZ2178" t="str">
        <f>""</f>
        <v/>
      </c>
      <c r="CA2178" t="s">
        <v>18540</v>
      </c>
      <c r="CB2178" t="s">
        <v>131</v>
      </c>
      <c r="CF2178" t="s">
        <v>131</v>
      </c>
      <c r="CH2178" t="str">
        <f>""</f>
        <v/>
      </c>
      <c r="CI2178" t="s">
        <v>131</v>
      </c>
      <c r="CK2178" t="s">
        <v>131</v>
      </c>
      <c r="CL2178" t="str">
        <f>""</f>
        <v/>
      </c>
      <c r="CM2178" t="str">
        <f>""</f>
        <v/>
      </c>
      <c r="CN2178" t="str">
        <f>""</f>
        <v/>
      </c>
      <c r="CO2178" t="str">
        <f>""</f>
        <v/>
      </c>
      <c r="CP2178" t="str">
        <f>"11-9013.01"</f>
        <v>11-9013.01</v>
      </c>
      <c r="CQ2178" t="s">
        <v>13314</v>
      </c>
      <c r="CR2178" t="s">
        <v>395</v>
      </c>
      <c r="CS2178" t="s">
        <v>131</v>
      </c>
      <c r="CU2178" t="s">
        <v>13308</v>
      </c>
      <c r="CW2178" t="s">
        <v>13309</v>
      </c>
      <c r="CX2178" t="s">
        <v>129</v>
      </c>
      <c r="CZ2178" s="3" t="str">
        <f>"11780"</f>
        <v>11780</v>
      </c>
      <c r="DA2178" t="s">
        <v>131</v>
      </c>
      <c r="DB2178" t="str">
        <f>""</f>
        <v/>
      </c>
      <c r="DF2178" t="str">
        <f>""</f>
        <v/>
      </c>
    </row>
    <row r="2179" spans="1:110" ht="15" customHeight="1" x14ac:dyDescent="0.35">
      <c r="A2179" t="s">
        <v>10207</v>
      </c>
      <c r="B2179" t="s">
        <v>138</v>
      </c>
      <c r="C2179" s="1">
        <v>44372</v>
      </c>
      <c r="G2179" s="1">
        <v>44376</v>
      </c>
      <c r="H2179" t="s">
        <v>125</v>
      </c>
      <c r="I2179" t="s">
        <v>4520</v>
      </c>
      <c r="J2179" t="s">
        <v>3392</v>
      </c>
      <c r="L2179" t="s">
        <v>4521</v>
      </c>
      <c r="M2179" t="s">
        <v>4522</v>
      </c>
      <c r="O2179" t="s">
        <v>1173</v>
      </c>
      <c r="P2179" t="s">
        <v>1174</v>
      </c>
      <c r="Q2179" s="3">
        <v>97005</v>
      </c>
      <c r="R2179" t="s">
        <v>128</v>
      </c>
      <c r="T2179" s="4">
        <v>15036716228</v>
      </c>
      <c r="V2179" t="s">
        <v>4523</v>
      </c>
      <c r="W2179" t="s">
        <v>4524</v>
      </c>
      <c r="Y2179" t="s">
        <v>4525</v>
      </c>
      <c r="AA2179" t="s">
        <v>1173</v>
      </c>
      <c r="AB2179" t="s">
        <v>1512</v>
      </c>
      <c r="AC2179" s="3" t="str">
        <f>"97005"</f>
        <v>97005</v>
      </c>
      <c r="AD2179" t="s">
        <v>128</v>
      </c>
      <c r="AF2179" s="4">
        <v>15036716228</v>
      </c>
      <c r="AH2179" t="str">
        <f>"31621"</f>
        <v>31621</v>
      </c>
      <c r="AI2179" t="s">
        <v>130</v>
      </c>
      <c r="AJ2179" t="s">
        <v>1309</v>
      </c>
      <c r="AK2179" t="s">
        <v>473</v>
      </c>
      <c r="AM2179" t="s">
        <v>456</v>
      </c>
      <c r="AN2179" t="s">
        <v>4526</v>
      </c>
      <c r="AO2179" t="s">
        <v>458</v>
      </c>
      <c r="AP2179" t="s">
        <v>400</v>
      </c>
      <c r="AQ2179" s="5">
        <v>75082</v>
      </c>
      <c r="AR2179" t="s">
        <v>128</v>
      </c>
      <c r="AT2179" s="4">
        <v>14695052498</v>
      </c>
      <c r="AV2179" t="s">
        <v>4527</v>
      </c>
      <c r="AW2179" t="s">
        <v>367</v>
      </c>
      <c r="AX2179" t="s">
        <v>131</v>
      </c>
      <c r="AY2179" t="s">
        <v>131</v>
      </c>
      <c r="AZ2179" t="s">
        <v>131</v>
      </c>
      <c r="BA2179" t="s">
        <v>131</v>
      </c>
      <c r="BB2179" t="s">
        <v>131</v>
      </c>
      <c r="BC2179" t="s">
        <v>131</v>
      </c>
      <c r="BD2179" t="s">
        <v>131</v>
      </c>
      <c r="BE2179" t="s">
        <v>132</v>
      </c>
      <c r="BH2179" t="s">
        <v>4528</v>
      </c>
      <c r="BI2179" t="s">
        <v>135</v>
      </c>
      <c r="BJ2179" t="s">
        <v>4529</v>
      </c>
      <c r="BK2179" t="s">
        <v>3208</v>
      </c>
      <c r="BL2179" t="s">
        <v>133</v>
      </c>
      <c r="BN2179" t="s">
        <v>5837</v>
      </c>
      <c r="BO2179" t="s">
        <v>131</v>
      </c>
      <c r="BP2179" t="s">
        <v>134</v>
      </c>
      <c r="BQ2179" t="s">
        <v>131</v>
      </c>
      <c r="BS2179" t="str">
        <f t="shared" si="126"/>
        <v>N/A</v>
      </c>
      <c r="BT2179" t="s">
        <v>135</v>
      </c>
      <c r="BU2179">
        <v>60</v>
      </c>
      <c r="BV2179" t="str">
        <f>"Please see job description. "</f>
        <v xml:space="preserve">Please see job description. </v>
      </c>
      <c r="BW2179" t="s">
        <v>135</v>
      </c>
      <c r="BX2179" t="str">
        <f>""</f>
        <v/>
      </c>
      <c r="BY2179" t="str">
        <f>""</f>
        <v/>
      </c>
      <c r="BZ2179" t="str">
        <f>""</f>
        <v/>
      </c>
      <c r="CA2179" s="2" t="s">
        <v>4530</v>
      </c>
      <c r="CB2179" t="s">
        <v>131</v>
      </c>
      <c r="CF2179" t="s">
        <v>131</v>
      </c>
      <c r="CH2179" t="str">
        <f>""</f>
        <v/>
      </c>
      <c r="CI2179" t="s">
        <v>131</v>
      </c>
      <c r="CK2179" t="s">
        <v>131</v>
      </c>
      <c r="CL2179" t="str">
        <f>""</f>
        <v/>
      </c>
      <c r="CM2179" t="str">
        <f>""</f>
        <v/>
      </c>
      <c r="CN2179" t="str">
        <f>""</f>
        <v/>
      </c>
      <c r="CO2179" t="str">
        <f>""</f>
        <v/>
      </c>
      <c r="CP2179" t="str">
        <f>"27-1011.00"</f>
        <v>27-1011.00</v>
      </c>
      <c r="CQ2179" t="s">
        <v>4531</v>
      </c>
      <c r="CR2179" t="s">
        <v>1400</v>
      </c>
      <c r="CS2179" t="s">
        <v>131</v>
      </c>
      <c r="CU2179" t="s">
        <v>4522</v>
      </c>
      <c r="CW2179" t="s">
        <v>1173</v>
      </c>
      <c r="CX2179" t="s">
        <v>1512</v>
      </c>
      <c r="CZ2179" s="3" t="str">
        <f>"97005"</f>
        <v>97005</v>
      </c>
      <c r="DA2179" t="s">
        <v>131</v>
      </c>
      <c r="DB2179" t="str">
        <f>""</f>
        <v/>
      </c>
      <c r="DF2179" t="str">
        <f>""</f>
        <v/>
      </c>
    </row>
    <row r="2180" spans="1:110" ht="15" customHeight="1" x14ac:dyDescent="0.35">
      <c r="A2180" t="s">
        <v>15140</v>
      </c>
      <c r="B2180" t="s">
        <v>138</v>
      </c>
      <c r="C2180" s="1">
        <v>44372</v>
      </c>
      <c r="G2180" s="1">
        <v>44375</v>
      </c>
      <c r="H2180" t="s">
        <v>125</v>
      </c>
      <c r="I2180" t="s">
        <v>11771</v>
      </c>
      <c r="J2180" t="s">
        <v>4443</v>
      </c>
      <c r="L2180" t="s">
        <v>15141</v>
      </c>
      <c r="M2180" t="s">
        <v>3535</v>
      </c>
      <c r="N2180" t="s">
        <v>3536</v>
      </c>
      <c r="O2180" t="s">
        <v>3537</v>
      </c>
      <c r="P2180" t="s">
        <v>539</v>
      </c>
      <c r="Q2180" s="3">
        <v>60201</v>
      </c>
      <c r="R2180" t="s">
        <v>128</v>
      </c>
      <c r="T2180" s="4">
        <v>18474923748</v>
      </c>
      <c r="V2180" t="s">
        <v>15142</v>
      </c>
      <c r="W2180" t="s">
        <v>3538</v>
      </c>
      <c r="Y2180" t="s">
        <v>3535</v>
      </c>
      <c r="Z2180" t="s">
        <v>3536</v>
      </c>
      <c r="AA2180" t="s">
        <v>3537</v>
      </c>
      <c r="AB2180" t="s">
        <v>263</v>
      </c>
      <c r="AC2180" s="3" t="str">
        <f>"60201"</f>
        <v>60201</v>
      </c>
      <c r="AD2180" t="s">
        <v>128</v>
      </c>
      <c r="AF2180" s="4">
        <v>18474923748</v>
      </c>
      <c r="AH2180" t="str">
        <f>"5416"</f>
        <v>5416</v>
      </c>
      <c r="AI2180" t="s">
        <v>130</v>
      </c>
      <c r="AJ2180" t="s">
        <v>694</v>
      </c>
      <c r="AK2180" t="s">
        <v>3539</v>
      </c>
      <c r="AL2180" t="s">
        <v>134</v>
      </c>
      <c r="AM2180" t="s">
        <v>3540</v>
      </c>
      <c r="AN2180" t="s">
        <v>213</v>
      </c>
      <c r="AO2180" t="s">
        <v>642</v>
      </c>
      <c r="AP2180" t="s">
        <v>643</v>
      </c>
      <c r="AQ2180" s="5" t="s">
        <v>3541</v>
      </c>
      <c r="AR2180" t="s">
        <v>128</v>
      </c>
      <c r="AS2180" t="s">
        <v>134</v>
      </c>
      <c r="AT2180" s="4">
        <v>14048856747</v>
      </c>
      <c r="AV2180" t="s">
        <v>3542</v>
      </c>
      <c r="AW2180" t="s">
        <v>1083</v>
      </c>
      <c r="AX2180" t="s">
        <v>131</v>
      </c>
      <c r="AY2180" t="s">
        <v>131</v>
      </c>
      <c r="AZ2180" t="s">
        <v>131</v>
      </c>
      <c r="BA2180" t="s">
        <v>131</v>
      </c>
      <c r="BB2180" t="s">
        <v>131</v>
      </c>
      <c r="BC2180" t="s">
        <v>131</v>
      </c>
      <c r="BD2180" t="s">
        <v>131</v>
      </c>
      <c r="BE2180" t="s">
        <v>132</v>
      </c>
      <c r="BH2180" t="s">
        <v>15143</v>
      </c>
      <c r="BI2180" t="s">
        <v>135</v>
      </c>
      <c r="BJ2180" t="s">
        <v>5156</v>
      </c>
      <c r="BK2180" t="s">
        <v>887</v>
      </c>
      <c r="BL2180" t="s">
        <v>133</v>
      </c>
      <c r="BN2180" t="s">
        <v>15144</v>
      </c>
      <c r="BO2180" t="s">
        <v>131</v>
      </c>
      <c r="BP2180" t="s">
        <v>134</v>
      </c>
      <c r="BQ2180" t="s">
        <v>131</v>
      </c>
      <c r="BS2180" t="str">
        <f t="shared" ref="BS2180:BS2208" si="131">"N/A"</f>
        <v>N/A</v>
      </c>
      <c r="BT2180" t="s">
        <v>135</v>
      </c>
      <c r="BU2180">
        <v>96</v>
      </c>
      <c r="BV2180" t="str">
        <f>"leading technology solution delivery engagements/projects"</f>
        <v>leading technology solution delivery engagements/projects</v>
      </c>
      <c r="BW2180" t="s">
        <v>135</v>
      </c>
      <c r="BX2180" t="str">
        <f>""</f>
        <v/>
      </c>
      <c r="BY2180" t="str">
        <f>""</f>
        <v/>
      </c>
      <c r="BZ2180" t="str">
        <f>""</f>
        <v/>
      </c>
      <c r="CA2180" t="s">
        <v>15145</v>
      </c>
      <c r="CB2180" t="s">
        <v>135</v>
      </c>
      <c r="CC2180" t="s">
        <v>188</v>
      </c>
      <c r="CE2180" t="s">
        <v>15146</v>
      </c>
      <c r="CF2180" t="s">
        <v>131</v>
      </c>
      <c r="CH2180" t="str">
        <f>"N/A"</f>
        <v>N/A</v>
      </c>
      <c r="CI2180" t="s">
        <v>135</v>
      </c>
      <c r="CJ2180">
        <v>72</v>
      </c>
      <c r="CK2180" t="s">
        <v>135</v>
      </c>
      <c r="CL2180" t="str">
        <f>""</f>
        <v/>
      </c>
      <c r="CM2180" t="str">
        <f>""</f>
        <v/>
      </c>
      <c r="CN2180" t="str">
        <f>""</f>
        <v/>
      </c>
      <c r="CO2180" t="str">
        <f>"Please see F.b.5.a."</f>
        <v>Please see F.b.5.a.</v>
      </c>
      <c r="CP2180" t="str">
        <f>"15-2031.00"</f>
        <v>15-2031.00</v>
      </c>
      <c r="CQ2180" t="s">
        <v>887</v>
      </c>
      <c r="CR2180" t="s">
        <v>1177</v>
      </c>
      <c r="CS2180" t="s">
        <v>135</v>
      </c>
      <c r="CT2180" t="s">
        <v>3543</v>
      </c>
      <c r="CU2180" t="s">
        <v>11402</v>
      </c>
      <c r="CV2180" t="s">
        <v>7213</v>
      </c>
      <c r="CW2180" t="s">
        <v>1605</v>
      </c>
      <c r="CX2180" t="s">
        <v>149</v>
      </c>
      <c r="CZ2180" s="3" t="str">
        <f>"98004"</f>
        <v>98004</v>
      </c>
      <c r="DA2180" t="s">
        <v>131</v>
      </c>
      <c r="DB2180" t="str">
        <f>""</f>
        <v/>
      </c>
      <c r="DF2180" t="str">
        <f>""</f>
        <v/>
      </c>
    </row>
    <row r="2181" spans="1:110" ht="15" customHeight="1" x14ac:dyDescent="0.35">
      <c r="A2181" t="s">
        <v>18709</v>
      </c>
      <c r="B2181" t="s">
        <v>138</v>
      </c>
      <c r="C2181" s="1">
        <v>44372</v>
      </c>
      <c r="G2181" s="1">
        <v>44372</v>
      </c>
      <c r="H2181" t="s">
        <v>125</v>
      </c>
      <c r="I2181" t="s">
        <v>18710</v>
      </c>
      <c r="J2181" t="s">
        <v>789</v>
      </c>
      <c r="L2181" t="s">
        <v>395</v>
      </c>
      <c r="M2181" t="s">
        <v>4027</v>
      </c>
      <c r="O2181" t="s">
        <v>197</v>
      </c>
      <c r="P2181" t="s">
        <v>194</v>
      </c>
      <c r="Q2181" s="3">
        <v>33619</v>
      </c>
      <c r="R2181" t="s">
        <v>128</v>
      </c>
      <c r="T2181" s="4">
        <v>18132412288</v>
      </c>
      <c r="V2181" t="s">
        <v>18711</v>
      </c>
      <c r="W2181" t="s">
        <v>4026</v>
      </c>
      <c r="Y2181" t="s">
        <v>4027</v>
      </c>
      <c r="AA2181" t="s">
        <v>197</v>
      </c>
      <c r="AB2181" t="s">
        <v>195</v>
      </c>
      <c r="AC2181" s="3" t="str">
        <f>"33619"</f>
        <v>33619</v>
      </c>
      <c r="AD2181" t="s">
        <v>128</v>
      </c>
      <c r="AF2181" s="4">
        <v>18132412288</v>
      </c>
      <c r="AH2181" t="str">
        <f>"541330"</f>
        <v>541330</v>
      </c>
      <c r="AI2181" t="s">
        <v>130</v>
      </c>
      <c r="AJ2181" t="s">
        <v>783</v>
      </c>
      <c r="AK2181" t="s">
        <v>784</v>
      </c>
      <c r="AM2181" t="s">
        <v>4024</v>
      </c>
      <c r="AN2181" t="s">
        <v>785</v>
      </c>
      <c r="AO2181" t="s">
        <v>620</v>
      </c>
      <c r="AP2181" t="s">
        <v>195</v>
      </c>
      <c r="AQ2181" s="5">
        <v>33134</v>
      </c>
      <c r="AR2181" t="s">
        <v>128</v>
      </c>
      <c r="AT2181" s="4">
        <v>13057793565</v>
      </c>
      <c r="AV2181" t="s">
        <v>4025</v>
      </c>
      <c r="AW2181" t="s">
        <v>18712</v>
      </c>
      <c r="AX2181" t="s">
        <v>131</v>
      </c>
      <c r="AY2181" t="s">
        <v>131</v>
      </c>
      <c r="AZ2181" t="s">
        <v>131</v>
      </c>
      <c r="BA2181" t="s">
        <v>131</v>
      </c>
      <c r="BB2181" t="s">
        <v>131</v>
      </c>
      <c r="BC2181" t="s">
        <v>131</v>
      </c>
      <c r="BD2181" t="s">
        <v>131</v>
      </c>
      <c r="BE2181" t="s">
        <v>132</v>
      </c>
      <c r="BH2181" t="s">
        <v>4028</v>
      </c>
      <c r="BI2181" t="s">
        <v>131</v>
      </c>
      <c r="BL2181" t="s">
        <v>133</v>
      </c>
      <c r="BN2181" t="s">
        <v>2702</v>
      </c>
      <c r="BO2181" t="s">
        <v>131</v>
      </c>
      <c r="BP2181" t="s">
        <v>134</v>
      </c>
      <c r="BQ2181" t="s">
        <v>131</v>
      </c>
      <c r="BS2181" t="str">
        <f t="shared" si="131"/>
        <v>N/A</v>
      </c>
      <c r="BT2181" t="s">
        <v>135</v>
      </c>
      <c r="BU2181">
        <v>24</v>
      </c>
      <c r="BV2181" t="str">
        <f>"Electrical Project Engineering involvg intl industrial electrical power distribution systems, research/design/implemntation of electrcl power distr, metering/control systms for power generating equip."</f>
        <v>Electrical Project Engineering involvg intl industrial electrical power distribution systems, research/design/implemntation of electrcl power distr, metering/control systms for power generating equip.</v>
      </c>
      <c r="BW2181" t="s">
        <v>131</v>
      </c>
      <c r="BX2181" t="str">
        <f>""</f>
        <v/>
      </c>
      <c r="BY2181" t="str">
        <f>""</f>
        <v/>
      </c>
      <c r="BZ2181" t="str">
        <f>""</f>
        <v/>
      </c>
      <c r="CA2181" t="str">
        <f>""</f>
        <v/>
      </c>
      <c r="CB2181" t="s">
        <v>131</v>
      </c>
      <c r="CF2181" t="s">
        <v>131</v>
      </c>
      <c r="CH2181" t="str">
        <f>""</f>
        <v/>
      </c>
      <c r="CI2181" t="s">
        <v>131</v>
      </c>
      <c r="CK2181" t="s">
        <v>131</v>
      </c>
      <c r="CL2181" t="str">
        <f>""</f>
        <v/>
      </c>
      <c r="CM2181" t="str">
        <f>""</f>
        <v/>
      </c>
      <c r="CN2181" t="str">
        <f>""</f>
        <v/>
      </c>
      <c r="CO2181" t="str">
        <f>""</f>
        <v/>
      </c>
      <c r="CP2181" t="str">
        <f>"17-2071.00"</f>
        <v>17-2071.00</v>
      </c>
      <c r="CQ2181" t="s">
        <v>649</v>
      </c>
      <c r="CR2181" t="s">
        <v>1205</v>
      </c>
      <c r="CS2181" t="s">
        <v>131</v>
      </c>
      <c r="CU2181" t="s">
        <v>4027</v>
      </c>
      <c r="CW2181" t="s">
        <v>197</v>
      </c>
      <c r="CX2181" t="s">
        <v>195</v>
      </c>
      <c r="CZ2181" s="3" t="str">
        <f>"33619"</f>
        <v>33619</v>
      </c>
      <c r="DA2181" t="s">
        <v>131</v>
      </c>
      <c r="DB2181" t="str">
        <f>""</f>
        <v/>
      </c>
      <c r="DF2181" t="str">
        <f>""</f>
        <v/>
      </c>
    </row>
    <row r="2182" spans="1:110" ht="15" customHeight="1" x14ac:dyDescent="0.35">
      <c r="A2182" t="s">
        <v>17627</v>
      </c>
      <c r="B2182" t="s">
        <v>138</v>
      </c>
      <c r="C2182" s="1">
        <v>44372</v>
      </c>
      <c r="G2182" s="1">
        <v>44375</v>
      </c>
      <c r="H2182" t="s">
        <v>125</v>
      </c>
      <c r="I2182" t="s">
        <v>13234</v>
      </c>
      <c r="J2182" t="s">
        <v>1908</v>
      </c>
      <c r="L2182" t="s">
        <v>10715</v>
      </c>
      <c r="M2182" t="s">
        <v>13238</v>
      </c>
      <c r="O2182" t="s">
        <v>13235</v>
      </c>
      <c r="P2182" t="s">
        <v>226</v>
      </c>
      <c r="Q2182" s="3">
        <v>46506</v>
      </c>
      <c r="R2182" t="s">
        <v>128</v>
      </c>
      <c r="T2182" s="4">
        <v>15745462261</v>
      </c>
      <c r="U2182">
        <v>208</v>
      </c>
      <c r="V2182" t="s">
        <v>13236</v>
      </c>
      <c r="W2182" t="s">
        <v>13237</v>
      </c>
      <c r="Y2182" t="s">
        <v>13238</v>
      </c>
      <c r="AA2182" t="s">
        <v>13235</v>
      </c>
      <c r="AB2182" t="s">
        <v>229</v>
      </c>
      <c r="AC2182" s="3" t="str">
        <f>"46506"</f>
        <v>46506</v>
      </c>
      <c r="AD2182" t="s">
        <v>128</v>
      </c>
      <c r="AF2182" s="4">
        <v>15745462261</v>
      </c>
      <c r="AH2182" t="str">
        <f>"332991"</f>
        <v>332991</v>
      </c>
      <c r="AI2182" t="s">
        <v>130</v>
      </c>
      <c r="AJ2182" t="s">
        <v>901</v>
      </c>
      <c r="AK2182" t="s">
        <v>4002</v>
      </c>
      <c r="AM2182" t="s">
        <v>13239</v>
      </c>
      <c r="AN2182" t="s">
        <v>2489</v>
      </c>
      <c r="AO2182" t="s">
        <v>494</v>
      </c>
      <c r="AP2182" t="s">
        <v>129</v>
      </c>
      <c r="AQ2182" s="5">
        <v>10022</v>
      </c>
      <c r="AR2182" t="s">
        <v>128</v>
      </c>
      <c r="AT2182" s="4">
        <v>13475898510</v>
      </c>
      <c r="AV2182" t="s">
        <v>10341</v>
      </c>
      <c r="AW2182" t="s">
        <v>13240</v>
      </c>
      <c r="AX2182" t="s">
        <v>131</v>
      </c>
      <c r="AY2182" t="s">
        <v>131</v>
      </c>
      <c r="AZ2182" t="s">
        <v>131</v>
      </c>
      <c r="BA2182" t="s">
        <v>131</v>
      </c>
      <c r="BB2182" t="s">
        <v>131</v>
      </c>
      <c r="BC2182" t="s">
        <v>131</v>
      </c>
      <c r="BD2182" t="s">
        <v>131</v>
      </c>
      <c r="BE2182" t="s">
        <v>132</v>
      </c>
      <c r="BH2182" t="s">
        <v>13241</v>
      </c>
      <c r="BI2182" t="s">
        <v>131</v>
      </c>
      <c r="BL2182" t="s">
        <v>133</v>
      </c>
      <c r="BN2182" t="s">
        <v>17628</v>
      </c>
      <c r="BO2182" t="s">
        <v>131</v>
      </c>
      <c r="BP2182" t="s">
        <v>134</v>
      </c>
      <c r="BQ2182" t="s">
        <v>131</v>
      </c>
      <c r="BS2182" t="str">
        <f t="shared" si="131"/>
        <v>N/A</v>
      </c>
      <c r="BT2182" t="s">
        <v>135</v>
      </c>
      <c r="BU2182">
        <v>24</v>
      </c>
      <c r="BV2182" t="str">
        <f>"Job offered or related role"</f>
        <v>Job offered or related role</v>
      </c>
      <c r="BW2182" t="s">
        <v>135</v>
      </c>
      <c r="BX2182" t="str">
        <f>""</f>
        <v/>
      </c>
      <c r="BY2182" t="str">
        <f>"Fluency in the Korean language (speak, read, write and type) required."</f>
        <v>Fluency in the Korean language (speak, read, write and type) required.</v>
      </c>
      <c r="BZ2182" t="str">
        <f>""</f>
        <v/>
      </c>
      <c r="CA2182" t="s">
        <v>17629</v>
      </c>
      <c r="CB2182" t="s">
        <v>135</v>
      </c>
      <c r="CC2182" t="s">
        <v>401</v>
      </c>
      <c r="CF2182" t="s">
        <v>131</v>
      </c>
      <c r="CH2182" t="str">
        <f>"N/A"</f>
        <v>N/A</v>
      </c>
      <c r="CI2182" t="s">
        <v>135</v>
      </c>
      <c r="CJ2182">
        <v>48</v>
      </c>
      <c r="CK2182" t="s">
        <v>135</v>
      </c>
      <c r="CL2182" t="str">
        <f>""</f>
        <v/>
      </c>
      <c r="CM2182" t="str">
        <f>"Fluency in the Korean language (speak, read, write and type) required."</f>
        <v>Fluency in the Korean language (speak, read, write and type) required.</v>
      </c>
      <c r="CN2182" t="str">
        <f>""</f>
        <v/>
      </c>
      <c r="CO2182" t="s">
        <v>17630</v>
      </c>
      <c r="CP2182" t="str">
        <f>"13-2051.00"</f>
        <v>13-2051.00</v>
      </c>
      <c r="CQ2182" t="s">
        <v>245</v>
      </c>
      <c r="CR2182" t="s">
        <v>3679</v>
      </c>
      <c r="CS2182" t="s">
        <v>131</v>
      </c>
      <c r="CU2182" t="s">
        <v>13238</v>
      </c>
      <c r="CW2182" t="s">
        <v>13235</v>
      </c>
      <c r="CX2182" t="s">
        <v>229</v>
      </c>
      <c r="CZ2182" s="3" t="str">
        <f>"46506"</f>
        <v>46506</v>
      </c>
      <c r="DA2182" t="s">
        <v>131</v>
      </c>
      <c r="DB2182" t="str">
        <f>""</f>
        <v/>
      </c>
      <c r="DF2182" t="str">
        <f>""</f>
        <v/>
      </c>
    </row>
    <row r="2183" spans="1:110" ht="15" customHeight="1" x14ac:dyDescent="0.35">
      <c r="A2183" t="s">
        <v>14628</v>
      </c>
      <c r="B2183" t="s">
        <v>138</v>
      </c>
      <c r="C2183" s="1">
        <v>44372</v>
      </c>
      <c r="G2183" s="1">
        <v>44372</v>
      </c>
      <c r="H2183" t="s">
        <v>125</v>
      </c>
      <c r="I2183" t="s">
        <v>14629</v>
      </c>
      <c r="J2183" t="s">
        <v>1671</v>
      </c>
      <c r="K2183" t="s">
        <v>134</v>
      </c>
      <c r="L2183" t="s">
        <v>1589</v>
      </c>
      <c r="M2183" t="s">
        <v>9791</v>
      </c>
      <c r="N2183" t="s">
        <v>4292</v>
      </c>
      <c r="O2183" t="s">
        <v>494</v>
      </c>
      <c r="P2183" t="s">
        <v>127</v>
      </c>
      <c r="Q2183" s="3">
        <v>10018</v>
      </c>
      <c r="R2183" t="s">
        <v>128</v>
      </c>
      <c r="T2183" s="4">
        <v>12129660100</v>
      </c>
      <c r="V2183" t="s">
        <v>14630</v>
      </c>
      <c r="W2183" t="s">
        <v>14631</v>
      </c>
      <c r="X2183" t="s">
        <v>14631</v>
      </c>
      <c r="Y2183" t="s">
        <v>9791</v>
      </c>
      <c r="Z2183" t="s">
        <v>4292</v>
      </c>
      <c r="AA2183" t="s">
        <v>494</v>
      </c>
      <c r="AB2183" t="s">
        <v>129</v>
      </c>
      <c r="AC2183" s="3" t="str">
        <f>"10018"</f>
        <v>10018</v>
      </c>
      <c r="AD2183" t="s">
        <v>128</v>
      </c>
      <c r="AF2183" s="4">
        <v>12129660100</v>
      </c>
      <c r="AH2183" t="str">
        <f>"541720"</f>
        <v>541720</v>
      </c>
      <c r="AI2183" t="s">
        <v>130</v>
      </c>
      <c r="AJ2183" t="s">
        <v>14632</v>
      </c>
      <c r="AK2183" t="s">
        <v>2966</v>
      </c>
      <c r="AL2183" t="s">
        <v>134</v>
      </c>
      <c r="AM2183" t="s">
        <v>14633</v>
      </c>
      <c r="AN2183" t="s">
        <v>14634</v>
      </c>
      <c r="AO2183" t="s">
        <v>494</v>
      </c>
      <c r="AP2183" t="s">
        <v>129</v>
      </c>
      <c r="AQ2183" s="5">
        <v>10013</v>
      </c>
      <c r="AR2183" t="s">
        <v>128</v>
      </c>
      <c r="AT2183" s="4">
        <v>12122266359</v>
      </c>
      <c r="AV2183" t="s">
        <v>14635</v>
      </c>
      <c r="AW2183" t="s">
        <v>14636</v>
      </c>
      <c r="AX2183" t="s">
        <v>131</v>
      </c>
      <c r="AY2183" t="s">
        <v>131</v>
      </c>
      <c r="AZ2183" t="s">
        <v>131</v>
      </c>
      <c r="BA2183" t="s">
        <v>131</v>
      </c>
      <c r="BB2183" t="s">
        <v>131</v>
      </c>
      <c r="BC2183" t="s">
        <v>131</v>
      </c>
      <c r="BD2183" t="s">
        <v>131</v>
      </c>
      <c r="BE2183" t="s">
        <v>132</v>
      </c>
      <c r="BH2183" t="s">
        <v>5283</v>
      </c>
      <c r="BI2183" t="s">
        <v>131</v>
      </c>
      <c r="BL2183" t="s">
        <v>133</v>
      </c>
      <c r="BN2183" t="s">
        <v>14637</v>
      </c>
      <c r="BO2183" t="s">
        <v>131</v>
      </c>
      <c r="BP2183" t="s">
        <v>134</v>
      </c>
      <c r="BQ2183" t="s">
        <v>131</v>
      </c>
      <c r="BS2183" t="str">
        <f t="shared" si="131"/>
        <v>N/A</v>
      </c>
      <c r="BT2183" t="s">
        <v>135</v>
      </c>
      <c r="BU2183">
        <v>12</v>
      </c>
      <c r="BV2183" t="str">
        <f>"Graphic Designer or related."</f>
        <v>Graphic Designer or related.</v>
      </c>
      <c r="BW2183" t="s">
        <v>135</v>
      </c>
      <c r="BX2183" t="str">
        <f>""</f>
        <v/>
      </c>
      <c r="BY2183" t="str">
        <f>""</f>
        <v/>
      </c>
      <c r="BZ2183" t="str">
        <f>""</f>
        <v/>
      </c>
      <c r="CA2183" t="s">
        <v>14638</v>
      </c>
      <c r="CB2183" t="s">
        <v>131</v>
      </c>
      <c r="CF2183" t="s">
        <v>131</v>
      </c>
      <c r="CH2183" t="str">
        <f>""</f>
        <v/>
      </c>
      <c r="CI2183" t="s">
        <v>131</v>
      </c>
      <c r="CK2183" t="s">
        <v>131</v>
      </c>
      <c r="CL2183" t="str">
        <f>""</f>
        <v/>
      </c>
      <c r="CM2183" t="str">
        <f>""</f>
        <v/>
      </c>
      <c r="CN2183" t="str">
        <f>""</f>
        <v/>
      </c>
      <c r="CO2183" t="str">
        <f>""</f>
        <v/>
      </c>
      <c r="CP2183" t="str">
        <f>"27-1024.00"</f>
        <v>27-1024.00</v>
      </c>
      <c r="CQ2183" t="s">
        <v>3208</v>
      </c>
      <c r="CR2183" t="s">
        <v>395</v>
      </c>
      <c r="CS2183" t="s">
        <v>131</v>
      </c>
      <c r="CU2183" t="s">
        <v>9791</v>
      </c>
      <c r="CV2183" t="s">
        <v>4292</v>
      </c>
      <c r="CW2183" t="s">
        <v>494</v>
      </c>
      <c r="CX2183" t="s">
        <v>129</v>
      </c>
      <c r="CZ2183" s="3" t="str">
        <f>"10018"</f>
        <v>10018</v>
      </c>
      <c r="DA2183" t="s">
        <v>131</v>
      </c>
      <c r="DB2183" t="str">
        <f>""</f>
        <v/>
      </c>
      <c r="DF2183" t="str">
        <f>""</f>
        <v/>
      </c>
    </row>
    <row r="2184" spans="1:110" ht="15" customHeight="1" x14ac:dyDescent="0.35">
      <c r="A2184" t="s">
        <v>14001</v>
      </c>
      <c r="B2184" t="s">
        <v>138</v>
      </c>
      <c r="C2184" s="1">
        <v>44372</v>
      </c>
      <c r="G2184" s="1">
        <v>44376</v>
      </c>
      <c r="H2184" t="s">
        <v>125</v>
      </c>
      <c r="I2184" t="s">
        <v>10254</v>
      </c>
      <c r="J2184" t="s">
        <v>721</v>
      </c>
      <c r="L2184" t="s">
        <v>10255</v>
      </c>
      <c r="M2184" t="s">
        <v>10256</v>
      </c>
      <c r="O2184" t="s">
        <v>856</v>
      </c>
      <c r="P2184" t="s">
        <v>857</v>
      </c>
      <c r="Q2184" s="3">
        <v>85286</v>
      </c>
      <c r="R2184" t="s">
        <v>128</v>
      </c>
      <c r="T2184" s="4">
        <v>14805302220</v>
      </c>
      <c r="V2184" t="s">
        <v>10257</v>
      </c>
      <c r="W2184" t="s">
        <v>10258</v>
      </c>
      <c r="Y2184" t="s">
        <v>10256</v>
      </c>
      <c r="AA2184" t="s">
        <v>856</v>
      </c>
      <c r="AB2184" t="s">
        <v>808</v>
      </c>
      <c r="AC2184" s="3" t="str">
        <f>"85286"</f>
        <v>85286</v>
      </c>
      <c r="AD2184" t="s">
        <v>128</v>
      </c>
      <c r="AF2184" s="4">
        <v>14805302220</v>
      </c>
      <c r="AH2184" t="str">
        <f>"522310"</f>
        <v>522310</v>
      </c>
      <c r="AI2184" t="s">
        <v>130</v>
      </c>
      <c r="AJ2184" t="s">
        <v>8059</v>
      </c>
      <c r="AK2184" t="s">
        <v>2137</v>
      </c>
      <c r="AM2184" t="s">
        <v>8060</v>
      </c>
      <c r="AO2184" t="s">
        <v>4301</v>
      </c>
      <c r="AP2184" t="s">
        <v>808</v>
      </c>
      <c r="AQ2184" s="5">
        <v>85704</v>
      </c>
      <c r="AR2184" t="s">
        <v>128</v>
      </c>
      <c r="AT2184" s="4">
        <v>15207979229</v>
      </c>
      <c r="AV2184" t="s">
        <v>8061</v>
      </c>
      <c r="AW2184" t="s">
        <v>8062</v>
      </c>
      <c r="AX2184" t="s">
        <v>131</v>
      </c>
      <c r="AY2184" t="s">
        <v>131</v>
      </c>
      <c r="AZ2184" t="s">
        <v>131</v>
      </c>
      <c r="BA2184" t="s">
        <v>131</v>
      </c>
      <c r="BB2184" t="s">
        <v>131</v>
      </c>
      <c r="BC2184" t="s">
        <v>131</v>
      </c>
      <c r="BD2184" t="s">
        <v>131</v>
      </c>
      <c r="BE2184" t="s">
        <v>132</v>
      </c>
      <c r="BH2184" t="s">
        <v>6455</v>
      </c>
      <c r="BI2184" t="s">
        <v>131</v>
      </c>
      <c r="BL2184" t="s">
        <v>133</v>
      </c>
      <c r="BN2184" t="s">
        <v>14002</v>
      </c>
      <c r="BO2184" t="s">
        <v>131</v>
      </c>
      <c r="BP2184" t="s">
        <v>134</v>
      </c>
      <c r="BQ2184" t="s">
        <v>131</v>
      </c>
      <c r="BS2184" t="str">
        <f t="shared" si="131"/>
        <v>N/A</v>
      </c>
      <c r="BT2184" t="s">
        <v>135</v>
      </c>
      <c r="BU2184">
        <v>36</v>
      </c>
      <c r="BV2184" t="str">
        <f>"Software Engineer, Developer, Software Development Engineer"</f>
        <v>Software Engineer, Developer, Software Development Engineer</v>
      </c>
      <c r="BW2184" t="s">
        <v>135</v>
      </c>
      <c r="BX2184" t="str">
        <f>""</f>
        <v/>
      </c>
      <c r="BY2184" t="str">
        <f>""</f>
        <v/>
      </c>
      <c r="BZ2184" t="str">
        <f>""</f>
        <v/>
      </c>
      <c r="CA2184" s="2" t="s">
        <v>10259</v>
      </c>
      <c r="CB2184" t="s">
        <v>131</v>
      </c>
      <c r="CF2184" t="s">
        <v>131</v>
      </c>
      <c r="CH2184" t="str">
        <f>""</f>
        <v/>
      </c>
      <c r="CI2184" t="s">
        <v>131</v>
      </c>
      <c r="CK2184" t="s">
        <v>131</v>
      </c>
      <c r="CL2184" t="str">
        <f>""</f>
        <v/>
      </c>
      <c r="CM2184" t="str">
        <f>""</f>
        <v/>
      </c>
      <c r="CN2184" t="str">
        <f>""</f>
        <v/>
      </c>
      <c r="CO2184" t="str">
        <f>""</f>
        <v/>
      </c>
      <c r="CP2184" t="str">
        <f>"15-1132.00"</f>
        <v>15-1132.00</v>
      </c>
      <c r="CQ2184" t="s">
        <v>198</v>
      </c>
      <c r="CR2184" t="s">
        <v>1133</v>
      </c>
      <c r="CS2184" t="s">
        <v>131</v>
      </c>
      <c r="CU2184" t="s">
        <v>10256</v>
      </c>
      <c r="CW2184" t="s">
        <v>856</v>
      </c>
      <c r="CX2184" t="s">
        <v>808</v>
      </c>
      <c r="CZ2184" s="3" t="str">
        <f>"85286"</f>
        <v>85286</v>
      </c>
      <c r="DA2184" t="s">
        <v>131</v>
      </c>
      <c r="DB2184" t="str">
        <f>""</f>
        <v/>
      </c>
      <c r="DF2184" t="str">
        <f>""</f>
        <v/>
      </c>
    </row>
    <row r="2185" spans="1:110" ht="15" customHeight="1" x14ac:dyDescent="0.35">
      <c r="A2185" t="s">
        <v>12928</v>
      </c>
      <c r="B2185" t="s">
        <v>138</v>
      </c>
      <c r="C2185" s="1">
        <v>44373</v>
      </c>
      <c r="G2185" s="1">
        <v>44373</v>
      </c>
      <c r="H2185" t="s">
        <v>125</v>
      </c>
      <c r="I2185" t="s">
        <v>1567</v>
      </c>
      <c r="J2185" t="s">
        <v>12929</v>
      </c>
      <c r="L2185" t="s">
        <v>6302</v>
      </c>
      <c r="M2185" t="s">
        <v>12930</v>
      </c>
      <c r="O2185" t="s">
        <v>4398</v>
      </c>
      <c r="P2185" t="s">
        <v>178</v>
      </c>
      <c r="Q2185" s="3">
        <v>94158</v>
      </c>
      <c r="R2185" t="s">
        <v>128</v>
      </c>
      <c r="T2185" s="4">
        <v>13126224764</v>
      </c>
      <c r="V2185" t="s">
        <v>12931</v>
      </c>
      <c r="W2185" t="s">
        <v>12932</v>
      </c>
      <c r="Y2185" t="s">
        <v>12930</v>
      </c>
      <c r="AA2185" t="s">
        <v>521</v>
      </c>
      <c r="AB2185" t="s">
        <v>172</v>
      </c>
      <c r="AC2185" s="3" t="str">
        <f>"94158"</f>
        <v>94158</v>
      </c>
      <c r="AD2185" t="s">
        <v>128</v>
      </c>
      <c r="AF2185" s="4">
        <v>16503043973</v>
      </c>
      <c r="AH2185" t="str">
        <f>"541511"</f>
        <v>541511</v>
      </c>
      <c r="AI2185" t="s">
        <v>130</v>
      </c>
      <c r="AJ2185" t="s">
        <v>10129</v>
      </c>
      <c r="AK2185" t="s">
        <v>2841</v>
      </c>
      <c r="AL2185" t="s">
        <v>2842</v>
      </c>
      <c r="AM2185" t="s">
        <v>2843</v>
      </c>
      <c r="AO2185" t="s">
        <v>1669</v>
      </c>
      <c r="AP2185" t="s">
        <v>129</v>
      </c>
      <c r="AQ2185" s="5">
        <v>14202</v>
      </c>
      <c r="AR2185" t="s">
        <v>128</v>
      </c>
      <c r="AT2185" s="4">
        <v>17166350501</v>
      </c>
      <c r="AV2185" t="s">
        <v>2844</v>
      </c>
      <c r="AW2185" t="s">
        <v>2845</v>
      </c>
      <c r="AX2185" t="s">
        <v>131</v>
      </c>
      <c r="AY2185" t="s">
        <v>131</v>
      </c>
      <c r="AZ2185" t="s">
        <v>131</v>
      </c>
      <c r="BA2185" t="s">
        <v>131</v>
      </c>
      <c r="BB2185" t="s">
        <v>131</v>
      </c>
      <c r="BC2185" t="s">
        <v>131</v>
      </c>
      <c r="BD2185" t="s">
        <v>131</v>
      </c>
      <c r="BE2185" t="s">
        <v>132</v>
      </c>
      <c r="BH2185" t="s">
        <v>5947</v>
      </c>
      <c r="BI2185" t="s">
        <v>135</v>
      </c>
      <c r="BJ2185" t="s">
        <v>597</v>
      </c>
      <c r="BK2185" t="s">
        <v>198</v>
      </c>
      <c r="BL2185" t="s">
        <v>133</v>
      </c>
      <c r="BN2185" t="s">
        <v>12933</v>
      </c>
      <c r="BO2185" t="s">
        <v>131</v>
      </c>
      <c r="BP2185" t="s">
        <v>134</v>
      </c>
      <c r="BQ2185" t="s">
        <v>131</v>
      </c>
      <c r="BS2185" t="str">
        <f t="shared" si="131"/>
        <v>N/A</v>
      </c>
      <c r="BT2185" t="s">
        <v>135</v>
      </c>
      <c r="BU2185">
        <v>96</v>
      </c>
      <c r="BV2185" t="str">
        <f>"Job Offered or related"</f>
        <v>Job Offered or related</v>
      </c>
      <c r="BW2185" t="s">
        <v>135</v>
      </c>
      <c r="BX2185" t="str">
        <f>""</f>
        <v/>
      </c>
      <c r="BY2185" t="str">
        <f>""</f>
        <v/>
      </c>
      <c r="BZ2185" t="str">
        <f>""</f>
        <v/>
      </c>
      <c r="CA2185" s="2" t="s">
        <v>12934</v>
      </c>
      <c r="CB2185" t="s">
        <v>131</v>
      </c>
      <c r="CF2185" t="s">
        <v>131</v>
      </c>
      <c r="CH2185" t="str">
        <f>""</f>
        <v/>
      </c>
      <c r="CI2185" t="s">
        <v>131</v>
      </c>
      <c r="CK2185" t="s">
        <v>131</v>
      </c>
      <c r="CL2185" t="str">
        <f>""</f>
        <v/>
      </c>
      <c r="CM2185" t="str">
        <f>""</f>
        <v/>
      </c>
      <c r="CN2185" t="str">
        <f>""</f>
        <v/>
      </c>
      <c r="CO2185" t="str">
        <f>""</f>
        <v/>
      </c>
      <c r="CP2185" t="str">
        <f>"15-1133.00"</f>
        <v>15-1133.00</v>
      </c>
      <c r="CQ2185" t="s">
        <v>648</v>
      </c>
      <c r="CR2185" t="s">
        <v>583</v>
      </c>
      <c r="CS2185" t="s">
        <v>131</v>
      </c>
      <c r="CU2185" t="s">
        <v>12930</v>
      </c>
      <c r="CW2185" t="s">
        <v>4398</v>
      </c>
      <c r="CX2185" t="s">
        <v>172</v>
      </c>
      <c r="CZ2185" s="3" t="str">
        <f>"94158"</f>
        <v>94158</v>
      </c>
      <c r="DA2185" t="s">
        <v>131</v>
      </c>
      <c r="DB2185" t="str">
        <f>""</f>
        <v/>
      </c>
      <c r="DF2185" t="str">
        <f>""</f>
        <v/>
      </c>
    </row>
    <row r="2186" spans="1:110" ht="15" customHeight="1" x14ac:dyDescent="0.35">
      <c r="A2186" t="s">
        <v>15077</v>
      </c>
      <c r="B2186" t="s">
        <v>138</v>
      </c>
      <c r="C2186" s="1">
        <v>44373</v>
      </c>
      <c r="G2186" s="1">
        <v>44373</v>
      </c>
      <c r="H2186" t="s">
        <v>125</v>
      </c>
      <c r="I2186" t="s">
        <v>1577</v>
      </c>
      <c r="J2186" t="s">
        <v>1578</v>
      </c>
      <c r="L2186" t="s">
        <v>790</v>
      </c>
      <c r="M2186" t="s">
        <v>1579</v>
      </c>
      <c r="O2186" t="s">
        <v>1580</v>
      </c>
      <c r="P2186" t="s">
        <v>588</v>
      </c>
      <c r="Q2186" s="3">
        <v>22031</v>
      </c>
      <c r="R2186" t="s">
        <v>128</v>
      </c>
      <c r="T2186" s="4">
        <v>15717661204</v>
      </c>
      <c r="V2186" t="s">
        <v>1581</v>
      </c>
      <c r="W2186" t="s">
        <v>1582</v>
      </c>
      <c r="Y2186" t="s">
        <v>1579</v>
      </c>
      <c r="AA2186" t="s">
        <v>1580</v>
      </c>
      <c r="AB2186" t="s">
        <v>306</v>
      </c>
      <c r="AC2186" s="3" t="str">
        <f>"22031"</f>
        <v>22031</v>
      </c>
      <c r="AD2186" t="s">
        <v>128</v>
      </c>
      <c r="AF2186" s="4">
        <v>15717661204</v>
      </c>
      <c r="AH2186" t="str">
        <f>"541511"</f>
        <v>541511</v>
      </c>
      <c r="AI2186" t="s">
        <v>130</v>
      </c>
      <c r="AJ2186" t="s">
        <v>1583</v>
      </c>
      <c r="AK2186" t="s">
        <v>1584</v>
      </c>
      <c r="AM2186" t="s">
        <v>1585</v>
      </c>
      <c r="AO2186" t="s">
        <v>1315</v>
      </c>
      <c r="AP2186" t="s">
        <v>306</v>
      </c>
      <c r="AQ2186" s="5">
        <v>22102</v>
      </c>
      <c r="AR2186" t="s">
        <v>128</v>
      </c>
      <c r="AT2186" s="4">
        <v>12026309618</v>
      </c>
      <c r="AV2186" t="s">
        <v>1586</v>
      </c>
      <c r="AW2186" t="s">
        <v>1587</v>
      </c>
      <c r="AX2186" t="s">
        <v>131</v>
      </c>
      <c r="AY2186" t="s">
        <v>131</v>
      </c>
      <c r="AZ2186" t="s">
        <v>131</v>
      </c>
      <c r="BA2186" t="s">
        <v>131</v>
      </c>
      <c r="BB2186" t="s">
        <v>131</v>
      </c>
      <c r="BC2186" t="s">
        <v>131</v>
      </c>
      <c r="BD2186" t="s">
        <v>131</v>
      </c>
      <c r="BE2186" t="s">
        <v>160</v>
      </c>
      <c r="BF2186" t="s">
        <v>15078</v>
      </c>
      <c r="BG2186" s="1">
        <v>44287</v>
      </c>
      <c r="BH2186" t="s">
        <v>12602</v>
      </c>
      <c r="BI2186" t="s">
        <v>131</v>
      </c>
      <c r="BL2186" t="s">
        <v>133</v>
      </c>
      <c r="BN2186" t="s">
        <v>1588</v>
      </c>
      <c r="BO2186" t="s">
        <v>131</v>
      </c>
      <c r="BP2186" t="s">
        <v>134</v>
      </c>
      <c r="BQ2186" t="s">
        <v>131</v>
      </c>
      <c r="BS2186" t="str">
        <f t="shared" si="131"/>
        <v>N/A</v>
      </c>
      <c r="BT2186" t="s">
        <v>135</v>
      </c>
      <c r="BU2186">
        <v>72</v>
      </c>
      <c r="BV2186" t="str">
        <f>"SOFTWARE DEVELOPERS, APPLICATIONS OR SIMILAR OCCUPATION"</f>
        <v>SOFTWARE DEVELOPERS, APPLICATIONS OR SIMILAR OCCUPATION</v>
      </c>
      <c r="BW2186" t="s">
        <v>135</v>
      </c>
      <c r="BX2186" t="str">
        <f>""</f>
        <v/>
      </c>
      <c r="BY2186" t="str">
        <f>""</f>
        <v/>
      </c>
      <c r="BZ2186" t="str">
        <f>""</f>
        <v/>
      </c>
      <c r="CA2186" s="2" t="s">
        <v>15079</v>
      </c>
      <c r="CB2186" t="s">
        <v>135</v>
      </c>
      <c r="CC2186" t="s">
        <v>188</v>
      </c>
      <c r="CE2186" t="s">
        <v>1588</v>
      </c>
      <c r="CF2186" t="s">
        <v>131</v>
      </c>
      <c r="CH2186" t="str">
        <f>"N/A"</f>
        <v>N/A</v>
      </c>
      <c r="CI2186" t="s">
        <v>135</v>
      </c>
      <c r="CJ2186">
        <v>48</v>
      </c>
      <c r="CK2186" t="s">
        <v>135</v>
      </c>
      <c r="CL2186" t="str">
        <f>""</f>
        <v/>
      </c>
      <c r="CM2186" t="str">
        <f>""</f>
        <v/>
      </c>
      <c r="CN2186" t="str">
        <f>""</f>
        <v/>
      </c>
      <c r="CO2186" t="str">
        <f>"WORK FROM HOME PERMITTED WHEREVER THE CANDIDATE'S HOME ADDRESS IS. MUST PASS GSA BACKGROUND CHECK/PUBLIC TRUST CLEARANCE."</f>
        <v>WORK FROM HOME PERMITTED WHEREVER THE CANDIDATE'S HOME ADDRESS IS. MUST PASS GSA BACKGROUND CHECK/PUBLIC TRUST CLEARANCE.</v>
      </c>
      <c r="CP2186" t="str">
        <f>"15-1132.00"</f>
        <v>15-1132.00</v>
      </c>
      <c r="CQ2186" t="s">
        <v>198</v>
      </c>
      <c r="CR2186" t="s">
        <v>1589</v>
      </c>
      <c r="CS2186" t="s">
        <v>131</v>
      </c>
      <c r="CU2186" t="s">
        <v>1579</v>
      </c>
      <c r="CW2186" t="s">
        <v>1580</v>
      </c>
      <c r="CX2186" t="s">
        <v>306</v>
      </c>
      <c r="CZ2186" s="3" t="str">
        <f>"22031"</f>
        <v>22031</v>
      </c>
      <c r="DA2186" t="s">
        <v>131</v>
      </c>
      <c r="DB2186" t="str">
        <f>""</f>
        <v/>
      </c>
      <c r="DF2186" t="str">
        <f>""</f>
        <v/>
      </c>
    </row>
    <row r="2187" spans="1:110" ht="15" customHeight="1" x14ac:dyDescent="0.35">
      <c r="A2187" t="s">
        <v>14284</v>
      </c>
      <c r="B2187" t="s">
        <v>138</v>
      </c>
      <c r="C2187" s="1">
        <v>44373</v>
      </c>
      <c r="G2187" s="1">
        <v>44373</v>
      </c>
      <c r="H2187" t="s">
        <v>125</v>
      </c>
      <c r="I2187" t="s">
        <v>5209</v>
      </c>
      <c r="J2187" t="s">
        <v>2034</v>
      </c>
      <c r="L2187" t="s">
        <v>14285</v>
      </c>
      <c r="M2187" t="s">
        <v>14286</v>
      </c>
      <c r="O2187" t="s">
        <v>7901</v>
      </c>
      <c r="P2187" t="s">
        <v>194</v>
      </c>
      <c r="Q2187" s="3">
        <v>33931</v>
      </c>
      <c r="R2187" t="s">
        <v>128</v>
      </c>
      <c r="T2187" s="4">
        <v>12394638636</v>
      </c>
      <c r="V2187" t="s">
        <v>14287</v>
      </c>
      <c r="W2187" t="s">
        <v>14288</v>
      </c>
      <c r="X2187" t="s">
        <v>14289</v>
      </c>
      <c r="Y2187" t="s">
        <v>14290</v>
      </c>
      <c r="Z2187" t="s">
        <v>3732</v>
      </c>
      <c r="AA2187" t="s">
        <v>9904</v>
      </c>
      <c r="AB2187" t="s">
        <v>594</v>
      </c>
      <c r="AC2187" s="3" t="str">
        <f>"28078"</f>
        <v>28078</v>
      </c>
      <c r="AD2187" t="s">
        <v>128</v>
      </c>
      <c r="AF2187" s="4">
        <v>17048962880</v>
      </c>
      <c r="AH2187" t="str">
        <f>"721110"</f>
        <v>721110</v>
      </c>
      <c r="AI2187" t="s">
        <v>130</v>
      </c>
      <c r="AJ2187" t="s">
        <v>7011</v>
      </c>
      <c r="AK2187" t="s">
        <v>14291</v>
      </c>
      <c r="AM2187" t="s">
        <v>14292</v>
      </c>
      <c r="AN2187" t="s">
        <v>14293</v>
      </c>
      <c r="AO2187" t="s">
        <v>4898</v>
      </c>
      <c r="AP2187" t="s">
        <v>382</v>
      </c>
      <c r="AQ2187" s="5">
        <v>21842</v>
      </c>
      <c r="AR2187" t="s">
        <v>128</v>
      </c>
      <c r="AT2187" s="4">
        <v>14102139881</v>
      </c>
      <c r="AV2187" t="s">
        <v>14294</v>
      </c>
      <c r="AW2187" t="s">
        <v>14295</v>
      </c>
      <c r="AX2187" t="s">
        <v>131</v>
      </c>
      <c r="AY2187" t="s">
        <v>131</v>
      </c>
      <c r="AZ2187" t="s">
        <v>131</v>
      </c>
      <c r="BA2187" t="s">
        <v>131</v>
      </c>
      <c r="BB2187" t="s">
        <v>131</v>
      </c>
      <c r="BC2187" t="s">
        <v>131</v>
      </c>
      <c r="BD2187" t="s">
        <v>131</v>
      </c>
      <c r="BE2187" t="s">
        <v>132</v>
      </c>
      <c r="BH2187" t="s">
        <v>14296</v>
      </c>
      <c r="BI2187" t="s">
        <v>135</v>
      </c>
      <c r="BJ2187" t="s">
        <v>14297</v>
      </c>
      <c r="BK2187" t="s">
        <v>14298</v>
      </c>
      <c r="BL2187" t="s">
        <v>401</v>
      </c>
      <c r="BO2187" t="s">
        <v>131</v>
      </c>
      <c r="BP2187" t="s">
        <v>134</v>
      </c>
      <c r="BQ2187" t="s">
        <v>131</v>
      </c>
      <c r="BS2187" t="str">
        <f t="shared" si="131"/>
        <v>N/A</v>
      </c>
      <c r="BT2187" t="s">
        <v>135</v>
      </c>
      <c r="BU2187">
        <v>12</v>
      </c>
      <c r="BV2187" t="str">
        <f>"Bar Supervisor"</f>
        <v>Bar Supervisor</v>
      </c>
      <c r="BW2187" t="s">
        <v>135</v>
      </c>
      <c r="BX2187" t="str">
        <f>""</f>
        <v/>
      </c>
      <c r="BY2187" t="str">
        <f>""</f>
        <v/>
      </c>
      <c r="BZ2187" t="str">
        <f>""</f>
        <v/>
      </c>
      <c r="CA2187" t="s">
        <v>14299</v>
      </c>
      <c r="CB2187" t="s">
        <v>131</v>
      </c>
      <c r="CF2187" t="s">
        <v>131</v>
      </c>
      <c r="CH2187" t="str">
        <f>""</f>
        <v/>
      </c>
      <c r="CI2187" t="s">
        <v>131</v>
      </c>
      <c r="CK2187" t="s">
        <v>131</v>
      </c>
      <c r="CL2187" t="str">
        <f>""</f>
        <v/>
      </c>
      <c r="CM2187" t="str">
        <f>""</f>
        <v/>
      </c>
      <c r="CN2187" t="str">
        <f>""</f>
        <v/>
      </c>
      <c r="CO2187" t="str">
        <f>""</f>
        <v/>
      </c>
      <c r="CP2187" t="str">
        <f>"35-1012.00"</f>
        <v>35-1012.00</v>
      </c>
      <c r="CQ2187" t="s">
        <v>1132</v>
      </c>
      <c r="CR2187" t="s">
        <v>7967</v>
      </c>
      <c r="CS2187" t="s">
        <v>131</v>
      </c>
      <c r="CU2187" t="s">
        <v>14286</v>
      </c>
      <c r="CW2187" t="s">
        <v>7901</v>
      </c>
      <c r="CX2187" t="s">
        <v>195</v>
      </c>
      <c r="CZ2187" s="3" t="str">
        <f>"33931"</f>
        <v>33931</v>
      </c>
      <c r="DA2187" t="s">
        <v>131</v>
      </c>
      <c r="DB2187" t="str">
        <f>""</f>
        <v/>
      </c>
      <c r="DF2187" t="str">
        <f>""</f>
        <v/>
      </c>
    </row>
    <row r="2188" spans="1:110" ht="15" customHeight="1" x14ac:dyDescent="0.35">
      <c r="A2188" t="s">
        <v>19565</v>
      </c>
      <c r="B2188" t="s">
        <v>138</v>
      </c>
      <c r="C2188" s="1">
        <v>44375</v>
      </c>
      <c r="G2188" s="1">
        <v>44375</v>
      </c>
      <c r="H2188" t="s">
        <v>125</v>
      </c>
      <c r="I2188" t="s">
        <v>933</v>
      </c>
      <c r="J2188" t="s">
        <v>934</v>
      </c>
      <c r="L2188" t="s">
        <v>935</v>
      </c>
      <c r="M2188" t="s">
        <v>936</v>
      </c>
      <c r="N2188" t="s">
        <v>937</v>
      </c>
      <c r="O2188" t="s">
        <v>371</v>
      </c>
      <c r="P2188" t="s">
        <v>144</v>
      </c>
      <c r="Q2188" s="3">
        <v>98104</v>
      </c>
      <c r="R2188" t="s">
        <v>128</v>
      </c>
      <c r="T2188" s="4">
        <v>12064385700</v>
      </c>
      <c r="V2188" t="s">
        <v>938</v>
      </c>
      <c r="W2188" t="s">
        <v>939</v>
      </c>
      <c r="X2188" t="s">
        <v>939</v>
      </c>
      <c r="Y2188" t="s">
        <v>936</v>
      </c>
      <c r="Z2188" t="s">
        <v>940</v>
      </c>
      <c r="AA2188" t="s">
        <v>371</v>
      </c>
      <c r="AB2188" t="s">
        <v>149</v>
      </c>
      <c r="AC2188" s="3" t="str">
        <f>"98104"</f>
        <v>98104</v>
      </c>
      <c r="AD2188" t="s">
        <v>128</v>
      </c>
      <c r="AF2188" s="4">
        <v>12064385700</v>
      </c>
      <c r="AH2188" t="str">
        <f>"541611"</f>
        <v>541611</v>
      </c>
      <c r="AI2188" t="s">
        <v>130</v>
      </c>
      <c r="AJ2188" t="s">
        <v>941</v>
      </c>
      <c r="AK2188" t="s">
        <v>942</v>
      </c>
      <c r="AM2188" t="s">
        <v>943</v>
      </c>
      <c r="AN2188" t="s">
        <v>565</v>
      </c>
      <c r="AO2188" t="s">
        <v>944</v>
      </c>
      <c r="AP2188" t="s">
        <v>172</v>
      </c>
      <c r="AQ2188" s="5">
        <v>94104</v>
      </c>
      <c r="AR2188" t="s">
        <v>128</v>
      </c>
      <c r="AT2188" s="4">
        <v>14157717500</v>
      </c>
      <c r="AV2188" t="s">
        <v>16666</v>
      </c>
      <c r="AW2188" t="s">
        <v>251</v>
      </c>
      <c r="AX2188" t="s">
        <v>131</v>
      </c>
      <c r="AY2188" t="s">
        <v>131</v>
      </c>
      <c r="AZ2188" t="s">
        <v>131</v>
      </c>
      <c r="BA2188" t="s">
        <v>131</v>
      </c>
      <c r="BB2188" t="s">
        <v>131</v>
      </c>
      <c r="BC2188" t="s">
        <v>131</v>
      </c>
      <c r="BD2188" t="s">
        <v>131</v>
      </c>
      <c r="BE2188" t="s">
        <v>160</v>
      </c>
      <c r="BF2188" t="s">
        <v>1612</v>
      </c>
      <c r="BG2188" s="1">
        <v>44331</v>
      </c>
      <c r="BH2188" t="s">
        <v>945</v>
      </c>
      <c r="BI2188" t="s">
        <v>131</v>
      </c>
      <c r="BL2188" t="s">
        <v>188</v>
      </c>
      <c r="BN2188" t="s">
        <v>1317</v>
      </c>
      <c r="BO2188" t="s">
        <v>131</v>
      </c>
      <c r="BP2188" t="s">
        <v>134</v>
      </c>
      <c r="BQ2188" t="s">
        <v>131</v>
      </c>
      <c r="BS2188" t="str">
        <f t="shared" si="131"/>
        <v>N/A</v>
      </c>
      <c r="BT2188" t="s">
        <v>135</v>
      </c>
      <c r="BU2188">
        <v>36</v>
      </c>
      <c r="BV2188" t="str">
        <f>"See F.b.5.a"</f>
        <v>See F.b.5.a</v>
      </c>
      <c r="BW2188" t="s">
        <v>135</v>
      </c>
      <c r="BX2188" t="str">
        <f>""</f>
        <v/>
      </c>
      <c r="BY2188" t="str">
        <f>""</f>
        <v/>
      </c>
      <c r="BZ2188" t="str">
        <f>""</f>
        <v/>
      </c>
      <c r="CA2188" s="2" t="s">
        <v>13735</v>
      </c>
      <c r="CB2188" t="s">
        <v>131</v>
      </c>
      <c r="CF2188" t="s">
        <v>131</v>
      </c>
      <c r="CH2188" t="str">
        <f>""</f>
        <v/>
      </c>
      <c r="CI2188" t="s">
        <v>131</v>
      </c>
      <c r="CK2188" t="s">
        <v>131</v>
      </c>
      <c r="CL2188" t="str">
        <f>""</f>
        <v/>
      </c>
      <c r="CM2188" t="str">
        <f>""</f>
        <v/>
      </c>
      <c r="CN2188" t="str">
        <f>""</f>
        <v/>
      </c>
      <c r="CO2188" t="str">
        <f>""</f>
        <v/>
      </c>
      <c r="CP2188" t="str">
        <f>"15-1132.00"</f>
        <v>15-1132.00</v>
      </c>
      <c r="CQ2188" t="s">
        <v>198</v>
      </c>
      <c r="CS2188" t="s">
        <v>135</v>
      </c>
      <c r="CT2188" t="s">
        <v>18542</v>
      </c>
      <c r="CU2188" t="s">
        <v>15455</v>
      </c>
      <c r="CV2188" t="s">
        <v>13736</v>
      </c>
      <c r="CW2188" t="s">
        <v>494</v>
      </c>
      <c r="CX2188" t="s">
        <v>129</v>
      </c>
      <c r="CZ2188" s="3" t="str">
        <f>"10007"</f>
        <v>10007</v>
      </c>
      <c r="DA2188" t="s">
        <v>131</v>
      </c>
      <c r="DB2188" t="str">
        <f>""</f>
        <v/>
      </c>
      <c r="DF2188" t="str">
        <f>""</f>
        <v/>
      </c>
    </row>
    <row r="2189" spans="1:110" ht="15" customHeight="1" x14ac:dyDescent="0.35">
      <c r="A2189" t="s">
        <v>7826</v>
      </c>
      <c r="B2189" t="s">
        <v>138</v>
      </c>
      <c r="C2189" s="1">
        <v>44375</v>
      </c>
      <c r="G2189" s="1">
        <v>44375</v>
      </c>
      <c r="H2189" t="s">
        <v>125</v>
      </c>
      <c r="I2189" t="s">
        <v>7827</v>
      </c>
      <c r="J2189" t="s">
        <v>7828</v>
      </c>
      <c r="L2189" t="s">
        <v>7829</v>
      </c>
      <c r="M2189" t="s">
        <v>7830</v>
      </c>
      <c r="O2189" t="s">
        <v>799</v>
      </c>
      <c r="P2189" t="s">
        <v>3393</v>
      </c>
      <c r="Q2189" s="3">
        <v>20011</v>
      </c>
      <c r="R2189" t="s">
        <v>128</v>
      </c>
      <c r="T2189" s="4">
        <v>12027266200</v>
      </c>
      <c r="V2189" t="s">
        <v>7831</v>
      </c>
      <c r="W2189" t="s">
        <v>7832</v>
      </c>
      <c r="X2189" t="s">
        <v>7833</v>
      </c>
      <c r="Y2189" t="s">
        <v>7830</v>
      </c>
      <c r="AA2189" t="s">
        <v>799</v>
      </c>
      <c r="AB2189" t="s">
        <v>595</v>
      </c>
      <c r="AC2189" s="3" t="str">
        <f>"20011"</f>
        <v>20011</v>
      </c>
      <c r="AD2189" t="s">
        <v>128</v>
      </c>
      <c r="AF2189" s="4">
        <v>12027266200</v>
      </c>
      <c r="AH2189" t="str">
        <f>"611110"</f>
        <v>611110</v>
      </c>
      <c r="AI2189" t="s">
        <v>130</v>
      </c>
      <c r="AJ2189" t="s">
        <v>4678</v>
      </c>
      <c r="AK2189" t="s">
        <v>246</v>
      </c>
      <c r="AM2189" t="s">
        <v>4679</v>
      </c>
      <c r="AN2189" t="s">
        <v>4680</v>
      </c>
      <c r="AO2189" t="s">
        <v>799</v>
      </c>
      <c r="AP2189" t="s">
        <v>595</v>
      </c>
      <c r="AQ2189" s="5">
        <v>20036</v>
      </c>
      <c r="AR2189" t="s">
        <v>128</v>
      </c>
      <c r="AT2189" s="4">
        <v>12024161789</v>
      </c>
      <c r="AV2189" t="s">
        <v>4681</v>
      </c>
      <c r="AW2189" t="s">
        <v>4682</v>
      </c>
      <c r="AX2189" t="s">
        <v>131</v>
      </c>
      <c r="AY2189" t="s">
        <v>131</v>
      </c>
      <c r="AZ2189" t="s">
        <v>131</v>
      </c>
      <c r="BA2189" t="s">
        <v>131</v>
      </c>
      <c r="BB2189" t="s">
        <v>131</v>
      </c>
      <c r="BC2189" t="s">
        <v>131</v>
      </c>
      <c r="BD2189" t="s">
        <v>131</v>
      </c>
      <c r="BE2189" t="s">
        <v>132</v>
      </c>
      <c r="BH2189" t="s">
        <v>6705</v>
      </c>
      <c r="BI2189" t="s">
        <v>131</v>
      </c>
      <c r="BL2189" t="s">
        <v>167</v>
      </c>
      <c r="BO2189" t="s">
        <v>131</v>
      </c>
      <c r="BP2189" t="s">
        <v>134</v>
      </c>
      <c r="BQ2189" t="s">
        <v>131</v>
      </c>
      <c r="BS2189" t="str">
        <f t="shared" si="131"/>
        <v>N/A</v>
      </c>
      <c r="BT2189" t="s">
        <v>135</v>
      </c>
      <c r="BU2189">
        <v>36</v>
      </c>
      <c r="BV2189" t="str">
        <f>"Elementary Teacher or related"</f>
        <v>Elementary Teacher or related</v>
      </c>
      <c r="BW2189" t="s">
        <v>135</v>
      </c>
      <c r="BX2189" t="str">
        <f>""</f>
        <v/>
      </c>
      <c r="BY2189" t="str">
        <f>"Fluency in Spanish required."</f>
        <v>Fluency in Spanish required.</v>
      </c>
      <c r="BZ2189" t="str">
        <f>""</f>
        <v/>
      </c>
      <c r="CA2189" t="str">
        <f>""</f>
        <v/>
      </c>
      <c r="CB2189" t="s">
        <v>131</v>
      </c>
      <c r="CF2189" t="s">
        <v>131</v>
      </c>
      <c r="CH2189" t="str">
        <f>""</f>
        <v/>
      </c>
      <c r="CI2189" t="s">
        <v>131</v>
      </c>
      <c r="CK2189" t="s">
        <v>131</v>
      </c>
      <c r="CL2189" t="str">
        <f>""</f>
        <v/>
      </c>
      <c r="CM2189" t="str">
        <f>""</f>
        <v/>
      </c>
      <c r="CN2189" t="str">
        <f>""</f>
        <v/>
      </c>
      <c r="CO2189" t="str">
        <f>""</f>
        <v/>
      </c>
      <c r="CP2189" t="str">
        <f>"25-2021.00"</f>
        <v>25-2021.00</v>
      </c>
      <c r="CQ2189" t="s">
        <v>5985</v>
      </c>
      <c r="CR2189" t="s">
        <v>7834</v>
      </c>
      <c r="CS2189" t="s">
        <v>131</v>
      </c>
      <c r="CU2189" t="s">
        <v>7835</v>
      </c>
      <c r="CW2189" t="s">
        <v>799</v>
      </c>
      <c r="CX2189" t="s">
        <v>595</v>
      </c>
      <c r="CZ2189" s="3" t="str">
        <f>"20011"</f>
        <v>20011</v>
      </c>
      <c r="DA2189" t="s">
        <v>131</v>
      </c>
      <c r="DB2189" t="str">
        <f>""</f>
        <v/>
      </c>
      <c r="DF2189" t="str">
        <f>""</f>
        <v/>
      </c>
    </row>
    <row r="2190" spans="1:110" ht="15" customHeight="1" x14ac:dyDescent="0.35">
      <c r="A2190" t="s">
        <v>13674</v>
      </c>
      <c r="B2190" t="s">
        <v>138</v>
      </c>
      <c r="C2190" s="1">
        <v>44375</v>
      </c>
      <c r="G2190" s="1">
        <v>44375</v>
      </c>
      <c r="H2190" t="s">
        <v>125</v>
      </c>
      <c r="I2190" t="s">
        <v>12115</v>
      </c>
      <c r="J2190" t="s">
        <v>1487</v>
      </c>
      <c r="L2190" t="s">
        <v>12116</v>
      </c>
      <c r="M2190" t="s">
        <v>13675</v>
      </c>
      <c r="O2190" t="s">
        <v>12117</v>
      </c>
      <c r="P2190" t="s">
        <v>467</v>
      </c>
      <c r="Q2190" s="3">
        <v>80108</v>
      </c>
      <c r="R2190" t="s">
        <v>128</v>
      </c>
      <c r="T2190" s="4">
        <v>17207853965</v>
      </c>
      <c r="V2190" t="s">
        <v>12118</v>
      </c>
      <c r="W2190" t="s">
        <v>12119</v>
      </c>
      <c r="Y2190" t="s">
        <v>12120</v>
      </c>
      <c r="AA2190" t="s">
        <v>12117</v>
      </c>
      <c r="AB2190" t="s">
        <v>471</v>
      </c>
      <c r="AC2190" s="3" t="str">
        <f>"80108"</f>
        <v>80108</v>
      </c>
      <c r="AD2190" t="s">
        <v>128</v>
      </c>
      <c r="AF2190" s="4">
        <v>17207853965</v>
      </c>
      <c r="AH2190" t="str">
        <f>"814110"</f>
        <v>814110</v>
      </c>
      <c r="AI2190" t="s">
        <v>130</v>
      </c>
      <c r="AJ2190" t="s">
        <v>12121</v>
      </c>
      <c r="AK2190" t="s">
        <v>12122</v>
      </c>
      <c r="AL2190" t="s">
        <v>651</v>
      </c>
      <c r="AM2190" t="s">
        <v>3310</v>
      </c>
      <c r="AN2190" t="s">
        <v>439</v>
      </c>
      <c r="AO2190" t="s">
        <v>1580</v>
      </c>
      <c r="AP2190" t="s">
        <v>306</v>
      </c>
      <c r="AQ2190" s="5">
        <v>22031</v>
      </c>
      <c r="AR2190" t="s">
        <v>128</v>
      </c>
      <c r="AT2190" s="4">
        <v>17035603500</v>
      </c>
      <c r="AV2190" t="s">
        <v>12123</v>
      </c>
      <c r="AW2190" t="s">
        <v>13676</v>
      </c>
      <c r="AX2190" t="s">
        <v>131</v>
      </c>
      <c r="AY2190" t="s">
        <v>131</v>
      </c>
      <c r="AZ2190" t="s">
        <v>131</v>
      </c>
      <c r="BA2190" t="s">
        <v>131</v>
      </c>
      <c r="BB2190" t="s">
        <v>131</v>
      </c>
      <c r="BC2190" t="s">
        <v>131</v>
      </c>
      <c r="BD2190" t="s">
        <v>131</v>
      </c>
      <c r="BE2190" t="s">
        <v>132</v>
      </c>
      <c r="BH2190" t="s">
        <v>2109</v>
      </c>
      <c r="BI2190" t="s">
        <v>131</v>
      </c>
      <c r="BL2190" t="s">
        <v>167</v>
      </c>
      <c r="BO2190" t="s">
        <v>131</v>
      </c>
      <c r="BP2190" t="s">
        <v>134</v>
      </c>
      <c r="BQ2190" t="s">
        <v>131</v>
      </c>
      <c r="BS2190" t="str">
        <f t="shared" si="131"/>
        <v>N/A</v>
      </c>
      <c r="BT2190" t="s">
        <v>135</v>
      </c>
      <c r="BU2190">
        <v>24</v>
      </c>
      <c r="BV2190" t="str">
        <f>"Nanny"</f>
        <v>Nanny</v>
      </c>
      <c r="BW2190" t="s">
        <v>135</v>
      </c>
      <c r="BX2190" t="str">
        <f>"CPR/First Aid Certificate"</f>
        <v>CPR/First Aid Certificate</v>
      </c>
      <c r="BY2190" t="str">
        <f>""</f>
        <v/>
      </c>
      <c r="BZ2190" t="str">
        <f>""</f>
        <v/>
      </c>
      <c r="CA2190" t="str">
        <f>""</f>
        <v/>
      </c>
      <c r="CB2190" t="s">
        <v>131</v>
      </c>
      <c r="CF2190" t="s">
        <v>131</v>
      </c>
      <c r="CH2190" t="str">
        <f>""</f>
        <v/>
      </c>
      <c r="CI2190" t="s">
        <v>131</v>
      </c>
      <c r="CK2190" t="s">
        <v>131</v>
      </c>
      <c r="CL2190" t="str">
        <f>""</f>
        <v/>
      </c>
      <c r="CM2190" t="str">
        <f>""</f>
        <v/>
      </c>
      <c r="CN2190" t="str">
        <f>""</f>
        <v/>
      </c>
      <c r="CO2190" t="str">
        <f>""</f>
        <v/>
      </c>
      <c r="CP2190" t="str">
        <f>"39-9011.00"</f>
        <v>39-9011.00</v>
      </c>
      <c r="CQ2190" t="s">
        <v>342</v>
      </c>
      <c r="CS2190" t="s">
        <v>131</v>
      </c>
      <c r="CU2190" t="s">
        <v>12120</v>
      </c>
      <c r="CW2190" t="s">
        <v>12117</v>
      </c>
      <c r="CX2190" t="s">
        <v>471</v>
      </c>
      <c r="CZ2190" s="3" t="str">
        <f>"80108"</f>
        <v>80108</v>
      </c>
      <c r="DA2190" t="s">
        <v>131</v>
      </c>
      <c r="DB2190" t="str">
        <f>""</f>
        <v/>
      </c>
      <c r="DF2190" t="str">
        <f>""</f>
        <v/>
      </c>
    </row>
    <row r="2191" spans="1:110" ht="15" customHeight="1" x14ac:dyDescent="0.35">
      <c r="A2191" t="s">
        <v>17676</v>
      </c>
      <c r="B2191" t="s">
        <v>138</v>
      </c>
      <c r="C2191" s="1">
        <v>44375</v>
      </c>
      <c r="G2191" s="1">
        <v>44375</v>
      </c>
      <c r="H2191" t="s">
        <v>125</v>
      </c>
      <c r="I2191" t="s">
        <v>17540</v>
      </c>
      <c r="J2191" t="s">
        <v>745</v>
      </c>
      <c r="L2191" t="s">
        <v>1105</v>
      </c>
      <c r="M2191" t="s">
        <v>17677</v>
      </c>
      <c r="O2191" t="s">
        <v>8482</v>
      </c>
      <c r="P2191" t="s">
        <v>826</v>
      </c>
      <c r="Q2191" s="3">
        <v>21770</v>
      </c>
      <c r="R2191" t="s">
        <v>128</v>
      </c>
      <c r="T2191" s="4">
        <v>12408763047</v>
      </c>
      <c r="V2191" t="s">
        <v>17542</v>
      </c>
      <c r="W2191" t="s">
        <v>17543</v>
      </c>
      <c r="Y2191" t="s">
        <v>17541</v>
      </c>
      <c r="AA2191" t="s">
        <v>8482</v>
      </c>
      <c r="AB2191" t="s">
        <v>382</v>
      </c>
      <c r="AC2191" s="3" t="str">
        <f>"21770"</f>
        <v>21770</v>
      </c>
      <c r="AD2191" t="s">
        <v>128</v>
      </c>
      <c r="AF2191" s="4">
        <v>12408763047</v>
      </c>
      <c r="AH2191" t="str">
        <f>"561720"</f>
        <v>561720</v>
      </c>
      <c r="AI2191" t="s">
        <v>130</v>
      </c>
      <c r="AJ2191" t="s">
        <v>5596</v>
      </c>
      <c r="AK2191" t="s">
        <v>3209</v>
      </c>
      <c r="AL2191" t="s">
        <v>5597</v>
      </c>
      <c r="AM2191" t="s">
        <v>5598</v>
      </c>
      <c r="AO2191" t="s">
        <v>825</v>
      </c>
      <c r="AP2191" t="s">
        <v>382</v>
      </c>
      <c r="AQ2191" s="5">
        <v>20850</v>
      </c>
      <c r="AR2191" t="s">
        <v>128</v>
      </c>
      <c r="AT2191" s="4">
        <v>13017386909</v>
      </c>
      <c r="AV2191" t="s">
        <v>5599</v>
      </c>
      <c r="AW2191" t="s">
        <v>5600</v>
      </c>
      <c r="AX2191" t="s">
        <v>131</v>
      </c>
      <c r="AY2191" t="s">
        <v>131</v>
      </c>
      <c r="AZ2191" t="s">
        <v>131</v>
      </c>
      <c r="BA2191" t="s">
        <v>131</v>
      </c>
      <c r="BB2191" t="s">
        <v>131</v>
      </c>
      <c r="BC2191" t="s">
        <v>131</v>
      </c>
      <c r="BD2191" t="s">
        <v>131</v>
      </c>
      <c r="BE2191" t="s">
        <v>132</v>
      </c>
      <c r="BH2191" t="s">
        <v>1963</v>
      </c>
      <c r="BI2191" t="s">
        <v>131</v>
      </c>
      <c r="BL2191" t="s">
        <v>401</v>
      </c>
      <c r="BO2191" t="s">
        <v>131</v>
      </c>
      <c r="BP2191" t="s">
        <v>134</v>
      </c>
      <c r="BQ2191" t="s">
        <v>131</v>
      </c>
      <c r="BS2191" t="str">
        <f t="shared" si="131"/>
        <v>N/A</v>
      </c>
      <c r="BT2191" t="s">
        <v>131</v>
      </c>
      <c r="BV2191" t="str">
        <f>"Office Assistant"</f>
        <v>Office Assistant</v>
      </c>
      <c r="BW2191" t="s">
        <v>135</v>
      </c>
      <c r="BX2191" t="str">
        <f>""</f>
        <v/>
      </c>
      <c r="BY2191" t="str">
        <f>""</f>
        <v/>
      </c>
      <c r="BZ2191" t="str">
        <f>""</f>
        <v/>
      </c>
      <c r="CA2191" t="str">
        <f>"High School Diploma or foreign equivalent required."</f>
        <v>High School Diploma or foreign equivalent required.</v>
      </c>
      <c r="CB2191" t="s">
        <v>131</v>
      </c>
      <c r="CF2191" t="s">
        <v>131</v>
      </c>
      <c r="CH2191" t="str">
        <f>""</f>
        <v/>
      </c>
      <c r="CI2191" t="s">
        <v>131</v>
      </c>
      <c r="CK2191" t="s">
        <v>131</v>
      </c>
      <c r="CL2191" t="str">
        <f>""</f>
        <v/>
      </c>
      <c r="CM2191" t="str">
        <f>""</f>
        <v/>
      </c>
      <c r="CN2191" t="str">
        <f>""</f>
        <v/>
      </c>
      <c r="CO2191" t="str">
        <f>""</f>
        <v/>
      </c>
      <c r="CP2191" t="str">
        <f>"43-6014.00"</f>
        <v>43-6014.00</v>
      </c>
      <c r="CQ2191" t="s">
        <v>406</v>
      </c>
      <c r="CS2191" t="s">
        <v>131</v>
      </c>
      <c r="CU2191" t="s">
        <v>17541</v>
      </c>
      <c r="CW2191" t="s">
        <v>8482</v>
      </c>
      <c r="CX2191" t="s">
        <v>382</v>
      </c>
      <c r="CZ2191" s="3" t="str">
        <f>"21770"</f>
        <v>21770</v>
      </c>
      <c r="DA2191" t="s">
        <v>131</v>
      </c>
      <c r="DB2191" t="str">
        <f>""</f>
        <v/>
      </c>
      <c r="DF2191" t="str">
        <f>""</f>
        <v/>
      </c>
    </row>
    <row r="2192" spans="1:110" ht="15" customHeight="1" x14ac:dyDescent="0.35">
      <c r="A2192" t="s">
        <v>10805</v>
      </c>
      <c r="B2192" t="s">
        <v>138</v>
      </c>
      <c r="C2192" s="1">
        <v>44375</v>
      </c>
      <c r="G2192" s="1">
        <v>44375</v>
      </c>
      <c r="H2192" t="s">
        <v>125</v>
      </c>
      <c r="I2192" t="s">
        <v>10304</v>
      </c>
      <c r="J2192" t="s">
        <v>10806</v>
      </c>
      <c r="L2192" t="s">
        <v>395</v>
      </c>
      <c r="M2192" t="s">
        <v>10807</v>
      </c>
      <c r="O2192" t="s">
        <v>3487</v>
      </c>
      <c r="P2192" t="s">
        <v>273</v>
      </c>
      <c r="Q2192" s="3">
        <v>7650</v>
      </c>
      <c r="R2192" t="s">
        <v>128</v>
      </c>
      <c r="T2192" s="4">
        <v>12018495042</v>
      </c>
      <c r="V2192" t="s">
        <v>10808</v>
      </c>
      <c r="W2192" t="s">
        <v>10809</v>
      </c>
      <c r="X2192" t="s">
        <v>10810</v>
      </c>
      <c r="Y2192" t="s">
        <v>10807</v>
      </c>
      <c r="AA2192" t="s">
        <v>3487</v>
      </c>
      <c r="AB2192" t="s">
        <v>276</v>
      </c>
      <c r="AC2192" s="3" t="str">
        <f>"07650"</f>
        <v>07650</v>
      </c>
      <c r="AD2192" t="s">
        <v>128</v>
      </c>
      <c r="AF2192" s="4">
        <v>12018495042</v>
      </c>
      <c r="AH2192" t="str">
        <f>"44815"</f>
        <v>44815</v>
      </c>
      <c r="AI2192" t="s">
        <v>130</v>
      </c>
      <c r="AJ2192" t="s">
        <v>993</v>
      </c>
      <c r="AK2192" t="s">
        <v>10811</v>
      </c>
      <c r="AM2192" t="s">
        <v>10812</v>
      </c>
      <c r="AN2192" t="s">
        <v>1980</v>
      </c>
      <c r="AO2192" t="s">
        <v>3487</v>
      </c>
      <c r="AP2192" t="s">
        <v>276</v>
      </c>
      <c r="AQ2192" s="5">
        <v>7650</v>
      </c>
      <c r="AR2192" t="s">
        <v>128</v>
      </c>
      <c r="AT2192" s="4">
        <v>12015921377</v>
      </c>
      <c r="AV2192" t="s">
        <v>10813</v>
      </c>
      <c r="AW2192" t="s">
        <v>10814</v>
      </c>
      <c r="AX2192" t="s">
        <v>131</v>
      </c>
      <c r="AY2192" t="s">
        <v>131</v>
      </c>
      <c r="AZ2192" t="s">
        <v>131</v>
      </c>
      <c r="BA2192" t="s">
        <v>131</v>
      </c>
      <c r="BB2192" t="s">
        <v>131</v>
      </c>
      <c r="BC2192" t="s">
        <v>131</v>
      </c>
      <c r="BD2192" t="s">
        <v>131</v>
      </c>
      <c r="BE2192" t="s">
        <v>132</v>
      </c>
      <c r="BH2192" t="s">
        <v>727</v>
      </c>
      <c r="BI2192" t="s">
        <v>131</v>
      </c>
      <c r="BL2192" t="s">
        <v>133</v>
      </c>
      <c r="BN2192" t="s">
        <v>10815</v>
      </c>
      <c r="BO2192" t="s">
        <v>131</v>
      </c>
      <c r="BP2192" t="s">
        <v>134</v>
      </c>
      <c r="BQ2192" t="s">
        <v>131</v>
      </c>
      <c r="BS2192" t="str">
        <f t="shared" si="131"/>
        <v>N/A</v>
      </c>
      <c r="BT2192" t="s">
        <v>131</v>
      </c>
      <c r="BV2192" t="str">
        <f>""</f>
        <v/>
      </c>
      <c r="BW2192" t="s">
        <v>131</v>
      </c>
      <c r="BX2192" t="str">
        <f>""</f>
        <v/>
      </c>
      <c r="BY2192" t="str">
        <f>""</f>
        <v/>
      </c>
      <c r="BZ2192" t="str">
        <f>""</f>
        <v/>
      </c>
      <c r="CA2192" t="str">
        <f>""</f>
        <v/>
      </c>
      <c r="CB2192" t="s">
        <v>131</v>
      </c>
      <c r="CF2192" t="s">
        <v>131</v>
      </c>
      <c r="CH2192" t="str">
        <f>""</f>
        <v/>
      </c>
      <c r="CI2192" t="s">
        <v>131</v>
      </c>
      <c r="CK2192" t="s">
        <v>131</v>
      </c>
      <c r="CL2192" t="str">
        <f>""</f>
        <v/>
      </c>
      <c r="CM2192" t="str">
        <f>""</f>
        <v/>
      </c>
      <c r="CN2192" t="str">
        <f>""</f>
        <v/>
      </c>
      <c r="CO2192" t="str">
        <f>""</f>
        <v/>
      </c>
      <c r="CP2192" t="str">
        <f>"13-1161.00"</f>
        <v>13-1161.00</v>
      </c>
      <c r="CQ2192" t="s">
        <v>252</v>
      </c>
      <c r="CS2192" t="s">
        <v>131</v>
      </c>
      <c r="CU2192" t="s">
        <v>10807</v>
      </c>
      <c r="CW2192" t="s">
        <v>3487</v>
      </c>
      <c r="CX2192" t="s">
        <v>276</v>
      </c>
      <c r="CZ2192" s="3" t="str">
        <f>"07650"</f>
        <v>07650</v>
      </c>
      <c r="DA2192" t="s">
        <v>131</v>
      </c>
      <c r="DB2192" t="str">
        <f>""</f>
        <v/>
      </c>
      <c r="DF2192" t="str">
        <f>""</f>
        <v/>
      </c>
    </row>
    <row r="2193" spans="1:110" ht="15" customHeight="1" x14ac:dyDescent="0.35">
      <c r="A2193" t="s">
        <v>16920</v>
      </c>
      <c r="B2193" t="s">
        <v>138</v>
      </c>
      <c r="C2193" s="1">
        <v>44375</v>
      </c>
      <c r="G2193" s="1">
        <v>44377</v>
      </c>
      <c r="H2193" t="s">
        <v>125</v>
      </c>
      <c r="I2193" t="s">
        <v>14847</v>
      </c>
      <c r="J2193" t="s">
        <v>8342</v>
      </c>
      <c r="K2193" t="s">
        <v>2126</v>
      </c>
      <c r="L2193" t="s">
        <v>16882</v>
      </c>
      <c r="M2193" t="s">
        <v>16921</v>
      </c>
      <c r="O2193" t="s">
        <v>885</v>
      </c>
      <c r="P2193" t="s">
        <v>412</v>
      </c>
      <c r="Q2193" s="3">
        <v>77046</v>
      </c>
      <c r="R2193" t="s">
        <v>128</v>
      </c>
      <c r="T2193" s="4">
        <v>18324260305</v>
      </c>
      <c r="V2193" t="s">
        <v>14849</v>
      </c>
      <c r="W2193" t="s">
        <v>16922</v>
      </c>
      <c r="Y2193" t="s">
        <v>16923</v>
      </c>
      <c r="Z2193" t="s">
        <v>698</v>
      </c>
      <c r="AA2193" t="s">
        <v>885</v>
      </c>
      <c r="AB2193" t="s">
        <v>400</v>
      </c>
      <c r="AC2193" s="3" t="str">
        <f>"77079"</f>
        <v>77079</v>
      </c>
      <c r="AD2193" t="s">
        <v>128</v>
      </c>
      <c r="AF2193" s="4">
        <v>12815098000</v>
      </c>
      <c r="AH2193" t="str">
        <f>"541360"</f>
        <v>541360</v>
      </c>
      <c r="AI2193" t="s">
        <v>130</v>
      </c>
      <c r="AJ2193" t="s">
        <v>14847</v>
      </c>
      <c r="AK2193" t="s">
        <v>8342</v>
      </c>
      <c r="AL2193" t="s">
        <v>14848</v>
      </c>
      <c r="AM2193" t="s">
        <v>883</v>
      </c>
      <c r="AN2193" t="s">
        <v>884</v>
      </c>
      <c r="AO2193" t="s">
        <v>885</v>
      </c>
      <c r="AP2193" t="s">
        <v>400</v>
      </c>
      <c r="AQ2193" s="5">
        <v>77046</v>
      </c>
      <c r="AR2193" t="s">
        <v>128</v>
      </c>
      <c r="AT2193" s="4">
        <v>18324260305</v>
      </c>
      <c r="AV2193" t="s">
        <v>14849</v>
      </c>
      <c r="AW2193" t="s">
        <v>886</v>
      </c>
      <c r="AX2193" t="s">
        <v>131</v>
      </c>
      <c r="AY2193" t="s">
        <v>131</v>
      </c>
      <c r="AZ2193" t="s">
        <v>131</v>
      </c>
      <c r="BA2193" t="s">
        <v>131</v>
      </c>
      <c r="BB2193" t="s">
        <v>131</v>
      </c>
      <c r="BC2193" t="s">
        <v>131</v>
      </c>
      <c r="BD2193" t="s">
        <v>131</v>
      </c>
      <c r="BE2193" t="s">
        <v>132</v>
      </c>
      <c r="BH2193" t="s">
        <v>16924</v>
      </c>
      <c r="BI2193" t="s">
        <v>131</v>
      </c>
      <c r="BL2193" t="s">
        <v>133</v>
      </c>
      <c r="BN2193" t="s">
        <v>16925</v>
      </c>
      <c r="BO2193" t="s">
        <v>131</v>
      </c>
      <c r="BP2193" t="s">
        <v>134</v>
      </c>
      <c r="BQ2193" t="s">
        <v>131</v>
      </c>
      <c r="BS2193" t="str">
        <f t="shared" si="131"/>
        <v>N/A</v>
      </c>
      <c r="BT2193" t="s">
        <v>135</v>
      </c>
      <c r="BU2193">
        <v>48</v>
      </c>
      <c r="BV2193" t="str">
        <f>"Please see section F.a.2. for details."</f>
        <v>Please see section F.a.2. for details.</v>
      </c>
      <c r="BW2193" t="s">
        <v>131</v>
      </c>
      <c r="BX2193" t="str">
        <f>""</f>
        <v/>
      </c>
      <c r="BY2193" t="str">
        <f>""</f>
        <v/>
      </c>
      <c r="BZ2193" t="str">
        <f>""</f>
        <v/>
      </c>
      <c r="CA2193" t="str">
        <f>""</f>
        <v/>
      </c>
      <c r="CB2193" t="s">
        <v>131</v>
      </c>
      <c r="CF2193" t="s">
        <v>131</v>
      </c>
      <c r="CH2193" t="str">
        <f>""</f>
        <v/>
      </c>
      <c r="CI2193" t="s">
        <v>131</v>
      </c>
      <c r="CK2193" t="s">
        <v>131</v>
      </c>
      <c r="CL2193" t="str">
        <f>""</f>
        <v/>
      </c>
      <c r="CM2193" t="str">
        <f>""</f>
        <v/>
      </c>
      <c r="CN2193" t="str">
        <f>""</f>
        <v/>
      </c>
      <c r="CO2193" t="str">
        <f>""</f>
        <v/>
      </c>
      <c r="CP2193" t="str">
        <f>"15-2031.00"</f>
        <v>15-2031.00</v>
      </c>
      <c r="CQ2193" t="s">
        <v>887</v>
      </c>
      <c r="CR2193" t="s">
        <v>16926</v>
      </c>
      <c r="CS2193" t="s">
        <v>131</v>
      </c>
      <c r="CU2193" t="s">
        <v>16923</v>
      </c>
      <c r="CV2193" t="s">
        <v>698</v>
      </c>
      <c r="CW2193" t="s">
        <v>885</v>
      </c>
      <c r="CX2193" t="s">
        <v>400</v>
      </c>
      <c r="CZ2193" s="3" t="str">
        <f>"77079"</f>
        <v>77079</v>
      </c>
      <c r="DA2193" t="s">
        <v>131</v>
      </c>
      <c r="DB2193" t="str">
        <f>""</f>
        <v/>
      </c>
      <c r="DF2193" t="str">
        <f>""</f>
        <v/>
      </c>
    </row>
    <row r="2194" spans="1:110" ht="15" customHeight="1" x14ac:dyDescent="0.35">
      <c r="A2194" t="s">
        <v>19855</v>
      </c>
      <c r="B2194" t="s">
        <v>138</v>
      </c>
      <c r="C2194" s="1">
        <v>44375</v>
      </c>
      <c r="G2194" s="1">
        <v>44375</v>
      </c>
      <c r="H2194" t="s">
        <v>125</v>
      </c>
      <c r="I2194" t="s">
        <v>11581</v>
      </c>
      <c r="J2194" t="s">
        <v>9168</v>
      </c>
      <c r="L2194" t="s">
        <v>1646</v>
      </c>
      <c r="M2194" t="s">
        <v>13899</v>
      </c>
      <c r="O2194" t="s">
        <v>6519</v>
      </c>
      <c r="P2194" t="s">
        <v>178</v>
      </c>
      <c r="Q2194" s="3">
        <v>93301</v>
      </c>
      <c r="R2194" t="s">
        <v>128</v>
      </c>
      <c r="T2194" s="4">
        <v>16616364658</v>
      </c>
      <c r="V2194" t="s">
        <v>13900</v>
      </c>
      <c r="W2194" t="s">
        <v>13901</v>
      </c>
      <c r="Y2194" t="s">
        <v>13899</v>
      </c>
      <c r="AA2194" t="s">
        <v>6519</v>
      </c>
      <c r="AB2194" t="s">
        <v>172</v>
      </c>
      <c r="AC2194" s="3" t="str">
        <f>"93301"</f>
        <v>93301</v>
      </c>
      <c r="AD2194" t="s">
        <v>128</v>
      </c>
      <c r="AF2194" s="4">
        <v>16616364658</v>
      </c>
      <c r="AH2194" t="str">
        <f>"92311"</f>
        <v>92311</v>
      </c>
      <c r="AI2194" t="s">
        <v>130</v>
      </c>
      <c r="AJ2194" t="s">
        <v>4174</v>
      </c>
      <c r="AK2194" t="s">
        <v>348</v>
      </c>
      <c r="AL2194" t="s">
        <v>1198</v>
      </c>
      <c r="AM2194" t="s">
        <v>1293</v>
      </c>
      <c r="AN2194" t="s">
        <v>1294</v>
      </c>
      <c r="AO2194" t="s">
        <v>220</v>
      </c>
      <c r="AP2194" t="s">
        <v>172</v>
      </c>
      <c r="AQ2194" s="5">
        <v>94111</v>
      </c>
      <c r="AR2194" t="s">
        <v>128</v>
      </c>
      <c r="AS2194" t="s">
        <v>178</v>
      </c>
      <c r="AT2194" s="4">
        <v>14154325300</v>
      </c>
      <c r="AV2194" t="s">
        <v>4175</v>
      </c>
      <c r="AW2194" t="s">
        <v>1295</v>
      </c>
      <c r="AX2194" t="s">
        <v>131</v>
      </c>
      <c r="AY2194" t="s">
        <v>131</v>
      </c>
      <c r="AZ2194" t="s">
        <v>131</v>
      </c>
      <c r="BA2194" t="s">
        <v>131</v>
      </c>
      <c r="BB2194" t="s">
        <v>131</v>
      </c>
      <c r="BC2194" t="s">
        <v>131</v>
      </c>
      <c r="BD2194" t="s">
        <v>131</v>
      </c>
      <c r="BE2194" t="s">
        <v>132</v>
      </c>
      <c r="BH2194" t="s">
        <v>13902</v>
      </c>
      <c r="BI2194" t="s">
        <v>131</v>
      </c>
      <c r="BL2194" t="s">
        <v>167</v>
      </c>
      <c r="BO2194" t="s">
        <v>131</v>
      </c>
      <c r="BP2194" t="s">
        <v>134</v>
      </c>
      <c r="BQ2194" t="s">
        <v>131</v>
      </c>
      <c r="BS2194" t="str">
        <f t="shared" si="131"/>
        <v>N/A</v>
      </c>
      <c r="BT2194" t="s">
        <v>135</v>
      </c>
      <c r="BU2194">
        <v>24</v>
      </c>
      <c r="BV2194" t="str">
        <f>"in position offered, systems engineer, software engineer or technical lead."</f>
        <v>in position offered, systems engineer, software engineer or technical lead.</v>
      </c>
      <c r="BW2194" t="s">
        <v>135</v>
      </c>
      <c r="BX2194" t="str">
        <f>""</f>
        <v/>
      </c>
      <c r="BY2194" t="str">
        <f>""</f>
        <v/>
      </c>
      <c r="BZ2194" t="str">
        <f>""</f>
        <v/>
      </c>
      <c r="CA2194" t="s">
        <v>19856</v>
      </c>
      <c r="CB2194" t="s">
        <v>131</v>
      </c>
      <c r="CF2194" t="s">
        <v>131</v>
      </c>
      <c r="CH2194" t="str">
        <f>""</f>
        <v/>
      </c>
      <c r="CI2194" t="s">
        <v>131</v>
      </c>
      <c r="CK2194" t="s">
        <v>131</v>
      </c>
      <c r="CL2194" t="str">
        <f>""</f>
        <v/>
      </c>
      <c r="CM2194" t="str">
        <f>""</f>
        <v/>
      </c>
      <c r="CN2194" t="str">
        <f>""</f>
        <v/>
      </c>
      <c r="CO2194" t="str">
        <f>""</f>
        <v/>
      </c>
      <c r="CP2194" t="str">
        <f>"15-1199.02"</f>
        <v>15-1199.02</v>
      </c>
      <c r="CQ2194" t="s">
        <v>2269</v>
      </c>
      <c r="CR2194" t="s">
        <v>13903</v>
      </c>
      <c r="CS2194" t="s">
        <v>131</v>
      </c>
      <c r="CU2194" t="s">
        <v>13904</v>
      </c>
      <c r="CW2194" t="s">
        <v>1259</v>
      </c>
      <c r="CX2194" t="s">
        <v>172</v>
      </c>
      <c r="CZ2194" s="3" t="str">
        <f>"95814"</f>
        <v>95814</v>
      </c>
      <c r="DA2194" t="s">
        <v>131</v>
      </c>
      <c r="DB2194" t="str">
        <f>""</f>
        <v/>
      </c>
      <c r="DF2194" t="str">
        <f>""</f>
        <v/>
      </c>
    </row>
    <row r="2195" spans="1:110" ht="15" customHeight="1" x14ac:dyDescent="0.35">
      <c r="A2195" t="s">
        <v>11614</v>
      </c>
      <c r="B2195" t="s">
        <v>138</v>
      </c>
      <c r="C2195" s="1">
        <v>44375</v>
      </c>
      <c r="G2195" s="1">
        <v>44377</v>
      </c>
      <c r="H2195" t="s">
        <v>125</v>
      </c>
      <c r="I2195" t="s">
        <v>4686</v>
      </c>
      <c r="J2195" t="s">
        <v>738</v>
      </c>
      <c r="L2195" t="s">
        <v>395</v>
      </c>
      <c r="M2195" t="s">
        <v>4972</v>
      </c>
      <c r="N2195" t="s">
        <v>4689</v>
      </c>
      <c r="O2195" t="s">
        <v>1259</v>
      </c>
      <c r="P2195" t="s">
        <v>178</v>
      </c>
      <c r="Q2195" s="3">
        <v>95815</v>
      </c>
      <c r="R2195" t="s">
        <v>128</v>
      </c>
      <c r="T2195" s="4">
        <v>19167979907</v>
      </c>
      <c r="V2195" t="s">
        <v>4690</v>
      </c>
      <c r="W2195" t="s">
        <v>4691</v>
      </c>
      <c r="Y2195" t="s">
        <v>4972</v>
      </c>
      <c r="Z2195" t="s">
        <v>4689</v>
      </c>
      <c r="AA2195" t="s">
        <v>1259</v>
      </c>
      <c r="AB2195" t="s">
        <v>172</v>
      </c>
      <c r="AC2195" s="3" t="str">
        <f>"95815"</f>
        <v>95815</v>
      </c>
      <c r="AD2195" t="s">
        <v>128</v>
      </c>
      <c r="AF2195" s="4">
        <v>19167979907</v>
      </c>
      <c r="AH2195" t="str">
        <f>"54111"</f>
        <v>54111</v>
      </c>
      <c r="AI2195" t="s">
        <v>167</v>
      </c>
      <c r="AX2195" t="s">
        <v>131</v>
      </c>
      <c r="AY2195" t="s">
        <v>131</v>
      </c>
      <c r="AZ2195" t="s">
        <v>131</v>
      </c>
      <c r="BA2195" t="s">
        <v>131</v>
      </c>
      <c r="BB2195" t="s">
        <v>131</v>
      </c>
      <c r="BC2195" t="s">
        <v>131</v>
      </c>
      <c r="BD2195" t="s">
        <v>131</v>
      </c>
      <c r="BE2195" t="s">
        <v>132</v>
      </c>
      <c r="BH2195" t="s">
        <v>4687</v>
      </c>
      <c r="BI2195" t="s">
        <v>135</v>
      </c>
      <c r="BJ2195" t="s">
        <v>4631</v>
      </c>
      <c r="BK2195" t="s">
        <v>4632</v>
      </c>
      <c r="BL2195" t="s">
        <v>188</v>
      </c>
      <c r="BN2195" t="s">
        <v>11615</v>
      </c>
      <c r="BO2195" t="s">
        <v>131</v>
      </c>
      <c r="BP2195" t="s">
        <v>134</v>
      </c>
      <c r="BQ2195" t="s">
        <v>131</v>
      </c>
      <c r="BS2195" t="str">
        <f t="shared" si="131"/>
        <v>N/A</v>
      </c>
      <c r="BT2195" t="s">
        <v>131</v>
      </c>
      <c r="BV2195" t="str">
        <f>""</f>
        <v/>
      </c>
      <c r="BW2195" t="s">
        <v>131</v>
      </c>
      <c r="BX2195" t="str">
        <f>""</f>
        <v/>
      </c>
      <c r="BY2195" t="str">
        <f>""</f>
        <v/>
      </c>
      <c r="BZ2195" t="str">
        <f>""</f>
        <v/>
      </c>
      <c r="CA2195" t="str">
        <f>""</f>
        <v/>
      </c>
      <c r="CB2195" t="s">
        <v>131</v>
      </c>
      <c r="CF2195" t="s">
        <v>131</v>
      </c>
      <c r="CH2195" t="str">
        <f>""</f>
        <v/>
      </c>
      <c r="CI2195" t="s">
        <v>131</v>
      </c>
      <c r="CK2195" t="s">
        <v>131</v>
      </c>
      <c r="CL2195" t="str">
        <f>""</f>
        <v/>
      </c>
      <c r="CM2195" t="str">
        <f>""</f>
        <v/>
      </c>
      <c r="CN2195" t="str">
        <f>""</f>
        <v/>
      </c>
      <c r="CO2195" t="str">
        <f>""</f>
        <v/>
      </c>
      <c r="CP2195" t="str">
        <f>"23-1011.00"</f>
        <v>23-1011.00</v>
      </c>
      <c r="CQ2195" t="s">
        <v>2563</v>
      </c>
      <c r="CR2195" t="s">
        <v>4687</v>
      </c>
      <c r="CS2195" t="s">
        <v>131</v>
      </c>
      <c r="CU2195" t="s">
        <v>4972</v>
      </c>
      <c r="CV2195" t="s">
        <v>4689</v>
      </c>
      <c r="CW2195" t="s">
        <v>1259</v>
      </c>
      <c r="CX2195" t="s">
        <v>172</v>
      </c>
      <c r="CZ2195" s="3" t="str">
        <f>"95815"</f>
        <v>95815</v>
      </c>
      <c r="DA2195" t="s">
        <v>131</v>
      </c>
      <c r="DB2195" t="str">
        <f>""</f>
        <v/>
      </c>
      <c r="DF2195" t="str">
        <f>""</f>
        <v/>
      </c>
    </row>
    <row r="2196" spans="1:110" ht="15" customHeight="1" x14ac:dyDescent="0.35">
      <c r="A2196" t="s">
        <v>14250</v>
      </c>
      <c r="B2196" t="s">
        <v>138</v>
      </c>
      <c r="C2196" s="1">
        <v>44375</v>
      </c>
      <c r="G2196" s="1">
        <v>44376</v>
      </c>
      <c r="H2196" t="s">
        <v>125</v>
      </c>
      <c r="I2196" t="s">
        <v>14251</v>
      </c>
      <c r="J2196" t="s">
        <v>12696</v>
      </c>
      <c r="L2196" t="s">
        <v>130</v>
      </c>
      <c r="M2196" t="s">
        <v>14252</v>
      </c>
      <c r="O2196" t="s">
        <v>1521</v>
      </c>
      <c r="P2196" t="s">
        <v>194</v>
      </c>
      <c r="Q2196" s="3">
        <v>33172</v>
      </c>
      <c r="R2196" t="s">
        <v>128</v>
      </c>
      <c r="T2196" s="4">
        <v>13053742295</v>
      </c>
      <c r="V2196" t="s">
        <v>12697</v>
      </c>
      <c r="W2196" t="s">
        <v>14253</v>
      </c>
      <c r="Y2196" t="s">
        <v>14254</v>
      </c>
      <c r="AA2196" t="s">
        <v>4674</v>
      </c>
      <c r="AB2196" t="s">
        <v>195</v>
      </c>
      <c r="AC2196" s="3" t="str">
        <f>"33021"</f>
        <v>33021</v>
      </c>
      <c r="AD2196" t="s">
        <v>128</v>
      </c>
      <c r="AF2196" s="4">
        <v>19546621999</v>
      </c>
      <c r="AH2196" t="str">
        <f>"722511"</f>
        <v>722511</v>
      </c>
      <c r="AI2196" t="s">
        <v>130</v>
      </c>
      <c r="AJ2196" t="s">
        <v>14251</v>
      </c>
      <c r="AK2196" t="s">
        <v>12696</v>
      </c>
      <c r="AM2196" t="s">
        <v>14255</v>
      </c>
      <c r="AO2196" t="s">
        <v>1521</v>
      </c>
      <c r="AP2196" t="s">
        <v>195</v>
      </c>
      <c r="AQ2196" s="5">
        <v>33172</v>
      </c>
      <c r="AR2196" t="s">
        <v>128</v>
      </c>
      <c r="AT2196" s="4">
        <v>13053742295</v>
      </c>
      <c r="AV2196" t="s">
        <v>12697</v>
      </c>
      <c r="AW2196" t="s">
        <v>12698</v>
      </c>
      <c r="AX2196" t="s">
        <v>131</v>
      </c>
      <c r="AY2196" t="s">
        <v>131</v>
      </c>
      <c r="AZ2196" t="s">
        <v>131</v>
      </c>
      <c r="BA2196" t="s">
        <v>131</v>
      </c>
      <c r="BB2196" t="s">
        <v>131</v>
      </c>
      <c r="BC2196" t="s">
        <v>131</v>
      </c>
      <c r="BD2196" t="s">
        <v>131</v>
      </c>
      <c r="BE2196" t="s">
        <v>132</v>
      </c>
      <c r="BH2196" t="s">
        <v>1938</v>
      </c>
      <c r="BI2196" t="s">
        <v>135</v>
      </c>
      <c r="BJ2196" t="s">
        <v>14256</v>
      </c>
      <c r="BK2196" t="s">
        <v>14257</v>
      </c>
      <c r="BL2196" t="s">
        <v>188</v>
      </c>
      <c r="BN2196" t="s">
        <v>291</v>
      </c>
      <c r="BO2196" t="s">
        <v>131</v>
      </c>
      <c r="BP2196" t="s">
        <v>134</v>
      </c>
      <c r="BQ2196" t="s">
        <v>131</v>
      </c>
      <c r="BS2196" t="str">
        <f t="shared" si="131"/>
        <v>N/A</v>
      </c>
      <c r="BT2196" t="s">
        <v>135</v>
      </c>
      <c r="BU2196">
        <v>48</v>
      </c>
      <c r="BV2196" t="str">
        <f>"In the job offered. "</f>
        <v xml:space="preserve">In the job offered. </v>
      </c>
      <c r="BW2196" t="s">
        <v>131</v>
      </c>
      <c r="BX2196" t="str">
        <f>""</f>
        <v/>
      </c>
      <c r="BY2196" t="str">
        <f>""</f>
        <v/>
      </c>
      <c r="BZ2196" t="str">
        <f>""</f>
        <v/>
      </c>
      <c r="CA2196" t="str">
        <f>""</f>
        <v/>
      </c>
      <c r="CB2196" t="s">
        <v>131</v>
      </c>
      <c r="CF2196" t="s">
        <v>131</v>
      </c>
      <c r="CH2196" t="str">
        <f>""</f>
        <v/>
      </c>
      <c r="CI2196" t="s">
        <v>131</v>
      </c>
      <c r="CK2196" t="s">
        <v>131</v>
      </c>
      <c r="CL2196" t="str">
        <f>""</f>
        <v/>
      </c>
      <c r="CM2196" t="str">
        <f>""</f>
        <v/>
      </c>
      <c r="CN2196" t="str">
        <f>""</f>
        <v/>
      </c>
      <c r="CO2196" t="str">
        <f>""</f>
        <v/>
      </c>
      <c r="CP2196" t="str">
        <f>"11-1011.00"</f>
        <v>11-1011.00</v>
      </c>
      <c r="CQ2196" t="s">
        <v>2235</v>
      </c>
      <c r="CR2196" t="s">
        <v>6766</v>
      </c>
      <c r="CS2196" t="s">
        <v>131</v>
      </c>
      <c r="CU2196" t="s">
        <v>14258</v>
      </c>
      <c r="CW2196" t="s">
        <v>4674</v>
      </c>
      <c r="CX2196" t="s">
        <v>195</v>
      </c>
      <c r="CZ2196" s="3" t="str">
        <f>"33021"</f>
        <v>33021</v>
      </c>
      <c r="DA2196" t="s">
        <v>131</v>
      </c>
      <c r="DB2196" t="str">
        <f>""</f>
        <v/>
      </c>
      <c r="DF2196" t="str">
        <f>""</f>
        <v/>
      </c>
    </row>
    <row r="2197" spans="1:110" ht="15" customHeight="1" x14ac:dyDescent="0.35">
      <c r="A2197" t="s">
        <v>19505</v>
      </c>
      <c r="B2197" t="s">
        <v>138</v>
      </c>
      <c r="C2197" s="1">
        <v>44375</v>
      </c>
      <c r="G2197" s="1">
        <v>44375</v>
      </c>
      <c r="H2197" t="s">
        <v>125</v>
      </c>
      <c r="I2197" t="s">
        <v>1455</v>
      </c>
      <c r="J2197" t="s">
        <v>2372</v>
      </c>
      <c r="L2197" t="s">
        <v>19506</v>
      </c>
      <c r="M2197" t="s">
        <v>11387</v>
      </c>
      <c r="O2197" t="s">
        <v>399</v>
      </c>
      <c r="P2197" t="s">
        <v>412</v>
      </c>
      <c r="Q2197" s="3">
        <v>75235</v>
      </c>
      <c r="R2197" t="s">
        <v>128</v>
      </c>
      <c r="T2197" s="4">
        <v>12147924080</v>
      </c>
      <c r="V2197" t="s">
        <v>11388</v>
      </c>
      <c r="W2197" t="s">
        <v>11389</v>
      </c>
      <c r="Y2197" t="s">
        <v>11387</v>
      </c>
      <c r="AA2197" t="s">
        <v>399</v>
      </c>
      <c r="AB2197" t="s">
        <v>400</v>
      </c>
      <c r="AC2197" s="3" t="str">
        <f>"75235"</f>
        <v>75235</v>
      </c>
      <c r="AD2197" t="s">
        <v>128</v>
      </c>
      <c r="AF2197" s="4">
        <v>12147924080</v>
      </c>
      <c r="AH2197" t="str">
        <f>"48111"</f>
        <v>48111</v>
      </c>
      <c r="AI2197" t="s">
        <v>130</v>
      </c>
      <c r="AJ2197" t="s">
        <v>6029</v>
      </c>
      <c r="AK2197" t="s">
        <v>6030</v>
      </c>
      <c r="AM2197" t="s">
        <v>1884</v>
      </c>
      <c r="AN2197" t="s">
        <v>1885</v>
      </c>
      <c r="AO2197" t="s">
        <v>1886</v>
      </c>
      <c r="AP2197" t="s">
        <v>400</v>
      </c>
      <c r="AQ2197" s="5">
        <v>75001</v>
      </c>
      <c r="AR2197" t="s">
        <v>128</v>
      </c>
      <c r="AT2197" s="4">
        <v>19722336646</v>
      </c>
      <c r="AV2197" t="s">
        <v>6031</v>
      </c>
      <c r="AW2197" t="s">
        <v>386</v>
      </c>
      <c r="AX2197" t="s">
        <v>131</v>
      </c>
      <c r="AY2197" t="s">
        <v>131</v>
      </c>
      <c r="AZ2197" t="s">
        <v>131</v>
      </c>
      <c r="BA2197" t="s">
        <v>131</v>
      </c>
      <c r="BB2197" t="s">
        <v>131</v>
      </c>
      <c r="BC2197" t="s">
        <v>131</v>
      </c>
      <c r="BD2197" t="s">
        <v>131</v>
      </c>
      <c r="BE2197" t="s">
        <v>132</v>
      </c>
      <c r="BH2197" t="s">
        <v>14756</v>
      </c>
      <c r="BI2197" t="s">
        <v>131</v>
      </c>
      <c r="BL2197" t="s">
        <v>133</v>
      </c>
      <c r="BN2197" t="s">
        <v>14757</v>
      </c>
      <c r="BO2197" t="s">
        <v>131</v>
      </c>
      <c r="BP2197" t="s">
        <v>134</v>
      </c>
      <c r="BQ2197" t="s">
        <v>131</v>
      </c>
      <c r="BS2197" t="str">
        <f t="shared" si="131"/>
        <v>N/A</v>
      </c>
      <c r="BT2197" t="s">
        <v>135</v>
      </c>
      <c r="BU2197">
        <v>60</v>
      </c>
      <c r="BV2197" t="str">
        <f>"See F.b.5. "</f>
        <v xml:space="preserve">See F.b.5. </v>
      </c>
      <c r="BW2197" t="s">
        <v>135</v>
      </c>
      <c r="BX2197" t="str">
        <f>""</f>
        <v/>
      </c>
      <c r="BY2197" t="str">
        <f>""</f>
        <v/>
      </c>
      <c r="BZ2197" t="str">
        <f>""</f>
        <v/>
      </c>
      <c r="CA2197" t="s">
        <v>14758</v>
      </c>
      <c r="CB2197" t="s">
        <v>131</v>
      </c>
      <c r="CF2197" t="s">
        <v>131</v>
      </c>
      <c r="CH2197" t="str">
        <f>""</f>
        <v/>
      </c>
      <c r="CI2197" t="s">
        <v>131</v>
      </c>
      <c r="CK2197" t="s">
        <v>131</v>
      </c>
      <c r="CL2197" t="str">
        <f>""</f>
        <v/>
      </c>
      <c r="CM2197" t="str">
        <f>""</f>
        <v/>
      </c>
      <c r="CN2197" t="str">
        <f>""</f>
        <v/>
      </c>
      <c r="CO2197" t="str">
        <f>""</f>
        <v/>
      </c>
      <c r="CP2197" t="str">
        <f>"13-1199.00"</f>
        <v>13-1199.00</v>
      </c>
      <c r="CQ2197" t="s">
        <v>5417</v>
      </c>
      <c r="CR2197" t="s">
        <v>460</v>
      </c>
      <c r="CS2197" t="s">
        <v>131</v>
      </c>
      <c r="CU2197" t="s">
        <v>19507</v>
      </c>
      <c r="CV2197" t="s">
        <v>11387</v>
      </c>
      <c r="CW2197" t="s">
        <v>399</v>
      </c>
      <c r="CX2197" t="s">
        <v>400</v>
      </c>
      <c r="CZ2197" s="3" t="str">
        <f>"75235"</f>
        <v>75235</v>
      </c>
      <c r="DA2197" t="s">
        <v>131</v>
      </c>
      <c r="DB2197" t="str">
        <f>""</f>
        <v/>
      </c>
      <c r="DF2197" t="str">
        <f>""</f>
        <v/>
      </c>
    </row>
    <row r="2198" spans="1:110" ht="15" customHeight="1" x14ac:dyDescent="0.35">
      <c r="A2198" t="s">
        <v>18668</v>
      </c>
      <c r="B2198" t="s">
        <v>138</v>
      </c>
      <c r="C2198" s="1">
        <v>44375</v>
      </c>
      <c r="G2198" s="1">
        <v>44375</v>
      </c>
      <c r="H2198" t="s">
        <v>125</v>
      </c>
      <c r="I2198" t="s">
        <v>1486</v>
      </c>
      <c r="J2198" t="s">
        <v>1487</v>
      </c>
      <c r="L2198" t="s">
        <v>2903</v>
      </c>
      <c r="M2198" t="s">
        <v>2904</v>
      </c>
      <c r="O2198" t="s">
        <v>709</v>
      </c>
      <c r="P2198" t="s">
        <v>178</v>
      </c>
      <c r="Q2198" s="3">
        <v>94041</v>
      </c>
      <c r="R2198" t="s">
        <v>128</v>
      </c>
      <c r="T2198" s="4">
        <v>16505676385</v>
      </c>
      <c r="V2198" t="s">
        <v>2905</v>
      </c>
      <c r="W2198" t="s">
        <v>2906</v>
      </c>
      <c r="Y2198" t="s">
        <v>2904</v>
      </c>
      <c r="AA2198" t="s">
        <v>709</v>
      </c>
      <c r="AB2198" t="s">
        <v>172</v>
      </c>
      <c r="AC2198" s="3" t="str">
        <f>"94041"</f>
        <v>94041</v>
      </c>
      <c r="AD2198" t="s">
        <v>128</v>
      </c>
      <c r="AF2198" s="4">
        <v>16505676385</v>
      </c>
      <c r="AH2198" t="str">
        <f>"51121"</f>
        <v>51121</v>
      </c>
      <c r="AI2198" t="s">
        <v>130</v>
      </c>
      <c r="AJ2198" t="s">
        <v>2907</v>
      </c>
      <c r="AK2198" t="s">
        <v>1865</v>
      </c>
      <c r="AL2198" t="s">
        <v>134</v>
      </c>
      <c r="AM2198" t="s">
        <v>2908</v>
      </c>
      <c r="AN2198" t="s">
        <v>134</v>
      </c>
      <c r="AO2198" t="s">
        <v>1866</v>
      </c>
      <c r="AP2198" t="s">
        <v>172</v>
      </c>
      <c r="AQ2198" s="5">
        <v>95134</v>
      </c>
      <c r="AR2198" t="s">
        <v>128</v>
      </c>
      <c r="AS2198" t="s">
        <v>134</v>
      </c>
      <c r="AT2198" s="4">
        <v>14089190600</v>
      </c>
      <c r="AV2198" t="s">
        <v>18669</v>
      </c>
      <c r="AW2198" t="s">
        <v>386</v>
      </c>
      <c r="AX2198" t="s">
        <v>131</v>
      </c>
      <c r="AY2198" t="s">
        <v>131</v>
      </c>
      <c r="AZ2198" t="s">
        <v>131</v>
      </c>
      <c r="BA2198" t="s">
        <v>131</v>
      </c>
      <c r="BB2198" t="s">
        <v>131</v>
      </c>
      <c r="BC2198" t="s">
        <v>131</v>
      </c>
      <c r="BD2198" t="s">
        <v>131</v>
      </c>
      <c r="BE2198" t="s">
        <v>132</v>
      </c>
      <c r="BH2198" t="s">
        <v>542</v>
      </c>
      <c r="BI2198" t="s">
        <v>131</v>
      </c>
      <c r="BL2198" t="s">
        <v>133</v>
      </c>
      <c r="BN2198" t="s">
        <v>2910</v>
      </c>
      <c r="BO2198" t="s">
        <v>131</v>
      </c>
      <c r="BP2198" t="s">
        <v>134</v>
      </c>
      <c r="BQ2198" t="s">
        <v>131</v>
      </c>
      <c r="BS2198" t="str">
        <f t="shared" si="131"/>
        <v>N/A</v>
      </c>
      <c r="BT2198" t="s">
        <v>135</v>
      </c>
      <c r="BU2198">
        <v>48</v>
      </c>
      <c r="BV2198" t="str">
        <f>"In the job offered, Software Engineering Intern, or related occupation. "</f>
        <v xml:space="preserve">In the job offered, Software Engineering Intern, or related occupation. </v>
      </c>
      <c r="BW2198" t="s">
        <v>131</v>
      </c>
      <c r="BX2198" t="str">
        <f>""</f>
        <v/>
      </c>
      <c r="BY2198" t="str">
        <f>""</f>
        <v/>
      </c>
      <c r="BZ2198" t="str">
        <f>""</f>
        <v/>
      </c>
      <c r="CA2198" t="str">
        <f>""</f>
        <v/>
      </c>
      <c r="CB2198" t="s">
        <v>135</v>
      </c>
      <c r="CC2198" t="s">
        <v>188</v>
      </c>
      <c r="CE2198" t="s">
        <v>2910</v>
      </c>
      <c r="CF2198" t="s">
        <v>131</v>
      </c>
      <c r="CH2198" t="str">
        <f>"N/A"</f>
        <v>N/A</v>
      </c>
      <c r="CI2198" t="s">
        <v>135</v>
      </c>
      <c r="CJ2198">
        <v>24</v>
      </c>
      <c r="CK2198" t="s">
        <v>131</v>
      </c>
      <c r="CL2198" t="str">
        <f>""</f>
        <v/>
      </c>
      <c r="CM2198" t="str">
        <f>""</f>
        <v/>
      </c>
      <c r="CN2198" t="str">
        <f>""</f>
        <v/>
      </c>
      <c r="CO2198" t="str">
        <f>""</f>
        <v/>
      </c>
      <c r="CP2198" t="str">
        <f>"15-1133.00"</f>
        <v>15-1133.00</v>
      </c>
      <c r="CQ2198" t="s">
        <v>648</v>
      </c>
      <c r="CR2198" t="s">
        <v>460</v>
      </c>
      <c r="CS2198" t="s">
        <v>131</v>
      </c>
      <c r="CU2198" t="s">
        <v>2904</v>
      </c>
      <c r="CW2198" t="s">
        <v>709</v>
      </c>
      <c r="CX2198" t="s">
        <v>172</v>
      </c>
      <c r="CZ2198" s="3" t="str">
        <f>"94041"</f>
        <v>94041</v>
      </c>
      <c r="DA2198" t="s">
        <v>131</v>
      </c>
      <c r="DB2198" t="str">
        <f>""</f>
        <v/>
      </c>
      <c r="DF2198" t="str">
        <f>""</f>
        <v/>
      </c>
    </row>
    <row r="2199" spans="1:110" ht="15" customHeight="1" x14ac:dyDescent="0.35">
      <c r="A2199" t="s">
        <v>10251</v>
      </c>
      <c r="B2199" t="s">
        <v>138</v>
      </c>
      <c r="C2199" s="1">
        <v>44375</v>
      </c>
      <c r="G2199" s="1">
        <v>44376</v>
      </c>
      <c r="H2199" t="s">
        <v>125</v>
      </c>
      <c r="I2199" t="s">
        <v>3045</v>
      </c>
      <c r="J2199" t="s">
        <v>3046</v>
      </c>
      <c r="K2199" t="s">
        <v>134</v>
      </c>
      <c r="L2199" t="s">
        <v>3047</v>
      </c>
      <c r="M2199" t="s">
        <v>3048</v>
      </c>
      <c r="O2199" t="s">
        <v>3049</v>
      </c>
      <c r="P2199" t="s">
        <v>629</v>
      </c>
      <c r="Q2199" s="3">
        <v>39216</v>
      </c>
      <c r="R2199" t="s">
        <v>128</v>
      </c>
      <c r="S2199" t="s">
        <v>134</v>
      </c>
      <c r="T2199" s="4">
        <v>16019841125</v>
      </c>
      <c r="V2199" t="s">
        <v>3050</v>
      </c>
      <c r="W2199" t="s">
        <v>3051</v>
      </c>
      <c r="Y2199" t="s">
        <v>3048</v>
      </c>
      <c r="AA2199" t="s">
        <v>3049</v>
      </c>
      <c r="AB2199" t="s">
        <v>630</v>
      </c>
      <c r="AC2199" s="3" t="str">
        <f>"39216"</f>
        <v>39216</v>
      </c>
      <c r="AD2199" t="s">
        <v>128</v>
      </c>
      <c r="AF2199" s="4">
        <v>16019841125</v>
      </c>
      <c r="AH2199" t="str">
        <f>"611310"</f>
        <v>611310</v>
      </c>
      <c r="AI2199" t="s">
        <v>130</v>
      </c>
      <c r="AJ2199" t="s">
        <v>3052</v>
      </c>
      <c r="AK2199" t="s">
        <v>3053</v>
      </c>
      <c r="AL2199" t="s">
        <v>3054</v>
      </c>
      <c r="AM2199" t="s">
        <v>3055</v>
      </c>
      <c r="AO2199" t="s">
        <v>3056</v>
      </c>
      <c r="AP2199" t="s">
        <v>630</v>
      </c>
      <c r="AQ2199" s="5">
        <v>38802</v>
      </c>
      <c r="AR2199" t="s">
        <v>128</v>
      </c>
      <c r="AT2199" s="4">
        <v>16628410629</v>
      </c>
      <c r="AV2199" t="s">
        <v>3057</v>
      </c>
      <c r="AW2199" t="s">
        <v>3058</v>
      </c>
      <c r="AX2199" t="s">
        <v>135</v>
      </c>
      <c r="AY2199" t="s">
        <v>135</v>
      </c>
      <c r="AZ2199" t="s">
        <v>131</v>
      </c>
      <c r="BA2199" t="s">
        <v>131</v>
      </c>
      <c r="BB2199" t="s">
        <v>134</v>
      </c>
      <c r="BC2199" t="s">
        <v>131</v>
      </c>
      <c r="BD2199" t="s">
        <v>131</v>
      </c>
      <c r="BE2199" t="s">
        <v>132</v>
      </c>
      <c r="BH2199" t="s">
        <v>10252</v>
      </c>
      <c r="BI2199" t="s">
        <v>131</v>
      </c>
      <c r="BL2199" t="s">
        <v>658</v>
      </c>
      <c r="BM2199" t="s">
        <v>3059</v>
      </c>
      <c r="BN2199" t="s">
        <v>3060</v>
      </c>
      <c r="BO2199" t="s">
        <v>131</v>
      </c>
      <c r="BP2199" t="s">
        <v>134</v>
      </c>
      <c r="BQ2199" t="s">
        <v>131</v>
      </c>
      <c r="BS2199" t="str">
        <f t="shared" si="131"/>
        <v>N/A</v>
      </c>
      <c r="BT2199" t="s">
        <v>131</v>
      </c>
      <c r="BV2199" t="str">
        <f>""</f>
        <v/>
      </c>
      <c r="BW2199" t="s">
        <v>135</v>
      </c>
      <c r="BX2199" t="str">
        <f>"MUST BE ELIGIBLE TO OBTAIN A MISSISSIPPI MEDICAL LICENSE"</f>
        <v>MUST BE ELIGIBLE TO OBTAIN A MISSISSIPPI MEDICAL LICENSE</v>
      </c>
      <c r="BY2199" t="str">
        <f>""</f>
        <v/>
      </c>
      <c r="BZ2199" t="str">
        <f>"MUST HAVE COMPLETED A RESIDENCY IN ANESTHESIOLOGY AND FELLOWSHIP IN NEUROANESTHESIOLOGY."</f>
        <v>MUST HAVE COMPLETED A RESIDENCY IN ANESTHESIOLOGY AND FELLOWSHIP IN NEUROANESTHESIOLOGY.</v>
      </c>
      <c r="CA2199" t="str">
        <f>""</f>
        <v/>
      </c>
      <c r="CB2199" t="s">
        <v>131</v>
      </c>
      <c r="CF2199" t="s">
        <v>131</v>
      </c>
      <c r="CH2199" t="str">
        <f>""</f>
        <v/>
      </c>
      <c r="CI2199" t="s">
        <v>131</v>
      </c>
      <c r="CK2199" t="s">
        <v>131</v>
      </c>
      <c r="CL2199" t="str">
        <f>""</f>
        <v/>
      </c>
      <c r="CM2199" t="str">
        <f>""</f>
        <v/>
      </c>
      <c r="CN2199" t="str">
        <f>""</f>
        <v/>
      </c>
      <c r="CO2199" t="str">
        <f>""</f>
        <v/>
      </c>
      <c r="CP2199" t="str">
        <f>"25-1071.00"</f>
        <v>25-1071.00</v>
      </c>
      <c r="CQ2199" t="s">
        <v>1087</v>
      </c>
      <c r="CR2199" t="s">
        <v>10252</v>
      </c>
      <c r="CS2199" t="s">
        <v>135</v>
      </c>
      <c r="CT2199" t="s">
        <v>10253</v>
      </c>
      <c r="CU2199" t="s">
        <v>3048</v>
      </c>
      <c r="CW2199" t="s">
        <v>3049</v>
      </c>
      <c r="CX2199" t="s">
        <v>630</v>
      </c>
      <c r="CZ2199" s="3" t="str">
        <f>"39216"</f>
        <v>39216</v>
      </c>
      <c r="DA2199" t="s">
        <v>135</v>
      </c>
      <c r="DB2199" t="str">
        <f>""</f>
        <v/>
      </c>
      <c r="DF2199" t="str">
        <f>""</f>
        <v/>
      </c>
    </row>
    <row r="2200" spans="1:110" ht="15" customHeight="1" x14ac:dyDescent="0.35">
      <c r="A2200" t="s">
        <v>15814</v>
      </c>
      <c r="B2200" t="s">
        <v>138</v>
      </c>
      <c r="C2200" s="1">
        <v>44375</v>
      </c>
      <c r="G2200" s="1">
        <v>44376</v>
      </c>
      <c r="H2200" t="s">
        <v>125</v>
      </c>
      <c r="I2200" t="s">
        <v>14251</v>
      </c>
      <c r="J2200" t="s">
        <v>12696</v>
      </c>
      <c r="L2200" t="s">
        <v>2612</v>
      </c>
      <c r="M2200" t="s">
        <v>14519</v>
      </c>
      <c r="O2200" t="s">
        <v>8792</v>
      </c>
      <c r="P2200" t="s">
        <v>194</v>
      </c>
      <c r="Q2200" s="3">
        <v>33172</v>
      </c>
      <c r="R2200" t="s">
        <v>128</v>
      </c>
      <c r="T2200" s="4">
        <v>13053742295</v>
      </c>
      <c r="V2200" t="s">
        <v>12697</v>
      </c>
      <c r="W2200" t="s">
        <v>15815</v>
      </c>
      <c r="Y2200" t="s">
        <v>15816</v>
      </c>
      <c r="AA2200" t="s">
        <v>4674</v>
      </c>
      <c r="AB2200" t="s">
        <v>195</v>
      </c>
      <c r="AC2200" s="3" t="str">
        <f>"33021"</f>
        <v>33021</v>
      </c>
      <c r="AD2200" t="s">
        <v>128</v>
      </c>
      <c r="AF2200" s="4">
        <v>19546621999</v>
      </c>
      <c r="AH2200" t="str">
        <f>"722511"</f>
        <v>722511</v>
      </c>
      <c r="AI2200" t="s">
        <v>130</v>
      </c>
      <c r="AJ2200" t="s">
        <v>14251</v>
      </c>
      <c r="AK2200" t="s">
        <v>12696</v>
      </c>
      <c r="AM2200" t="s">
        <v>14255</v>
      </c>
      <c r="AO2200" t="s">
        <v>1521</v>
      </c>
      <c r="AP2200" t="s">
        <v>195</v>
      </c>
      <c r="AQ2200" s="5">
        <v>33172</v>
      </c>
      <c r="AR2200" t="s">
        <v>128</v>
      </c>
      <c r="AT2200" s="4">
        <v>13053742295</v>
      </c>
      <c r="AV2200" t="s">
        <v>12697</v>
      </c>
      <c r="AW2200" t="s">
        <v>15090</v>
      </c>
      <c r="AX2200" t="s">
        <v>131</v>
      </c>
      <c r="AY2200" t="s">
        <v>131</v>
      </c>
      <c r="AZ2200" t="s">
        <v>131</v>
      </c>
      <c r="BA2200" t="s">
        <v>131</v>
      </c>
      <c r="BB2200" t="s">
        <v>131</v>
      </c>
      <c r="BC2200" t="s">
        <v>131</v>
      </c>
      <c r="BD2200" t="s">
        <v>131</v>
      </c>
      <c r="BE2200" t="s">
        <v>132</v>
      </c>
      <c r="BH2200" t="s">
        <v>193</v>
      </c>
      <c r="BI2200" t="s">
        <v>135</v>
      </c>
      <c r="BJ2200" t="s">
        <v>14256</v>
      </c>
      <c r="BK2200" t="s">
        <v>14257</v>
      </c>
      <c r="BL2200" t="s">
        <v>167</v>
      </c>
      <c r="BO2200" t="s">
        <v>131</v>
      </c>
      <c r="BP2200" t="s">
        <v>134</v>
      </c>
      <c r="BQ2200" t="s">
        <v>131</v>
      </c>
      <c r="BS2200" t="str">
        <f t="shared" si="131"/>
        <v>N/A</v>
      </c>
      <c r="BT2200" t="s">
        <v>135</v>
      </c>
      <c r="BU2200">
        <v>48</v>
      </c>
      <c r="BV2200" t="str">
        <f>"In the job offered. "</f>
        <v xml:space="preserve">In the job offered. </v>
      </c>
      <c r="BW2200" t="s">
        <v>131</v>
      </c>
      <c r="BX2200" t="str">
        <f>""</f>
        <v/>
      </c>
      <c r="BY2200" t="str">
        <f>""</f>
        <v/>
      </c>
      <c r="BZ2200" t="str">
        <f>""</f>
        <v/>
      </c>
      <c r="CA2200" t="str">
        <f>""</f>
        <v/>
      </c>
      <c r="CB2200" t="s">
        <v>131</v>
      </c>
      <c r="CF2200" t="s">
        <v>131</v>
      </c>
      <c r="CH2200" t="str">
        <f>""</f>
        <v/>
      </c>
      <c r="CI2200" t="s">
        <v>131</v>
      </c>
      <c r="CK2200" t="s">
        <v>131</v>
      </c>
      <c r="CL2200" t="str">
        <f>""</f>
        <v/>
      </c>
      <c r="CM2200" t="str">
        <f>""</f>
        <v/>
      </c>
      <c r="CN2200" t="str">
        <f>""</f>
        <v/>
      </c>
      <c r="CO2200" t="str">
        <f>""</f>
        <v/>
      </c>
      <c r="CP2200" t="str">
        <f>"11-1011.00"</f>
        <v>11-1011.00</v>
      </c>
      <c r="CQ2200" t="s">
        <v>2235</v>
      </c>
      <c r="CR2200" t="s">
        <v>193</v>
      </c>
      <c r="CS2200" t="s">
        <v>131</v>
      </c>
      <c r="CU2200" t="s">
        <v>14520</v>
      </c>
      <c r="CW2200" t="s">
        <v>4674</v>
      </c>
      <c r="CX2200" t="s">
        <v>195</v>
      </c>
      <c r="CZ2200" s="3" t="str">
        <f>"33021"</f>
        <v>33021</v>
      </c>
      <c r="DA2200" t="s">
        <v>131</v>
      </c>
      <c r="DB2200" t="str">
        <f>""</f>
        <v/>
      </c>
      <c r="DF2200" t="str">
        <f>""</f>
        <v/>
      </c>
    </row>
    <row r="2201" spans="1:110" ht="15" customHeight="1" x14ac:dyDescent="0.35">
      <c r="A2201" t="s">
        <v>15387</v>
      </c>
      <c r="B2201" t="s">
        <v>138</v>
      </c>
      <c r="C2201" s="1">
        <v>44375</v>
      </c>
      <c r="G2201" s="1">
        <v>44375</v>
      </c>
      <c r="H2201" t="s">
        <v>125</v>
      </c>
      <c r="I2201" t="s">
        <v>15388</v>
      </c>
      <c r="J2201" t="s">
        <v>9266</v>
      </c>
      <c r="L2201" t="s">
        <v>4444</v>
      </c>
      <c r="M2201" t="s">
        <v>15389</v>
      </c>
      <c r="O2201" t="s">
        <v>3136</v>
      </c>
      <c r="P2201" t="s">
        <v>273</v>
      </c>
      <c r="Q2201" s="3">
        <v>7666</v>
      </c>
      <c r="R2201" t="s">
        <v>128</v>
      </c>
      <c r="T2201" s="4">
        <v>12018333098</v>
      </c>
      <c r="V2201" t="s">
        <v>15390</v>
      </c>
      <c r="W2201" t="s">
        <v>15391</v>
      </c>
      <c r="Y2201" t="s">
        <v>15389</v>
      </c>
      <c r="AA2201" t="s">
        <v>3136</v>
      </c>
      <c r="AB2201" t="s">
        <v>276</v>
      </c>
      <c r="AC2201" s="3" t="str">
        <f>"07666"</f>
        <v>07666</v>
      </c>
      <c r="AD2201" t="s">
        <v>128</v>
      </c>
      <c r="AF2201" s="4">
        <v>12018333201</v>
      </c>
      <c r="AH2201" t="str">
        <f>"6221"</f>
        <v>6221</v>
      </c>
      <c r="AI2201" t="s">
        <v>130</v>
      </c>
      <c r="AJ2201" t="s">
        <v>12574</v>
      </c>
      <c r="AK2201" t="s">
        <v>12575</v>
      </c>
      <c r="AL2201" t="s">
        <v>12576</v>
      </c>
      <c r="AM2201" t="s">
        <v>12577</v>
      </c>
      <c r="AN2201" t="s">
        <v>12578</v>
      </c>
      <c r="AO2201" t="s">
        <v>742</v>
      </c>
      <c r="AP2201" t="s">
        <v>172</v>
      </c>
      <c r="AQ2201" s="5">
        <v>94806</v>
      </c>
      <c r="AR2201" t="s">
        <v>128</v>
      </c>
      <c r="AT2201" s="4">
        <v>19254088546</v>
      </c>
      <c r="AV2201" t="s">
        <v>12579</v>
      </c>
      <c r="AW2201" t="s">
        <v>12580</v>
      </c>
      <c r="AX2201" t="s">
        <v>131</v>
      </c>
      <c r="AY2201" t="s">
        <v>131</v>
      </c>
      <c r="AZ2201" t="s">
        <v>131</v>
      </c>
      <c r="BA2201" t="s">
        <v>131</v>
      </c>
      <c r="BB2201" t="s">
        <v>131</v>
      </c>
      <c r="BC2201" t="s">
        <v>131</v>
      </c>
      <c r="BD2201" t="s">
        <v>131</v>
      </c>
      <c r="BE2201" t="s">
        <v>132</v>
      </c>
      <c r="BH2201" t="s">
        <v>5626</v>
      </c>
      <c r="BI2201" t="s">
        <v>131</v>
      </c>
      <c r="BL2201" t="s">
        <v>188</v>
      </c>
      <c r="BN2201" t="s">
        <v>15392</v>
      </c>
      <c r="BO2201" t="s">
        <v>131</v>
      </c>
      <c r="BP2201" t="s">
        <v>134</v>
      </c>
      <c r="BQ2201" t="s">
        <v>131</v>
      </c>
      <c r="BS2201" t="str">
        <f t="shared" si="131"/>
        <v>N/A</v>
      </c>
      <c r="BT2201" t="s">
        <v>135</v>
      </c>
      <c r="BU2201">
        <v>6</v>
      </c>
      <c r="BV2201" t="str">
        <f>"IT Project Manager, Product Owner, or related occupation."</f>
        <v>IT Project Manager, Product Owner, or related occupation.</v>
      </c>
      <c r="BW2201" t="s">
        <v>135</v>
      </c>
      <c r="BX2201" t="str">
        <f>""</f>
        <v/>
      </c>
      <c r="BY2201" t="str">
        <f>""</f>
        <v/>
      </c>
      <c r="BZ2201" t="str">
        <f>""</f>
        <v/>
      </c>
      <c r="CA2201" t="str">
        <f>"Experience with Agile SAFe 4.0 framework."</f>
        <v>Experience with Agile SAFe 4.0 framework.</v>
      </c>
      <c r="CB2201" t="s">
        <v>135</v>
      </c>
      <c r="CC2201" t="s">
        <v>133</v>
      </c>
      <c r="CE2201" t="s">
        <v>15392</v>
      </c>
      <c r="CF2201" t="s">
        <v>131</v>
      </c>
      <c r="CH2201" t="str">
        <f>"N/A"</f>
        <v>N/A</v>
      </c>
      <c r="CI2201" t="s">
        <v>135</v>
      </c>
      <c r="CJ2201">
        <v>60</v>
      </c>
      <c r="CK2201" t="s">
        <v>131</v>
      </c>
      <c r="CL2201" t="str">
        <f>""</f>
        <v/>
      </c>
      <c r="CM2201" t="str">
        <f>""</f>
        <v/>
      </c>
      <c r="CN2201" t="str">
        <f>""</f>
        <v/>
      </c>
      <c r="CO2201" t="str">
        <f>""</f>
        <v/>
      </c>
      <c r="CP2201" t="str">
        <f>"15-1199.09"</f>
        <v>15-1199.09</v>
      </c>
      <c r="CQ2201" t="s">
        <v>697</v>
      </c>
      <c r="CR2201" t="s">
        <v>15393</v>
      </c>
      <c r="CS2201" t="s">
        <v>131</v>
      </c>
      <c r="CU2201" t="s">
        <v>15389</v>
      </c>
      <c r="CW2201" t="s">
        <v>3136</v>
      </c>
      <c r="CX2201" t="s">
        <v>276</v>
      </c>
      <c r="CZ2201" s="3" t="str">
        <f>"07666"</f>
        <v>07666</v>
      </c>
      <c r="DA2201" t="s">
        <v>131</v>
      </c>
      <c r="DB2201" t="str">
        <f>""</f>
        <v/>
      </c>
      <c r="DF2201" t="str">
        <f>""</f>
        <v/>
      </c>
    </row>
    <row r="2202" spans="1:110" ht="15" customHeight="1" x14ac:dyDescent="0.35">
      <c r="A2202" t="s">
        <v>7761</v>
      </c>
      <c r="B2202" t="s">
        <v>138</v>
      </c>
      <c r="C2202" s="1">
        <v>44375</v>
      </c>
      <c r="G2202" s="1">
        <v>44375</v>
      </c>
      <c r="H2202" t="s">
        <v>125</v>
      </c>
      <c r="I2202" t="s">
        <v>7762</v>
      </c>
      <c r="J2202" t="s">
        <v>7763</v>
      </c>
      <c r="L2202" t="s">
        <v>7764</v>
      </c>
      <c r="M2202" t="s">
        <v>7765</v>
      </c>
      <c r="N2202" t="s">
        <v>7766</v>
      </c>
      <c r="O2202" t="s">
        <v>642</v>
      </c>
      <c r="P2202" t="s">
        <v>818</v>
      </c>
      <c r="Q2202" s="3">
        <v>30303</v>
      </c>
      <c r="R2202" t="s">
        <v>128</v>
      </c>
      <c r="T2202" s="4">
        <v>16783272595</v>
      </c>
      <c r="V2202" t="s">
        <v>7767</v>
      </c>
      <c r="W2202" t="s">
        <v>7768</v>
      </c>
      <c r="Y2202" t="s">
        <v>7769</v>
      </c>
      <c r="Z2202" t="s">
        <v>7766</v>
      </c>
      <c r="AA2202" t="s">
        <v>642</v>
      </c>
      <c r="AB2202" t="s">
        <v>643</v>
      </c>
      <c r="AC2202" s="3" t="str">
        <f>"30303"</f>
        <v>30303</v>
      </c>
      <c r="AD2202" t="s">
        <v>128</v>
      </c>
      <c r="AF2202" s="4">
        <v>17702406180</v>
      </c>
      <c r="AH2202" t="str">
        <f>"5179"</f>
        <v>5179</v>
      </c>
      <c r="AI2202" t="s">
        <v>130</v>
      </c>
      <c r="AJ2202" t="s">
        <v>1080</v>
      </c>
      <c r="AK2202" t="s">
        <v>1278</v>
      </c>
      <c r="AL2202" t="s">
        <v>2210</v>
      </c>
      <c r="AM2202" t="s">
        <v>4475</v>
      </c>
      <c r="AN2202" t="s">
        <v>1507</v>
      </c>
      <c r="AO2202" t="s">
        <v>642</v>
      </c>
      <c r="AP2202" t="s">
        <v>643</v>
      </c>
      <c r="AQ2202" s="5">
        <v>30309</v>
      </c>
      <c r="AR2202" t="s">
        <v>128</v>
      </c>
      <c r="AT2202" s="4">
        <v>14042404151</v>
      </c>
      <c r="AV2202" t="s">
        <v>4476</v>
      </c>
      <c r="AW2202" t="s">
        <v>559</v>
      </c>
      <c r="AX2202" t="s">
        <v>131</v>
      </c>
      <c r="AY2202" t="s">
        <v>131</v>
      </c>
      <c r="AZ2202" t="s">
        <v>131</v>
      </c>
      <c r="BA2202" t="s">
        <v>131</v>
      </c>
      <c r="BB2202" t="s">
        <v>131</v>
      </c>
      <c r="BC2202" t="s">
        <v>131</v>
      </c>
      <c r="BD2202" t="s">
        <v>131</v>
      </c>
      <c r="BE2202" t="s">
        <v>132</v>
      </c>
      <c r="BH2202" t="s">
        <v>7770</v>
      </c>
      <c r="BI2202" t="s">
        <v>131</v>
      </c>
      <c r="BL2202" t="s">
        <v>133</v>
      </c>
      <c r="BN2202" t="s">
        <v>7771</v>
      </c>
      <c r="BO2202" t="s">
        <v>131</v>
      </c>
      <c r="BP2202" t="s">
        <v>134</v>
      </c>
      <c r="BQ2202" t="s">
        <v>131</v>
      </c>
      <c r="BS2202" t="str">
        <f t="shared" si="131"/>
        <v>N/A</v>
      </c>
      <c r="BT2202" t="s">
        <v>135</v>
      </c>
      <c r="BU2202">
        <v>60</v>
      </c>
      <c r="BV2202" t="str">
        <f>"engineering experience "</f>
        <v xml:space="preserve">engineering experience </v>
      </c>
      <c r="BW2202" t="s">
        <v>135</v>
      </c>
      <c r="BX2202" t="str">
        <f>""</f>
        <v/>
      </c>
      <c r="BY2202" t="str">
        <f>""</f>
        <v/>
      </c>
      <c r="BZ2202" t="str">
        <f>""</f>
        <v/>
      </c>
      <c r="CA2202" t="s">
        <v>7772</v>
      </c>
      <c r="CB2202" t="s">
        <v>131</v>
      </c>
      <c r="CF2202" t="s">
        <v>131</v>
      </c>
      <c r="CH2202" t="str">
        <f>""</f>
        <v/>
      </c>
      <c r="CI2202" t="s">
        <v>131</v>
      </c>
      <c r="CK2202" t="s">
        <v>131</v>
      </c>
      <c r="CL2202" t="str">
        <f>""</f>
        <v/>
      </c>
      <c r="CM2202" t="str">
        <f>""</f>
        <v/>
      </c>
      <c r="CN2202" t="str">
        <f>""</f>
        <v/>
      </c>
      <c r="CO2202" t="str">
        <f>""</f>
        <v/>
      </c>
      <c r="CP2202" t="str">
        <f>"15-1199.02"</f>
        <v>15-1199.02</v>
      </c>
      <c r="CQ2202" t="s">
        <v>2269</v>
      </c>
      <c r="CS2202" t="s">
        <v>131</v>
      </c>
      <c r="CU2202" t="s">
        <v>7769</v>
      </c>
      <c r="CV2202" t="s">
        <v>1645</v>
      </c>
      <c r="CW2202" t="s">
        <v>642</v>
      </c>
      <c r="CX2202" t="s">
        <v>643</v>
      </c>
      <c r="CZ2202" s="3" t="str">
        <f>"30303"</f>
        <v>30303</v>
      </c>
      <c r="DA2202" t="s">
        <v>131</v>
      </c>
      <c r="DB2202" t="str">
        <f>""</f>
        <v/>
      </c>
      <c r="DF2202" t="str">
        <f>""</f>
        <v/>
      </c>
    </row>
    <row r="2203" spans="1:110" ht="15" customHeight="1" x14ac:dyDescent="0.35">
      <c r="A2203" t="s">
        <v>18031</v>
      </c>
      <c r="B2203" t="s">
        <v>138</v>
      </c>
      <c r="C2203" s="1">
        <v>44375</v>
      </c>
      <c r="G2203" s="1">
        <v>44375</v>
      </c>
      <c r="H2203" t="s">
        <v>125</v>
      </c>
      <c r="I2203" t="s">
        <v>18032</v>
      </c>
      <c r="J2203" t="s">
        <v>18033</v>
      </c>
      <c r="L2203" t="s">
        <v>18034</v>
      </c>
      <c r="M2203" t="s">
        <v>4868</v>
      </c>
      <c r="O2203" t="s">
        <v>3237</v>
      </c>
      <c r="P2203" t="s">
        <v>818</v>
      </c>
      <c r="Q2203" s="3">
        <v>30096</v>
      </c>
      <c r="R2203" t="s">
        <v>128</v>
      </c>
      <c r="T2203" s="4">
        <v>16783101230</v>
      </c>
      <c r="V2203" t="s">
        <v>18035</v>
      </c>
      <c r="W2203" t="s">
        <v>18036</v>
      </c>
      <c r="Y2203" t="s">
        <v>4868</v>
      </c>
      <c r="AA2203" t="s">
        <v>3237</v>
      </c>
      <c r="AB2203" t="s">
        <v>643</v>
      </c>
      <c r="AC2203" s="3" t="str">
        <f>"30096"</f>
        <v>30096</v>
      </c>
      <c r="AD2203" t="s">
        <v>128</v>
      </c>
      <c r="AF2203" s="4">
        <v>16783101230</v>
      </c>
      <c r="AH2203" t="str">
        <f>"541512"</f>
        <v>541512</v>
      </c>
      <c r="AI2203" t="s">
        <v>130</v>
      </c>
      <c r="AJ2203" t="s">
        <v>1265</v>
      </c>
      <c r="AK2203" t="s">
        <v>1266</v>
      </c>
      <c r="AL2203" t="s">
        <v>1267</v>
      </c>
      <c r="AM2203" t="s">
        <v>1268</v>
      </c>
      <c r="AO2203" t="s">
        <v>670</v>
      </c>
      <c r="AP2203" t="s">
        <v>511</v>
      </c>
      <c r="AQ2203" s="5">
        <v>48084</v>
      </c>
      <c r="AR2203" t="s">
        <v>128</v>
      </c>
      <c r="AT2203" s="4">
        <v>12486800600</v>
      </c>
      <c r="AV2203" t="s">
        <v>1269</v>
      </c>
      <c r="AW2203" t="s">
        <v>1270</v>
      </c>
      <c r="AX2203" t="s">
        <v>131</v>
      </c>
      <c r="AY2203" t="s">
        <v>131</v>
      </c>
      <c r="AZ2203" t="s">
        <v>131</v>
      </c>
      <c r="BA2203" t="s">
        <v>131</v>
      </c>
      <c r="BB2203" t="s">
        <v>131</v>
      </c>
      <c r="BC2203" t="s">
        <v>131</v>
      </c>
      <c r="BD2203" t="s">
        <v>131</v>
      </c>
      <c r="BE2203" t="s">
        <v>132</v>
      </c>
      <c r="BH2203" t="s">
        <v>18037</v>
      </c>
      <c r="BI2203" t="s">
        <v>135</v>
      </c>
      <c r="BJ2203" t="s">
        <v>15632</v>
      </c>
      <c r="BK2203" t="s">
        <v>15633</v>
      </c>
      <c r="BL2203" t="s">
        <v>133</v>
      </c>
      <c r="BN2203" t="s">
        <v>8366</v>
      </c>
      <c r="BO2203" t="s">
        <v>131</v>
      </c>
      <c r="BP2203" t="s">
        <v>134</v>
      </c>
      <c r="BQ2203" t="s">
        <v>131</v>
      </c>
      <c r="BS2203" t="str">
        <f t="shared" si="131"/>
        <v>N/A</v>
      </c>
      <c r="BT2203" t="s">
        <v>135</v>
      </c>
      <c r="BU2203">
        <v>36</v>
      </c>
      <c r="BV2203" t="str">
        <f>"Job offered or a related occupation"</f>
        <v>Job offered or a related occupation</v>
      </c>
      <c r="BW2203" t="s">
        <v>135</v>
      </c>
      <c r="BX2203" t="str">
        <f>""</f>
        <v/>
      </c>
      <c r="BY2203" t="str">
        <f>""</f>
        <v/>
      </c>
      <c r="BZ2203" t="str">
        <f>""</f>
        <v/>
      </c>
      <c r="CA2203" t="s">
        <v>18038</v>
      </c>
      <c r="CB2203" t="s">
        <v>131</v>
      </c>
      <c r="CF2203" t="s">
        <v>131</v>
      </c>
      <c r="CH2203" t="str">
        <f>""</f>
        <v/>
      </c>
      <c r="CI2203" t="s">
        <v>131</v>
      </c>
      <c r="CK2203" t="s">
        <v>131</v>
      </c>
      <c r="CL2203" t="str">
        <f>""</f>
        <v/>
      </c>
      <c r="CM2203" t="str">
        <f>""</f>
        <v/>
      </c>
      <c r="CN2203" t="str">
        <f>""</f>
        <v/>
      </c>
      <c r="CO2203" t="str">
        <f>""</f>
        <v/>
      </c>
      <c r="CP2203" t="str">
        <f>"11-3031.00"</f>
        <v>11-3031.00</v>
      </c>
      <c r="CQ2203" t="s">
        <v>810</v>
      </c>
      <c r="CR2203" t="s">
        <v>18039</v>
      </c>
      <c r="CS2203" t="s">
        <v>131</v>
      </c>
      <c r="CU2203" t="s">
        <v>4870</v>
      </c>
      <c r="CW2203" t="s">
        <v>4871</v>
      </c>
      <c r="CX2203" t="s">
        <v>643</v>
      </c>
      <c r="CZ2203" s="3" t="str">
        <f>"30096"</f>
        <v>30096</v>
      </c>
      <c r="DA2203" t="s">
        <v>131</v>
      </c>
      <c r="DB2203" t="str">
        <f>""</f>
        <v/>
      </c>
      <c r="DF2203" t="str">
        <f>""</f>
        <v/>
      </c>
    </row>
    <row r="2204" spans="1:110" ht="15" customHeight="1" x14ac:dyDescent="0.35">
      <c r="A2204" t="s">
        <v>9443</v>
      </c>
      <c r="B2204" t="s">
        <v>138</v>
      </c>
      <c r="C2204" s="1">
        <v>44376</v>
      </c>
      <c r="G2204" s="1">
        <v>44376</v>
      </c>
      <c r="H2204" t="s">
        <v>125</v>
      </c>
      <c r="I2204" t="s">
        <v>9444</v>
      </c>
      <c r="J2204" t="s">
        <v>5268</v>
      </c>
      <c r="L2204" t="s">
        <v>6554</v>
      </c>
      <c r="M2204" t="s">
        <v>9445</v>
      </c>
      <c r="O2204" t="s">
        <v>2666</v>
      </c>
      <c r="P2204" t="s">
        <v>539</v>
      </c>
      <c r="Q2204" s="3">
        <v>61944</v>
      </c>
      <c r="R2204" t="s">
        <v>128</v>
      </c>
      <c r="T2204" s="4">
        <v>12174656600</v>
      </c>
      <c r="V2204" t="s">
        <v>9446</v>
      </c>
      <c r="W2204" t="s">
        <v>9447</v>
      </c>
      <c r="Y2204" t="s">
        <v>9445</v>
      </c>
      <c r="AA2204" t="s">
        <v>2666</v>
      </c>
      <c r="AB2204" t="s">
        <v>263</v>
      </c>
      <c r="AC2204" s="3" t="str">
        <f>"61944"</f>
        <v>61944</v>
      </c>
      <c r="AD2204" t="s">
        <v>128</v>
      </c>
      <c r="AF2204" s="4">
        <v>12174656600</v>
      </c>
      <c r="AH2204" t="str">
        <f>"335110"</f>
        <v>335110</v>
      </c>
      <c r="AI2204" t="s">
        <v>130</v>
      </c>
      <c r="AJ2204" t="s">
        <v>5946</v>
      </c>
      <c r="AK2204" t="s">
        <v>1505</v>
      </c>
      <c r="AM2204" t="s">
        <v>4599</v>
      </c>
      <c r="AN2204" t="s">
        <v>526</v>
      </c>
      <c r="AO2204" t="s">
        <v>262</v>
      </c>
      <c r="AP2204" t="s">
        <v>263</v>
      </c>
      <c r="AQ2204" s="5">
        <v>60606</v>
      </c>
      <c r="AR2204" t="s">
        <v>128</v>
      </c>
      <c r="AT2204" s="4">
        <v>13127226300</v>
      </c>
      <c r="AV2204" t="s">
        <v>527</v>
      </c>
      <c r="AW2204" t="s">
        <v>528</v>
      </c>
      <c r="AX2204" t="s">
        <v>131</v>
      </c>
      <c r="AY2204" t="s">
        <v>131</v>
      </c>
      <c r="AZ2204" t="s">
        <v>131</v>
      </c>
      <c r="BA2204" t="s">
        <v>131</v>
      </c>
      <c r="BB2204" t="s">
        <v>131</v>
      </c>
      <c r="BC2204" t="s">
        <v>131</v>
      </c>
      <c r="BD2204" t="s">
        <v>131</v>
      </c>
      <c r="BE2204" t="s">
        <v>132</v>
      </c>
      <c r="BH2204" t="s">
        <v>9448</v>
      </c>
      <c r="BI2204" t="s">
        <v>131</v>
      </c>
      <c r="BL2204" t="s">
        <v>133</v>
      </c>
      <c r="BN2204" t="s">
        <v>1393</v>
      </c>
      <c r="BO2204" t="s">
        <v>131</v>
      </c>
      <c r="BP2204" t="s">
        <v>134</v>
      </c>
      <c r="BQ2204" t="s">
        <v>131</v>
      </c>
      <c r="BS2204" t="str">
        <f t="shared" si="131"/>
        <v>N/A</v>
      </c>
      <c r="BT2204" t="s">
        <v>135</v>
      </c>
      <c r="BU2204">
        <v>24</v>
      </c>
      <c r="BV2204" t="str">
        <f>"Related occupations"</f>
        <v>Related occupations</v>
      </c>
      <c r="BW2204" t="s">
        <v>135</v>
      </c>
      <c r="BX2204" t="str">
        <f>""</f>
        <v/>
      </c>
      <c r="BY2204" t="str">
        <f>""</f>
        <v/>
      </c>
      <c r="BZ2204" t="str">
        <f>""</f>
        <v/>
      </c>
      <c r="CA2204" t="s">
        <v>9449</v>
      </c>
      <c r="CB2204" t="s">
        <v>131</v>
      </c>
      <c r="CF2204" t="s">
        <v>131</v>
      </c>
      <c r="CH2204" t="str">
        <f>""</f>
        <v/>
      </c>
      <c r="CI2204" t="s">
        <v>131</v>
      </c>
      <c r="CK2204" t="s">
        <v>131</v>
      </c>
      <c r="CL2204" t="str">
        <f>""</f>
        <v/>
      </c>
      <c r="CM2204" t="str">
        <f>""</f>
        <v/>
      </c>
      <c r="CN2204" t="str">
        <f>""</f>
        <v/>
      </c>
      <c r="CO2204" t="str">
        <f>""</f>
        <v/>
      </c>
      <c r="CP2204" t="str">
        <f>"17-2141.00"</f>
        <v>17-2141.00</v>
      </c>
      <c r="CQ2204" t="s">
        <v>518</v>
      </c>
      <c r="CR2204" t="s">
        <v>1279</v>
      </c>
      <c r="CS2204" t="s">
        <v>131</v>
      </c>
      <c r="CU2204" t="s">
        <v>9450</v>
      </c>
      <c r="CW2204" t="s">
        <v>1148</v>
      </c>
      <c r="CX2204" t="s">
        <v>511</v>
      </c>
      <c r="CZ2204" s="3" t="str">
        <f>"48330"</f>
        <v>48330</v>
      </c>
      <c r="DA2204" t="s">
        <v>131</v>
      </c>
      <c r="DB2204" t="str">
        <f>""</f>
        <v/>
      </c>
      <c r="DF2204" t="str">
        <f>""</f>
        <v/>
      </c>
    </row>
    <row r="2205" spans="1:110" ht="15" customHeight="1" x14ac:dyDescent="0.35">
      <c r="A2205" t="s">
        <v>8077</v>
      </c>
      <c r="B2205" t="s">
        <v>138</v>
      </c>
      <c r="C2205" s="1">
        <v>44376</v>
      </c>
      <c r="G2205" s="1">
        <v>44376</v>
      </c>
      <c r="H2205" t="s">
        <v>125</v>
      </c>
      <c r="I2205" t="s">
        <v>8078</v>
      </c>
      <c r="J2205" t="s">
        <v>492</v>
      </c>
      <c r="L2205" t="s">
        <v>8079</v>
      </c>
      <c r="M2205" t="s">
        <v>8080</v>
      </c>
      <c r="O2205" t="s">
        <v>494</v>
      </c>
      <c r="P2205" t="s">
        <v>127</v>
      </c>
      <c r="Q2205" s="3">
        <v>10019</v>
      </c>
      <c r="R2205" t="s">
        <v>128</v>
      </c>
      <c r="T2205" s="4">
        <v>14805055805</v>
      </c>
      <c r="V2205" t="s">
        <v>8081</v>
      </c>
      <c r="W2205" t="s">
        <v>8082</v>
      </c>
      <c r="Y2205" t="s">
        <v>8080</v>
      </c>
      <c r="AA2205" t="s">
        <v>494</v>
      </c>
      <c r="AB2205" t="s">
        <v>129</v>
      </c>
      <c r="AC2205" s="3" t="str">
        <f>"10019"</f>
        <v>10019</v>
      </c>
      <c r="AD2205" t="s">
        <v>128</v>
      </c>
      <c r="AF2205" s="4">
        <v>14805055805</v>
      </c>
      <c r="AH2205" t="str">
        <f>"54161"</f>
        <v>54161</v>
      </c>
      <c r="AI2205" t="s">
        <v>130</v>
      </c>
      <c r="AJ2205" t="s">
        <v>1486</v>
      </c>
      <c r="AK2205" t="s">
        <v>1487</v>
      </c>
      <c r="AM2205" t="s">
        <v>493</v>
      </c>
      <c r="AO2205" t="s">
        <v>494</v>
      </c>
      <c r="AP2205" t="s">
        <v>129</v>
      </c>
      <c r="AQ2205" s="5">
        <v>10018</v>
      </c>
      <c r="AR2205" t="s">
        <v>128</v>
      </c>
      <c r="AS2205" t="s">
        <v>494</v>
      </c>
      <c r="AT2205" s="4">
        <v>12126888555</v>
      </c>
      <c r="AV2205" t="s">
        <v>1488</v>
      </c>
      <c r="AW2205" t="s">
        <v>386</v>
      </c>
      <c r="AX2205" t="s">
        <v>131</v>
      </c>
      <c r="AY2205" t="s">
        <v>131</v>
      </c>
      <c r="AZ2205" t="s">
        <v>131</v>
      </c>
      <c r="BA2205" t="s">
        <v>131</v>
      </c>
      <c r="BB2205" t="s">
        <v>131</v>
      </c>
      <c r="BC2205" t="s">
        <v>131</v>
      </c>
      <c r="BD2205" t="s">
        <v>131</v>
      </c>
      <c r="BE2205" t="s">
        <v>132</v>
      </c>
      <c r="BH2205" t="s">
        <v>599</v>
      </c>
      <c r="BI2205" t="s">
        <v>131</v>
      </c>
      <c r="BL2205" t="s">
        <v>133</v>
      </c>
      <c r="BN2205" t="s">
        <v>8083</v>
      </c>
      <c r="BO2205" t="s">
        <v>131</v>
      </c>
      <c r="BP2205" t="s">
        <v>134</v>
      </c>
      <c r="BQ2205" t="s">
        <v>131</v>
      </c>
      <c r="BS2205" t="str">
        <f t="shared" si="131"/>
        <v>N/A</v>
      </c>
      <c r="BT2205" t="s">
        <v>135</v>
      </c>
      <c r="BU2205">
        <v>84</v>
      </c>
      <c r="BV2205" t="str">
        <f>"Senior Associate - LMS Architect and Implementation Specialist or related"</f>
        <v>Senior Associate - LMS Architect and Implementation Specialist or related</v>
      </c>
      <c r="BW2205" t="s">
        <v>135</v>
      </c>
      <c r="BX2205" t="str">
        <f>""</f>
        <v/>
      </c>
      <c r="BY2205" t="str">
        <f>""</f>
        <v/>
      </c>
      <c r="BZ2205" t="str">
        <f>""</f>
        <v/>
      </c>
      <c r="CA2205" t="s">
        <v>8084</v>
      </c>
      <c r="CB2205" t="s">
        <v>135</v>
      </c>
      <c r="CC2205" t="s">
        <v>188</v>
      </c>
      <c r="CE2205" t="s">
        <v>8085</v>
      </c>
      <c r="CF2205" t="s">
        <v>131</v>
      </c>
      <c r="CH2205" t="str">
        <f>"N/A"</f>
        <v>N/A</v>
      </c>
      <c r="CI2205" t="s">
        <v>135</v>
      </c>
      <c r="CJ2205">
        <v>60</v>
      </c>
      <c r="CK2205" t="s">
        <v>135</v>
      </c>
      <c r="CL2205" t="str">
        <f>""</f>
        <v/>
      </c>
      <c r="CM2205" t="str">
        <f>""</f>
        <v/>
      </c>
      <c r="CN2205" t="str">
        <f>""</f>
        <v/>
      </c>
      <c r="CO2205" t="s">
        <v>8086</v>
      </c>
      <c r="CP2205" t="str">
        <f>"15-1132.00"</f>
        <v>15-1132.00</v>
      </c>
      <c r="CQ2205" t="s">
        <v>198</v>
      </c>
      <c r="CR2205" t="s">
        <v>3633</v>
      </c>
      <c r="CS2205" t="s">
        <v>131</v>
      </c>
      <c r="CU2205" t="s">
        <v>8087</v>
      </c>
      <c r="CV2205" t="s">
        <v>788</v>
      </c>
      <c r="CW2205" t="s">
        <v>612</v>
      </c>
      <c r="CX2205" t="s">
        <v>306</v>
      </c>
      <c r="CZ2205" s="3" t="str">
        <f>"20191"</f>
        <v>20191</v>
      </c>
      <c r="DA2205" t="s">
        <v>131</v>
      </c>
      <c r="DB2205" t="str">
        <f>""</f>
        <v/>
      </c>
      <c r="DF2205" t="str">
        <f>""</f>
        <v/>
      </c>
    </row>
    <row r="2206" spans="1:110" ht="15" customHeight="1" x14ac:dyDescent="0.35">
      <c r="A2206" t="s">
        <v>19851</v>
      </c>
      <c r="B2206" t="s">
        <v>138</v>
      </c>
      <c r="C2206" s="1">
        <v>44376</v>
      </c>
      <c r="G2206" s="1">
        <v>44376</v>
      </c>
      <c r="H2206" t="s">
        <v>125</v>
      </c>
      <c r="I2206" t="s">
        <v>9806</v>
      </c>
      <c r="J2206" t="s">
        <v>9807</v>
      </c>
      <c r="L2206" t="s">
        <v>668</v>
      </c>
      <c r="M2206" t="s">
        <v>9810</v>
      </c>
      <c r="N2206" t="s">
        <v>656</v>
      </c>
      <c r="O2206" t="s">
        <v>2952</v>
      </c>
      <c r="P2206" t="s">
        <v>178</v>
      </c>
      <c r="Q2206" s="3">
        <v>90502</v>
      </c>
      <c r="R2206" t="s">
        <v>128</v>
      </c>
      <c r="T2206" s="4">
        <v>14242462000</v>
      </c>
      <c r="V2206" t="s">
        <v>9808</v>
      </c>
      <c r="W2206" t="s">
        <v>9809</v>
      </c>
      <c r="Y2206" t="s">
        <v>9810</v>
      </c>
      <c r="Z2206" t="s">
        <v>656</v>
      </c>
      <c r="AA2206" t="s">
        <v>2952</v>
      </c>
      <c r="AB2206" t="s">
        <v>172</v>
      </c>
      <c r="AC2206" s="3" t="str">
        <f>"90502"</f>
        <v>90502</v>
      </c>
      <c r="AD2206" t="s">
        <v>128</v>
      </c>
      <c r="AF2206" s="4">
        <v>14242462000</v>
      </c>
      <c r="AH2206" t="str">
        <f>"541211"</f>
        <v>541211</v>
      </c>
      <c r="AI2206" t="s">
        <v>130</v>
      </c>
      <c r="AJ2206" t="s">
        <v>3503</v>
      </c>
      <c r="AK2206" t="s">
        <v>3504</v>
      </c>
      <c r="AL2206" t="s">
        <v>655</v>
      </c>
      <c r="AM2206" t="s">
        <v>995</v>
      </c>
      <c r="AN2206" t="s">
        <v>3505</v>
      </c>
      <c r="AO2206" t="s">
        <v>476</v>
      </c>
      <c r="AP2206" t="s">
        <v>172</v>
      </c>
      <c r="AQ2206" s="5">
        <v>90017</v>
      </c>
      <c r="AR2206" t="s">
        <v>128</v>
      </c>
      <c r="AT2206" s="4">
        <v>12136222255</v>
      </c>
      <c r="AV2206" t="s">
        <v>3506</v>
      </c>
      <c r="AW2206" t="s">
        <v>3507</v>
      </c>
      <c r="AX2206" t="s">
        <v>131</v>
      </c>
      <c r="AY2206" t="s">
        <v>131</v>
      </c>
      <c r="AZ2206" t="s">
        <v>131</v>
      </c>
      <c r="BA2206" t="s">
        <v>131</v>
      </c>
      <c r="BB2206" t="s">
        <v>131</v>
      </c>
      <c r="BC2206" t="s">
        <v>131</v>
      </c>
      <c r="BD2206" t="s">
        <v>131</v>
      </c>
      <c r="BE2206" t="s">
        <v>132</v>
      </c>
      <c r="BH2206" t="s">
        <v>671</v>
      </c>
      <c r="BI2206" t="s">
        <v>131</v>
      </c>
      <c r="BL2206" t="s">
        <v>133</v>
      </c>
      <c r="BN2206" t="s">
        <v>1393</v>
      </c>
      <c r="BO2206" t="s">
        <v>131</v>
      </c>
      <c r="BP2206" t="s">
        <v>134</v>
      </c>
      <c r="BQ2206" t="s">
        <v>131</v>
      </c>
      <c r="BS2206" t="str">
        <f t="shared" si="131"/>
        <v>N/A</v>
      </c>
      <c r="BT2206" t="s">
        <v>131</v>
      </c>
      <c r="BV2206" t="str">
        <f>""</f>
        <v/>
      </c>
      <c r="BW2206" t="s">
        <v>135</v>
      </c>
      <c r="BX2206" t="str">
        <f>""</f>
        <v/>
      </c>
      <c r="BY2206" t="str">
        <f>""</f>
        <v/>
      </c>
      <c r="BZ2206" t="str">
        <f>""</f>
        <v/>
      </c>
      <c r="CA2206" t="str">
        <f>"Requires minimum of Bachelor’s degree with major/concentration in Accounting. Must be eligible to sit for Uniform CPA Exam.  Can be assigned to any of the firm’s offices across the U.S."</f>
        <v>Requires minimum of Bachelor’s degree with major/concentration in Accounting. Must be eligible to sit for Uniform CPA Exam.  Can be assigned to any of the firm’s offices across the U.S.</v>
      </c>
      <c r="CB2206" t="s">
        <v>131</v>
      </c>
      <c r="CF2206" t="s">
        <v>131</v>
      </c>
      <c r="CH2206" t="str">
        <f>""</f>
        <v/>
      </c>
      <c r="CI2206" t="s">
        <v>131</v>
      </c>
      <c r="CK2206" t="s">
        <v>131</v>
      </c>
      <c r="CL2206" t="str">
        <f>""</f>
        <v/>
      </c>
      <c r="CM2206" t="str">
        <f>""</f>
        <v/>
      </c>
      <c r="CN2206" t="str">
        <f>""</f>
        <v/>
      </c>
      <c r="CO2206" t="str">
        <f>""</f>
        <v/>
      </c>
      <c r="CP2206" t="str">
        <f>"13-2011.00"</f>
        <v>13-2011.00</v>
      </c>
      <c r="CQ2206" t="s">
        <v>672</v>
      </c>
      <c r="CR2206" t="s">
        <v>460</v>
      </c>
      <c r="CS2206" t="s">
        <v>131</v>
      </c>
      <c r="CU2206" t="s">
        <v>9810</v>
      </c>
      <c r="CV2206" t="s">
        <v>656</v>
      </c>
      <c r="CW2206" t="s">
        <v>2952</v>
      </c>
      <c r="CX2206" t="s">
        <v>172</v>
      </c>
      <c r="CZ2206" s="3" t="str">
        <f>"90502"</f>
        <v>90502</v>
      </c>
      <c r="DA2206" t="s">
        <v>135</v>
      </c>
      <c r="DB2206" t="str">
        <f>""</f>
        <v/>
      </c>
      <c r="DF2206" t="str">
        <f>""</f>
        <v/>
      </c>
    </row>
    <row r="2207" spans="1:110" ht="15" customHeight="1" x14ac:dyDescent="0.35">
      <c r="A2207" t="s">
        <v>13097</v>
      </c>
      <c r="B2207" t="s">
        <v>138</v>
      </c>
      <c r="C2207" s="1">
        <v>44376</v>
      </c>
      <c r="G2207" s="1">
        <v>44376</v>
      </c>
      <c r="H2207" t="s">
        <v>125</v>
      </c>
      <c r="I2207" t="s">
        <v>9806</v>
      </c>
      <c r="J2207" t="s">
        <v>9807</v>
      </c>
      <c r="L2207" t="s">
        <v>668</v>
      </c>
      <c r="M2207" t="s">
        <v>9810</v>
      </c>
      <c r="N2207" t="s">
        <v>656</v>
      </c>
      <c r="O2207" t="s">
        <v>2952</v>
      </c>
      <c r="P2207" t="s">
        <v>178</v>
      </c>
      <c r="Q2207" s="3">
        <v>90502</v>
      </c>
      <c r="R2207" t="s">
        <v>128</v>
      </c>
      <c r="T2207" s="4">
        <v>14242462000</v>
      </c>
      <c r="V2207" t="s">
        <v>9808</v>
      </c>
      <c r="W2207" t="s">
        <v>9809</v>
      </c>
      <c r="Y2207" t="s">
        <v>9810</v>
      </c>
      <c r="Z2207" t="s">
        <v>656</v>
      </c>
      <c r="AA2207" t="s">
        <v>2952</v>
      </c>
      <c r="AB2207" t="s">
        <v>172</v>
      </c>
      <c r="AC2207" s="3" t="str">
        <f>"90502"</f>
        <v>90502</v>
      </c>
      <c r="AD2207" t="s">
        <v>128</v>
      </c>
      <c r="AF2207" s="4">
        <v>14242462000</v>
      </c>
      <c r="AH2207" t="str">
        <f>"541211"</f>
        <v>541211</v>
      </c>
      <c r="AI2207" t="s">
        <v>130</v>
      </c>
      <c r="AJ2207" t="s">
        <v>3503</v>
      </c>
      <c r="AK2207" t="s">
        <v>3504</v>
      </c>
      <c r="AL2207" t="s">
        <v>655</v>
      </c>
      <c r="AM2207" t="s">
        <v>995</v>
      </c>
      <c r="AN2207">
        <v>1780</v>
      </c>
      <c r="AO2207" t="s">
        <v>476</v>
      </c>
      <c r="AP2207" t="s">
        <v>172</v>
      </c>
      <c r="AQ2207" s="5">
        <v>90017</v>
      </c>
      <c r="AR2207" t="s">
        <v>128</v>
      </c>
      <c r="AT2207" s="4">
        <v>12136222255</v>
      </c>
      <c r="AV2207" t="s">
        <v>3506</v>
      </c>
      <c r="AW2207" t="s">
        <v>3507</v>
      </c>
      <c r="AX2207" t="s">
        <v>131</v>
      </c>
      <c r="AY2207" t="s">
        <v>131</v>
      </c>
      <c r="AZ2207" t="s">
        <v>131</v>
      </c>
      <c r="BA2207" t="s">
        <v>131</v>
      </c>
      <c r="BB2207" t="s">
        <v>131</v>
      </c>
      <c r="BC2207" t="s">
        <v>131</v>
      </c>
      <c r="BD2207" t="s">
        <v>131</v>
      </c>
      <c r="BE2207" t="s">
        <v>132</v>
      </c>
      <c r="BH2207" t="s">
        <v>671</v>
      </c>
      <c r="BI2207" t="s">
        <v>131</v>
      </c>
      <c r="BL2207" t="s">
        <v>133</v>
      </c>
      <c r="BN2207" t="s">
        <v>1393</v>
      </c>
      <c r="BO2207" t="s">
        <v>131</v>
      </c>
      <c r="BP2207" t="s">
        <v>134</v>
      </c>
      <c r="BQ2207" t="s">
        <v>131</v>
      </c>
      <c r="BS2207" t="str">
        <f t="shared" si="131"/>
        <v>N/A</v>
      </c>
      <c r="BT2207" t="s">
        <v>131</v>
      </c>
      <c r="BV2207" t="str">
        <f>""</f>
        <v/>
      </c>
      <c r="BW2207" t="s">
        <v>135</v>
      </c>
      <c r="BX2207" t="str">
        <f>""</f>
        <v/>
      </c>
      <c r="BY2207" t="str">
        <f>""</f>
        <v/>
      </c>
      <c r="BZ2207" t="str">
        <f>""</f>
        <v/>
      </c>
      <c r="CA2207" t="str">
        <f>"Requires minimum of Bachelor’s degree in any field and must be eligible to sit for Uniform CPA Exam.  Must be fluent in spoken and written Japanese.  Can be assigned to any of the firm’s offices across the U.S."</f>
        <v>Requires minimum of Bachelor’s degree in any field and must be eligible to sit for Uniform CPA Exam.  Must be fluent in spoken and written Japanese.  Can be assigned to any of the firm’s offices across the U.S.</v>
      </c>
      <c r="CB2207" t="s">
        <v>131</v>
      </c>
      <c r="CF2207" t="s">
        <v>131</v>
      </c>
      <c r="CH2207" t="str">
        <f>""</f>
        <v/>
      </c>
      <c r="CI2207" t="s">
        <v>131</v>
      </c>
      <c r="CK2207" t="s">
        <v>131</v>
      </c>
      <c r="CL2207" t="str">
        <f>""</f>
        <v/>
      </c>
      <c r="CM2207" t="str">
        <f>""</f>
        <v/>
      </c>
      <c r="CN2207" t="str">
        <f>""</f>
        <v/>
      </c>
      <c r="CO2207" t="str">
        <f>""</f>
        <v/>
      </c>
      <c r="CP2207" t="str">
        <f>"13-2011.00"</f>
        <v>13-2011.00</v>
      </c>
      <c r="CQ2207" t="s">
        <v>672</v>
      </c>
      <c r="CR2207" t="s">
        <v>460</v>
      </c>
      <c r="CS2207" t="s">
        <v>131</v>
      </c>
      <c r="CU2207" t="s">
        <v>9810</v>
      </c>
      <c r="CV2207" t="s">
        <v>656</v>
      </c>
      <c r="CW2207" t="s">
        <v>2952</v>
      </c>
      <c r="CX2207" t="s">
        <v>172</v>
      </c>
      <c r="CZ2207" s="3" t="str">
        <f>"90502"</f>
        <v>90502</v>
      </c>
      <c r="DA2207" t="s">
        <v>135</v>
      </c>
      <c r="DB2207" t="str">
        <f>""</f>
        <v/>
      </c>
      <c r="DF2207" t="str">
        <f>""</f>
        <v/>
      </c>
    </row>
    <row r="2208" spans="1:110" ht="15" customHeight="1" x14ac:dyDescent="0.35">
      <c r="A2208" t="s">
        <v>16302</v>
      </c>
      <c r="B2208" t="s">
        <v>138</v>
      </c>
      <c r="C2208" s="1">
        <v>44376</v>
      </c>
      <c r="G2208" s="1">
        <v>44376</v>
      </c>
      <c r="H2208" t="s">
        <v>125</v>
      </c>
      <c r="I2208" t="s">
        <v>9269</v>
      </c>
      <c r="J2208" t="s">
        <v>9270</v>
      </c>
      <c r="L2208" t="s">
        <v>9271</v>
      </c>
      <c r="M2208" t="s">
        <v>9282</v>
      </c>
      <c r="N2208" t="s">
        <v>9272</v>
      </c>
      <c r="O2208" t="s">
        <v>1040</v>
      </c>
      <c r="P2208" t="s">
        <v>412</v>
      </c>
      <c r="Q2208" s="3">
        <v>78746</v>
      </c>
      <c r="R2208" t="s">
        <v>128</v>
      </c>
      <c r="T2208" s="4">
        <v>15126976922</v>
      </c>
      <c r="V2208" t="s">
        <v>9273</v>
      </c>
      <c r="W2208" t="s">
        <v>9274</v>
      </c>
      <c r="Y2208" t="s">
        <v>9275</v>
      </c>
      <c r="Z2208" t="s">
        <v>6131</v>
      </c>
      <c r="AA2208" t="s">
        <v>494</v>
      </c>
      <c r="AB2208" t="s">
        <v>129</v>
      </c>
      <c r="AC2208" s="3" t="str">
        <f>"10173"</f>
        <v>10173</v>
      </c>
      <c r="AD2208" t="s">
        <v>128</v>
      </c>
      <c r="AF2208" s="4">
        <v>12123014000</v>
      </c>
      <c r="AH2208" t="str">
        <f>"551112"</f>
        <v>551112</v>
      </c>
      <c r="AI2208" t="s">
        <v>130</v>
      </c>
      <c r="AJ2208" t="s">
        <v>1360</v>
      </c>
      <c r="AK2208" t="s">
        <v>260</v>
      </c>
      <c r="AM2208" t="s">
        <v>9276</v>
      </c>
      <c r="AN2208" t="s">
        <v>788</v>
      </c>
      <c r="AO2208" t="s">
        <v>476</v>
      </c>
      <c r="AP2208" t="s">
        <v>172</v>
      </c>
      <c r="AQ2208" s="5">
        <v>90064</v>
      </c>
      <c r="AR2208" t="s">
        <v>128</v>
      </c>
      <c r="AT2208" s="4">
        <v>13104458811</v>
      </c>
      <c r="AV2208" t="s">
        <v>9277</v>
      </c>
      <c r="AW2208" t="s">
        <v>9278</v>
      </c>
      <c r="AX2208" t="s">
        <v>131</v>
      </c>
      <c r="AY2208" t="s">
        <v>131</v>
      </c>
      <c r="AZ2208" t="s">
        <v>131</v>
      </c>
      <c r="BA2208" t="s">
        <v>131</v>
      </c>
      <c r="BB2208" t="s">
        <v>131</v>
      </c>
      <c r="BC2208" t="s">
        <v>131</v>
      </c>
      <c r="BD2208" t="s">
        <v>131</v>
      </c>
      <c r="BE2208" t="s">
        <v>132</v>
      </c>
      <c r="BH2208" t="s">
        <v>9279</v>
      </c>
      <c r="BI2208" t="s">
        <v>135</v>
      </c>
      <c r="BJ2208" t="s">
        <v>9280</v>
      </c>
      <c r="BK2208" t="s">
        <v>3905</v>
      </c>
      <c r="BL2208" t="s">
        <v>133</v>
      </c>
      <c r="BN2208" t="s">
        <v>9281</v>
      </c>
      <c r="BO2208" t="s">
        <v>131</v>
      </c>
      <c r="BP2208" t="s">
        <v>134</v>
      </c>
      <c r="BQ2208" t="s">
        <v>131</v>
      </c>
      <c r="BS2208" t="str">
        <f t="shared" si="131"/>
        <v>N/A</v>
      </c>
      <c r="BT2208" t="s">
        <v>135</v>
      </c>
      <c r="BU2208">
        <v>96</v>
      </c>
      <c r="BV2208" t="str">
        <f>"8 years accumulated exp. to include:  4 yrs experience in software development &amp;/or programming design &amp; systems mgmt; 4 yrs of exp. in managing and leading teams in a matrix organization; "</f>
        <v xml:space="preserve">8 years accumulated exp. to include:  4 yrs experience in software development &amp;/or programming design &amp; systems mgmt; 4 yrs of exp. in managing and leading teams in a matrix organization; </v>
      </c>
      <c r="BW2208" t="s">
        <v>135</v>
      </c>
      <c r="BX2208" t="str">
        <f>""</f>
        <v/>
      </c>
      <c r="BY2208" t="str">
        <f>""</f>
        <v/>
      </c>
      <c r="BZ2208" t="str">
        <f>""</f>
        <v/>
      </c>
      <c r="CA2208" s="2" t="s">
        <v>16303</v>
      </c>
      <c r="CB2208" t="s">
        <v>131</v>
      </c>
      <c r="CF2208" t="s">
        <v>131</v>
      </c>
      <c r="CH2208" t="str">
        <f>""</f>
        <v/>
      </c>
      <c r="CI2208" t="s">
        <v>131</v>
      </c>
      <c r="CK2208" t="s">
        <v>131</v>
      </c>
      <c r="CL2208" t="str">
        <f>""</f>
        <v/>
      </c>
      <c r="CM2208" t="str">
        <f>""</f>
        <v/>
      </c>
      <c r="CN2208" t="str">
        <f>""</f>
        <v/>
      </c>
      <c r="CO2208" t="str">
        <f>""</f>
        <v/>
      </c>
      <c r="CP2208" t="str">
        <f>"11-3021.00"</f>
        <v>11-3021.00</v>
      </c>
      <c r="CQ2208" t="s">
        <v>598</v>
      </c>
      <c r="CR2208" t="s">
        <v>16304</v>
      </c>
      <c r="CS2208" t="s">
        <v>131</v>
      </c>
      <c r="CU2208" t="s">
        <v>9282</v>
      </c>
      <c r="CV2208" t="s">
        <v>16305</v>
      </c>
      <c r="CW2208" t="s">
        <v>1040</v>
      </c>
      <c r="CX2208" t="s">
        <v>400</v>
      </c>
      <c r="CZ2208" s="3" t="str">
        <f>"78746"</f>
        <v>78746</v>
      </c>
      <c r="DA2208" t="s">
        <v>131</v>
      </c>
      <c r="DB2208" t="str">
        <f>""</f>
        <v/>
      </c>
      <c r="DF2208" t="str">
        <f>""</f>
        <v/>
      </c>
    </row>
    <row r="2209" spans="1:110" ht="15" customHeight="1" x14ac:dyDescent="0.35">
      <c r="A2209" t="s">
        <v>7062</v>
      </c>
      <c r="B2209" t="s">
        <v>138</v>
      </c>
      <c r="C2209" s="1">
        <v>44376</v>
      </c>
      <c r="G2209" s="1">
        <v>44376</v>
      </c>
      <c r="H2209" t="s">
        <v>125</v>
      </c>
      <c r="I2209" t="s">
        <v>7063</v>
      </c>
      <c r="J2209" t="s">
        <v>5680</v>
      </c>
      <c r="K2209" t="s">
        <v>474</v>
      </c>
      <c r="L2209" t="s">
        <v>1909</v>
      </c>
      <c r="M2209" t="s">
        <v>7064</v>
      </c>
      <c r="N2209" t="s">
        <v>1546</v>
      </c>
      <c r="O2209" t="s">
        <v>1546</v>
      </c>
      <c r="P2209" t="s">
        <v>720</v>
      </c>
      <c r="Q2209" s="3">
        <v>2138</v>
      </c>
      <c r="R2209" t="s">
        <v>128</v>
      </c>
      <c r="T2209" s="4">
        <v>17817445100</v>
      </c>
      <c r="V2209" t="s">
        <v>7065</v>
      </c>
      <c r="W2209" t="s">
        <v>7066</v>
      </c>
      <c r="Y2209" t="s">
        <v>7064</v>
      </c>
      <c r="AA2209" t="s">
        <v>1546</v>
      </c>
      <c r="AB2209" t="s">
        <v>377</v>
      </c>
      <c r="AC2209" s="3" t="str">
        <f>"02138"</f>
        <v>02138</v>
      </c>
      <c r="AD2209" t="s">
        <v>128</v>
      </c>
      <c r="AF2209" s="4">
        <v>17817445100</v>
      </c>
      <c r="AH2209" t="str">
        <f>"62111"</f>
        <v>62111</v>
      </c>
      <c r="AI2209" t="s">
        <v>130</v>
      </c>
      <c r="AJ2209" t="s">
        <v>2146</v>
      </c>
      <c r="AK2209" t="s">
        <v>2147</v>
      </c>
      <c r="AL2209" t="s">
        <v>134</v>
      </c>
      <c r="AM2209" t="s">
        <v>2123</v>
      </c>
      <c r="AN2209" t="s">
        <v>611</v>
      </c>
      <c r="AO2209" t="s">
        <v>376</v>
      </c>
      <c r="AP2209" t="s">
        <v>377</v>
      </c>
      <c r="AQ2209" s="5">
        <v>2210</v>
      </c>
      <c r="AR2209" t="s">
        <v>128</v>
      </c>
      <c r="AS2209" t="s">
        <v>134</v>
      </c>
      <c r="AT2209" s="4">
        <v>16179464814</v>
      </c>
      <c r="AV2209" t="s">
        <v>2148</v>
      </c>
      <c r="AW2209" t="s">
        <v>1083</v>
      </c>
      <c r="AX2209" t="s">
        <v>135</v>
      </c>
      <c r="AY2209" t="s">
        <v>131</v>
      </c>
      <c r="AZ2209" t="s">
        <v>135</v>
      </c>
      <c r="BA2209" t="s">
        <v>131</v>
      </c>
      <c r="BB2209" t="s">
        <v>134</v>
      </c>
      <c r="BC2209" t="s">
        <v>131</v>
      </c>
      <c r="BD2209" t="s">
        <v>131</v>
      </c>
      <c r="BE2209" t="s">
        <v>132</v>
      </c>
      <c r="BH2209" t="s">
        <v>7067</v>
      </c>
      <c r="BI2209" t="s">
        <v>135</v>
      </c>
      <c r="BJ2209" t="s">
        <v>7068</v>
      </c>
      <c r="BK2209" t="s">
        <v>7069</v>
      </c>
      <c r="BL2209" t="s">
        <v>658</v>
      </c>
      <c r="BM2209" t="s">
        <v>7070</v>
      </c>
      <c r="BN2209" t="s">
        <v>659</v>
      </c>
      <c r="BO2209" t="s">
        <v>131</v>
      </c>
      <c r="BP2209" t="s">
        <v>134</v>
      </c>
      <c r="BQ2209" t="s">
        <v>135</v>
      </c>
      <c r="BR2209">
        <v>60</v>
      </c>
      <c r="BS2209" t="str">
        <f>"Completion of an accredited three-year Residency Program in Internal Medicine.
Completion of a two-year Fellowship Program in Endocrinology, Diabetes and Metabolism.
"</f>
        <v xml:space="preserve">Completion of an accredited three-year Residency Program in Internal Medicine.
Completion of a two-year Fellowship Program in Endocrinology, Diabetes and Metabolism.
</v>
      </c>
      <c r="BT2209" t="s">
        <v>131</v>
      </c>
      <c r="BV2209" t="str">
        <f>""</f>
        <v/>
      </c>
      <c r="BW2209" t="s">
        <v>135</v>
      </c>
      <c r="BX2209" t="str">
        <f>"Massachusetts Medical License or eligibility for a license."</f>
        <v>Massachusetts Medical License or eligibility for a license.</v>
      </c>
      <c r="BY2209" t="str">
        <f>""</f>
        <v/>
      </c>
      <c r="BZ2209" t="str">
        <f>"Completion of an accredited three-year Residency Program in Internal Medicine.
Completion of a two-year Fellowship Program in Endocrinology, Diabetes and Metabolism.
"</f>
        <v xml:space="preserve">Completion of an accredited three-year Residency Program in Internal Medicine.
Completion of a two-year Fellowship Program in Endocrinology, Diabetes and Metabolism.
</v>
      </c>
      <c r="CA2209" t="str">
        <f>"Must have demonstrated expertise in the diagnosis and treatment of internal illnesses including diabetes, thyroid disease and other conditions of the endocrine system"</f>
        <v>Must have demonstrated expertise in the diagnosis and treatment of internal illnesses including diabetes, thyroid disease and other conditions of the endocrine system</v>
      </c>
      <c r="CB2209" t="s">
        <v>131</v>
      </c>
      <c r="CF2209" t="s">
        <v>131</v>
      </c>
      <c r="CH2209" t="str">
        <f>""</f>
        <v/>
      </c>
      <c r="CI2209" t="s">
        <v>131</v>
      </c>
      <c r="CK2209" t="s">
        <v>131</v>
      </c>
      <c r="CL2209" t="str">
        <f>""</f>
        <v/>
      </c>
      <c r="CM2209" t="str">
        <f>""</f>
        <v/>
      </c>
      <c r="CN2209" t="str">
        <f>""</f>
        <v/>
      </c>
      <c r="CO2209" t="str">
        <f>""</f>
        <v/>
      </c>
      <c r="CP2209" t="str">
        <f>"29-1069.00"</f>
        <v>29-1069.00</v>
      </c>
      <c r="CQ2209" t="s">
        <v>2963</v>
      </c>
      <c r="CR2209" t="s">
        <v>7071</v>
      </c>
      <c r="CS2209" t="s">
        <v>131</v>
      </c>
      <c r="CU2209" t="s">
        <v>7072</v>
      </c>
      <c r="CW2209" t="s">
        <v>1546</v>
      </c>
      <c r="CX2209" t="s">
        <v>377</v>
      </c>
      <c r="CZ2209" s="3" t="str">
        <f>"02138"</f>
        <v>02138</v>
      </c>
      <c r="DA2209" t="s">
        <v>135</v>
      </c>
      <c r="DB2209" t="str">
        <f>""</f>
        <v/>
      </c>
      <c r="DF2209" t="str">
        <f>""</f>
        <v/>
      </c>
    </row>
    <row r="2210" spans="1:110" ht="15" customHeight="1" x14ac:dyDescent="0.35">
      <c r="A2210" t="s">
        <v>11900</v>
      </c>
      <c r="B2210" t="s">
        <v>138</v>
      </c>
      <c r="C2210" s="1">
        <v>44376</v>
      </c>
      <c r="G2210" s="1">
        <v>44376</v>
      </c>
      <c r="H2210" t="s">
        <v>125</v>
      </c>
      <c r="I2210" t="s">
        <v>11901</v>
      </c>
      <c r="J2210" t="s">
        <v>11902</v>
      </c>
      <c r="L2210" t="s">
        <v>1105</v>
      </c>
      <c r="M2210" t="s">
        <v>11903</v>
      </c>
      <c r="N2210" t="s">
        <v>2302</v>
      </c>
      <c r="O2210" t="s">
        <v>6077</v>
      </c>
      <c r="P2210" t="s">
        <v>818</v>
      </c>
      <c r="Q2210" s="3">
        <v>30062</v>
      </c>
      <c r="R2210" t="s">
        <v>128</v>
      </c>
      <c r="T2210" s="4">
        <v>17702183462</v>
      </c>
      <c r="V2210" t="s">
        <v>11904</v>
      </c>
      <c r="W2210" t="s">
        <v>11905</v>
      </c>
      <c r="Y2210" t="s">
        <v>11903</v>
      </c>
      <c r="Z2210" t="s">
        <v>2302</v>
      </c>
      <c r="AA2210" t="s">
        <v>6077</v>
      </c>
      <c r="AB2210" t="s">
        <v>643</v>
      </c>
      <c r="AC2210" s="3" t="str">
        <f>"30062"</f>
        <v>30062</v>
      </c>
      <c r="AD2210" t="s">
        <v>128</v>
      </c>
      <c r="AF2210" s="4">
        <v>17702183462</v>
      </c>
      <c r="AH2210" t="str">
        <f>"2383"</f>
        <v>2383</v>
      </c>
      <c r="AI2210" t="s">
        <v>130</v>
      </c>
      <c r="AJ2210" t="s">
        <v>3394</v>
      </c>
      <c r="AK2210" t="s">
        <v>3395</v>
      </c>
      <c r="AL2210" t="s">
        <v>3300</v>
      </c>
      <c r="AM2210" t="s">
        <v>3396</v>
      </c>
      <c r="AN2210" t="s">
        <v>884</v>
      </c>
      <c r="AO2210" t="s">
        <v>642</v>
      </c>
      <c r="AP2210" t="s">
        <v>643</v>
      </c>
      <c r="AQ2210" s="5">
        <v>30324</v>
      </c>
      <c r="AR2210" t="s">
        <v>128</v>
      </c>
      <c r="AT2210" s="4">
        <v>14045238141</v>
      </c>
      <c r="AV2210" t="s">
        <v>3397</v>
      </c>
      <c r="AW2210" t="s">
        <v>3398</v>
      </c>
      <c r="AX2210" t="s">
        <v>131</v>
      </c>
      <c r="AY2210" t="s">
        <v>131</v>
      </c>
      <c r="AZ2210" t="s">
        <v>131</v>
      </c>
      <c r="BA2210" t="s">
        <v>131</v>
      </c>
      <c r="BB2210" t="s">
        <v>131</v>
      </c>
      <c r="BC2210" t="s">
        <v>131</v>
      </c>
      <c r="BD2210" t="s">
        <v>131</v>
      </c>
      <c r="BE2210" t="s">
        <v>132</v>
      </c>
      <c r="BH2210" t="s">
        <v>11906</v>
      </c>
      <c r="BI2210" t="s">
        <v>135</v>
      </c>
      <c r="BJ2210" t="s">
        <v>11907</v>
      </c>
      <c r="BK2210" t="s">
        <v>11908</v>
      </c>
      <c r="BL2210" t="s">
        <v>167</v>
      </c>
      <c r="BO2210" t="s">
        <v>131</v>
      </c>
      <c r="BP2210" t="s">
        <v>134</v>
      </c>
      <c r="BQ2210" t="s">
        <v>131</v>
      </c>
      <c r="BS2210" t="str">
        <f t="shared" ref="BS2210:BS2215" si="132">"N/A"</f>
        <v>N/A</v>
      </c>
      <c r="BT2210" t="s">
        <v>135</v>
      </c>
      <c r="BU2210">
        <v>36</v>
      </c>
      <c r="BV2210" t="str">
        <f>"See F.b.5"</f>
        <v>See F.b.5</v>
      </c>
      <c r="BW2210" t="s">
        <v>135</v>
      </c>
      <c r="BX2210" t="str">
        <f>""</f>
        <v/>
      </c>
      <c r="BY2210" t="str">
        <f>""</f>
        <v/>
      </c>
      <c r="BZ2210" t="str">
        <f>""</f>
        <v/>
      </c>
      <c r="CA2210" t="s">
        <v>11909</v>
      </c>
      <c r="CB2210" t="s">
        <v>131</v>
      </c>
      <c r="CF2210" t="s">
        <v>131</v>
      </c>
      <c r="CH2210" t="str">
        <f>""</f>
        <v/>
      </c>
      <c r="CI2210" t="s">
        <v>131</v>
      </c>
      <c r="CK2210" t="s">
        <v>131</v>
      </c>
      <c r="CL2210" t="str">
        <f>""</f>
        <v/>
      </c>
      <c r="CM2210" t="str">
        <f>""</f>
        <v/>
      </c>
      <c r="CN2210" t="str">
        <f>""</f>
        <v/>
      </c>
      <c r="CO2210" t="str">
        <f>""</f>
        <v/>
      </c>
      <c r="CP2210" t="str">
        <f>"47-1011.00"</f>
        <v>47-1011.00</v>
      </c>
      <c r="CQ2210" t="s">
        <v>4677</v>
      </c>
      <c r="CR2210" t="s">
        <v>11910</v>
      </c>
      <c r="CS2210" t="s">
        <v>135</v>
      </c>
      <c r="CT2210" t="s">
        <v>11911</v>
      </c>
      <c r="CU2210" t="s">
        <v>11903</v>
      </c>
      <c r="CV2210" t="s">
        <v>2302</v>
      </c>
      <c r="CW2210" t="s">
        <v>6077</v>
      </c>
      <c r="CX2210" t="s">
        <v>643</v>
      </c>
      <c r="CZ2210" s="3" t="str">
        <f>"30062"</f>
        <v>30062</v>
      </c>
      <c r="DA2210" t="s">
        <v>131</v>
      </c>
      <c r="DB2210" t="str">
        <f>""</f>
        <v/>
      </c>
      <c r="DF2210" t="str">
        <f>""</f>
        <v/>
      </c>
    </row>
    <row r="2211" spans="1:110" ht="15" customHeight="1" x14ac:dyDescent="0.35">
      <c r="A2211" t="s">
        <v>11999</v>
      </c>
      <c r="B2211" t="s">
        <v>138</v>
      </c>
      <c r="C2211" s="1">
        <v>44376</v>
      </c>
      <c r="G2211" s="1">
        <v>44377</v>
      </c>
      <c r="H2211" t="s">
        <v>125</v>
      </c>
      <c r="I2211" t="s">
        <v>866</v>
      </c>
      <c r="J2211" t="s">
        <v>867</v>
      </c>
      <c r="L2211" t="s">
        <v>868</v>
      </c>
      <c r="M2211" t="s">
        <v>869</v>
      </c>
      <c r="N2211" t="s">
        <v>870</v>
      </c>
      <c r="O2211" t="s">
        <v>871</v>
      </c>
      <c r="P2211" t="s">
        <v>539</v>
      </c>
      <c r="Q2211" s="3">
        <v>60143</v>
      </c>
      <c r="R2211" t="s">
        <v>128</v>
      </c>
      <c r="T2211" s="4">
        <v>18474664000</v>
      </c>
      <c r="V2211" t="s">
        <v>872</v>
      </c>
      <c r="W2211" t="s">
        <v>873</v>
      </c>
      <c r="Y2211" t="s">
        <v>869</v>
      </c>
      <c r="Z2211" t="s">
        <v>870</v>
      </c>
      <c r="AA2211" t="s">
        <v>871</v>
      </c>
      <c r="AB2211" t="s">
        <v>263</v>
      </c>
      <c r="AC2211" s="3" t="str">
        <f>"60143"</f>
        <v>60143</v>
      </c>
      <c r="AD2211" t="s">
        <v>128</v>
      </c>
      <c r="AF2211" s="4">
        <v>18474664135</v>
      </c>
      <c r="AH2211" t="str">
        <f>"54151"</f>
        <v>54151</v>
      </c>
      <c r="AI2211" t="s">
        <v>130</v>
      </c>
      <c r="AJ2211" t="s">
        <v>802</v>
      </c>
      <c r="AK2211" t="s">
        <v>803</v>
      </c>
      <c r="AL2211" t="s">
        <v>804</v>
      </c>
      <c r="AM2211" t="s">
        <v>805</v>
      </c>
      <c r="AN2211" t="s">
        <v>806</v>
      </c>
      <c r="AO2211" t="s">
        <v>807</v>
      </c>
      <c r="AP2211" t="s">
        <v>808</v>
      </c>
      <c r="AQ2211" s="5">
        <v>85020</v>
      </c>
      <c r="AR2211" t="s">
        <v>128</v>
      </c>
      <c r="AT2211" s="4">
        <v>16022661825</v>
      </c>
      <c r="AV2211" t="s">
        <v>809</v>
      </c>
      <c r="AW2211" t="s">
        <v>548</v>
      </c>
      <c r="AX2211" t="s">
        <v>131</v>
      </c>
      <c r="AY2211" t="s">
        <v>131</v>
      </c>
      <c r="AZ2211" t="s">
        <v>131</v>
      </c>
      <c r="BA2211" t="s">
        <v>131</v>
      </c>
      <c r="BB2211" t="s">
        <v>131</v>
      </c>
      <c r="BC2211" t="s">
        <v>131</v>
      </c>
      <c r="BD2211" t="s">
        <v>131</v>
      </c>
      <c r="BE2211" t="s">
        <v>132</v>
      </c>
      <c r="BH2211" t="s">
        <v>12000</v>
      </c>
      <c r="BI2211" t="s">
        <v>131</v>
      </c>
      <c r="BL2211" t="s">
        <v>133</v>
      </c>
      <c r="BN2211" t="s">
        <v>12001</v>
      </c>
      <c r="BO2211" t="s">
        <v>131</v>
      </c>
      <c r="BP2211" t="s">
        <v>134</v>
      </c>
      <c r="BQ2211" t="s">
        <v>131</v>
      </c>
      <c r="BS2211" t="str">
        <f t="shared" si="132"/>
        <v>N/A</v>
      </c>
      <c r="BT2211" t="s">
        <v>135</v>
      </c>
      <c r="BU2211">
        <v>48</v>
      </c>
      <c r="BV2211" t="str">
        <f>"job offered or related"</f>
        <v>job offered or related</v>
      </c>
      <c r="BW2211" t="s">
        <v>135</v>
      </c>
      <c r="BX2211" t="str">
        <f>""</f>
        <v/>
      </c>
      <c r="BY2211" t="str">
        <f>""</f>
        <v/>
      </c>
      <c r="BZ2211" t="str">
        <f>""</f>
        <v/>
      </c>
      <c r="CA2211" t="str">
        <f>"1.	SQL Programming
2.	Data Modeling
3.	Reporting
4.	Data Analytics
5.	Cognos Design/Troubleshooting
"</f>
        <v xml:space="preserve">1.	SQL Programming
2.	Data Modeling
3.	Reporting
4.	Data Analytics
5.	Cognos Design/Troubleshooting
</v>
      </c>
      <c r="CB2211" t="s">
        <v>131</v>
      </c>
      <c r="CF2211" t="s">
        <v>131</v>
      </c>
      <c r="CH2211" t="str">
        <f>""</f>
        <v/>
      </c>
      <c r="CI2211" t="s">
        <v>131</v>
      </c>
      <c r="CK2211" t="s">
        <v>131</v>
      </c>
      <c r="CL2211" t="str">
        <f>""</f>
        <v/>
      </c>
      <c r="CM2211" t="str">
        <f>""</f>
        <v/>
      </c>
      <c r="CN2211" t="str">
        <f>""</f>
        <v/>
      </c>
      <c r="CO2211" t="str">
        <f>""</f>
        <v/>
      </c>
      <c r="CP2211" t="str">
        <f>"15-1199.08"</f>
        <v>15-1199.08</v>
      </c>
      <c r="CQ2211" t="s">
        <v>265</v>
      </c>
      <c r="CR2211" t="s">
        <v>460</v>
      </c>
      <c r="CS2211" t="s">
        <v>131</v>
      </c>
      <c r="CU2211" t="s">
        <v>869</v>
      </c>
      <c r="CW2211" t="s">
        <v>871</v>
      </c>
      <c r="CX2211" t="s">
        <v>263</v>
      </c>
      <c r="CZ2211" s="3" t="str">
        <f>"60143"</f>
        <v>60143</v>
      </c>
      <c r="DA2211" t="s">
        <v>131</v>
      </c>
      <c r="DB2211" t="str">
        <f>""</f>
        <v/>
      </c>
      <c r="DF2211" t="str">
        <f>""</f>
        <v/>
      </c>
    </row>
    <row r="2212" spans="1:110" ht="15" customHeight="1" x14ac:dyDescent="0.35">
      <c r="A2212" t="s">
        <v>18339</v>
      </c>
      <c r="B2212" t="s">
        <v>138</v>
      </c>
      <c r="C2212" s="1">
        <v>44376</v>
      </c>
      <c r="G2212" s="1">
        <v>44376</v>
      </c>
      <c r="H2212" t="s">
        <v>125</v>
      </c>
      <c r="I2212" t="s">
        <v>266</v>
      </c>
      <c r="J2212" t="s">
        <v>267</v>
      </c>
      <c r="K2212" t="s">
        <v>268</v>
      </c>
      <c r="L2212" t="s">
        <v>269</v>
      </c>
      <c r="M2212" t="s">
        <v>270</v>
      </c>
      <c r="N2212" t="s">
        <v>271</v>
      </c>
      <c r="O2212" t="s">
        <v>272</v>
      </c>
      <c r="P2212" t="s">
        <v>273</v>
      </c>
      <c r="Q2212" s="3">
        <v>7094</v>
      </c>
      <c r="R2212" t="s">
        <v>128</v>
      </c>
      <c r="T2212" s="4">
        <v>12018723003</v>
      </c>
      <c r="U2212">
        <v>0</v>
      </c>
      <c r="V2212" t="s">
        <v>274</v>
      </c>
      <c r="W2212" t="s">
        <v>275</v>
      </c>
      <c r="X2212" t="s">
        <v>134</v>
      </c>
      <c r="Y2212" t="s">
        <v>270</v>
      </c>
      <c r="Z2212" t="s">
        <v>271</v>
      </c>
      <c r="AA2212" t="s">
        <v>272</v>
      </c>
      <c r="AB2212" t="s">
        <v>276</v>
      </c>
      <c r="AC2212" s="3" t="str">
        <f>"07094"</f>
        <v>07094</v>
      </c>
      <c r="AD2212" t="s">
        <v>128</v>
      </c>
      <c r="AF2212" s="4">
        <v>12018723003</v>
      </c>
      <c r="AG2212">
        <v>0</v>
      </c>
      <c r="AH2212" t="str">
        <f>"541211"</f>
        <v>541211</v>
      </c>
      <c r="AI2212" t="s">
        <v>130</v>
      </c>
      <c r="AJ2212" t="s">
        <v>6167</v>
      </c>
      <c r="AK2212" t="s">
        <v>6168</v>
      </c>
      <c r="AM2212" t="s">
        <v>278</v>
      </c>
      <c r="AN2212" t="s">
        <v>279</v>
      </c>
      <c r="AO2212" t="s">
        <v>214</v>
      </c>
      <c r="AQ2212" s="5" t="s">
        <v>280</v>
      </c>
      <c r="AR2212" t="s">
        <v>156</v>
      </c>
      <c r="AS2212" t="s">
        <v>216</v>
      </c>
      <c r="AT2212" s="4">
        <v>14169433548</v>
      </c>
      <c r="AV2212" t="s">
        <v>1613</v>
      </c>
      <c r="AW2212" t="s">
        <v>159</v>
      </c>
      <c r="AX2212" t="s">
        <v>131</v>
      </c>
      <c r="AY2212" t="s">
        <v>131</v>
      </c>
      <c r="AZ2212" t="s">
        <v>131</v>
      </c>
      <c r="BA2212" t="s">
        <v>131</v>
      </c>
      <c r="BB2212" t="s">
        <v>131</v>
      </c>
      <c r="BC2212" t="s">
        <v>131</v>
      </c>
      <c r="BD2212" t="s">
        <v>131</v>
      </c>
      <c r="BE2212" t="s">
        <v>160</v>
      </c>
      <c r="BF2212" t="s">
        <v>1612</v>
      </c>
      <c r="BG2212" s="1">
        <v>44331</v>
      </c>
      <c r="BH2212" t="s">
        <v>18340</v>
      </c>
      <c r="BI2212" t="s">
        <v>135</v>
      </c>
      <c r="BJ2212" t="s">
        <v>5160</v>
      </c>
      <c r="BK2212" t="s">
        <v>711</v>
      </c>
      <c r="BL2212" t="s">
        <v>133</v>
      </c>
      <c r="BN2212" t="s">
        <v>8770</v>
      </c>
      <c r="BO2212" t="s">
        <v>131</v>
      </c>
      <c r="BP2212" t="s">
        <v>134</v>
      </c>
      <c r="BQ2212" t="s">
        <v>131</v>
      </c>
      <c r="BS2212" t="str">
        <f t="shared" si="132"/>
        <v>N/A</v>
      </c>
      <c r="BT2212" t="s">
        <v>135</v>
      </c>
      <c r="BU2212">
        <v>60</v>
      </c>
      <c r="BV2212" t="str">
        <f>"Any in which req'd experience is gained"</f>
        <v>Any in which req'd experience is gained</v>
      </c>
      <c r="BW2212" t="s">
        <v>135</v>
      </c>
      <c r="BX2212" t="str">
        <f>"Must be eligible to obtain certification such as CIPP, CIPT, CISA, CISM, CISSP, CRISC, PMP, or similar within 1 year of hire."</f>
        <v>Must be eligible to obtain certification such as CIPP, CIPT, CISA, CISM, CISSP, CRISC, PMP, or similar within 1 year of hire.</v>
      </c>
      <c r="BY2212" t="str">
        <f>""</f>
        <v/>
      </c>
      <c r="BZ2212" t="str">
        <f>""</f>
        <v/>
      </c>
      <c r="CA2212" t="s">
        <v>8771</v>
      </c>
      <c r="CB2212" t="s">
        <v>135</v>
      </c>
      <c r="CC2212" t="s">
        <v>188</v>
      </c>
      <c r="CE2212" t="s">
        <v>8770</v>
      </c>
      <c r="CF2212" t="s">
        <v>131</v>
      </c>
      <c r="CH2212" t="str">
        <f>"N/A"</f>
        <v>N/A</v>
      </c>
      <c r="CI2212" t="s">
        <v>135</v>
      </c>
      <c r="CJ2212">
        <v>48</v>
      </c>
      <c r="CK2212" t="s">
        <v>135</v>
      </c>
      <c r="CL2212" t="str">
        <f>"Must be eligible to obtain certification such as CIPP, CIPT, CISA, CISM, CISSP, CRISC, PMP, or similar within 1 year of hire."</f>
        <v>Must be eligible to obtain certification such as CIPP, CIPT, CISA, CISM, CISSP, CRISC, PMP, or similar within 1 year of hire.</v>
      </c>
      <c r="CM2212" t="str">
        <f>""</f>
        <v/>
      </c>
      <c r="CN2212" t="str">
        <f>""</f>
        <v/>
      </c>
      <c r="CO2212" t="s">
        <v>18341</v>
      </c>
      <c r="CP2212" t="str">
        <f>"15-1122.00"</f>
        <v>15-1122.00</v>
      </c>
      <c r="CQ2212" t="s">
        <v>711</v>
      </c>
      <c r="CR2212" t="s">
        <v>18342</v>
      </c>
      <c r="CS2212" t="s">
        <v>135</v>
      </c>
      <c r="CT2212" t="s">
        <v>8772</v>
      </c>
      <c r="CU2212" t="s">
        <v>4069</v>
      </c>
      <c r="CW2212" t="s">
        <v>494</v>
      </c>
      <c r="CX2212" t="s">
        <v>129</v>
      </c>
      <c r="CZ2212" s="3" t="str">
        <f>"10036"</f>
        <v>10036</v>
      </c>
      <c r="DA2212" t="s">
        <v>131</v>
      </c>
      <c r="DB2212" t="str">
        <f>""</f>
        <v/>
      </c>
      <c r="DF2212" t="str">
        <f>""</f>
        <v/>
      </c>
    </row>
    <row r="2213" spans="1:110" ht="15" customHeight="1" x14ac:dyDescent="0.35">
      <c r="A2213" t="s">
        <v>14913</v>
      </c>
      <c r="B2213" t="s">
        <v>138</v>
      </c>
      <c r="C2213" s="1">
        <v>44377</v>
      </c>
      <c r="G2213" s="1">
        <v>44377</v>
      </c>
      <c r="H2213" t="s">
        <v>125</v>
      </c>
      <c r="I2213" t="s">
        <v>14914</v>
      </c>
      <c r="J2213" t="s">
        <v>6317</v>
      </c>
      <c r="L2213" t="s">
        <v>11093</v>
      </c>
      <c r="M2213" t="s">
        <v>3207</v>
      </c>
      <c r="N2213" t="s">
        <v>656</v>
      </c>
      <c r="O2213" t="s">
        <v>262</v>
      </c>
      <c r="P2213" t="s">
        <v>539</v>
      </c>
      <c r="Q2213" s="3">
        <v>60654</v>
      </c>
      <c r="R2213" t="s">
        <v>128</v>
      </c>
      <c r="T2213" s="4">
        <v>13122292891</v>
      </c>
      <c r="V2213" t="s">
        <v>6318</v>
      </c>
      <c r="W2213" t="s">
        <v>11094</v>
      </c>
      <c r="Y2213" t="s">
        <v>3207</v>
      </c>
      <c r="Z2213" t="s">
        <v>656</v>
      </c>
      <c r="AA2213" t="s">
        <v>262</v>
      </c>
      <c r="AB2213" t="s">
        <v>263</v>
      </c>
      <c r="AC2213" s="3" t="str">
        <f>"60654"</f>
        <v>60654</v>
      </c>
      <c r="AD2213" t="s">
        <v>128</v>
      </c>
      <c r="AF2213" s="4">
        <v>13122224636</v>
      </c>
      <c r="AH2213" t="str">
        <f>"51121"</f>
        <v>51121</v>
      </c>
      <c r="AI2213" t="s">
        <v>130</v>
      </c>
      <c r="AJ2213" t="s">
        <v>8239</v>
      </c>
      <c r="AK2213" t="s">
        <v>3993</v>
      </c>
      <c r="AL2213" t="s">
        <v>1198</v>
      </c>
      <c r="AM2213" t="s">
        <v>11095</v>
      </c>
      <c r="AO2213" t="s">
        <v>262</v>
      </c>
      <c r="AP2213" t="s">
        <v>263</v>
      </c>
      <c r="AQ2213" s="5">
        <v>60604</v>
      </c>
      <c r="AR2213" t="s">
        <v>128</v>
      </c>
      <c r="AT2213" s="4">
        <v>13123419730</v>
      </c>
      <c r="AV2213" t="s">
        <v>3790</v>
      </c>
      <c r="AW2213" t="s">
        <v>3791</v>
      </c>
      <c r="AX2213" t="s">
        <v>131</v>
      </c>
      <c r="AY2213" t="s">
        <v>131</v>
      </c>
      <c r="AZ2213" t="s">
        <v>131</v>
      </c>
      <c r="BA2213" t="s">
        <v>131</v>
      </c>
      <c r="BB2213" t="s">
        <v>131</v>
      </c>
      <c r="BC2213" t="s">
        <v>131</v>
      </c>
      <c r="BD2213" t="s">
        <v>131</v>
      </c>
      <c r="BE2213" t="s">
        <v>132</v>
      </c>
      <c r="BH2213" t="s">
        <v>2256</v>
      </c>
      <c r="BI2213" t="s">
        <v>131</v>
      </c>
      <c r="BL2213" t="s">
        <v>188</v>
      </c>
      <c r="BN2213" t="s">
        <v>11789</v>
      </c>
      <c r="BO2213" t="s">
        <v>131</v>
      </c>
      <c r="BP2213" t="s">
        <v>134</v>
      </c>
      <c r="BQ2213" t="s">
        <v>131</v>
      </c>
      <c r="BS2213" t="str">
        <f t="shared" si="132"/>
        <v>N/A</v>
      </c>
      <c r="BT2213" t="s">
        <v>135</v>
      </c>
      <c r="BU2213">
        <v>24</v>
      </c>
      <c r="BV2213" t="str">
        <f>"job offered or with software development "</f>
        <v xml:space="preserve">job offered or with software development </v>
      </c>
      <c r="BW2213" t="s">
        <v>135</v>
      </c>
      <c r="BX2213" t="str">
        <f>""</f>
        <v/>
      </c>
      <c r="BY2213" t="str">
        <f>""</f>
        <v/>
      </c>
      <c r="BZ2213" t="str">
        <f>""</f>
        <v/>
      </c>
      <c r="CA2213" t="str">
        <f>"Required Skills:  software application development experience with Java, J2EE, SOAP, Spring, Agile, TDD, Git, Maven, developing database structure, RDS, Docker, Springboot, Tomcat.
"</f>
        <v xml:space="preserve">Required Skills:  software application development experience with Java, J2EE, SOAP, Spring, Agile, TDD, Git, Maven, developing database structure, RDS, Docker, Springboot, Tomcat.
</v>
      </c>
      <c r="CB2213" t="s">
        <v>135</v>
      </c>
      <c r="CC2213" t="s">
        <v>133</v>
      </c>
      <c r="CE2213" t="s">
        <v>11096</v>
      </c>
      <c r="CF2213" t="s">
        <v>131</v>
      </c>
      <c r="CH2213" t="str">
        <f>"N/A"</f>
        <v>N/A</v>
      </c>
      <c r="CI2213" t="s">
        <v>135</v>
      </c>
      <c r="CJ2213">
        <v>60</v>
      </c>
      <c r="CK2213" t="s">
        <v>135</v>
      </c>
      <c r="CL2213" t="str">
        <f>""</f>
        <v/>
      </c>
      <c r="CM2213" t="str">
        <f>""</f>
        <v/>
      </c>
      <c r="CN2213" t="str">
        <f>""</f>
        <v/>
      </c>
      <c r="CO2213" t="str">
        <f>"Same as section F.b.5.a. "</f>
        <v xml:space="preserve">Same as section F.b.5.a. </v>
      </c>
      <c r="CP2213" t="str">
        <f>"15-1132.00"</f>
        <v>15-1132.00</v>
      </c>
      <c r="CQ2213" t="s">
        <v>198</v>
      </c>
      <c r="CS2213" t="s">
        <v>131</v>
      </c>
      <c r="CU2213" t="s">
        <v>7577</v>
      </c>
      <c r="CV2213" t="s">
        <v>656</v>
      </c>
      <c r="CW2213" t="s">
        <v>262</v>
      </c>
      <c r="CX2213" t="s">
        <v>263</v>
      </c>
      <c r="CZ2213" s="3" t="str">
        <f>"60654"</f>
        <v>60654</v>
      </c>
      <c r="DA2213" t="s">
        <v>131</v>
      </c>
      <c r="DB2213" t="str">
        <f>""</f>
        <v/>
      </c>
      <c r="DF2213" t="str">
        <f>""</f>
        <v/>
      </c>
    </row>
    <row r="2214" spans="1:110" ht="15" customHeight="1" x14ac:dyDescent="0.35">
      <c r="A2214" t="s">
        <v>11092</v>
      </c>
      <c r="B2214" t="s">
        <v>138</v>
      </c>
      <c r="C2214" s="1">
        <v>44377</v>
      </c>
      <c r="G2214" s="1">
        <v>44377</v>
      </c>
      <c r="H2214" t="s">
        <v>125</v>
      </c>
      <c r="I2214" t="s">
        <v>6316</v>
      </c>
      <c r="J2214" t="s">
        <v>6317</v>
      </c>
      <c r="L2214" t="s">
        <v>11093</v>
      </c>
      <c r="M2214" t="s">
        <v>3207</v>
      </c>
      <c r="N2214" t="s">
        <v>656</v>
      </c>
      <c r="O2214" t="s">
        <v>262</v>
      </c>
      <c r="P2214" t="s">
        <v>539</v>
      </c>
      <c r="Q2214" s="3">
        <v>60654</v>
      </c>
      <c r="R2214" t="s">
        <v>128</v>
      </c>
      <c r="T2214" s="4">
        <v>13122292891</v>
      </c>
      <c r="V2214" t="s">
        <v>6318</v>
      </c>
      <c r="W2214" t="s">
        <v>11094</v>
      </c>
      <c r="Y2214" t="s">
        <v>3207</v>
      </c>
      <c r="Z2214" t="s">
        <v>656</v>
      </c>
      <c r="AA2214" t="s">
        <v>262</v>
      </c>
      <c r="AB2214" t="s">
        <v>263</v>
      </c>
      <c r="AC2214" s="3" t="str">
        <f>"60654"</f>
        <v>60654</v>
      </c>
      <c r="AD2214" t="s">
        <v>128</v>
      </c>
      <c r="AF2214" s="4">
        <v>13122224636</v>
      </c>
      <c r="AH2214" t="str">
        <f>"51121"</f>
        <v>51121</v>
      </c>
      <c r="AI2214" t="s">
        <v>130</v>
      </c>
      <c r="AJ2214" t="s">
        <v>8239</v>
      </c>
      <c r="AK2214" t="s">
        <v>3993</v>
      </c>
      <c r="AL2214" t="s">
        <v>1198</v>
      </c>
      <c r="AM2214" t="s">
        <v>11095</v>
      </c>
      <c r="AO2214" t="s">
        <v>262</v>
      </c>
      <c r="AP2214" t="s">
        <v>263</v>
      </c>
      <c r="AQ2214" s="5">
        <v>60604</v>
      </c>
      <c r="AR2214" t="s">
        <v>128</v>
      </c>
      <c r="AT2214" s="4">
        <v>13123419730</v>
      </c>
      <c r="AV2214" t="s">
        <v>3790</v>
      </c>
      <c r="AW2214" t="s">
        <v>3791</v>
      </c>
      <c r="AX2214" t="s">
        <v>131</v>
      </c>
      <c r="AY2214" t="s">
        <v>131</v>
      </c>
      <c r="AZ2214" t="s">
        <v>131</v>
      </c>
      <c r="BA2214" t="s">
        <v>131</v>
      </c>
      <c r="BB2214" t="s">
        <v>131</v>
      </c>
      <c r="BC2214" t="s">
        <v>131</v>
      </c>
      <c r="BD2214" t="s">
        <v>131</v>
      </c>
      <c r="BE2214" t="s">
        <v>132</v>
      </c>
      <c r="BH2214" t="s">
        <v>2256</v>
      </c>
      <c r="BI2214" t="s">
        <v>131</v>
      </c>
      <c r="BL2214" t="s">
        <v>133</v>
      </c>
      <c r="BN2214" t="s">
        <v>11096</v>
      </c>
      <c r="BO2214" t="s">
        <v>131</v>
      </c>
      <c r="BP2214" t="s">
        <v>134</v>
      </c>
      <c r="BQ2214" t="s">
        <v>131</v>
      </c>
      <c r="BS2214" t="str">
        <f t="shared" si="132"/>
        <v>N/A</v>
      </c>
      <c r="BT2214" t="s">
        <v>135</v>
      </c>
      <c r="BU2214">
        <v>36</v>
      </c>
      <c r="BV2214" t="str">
        <f>"job offered or with software development "</f>
        <v xml:space="preserve">job offered or with software development </v>
      </c>
      <c r="BW2214" t="s">
        <v>135</v>
      </c>
      <c r="BX2214" t="str">
        <f>""</f>
        <v/>
      </c>
      <c r="BY2214" t="str">
        <f>""</f>
        <v/>
      </c>
      <c r="BZ2214" t="str">
        <f>""</f>
        <v/>
      </c>
      <c r="CA2214" t="str">
        <f>"Required Skills:  software application development experience with Java, J2EE, SOAP, Spring, Agile, TDD, Git, Maven, developing database structure, RDS, Docker, Springboot, Tomcat."</f>
        <v>Required Skills:  software application development experience with Java, J2EE, SOAP, Spring, Agile, TDD, Git, Maven, developing database structure, RDS, Docker, Springboot, Tomcat.</v>
      </c>
      <c r="CB2214" t="s">
        <v>131</v>
      </c>
      <c r="CF2214" t="s">
        <v>131</v>
      </c>
      <c r="CH2214" t="str">
        <f>""</f>
        <v/>
      </c>
      <c r="CI2214" t="s">
        <v>131</v>
      </c>
      <c r="CK2214" t="s">
        <v>131</v>
      </c>
      <c r="CL2214" t="str">
        <f>""</f>
        <v/>
      </c>
      <c r="CM2214" t="str">
        <f>""</f>
        <v/>
      </c>
      <c r="CN2214" t="str">
        <f>""</f>
        <v/>
      </c>
      <c r="CO2214" t="str">
        <f>""</f>
        <v/>
      </c>
      <c r="CP2214" t="str">
        <f>"15-1132.00"</f>
        <v>15-1132.00</v>
      </c>
      <c r="CQ2214" t="s">
        <v>198</v>
      </c>
      <c r="CS2214" t="s">
        <v>131</v>
      </c>
      <c r="CU2214" t="s">
        <v>7577</v>
      </c>
      <c r="CV2214" t="s">
        <v>656</v>
      </c>
      <c r="CW2214" t="s">
        <v>262</v>
      </c>
      <c r="CX2214" t="s">
        <v>263</v>
      </c>
      <c r="CZ2214" s="3" t="str">
        <f>"60654"</f>
        <v>60654</v>
      </c>
      <c r="DA2214" t="s">
        <v>131</v>
      </c>
      <c r="DB2214" t="str">
        <f>""</f>
        <v/>
      </c>
      <c r="DF2214" t="str">
        <f>""</f>
        <v/>
      </c>
    </row>
    <row r="2215" spans="1:110" ht="15" customHeight="1" x14ac:dyDescent="0.35">
      <c r="A2215" t="s">
        <v>13281</v>
      </c>
      <c r="B2215" t="s">
        <v>138</v>
      </c>
      <c r="C2215" s="1">
        <v>44377</v>
      </c>
      <c r="G2215" s="1">
        <v>44377</v>
      </c>
      <c r="H2215" t="s">
        <v>125</v>
      </c>
      <c r="I2215" t="s">
        <v>1448</v>
      </c>
      <c r="J2215" t="s">
        <v>11376</v>
      </c>
      <c r="L2215" t="s">
        <v>587</v>
      </c>
      <c r="M2215" t="s">
        <v>11377</v>
      </c>
      <c r="O2215" t="s">
        <v>2539</v>
      </c>
      <c r="P2215" t="s">
        <v>593</v>
      </c>
      <c r="Q2215" s="3">
        <v>27709</v>
      </c>
      <c r="R2215" t="s">
        <v>128</v>
      </c>
      <c r="T2215" s="4">
        <v>19842137300</v>
      </c>
      <c r="V2215" t="s">
        <v>11378</v>
      </c>
      <c r="W2215" t="s">
        <v>11379</v>
      </c>
      <c r="Y2215" t="s">
        <v>11377</v>
      </c>
      <c r="AA2215" t="s">
        <v>2539</v>
      </c>
      <c r="AB2215" t="s">
        <v>594</v>
      </c>
      <c r="AC2215" s="3" t="str">
        <f>"27709"</f>
        <v>27709</v>
      </c>
      <c r="AD2215" t="s">
        <v>128</v>
      </c>
      <c r="AF2215" s="4">
        <v>19842137300</v>
      </c>
      <c r="AH2215" t="str">
        <f>"54171"</f>
        <v>54171</v>
      </c>
      <c r="AI2215" t="s">
        <v>130</v>
      </c>
      <c r="AJ2215" t="s">
        <v>4910</v>
      </c>
      <c r="AK2215" t="s">
        <v>4911</v>
      </c>
      <c r="AM2215" t="s">
        <v>4912</v>
      </c>
      <c r="AO2215" t="s">
        <v>1034</v>
      </c>
      <c r="AP2215" t="s">
        <v>594</v>
      </c>
      <c r="AQ2215" s="5">
        <v>27602</v>
      </c>
      <c r="AR2215" t="s">
        <v>128</v>
      </c>
      <c r="AT2215" s="4">
        <v>19198330840</v>
      </c>
      <c r="AU2215">
        <v>28</v>
      </c>
      <c r="AV2215" t="s">
        <v>4913</v>
      </c>
      <c r="AW2215" t="s">
        <v>4914</v>
      </c>
      <c r="AX2215" t="s">
        <v>131</v>
      </c>
      <c r="AY2215" t="s">
        <v>131</v>
      </c>
      <c r="AZ2215" t="s">
        <v>131</v>
      </c>
      <c r="BA2215" t="s">
        <v>131</v>
      </c>
      <c r="BB2215" t="s">
        <v>131</v>
      </c>
      <c r="BC2215" t="s">
        <v>131</v>
      </c>
      <c r="BD2215" t="s">
        <v>131</v>
      </c>
      <c r="BE2215" t="s">
        <v>132</v>
      </c>
      <c r="BH2215" t="s">
        <v>13282</v>
      </c>
      <c r="BI2215" t="s">
        <v>135</v>
      </c>
      <c r="BJ2215" t="s">
        <v>7232</v>
      </c>
      <c r="BK2215" t="s">
        <v>1296</v>
      </c>
      <c r="BL2215" t="s">
        <v>188</v>
      </c>
      <c r="BN2215" t="s">
        <v>13283</v>
      </c>
      <c r="BO2215" t="s">
        <v>131</v>
      </c>
      <c r="BP2215" t="s">
        <v>134</v>
      </c>
      <c r="BQ2215" t="s">
        <v>131</v>
      </c>
      <c r="BS2215" t="str">
        <f t="shared" si="132"/>
        <v>N/A</v>
      </c>
      <c r="BT2215" t="s">
        <v>135</v>
      </c>
      <c r="BU2215">
        <v>60</v>
      </c>
      <c r="BV2215" t="str">
        <f>"Related proj. leadership pos. that manages/consults on lrg scale/cross fnctl proj. within the pharma. industry.   1 yr of exp. (out of the 5) must be in a similar executive leadership role."</f>
        <v>Related proj. leadership pos. that manages/consults on lrg scale/cross fnctl proj. within the pharma. industry.   1 yr of exp. (out of the 5) must be in a similar executive leadership role.</v>
      </c>
      <c r="BW2215" t="s">
        <v>135</v>
      </c>
      <c r="BX2215" t="str">
        <f>""</f>
        <v/>
      </c>
      <c r="BY2215" t="str">
        <f>""</f>
        <v/>
      </c>
      <c r="BZ2215" t="str">
        <f>""</f>
        <v/>
      </c>
      <c r="CA2215" s="2" t="s">
        <v>13284</v>
      </c>
      <c r="CB2215" t="s">
        <v>131</v>
      </c>
      <c r="CF2215" t="s">
        <v>131</v>
      </c>
      <c r="CH2215" t="str">
        <f>""</f>
        <v/>
      </c>
      <c r="CI2215" t="s">
        <v>131</v>
      </c>
      <c r="CK2215" t="s">
        <v>131</v>
      </c>
      <c r="CL2215" t="str">
        <f>""</f>
        <v/>
      </c>
      <c r="CM2215" t="str">
        <f>""</f>
        <v/>
      </c>
      <c r="CN2215" t="str">
        <f>""</f>
        <v/>
      </c>
      <c r="CO2215" t="str">
        <f>""</f>
        <v/>
      </c>
      <c r="CP2215" t="str">
        <f>"11-1011.00"</f>
        <v>11-1011.00</v>
      </c>
      <c r="CQ2215" t="s">
        <v>2235</v>
      </c>
      <c r="CR2215" t="s">
        <v>11383</v>
      </c>
      <c r="CS2215" t="s">
        <v>135</v>
      </c>
      <c r="CT2215" t="s">
        <v>11384</v>
      </c>
      <c r="CU2215" t="s">
        <v>11377</v>
      </c>
      <c r="CW2215" t="s">
        <v>2539</v>
      </c>
      <c r="CX2215" t="s">
        <v>594</v>
      </c>
      <c r="CZ2215" s="3" t="str">
        <f>"27709"</f>
        <v>27709</v>
      </c>
      <c r="DA2215" t="s">
        <v>131</v>
      </c>
      <c r="DB2215" t="str">
        <f>""</f>
        <v/>
      </c>
      <c r="DF2215" t="str">
        <f>""</f>
        <v/>
      </c>
    </row>
    <row r="2216" spans="1:110" ht="15" customHeight="1" x14ac:dyDescent="0.35">
      <c r="A2216" t="s">
        <v>13942</v>
      </c>
      <c r="B2216" t="s">
        <v>138</v>
      </c>
      <c r="C2216" s="1">
        <v>44377</v>
      </c>
      <c r="G2216" s="1">
        <v>44377</v>
      </c>
      <c r="H2216" t="s">
        <v>125</v>
      </c>
      <c r="I2216" t="s">
        <v>8983</v>
      </c>
      <c r="J2216" t="s">
        <v>313</v>
      </c>
      <c r="L2216" t="s">
        <v>303</v>
      </c>
      <c r="M2216" t="s">
        <v>8984</v>
      </c>
      <c r="O2216" t="s">
        <v>3577</v>
      </c>
      <c r="P2216" t="s">
        <v>467</v>
      </c>
      <c r="Q2216" s="3">
        <v>80231</v>
      </c>
      <c r="R2216" t="s">
        <v>128</v>
      </c>
      <c r="T2216" s="4">
        <v>13035848252</v>
      </c>
      <c r="V2216" t="s">
        <v>8985</v>
      </c>
      <c r="W2216" t="s">
        <v>8986</v>
      </c>
      <c r="Y2216" t="s">
        <v>8987</v>
      </c>
      <c r="AA2216" t="s">
        <v>8479</v>
      </c>
      <c r="AB2216" t="s">
        <v>1551</v>
      </c>
      <c r="AC2216" s="3" t="str">
        <f>"67208"</f>
        <v>67208</v>
      </c>
      <c r="AD2216" t="s">
        <v>128</v>
      </c>
      <c r="AF2216" s="4">
        <v>13166825544</v>
      </c>
      <c r="AH2216" t="str">
        <f>"621111"</f>
        <v>621111</v>
      </c>
      <c r="AI2216" t="s">
        <v>130</v>
      </c>
      <c r="AJ2216" t="s">
        <v>2449</v>
      </c>
      <c r="AK2216" t="s">
        <v>238</v>
      </c>
      <c r="AL2216" t="s">
        <v>589</v>
      </c>
      <c r="AM2216" t="s">
        <v>685</v>
      </c>
      <c r="AN2216" t="s">
        <v>686</v>
      </c>
      <c r="AO2216" t="s">
        <v>687</v>
      </c>
      <c r="AP2216" t="s">
        <v>444</v>
      </c>
      <c r="AQ2216" s="5">
        <v>45202</v>
      </c>
      <c r="AR2216" t="s">
        <v>128</v>
      </c>
      <c r="AS2216" t="s">
        <v>441</v>
      </c>
      <c r="AT2216" s="4">
        <v>15132876856</v>
      </c>
      <c r="AU2216" t="s">
        <v>734</v>
      </c>
      <c r="AV2216" t="s">
        <v>8988</v>
      </c>
      <c r="AW2216" t="s">
        <v>824</v>
      </c>
      <c r="AX2216" t="s">
        <v>131</v>
      </c>
      <c r="AY2216" t="s">
        <v>131</v>
      </c>
      <c r="AZ2216" t="s">
        <v>131</v>
      </c>
      <c r="BA2216" t="s">
        <v>131</v>
      </c>
      <c r="BB2216" t="s">
        <v>131</v>
      </c>
      <c r="BC2216" t="s">
        <v>131</v>
      </c>
      <c r="BD2216" t="s">
        <v>131</v>
      </c>
      <c r="BE2216" t="s">
        <v>132</v>
      </c>
      <c r="BH2216" t="s">
        <v>13943</v>
      </c>
      <c r="BI2216" t="s">
        <v>131</v>
      </c>
      <c r="BL2216" t="s">
        <v>658</v>
      </c>
      <c r="BM2216" t="s">
        <v>13944</v>
      </c>
      <c r="BN2216" t="s">
        <v>8989</v>
      </c>
      <c r="BO2216" t="s">
        <v>131</v>
      </c>
      <c r="BP2216" t="s">
        <v>134</v>
      </c>
      <c r="BQ2216" t="s">
        <v>135</v>
      </c>
      <c r="BR2216">
        <v>36</v>
      </c>
      <c r="BS2216" t="str">
        <f>"Neurology Residency"</f>
        <v>Neurology Residency</v>
      </c>
      <c r="BT2216" t="s">
        <v>135</v>
      </c>
      <c r="BU2216">
        <v>36</v>
      </c>
      <c r="BV2216" t="str">
        <f>"Vascular Neurology"</f>
        <v>Vascular Neurology</v>
      </c>
      <c r="BW2216" t="s">
        <v>135</v>
      </c>
      <c r="BX2216" t="str">
        <f>""</f>
        <v/>
      </c>
      <c r="BY2216" t="str">
        <f>""</f>
        <v/>
      </c>
      <c r="BZ2216" t="str">
        <f>""</f>
        <v/>
      </c>
      <c r="CA2216" t="s">
        <v>13945</v>
      </c>
      <c r="CB2216" t="s">
        <v>131</v>
      </c>
      <c r="CF2216" t="s">
        <v>131</v>
      </c>
      <c r="CH2216" t="str">
        <f>""</f>
        <v/>
      </c>
      <c r="CI2216" t="s">
        <v>131</v>
      </c>
      <c r="CK2216" t="s">
        <v>131</v>
      </c>
      <c r="CL2216" t="str">
        <f>""</f>
        <v/>
      </c>
      <c r="CM2216" t="str">
        <f>""</f>
        <v/>
      </c>
      <c r="CN2216" t="str">
        <f>""</f>
        <v/>
      </c>
      <c r="CO2216" t="str">
        <f>""</f>
        <v/>
      </c>
      <c r="CP2216" t="str">
        <f>"29-1069.04"</f>
        <v>29-1069.04</v>
      </c>
      <c r="CQ2216" t="s">
        <v>4406</v>
      </c>
      <c r="CS2216" t="s">
        <v>131</v>
      </c>
      <c r="CU2216" t="s">
        <v>8990</v>
      </c>
      <c r="CW2216" t="s">
        <v>8479</v>
      </c>
      <c r="CX2216" t="s">
        <v>1551</v>
      </c>
      <c r="CZ2216" s="3" t="str">
        <f>"67214"</f>
        <v>67214</v>
      </c>
      <c r="DA2216" t="s">
        <v>131</v>
      </c>
      <c r="DB2216" t="str">
        <f>""</f>
        <v/>
      </c>
      <c r="DF2216" t="str">
        <f>""</f>
        <v/>
      </c>
    </row>
    <row r="2217" spans="1:110" ht="15" customHeight="1" x14ac:dyDescent="0.35">
      <c r="A2217" t="s">
        <v>11375</v>
      </c>
      <c r="B2217" t="s">
        <v>138</v>
      </c>
      <c r="C2217" s="1">
        <v>44377</v>
      </c>
      <c r="G2217" s="1">
        <v>44377</v>
      </c>
      <c r="H2217" t="s">
        <v>125</v>
      </c>
      <c r="I2217" t="s">
        <v>1448</v>
      </c>
      <c r="J2217" t="s">
        <v>11376</v>
      </c>
      <c r="L2217" t="s">
        <v>587</v>
      </c>
      <c r="M2217" t="s">
        <v>11377</v>
      </c>
      <c r="O2217" t="s">
        <v>2539</v>
      </c>
      <c r="P2217" t="s">
        <v>593</v>
      </c>
      <c r="Q2217" s="3">
        <v>27709</v>
      </c>
      <c r="R2217" t="s">
        <v>128</v>
      </c>
      <c r="T2217" s="4">
        <v>19842137300</v>
      </c>
      <c r="V2217" t="s">
        <v>11378</v>
      </c>
      <c r="W2217" t="s">
        <v>11379</v>
      </c>
      <c r="Y2217" t="s">
        <v>11377</v>
      </c>
      <c r="AA2217" t="s">
        <v>2539</v>
      </c>
      <c r="AB2217" t="s">
        <v>594</v>
      </c>
      <c r="AC2217" s="3" t="str">
        <f>"27709"</f>
        <v>27709</v>
      </c>
      <c r="AD2217" t="s">
        <v>128</v>
      </c>
      <c r="AF2217" s="4">
        <v>19842137300</v>
      </c>
      <c r="AH2217" t="str">
        <f>"54171"</f>
        <v>54171</v>
      </c>
      <c r="AI2217" t="s">
        <v>130</v>
      </c>
      <c r="AJ2217" t="s">
        <v>4910</v>
      </c>
      <c r="AK2217" t="s">
        <v>4911</v>
      </c>
      <c r="AM2217" t="s">
        <v>4912</v>
      </c>
      <c r="AO2217" t="s">
        <v>1034</v>
      </c>
      <c r="AP2217" t="s">
        <v>594</v>
      </c>
      <c r="AQ2217" s="5">
        <v>27602</v>
      </c>
      <c r="AR2217" t="s">
        <v>128</v>
      </c>
      <c r="AT2217" s="4">
        <v>19198330840</v>
      </c>
      <c r="AU2217">
        <v>28</v>
      </c>
      <c r="AV2217" t="s">
        <v>4913</v>
      </c>
      <c r="AW2217" t="s">
        <v>4914</v>
      </c>
      <c r="AX2217" t="s">
        <v>131</v>
      </c>
      <c r="AY2217" t="s">
        <v>131</v>
      </c>
      <c r="AZ2217" t="s">
        <v>131</v>
      </c>
      <c r="BA2217" t="s">
        <v>131</v>
      </c>
      <c r="BB2217" t="s">
        <v>131</v>
      </c>
      <c r="BC2217" t="s">
        <v>131</v>
      </c>
      <c r="BD2217" t="s">
        <v>131</v>
      </c>
      <c r="BE2217" t="s">
        <v>132</v>
      </c>
      <c r="BH2217" t="s">
        <v>11380</v>
      </c>
      <c r="BI2217" t="s">
        <v>135</v>
      </c>
      <c r="BJ2217" t="s">
        <v>7232</v>
      </c>
      <c r="BK2217" t="s">
        <v>1296</v>
      </c>
      <c r="BL2217" t="s">
        <v>188</v>
      </c>
      <c r="BN2217" t="s">
        <v>11381</v>
      </c>
      <c r="BO2217" t="s">
        <v>131</v>
      </c>
      <c r="BP2217" t="s">
        <v>134</v>
      </c>
      <c r="BQ2217" t="s">
        <v>131</v>
      </c>
      <c r="BS2217" t="str">
        <f t="shared" ref="BS2217:BS2233" si="133">"N/A"</f>
        <v>N/A</v>
      </c>
      <c r="BT2217" t="s">
        <v>135</v>
      </c>
      <c r="BU2217">
        <v>60</v>
      </c>
      <c r="BV2217" t="str">
        <f>"Rltd proj. leadership pos. that manages/consults on lrg scale/cross fnctl pjcts within the pharma industry.  1 yr of exp. (out of the 5), must be in a similar executive leadership role.     "</f>
        <v xml:space="preserve">Rltd proj. leadership pos. that manages/consults on lrg scale/cross fnctl pjcts within the pharma industry.  1 yr of exp. (out of the 5), must be in a similar executive leadership role.     </v>
      </c>
      <c r="BW2217" t="s">
        <v>135</v>
      </c>
      <c r="BX2217" t="str">
        <f>""</f>
        <v/>
      </c>
      <c r="BY2217" t="str">
        <f>""</f>
        <v/>
      </c>
      <c r="BZ2217" t="str">
        <f>""</f>
        <v/>
      </c>
      <c r="CA2217" s="2" t="s">
        <v>11382</v>
      </c>
      <c r="CB2217" t="s">
        <v>131</v>
      </c>
      <c r="CF2217" t="s">
        <v>131</v>
      </c>
      <c r="CH2217" t="str">
        <f>""</f>
        <v/>
      </c>
      <c r="CI2217" t="s">
        <v>131</v>
      </c>
      <c r="CK2217" t="s">
        <v>131</v>
      </c>
      <c r="CL2217" t="str">
        <f>""</f>
        <v/>
      </c>
      <c r="CM2217" t="str">
        <f>""</f>
        <v/>
      </c>
      <c r="CN2217" t="str">
        <f>""</f>
        <v/>
      </c>
      <c r="CO2217" t="str">
        <f>""</f>
        <v/>
      </c>
      <c r="CP2217" t="str">
        <f>"11-1011.00"</f>
        <v>11-1011.00</v>
      </c>
      <c r="CQ2217" t="s">
        <v>2235</v>
      </c>
      <c r="CR2217" t="s">
        <v>11383</v>
      </c>
      <c r="CS2217" t="s">
        <v>135</v>
      </c>
      <c r="CT2217" t="s">
        <v>11384</v>
      </c>
      <c r="CU2217" t="s">
        <v>11377</v>
      </c>
      <c r="CW2217" t="s">
        <v>2539</v>
      </c>
      <c r="CX2217" t="s">
        <v>594</v>
      </c>
      <c r="CZ2217" s="3" t="str">
        <f>"27709"</f>
        <v>27709</v>
      </c>
      <c r="DA2217" t="s">
        <v>131</v>
      </c>
      <c r="DB2217" t="str">
        <f>""</f>
        <v/>
      </c>
      <c r="DF2217" t="str">
        <f>""</f>
        <v/>
      </c>
    </row>
    <row r="2218" spans="1:110" ht="15" customHeight="1" x14ac:dyDescent="0.35">
      <c r="A2218" t="s">
        <v>6406</v>
      </c>
      <c r="B2218" t="s">
        <v>138</v>
      </c>
      <c r="C2218" s="1">
        <v>44377</v>
      </c>
      <c r="G2218" s="1">
        <v>44377</v>
      </c>
      <c r="H2218" t="s">
        <v>125</v>
      </c>
      <c r="I2218" t="s">
        <v>851</v>
      </c>
      <c r="J2218" t="s">
        <v>852</v>
      </c>
      <c r="L2218" t="s">
        <v>853</v>
      </c>
      <c r="M2218" t="s">
        <v>854</v>
      </c>
      <c r="N2218" t="s">
        <v>855</v>
      </c>
      <c r="O2218" t="s">
        <v>856</v>
      </c>
      <c r="P2218" t="s">
        <v>857</v>
      </c>
      <c r="Q2218" s="3">
        <v>85248</v>
      </c>
      <c r="R2218" t="s">
        <v>128</v>
      </c>
      <c r="T2218" s="4">
        <v>14807154205</v>
      </c>
      <c r="V2218" t="s">
        <v>1508</v>
      </c>
      <c r="W2218" t="s">
        <v>858</v>
      </c>
      <c r="X2218" t="s">
        <v>858</v>
      </c>
      <c r="Y2218" t="s">
        <v>859</v>
      </c>
      <c r="AA2218" t="s">
        <v>650</v>
      </c>
      <c r="AB2218" t="s">
        <v>172</v>
      </c>
      <c r="AC2218" s="3" t="str">
        <f>"95054"</f>
        <v>95054</v>
      </c>
      <c r="AD2218" t="s">
        <v>128</v>
      </c>
      <c r="AE2218" t="s">
        <v>134</v>
      </c>
      <c r="AF2218" s="4">
        <v>14087651681</v>
      </c>
      <c r="AH2218" t="str">
        <f>"3344"</f>
        <v>3344</v>
      </c>
      <c r="AI2218" t="s">
        <v>130</v>
      </c>
      <c r="AJ2218" t="s">
        <v>860</v>
      </c>
      <c r="AK2218" t="s">
        <v>800</v>
      </c>
      <c r="AM2218" t="s">
        <v>861</v>
      </c>
      <c r="AN2218" t="s">
        <v>806</v>
      </c>
      <c r="AO2218" t="s">
        <v>807</v>
      </c>
      <c r="AP2218" t="s">
        <v>808</v>
      </c>
      <c r="AQ2218" s="5">
        <v>85020</v>
      </c>
      <c r="AR2218" t="s">
        <v>128</v>
      </c>
      <c r="AT2218" s="4">
        <v>16022661825</v>
      </c>
      <c r="AV2218" t="s">
        <v>862</v>
      </c>
      <c r="AW2218" t="s">
        <v>548</v>
      </c>
      <c r="AX2218" t="s">
        <v>131</v>
      </c>
      <c r="AY2218" t="s">
        <v>131</v>
      </c>
      <c r="AZ2218" t="s">
        <v>131</v>
      </c>
      <c r="BA2218" t="s">
        <v>131</v>
      </c>
      <c r="BB2218" t="s">
        <v>131</v>
      </c>
      <c r="BC2218" t="s">
        <v>131</v>
      </c>
      <c r="BD2218" t="s">
        <v>131</v>
      </c>
      <c r="BE2218" t="s">
        <v>132</v>
      </c>
      <c r="BH2218" t="s">
        <v>542</v>
      </c>
      <c r="BI2218" t="s">
        <v>131</v>
      </c>
      <c r="BL2218" t="s">
        <v>133</v>
      </c>
      <c r="BN2218" t="s">
        <v>6407</v>
      </c>
      <c r="BO2218" t="s">
        <v>131</v>
      </c>
      <c r="BP2218" t="s">
        <v>134</v>
      </c>
      <c r="BQ2218" t="s">
        <v>131</v>
      </c>
      <c r="BS2218" t="str">
        <f t="shared" si="133"/>
        <v>N/A</v>
      </c>
      <c r="BT2218" t="s">
        <v>135</v>
      </c>
      <c r="BU2218">
        <v>60</v>
      </c>
      <c r="BV2218" t="str">
        <f>"Job Offered or Related "</f>
        <v xml:space="preserve">Job Offered or Related </v>
      </c>
      <c r="BW2218" t="s">
        <v>135</v>
      </c>
      <c r="BX2218" t="str">
        <f>""</f>
        <v/>
      </c>
      <c r="BY2218" t="str">
        <f>""</f>
        <v/>
      </c>
      <c r="BZ2218" t="str">
        <f>""</f>
        <v/>
      </c>
      <c r="CA2218" t="str">
        <f>"C or C++ or C# Programming; Object Oriented Design/Development; Algorithms, Data Structures, and/or Programming Principles; Big Data Analytics; Relational Database Design (SQL); Software Development Engineering"</f>
        <v>C or C++ or C# Programming; Object Oriented Design/Development; Algorithms, Data Structures, and/or Programming Principles; Big Data Analytics; Relational Database Design (SQL); Software Development Engineering</v>
      </c>
      <c r="CB2218" t="s">
        <v>135</v>
      </c>
      <c r="CC2218" t="s">
        <v>188</v>
      </c>
      <c r="CE2218" t="s">
        <v>6407</v>
      </c>
      <c r="CF2218" t="s">
        <v>131</v>
      </c>
      <c r="CH2218" t="str">
        <f>"N/A"</f>
        <v>N/A</v>
      </c>
      <c r="CI2218" t="s">
        <v>135</v>
      </c>
      <c r="CJ2218">
        <v>36</v>
      </c>
      <c r="CK2218" t="s">
        <v>135</v>
      </c>
      <c r="CL2218" t="str">
        <f>""</f>
        <v/>
      </c>
      <c r="CM2218" t="str">
        <f>""</f>
        <v/>
      </c>
      <c r="CN2218" t="str">
        <f>""</f>
        <v/>
      </c>
      <c r="CO2218" t="str">
        <f>"C or C++ or C# Programming; Object Oriented Design/Development; Algorithms, Data Structures, and/or Programming Principles; Big Data Analytics; Relational Database Design (SQL); Software Development Engineering"</f>
        <v>C or C++ or C# Programming; Object Oriented Design/Development; Algorithms, Data Structures, and/or Programming Principles; Big Data Analytics; Relational Database Design (SQL); Software Development Engineering</v>
      </c>
      <c r="CP2218" t="str">
        <f>"15-1133.00"</f>
        <v>15-1133.00</v>
      </c>
      <c r="CQ2218" t="s">
        <v>648</v>
      </c>
      <c r="CR2218" t="s">
        <v>460</v>
      </c>
      <c r="CS2218" t="s">
        <v>131</v>
      </c>
      <c r="CU2218" t="s">
        <v>859</v>
      </c>
      <c r="CW2218" t="s">
        <v>650</v>
      </c>
      <c r="CX2218" t="s">
        <v>172</v>
      </c>
      <c r="CZ2218" s="3" t="str">
        <f>"95054"</f>
        <v>95054</v>
      </c>
      <c r="DA2218" t="s">
        <v>131</v>
      </c>
      <c r="DB2218" t="str">
        <f>""</f>
        <v/>
      </c>
      <c r="DF2218" t="str">
        <f>""</f>
        <v/>
      </c>
    </row>
    <row r="2219" spans="1:110" ht="15" customHeight="1" x14ac:dyDescent="0.35">
      <c r="A2219" t="s">
        <v>16473</v>
      </c>
      <c r="B2219" t="s">
        <v>138</v>
      </c>
      <c r="C2219" s="1">
        <v>44377</v>
      </c>
      <c r="G2219" s="1">
        <v>44377</v>
      </c>
      <c r="H2219" t="s">
        <v>125</v>
      </c>
      <c r="I2219" t="s">
        <v>851</v>
      </c>
      <c r="J2219" t="s">
        <v>852</v>
      </c>
      <c r="L2219" t="s">
        <v>853</v>
      </c>
      <c r="M2219" t="s">
        <v>854</v>
      </c>
      <c r="N2219" t="s">
        <v>855</v>
      </c>
      <c r="O2219" t="s">
        <v>856</v>
      </c>
      <c r="P2219" t="s">
        <v>857</v>
      </c>
      <c r="Q2219" s="3">
        <v>85248</v>
      </c>
      <c r="R2219" t="s">
        <v>128</v>
      </c>
      <c r="T2219" s="4">
        <v>14807154205</v>
      </c>
      <c r="V2219" t="s">
        <v>1508</v>
      </c>
      <c r="W2219" t="s">
        <v>858</v>
      </c>
      <c r="X2219" t="s">
        <v>858</v>
      </c>
      <c r="Y2219" t="s">
        <v>859</v>
      </c>
      <c r="AA2219" t="s">
        <v>650</v>
      </c>
      <c r="AB2219" t="s">
        <v>172</v>
      </c>
      <c r="AC2219" s="3" t="str">
        <f>"95054"</f>
        <v>95054</v>
      </c>
      <c r="AD2219" t="s">
        <v>128</v>
      </c>
      <c r="AE2219" t="s">
        <v>134</v>
      </c>
      <c r="AF2219" s="4">
        <v>14087651681</v>
      </c>
      <c r="AH2219" t="str">
        <f>"3344"</f>
        <v>3344</v>
      </c>
      <c r="AI2219" t="s">
        <v>130</v>
      </c>
      <c r="AJ2219" t="s">
        <v>860</v>
      </c>
      <c r="AK2219" t="s">
        <v>800</v>
      </c>
      <c r="AM2219" t="s">
        <v>861</v>
      </c>
      <c r="AN2219" t="s">
        <v>806</v>
      </c>
      <c r="AO2219" t="s">
        <v>807</v>
      </c>
      <c r="AP2219" t="s">
        <v>808</v>
      </c>
      <c r="AQ2219" s="5">
        <v>85020</v>
      </c>
      <c r="AR2219" t="s">
        <v>128</v>
      </c>
      <c r="AT2219" s="4">
        <v>16022661825</v>
      </c>
      <c r="AV2219" t="s">
        <v>862</v>
      </c>
      <c r="AW2219" t="s">
        <v>548</v>
      </c>
      <c r="AX2219" t="s">
        <v>131</v>
      </c>
      <c r="AY2219" t="s">
        <v>131</v>
      </c>
      <c r="AZ2219" t="s">
        <v>131</v>
      </c>
      <c r="BA2219" t="s">
        <v>131</v>
      </c>
      <c r="BB2219" t="s">
        <v>131</v>
      </c>
      <c r="BC2219" t="s">
        <v>131</v>
      </c>
      <c r="BD2219" t="s">
        <v>131</v>
      </c>
      <c r="BE2219" t="s">
        <v>132</v>
      </c>
      <c r="BH2219" t="s">
        <v>542</v>
      </c>
      <c r="BI2219" t="s">
        <v>131</v>
      </c>
      <c r="BL2219" t="s">
        <v>188</v>
      </c>
      <c r="BN2219" t="s">
        <v>6407</v>
      </c>
      <c r="BO2219" t="s">
        <v>131</v>
      </c>
      <c r="BP2219" t="s">
        <v>134</v>
      </c>
      <c r="BQ2219" t="s">
        <v>131</v>
      </c>
      <c r="BS2219" t="str">
        <f t="shared" si="133"/>
        <v>N/A</v>
      </c>
      <c r="BT2219" t="s">
        <v>135</v>
      </c>
      <c r="BU2219">
        <v>36</v>
      </c>
      <c r="BV2219" t="str">
        <f>"Job Offered or Related "</f>
        <v xml:space="preserve">Job Offered or Related </v>
      </c>
      <c r="BW2219" t="s">
        <v>135</v>
      </c>
      <c r="BX2219" t="str">
        <f>""</f>
        <v/>
      </c>
      <c r="BY2219" t="str">
        <f>""</f>
        <v/>
      </c>
      <c r="BZ2219" t="str">
        <f>""</f>
        <v/>
      </c>
      <c r="CA2219" t="str">
        <f>"C or C++ or C# Programming; Object Oriented Design/Development; Algorithms, Data Structures, and/or Programming Principles; Big Data Analytics; Relational Database Design (SQL); Software Development Engineering"</f>
        <v>C or C++ or C# Programming; Object Oriented Design/Development; Algorithms, Data Structures, and/or Programming Principles; Big Data Analytics; Relational Database Design (SQL); Software Development Engineering</v>
      </c>
      <c r="CB2219" t="s">
        <v>131</v>
      </c>
      <c r="CF2219" t="s">
        <v>131</v>
      </c>
      <c r="CH2219" t="str">
        <f>""</f>
        <v/>
      </c>
      <c r="CI2219" t="s">
        <v>131</v>
      </c>
      <c r="CK2219" t="s">
        <v>131</v>
      </c>
      <c r="CL2219" t="str">
        <f>""</f>
        <v/>
      </c>
      <c r="CM2219" t="str">
        <f>""</f>
        <v/>
      </c>
      <c r="CN2219" t="str">
        <f>""</f>
        <v/>
      </c>
      <c r="CO2219" t="str">
        <f>""</f>
        <v/>
      </c>
      <c r="CP2219" t="str">
        <f>"15-1133.00"</f>
        <v>15-1133.00</v>
      </c>
      <c r="CQ2219" t="s">
        <v>648</v>
      </c>
      <c r="CR2219" t="s">
        <v>460</v>
      </c>
      <c r="CS2219" t="s">
        <v>131</v>
      </c>
      <c r="CU2219" t="s">
        <v>859</v>
      </c>
      <c r="CW2219" t="s">
        <v>650</v>
      </c>
      <c r="CX2219" t="s">
        <v>172</v>
      </c>
      <c r="CZ2219" s="3" t="str">
        <f>"95054"</f>
        <v>95054</v>
      </c>
      <c r="DA2219" t="s">
        <v>131</v>
      </c>
      <c r="DB2219" t="str">
        <f>""</f>
        <v/>
      </c>
      <c r="DF2219" t="str">
        <f>""</f>
        <v/>
      </c>
    </row>
    <row r="2220" spans="1:110" ht="15" customHeight="1" x14ac:dyDescent="0.35">
      <c r="A2220" t="s">
        <v>20072</v>
      </c>
      <c r="B2220" t="s">
        <v>138</v>
      </c>
      <c r="C2220" s="1">
        <v>44377</v>
      </c>
      <c r="G2220" s="1">
        <v>44377</v>
      </c>
      <c r="H2220" t="s">
        <v>125</v>
      </c>
      <c r="I2220" t="s">
        <v>12778</v>
      </c>
      <c r="J2220" t="s">
        <v>12779</v>
      </c>
      <c r="L2220" t="s">
        <v>395</v>
      </c>
      <c r="M2220" t="s">
        <v>12780</v>
      </c>
      <c r="O2220" t="s">
        <v>12781</v>
      </c>
      <c r="P2220" t="s">
        <v>412</v>
      </c>
      <c r="Q2220" s="3">
        <v>77627</v>
      </c>
      <c r="R2220" t="s">
        <v>128</v>
      </c>
      <c r="T2220" s="4">
        <v>14098534100</v>
      </c>
      <c r="V2220" t="s">
        <v>12782</v>
      </c>
      <c r="W2220" t="s">
        <v>12783</v>
      </c>
      <c r="X2220" t="s">
        <v>12784</v>
      </c>
      <c r="Y2220" t="s">
        <v>12780</v>
      </c>
      <c r="AA2220" t="s">
        <v>12781</v>
      </c>
      <c r="AB2220" t="s">
        <v>400</v>
      </c>
      <c r="AC2220" s="3" t="str">
        <f>"77627"</f>
        <v>77627</v>
      </c>
      <c r="AD2220" t="s">
        <v>128</v>
      </c>
      <c r="AF2220" s="4">
        <v>14098534100</v>
      </c>
      <c r="AH2220" t="str">
        <f>"44611"</f>
        <v>44611</v>
      </c>
      <c r="AI2220" t="s">
        <v>130</v>
      </c>
      <c r="AJ2220" t="s">
        <v>4705</v>
      </c>
      <c r="AK2220" t="s">
        <v>4706</v>
      </c>
      <c r="AM2220" t="s">
        <v>4707</v>
      </c>
      <c r="AN2220">
        <v>1810</v>
      </c>
      <c r="AO2220" t="s">
        <v>494</v>
      </c>
      <c r="AP2220" t="s">
        <v>129</v>
      </c>
      <c r="AQ2220" s="5">
        <v>10001</v>
      </c>
      <c r="AR2220" t="s">
        <v>128</v>
      </c>
      <c r="AS2220" t="s">
        <v>129</v>
      </c>
      <c r="AT2220" s="4">
        <v>12125946657</v>
      </c>
      <c r="AV2220" t="s">
        <v>20073</v>
      </c>
      <c r="AW2220" t="s">
        <v>12785</v>
      </c>
      <c r="AX2220" t="s">
        <v>131</v>
      </c>
      <c r="AY2220" t="s">
        <v>131</v>
      </c>
      <c r="AZ2220" t="s">
        <v>131</v>
      </c>
      <c r="BA2220" t="s">
        <v>131</v>
      </c>
      <c r="BB2220" t="s">
        <v>131</v>
      </c>
      <c r="BC2220" t="s">
        <v>131</v>
      </c>
      <c r="BD2220" t="s">
        <v>131</v>
      </c>
      <c r="BE2220" t="s">
        <v>132</v>
      </c>
      <c r="BH2220" t="s">
        <v>20074</v>
      </c>
      <c r="BI2220" t="s">
        <v>131</v>
      </c>
      <c r="BL2220" t="s">
        <v>188</v>
      </c>
      <c r="BN2220" t="s">
        <v>20075</v>
      </c>
      <c r="BO2220" t="s">
        <v>131</v>
      </c>
      <c r="BP2220" t="s">
        <v>134</v>
      </c>
      <c r="BQ2220" t="s">
        <v>131</v>
      </c>
      <c r="BS2220" t="str">
        <f t="shared" si="133"/>
        <v>N/A</v>
      </c>
      <c r="BT2220" t="s">
        <v>135</v>
      </c>
      <c r="BU2220">
        <v>6</v>
      </c>
      <c r="BV2220" t="str">
        <f>"Regulatory and Compliance Analyst"</f>
        <v>Regulatory and Compliance Analyst</v>
      </c>
      <c r="BW2220" t="s">
        <v>135</v>
      </c>
      <c r="BX2220" t="str">
        <f>""</f>
        <v/>
      </c>
      <c r="BY2220" t="str">
        <f>""</f>
        <v/>
      </c>
      <c r="BZ2220" t="str">
        <f>""</f>
        <v/>
      </c>
      <c r="CA2220" t="s">
        <v>20076</v>
      </c>
      <c r="CB2220" t="s">
        <v>135</v>
      </c>
      <c r="CC2220" t="s">
        <v>133</v>
      </c>
      <c r="CE2220" t="s">
        <v>20075</v>
      </c>
      <c r="CF2220" t="s">
        <v>131</v>
      </c>
      <c r="CH2220" t="str">
        <f>"N/A"</f>
        <v>N/A</v>
      </c>
      <c r="CI2220" t="s">
        <v>135</v>
      </c>
      <c r="CJ2220">
        <v>60</v>
      </c>
      <c r="CK2220" t="s">
        <v>135</v>
      </c>
      <c r="CL2220" t="str">
        <f>""</f>
        <v/>
      </c>
      <c r="CM2220" t="str">
        <f>""</f>
        <v/>
      </c>
      <c r="CN2220" t="str">
        <f>""</f>
        <v/>
      </c>
      <c r="CO2220" s="2" t="s">
        <v>20077</v>
      </c>
      <c r="CP2220" t="str">
        <f>"13-1041.00"</f>
        <v>13-1041.00</v>
      </c>
      <c r="CQ2220" t="s">
        <v>3813</v>
      </c>
      <c r="CR2220" t="s">
        <v>12786</v>
      </c>
      <c r="CS2220" t="s">
        <v>131</v>
      </c>
      <c r="CU2220" t="s">
        <v>12780</v>
      </c>
      <c r="CW2220" t="s">
        <v>12781</v>
      </c>
      <c r="CX2220" t="s">
        <v>400</v>
      </c>
      <c r="CZ2220" s="3" t="str">
        <f>"77627"</f>
        <v>77627</v>
      </c>
      <c r="DA2220" t="s">
        <v>131</v>
      </c>
      <c r="DB2220" t="str">
        <f>""</f>
        <v/>
      </c>
      <c r="DF2220" t="str">
        <f>""</f>
        <v/>
      </c>
    </row>
    <row r="2221" spans="1:110" ht="15" customHeight="1" x14ac:dyDescent="0.35">
      <c r="A2221" t="s">
        <v>19481</v>
      </c>
      <c r="B2221" t="s">
        <v>138</v>
      </c>
      <c r="C2221" s="1">
        <v>44377</v>
      </c>
      <c r="G2221" s="1">
        <v>44377</v>
      </c>
      <c r="H2221" t="s">
        <v>125</v>
      </c>
      <c r="I2221" t="s">
        <v>8006</v>
      </c>
      <c r="J2221" t="s">
        <v>804</v>
      </c>
      <c r="K2221" t="s">
        <v>610</v>
      </c>
      <c r="L2221" t="s">
        <v>2375</v>
      </c>
      <c r="M2221" t="s">
        <v>6964</v>
      </c>
      <c r="N2221">
        <v>109</v>
      </c>
      <c r="O2221" t="s">
        <v>6965</v>
      </c>
      <c r="P2221" t="s">
        <v>1217</v>
      </c>
      <c r="Q2221" s="3">
        <v>35209</v>
      </c>
      <c r="R2221" t="s">
        <v>128</v>
      </c>
      <c r="T2221" s="4">
        <v>12058718084</v>
      </c>
      <c r="V2221" t="s">
        <v>8007</v>
      </c>
      <c r="W2221" t="s">
        <v>12876</v>
      </c>
      <c r="X2221" t="s">
        <v>12877</v>
      </c>
      <c r="Y2221" t="s">
        <v>12879</v>
      </c>
      <c r="AA2221" t="s">
        <v>6271</v>
      </c>
      <c r="AB2221" t="s">
        <v>808</v>
      </c>
      <c r="AC2221" s="3" t="str">
        <f>"85206"</f>
        <v>85206</v>
      </c>
      <c r="AD2221" t="s">
        <v>128</v>
      </c>
      <c r="AF2221" s="4">
        <v>14804777105</v>
      </c>
      <c r="AH2221" t="str">
        <f>"62231"</f>
        <v>62231</v>
      </c>
      <c r="AI2221" t="s">
        <v>130</v>
      </c>
      <c r="AJ2221" t="s">
        <v>8008</v>
      </c>
      <c r="AK2221" t="s">
        <v>560</v>
      </c>
      <c r="AL2221" t="s">
        <v>739</v>
      </c>
      <c r="AM2221" t="s">
        <v>12467</v>
      </c>
      <c r="AN2221">
        <v>109</v>
      </c>
      <c r="AO2221" t="s">
        <v>6965</v>
      </c>
      <c r="AP2221" t="s">
        <v>1218</v>
      </c>
      <c r="AQ2221" s="5">
        <v>35209</v>
      </c>
      <c r="AR2221" t="s">
        <v>128</v>
      </c>
      <c r="AT2221" s="4">
        <v>12058718084</v>
      </c>
      <c r="AV2221" t="s">
        <v>8009</v>
      </c>
      <c r="AW2221" t="s">
        <v>19482</v>
      </c>
      <c r="AX2221" t="s">
        <v>131</v>
      </c>
      <c r="AY2221" t="s">
        <v>131</v>
      </c>
      <c r="AZ2221" t="s">
        <v>131</v>
      </c>
      <c r="BA2221" t="s">
        <v>131</v>
      </c>
      <c r="BB2221" t="s">
        <v>131</v>
      </c>
      <c r="BC2221" t="s">
        <v>131</v>
      </c>
      <c r="BD2221" t="s">
        <v>131</v>
      </c>
      <c r="BE2221" t="s">
        <v>132</v>
      </c>
      <c r="BH2221" t="s">
        <v>230</v>
      </c>
      <c r="BI2221" t="s">
        <v>131</v>
      </c>
      <c r="BL2221" t="s">
        <v>307</v>
      </c>
      <c r="BN2221" t="s">
        <v>604</v>
      </c>
      <c r="BO2221" t="s">
        <v>131</v>
      </c>
      <c r="BP2221" t="s">
        <v>134</v>
      </c>
      <c r="BQ2221" t="s">
        <v>131</v>
      </c>
      <c r="BS2221" t="str">
        <f t="shared" si="133"/>
        <v>N/A</v>
      </c>
      <c r="BT2221" t="s">
        <v>131</v>
      </c>
      <c r="BV2221" t="str">
        <f>""</f>
        <v/>
      </c>
      <c r="BW2221" t="s">
        <v>135</v>
      </c>
      <c r="BX2221" t="str">
        <f>""</f>
        <v/>
      </c>
      <c r="BY2221" t="str">
        <f>""</f>
        <v/>
      </c>
      <c r="BZ2221" t="str">
        <f>""</f>
        <v/>
      </c>
      <c r="CA2221" t="str">
        <f>"Must have license in state as a Registered Nurse or have passed NCLEX examination or hold
CGFNS certification."</f>
        <v>Must have license in state as a Registered Nurse or have passed NCLEX examination or hold
CGFNS certification.</v>
      </c>
      <c r="CB2221" t="s">
        <v>131</v>
      </c>
      <c r="CF2221" t="s">
        <v>131</v>
      </c>
      <c r="CH2221" t="str">
        <f>""</f>
        <v/>
      </c>
      <c r="CI2221" t="s">
        <v>131</v>
      </c>
      <c r="CK2221" t="s">
        <v>131</v>
      </c>
      <c r="CL2221" t="str">
        <f>""</f>
        <v/>
      </c>
      <c r="CM2221" t="str">
        <f>""</f>
        <v/>
      </c>
      <c r="CN2221" t="str">
        <f>""</f>
        <v/>
      </c>
      <c r="CO2221" t="str">
        <f>""</f>
        <v/>
      </c>
      <c r="CP2221" t="str">
        <f>"29-1141.00"</f>
        <v>29-1141.00</v>
      </c>
      <c r="CQ2221" t="s">
        <v>232</v>
      </c>
      <c r="CR2221" t="s">
        <v>1037</v>
      </c>
      <c r="CS2221" t="s">
        <v>131</v>
      </c>
      <c r="CU2221" t="s">
        <v>12878</v>
      </c>
      <c r="CW2221" t="s">
        <v>6271</v>
      </c>
      <c r="CX2221" t="s">
        <v>808</v>
      </c>
      <c r="CZ2221" s="3" t="str">
        <f>"85206"</f>
        <v>85206</v>
      </c>
      <c r="DA2221" t="s">
        <v>131</v>
      </c>
      <c r="DB2221" t="str">
        <f>""</f>
        <v/>
      </c>
      <c r="DF2221" t="str">
        <f>""</f>
        <v/>
      </c>
    </row>
    <row r="2222" spans="1:110" ht="15" customHeight="1" x14ac:dyDescent="0.35">
      <c r="A2222" t="s">
        <v>20029</v>
      </c>
      <c r="B2222" t="s">
        <v>138</v>
      </c>
      <c r="C2222" s="1">
        <v>44377</v>
      </c>
      <c r="G2222" s="1">
        <v>44377</v>
      </c>
      <c r="H2222" t="s">
        <v>125</v>
      </c>
      <c r="I2222" t="s">
        <v>2699</v>
      </c>
      <c r="J2222" t="s">
        <v>11062</v>
      </c>
      <c r="L2222" t="s">
        <v>2754</v>
      </c>
      <c r="M2222" t="s">
        <v>11063</v>
      </c>
      <c r="N2222" t="s">
        <v>11064</v>
      </c>
      <c r="O2222" t="s">
        <v>885</v>
      </c>
      <c r="P2222" t="s">
        <v>412</v>
      </c>
      <c r="Q2222" s="3">
        <v>77036</v>
      </c>
      <c r="R2222" t="s">
        <v>128</v>
      </c>
      <c r="T2222" s="4">
        <v>12818867829</v>
      </c>
      <c r="V2222" t="s">
        <v>11065</v>
      </c>
      <c r="W2222" t="s">
        <v>11066</v>
      </c>
      <c r="Y2222" t="s">
        <v>11067</v>
      </c>
      <c r="Z2222" t="s">
        <v>11068</v>
      </c>
      <c r="AA2222" t="s">
        <v>2832</v>
      </c>
      <c r="AB2222" t="s">
        <v>400</v>
      </c>
      <c r="AC2222" s="3" t="str">
        <f>"77036"</f>
        <v>77036</v>
      </c>
      <c r="AD2222" t="s">
        <v>128</v>
      </c>
      <c r="AF2222" s="4">
        <v>12818867829</v>
      </c>
      <c r="AH2222" t="str">
        <f>"54121"</f>
        <v>54121</v>
      </c>
      <c r="AI2222" t="s">
        <v>130</v>
      </c>
      <c r="AJ2222" t="s">
        <v>3165</v>
      </c>
      <c r="AK2222" t="s">
        <v>5395</v>
      </c>
      <c r="AL2222" t="s">
        <v>1198</v>
      </c>
      <c r="AM2222" t="s">
        <v>10005</v>
      </c>
      <c r="AN2222" t="s">
        <v>788</v>
      </c>
      <c r="AO2222" t="s">
        <v>11432</v>
      </c>
      <c r="AP2222" t="s">
        <v>400</v>
      </c>
      <c r="AQ2222" s="5">
        <v>77479</v>
      </c>
      <c r="AR2222" t="s">
        <v>128</v>
      </c>
      <c r="AT2222" s="4">
        <v>12813136100</v>
      </c>
      <c r="AV2222" t="s">
        <v>5396</v>
      </c>
      <c r="AW2222" t="s">
        <v>5397</v>
      </c>
      <c r="AX2222" t="s">
        <v>131</v>
      </c>
      <c r="AY2222" t="s">
        <v>131</v>
      </c>
      <c r="AZ2222" t="s">
        <v>131</v>
      </c>
      <c r="BA2222" t="s">
        <v>131</v>
      </c>
      <c r="BB2222" t="s">
        <v>131</v>
      </c>
      <c r="BC2222" t="s">
        <v>131</v>
      </c>
      <c r="BD2222" t="s">
        <v>131</v>
      </c>
      <c r="BE2222" t="s">
        <v>132</v>
      </c>
      <c r="BH2222" t="s">
        <v>20030</v>
      </c>
      <c r="BI2222" t="s">
        <v>131</v>
      </c>
      <c r="BL2222" t="s">
        <v>133</v>
      </c>
      <c r="BN2222" t="s">
        <v>1781</v>
      </c>
      <c r="BO2222" t="s">
        <v>131</v>
      </c>
      <c r="BP2222" t="s">
        <v>134</v>
      </c>
      <c r="BQ2222" t="s">
        <v>131</v>
      </c>
      <c r="BS2222" t="str">
        <f t="shared" si="133"/>
        <v>N/A</v>
      </c>
      <c r="BT2222" t="s">
        <v>131</v>
      </c>
      <c r="BV2222" t="str">
        <f>""</f>
        <v/>
      </c>
      <c r="BW2222" t="s">
        <v>131</v>
      </c>
      <c r="BX2222" t="str">
        <f>""</f>
        <v/>
      </c>
      <c r="BY2222" t="str">
        <f>""</f>
        <v/>
      </c>
      <c r="BZ2222" t="str">
        <f>""</f>
        <v/>
      </c>
      <c r="CA2222" t="str">
        <f>""</f>
        <v/>
      </c>
      <c r="CB2222" t="s">
        <v>131</v>
      </c>
      <c r="CF2222" t="s">
        <v>131</v>
      </c>
      <c r="CH2222" t="str">
        <f>""</f>
        <v/>
      </c>
      <c r="CI2222" t="s">
        <v>131</v>
      </c>
      <c r="CK2222" t="s">
        <v>131</v>
      </c>
      <c r="CL2222" t="str">
        <f>""</f>
        <v/>
      </c>
      <c r="CM2222" t="str">
        <f>""</f>
        <v/>
      </c>
      <c r="CN2222" t="str">
        <f>""</f>
        <v/>
      </c>
      <c r="CO2222" t="str">
        <f>""</f>
        <v/>
      </c>
      <c r="CP2222" t="str">
        <f>"13-2011.01"</f>
        <v>13-2011.01</v>
      </c>
      <c r="CQ2222" t="s">
        <v>1796</v>
      </c>
      <c r="CS2222" t="s">
        <v>131</v>
      </c>
      <c r="CU2222" t="s">
        <v>11063</v>
      </c>
      <c r="CV2222" t="s">
        <v>11064</v>
      </c>
      <c r="CW2222" t="s">
        <v>885</v>
      </c>
      <c r="CX2222" t="s">
        <v>400</v>
      </c>
      <c r="CZ2222" s="3" t="str">
        <f>"77036"</f>
        <v>77036</v>
      </c>
      <c r="DA2222" t="s">
        <v>131</v>
      </c>
      <c r="DB2222" t="str">
        <f>""</f>
        <v/>
      </c>
      <c r="DF2222" t="str">
        <f>""</f>
        <v/>
      </c>
    </row>
    <row r="2223" spans="1:110" ht="15" customHeight="1" x14ac:dyDescent="0.35">
      <c r="A2223" t="s">
        <v>19125</v>
      </c>
      <c r="B2223" t="s">
        <v>138</v>
      </c>
      <c r="C2223" s="1">
        <v>44377</v>
      </c>
      <c r="G2223" s="1">
        <v>44377</v>
      </c>
      <c r="H2223" t="s">
        <v>125</v>
      </c>
      <c r="I2223" t="s">
        <v>19126</v>
      </c>
      <c r="J2223" t="s">
        <v>19127</v>
      </c>
      <c r="L2223" t="s">
        <v>2754</v>
      </c>
      <c r="M2223" t="s">
        <v>19128</v>
      </c>
      <c r="N2223" t="s">
        <v>19129</v>
      </c>
      <c r="O2223" t="s">
        <v>1040</v>
      </c>
      <c r="P2223" t="s">
        <v>412</v>
      </c>
      <c r="Q2223" s="3">
        <v>78717</v>
      </c>
      <c r="R2223" t="s">
        <v>128</v>
      </c>
      <c r="T2223" s="4">
        <v>15122962270</v>
      </c>
      <c r="V2223" t="s">
        <v>19130</v>
      </c>
      <c r="W2223" t="s">
        <v>19131</v>
      </c>
      <c r="X2223" t="s">
        <v>19132</v>
      </c>
      <c r="Y2223" t="s">
        <v>19128</v>
      </c>
      <c r="Z2223" t="s">
        <v>19129</v>
      </c>
      <c r="AA2223" t="s">
        <v>1040</v>
      </c>
      <c r="AB2223" t="s">
        <v>400</v>
      </c>
      <c r="AC2223" s="3" t="str">
        <f>"78717"</f>
        <v>78717</v>
      </c>
      <c r="AD2223" t="s">
        <v>128</v>
      </c>
      <c r="AF2223" s="4">
        <v>15122962270</v>
      </c>
      <c r="AH2223" t="str">
        <f>"442299"</f>
        <v>442299</v>
      </c>
      <c r="AI2223" t="s">
        <v>130</v>
      </c>
      <c r="AJ2223" t="s">
        <v>3165</v>
      </c>
      <c r="AK2223" t="s">
        <v>5395</v>
      </c>
      <c r="AL2223" t="s">
        <v>1198</v>
      </c>
      <c r="AM2223" t="s">
        <v>10005</v>
      </c>
      <c r="AN2223" t="s">
        <v>788</v>
      </c>
      <c r="AO2223" t="s">
        <v>11432</v>
      </c>
      <c r="AP2223" t="s">
        <v>400</v>
      </c>
      <c r="AQ2223" s="5">
        <v>77479</v>
      </c>
      <c r="AR2223" t="s">
        <v>128</v>
      </c>
      <c r="AT2223" s="4">
        <v>12813136100</v>
      </c>
      <c r="AV2223" t="s">
        <v>5396</v>
      </c>
      <c r="AW2223" t="s">
        <v>5397</v>
      </c>
      <c r="AX2223" t="s">
        <v>131</v>
      </c>
      <c r="AY2223" t="s">
        <v>131</v>
      </c>
      <c r="AZ2223" t="s">
        <v>131</v>
      </c>
      <c r="BA2223" t="s">
        <v>131</v>
      </c>
      <c r="BB2223" t="s">
        <v>131</v>
      </c>
      <c r="BC2223" t="s">
        <v>131</v>
      </c>
      <c r="BD2223" t="s">
        <v>131</v>
      </c>
      <c r="BE2223" t="s">
        <v>132</v>
      </c>
      <c r="BH2223" t="s">
        <v>1635</v>
      </c>
      <c r="BI2223" t="s">
        <v>131</v>
      </c>
      <c r="BL2223" t="s">
        <v>167</v>
      </c>
      <c r="BO2223" t="s">
        <v>131</v>
      </c>
      <c r="BP2223" t="s">
        <v>134</v>
      </c>
      <c r="BQ2223" t="s">
        <v>131</v>
      </c>
      <c r="BS2223" t="str">
        <f t="shared" si="133"/>
        <v>N/A</v>
      </c>
      <c r="BT2223" t="s">
        <v>135</v>
      </c>
      <c r="BU2223">
        <v>24</v>
      </c>
      <c r="BV2223" t="str">
        <f>"Programmer Analyst"</f>
        <v>Programmer Analyst</v>
      </c>
      <c r="BW2223" t="s">
        <v>131</v>
      </c>
      <c r="BX2223" t="str">
        <f>""</f>
        <v/>
      </c>
      <c r="BY2223" t="str">
        <f>""</f>
        <v/>
      </c>
      <c r="BZ2223" t="str">
        <f>""</f>
        <v/>
      </c>
      <c r="CA2223" t="str">
        <f>""</f>
        <v/>
      </c>
      <c r="CB2223" t="s">
        <v>131</v>
      </c>
      <c r="CF2223" t="s">
        <v>131</v>
      </c>
      <c r="CH2223" t="str">
        <f>""</f>
        <v/>
      </c>
      <c r="CI2223" t="s">
        <v>131</v>
      </c>
      <c r="CK2223" t="s">
        <v>131</v>
      </c>
      <c r="CL2223" t="str">
        <f>""</f>
        <v/>
      </c>
      <c r="CM2223" t="str">
        <f>""</f>
        <v/>
      </c>
      <c r="CN2223" t="str">
        <f>""</f>
        <v/>
      </c>
      <c r="CO2223" t="str">
        <f>""</f>
        <v/>
      </c>
      <c r="CP2223" t="str">
        <f>"15-1151.00"</f>
        <v>15-1151.00</v>
      </c>
      <c r="CQ2223" t="s">
        <v>3937</v>
      </c>
      <c r="CS2223" t="s">
        <v>131</v>
      </c>
      <c r="CU2223" t="s">
        <v>19133</v>
      </c>
      <c r="CV2223" t="s">
        <v>19129</v>
      </c>
      <c r="CW2223" t="s">
        <v>1040</v>
      </c>
      <c r="CX2223" t="s">
        <v>400</v>
      </c>
      <c r="CZ2223" s="3" t="str">
        <f>"78717"</f>
        <v>78717</v>
      </c>
      <c r="DA2223" t="s">
        <v>131</v>
      </c>
      <c r="DB2223" t="str">
        <f>""</f>
        <v/>
      </c>
      <c r="DF2223" t="str">
        <f>""</f>
        <v/>
      </c>
    </row>
    <row r="2224" spans="1:110" ht="15" customHeight="1" x14ac:dyDescent="0.35">
      <c r="A2224" t="s">
        <v>2609</v>
      </c>
      <c r="B2224" t="s">
        <v>138</v>
      </c>
      <c r="C2224" s="1">
        <v>44377</v>
      </c>
      <c r="G2224" s="1">
        <v>44377</v>
      </c>
      <c r="H2224" t="s">
        <v>125</v>
      </c>
      <c r="I2224" t="s">
        <v>2610</v>
      </c>
      <c r="J2224" t="s">
        <v>2611</v>
      </c>
      <c r="K2224" t="s">
        <v>355</v>
      </c>
      <c r="L2224" t="s">
        <v>2612</v>
      </c>
      <c r="M2224" t="s">
        <v>2613</v>
      </c>
      <c r="N2224" t="s">
        <v>134</v>
      </c>
      <c r="O2224" t="s">
        <v>262</v>
      </c>
      <c r="P2224" t="s">
        <v>539</v>
      </c>
      <c r="Q2224" s="3">
        <v>60618</v>
      </c>
      <c r="R2224" t="s">
        <v>128</v>
      </c>
      <c r="T2224" s="4">
        <v>17735164100</v>
      </c>
      <c r="V2224" t="s">
        <v>2614</v>
      </c>
      <c r="W2224" t="s">
        <v>2615</v>
      </c>
      <c r="Y2224" t="s">
        <v>2616</v>
      </c>
      <c r="AA2224" t="s">
        <v>2617</v>
      </c>
      <c r="AB2224" t="s">
        <v>263</v>
      </c>
      <c r="AC2224" s="3" t="str">
        <f>"61603"</f>
        <v>61603</v>
      </c>
      <c r="AD2224" t="s">
        <v>128</v>
      </c>
      <c r="AF2224" s="4">
        <v>13096837291</v>
      </c>
      <c r="AH2224" t="str">
        <f>"6221"</f>
        <v>6221</v>
      </c>
      <c r="AI2224" t="s">
        <v>130</v>
      </c>
      <c r="AJ2224" t="s">
        <v>2610</v>
      </c>
      <c r="AK2224" t="s">
        <v>2611</v>
      </c>
      <c r="AL2224" t="s">
        <v>355</v>
      </c>
      <c r="AM2224" t="s">
        <v>2618</v>
      </c>
      <c r="AO2224" t="s">
        <v>262</v>
      </c>
      <c r="AP2224" t="s">
        <v>263</v>
      </c>
      <c r="AQ2224" s="5">
        <v>60618</v>
      </c>
      <c r="AR2224" t="s">
        <v>128</v>
      </c>
      <c r="AT2224" s="4">
        <v>17735164100</v>
      </c>
      <c r="AV2224" t="s">
        <v>2619</v>
      </c>
      <c r="AW2224" t="s">
        <v>2620</v>
      </c>
      <c r="AX2224" t="s">
        <v>131</v>
      </c>
      <c r="AY2224" t="s">
        <v>131</v>
      </c>
      <c r="AZ2224" t="s">
        <v>131</v>
      </c>
      <c r="BA2224" t="s">
        <v>131</v>
      </c>
      <c r="BB2224" t="s">
        <v>131</v>
      </c>
      <c r="BC2224" t="s">
        <v>131</v>
      </c>
      <c r="BD2224" t="s">
        <v>131</v>
      </c>
      <c r="BE2224" t="s">
        <v>132</v>
      </c>
      <c r="BH2224" t="s">
        <v>2621</v>
      </c>
      <c r="BI2224" t="s">
        <v>131</v>
      </c>
      <c r="BL2224" t="s">
        <v>133</v>
      </c>
      <c r="BN2224" t="s">
        <v>2622</v>
      </c>
      <c r="BO2224" t="s">
        <v>131</v>
      </c>
      <c r="BP2224" t="s">
        <v>134</v>
      </c>
      <c r="BQ2224" t="s">
        <v>131</v>
      </c>
      <c r="BS2224" t="str">
        <f t="shared" si="133"/>
        <v>N/A</v>
      </c>
      <c r="BT2224" t="s">
        <v>135</v>
      </c>
      <c r="BU2224">
        <v>12</v>
      </c>
      <c r="BV2224" t="str">
        <f>"Work in clinical laboratory as a Clinical Laboratory Scientist, Medical Laboratory Technologist, or Medical Technologist "</f>
        <v xml:space="preserve">Work in clinical laboratory as a Clinical Laboratory Scientist, Medical Laboratory Technologist, or Medical Technologist </v>
      </c>
      <c r="BW2224" t="s">
        <v>135</v>
      </c>
      <c r="BX2224" t="str">
        <f>"American Society for Clinical Pathology or American Medical Technologists Certification required.  "</f>
        <v xml:space="preserve">American Society for Clinical Pathology or American Medical Technologists Certification required.  </v>
      </c>
      <c r="BY2224" t="str">
        <f>""</f>
        <v/>
      </c>
      <c r="BZ2224" t="str">
        <f>""</f>
        <v/>
      </c>
      <c r="CA2224" t="s">
        <v>2623</v>
      </c>
      <c r="CB2224" t="s">
        <v>131</v>
      </c>
      <c r="CF2224" t="s">
        <v>131</v>
      </c>
      <c r="CH2224" t="str">
        <f>""</f>
        <v/>
      </c>
      <c r="CI2224" t="s">
        <v>131</v>
      </c>
      <c r="CK2224" t="s">
        <v>131</v>
      </c>
      <c r="CL2224" t="str">
        <f>""</f>
        <v/>
      </c>
      <c r="CM2224" t="str">
        <f>""</f>
        <v/>
      </c>
      <c r="CN2224" t="str">
        <f>""</f>
        <v/>
      </c>
      <c r="CO2224" t="str">
        <f>""</f>
        <v/>
      </c>
      <c r="CP2224" t="str">
        <f>"29-2011.00"</f>
        <v>29-2011.00</v>
      </c>
      <c r="CQ2224" t="s">
        <v>1476</v>
      </c>
      <c r="CR2224" t="s">
        <v>2624</v>
      </c>
      <c r="CS2224" t="s">
        <v>131</v>
      </c>
      <c r="CU2224" t="s">
        <v>2625</v>
      </c>
      <c r="CW2224" t="s">
        <v>2617</v>
      </c>
      <c r="CX2224" t="s">
        <v>263</v>
      </c>
      <c r="CZ2224" s="3" t="str">
        <f>"61603"</f>
        <v>61603</v>
      </c>
      <c r="DA2224" t="s">
        <v>131</v>
      </c>
      <c r="DB2224" t="str">
        <f>""</f>
        <v/>
      </c>
      <c r="DF2224" t="str">
        <f>""</f>
        <v/>
      </c>
    </row>
    <row r="2225" spans="1:110" ht="15" customHeight="1" x14ac:dyDescent="0.35">
      <c r="A2225" t="s">
        <v>14146</v>
      </c>
      <c r="B2225" t="s">
        <v>138</v>
      </c>
      <c r="C2225" s="1">
        <v>44319</v>
      </c>
      <c r="G2225" s="1">
        <v>44320</v>
      </c>
      <c r="H2225" t="s">
        <v>673</v>
      </c>
      <c r="I2225" t="s">
        <v>3354</v>
      </c>
      <c r="J2225" t="s">
        <v>1261</v>
      </c>
      <c r="K2225" t="s">
        <v>1437</v>
      </c>
      <c r="L2225" t="s">
        <v>902</v>
      </c>
      <c r="M2225" t="s">
        <v>7484</v>
      </c>
      <c r="O2225" t="s">
        <v>1155</v>
      </c>
      <c r="P2225" t="s">
        <v>273</v>
      </c>
      <c r="Q2225" s="3">
        <v>8873</v>
      </c>
      <c r="R2225" t="s">
        <v>128</v>
      </c>
      <c r="T2225" s="4">
        <v>19325376173</v>
      </c>
      <c r="V2225" t="s">
        <v>14147</v>
      </c>
      <c r="W2225" t="s">
        <v>6741</v>
      </c>
      <c r="Y2225" t="s">
        <v>6742</v>
      </c>
      <c r="AA2225" t="s">
        <v>1155</v>
      </c>
      <c r="AB2225" t="s">
        <v>276</v>
      </c>
      <c r="AC2225" s="3" t="str">
        <f>"08873"</f>
        <v>08873</v>
      </c>
      <c r="AD2225" t="s">
        <v>128</v>
      </c>
      <c r="AF2225" s="4">
        <v>17325376200</v>
      </c>
      <c r="AH2225" t="str">
        <f>"54171"</f>
        <v>54171</v>
      </c>
      <c r="AI2225" t="s">
        <v>130</v>
      </c>
      <c r="AJ2225" t="s">
        <v>3364</v>
      </c>
      <c r="AK2225" t="s">
        <v>3365</v>
      </c>
      <c r="AL2225" t="s">
        <v>3361</v>
      </c>
      <c r="AM2225" t="s">
        <v>3366</v>
      </c>
      <c r="AO2225" t="s">
        <v>385</v>
      </c>
      <c r="AP2225" t="s">
        <v>276</v>
      </c>
      <c r="AQ2225" s="5">
        <v>7068</v>
      </c>
      <c r="AR2225" t="s">
        <v>128</v>
      </c>
      <c r="AT2225" s="4">
        <v>19735350500</v>
      </c>
      <c r="AV2225" t="s">
        <v>3362</v>
      </c>
      <c r="AW2225" t="s">
        <v>2608</v>
      </c>
      <c r="AX2225" t="s">
        <v>131</v>
      </c>
      <c r="AY2225" t="s">
        <v>131</v>
      </c>
      <c r="AZ2225" t="s">
        <v>131</v>
      </c>
      <c r="BA2225" t="s">
        <v>131</v>
      </c>
      <c r="BB2225" t="s">
        <v>131</v>
      </c>
      <c r="BC2225" t="s">
        <v>131</v>
      </c>
      <c r="BD2225" t="s">
        <v>131</v>
      </c>
      <c r="BE2225" t="s">
        <v>132</v>
      </c>
      <c r="BH2225" t="s">
        <v>14148</v>
      </c>
      <c r="BI2225" t="s">
        <v>131</v>
      </c>
      <c r="BL2225" t="s">
        <v>133</v>
      </c>
      <c r="BN2225" t="s">
        <v>8699</v>
      </c>
      <c r="BO2225" t="s">
        <v>131</v>
      </c>
      <c r="BP2225" t="s">
        <v>134</v>
      </c>
      <c r="BQ2225" t="s">
        <v>131</v>
      </c>
      <c r="BS2225" t="str">
        <f t="shared" si="133"/>
        <v>N/A</v>
      </c>
      <c r="BT2225" t="s">
        <v>135</v>
      </c>
      <c r="BU2225">
        <v>48</v>
      </c>
      <c r="BV2225" t="str">
        <f>"Computer Validation Specialist or related "</f>
        <v xml:space="preserve">Computer Validation Specialist or related </v>
      </c>
      <c r="BW2225" t="s">
        <v>131</v>
      </c>
      <c r="BX2225" t="str">
        <f>""</f>
        <v/>
      </c>
      <c r="BY2225" t="str">
        <f>""</f>
        <v/>
      </c>
      <c r="BZ2225" t="str">
        <f>""</f>
        <v/>
      </c>
      <c r="CA2225" t="str">
        <f>""</f>
        <v/>
      </c>
      <c r="CB2225" t="s">
        <v>131</v>
      </c>
      <c r="CF2225" t="s">
        <v>131</v>
      </c>
      <c r="CH2225" t="str">
        <f>""</f>
        <v/>
      </c>
      <c r="CI2225" t="s">
        <v>131</v>
      </c>
      <c r="CK2225" t="s">
        <v>131</v>
      </c>
      <c r="CL2225" t="str">
        <f>""</f>
        <v/>
      </c>
      <c r="CM2225" t="str">
        <f>""</f>
        <v/>
      </c>
      <c r="CN2225" t="str">
        <f>""</f>
        <v/>
      </c>
      <c r="CO2225" t="str">
        <f>""</f>
        <v/>
      </c>
      <c r="CP2225" t="str">
        <f>"15-1199.01"</f>
        <v>15-1199.01</v>
      </c>
      <c r="CQ2225" t="s">
        <v>308</v>
      </c>
      <c r="CR2225" t="s">
        <v>14149</v>
      </c>
      <c r="CS2225" t="s">
        <v>131</v>
      </c>
      <c r="CU2225" t="s">
        <v>7484</v>
      </c>
      <c r="CW2225" t="s">
        <v>1155</v>
      </c>
      <c r="CX2225" t="s">
        <v>276</v>
      </c>
      <c r="CZ2225" s="3" t="str">
        <f>"08873"</f>
        <v>08873</v>
      </c>
      <c r="DA2225" t="s">
        <v>131</v>
      </c>
      <c r="DB2225" t="str">
        <f>""</f>
        <v/>
      </c>
      <c r="DF2225" t="str">
        <f>""</f>
        <v/>
      </c>
    </row>
    <row r="2226" spans="1:110" ht="15" customHeight="1" x14ac:dyDescent="0.35">
      <c r="A2226" t="s">
        <v>18567</v>
      </c>
      <c r="B2226" t="s">
        <v>138</v>
      </c>
      <c r="C2226" s="1">
        <v>44320</v>
      </c>
      <c r="G2226" s="1">
        <v>44320</v>
      </c>
      <c r="H2226" t="s">
        <v>673</v>
      </c>
      <c r="I2226" t="s">
        <v>18568</v>
      </c>
      <c r="J2226" t="s">
        <v>18569</v>
      </c>
      <c r="L2226" t="s">
        <v>18570</v>
      </c>
      <c r="M2226" t="s">
        <v>18571</v>
      </c>
      <c r="O2226" t="s">
        <v>18572</v>
      </c>
      <c r="Q2226" s="3">
        <v>223344</v>
      </c>
      <c r="R2226" t="s">
        <v>758</v>
      </c>
      <c r="T2226" s="4">
        <v>10984248752</v>
      </c>
      <c r="V2226" t="s">
        <v>18573</v>
      </c>
      <c r="W2226" t="s">
        <v>12420</v>
      </c>
      <c r="Y2226" t="s">
        <v>18571</v>
      </c>
      <c r="AA2226" t="s">
        <v>18574</v>
      </c>
      <c r="AB2226" t="s">
        <v>605</v>
      </c>
      <c r="AC2226" s="3" t="str">
        <f>"33333"</f>
        <v>33333</v>
      </c>
      <c r="AD2226" t="s">
        <v>128</v>
      </c>
      <c r="AF2226" s="4">
        <v>19873248765</v>
      </c>
      <c r="AH2226" t="str">
        <f>"325212"</f>
        <v>325212</v>
      </c>
      <c r="AI2226" t="s">
        <v>130</v>
      </c>
      <c r="AJ2226" t="s">
        <v>2612</v>
      </c>
      <c r="AK2226" t="s">
        <v>18569</v>
      </c>
      <c r="AL2226" t="s">
        <v>18575</v>
      </c>
      <c r="AM2226" t="s">
        <v>18571</v>
      </c>
      <c r="AN2226" t="s">
        <v>18571</v>
      </c>
      <c r="AO2226" t="s">
        <v>18572</v>
      </c>
      <c r="AP2226" t="s">
        <v>471</v>
      </c>
      <c r="AQ2226" s="5">
        <v>9654</v>
      </c>
      <c r="AR2226" t="s">
        <v>128</v>
      </c>
      <c r="AT2226" s="4">
        <v>19876547897</v>
      </c>
      <c r="AV2226" t="s">
        <v>18576</v>
      </c>
      <c r="AW2226" t="s">
        <v>18577</v>
      </c>
      <c r="AX2226" t="s">
        <v>131</v>
      </c>
      <c r="AY2226" t="s">
        <v>131</v>
      </c>
      <c r="AZ2226" t="s">
        <v>131</v>
      </c>
      <c r="BA2226" t="s">
        <v>131</v>
      </c>
      <c r="BB2226" t="s">
        <v>131</v>
      </c>
      <c r="BC2226" t="s">
        <v>131</v>
      </c>
      <c r="BD2226" t="s">
        <v>131</v>
      </c>
      <c r="BE2226" t="s">
        <v>132</v>
      </c>
      <c r="BH2226" t="s">
        <v>18578</v>
      </c>
      <c r="BI2226" t="s">
        <v>135</v>
      </c>
      <c r="BJ2226" t="s">
        <v>18579</v>
      </c>
      <c r="BK2226" t="s">
        <v>18580</v>
      </c>
      <c r="BL2226" t="s">
        <v>188</v>
      </c>
      <c r="BN2226" t="s">
        <v>18581</v>
      </c>
      <c r="BO2226" t="s">
        <v>131</v>
      </c>
      <c r="BP2226" t="s">
        <v>134</v>
      </c>
      <c r="BQ2226" t="s">
        <v>131</v>
      </c>
      <c r="BS2226" t="str">
        <f t="shared" si="133"/>
        <v>N/A</v>
      </c>
      <c r="BT2226" t="s">
        <v>131</v>
      </c>
      <c r="BV2226" t="str">
        <f>""</f>
        <v/>
      </c>
      <c r="BW2226" t="s">
        <v>131</v>
      </c>
      <c r="BX2226" t="str">
        <f>""</f>
        <v/>
      </c>
      <c r="BY2226" t="str">
        <f>""</f>
        <v/>
      </c>
      <c r="BZ2226" t="str">
        <f>""</f>
        <v/>
      </c>
      <c r="CA2226" t="str">
        <f>""</f>
        <v/>
      </c>
      <c r="CB2226" t="s">
        <v>135</v>
      </c>
      <c r="CC2226" t="s">
        <v>133</v>
      </c>
      <c r="CE2226" t="s">
        <v>18582</v>
      </c>
      <c r="CF2226" t="s">
        <v>131</v>
      </c>
      <c r="CH2226" t="str">
        <f>"N/A"</f>
        <v>N/A</v>
      </c>
      <c r="CI2226" t="s">
        <v>135</v>
      </c>
      <c r="CJ2226">
        <v>5</v>
      </c>
      <c r="CK2226" t="s">
        <v>131</v>
      </c>
      <c r="CL2226" t="str">
        <f>""</f>
        <v/>
      </c>
      <c r="CM2226" t="str">
        <f>""</f>
        <v/>
      </c>
      <c r="CN2226" t="str">
        <f>""</f>
        <v/>
      </c>
      <c r="CO2226" t="str">
        <f>""</f>
        <v/>
      </c>
      <c r="CP2226" t="str">
        <f>"13-1032.00"</f>
        <v>13-1032.00</v>
      </c>
      <c r="CQ2226" t="s">
        <v>18580</v>
      </c>
      <c r="CS2226" t="s">
        <v>135</v>
      </c>
      <c r="CT2226" t="s">
        <v>18583</v>
      </c>
      <c r="CU2226" t="s">
        <v>18584</v>
      </c>
      <c r="CW2226" t="s">
        <v>18585</v>
      </c>
      <c r="CX2226" t="s">
        <v>263</v>
      </c>
      <c r="CZ2226" s="3" t="str">
        <f>"12345"</f>
        <v>12345</v>
      </c>
      <c r="DA2226" t="s">
        <v>135</v>
      </c>
      <c r="DB2226" t="str">
        <f>""</f>
        <v/>
      </c>
      <c r="DF2226" t="str">
        <f>""</f>
        <v/>
      </c>
    </row>
    <row r="2227" spans="1:110" ht="15" customHeight="1" x14ac:dyDescent="0.35">
      <c r="A2227" t="s">
        <v>18057</v>
      </c>
      <c r="B2227" t="s">
        <v>138</v>
      </c>
      <c r="C2227" s="1">
        <v>44321</v>
      </c>
      <c r="G2227" s="1">
        <v>44321</v>
      </c>
      <c r="H2227" t="s">
        <v>673</v>
      </c>
      <c r="I2227" t="s">
        <v>18058</v>
      </c>
      <c r="J2227" t="s">
        <v>17882</v>
      </c>
      <c r="K2227" t="s">
        <v>1253</v>
      </c>
      <c r="L2227" t="s">
        <v>2969</v>
      </c>
      <c r="M2227" t="s">
        <v>18059</v>
      </c>
      <c r="N2227" t="s">
        <v>14876</v>
      </c>
      <c r="O2227" t="s">
        <v>4408</v>
      </c>
      <c r="P2227" t="s">
        <v>194</v>
      </c>
      <c r="Q2227" s="3">
        <v>34109</v>
      </c>
      <c r="R2227" t="s">
        <v>128</v>
      </c>
      <c r="S2227" t="s">
        <v>1253</v>
      </c>
      <c r="T2227" s="4">
        <v>17147285258</v>
      </c>
      <c r="V2227" t="s">
        <v>18060</v>
      </c>
      <c r="W2227" t="s">
        <v>18061</v>
      </c>
      <c r="X2227" t="s">
        <v>18062</v>
      </c>
      <c r="Y2227" t="s">
        <v>18059</v>
      </c>
      <c r="Z2227" t="s">
        <v>8962</v>
      </c>
      <c r="AA2227" t="s">
        <v>4408</v>
      </c>
      <c r="AB2227" t="s">
        <v>195</v>
      </c>
      <c r="AC2227" s="3" t="str">
        <f>"34109"</f>
        <v>34109</v>
      </c>
      <c r="AD2227" t="s">
        <v>128</v>
      </c>
      <c r="AF2227" s="4">
        <v>17147285258</v>
      </c>
      <c r="AG2227" t="s">
        <v>1253</v>
      </c>
      <c r="AH2227" t="str">
        <f>"31152"</f>
        <v>31152</v>
      </c>
      <c r="AI2227" t="s">
        <v>130</v>
      </c>
      <c r="AJ2227" t="s">
        <v>18063</v>
      </c>
      <c r="AK2227" t="s">
        <v>1811</v>
      </c>
      <c r="AL2227" t="s">
        <v>695</v>
      </c>
      <c r="AM2227" t="s">
        <v>18064</v>
      </c>
      <c r="AN2227" t="s">
        <v>18065</v>
      </c>
      <c r="AO2227" t="s">
        <v>200</v>
      </c>
      <c r="AP2227" t="s">
        <v>195</v>
      </c>
      <c r="AQ2227" s="5">
        <v>33409</v>
      </c>
      <c r="AR2227" t="s">
        <v>128</v>
      </c>
      <c r="AT2227" s="4">
        <v>15614711301</v>
      </c>
      <c r="AV2227" t="s">
        <v>18066</v>
      </c>
      <c r="AW2227" t="s">
        <v>18067</v>
      </c>
      <c r="AX2227" t="s">
        <v>131</v>
      </c>
      <c r="AY2227" t="s">
        <v>131</v>
      </c>
      <c r="AZ2227" t="s">
        <v>131</v>
      </c>
      <c r="BA2227" t="s">
        <v>131</v>
      </c>
      <c r="BB2227" t="s">
        <v>131</v>
      </c>
      <c r="BC2227" t="s">
        <v>131</v>
      </c>
      <c r="BD2227" t="s">
        <v>131</v>
      </c>
      <c r="BE2227" t="s">
        <v>498</v>
      </c>
      <c r="BH2227" t="s">
        <v>5945</v>
      </c>
      <c r="BI2227" t="s">
        <v>131</v>
      </c>
      <c r="BL2227" t="s">
        <v>133</v>
      </c>
      <c r="BN2227" t="s">
        <v>18068</v>
      </c>
      <c r="BO2227" t="s">
        <v>131</v>
      </c>
      <c r="BP2227" t="s">
        <v>134</v>
      </c>
      <c r="BQ2227" t="s">
        <v>131</v>
      </c>
      <c r="BS2227" t="str">
        <f t="shared" si="133"/>
        <v>N/A</v>
      </c>
      <c r="BT2227" t="s">
        <v>131</v>
      </c>
      <c r="BV2227" t="str">
        <f>""</f>
        <v/>
      </c>
      <c r="BW2227" t="s">
        <v>131</v>
      </c>
      <c r="BX2227" t="str">
        <f>""</f>
        <v/>
      </c>
      <c r="BY2227" t="str">
        <f>""</f>
        <v/>
      </c>
      <c r="BZ2227" t="str">
        <f>""</f>
        <v/>
      </c>
      <c r="CA2227" t="str">
        <f>""</f>
        <v/>
      </c>
      <c r="CB2227" t="s">
        <v>131</v>
      </c>
      <c r="CF2227" t="s">
        <v>131</v>
      </c>
      <c r="CH2227" t="str">
        <f>""</f>
        <v/>
      </c>
      <c r="CI2227" t="s">
        <v>131</v>
      </c>
      <c r="CK2227" t="s">
        <v>131</v>
      </c>
      <c r="CL2227" t="str">
        <f>""</f>
        <v/>
      </c>
      <c r="CM2227" t="str">
        <f>""</f>
        <v/>
      </c>
      <c r="CN2227" t="str">
        <f>""</f>
        <v/>
      </c>
      <c r="CO2227" t="str">
        <f>""</f>
        <v/>
      </c>
      <c r="CP2227" t="str">
        <f>"15-1121.00"</f>
        <v>15-1121.00</v>
      </c>
      <c r="CQ2227" t="s">
        <v>283</v>
      </c>
      <c r="CR2227" t="s">
        <v>5945</v>
      </c>
      <c r="CS2227" t="s">
        <v>131</v>
      </c>
      <c r="CU2227" t="s">
        <v>18059</v>
      </c>
      <c r="CV2227" t="s">
        <v>8962</v>
      </c>
      <c r="CW2227" t="s">
        <v>4408</v>
      </c>
      <c r="CX2227" t="s">
        <v>195</v>
      </c>
      <c r="CZ2227" s="3" t="str">
        <f>"34109"</f>
        <v>34109</v>
      </c>
      <c r="DA2227" t="s">
        <v>131</v>
      </c>
      <c r="DB2227" t="str">
        <f>""</f>
        <v/>
      </c>
      <c r="DF2227" t="str">
        <f>""</f>
        <v/>
      </c>
    </row>
    <row r="2228" spans="1:110" ht="15" customHeight="1" x14ac:dyDescent="0.35">
      <c r="A2228" t="s">
        <v>12643</v>
      </c>
      <c r="B2228" t="s">
        <v>138</v>
      </c>
      <c r="C2228" s="1">
        <v>44321</v>
      </c>
      <c r="G2228" s="1">
        <v>44344</v>
      </c>
      <c r="H2228" t="s">
        <v>673</v>
      </c>
      <c r="I2228" t="s">
        <v>3226</v>
      </c>
      <c r="J2228" t="s">
        <v>2124</v>
      </c>
      <c r="L2228" t="s">
        <v>682</v>
      </c>
      <c r="M2228" t="s">
        <v>261</v>
      </c>
      <c r="N2228" t="s">
        <v>12644</v>
      </c>
      <c r="O2228" t="s">
        <v>476</v>
      </c>
      <c r="P2228" t="s">
        <v>178</v>
      </c>
      <c r="Q2228" s="3">
        <v>90017</v>
      </c>
      <c r="R2228" t="s">
        <v>128</v>
      </c>
      <c r="T2228" s="4">
        <v>12133698550</v>
      </c>
      <c r="V2228" t="s">
        <v>12645</v>
      </c>
      <c r="W2228" t="s">
        <v>12646</v>
      </c>
      <c r="X2228" t="s">
        <v>12647</v>
      </c>
      <c r="Y2228" t="s">
        <v>12648</v>
      </c>
      <c r="Z2228" t="s">
        <v>261</v>
      </c>
      <c r="AA2228" t="s">
        <v>476</v>
      </c>
      <c r="AB2228" t="s">
        <v>172</v>
      </c>
      <c r="AC2228" s="3" t="str">
        <f>"90017"</f>
        <v>90017</v>
      </c>
      <c r="AD2228" t="s">
        <v>128</v>
      </c>
      <c r="AF2228" s="4">
        <v>12136246900</v>
      </c>
      <c r="AH2228" t="str">
        <f>"541110"</f>
        <v>541110</v>
      </c>
      <c r="AI2228" t="s">
        <v>130</v>
      </c>
      <c r="AJ2228" t="s">
        <v>12649</v>
      </c>
      <c r="AK2228" t="s">
        <v>9021</v>
      </c>
      <c r="AL2228" t="s">
        <v>5519</v>
      </c>
      <c r="AM2228" t="s">
        <v>12650</v>
      </c>
      <c r="AN2228" t="s">
        <v>2558</v>
      </c>
      <c r="AO2228" t="s">
        <v>214</v>
      </c>
      <c r="AQ2228" s="5" t="s">
        <v>12651</v>
      </c>
      <c r="AR2228" t="s">
        <v>156</v>
      </c>
      <c r="AS2228" t="s">
        <v>216</v>
      </c>
      <c r="AT2228" s="4">
        <v>14163425537</v>
      </c>
      <c r="AV2228" t="s">
        <v>12652</v>
      </c>
      <c r="AW2228" t="s">
        <v>12653</v>
      </c>
      <c r="AX2228" t="s">
        <v>131</v>
      </c>
      <c r="AY2228" t="s">
        <v>131</v>
      </c>
      <c r="AZ2228" t="s">
        <v>131</v>
      </c>
      <c r="BA2228" t="s">
        <v>131</v>
      </c>
      <c r="BB2228" t="s">
        <v>131</v>
      </c>
      <c r="BC2228" t="s">
        <v>131</v>
      </c>
      <c r="BD2228" t="s">
        <v>131</v>
      </c>
      <c r="BE2228" t="s">
        <v>132</v>
      </c>
      <c r="BH2228" t="s">
        <v>130</v>
      </c>
      <c r="BI2228" t="s">
        <v>131</v>
      </c>
      <c r="BL2228" t="s">
        <v>658</v>
      </c>
      <c r="BM2228" t="s">
        <v>5300</v>
      </c>
      <c r="BN2228" t="s">
        <v>3562</v>
      </c>
      <c r="BO2228" t="s">
        <v>131</v>
      </c>
      <c r="BP2228" t="s">
        <v>134</v>
      </c>
      <c r="BQ2228" t="s">
        <v>131</v>
      </c>
      <c r="BS2228" t="str">
        <f t="shared" si="133"/>
        <v>N/A</v>
      </c>
      <c r="BT2228" t="s">
        <v>135</v>
      </c>
      <c r="BU2228">
        <v>24</v>
      </c>
      <c r="BV2228" t="str">
        <f>"Law "</f>
        <v xml:space="preserve">Law </v>
      </c>
      <c r="BW2228" t="s">
        <v>131</v>
      </c>
      <c r="BX2228" t="str">
        <f>""</f>
        <v/>
      </c>
      <c r="BY2228" t="str">
        <f>""</f>
        <v/>
      </c>
      <c r="BZ2228" t="str">
        <f>""</f>
        <v/>
      </c>
      <c r="CA2228" t="str">
        <f>""</f>
        <v/>
      </c>
      <c r="CB2228" t="s">
        <v>131</v>
      </c>
      <c r="CF2228" t="s">
        <v>131</v>
      </c>
      <c r="CH2228" t="str">
        <f>""</f>
        <v/>
      </c>
      <c r="CI2228" t="s">
        <v>131</v>
      </c>
      <c r="CK2228" t="s">
        <v>131</v>
      </c>
      <c r="CL2228" t="str">
        <f>""</f>
        <v/>
      </c>
      <c r="CM2228" t="str">
        <f>""</f>
        <v/>
      </c>
      <c r="CN2228" t="str">
        <f>""</f>
        <v/>
      </c>
      <c r="CO2228" t="str">
        <f>""</f>
        <v/>
      </c>
      <c r="CP2228" t="str">
        <f>"23-1011.00"</f>
        <v>23-1011.00</v>
      </c>
      <c r="CQ2228" t="s">
        <v>2563</v>
      </c>
      <c r="CR2228" t="s">
        <v>668</v>
      </c>
      <c r="CS2228" t="s">
        <v>131</v>
      </c>
      <c r="CU2228" t="s">
        <v>12654</v>
      </c>
      <c r="CV2228" t="s">
        <v>261</v>
      </c>
      <c r="CW2228" t="s">
        <v>476</v>
      </c>
      <c r="CX2228" t="s">
        <v>172</v>
      </c>
      <c r="CZ2228" s="3" t="str">
        <f>"90017"</f>
        <v>90017</v>
      </c>
      <c r="DA2228" t="s">
        <v>131</v>
      </c>
      <c r="DB2228" t="str">
        <f>""</f>
        <v/>
      </c>
      <c r="DF2228" t="str">
        <f>""</f>
        <v/>
      </c>
    </row>
    <row r="2229" spans="1:110" ht="15" customHeight="1" x14ac:dyDescent="0.35">
      <c r="A2229" t="s">
        <v>7479</v>
      </c>
      <c r="B2229" t="s">
        <v>138</v>
      </c>
      <c r="C2229" s="1">
        <v>44326</v>
      </c>
      <c r="G2229" s="1">
        <v>44326</v>
      </c>
      <c r="H2229" t="s">
        <v>673</v>
      </c>
      <c r="I2229" t="s">
        <v>7480</v>
      </c>
      <c r="J2229" t="s">
        <v>1278</v>
      </c>
      <c r="L2229" t="s">
        <v>7481</v>
      </c>
      <c r="M2229" t="s">
        <v>7482</v>
      </c>
      <c r="O2229" t="s">
        <v>825</v>
      </c>
      <c r="P2229" t="s">
        <v>826</v>
      </c>
      <c r="Q2229" s="3">
        <v>20850</v>
      </c>
      <c r="R2229" t="s">
        <v>128</v>
      </c>
      <c r="T2229" s="4">
        <v>14109754050</v>
      </c>
      <c r="V2229" t="s">
        <v>3362</v>
      </c>
      <c r="W2229" t="s">
        <v>7483</v>
      </c>
      <c r="Y2229" t="s">
        <v>7484</v>
      </c>
      <c r="AA2229" t="s">
        <v>7485</v>
      </c>
      <c r="AB2229" t="s">
        <v>276</v>
      </c>
      <c r="AC2229" s="3" t="str">
        <f>"08873"</f>
        <v>08873</v>
      </c>
      <c r="AD2229" t="s">
        <v>128</v>
      </c>
      <c r="AF2229" s="4">
        <v>17325376200</v>
      </c>
      <c r="AH2229" t="str">
        <f>"54171"</f>
        <v>54171</v>
      </c>
      <c r="AI2229" t="s">
        <v>130</v>
      </c>
      <c r="AJ2229" t="s">
        <v>3364</v>
      </c>
      <c r="AK2229" t="s">
        <v>3365</v>
      </c>
      <c r="AL2229" t="s">
        <v>3361</v>
      </c>
      <c r="AM2229" t="s">
        <v>1965</v>
      </c>
      <c r="AO2229" t="s">
        <v>384</v>
      </c>
      <c r="AP2229" t="s">
        <v>276</v>
      </c>
      <c r="AQ2229" s="5">
        <v>7068</v>
      </c>
      <c r="AR2229" t="s">
        <v>128</v>
      </c>
      <c r="AT2229" s="4">
        <v>19735350500</v>
      </c>
      <c r="AV2229" t="s">
        <v>3362</v>
      </c>
      <c r="AW2229" t="s">
        <v>3367</v>
      </c>
      <c r="AX2229" t="s">
        <v>131</v>
      </c>
      <c r="AY2229" t="s">
        <v>131</v>
      </c>
      <c r="AZ2229" t="s">
        <v>131</v>
      </c>
      <c r="BA2229" t="s">
        <v>131</v>
      </c>
      <c r="BB2229" t="s">
        <v>131</v>
      </c>
      <c r="BC2229" t="s">
        <v>131</v>
      </c>
      <c r="BD2229" t="s">
        <v>131</v>
      </c>
      <c r="BE2229" t="s">
        <v>132</v>
      </c>
      <c r="BH2229" t="s">
        <v>3858</v>
      </c>
      <c r="BI2229" t="s">
        <v>131</v>
      </c>
      <c r="BL2229" t="s">
        <v>133</v>
      </c>
      <c r="BN2229" t="s">
        <v>7486</v>
      </c>
      <c r="BO2229" t="s">
        <v>131</v>
      </c>
      <c r="BP2229" t="s">
        <v>134</v>
      </c>
      <c r="BQ2229" t="s">
        <v>131</v>
      </c>
      <c r="BS2229" t="str">
        <f t="shared" si="133"/>
        <v>N/A</v>
      </c>
      <c r="BT2229" t="s">
        <v>135</v>
      </c>
      <c r="BU2229">
        <v>36</v>
      </c>
      <c r="BV2229" t="str">
        <f>"Scientist or related "</f>
        <v xml:space="preserve">Scientist or related </v>
      </c>
      <c r="BW2229" t="s">
        <v>131</v>
      </c>
      <c r="BX2229" t="str">
        <f>""</f>
        <v/>
      </c>
      <c r="BY2229" t="str">
        <f>""</f>
        <v/>
      </c>
      <c r="BZ2229" t="str">
        <f>""</f>
        <v/>
      </c>
      <c r="CA2229" t="str">
        <f>""</f>
        <v/>
      </c>
      <c r="CB2229" t="s">
        <v>131</v>
      </c>
      <c r="CF2229" t="s">
        <v>131</v>
      </c>
      <c r="CH2229" t="str">
        <f>""</f>
        <v/>
      </c>
      <c r="CI2229" t="s">
        <v>131</v>
      </c>
      <c r="CK2229" t="s">
        <v>131</v>
      </c>
      <c r="CL2229" t="str">
        <f>""</f>
        <v/>
      </c>
      <c r="CM2229" t="str">
        <f>""</f>
        <v/>
      </c>
      <c r="CN2229" t="str">
        <f>""</f>
        <v/>
      </c>
      <c r="CO2229" t="str">
        <f>""</f>
        <v/>
      </c>
      <c r="CP2229" t="str">
        <f>"19-1021.00"</f>
        <v>19-1021.00</v>
      </c>
      <c r="CQ2229" t="s">
        <v>665</v>
      </c>
      <c r="CR2229" t="s">
        <v>1400</v>
      </c>
      <c r="CS2229" t="s">
        <v>131</v>
      </c>
      <c r="CU2229" t="s">
        <v>7487</v>
      </c>
      <c r="CW2229" t="s">
        <v>6952</v>
      </c>
      <c r="CX2229" t="s">
        <v>382</v>
      </c>
      <c r="CZ2229" s="3" t="str">
        <f>"20850"</f>
        <v>20850</v>
      </c>
      <c r="DA2229" t="s">
        <v>131</v>
      </c>
      <c r="DB2229" t="str">
        <f>""</f>
        <v/>
      </c>
      <c r="DF2229" t="str">
        <f>""</f>
        <v/>
      </c>
    </row>
    <row r="2230" spans="1:110" ht="15" customHeight="1" x14ac:dyDescent="0.35">
      <c r="A2230" t="s">
        <v>18700</v>
      </c>
      <c r="B2230" t="s">
        <v>138</v>
      </c>
      <c r="C2230" s="1">
        <v>44327</v>
      </c>
      <c r="G2230" s="1">
        <v>44343</v>
      </c>
      <c r="H2230" t="s">
        <v>673</v>
      </c>
      <c r="I2230" t="s">
        <v>7018</v>
      </c>
      <c r="J2230" t="s">
        <v>18701</v>
      </c>
      <c r="L2230" t="s">
        <v>1310</v>
      </c>
      <c r="M2230" t="s">
        <v>18702</v>
      </c>
      <c r="O2230" t="s">
        <v>3809</v>
      </c>
      <c r="P2230" t="s">
        <v>178</v>
      </c>
      <c r="Q2230" s="3">
        <v>94588</v>
      </c>
      <c r="R2230" t="s">
        <v>128</v>
      </c>
      <c r="T2230" s="4">
        <v>15102928913</v>
      </c>
      <c r="V2230" t="s">
        <v>18703</v>
      </c>
      <c r="W2230" t="s">
        <v>18704</v>
      </c>
      <c r="Y2230" t="s">
        <v>18702</v>
      </c>
      <c r="AA2230" t="s">
        <v>3809</v>
      </c>
      <c r="AB2230" t="s">
        <v>172</v>
      </c>
      <c r="AC2230" s="3" t="str">
        <f>"94588"</f>
        <v>94588</v>
      </c>
      <c r="AD2230" t="s">
        <v>128</v>
      </c>
      <c r="AF2230" s="4">
        <v>18186394362</v>
      </c>
      <c r="AH2230" t="str">
        <f>"541714"</f>
        <v>541714</v>
      </c>
      <c r="AI2230" t="s">
        <v>167</v>
      </c>
      <c r="AX2230" t="s">
        <v>131</v>
      </c>
      <c r="AY2230" t="s">
        <v>131</v>
      </c>
      <c r="AZ2230" t="s">
        <v>131</v>
      </c>
      <c r="BA2230" t="s">
        <v>131</v>
      </c>
      <c r="BB2230" t="s">
        <v>131</v>
      </c>
      <c r="BC2230" t="s">
        <v>131</v>
      </c>
      <c r="BD2230" t="s">
        <v>131</v>
      </c>
      <c r="BE2230" t="s">
        <v>132</v>
      </c>
      <c r="BH2230" t="s">
        <v>2604</v>
      </c>
      <c r="BI2230" t="s">
        <v>131</v>
      </c>
      <c r="BL2230" t="s">
        <v>447</v>
      </c>
      <c r="BN2230" t="s">
        <v>18705</v>
      </c>
      <c r="BO2230" t="s">
        <v>131</v>
      </c>
      <c r="BP2230" t="s">
        <v>134</v>
      </c>
      <c r="BQ2230" t="s">
        <v>131</v>
      </c>
      <c r="BS2230" t="str">
        <f t="shared" si="133"/>
        <v>N/A</v>
      </c>
      <c r="BT2230" t="s">
        <v>131</v>
      </c>
      <c r="BV2230" t="str">
        <f>""</f>
        <v/>
      </c>
      <c r="BW2230" t="s">
        <v>131</v>
      </c>
      <c r="BX2230" t="str">
        <f>""</f>
        <v/>
      </c>
      <c r="BY2230" t="str">
        <f>""</f>
        <v/>
      </c>
      <c r="BZ2230" t="str">
        <f>""</f>
        <v/>
      </c>
      <c r="CA2230" t="str">
        <f>""</f>
        <v/>
      </c>
      <c r="CB2230" t="s">
        <v>131</v>
      </c>
      <c r="CF2230" t="s">
        <v>131</v>
      </c>
      <c r="CH2230" t="str">
        <f>""</f>
        <v/>
      </c>
      <c r="CI2230" t="s">
        <v>131</v>
      </c>
      <c r="CK2230" t="s">
        <v>131</v>
      </c>
      <c r="CL2230" t="str">
        <f>""</f>
        <v/>
      </c>
      <c r="CM2230" t="str">
        <f>""</f>
        <v/>
      </c>
      <c r="CN2230" t="str">
        <f>""</f>
        <v/>
      </c>
      <c r="CO2230" t="str">
        <f>""</f>
        <v/>
      </c>
      <c r="CP2230" t="str">
        <f>"19-1029.00"</f>
        <v>19-1029.00</v>
      </c>
      <c r="CQ2230" t="s">
        <v>7108</v>
      </c>
      <c r="CS2230" t="s">
        <v>131</v>
      </c>
      <c r="CU2230" t="s">
        <v>18702</v>
      </c>
      <c r="CW2230" t="s">
        <v>3809</v>
      </c>
      <c r="CX2230" t="s">
        <v>172</v>
      </c>
      <c r="CZ2230" s="3" t="str">
        <f>"94588"</f>
        <v>94588</v>
      </c>
      <c r="DA2230" t="s">
        <v>131</v>
      </c>
      <c r="DB2230" t="str">
        <f>""</f>
        <v/>
      </c>
      <c r="DF2230" t="str">
        <f>""</f>
        <v/>
      </c>
    </row>
    <row r="2231" spans="1:110" ht="15" customHeight="1" x14ac:dyDescent="0.35">
      <c r="A2231" t="s">
        <v>2956</v>
      </c>
      <c r="B2231" t="s">
        <v>138</v>
      </c>
      <c r="C2231" s="1">
        <v>44330</v>
      </c>
      <c r="G2231" s="1">
        <v>44343</v>
      </c>
      <c r="H2231" t="s">
        <v>673</v>
      </c>
      <c r="I2231" t="s">
        <v>2957</v>
      </c>
      <c r="J2231" t="s">
        <v>1861</v>
      </c>
      <c r="K2231" t="s">
        <v>2958</v>
      </c>
      <c r="L2231" t="s">
        <v>2959</v>
      </c>
      <c r="M2231" t="s">
        <v>2960</v>
      </c>
      <c r="N2231" t="s">
        <v>1807</v>
      </c>
      <c r="O2231" t="s">
        <v>1803</v>
      </c>
      <c r="P2231" t="s">
        <v>1804</v>
      </c>
      <c r="Q2231" s="3">
        <v>26506</v>
      </c>
      <c r="R2231" t="s">
        <v>128</v>
      </c>
      <c r="T2231" s="4">
        <v>13042938321</v>
      </c>
      <c r="V2231" t="s">
        <v>2961</v>
      </c>
      <c r="W2231" t="s">
        <v>1805</v>
      </c>
      <c r="X2231" t="s">
        <v>1806</v>
      </c>
      <c r="Y2231" t="s">
        <v>1802</v>
      </c>
      <c r="Z2231" t="s">
        <v>1807</v>
      </c>
      <c r="AA2231" t="s">
        <v>1803</v>
      </c>
      <c r="AB2231" t="s">
        <v>1808</v>
      </c>
      <c r="AC2231" s="3" t="str">
        <f>"26506"</f>
        <v>26506</v>
      </c>
      <c r="AD2231" t="s">
        <v>128</v>
      </c>
      <c r="AF2231" s="4">
        <v>13042933519</v>
      </c>
      <c r="AH2231" t="str">
        <f>"611310"</f>
        <v>611310</v>
      </c>
      <c r="AI2231" t="s">
        <v>167</v>
      </c>
      <c r="AX2231" t="s">
        <v>135</v>
      </c>
      <c r="AY2231" t="s">
        <v>135</v>
      </c>
      <c r="AZ2231" t="s">
        <v>131</v>
      </c>
      <c r="BA2231" t="s">
        <v>131</v>
      </c>
      <c r="BB2231" t="s">
        <v>134</v>
      </c>
      <c r="BC2231" t="s">
        <v>131</v>
      </c>
      <c r="BD2231" t="s">
        <v>131</v>
      </c>
      <c r="BE2231" t="s">
        <v>132</v>
      </c>
      <c r="BH2231" t="s">
        <v>2962</v>
      </c>
      <c r="BI2231" t="s">
        <v>131</v>
      </c>
      <c r="BL2231" t="s">
        <v>658</v>
      </c>
      <c r="BM2231" t="s">
        <v>1086</v>
      </c>
      <c r="BN2231" t="s">
        <v>659</v>
      </c>
      <c r="BO2231" t="s">
        <v>131</v>
      </c>
      <c r="BP2231" t="s">
        <v>134</v>
      </c>
      <c r="BQ2231" t="s">
        <v>131</v>
      </c>
      <c r="BS2231" t="str">
        <f t="shared" si="133"/>
        <v>N/A</v>
      </c>
      <c r="BT2231" t="s">
        <v>131</v>
      </c>
      <c r="BV2231" t="str">
        <f>""</f>
        <v/>
      </c>
      <c r="BW2231" t="s">
        <v>135</v>
      </c>
      <c r="BX2231" t="str">
        <f>"Eligible for WV Medical License"</f>
        <v>Eligible for WV Medical License</v>
      </c>
      <c r="BY2231" t="str">
        <f>""</f>
        <v/>
      </c>
      <c r="BZ2231" t="str">
        <f>"Residency in Pediatrics
Fellowship in Pediatric Hematology Oncology"</f>
        <v>Residency in Pediatrics
Fellowship in Pediatric Hematology Oncology</v>
      </c>
      <c r="CA2231" t="str">
        <f>"MD or DO degree or foreign equivalent and Board Eligible in Pediatric Hematology Oncology; All qualifications must be met by the time of appointment."</f>
        <v>MD or DO degree or foreign equivalent and Board Eligible in Pediatric Hematology Oncology; All qualifications must be met by the time of appointment.</v>
      </c>
      <c r="CB2231" t="s">
        <v>131</v>
      </c>
      <c r="CF2231" t="s">
        <v>131</v>
      </c>
      <c r="CH2231" t="str">
        <f>""</f>
        <v/>
      </c>
      <c r="CI2231" t="s">
        <v>131</v>
      </c>
      <c r="CK2231" t="s">
        <v>131</v>
      </c>
      <c r="CL2231" t="str">
        <f>""</f>
        <v/>
      </c>
      <c r="CM2231" t="str">
        <f>""</f>
        <v/>
      </c>
      <c r="CN2231" t="str">
        <f>""</f>
        <v/>
      </c>
      <c r="CO2231" t="str">
        <f>""</f>
        <v/>
      </c>
      <c r="CP2231" t="str">
        <f>"29-1069.00"</f>
        <v>29-1069.00</v>
      </c>
      <c r="CQ2231" t="s">
        <v>2963</v>
      </c>
      <c r="CR2231" t="s">
        <v>717</v>
      </c>
      <c r="CS2231" t="s">
        <v>131</v>
      </c>
      <c r="CU2231" t="s">
        <v>2964</v>
      </c>
      <c r="CW2231" t="s">
        <v>2965</v>
      </c>
      <c r="CX2231" t="s">
        <v>1808</v>
      </c>
      <c r="CZ2231" s="3" t="str">
        <f>"25302"</f>
        <v>25302</v>
      </c>
      <c r="DA2231" t="s">
        <v>135</v>
      </c>
      <c r="DB2231" t="str">
        <f>""</f>
        <v/>
      </c>
      <c r="DF2231" t="str">
        <f>""</f>
        <v/>
      </c>
    </row>
    <row r="2232" spans="1:110" ht="15" customHeight="1" x14ac:dyDescent="0.35">
      <c r="A2232" t="s">
        <v>14509</v>
      </c>
      <c r="B2232" t="s">
        <v>138</v>
      </c>
      <c r="C2232" s="1">
        <v>44333</v>
      </c>
      <c r="G2232" s="1">
        <v>44354</v>
      </c>
      <c r="H2232" t="s">
        <v>673</v>
      </c>
      <c r="I2232" t="s">
        <v>6191</v>
      </c>
      <c r="J2232" t="s">
        <v>14510</v>
      </c>
      <c r="K2232" t="s">
        <v>1624</v>
      </c>
      <c r="L2232" t="s">
        <v>6192</v>
      </c>
      <c r="M2232" t="s">
        <v>6193</v>
      </c>
      <c r="N2232" t="s">
        <v>6194</v>
      </c>
      <c r="O2232" t="s">
        <v>262</v>
      </c>
      <c r="P2232" t="s">
        <v>539</v>
      </c>
      <c r="Q2232" s="3">
        <v>60607</v>
      </c>
      <c r="R2232" t="s">
        <v>128</v>
      </c>
      <c r="T2232" s="4">
        <v>13129963121</v>
      </c>
      <c r="V2232" t="s">
        <v>6195</v>
      </c>
      <c r="W2232" t="s">
        <v>6196</v>
      </c>
      <c r="Y2232" t="s">
        <v>6193</v>
      </c>
      <c r="Z2232" t="s">
        <v>14511</v>
      </c>
      <c r="AA2232" t="s">
        <v>262</v>
      </c>
      <c r="AB2232" t="s">
        <v>263</v>
      </c>
      <c r="AC2232" s="3" t="str">
        <f>"60607"</f>
        <v>60607</v>
      </c>
      <c r="AD2232" t="s">
        <v>128</v>
      </c>
      <c r="AF2232" s="4">
        <v>13129963121</v>
      </c>
      <c r="AH2232" t="str">
        <f>"611310"</f>
        <v>611310</v>
      </c>
      <c r="AI2232" t="s">
        <v>167</v>
      </c>
      <c r="AX2232" t="s">
        <v>135</v>
      </c>
      <c r="AY2232" t="s">
        <v>135</v>
      </c>
      <c r="AZ2232" t="s">
        <v>131</v>
      </c>
      <c r="BA2232" t="s">
        <v>131</v>
      </c>
      <c r="BB2232" t="s">
        <v>134</v>
      </c>
      <c r="BC2232" t="s">
        <v>131</v>
      </c>
      <c r="BD2232" t="s">
        <v>131</v>
      </c>
      <c r="BE2232" t="s">
        <v>132</v>
      </c>
      <c r="BH2232" t="s">
        <v>4335</v>
      </c>
      <c r="BI2232" t="s">
        <v>131</v>
      </c>
      <c r="BL2232" t="s">
        <v>133</v>
      </c>
      <c r="BN2232" t="s">
        <v>14512</v>
      </c>
      <c r="BO2232" t="s">
        <v>131</v>
      </c>
      <c r="BP2232" t="s">
        <v>134</v>
      </c>
      <c r="BQ2232" t="s">
        <v>131</v>
      </c>
      <c r="BS2232" t="str">
        <f t="shared" si="133"/>
        <v>N/A</v>
      </c>
      <c r="BT2232" t="s">
        <v>135</v>
      </c>
      <c r="BU2232">
        <v>36</v>
      </c>
      <c r="BV2232" t="str">
        <f>"Related research"</f>
        <v>Related research</v>
      </c>
      <c r="BW2232" t="s">
        <v>131</v>
      </c>
      <c r="BX2232" t="str">
        <f>""</f>
        <v/>
      </c>
      <c r="BY2232" t="str">
        <f>""</f>
        <v/>
      </c>
      <c r="BZ2232" t="str">
        <f>""</f>
        <v/>
      </c>
      <c r="CA2232" t="str">
        <f>""</f>
        <v/>
      </c>
      <c r="CB2232" t="s">
        <v>131</v>
      </c>
      <c r="CF2232" t="s">
        <v>131</v>
      </c>
      <c r="CH2232" t="str">
        <f>""</f>
        <v/>
      </c>
      <c r="CI2232" t="s">
        <v>131</v>
      </c>
      <c r="CK2232" t="s">
        <v>131</v>
      </c>
      <c r="CL2232" t="str">
        <f>""</f>
        <v/>
      </c>
      <c r="CM2232" t="str">
        <f>""</f>
        <v/>
      </c>
      <c r="CN2232" t="str">
        <f>""</f>
        <v/>
      </c>
      <c r="CO2232" t="str">
        <f>""</f>
        <v/>
      </c>
      <c r="CP2232" t="str">
        <f>"19-1041.00"</f>
        <v>19-1041.00</v>
      </c>
      <c r="CQ2232" t="s">
        <v>5245</v>
      </c>
      <c r="CR2232" t="s">
        <v>4376</v>
      </c>
      <c r="CS2232" t="s">
        <v>131</v>
      </c>
      <c r="CU2232" t="s">
        <v>6196</v>
      </c>
      <c r="CV2232" t="s">
        <v>6197</v>
      </c>
      <c r="CW2232" t="s">
        <v>262</v>
      </c>
      <c r="CX2232" t="s">
        <v>263</v>
      </c>
      <c r="CZ2232" s="3" t="str">
        <f>"60607"</f>
        <v>60607</v>
      </c>
      <c r="DA2232" t="s">
        <v>131</v>
      </c>
      <c r="DB2232" t="str">
        <f>""</f>
        <v/>
      </c>
      <c r="DF2232" t="str">
        <f>""</f>
        <v/>
      </c>
    </row>
    <row r="2233" spans="1:110" ht="15" customHeight="1" x14ac:dyDescent="0.35">
      <c r="A2233" t="s">
        <v>9745</v>
      </c>
      <c r="B2233" t="s">
        <v>138</v>
      </c>
      <c r="C2233" s="1">
        <v>44337</v>
      </c>
      <c r="G2233" s="1">
        <v>44338</v>
      </c>
      <c r="H2233" t="s">
        <v>673</v>
      </c>
      <c r="I2233" t="s">
        <v>1309</v>
      </c>
      <c r="J2233" t="s">
        <v>6461</v>
      </c>
      <c r="L2233" t="s">
        <v>395</v>
      </c>
      <c r="M2233" t="s">
        <v>9746</v>
      </c>
      <c r="O2233" t="s">
        <v>494</v>
      </c>
      <c r="P2233" t="s">
        <v>127</v>
      </c>
      <c r="Q2233" s="3">
        <v>10005</v>
      </c>
      <c r="R2233" t="s">
        <v>128</v>
      </c>
      <c r="T2233" s="4">
        <v>19175615029</v>
      </c>
      <c r="V2233" t="s">
        <v>6463</v>
      </c>
      <c r="W2233" t="s">
        <v>6464</v>
      </c>
      <c r="Y2233" t="s">
        <v>6462</v>
      </c>
      <c r="AA2233" t="s">
        <v>494</v>
      </c>
      <c r="AB2233" t="s">
        <v>129</v>
      </c>
      <c r="AC2233" s="3" t="str">
        <f>"10005"</f>
        <v>10005</v>
      </c>
      <c r="AD2233" t="s">
        <v>128</v>
      </c>
      <c r="AF2233" s="4">
        <v>19175615029</v>
      </c>
      <c r="AH2233" t="str">
        <f>"7113"</f>
        <v>7113</v>
      </c>
      <c r="AI2233" t="s">
        <v>167</v>
      </c>
      <c r="AX2233" t="s">
        <v>131</v>
      </c>
      <c r="AY2233" t="s">
        <v>131</v>
      </c>
      <c r="AZ2233" t="s">
        <v>131</v>
      </c>
      <c r="BA2233" t="s">
        <v>131</v>
      </c>
      <c r="BB2233" t="s">
        <v>131</v>
      </c>
      <c r="BC2233" t="s">
        <v>131</v>
      </c>
      <c r="BD2233" t="s">
        <v>131</v>
      </c>
      <c r="BE2233" t="s">
        <v>132</v>
      </c>
      <c r="BH2233" t="s">
        <v>9747</v>
      </c>
      <c r="BI2233" t="s">
        <v>131</v>
      </c>
      <c r="BL2233" t="s">
        <v>133</v>
      </c>
      <c r="BN2233" t="s">
        <v>6465</v>
      </c>
      <c r="BO2233" t="s">
        <v>131</v>
      </c>
      <c r="BP2233" t="s">
        <v>134</v>
      </c>
      <c r="BQ2233" t="s">
        <v>131</v>
      </c>
      <c r="BS2233" t="str">
        <f t="shared" si="133"/>
        <v>N/A</v>
      </c>
      <c r="BT2233" t="s">
        <v>131</v>
      </c>
      <c r="BV2233" t="str">
        <f>""</f>
        <v/>
      </c>
      <c r="BW2233" t="s">
        <v>131</v>
      </c>
      <c r="BX2233" t="str">
        <f>""</f>
        <v/>
      </c>
      <c r="BY2233" t="str">
        <f>""</f>
        <v/>
      </c>
      <c r="BZ2233" t="str">
        <f>""</f>
        <v/>
      </c>
      <c r="CA2233" t="str">
        <f>""</f>
        <v/>
      </c>
      <c r="CB2233" t="s">
        <v>131</v>
      </c>
      <c r="CF2233" t="s">
        <v>131</v>
      </c>
      <c r="CH2233" t="str">
        <f>""</f>
        <v/>
      </c>
      <c r="CI2233" t="s">
        <v>131</v>
      </c>
      <c r="CK2233" t="s">
        <v>131</v>
      </c>
      <c r="CL2233" t="str">
        <f>""</f>
        <v/>
      </c>
      <c r="CM2233" t="str">
        <f>""</f>
        <v/>
      </c>
      <c r="CN2233" t="str">
        <f>""</f>
        <v/>
      </c>
      <c r="CO2233" t="str">
        <f>""</f>
        <v/>
      </c>
      <c r="CP2233" t="str">
        <f>"27-3031.00"</f>
        <v>27-3031.00</v>
      </c>
      <c r="CQ2233" t="s">
        <v>4434</v>
      </c>
      <c r="CR2233" t="s">
        <v>167</v>
      </c>
      <c r="CS2233" t="s">
        <v>131</v>
      </c>
      <c r="CU2233" t="s">
        <v>6462</v>
      </c>
      <c r="CW2233" t="s">
        <v>494</v>
      </c>
      <c r="CX2233" t="s">
        <v>129</v>
      </c>
      <c r="CZ2233" s="3" t="str">
        <f>"10005"</f>
        <v>10005</v>
      </c>
      <c r="DA2233" t="s">
        <v>131</v>
      </c>
      <c r="DB2233" t="str">
        <f>""</f>
        <v/>
      </c>
      <c r="DF2233" t="str">
        <f>""</f>
        <v/>
      </c>
    </row>
    <row r="2234" spans="1:110" ht="15" customHeight="1" x14ac:dyDescent="0.35">
      <c r="A2234" t="s">
        <v>10576</v>
      </c>
      <c r="B2234" t="s">
        <v>138</v>
      </c>
      <c r="C2234" s="1">
        <v>44341</v>
      </c>
      <c r="G2234" s="1">
        <v>44342</v>
      </c>
      <c r="H2234" t="s">
        <v>673</v>
      </c>
      <c r="I2234" t="s">
        <v>5949</v>
      </c>
      <c r="J2234" t="s">
        <v>2787</v>
      </c>
      <c r="L2234" t="s">
        <v>7773</v>
      </c>
      <c r="M2234" t="s">
        <v>10577</v>
      </c>
      <c r="O2234" t="s">
        <v>4781</v>
      </c>
      <c r="P2234" t="s">
        <v>178</v>
      </c>
      <c r="Q2234" s="3">
        <v>91910</v>
      </c>
      <c r="R2234" t="s">
        <v>128</v>
      </c>
      <c r="T2234" s="4">
        <v>14086562923</v>
      </c>
      <c r="V2234" t="s">
        <v>10578</v>
      </c>
      <c r="W2234" t="s">
        <v>10579</v>
      </c>
      <c r="X2234" t="s">
        <v>10580</v>
      </c>
      <c r="Y2234" t="s">
        <v>10581</v>
      </c>
      <c r="Z2234">
        <v>109</v>
      </c>
      <c r="AA2234" t="s">
        <v>4781</v>
      </c>
      <c r="AB2234" t="s">
        <v>172</v>
      </c>
      <c r="AC2234" s="3" t="str">
        <f>"91910"</f>
        <v>91910</v>
      </c>
      <c r="AD2234" t="s">
        <v>128</v>
      </c>
      <c r="AF2234" s="4">
        <v>14086562923</v>
      </c>
      <c r="AH2234" t="str">
        <f>"722511"</f>
        <v>722511</v>
      </c>
      <c r="AI2234" t="s">
        <v>167</v>
      </c>
      <c r="AX2234" t="s">
        <v>131</v>
      </c>
      <c r="AY2234" t="s">
        <v>131</v>
      </c>
      <c r="AZ2234" t="s">
        <v>131</v>
      </c>
      <c r="BA2234" t="s">
        <v>131</v>
      </c>
      <c r="BB2234" t="s">
        <v>131</v>
      </c>
      <c r="BC2234" t="s">
        <v>131</v>
      </c>
      <c r="BD2234" t="s">
        <v>131</v>
      </c>
      <c r="BE2234" t="s">
        <v>160</v>
      </c>
      <c r="BF2234" t="s">
        <v>10582</v>
      </c>
      <c r="BG2234" s="1">
        <v>44286</v>
      </c>
      <c r="BH2234" t="s">
        <v>10583</v>
      </c>
      <c r="BI2234" t="s">
        <v>131</v>
      </c>
      <c r="BL2234" t="s">
        <v>307</v>
      </c>
      <c r="BN2234" t="s">
        <v>10584</v>
      </c>
      <c r="BO2234" t="s">
        <v>131</v>
      </c>
      <c r="BP2234" t="s">
        <v>134</v>
      </c>
      <c r="BQ2234" t="s">
        <v>135</v>
      </c>
      <c r="BR2234">
        <v>1</v>
      </c>
      <c r="BS2234" t="str">
        <f>"Marketing &amp; Design"</f>
        <v>Marketing &amp; Design</v>
      </c>
      <c r="BT2234" t="s">
        <v>131</v>
      </c>
      <c r="BV2234" t="str">
        <f>""</f>
        <v/>
      </c>
      <c r="BW2234" t="s">
        <v>135</v>
      </c>
      <c r="BX2234" t="str">
        <f>""</f>
        <v/>
      </c>
      <c r="BY2234" t="str">
        <f>"Russian, French"</f>
        <v>Russian, French</v>
      </c>
      <c r="BZ2234" t="str">
        <f>""</f>
        <v/>
      </c>
      <c r="CA2234" t="str">
        <f>""</f>
        <v/>
      </c>
      <c r="CB2234" t="s">
        <v>135</v>
      </c>
      <c r="CC2234" t="s">
        <v>133</v>
      </c>
      <c r="CE2234" t="s">
        <v>8330</v>
      </c>
      <c r="CF2234" t="s">
        <v>135</v>
      </c>
      <c r="CG2234">
        <v>3</v>
      </c>
      <c r="CH2234" t="str">
        <f>"Graphic design &amp; Marketing"</f>
        <v>Graphic design &amp; Marketing</v>
      </c>
      <c r="CI2234" t="s">
        <v>131</v>
      </c>
      <c r="CK2234" t="s">
        <v>131</v>
      </c>
      <c r="CL2234" t="str">
        <f>""</f>
        <v/>
      </c>
      <c r="CM2234" t="str">
        <f>""</f>
        <v/>
      </c>
      <c r="CN2234" t="str">
        <f>""</f>
        <v/>
      </c>
      <c r="CO2234" t="str">
        <f>""</f>
        <v/>
      </c>
      <c r="CP2234" t="str">
        <f>"27-1024.00"</f>
        <v>27-1024.00</v>
      </c>
      <c r="CQ2234" t="s">
        <v>3208</v>
      </c>
      <c r="CR2234" t="s">
        <v>7773</v>
      </c>
      <c r="CS2234" t="s">
        <v>131</v>
      </c>
      <c r="CU2234" t="s">
        <v>10585</v>
      </c>
      <c r="CV2234" t="s">
        <v>10586</v>
      </c>
      <c r="CW2234" t="s">
        <v>4781</v>
      </c>
      <c r="CX2234" t="s">
        <v>172</v>
      </c>
      <c r="CZ2234" s="3" t="str">
        <f>"91910"</f>
        <v>91910</v>
      </c>
      <c r="DA2234" t="s">
        <v>131</v>
      </c>
      <c r="DB2234" t="str">
        <f>""</f>
        <v/>
      </c>
      <c r="DF2234" t="str">
        <f>""</f>
        <v/>
      </c>
    </row>
    <row r="2235" spans="1:110" ht="15" customHeight="1" x14ac:dyDescent="0.35">
      <c r="A2235" t="s">
        <v>15425</v>
      </c>
      <c r="B2235" t="s">
        <v>138</v>
      </c>
      <c r="C2235" s="1">
        <v>44349</v>
      </c>
      <c r="G2235" s="1">
        <v>44349</v>
      </c>
      <c r="H2235" t="s">
        <v>673</v>
      </c>
      <c r="I2235" t="s">
        <v>13468</v>
      </c>
      <c r="J2235" t="s">
        <v>8610</v>
      </c>
      <c r="L2235" t="s">
        <v>583</v>
      </c>
      <c r="M2235" t="s">
        <v>13469</v>
      </c>
      <c r="O2235" t="s">
        <v>4781</v>
      </c>
      <c r="P2235" t="s">
        <v>178</v>
      </c>
      <c r="Q2235" s="3">
        <v>91913</v>
      </c>
      <c r="R2235" t="s">
        <v>128</v>
      </c>
      <c r="S2235" t="s">
        <v>3794</v>
      </c>
      <c r="T2235" s="4">
        <v>16196560506</v>
      </c>
      <c r="V2235" t="s">
        <v>13470</v>
      </c>
      <c r="W2235" t="s">
        <v>13471</v>
      </c>
      <c r="X2235" t="s">
        <v>15426</v>
      </c>
      <c r="Y2235" t="s">
        <v>13469</v>
      </c>
      <c r="AA2235" t="s">
        <v>4781</v>
      </c>
      <c r="AB2235" t="s">
        <v>172</v>
      </c>
      <c r="AC2235" s="3" t="str">
        <f>"91913"</f>
        <v>91913</v>
      </c>
      <c r="AD2235" t="s">
        <v>128</v>
      </c>
      <c r="AF2235" s="4">
        <v>16196560506</v>
      </c>
      <c r="AH2235" t="str">
        <f>"624410"</f>
        <v>624410</v>
      </c>
      <c r="AI2235" t="s">
        <v>167</v>
      </c>
      <c r="AX2235" t="s">
        <v>131</v>
      </c>
      <c r="AY2235" t="s">
        <v>131</v>
      </c>
      <c r="AZ2235" t="s">
        <v>131</v>
      </c>
      <c r="BA2235" t="s">
        <v>131</v>
      </c>
      <c r="BB2235" t="s">
        <v>131</v>
      </c>
      <c r="BC2235" t="s">
        <v>131</v>
      </c>
      <c r="BD2235" t="s">
        <v>131</v>
      </c>
      <c r="BE2235" t="s">
        <v>498</v>
      </c>
      <c r="BH2235" t="s">
        <v>15427</v>
      </c>
      <c r="BI2235" t="s">
        <v>131</v>
      </c>
      <c r="BL2235" t="s">
        <v>133</v>
      </c>
      <c r="BN2235" t="s">
        <v>15428</v>
      </c>
      <c r="BO2235" t="s">
        <v>131</v>
      </c>
      <c r="BP2235" t="s">
        <v>134</v>
      </c>
      <c r="BQ2235" t="s">
        <v>131</v>
      </c>
      <c r="BS2235" t="str">
        <f t="shared" ref="BS2235:BS2271" si="134">"N/A"</f>
        <v>N/A</v>
      </c>
      <c r="BT2235" t="s">
        <v>135</v>
      </c>
      <c r="BU2235">
        <v>18</v>
      </c>
      <c r="BV2235" t="str">
        <f>"Experience in Design "</f>
        <v xml:space="preserve">Experience in Design </v>
      </c>
      <c r="BW2235" t="s">
        <v>135</v>
      </c>
      <c r="BX2235" t="str">
        <f>""</f>
        <v/>
      </c>
      <c r="BY2235" t="str">
        <f>"French and Arabic "</f>
        <v xml:space="preserve">French and Arabic </v>
      </c>
      <c r="BZ2235" t="str">
        <f>""</f>
        <v/>
      </c>
      <c r="CA2235" t="str">
        <f>""</f>
        <v/>
      </c>
      <c r="CB2235" t="s">
        <v>131</v>
      </c>
      <c r="CF2235" t="s">
        <v>131</v>
      </c>
      <c r="CH2235" t="str">
        <f>""</f>
        <v/>
      </c>
      <c r="CI2235" t="s">
        <v>131</v>
      </c>
      <c r="CK2235" t="s">
        <v>131</v>
      </c>
      <c r="CL2235" t="str">
        <f>""</f>
        <v/>
      </c>
      <c r="CM2235" t="str">
        <f>""</f>
        <v/>
      </c>
      <c r="CN2235" t="str">
        <f>""</f>
        <v/>
      </c>
      <c r="CO2235" t="str">
        <f>""</f>
        <v/>
      </c>
      <c r="CP2235" t="str">
        <f>"27-1025.00"</f>
        <v>27-1025.00</v>
      </c>
      <c r="CQ2235" t="s">
        <v>4170</v>
      </c>
      <c r="CR2235" t="s">
        <v>15429</v>
      </c>
      <c r="CS2235" t="s">
        <v>131</v>
      </c>
      <c r="CU2235" t="s">
        <v>13469</v>
      </c>
      <c r="CW2235" t="s">
        <v>15430</v>
      </c>
      <c r="CX2235" t="s">
        <v>172</v>
      </c>
      <c r="CZ2235" s="3" t="str">
        <f>"91913"</f>
        <v>91913</v>
      </c>
      <c r="DA2235" t="s">
        <v>131</v>
      </c>
      <c r="DB2235" t="str">
        <f>""</f>
        <v/>
      </c>
      <c r="DF2235" t="str">
        <f>""</f>
        <v/>
      </c>
    </row>
    <row r="2236" spans="1:110" ht="15" customHeight="1" x14ac:dyDescent="0.35">
      <c r="A2236" t="s">
        <v>11488</v>
      </c>
      <c r="B2236" t="s">
        <v>138</v>
      </c>
      <c r="C2236" s="1">
        <v>44354</v>
      </c>
      <c r="G2236" s="1">
        <v>44354</v>
      </c>
      <c r="H2236" t="s">
        <v>673</v>
      </c>
      <c r="I2236" t="s">
        <v>11489</v>
      </c>
      <c r="J2236" t="s">
        <v>11490</v>
      </c>
      <c r="L2236" t="s">
        <v>395</v>
      </c>
      <c r="M2236" t="s">
        <v>11491</v>
      </c>
      <c r="O2236" t="s">
        <v>11492</v>
      </c>
      <c r="P2236" t="s">
        <v>273</v>
      </c>
      <c r="Q2236" s="3">
        <v>7728</v>
      </c>
      <c r="R2236" t="s">
        <v>128</v>
      </c>
      <c r="T2236" s="4">
        <v>19087541166</v>
      </c>
      <c r="V2236" t="s">
        <v>11493</v>
      </c>
      <c r="W2236" t="s">
        <v>11494</v>
      </c>
      <c r="Y2236" t="s">
        <v>11495</v>
      </c>
      <c r="Z2236" t="s">
        <v>11496</v>
      </c>
      <c r="AA2236" t="s">
        <v>11492</v>
      </c>
      <c r="AB2236" t="s">
        <v>276</v>
      </c>
      <c r="AC2236" s="3" t="str">
        <f>"07728"</f>
        <v>07728</v>
      </c>
      <c r="AD2236" t="s">
        <v>128</v>
      </c>
      <c r="AF2236" s="4">
        <v>19087541166</v>
      </c>
      <c r="AH2236" t="str">
        <f>"541511"</f>
        <v>541511</v>
      </c>
      <c r="AI2236" t="s">
        <v>167</v>
      </c>
      <c r="AX2236" t="s">
        <v>131</v>
      </c>
      <c r="AY2236" t="s">
        <v>131</v>
      </c>
      <c r="AZ2236" t="s">
        <v>131</v>
      </c>
      <c r="BA2236" t="s">
        <v>131</v>
      </c>
      <c r="BB2236" t="s">
        <v>131</v>
      </c>
      <c r="BC2236" t="s">
        <v>131</v>
      </c>
      <c r="BD2236" t="s">
        <v>131</v>
      </c>
      <c r="BE2236" t="s">
        <v>132</v>
      </c>
      <c r="BH2236" t="s">
        <v>7228</v>
      </c>
      <c r="BI2236" t="s">
        <v>131</v>
      </c>
      <c r="BL2236" t="s">
        <v>133</v>
      </c>
      <c r="BN2236" t="s">
        <v>11497</v>
      </c>
      <c r="BO2236" t="s">
        <v>131</v>
      </c>
      <c r="BP2236" t="s">
        <v>134</v>
      </c>
      <c r="BQ2236" t="s">
        <v>131</v>
      </c>
      <c r="BS2236" t="str">
        <f t="shared" si="134"/>
        <v>N/A</v>
      </c>
      <c r="BT2236" t="s">
        <v>135</v>
      </c>
      <c r="BU2236">
        <v>72</v>
      </c>
      <c r="BV2236" t="str">
        <f>"- Computer / Application system design and development
- Network / Telecom systems design, implementation and support"</f>
        <v>- Computer / Application system design and development
- Network / Telecom systems design, implementation and support</v>
      </c>
      <c r="BW2236" t="s">
        <v>131</v>
      </c>
      <c r="BX2236" t="str">
        <f>""</f>
        <v/>
      </c>
      <c r="BY2236" t="str">
        <f>""</f>
        <v/>
      </c>
      <c r="BZ2236" t="str">
        <f>""</f>
        <v/>
      </c>
      <c r="CA2236" t="str">
        <f>""</f>
        <v/>
      </c>
      <c r="CB2236" t="s">
        <v>131</v>
      </c>
      <c r="CF2236" t="s">
        <v>131</v>
      </c>
      <c r="CH2236" t="str">
        <f>""</f>
        <v/>
      </c>
      <c r="CI2236" t="s">
        <v>131</v>
      </c>
      <c r="CK2236" t="s">
        <v>131</v>
      </c>
      <c r="CL2236" t="str">
        <f>""</f>
        <v/>
      </c>
      <c r="CM2236" t="str">
        <f>""</f>
        <v/>
      </c>
      <c r="CN2236" t="str">
        <f>""</f>
        <v/>
      </c>
      <c r="CO2236" t="str">
        <f>""</f>
        <v/>
      </c>
      <c r="CP2236" t="str">
        <f>"15-1199.02"</f>
        <v>15-1199.02</v>
      </c>
      <c r="CQ2236" t="s">
        <v>2269</v>
      </c>
      <c r="CR2236" t="s">
        <v>303</v>
      </c>
      <c r="CS2236" t="s">
        <v>135</v>
      </c>
      <c r="CT2236" s="2" t="s">
        <v>11498</v>
      </c>
      <c r="CU2236" t="s">
        <v>11499</v>
      </c>
      <c r="CV2236" t="s">
        <v>5378</v>
      </c>
      <c r="CW2236" t="s">
        <v>11500</v>
      </c>
      <c r="CX2236" t="s">
        <v>276</v>
      </c>
      <c r="CZ2236" s="3" t="str">
        <f>"07728"</f>
        <v>07728</v>
      </c>
      <c r="DA2236" t="s">
        <v>131</v>
      </c>
      <c r="DB2236" t="str">
        <f>""</f>
        <v/>
      </c>
      <c r="DF2236" t="str">
        <f>""</f>
        <v/>
      </c>
    </row>
    <row r="2237" spans="1:110" ht="15" customHeight="1" x14ac:dyDescent="0.35">
      <c r="A2237" t="s">
        <v>18078</v>
      </c>
      <c r="B2237" t="s">
        <v>138</v>
      </c>
      <c r="C2237" s="1">
        <v>44362</v>
      </c>
      <c r="G2237" s="1">
        <v>44362</v>
      </c>
      <c r="H2237" t="s">
        <v>673</v>
      </c>
      <c r="I2237" t="s">
        <v>18079</v>
      </c>
      <c r="J2237" t="s">
        <v>3419</v>
      </c>
      <c r="K2237" t="s">
        <v>9568</v>
      </c>
      <c r="L2237" t="s">
        <v>9569</v>
      </c>
      <c r="M2237" t="s">
        <v>9570</v>
      </c>
      <c r="O2237" t="s">
        <v>1040</v>
      </c>
      <c r="P2237" t="s">
        <v>412</v>
      </c>
      <c r="Q2237" s="3">
        <v>78702</v>
      </c>
      <c r="R2237" t="s">
        <v>128</v>
      </c>
      <c r="T2237" s="4">
        <v>15129127771</v>
      </c>
      <c r="V2237" t="s">
        <v>9571</v>
      </c>
      <c r="W2237" t="s">
        <v>9572</v>
      </c>
      <c r="X2237" t="s">
        <v>18080</v>
      </c>
      <c r="Y2237" t="s">
        <v>9570</v>
      </c>
      <c r="AA2237" t="s">
        <v>1040</v>
      </c>
      <c r="AB2237" t="s">
        <v>400</v>
      </c>
      <c r="AC2237" s="3" t="str">
        <f>"78702"</f>
        <v>78702</v>
      </c>
      <c r="AD2237" t="s">
        <v>128</v>
      </c>
      <c r="AF2237" s="4">
        <v>15129127771</v>
      </c>
      <c r="AH2237" t="str">
        <f>"541110"</f>
        <v>541110</v>
      </c>
      <c r="AI2237" t="s">
        <v>167</v>
      </c>
      <c r="AX2237" t="s">
        <v>131</v>
      </c>
      <c r="AY2237" t="s">
        <v>131</v>
      </c>
      <c r="AZ2237" t="s">
        <v>131</v>
      </c>
      <c r="BA2237" t="s">
        <v>131</v>
      </c>
      <c r="BB2237" t="s">
        <v>131</v>
      </c>
      <c r="BC2237" t="s">
        <v>131</v>
      </c>
      <c r="BD2237" t="s">
        <v>131</v>
      </c>
      <c r="BE2237" t="s">
        <v>132</v>
      </c>
      <c r="BH2237" t="s">
        <v>4687</v>
      </c>
      <c r="BI2237" t="s">
        <v>131</v>
      </c>
      <c r="BL2237" t="s">
        <v>658</v>
      </c>
      <c r="BM2237" t="s">
        <v>18081</v>
      </c>
      <c r="BN2237" t="s">
        <v>3562</v>
      </c>
      <c r="BO2237" t="s">
        <v>131</v>
      </c>
      <c r="BP2237" t="s">
        <v>134</v>
      </c>
      <c r="BQ2237" t="s">
        <v>131</v>
      </c>
      <c r="BS2237" t="str">
        <f t="shared" si="134"/>
        <v>N/A</v>
      </c>
      <c r="BT2237" t="s">
        <v>135</v>
      </c>
      <c r="BU2237">
        <v>6</v>
      </c>
      <c r="BV2237" t="str">
        <f>"U.S. or foreign Attorney"</f>
        <v>U.S. or foreign Attorney</v>
      </c>
      <c r="BW2237" t="s">
        <v>135</v>
      </c>
      <c r="BX2237" t="str">
        <f>"Good standing with the Bar in one of the U.S. states."</f>
        <v>Good standing with the Bar in one of the U.S. states.</v>
      </c>
      <c r="BY2237" t="str">
        <f>"Spanish."</f>
        <v>Spanish.</v>
      </c>
      <c r="BZ2237" t="str">
        <f>""</f>
        <v/>
      </c>
      <c r="CA2237" t="str">
        <f>""</f>
        <v/>
      </c>
      <c r="CB2237" t="s">
        <v>131</v>
      </c>
      <c r="CF2237" t="s">
        <v>131</v>
      </c>
      <c r="CH2237" t="str">
        <f>""</f>
        <v/>
      </c>
      <c r="CI2237" t="s">
        <v>131</v>
      </c>
      <c r="CK2237" t="s">
        <v>131</v>
      </c>
      <c r="CL2237" t="str">
        <f>""</f>
        <v/>
      </c>
      <c r="CM2237" t="str">
        <f>""</f>
        <v/>
      </c>
      <c r="CN2237" t="str">
        <f>""</f>
        <v/>
      </c>
      <c r="CO2237" t="str">
        <f>""</f>
        <v/>
      </c>
      <c r="CP2237" t="str">
        <f>"23-1011.00"</f>
        <v>23-1011.00</v>
      </c>
      <c r="CQ2237" t="s">
        <v>2563</v>
      </c>
      <c r="CR2237" t="s">
        <v>9569</v>
      </c>
      <c r="CS2237" t="s">
        <v>131</v>
      </c>
      <c r="CU2237" t="s">
        <v>9570</v>
      </c>
      <c r="CW2237" t="s">
        <v>1040</v>
      </c>
      <c r="CX2237" t="s">
        <v>400</v>
      </c>
      <c r="CZ2237" s="3" t="str">
        <f>"78702"</f>
        <v>78702</v>
      </c>
      <c r="DA2237" t="s">
        <v>131</v>
      </c>
      <c r="DB2237" t="str">
        <f>""</f>
        <v/>
      </c>
      <c r="DF2237" t="str">
        <f>""</f>
        <v/>
      </c>
    </row>
    <row r="2238" spans="1:110" ht="15" customHeight="1" x14ac:dyDescent="0.35">
      <c r="A2238" t="s">
        <v>13165</v>
      </c>
      <c r="B2238" t="s">
        <v>138</v>
      </c>
      <c r="C2238" s="1">
        <v>44370</v>
      </c>
      <c r="G2238" s="1">
        <v>44370</v>
      </c>
      <c r="H2238" t="s">
        <v>673</v>
      </c>
      <c r="I2238" t="s">
        <v>4168</v>
      </c>
      <c r="J2238" t="s">
        <v>9804</v>
      </c>
      <c r="K2238" t="s">
        <v>666</v>
      </c>
      <c r="L2238" t="s">
        <v>7820</v>
      </c>
      <c r="M2238" t="s">
        <v>4333</v>
      </c>
      <c r="O2238" t="s">
        <v>3537</v>
      </c>
      <c r="P2238" t="s">
        <v>539</v>
      </c>
      <c r="Q2238" s="3">
        <v>60208</v>
      </c>
      <c r="R2238" t="s">
        <v>128</v>
      </c>
      <c r="T2238" s="4">
        <v>18474915613</v>
      </c>
      <c r="V2238" t="s">
        <v>10914</v>
      </c>
      <c r="W2238" t="s">
        <v>4334</v>
      </c>
      <c r="Y2238" t="s">
        <v>4333</v>
      </c>
      <c r="AA2238" t="s">
        <v>3537</v>
      </c>
      <c r="AB2238" t="s">
        <v>263</v>
      </c>
      <c r="AC2238" s="3" t="str">
        <f>"60208"</f>
        <v>60208</v>
      </c>
      <c r="AD2238" t="s">
        <v>128</v>
      </c>
      <c r="AF2238" s="4">
        <v>18474915613</v>
      </c>
      <c r="AH2238" t="str">
        <f>"611310"</f>
        <v>611310</v>
      </c>
      <c r="AI2238" t="s">
        <v>167</v>
      </c>
      <c r="AX2238" t="s">
        <v>135</v>
      </c>
      <c r="AY2238" t="s">
        <v>135</v>
      </c>
      <c r="AZ2238" t="s">
        <v>131</v>
      </c>
      <c r="BA2238" t="s">
        <v>131</v>
      </c>
      <c r="BB2238" t="s">
        <v>134</v>
      </c>
      <c r="BC2238" t="s">
        <v>131</v>
      </c>
      <c r="BD2238" t="s">
        <v>131</v>
      </c>
      <c r="BE2238" t="s">
        <v>132</v>
      </c>
      <c r="BH2238" t="s">
        <v>10915</v>
      </c>
      <c r="BI2238" t="s">
        <v>131</v>
      </c>
      <c r="BL2238" t="s">
        <v>447</v>
      </c>
      <c r="BN2238" t="s">
        <v>13166</v>
      </c>
      <c r="BO2238" t="s">
        <v>131</v>
      </c>
      <c r="BP2238" t="s">
        <v>134</v>
      </c>
      <c r="BQ2238" t="s">
        <v>131</v>
      </c>
      <c r="BS2238" t="str">
        <f t="shared" si="134"/>
        <v>N/A</v>
      </c>
      <c r="BT2238" t="s">
        <v>131</v>
      </c>
      <c r="BV2238" t="str">
        <f>""</f>
        <v/>
      </c>
      <c r="BW2238" t="s">
        <v>131</v>
      </c>
      <c r="BX2238" t="str">
        <f>""</f>
        <v/>
      </c>
      <c r="BY2238" t="str">
        <f>""</f>
        <v/>
      </c>
      <c r="BZ2238" t="str">
        <f>""</f>
        <v/>
      </c>
      <c r="CA2238" t="str">
        <f>""</f>
        <v/>
      </c>
      <c r="CB2238" t="s">
        <v>131</v>
      </c>
      <c r="CF2238" t="s">
        <v>131</v>
      </c>
      <c r="CH2238" t="str">
        <f>""</f>
        <v/>
      </c>
      <c r="CI2238" t="s">
        <v>131</v>
      </c>
      <c r="CK2238" t="s">
        <v>131</v>
      </c>
      <c r="CL2238" t="str">
        <f>""</f>
        <v/>
      </c>
      <c r="CM2238" t="str">
        <f>""</f>
        <v/>
      </c>
      <c r="CN2238" t="str">
        <f>""</f>
        <v/>
      </c>
      <c r="CO2238" t="str">
        <f>""</f>
        <v/>
      </c>
      <c r="CP2238" t="str">
        <f>"19-2012.00"</f>
        <v>19-2012.00</v>
      </c>
      <c r="CQ2238" t="s">
        <v>1593</v>
      </c>
      <c r="CS2238" t="s">
        <v>131</v>
      </c>
      <c r="CU2238" t="s">
        <v>10917</v>
      </c>
      <c r="CV2238" t="s">
        <v>10913</v>
      </c>
      <c r="CW2238" t="s">
        <v>3537</v>
      </c>
      <c r="CX2238" t="s">
        <v>263</v>
      </c>
      <c r="CZ2238" s="3" t="str">
        <f>"60208"</f>
        <v>60208</v>
      </c>
      <c r="DA2238" t="s">
        <v>131</v>
      </c>
      <c r="DB2238" t="str">
        <f>""</f>
        <v/>
      </c>
      <c r="DF2238" t="str">
        <f>""</f>
        <v/>
      </c>
    </row>
    <row r="2239" spans="1:110" ht="15" customHeight="1" x14ac:dyDescent="0.35">
      <c r="A2239" t="s">
        <v>10912</v>
      </c>
      <c r="B2239" t="s">
        <v>138</v>
      </c>
      <c r="C2239" s="1">
        <v>44370</v>
      </c>
      <c r="G2239" s="1">
        <v>44370</v>
      </c>
      <c r="H2239" t="s">
        <v>673</v>
      </c>
      <c r="I2239" t="s">
        <v>4168</v>
      </c>
      <c r="J2239" t="s">
        <v>9804</v>
      </c>
      <c r="K2239" t="s">
        <v>666</v>
      </c>
      <c r="L2239" t="s">
        <v>7820</v>
      </c>
      <c r="M2239" t="s">
        <v>4333</v>
      </c>
      <c r="N2239" t="s">
        <v>10913</v>
      </c>
      <c r="O2239" t="s">
        <v>3537</v>
      </c>
      <c r="P2239" t="s">
        <v>539</v>
      </c>
      <c r="Q2239" s="3">
        <v>60208</v>
      </c>
      <c r="R2239" t="s">
        <v>128</v>
      </c>
      <c r="T2239" s="4">
        <v>18474915613</v>
      </c>
      <c r="V2239" t="s">
        <v>10914</v>
      </c>
      <c r="W2239" t="s">
        <v>4334</v>
      </c>
      <c r="Y2239" t="s">
        <v>4333</v>
      </c>
      <c r="AA2239" t="s">
        <v>3537</v>
      </c>
      <c r="AB2239" t="s">
        <v>263</v>
      </c>
      <c r="AC2239" s="3" t="str">
        <f>"60208"</f>
        <v>60208</v>
      </c>
      <c r="AD2239" t="s">
        <v>128</v>
      </c>
      <c r="AF2239" s="4">
        <v>18474915613</v>
      </c>
      <c r="AH2239" t="str">
        <f>"611310"</f>
        <v>611310</v>
      </c>
      <c r="AI2239" t="s">
        <v>167</v>
      </c>
      <c r="AX2239" t="s">
        <v>135</v>
      </c>
      <c r="AY2239" t="s">
        <v>135</v>
      </c>
      <c r="AZ2239" t="s">
        <v>131</v>
      </c>
      <c r="BA2239" t="s">
        <v>131</v>
      </c>
      <c r="BB2239" t="s">
        <v>134</v>
      </c>
      <c r="BC2239" t="s">
        <v>131</v>
      </c>
      <c r="BD2239" t="s">
        <v>131</v>
      </c>
      <c r="BE2239" t="s">
        <v>132</v>
      </c>
      <c r="BH2239" t="s">
        <v>10915</v>
      </c>
      <c r="BI2239" t="s">
        <v>131</v>
      </c>
      <c r="BL2239" t="s">
        <v>447</v>
      </c>
      <c r="BN2239" t="s">
        <v>10916</v>
      </c>
      <c r="BO2239" t="s">
        <v>131</v>
      </c>
      <c r="BP2239" t="s">
        <v>134</v>
      </c>
      <c r="BQ2239" t="s">
        <v>131</v>
      </c>
      <c r="BS2239" t="str">
        <f t="shared" si="134"/>
        <v>N/A</v>
      </c>
      <c r="BT2239" t="s">
        <v>131</v>
      </c>
      <c r="BV2239" t="str">
        <f>""</f>
        <v/>
      </c>
      <c r="BW2239" t="s">
        <v>131</v>
      </c>
      <c r="BX2239" t="str">
        <f>""</f>
        <v/>
      </c>
      <c r="BY2239" t="str">
        <f>""</f>
        <v/>
      </c>
      <c r="BZ2239" t="str">
        <f>""</f>
        <v/>
      </c>
      <c r="CA2239" t="str">
        <f>""</f>
        <v/>
      </c>
      <c r="CB2239" t="s">
        <v>131</v>
      </c>
      <c r="CF2239" t="s">
        <v>131</v>
      </c>
      <c r="CH2239" t="str">
        <f>""</f>
        <v/>
      </c>
      <c r="CI2239" t="s">
        <v>131</v>
      </c>
      <c r="CK2239" t="s">
        <v>131</v>
      </c>
      <c r="CL2239" t="str">
        <f>""</f>
        <v/>
      </c>
      <c r="CM2239" t="str">
        <f>""</f>
        <v/>
      </c>
      <c r="CN2239" t="str">
        <f>""</f>
        <v/>
      </c>
      <c r="CO2239" t="str">
        <f>""</f>
        <v/>
      </c>
      <c r="CP2239" t="str">
        <f>"19-2012.00"</f>
        <v>19-2012.00</v>
      </c>
      <c r="CQ2239" t="s">
        <v>1593</v>
      </c>
      <c r="CS2239" t="s">
        <v>131</v>
      </c>
      <c r="CU2239" t="s">
        <v>10917</v>
      </c>
      <c r="CW2239" t="s">
        <v>3537</v>
      </c>
      <c r="CX2239" t="s">
        <v>263</v>
      </c>
      <c r="CZ2239" s="3" t="str">
        <f>"60208"</f>
        <v>60208</v>
      </c>
      <c r="DA2239" t="s">
        <v>131</v>
      </c>
      <c r="DB2239" t="str">
        <f>""</f>
        <v/>
      </c>
      <c r="DF2239" t="str">
        <f>""</f>
        <v/>
      </c>
    </row>
    <row r="2240" spans="1:110" ht="15" customHeight="1" x14ac:dyDescent="0.35">
      <c r="A2240" t="s">
        <v>4954</v>
      </c>
      <c r="B2240" t="s">
        <v>138</v>
      </c>
      <c r="C2240" s="1">
        <v>44371</v>
      </c>
      <c r="G2240" s="1">
        <v>44371</v>
      </c>
      <c r="H2240" t="s">
        <v>673</v>
      </c>
      <c r="I2240" t="s">
        <v>2605</v>
      </c>
      <c r="J2240" t="s">
        <v>2606</v>
      </c>
      <c r="L2240" t="s">
        <v>4955</v>
      </c>
      <c r="M2240" t="s">
        <v>2607</v>
      </c>
      <c r="N2240" t="s">
        <v>965</v>
      </c>
      <c r="O2240" t="s">
        <v>494</v>
      </c>
      <c r="P2240" t="s">
        <v>127</v>
      </c>
      <c r="Q2240" s="3">
        <v>10016</v>
      </c>
      <c r="R2240" t="s">
        <v>128</v>
      </c>
      <c r="T2240" s="4">
        <v>17134579408</v>
      </c>
      <c r="V2240" t="s">
        <v>3362</v>
      </c>
      <c r="W2240" t="s">
        <v>4956</v>
      </c>
      <c r="Y2240" t="s">
        <v>4957</v>
      </c>
      <c r="Z2240" t="s">
        <v>965</v>
      </c>
      <c r="AA2240" t="s">
        <v>3883</v>
      </c>
      <c r="AB2240" t="s">
        <v>129</v>
      </c>
      <c r="AC2240" s="3" t="str">
        <f>"10016"</f>
        <v>10016</v>
      </c>
      <c r="AD2240" t="s">
        <v>128</v>
      </c>
      <c r="AF2240" s="4">
        <v>17134579408</v>
      </c>
      <c r="AH2240" t="str">
        <f>"5416"</f>
        <v>5416</v>
      </c>
      <c r="AI2240" t="s">
        <v>130</v>
      </c>
      <c r="AJ2240" t="s">
        <v>3364</v>
      </c>
      <c r="AK2240" t="s">
        <v>3365</v>
      </c>
      <c r="AL2240" t="s">
        <v>3361</v>
      </c>
      <c r="AM2240" t="s">
        <v>3366</v>
      </c>
      <c r="AO2240" t="s">
        <v>385</v>
      </c>
      <c r="AP2240" t="s">
        <v>276</v>
      </c>
      <c r="AQ2240" s="5">
        <v>7068</v>
      </c>
      <c r="AR2240" t="s">
        <v>128</v>
      </c>
      <c r="AT2240" s="4">
        <v>19735350500</v>
      </c>
      <c r="AV2240" t="s">
        <v>3362</v>
      </c>
      <c r="AW2240" t="s">
        <v>3367</v>
      </c>
      <c r="AX2240" t="s">
        <v>131</v>
      </c>
      <c r="AY2240" t="s">
        <v>131</v>
      </c>
      <c r="AZ2240" t="s">
        <v>131</v>
      </c>
      <c r="BA2240" t="s">
        <v>131</v>
      </c>
      <c r="BB2240" t="s">
        <v>131</v>
      </c>
      <c r="BC2240" t="s">
        <v>131</v>
      </c>
      <c r="BD2240" t="s">
        <v>131</v>
      </c>
      <c r="BE2240" t="s">
        <v>132</v>
      </c>
      <c r="BH2240" t="s">
        <v>4958</v>
      </c>
      <c r="BI2240" t="s">
        <v>131</v>
      </c>
      <c r="BL2240" t="s">
        <v>133</v>
      </c>
      <c r="BN2240" t="s">
        <v>3368</v>
      </c>
      <c r="BO2240" t="s">
        <v>131</v>
      </c>
      <c r="BP2240" t="s">
        <v>134</v>
      </c>
      <c r="BQ2240" t="s">
        <v>131</v>
      </c>
      <c r="BS2240" t="str">
        <f t="shared" si="134"/>
        <v>N/A</v>
      </c>
      <c r="BT2240" t="s">
        <v>135</v>
      </c>
      <c r="BU2240">
        <v>60</v>
      </c>
      <c r="BV2240" t="str">
        <f>"Data Analyst or related "</f>
        <v xml:space="preserve">Data Analyst or related </v>
      </c>
      <c r="BW2240" t="s">
        <v>131</v>
      </c>
      <c r="BX2240" t="str">
        <f>""</f>
        <v/>
      </c>
      <c r="BY2240" t="str">
        <f>""</f>
        <v/>
      </c>
      <c r="BZ2240" t="str">
        <f>""</f>
        <v/>
      </c>
      <c r="CA2240" t="str">
        <f>""</f>
        <v/>
      </c>
      <c r="CB2240" t="s">
        <v>131</v>
      </c>
      <c r="CF2240" t="s">
        <v>131</v>
      </c>
      <c r="CH2240" t="str">
        <f>""</f>
        <v/>
      </c>
      <c r="CI2240" t="s">
        <v>131</v>
      </c>
      <c r="CK2240" t="s">
        <v>131</v>
      </c>
      <c r="CL2240" t="str">
        <f>""</f>
        <v/>
      </c>
      <c r="CM2240" t="str">
        <f>""</f>
        <v/>
      </c>
      <c r="CN2240" t="str">
        <f>""</f>
        <v/>
      </c>
      <c r="CO2240" t="str">
        <f>""</f>
        <v/>
      </c>
      <c r="CP2240" t="str">
        <f>"15-1199.08"</f>
        <v>15-1199.08</v>
      </c>
      <c r="CQ2240" t="s">
        <v>265</v>
      </c>
      <c r="CR2240" t="s">
        <v>1400</v>
      </c>
      <c r="CS2240" t="s">
        <v>131</v>
      </c>
      <c r="CU2240" t="s">
        <v>4959</v>
      </c>
      <c r="CW2240" t="s">
        <v>143</v>
      </c>
      <c r="CX2240" t="s">
        <v>149</v>
      </c>
      <c r="CZ2240" s="3" t="str">
        <f>"98052"</f>
        <v>98052</v>
      </c>
      <c r="DA2240" t="s">
        <v>131</v>
      </c>
      <c r="DB2240" t="str">
        <f>""</f>
        <v/>
      </c>
      <c r="DF2240" t="str">
        <f>""</f>
        <v/>
      </c>
    </row>
    <row r="2241" spans="1:110" ht="15" customHeight="1" x14ac:dyDescent="0.35">
      <c r="A2241" t="s">
        <v>18840</v>
      </c>
      <c r="B2241" t="s">
        <v>138</v>
      </c>
      <c r="C2241" s="1">
        <v>44371</v>
      </c>
      <c r="G2241" s="1">
        <v>44371</v>
      </c>
      <c r="H2241" t="s">
        <v>673</v>
      </c>
      <c r="I2241" t="s">
        <v>5840</v>
      </c>
      <c r="J2241" t="s">
        <v>2267</v>
      </c>
      <c r="K2241" t="s">
        <v>5841</v>
      </c>
      <c r="L2241" t="s">
        <v>5842</v>
      </c>
      <c r="M2241" t="s">
        <v>5843</v>
      </c>
      <c r="N2241" t="s">
        <v>1478</v>
      </c>
      <c r="O2241" t="s">
        <v>220</v>
      </c>
      <c r="P2241" t="s">
        <v>178</v>
      </c>
      <c r="Q2241" s="3">
        <v>94103</v>
      </c>
      <c r="R2241" t="s">
        <v>128</v>
      </c>
      <c r="T2241" s="4">
        <v>12055022500</v>
      </c>
      <c r="V2241" t="s">
        <v>5844</v>
      </c>
      <c r="W2241" t="s">
        <v>5845</v>
      </c>
      <c r="X2241" t="s">
        <v>5846</v>
      </c>
      <c r="Y2241" t="s">
        <v>6152</v>
      </c>
      <c r="Z2241" t="s">
        <v>698</v>
      </c>
      <c r="AA2241" t="s">
        <v>2064</v>
      </c>
      <c r="AB2241" t="s">
        <v>1218</v>
      </c>
      <c r="AC2241" s="3" t="str">
        <f>"35203"</f>
        <v>35203</v>
      </c>
      <c r="AD2241" t="s">
        <v>128</v>
      </c>
      <c r="AF2241" s="4">
        <v>12055022500</v>
      </c>
      <c r="AH2241" t="str">
        <f>"518210"</f>
        <v>518210</v>
      </c>
      <c r="AI2241" t="s">
        <v>130</v>
      </c>
      <c r="AJ2241" t="s">
        <v>5847</v>
      </c>
      <c r="AK2241" t="s">
        <v>5760</v>
      </c>
      <c r="AL2241" t="s">
        <v>5848</v>
      </c>
      <c r="AM2241" t="s">
        <v>5849</v>
      </c>
      <c r="AN2241" t="s">
        <v>2598</v>
      </c>
      <c r="AO2241" t="s">
        <v>220</v>
      </c>
      <c r="AP2241" t="s">
        <v>172</v>
      </c>
      <c r="AQ2241" s="5">
        <v>94133</v>
      </c>
      <c r="AR2241" t="s">
        <v>128</v>
      </c>
      <c r="AT2241" s="4">
        <v>18009742691</v>
      </c>
      <c r="AV2241" t="s">
        <v>5850</v>
      </c>
      <c r="AW2241" t="s">
        <v>5851</v>
      </c>
      <c r="AX2241" t="s">
        <v>131</v>
      </c>
      <c r="AY2241" t="s">
        <v>131</v>
      </c>
      <c r="AZ2241" t="s">
        <v>131</v>
      </c>
      <c r="BA2241" t="s">
        <v>131</v>
      </c>
      <c r="BB2241" t="s">
        <v>131</v>
      </c>
      <c r="BC2241" t="s">
        <v>131</v>
      </c>
      <c r="BD2241" t="s">
        <v>131</v>
      </c>
      <c r="BE2241" t="s">
        <v>132</v>
      </c>
      <c r="BH2241" t="s">
        <v>16643</v>
      </c>
      <c r="BI2241" t="s">
        <v>131</v>
      </c>
      <c r="BL2241" t="s">
        <v>133</v>
      </c>
      <c r="BN2241" t="s">
        <v>16644</v>
      </c>
      <c r="BO2241" t="s">
        <v>131</v>
      </c>
      <c r="BP2241" t="s">
        <v>134</v>
      </c>
      <c r="BQ2241" t="s">
        <v>131</v>
      </c>
      <c r="BS2241" t="str">
        <f t="shared" si="134"/>
        <v>N/A</v>
      </c>
      <c r="BT2241" t="s">
        <v>135</v>
      </c>
      <c r="BU2241">
        <v>24</v>
      </c>
      <c r="BV2241" t="str">
        <f>"2 years of software development work experience in the job offered or a similar role (e.g., Mobile Developer, Quality Assurance, Software Engineer, Full Stack Engineer)"</f>
        <v>2 years of software development work experience in the job offered or a similar role (e.g., Mobile Developer, Quality Assurance, Software Engineer, Full Stack Engineer)</v>
      </c>
      <c r="BW2241" t="s">
        <v>135</v>
      </c>
      <c r="BX2241" t="str">
        <f>""</f>
        <v/>
      </c>
      <c r="BY2241" t="str">
        <f>""</f>
        <v/>
      </c>
      <c r="BZ2241" t="str">
        <f>""</f>
        <v/>
      </c>
      <c r="CA2241" t="s">
        <v>16645</v>
      </c>
      <c r="CB2241" t="s">
        <v>131</v>
      </c>
      <c r="CF2241" t="s">
        <v>131</v>
      </c>
      <c r="CH2241" t="str">
        <f>""</f>
        <v/>
      </c>
      <c r="CI2241" t="s">
        <v>131</v>
      </c>
      <c r="CK2241" t="s">
        <v>131</v>
      </c>
      <c r="CL2241" t="str">
        <f>""</f>
        <v/>
      </c>
      <c r="CM2241" t="str">
        <f>""</f>
        <v/>
      </c>
      <c r="CN2241" t="str">
        <f>""</f>
        <v/>
      </c>
      <c r="CO2241" t="str">
        <f>""</f>
        <v/>
      </c>
      <c r="CP2241" t="str">
        <f>"15-1132.00"</f>
        <v>15-1132.00</v>
      </c>
      <c r="CQ2241" t="s">
        <v>198</v>
      </c>
      <c r="CR2241" t="s">
        <v>4016</v>
      </c>
      <c r="CS2241" t="s">
        <v>131</v>
      </c>
      <c r="CU2241" t="s">
        <v>5843</v>
      </c>
      <c r="CV2241" t="s">
        <v>1478</v>
      </c>
      <c r="CW2241" t="s">
        <v>220</v>
      </c>
      <c r="CX2241" t="s">
        <v>172</v>
      </c>
      <c r="CZ2241" s="3" t="str">
        <f>"94103"</f>
        <v>94103</v>
      </c>
      <c r="DA2241" t="s">
        <v>131</v>
      </c>
      <c r="DB2241" t="str">
        <f>""</f>
        <v/>
      </c>
      <c r="DF2241" t="str">
        <f>""</f>
        <v/>
      </c>
    </row>
    <row r="2242" spans="1:110" ht="15" customHeight="1" x14ac:dyDescent="0.35">
      <c r="A2242" t="s">
        <v>15900</v>
      </c>
      <c r="B2242" t="s">
        <v>138</v>
      </c>
      <c r="C2242" s="1">
        <v>44375</v>
      </c>
      <c r="G2242" s="1">
        <v>44377</v>
      </c>
      <c r="H2242" t="s">
        <v>673</v>
      </c>
      <c r="I2242" t="s">
        <v>4686</v>
      </c>
      <c r="J2242" t="s">
        <v>10410</v>
      </c>
      <c r="L2242" t="s">
        <v>395</v>
      </c>
      <c r="M2242" t="s">
        <v>4688</v>
      </c>
      <c r="N2242" t="s">
        <v>4689</v>
      </c>
      <c r="O2242" t="s">
        <v>1259</v>
      </c>
      <c r="P2242" t="s">
        <v>178</v>
      </c>
      <c r="Q2242" s="3">
        <v>95815</v>
      </c>
      <c r="R2242" t="s">
        <v>128</v>
      </c>
      <c r="T2242" s="4">
        <v>19167979907</v>
      </c>
      <c r="V2242" t="s">
        <v>4690</v>
      </c>
      <c r="W2242" t="s">
        <v>15901</v>
      </c>
      <c r="Y2242" t="s">
        <v>4688</v>
      </c>
      <c r="Z2242" t="s">
        <v>4689</v>
      </c>
      <c r="AA2242" t="s">
        <v>1259</v>
      </c>
      <c r="AB2242" t="s">
        <v>172</v>
      </c>
      <c r="AC2242" s="3" t="str">
        <f>"95815"</f>
        <v>95815</v>
      </c>
      <c r="AD2242" t="s">
        <v>128</v>
      </c>
      <c r="AF2242" s="4">
        <v>19167979907</v>
      </c>
      <c r="AH2242" t="str">
        <f>"54111"</f>
        <v>54111</v>
      </c>
      <c r="AI2242" t="s">
        <v>167</v>
      </c>
      <c r="AX2242" t="s">
        <v>131</v>
      </c>
      <c r="AY2242" t="s">
        <v>131</v>
      </c>
      <c r="AZ2242" t="s">
        <v>131</v>
      </c>
      <c r="BA2242" t="s">
        <v>131</v>
      </c>
      <c r="BB2242" t="s">
        <v>131</v>
      </c>
      <c r="BC2242" t="s">
        <v>131</v>
      </c>
      <c r="BD2242" t="s">
        <v>131</v>
      </c>
      <c r="BE2242" t="s">
        <v>132</v>
      </c>
      <c r="BH2242" t="s">
        <v>4687</v>
      </c>
      <c r="BI2242" t="s">
        <v>135</v>
      </c>
      <c r="BJ2242" t="s">
        <v>4631</v>
      </c>
      <c r="BK2242" t="s">
        <v>4632</v>
      </c>
      <c r="BL2242" t="s">
        <v>188</v>
      </c>
      <c r="BN2242" t="s">
        <v>15902</v>
      </c>
      <c r="BO2242" t="s">
        <v>131</v>
      </c>
      <c r="BP2242" t="s">
        <v>134</v>
      </c>
      <c r="BQ2242" t="s">
        <v>131</v>
      </c>
      <c r="BS2242" t="str">
        <f t="shared" si="134"/>
        <v>N/A</v>
      </c>
      <c r="BT2242" t="s">
        <v>131</v>
      </c>
      <c r="BV2242" t="str">
        <f>""</f>
        <v/>
      </c>
      <c r="BW2242" t="s">
        <v>131</v>
      </c>
      <c r="BX2242" t="str">
        <f>""</f>
        <v/>
      </c>
      <c r="BY2242" t="str">
        <f>""</f>
        <v/>
      </c>
      <c r="BZ2242" t="str">
        <f>""</f>
        <v/>
      </c>
      <c r="CA2242" t="str">
        <f>""</f>
        <v/>
      </c>
      <c r="CB2242" t="s">
        <v>131</v>
      </c>
      <c r="CF2242" t="s">
        <v>131</v>
      </c>
      <c r="CH2242" t="str">
        <f>""</f>
        <v/>
      </c>
      <c r="CI2242" t="s">
        <v>131</v>
      </c>
      <c r="CK2242" t="s">
        <v>131</v>
      </c>
      <c r="CL2242" t="str">
        <f>""</f>
        <v/>
      </c>
      <c r="CM2242" t="str">
        <f>""</f>
        <v/>
      </c>
      <c r="CN2242" t="str">
        <f>""</f>
        <v/>
      </c>
      <c r="CO2242" t="str">
        <f>""</f>
        <v/>
      </c>
      <c r="CP2242" t="str">
        <f>"23-1011.00"</f>
        <v>23-1011.00</v>
      </c>
      <c r="CQ2242" t="s">
        <v>2563</v>
      </c>
      <c r="CR2242" t="s">
        <v>4687</v>
      </c>
      <c r="CS2242" t="s">
        <v>131</v>
      </c>
      <c r="CU2242" t="s">
        <v>4972</v>
      </c>
      <c r="CV2242" t="s">
        <v>4689</v>
      </c>
      <c r="CW2242" t="s">
        <v>1259</v>
      </c>
      <c r="CX2242" t="s">
        <v>172</v>
      </c>
      <c r="CZ2242" s="3" t="str">
        <f>"95815"</f>
        <v>95815</v>
      </c>
      <c r="DA2242" t="s">
        <v>131</v>
      </c>
      <c r="DB2242" t="str">
        <f>""</f>
        <v/>
      </c>
      <c r="DF2242" t="str">
        <f>""</f>
        <v/>
      </c>
    </row>
    <row r="2243" spans="1:110" ht="15" customHeight="1" x14ac:dyDescent="0.35">
      <c r="A2243" t="s">
        <v>12880</v>
      </c>
      <c r="B2243" t="s">
        <v>138</v>
      </c>
      <c r="C2243" s="1">
        <v>44375</v>
      </c>
      <c r="G2243" s="1">
        <v>44375</v>
      </c>
      <c r="H2243" t="s">
        <v>673</v>
      </c>
      <c r="I2243" t="s">
        <v>4378</v>
      </c>
      <c r="J2243" t="s">
        <v>1459</v>
      </c>
      <c r="L2243" t="s">
        <v>12184</v>
      </c>
      <c r="M2243" t="s">
        <v>8364</v>
      </c>
      <c r="N2243" t="s">
        <v>6292</v>
      </c>
      <c r="O2243" t="s">
        <v>885</v>
      </c>
      <c r="P2243" t="s">
        <v>412</v>
      </c>
      <c r="Q2243" s="3">
        <v>77230</v>
      </c>
      <c r="R2243" t="s">
        <v>128</v>
      </c>
      <c r="T2243" s="4">
        <v>17137921112</v>
      </c>
      <c r="V2243" t="s">
        <v>12881</v>
      </c>
      <c r="W2243" t="s">
        <v>3158</v>
      </c>
      <c r="X2243" t="s">
        <v>3159</v>
      </c>
      <c r="Y2243" t="s">
        <v>3160</v>
      </c>
      <c r="AA2243" t="s">
        <v>2832</v>
      </c>
      <c r="AB2243" t="s">
        <v>400</v>
      </c>
      <c r="AC2243" s="3" t="str">
        <f>"77030"</f>
        <v>77030</v>
      </c>
      <c r="AD2243" t="s">
        <v>128</v>
      </c>
      <c r="AF2243" s="4">
        <v>17137921112</v>
      </c>
      <c r="AH2243" t="str">
        <f>"611310"</f>
        <v>611310</v>
      </c>
      <c r="AI2243" t="s">
        <v>167</v>
      </c>
      <c r="AX2243" t="s">
        <v>135</v>
      </c>
      <c r="AY2243" t="s">
        <v>135</v>
      </c>
      <c r="AZ2243" t="s">
        <v>131</v>
      </c>
      <c r="BA2243" t="s">
        <v>131</v>
      </c>
      <c r="BB2243" t="s">
        <v>134</v>
      </c>
      <c r="BC2243" t="s">
        <v>131</v>
      </c>
      <c r="BD2243" t="s">
        <v>131</v>
      </c>
      <c r="BE2243" t="s">
        <v>132</v>
      </c>
      <c r="BH2243" t="s">
        <v>3885</v>
      </c>
      <c r="BI2243" t="s">
        <v>131</v>
      </c>
      <c r="BL2243" t="s">
        <v>447</v>
      </c>
      <c r="BN2243" t="s">
        <v>12882</v>
      </c>
      <c r="BO2243" t="s">
        <v>131</v>
      </c>
      <c r="BP2243" t="s">
        <v>134</v>
      </c>
      <c r="BQ2243" t="s">
        <v>131</v>
      </c>
      <c r="BS2243" t="str">
        <f t="shared" si="134"/>
        <v>N/A</v>
      </c>
      <c r="BT2243" t="s">
        <v>131</v>
      </c>
      <c r="BV2243" t="str">
        <f>""</f>
        <v/>
      </c>
      <c r="BW2243" t="s">
        <v>131</v>
      </c>
      <c r="BX2243" t="str">
        <f>""</f>
        <v/>
      </c>
      <c r="BY2243" t="str">
        <f>""</f>
        <v/>
      </c>
      <c r="BZ2243" t="str">
        <f>""</f>
        <v/>
      </c>
      <c r="CA2243" t="str">
        <f>""</f>
        <v/>
      </c>
      <c r="CB2243" t="s">
        <v>131</v>
      </c>
      <c r="CF2243" t="s">
        <v>131</v>
      </c>
      <c r="CH2243" t="str">
        <f>""</f>
        <v/>
      </c>
      <c r="CI2243" t="s">
        <v>131</v>
      </c>
      <c r="CK2243" t="s">
        <v>131</v>
      </c>
      <c r="CL2243" t="str">
        <f>""</f>
        <v/>
      </c>
      <c r="CM2243" t="str">
        <f>""</f>
        <v/>
      </c>
      <c r="CN2243" t="str">
        <f>""</f>
        <v/>
      </c>
      <c r="CO2243" t="str">
        <f>""</f>
        <v/>
      </c>
      <c r="CP2243" t="str">
        <f>"19-1042.00"</f>
        <v>19-1042.00</v>
      </c>
      <c r="CQ2243" t="s">
        <v>2902</v>
      </c>
      <c r="CR2243" t="s">
        <v>2929</v>
      </c>
      <c r="CS2243" t="s">
        <v>131</v>
      </c>
      <c r="CU2243" t="s">
        <v>8365</v>
      </c>
      <c r="CW2243" t="s">
        <v>885</v>
      </c>
      <c r="CX2243" t="s">
        <v>400</v>
      </c>
      <c r="CZ2243" s="3" t="str">
        <f>"77054"</f>
        <v>77054</v>
      </c>
      <c r="DA2243" t="s">
        <v>135</v>
      </c>
      <c r="DB2243" t="str">
        <f>""</f>
        <v/>
      </c>
      <c r="DF2243" t="str">
        <f>""</f>
        <v/>
      </c>
    </row>
    <row r="2244" spans="1:110" ht="15" customHeight="1" x14ac:dyDescent="0.35">
      <c r="A2244" t="s">
        <v>19685</v>
      </c>
      <c r="B2244" t="s">
        <v>138</v>
      </c>
      <c r="C2244" s="1">
        <v>44323</v>
      </c>
      <c r="G2244" s="1">
        <v>44336</v>
      </c>
      <c r="H2244" t="s">
        <v>4330</v>
      </c>
      <c r="I2244" t="s">
        <v>19686</v>
      </c>
      <c r="J2244" t="s">
        <v>14283</v>
      </c>
      <c r="L2244" t="s">
        <v>1264</v>
      </c>
      <c r="M2244" t="s">
        <v>19687</v>
      </c>
      <c r="N2244" t="s">
        <v>9483</v>
      </c>
      <c r="O2244" t="s">
        <v>16487</v>
      </c>
      <c r="P2244" t="s">
        <v>539</v>
      </c>
      <c r="Q2244" s="3">
        <v>60014</v>
      </c>
      <c r="R2244" t="s">
        <v>128</v>
      </c>
      <c r="T2244" s="4">
        <v>18476395800</v>
      </c>
      <c r="U2244">
        <v>150</v>
      </c>
      <c r="V2244" t="s">
        <v>19688</v>
      </c>
      <c r="W2244" t="s">
        <v>19689</v>
      </c>
      <c r="X2244" t="s">
        <v>19690</v>
      </c>
      <c r="Y2244" t="s">
        <v>19687</v>
      </c>
      <c r="Z2244" t="s">
        <v>9483</v>
      </c>
      <c r="AA2244" t="s">
        <v>16487</v>
      </c>
      <c r="AB2244" t="s">
        <v>263</v>
      </c>
      <c r="AC2244" s="3" t="str">
        <f>"60014"</f>
        <v>60014</v>
      </c>
      <c r="AD2244" t="s">
        <v>128</v>
      </c>
      <c r="AF2244" s="4">
        <v>18476395800</v>
      </c>
      <c r="AH2244" t="str">
        <f>"621391"</f>
        <v>621391</v>
      </c>
      <c r="AI2244" t="s">
        <v>167</v>
      </c>
      <c r="AX2244" t="s">
        <v>131</v>
      </c>
      <c r="AY2244" t="s">
        <v>131</v>
      </c>
      <c r="AZ2244" t="s">
        <v>131</v>
      </c>
      <c r="BA2244" t="s">
        <v>131</v>
      </c>
      <c r="BB2244" t="s">
        <v>131</v>
      </c>
      <c r="BC2244" t="s">
        <v>131</v>
      </c>
      <c r="BD2244" t="s">
        <v>131</v>
      </c>
      <c r="BE2244" t="s">
        <v>132</v>
      </c>
      <c r="BH2244" t="s">
        <v>19691</v>
      </c>
      <c r="BI2244" t="s">
        <v>131</v>
      </c>
      <c r="BL2244" t="s">
        <v>658</v>
      </c>
      <c r="BM2244" t="s">
        <v>19692</v>
      </c>
      <c r="BN2244" t="s">
        <v>19693</v>
      </c>
      <c r="BO2244" t="s">
        <v>131</v>
      </c>
      <c r="BP2244" t="s">
        <v>134</v>
      </c>
      <c r="BQ2244" t="s">
        <v>131</v>
      </c>
      <c r="BS2244" t="str">
        <f t="shared" si="134"/>
        <v>N/A</v>
      </c>
      <c r="BT2244" t="s">
        <v>135</v>
      </c>
      <c r="BU2244">
        <v>84</v>
      </c>
      <c r="BV2244" t="str">
        <f>"Completing Doctor Podiatric Medicine Degree, 3  years surgical residency"</f>
        <v>Completing Doctor Podiatric Medicine Degree, 3  years surgical residency</v>
      </c>
      <c r="BW2244" t="s">
        <v>135</v>
      </c>
      <c r="BX2244" t="str">
        <f>"Il State License# 016005837"</f>
        <v>Il State License# 016005837</v>
      </c>
      <c r="BY2244" t="str">
        <f>""</f>
        <v/>
      </c>
      <c r="BZ2244" t="str">
        <f>"Completed Residency at Rush University Medical Center 2016-2019"</f>
        <v>Completed Residency at Rush University Medical Center 2016-2019</v>
      </c>
      <c r="CA2244" t="str">
        <f>""</f>
        <v/>
      </c>
      <c r="CB2244" t="s">
        <v>131</v>
      </c>
      <c r="CF2244" t="s">
        <v>131</v>
      </c>
      <c r="CH2244" t="str">
        <f>""</f>
        <v/>
      </c>
      <c r="CI2244" t="s">
        <v>131</v>
      </c>
      <c r="CK2244" t="s">
        <v>131</v>
      </c>
      <c r="CL2244" t="str">
        <f>""</f>
        <v/>
      </c>
      <c r="CM2244" t="str">
        <f>""</f>
        <v/>
      </c>
      <c r="CN2244" t="str">
        <f>""</f>
        <v/>
      </c>
      <c r="CO2244" t="str">
        <f>""</f>
        <v/>
      </c>
      <c r="CP2244" t="str">
        <f>"29-1081.00"</f>
        <v>29-1081.00</v>
      </c>
      <c r="CQ2244" t="s">
        <v>19694</v>
      </c>
      <c r="CR2244" t="s">
        <v>19691</v>
      </c>
      <c r="CS2244" t="s">
        <v>131</v>
      </c>
      <c r="CU2244" t="s">
        <v>19695</v>
      </c>
      <c r="CW2244" t="s">
        <v>16487</v>
      </c>
      <c r="CX2244" t="s">
        <v>263</v>
      </c>
      <c r="CZ2244" s="3" t="str">
        <f>"60014"</f>
        <v>60014</v>
      </c>
      <c r="DA2244" t="s">
        <v>131</v>
      </c>
      <c r="DB2244" t="str">
        <f>""</f>
        <v/>
      </c>
      <c r="DF2244" t="str">
        <f>""</f>
        <v/>
      </c>
    </row>
    <row r="2245" spans="1:110" ht="15" customHeight="1" x14ac:dyDescent="0.35">
      <c r="A2245" t="s">
        <v>15659</v>
      </c>
      <c r="B2245" t="s">
        <v>138</v>
      </c>
      <c r="C2245" s="1">
        <v>44350</v>
      </c>
      <c r="G2245" s="1">
        <v>44353</v>
      </c>
      <c r="H2245" t="s">
        <v>4330</v>
      </c>
      <c r="I2245" t="s">
        <v>15660</v>
      </c>
      <c r="J2245" t="s">
        <v>1601</v>
      </c>
      <c r="L2245" t="s">
        <v>1203</v>
      </c>
      <c r="M2245" t="s">
        <v>15661</v>
      </c>
      <c r="N2245" t="s">
        <v>15662</v>
      </c>
      <c r="O2245" t="s">
        <v>220</v>
      </c>
      <c r="P2245" t="s">
        <v>178</v>
      </c>
      <c r="Q2245" s="3">
        <v>94158</v>
      </c>
      <c r="R2245" t="s">
        <v>128</v>
      </c>
      <c r="T2245" s="4">
        <v>12243069122</v>
      </c>
      <c r="V2245" t="s">
        <v>15663</v>
      </c>
      <c r="W2245" t="s">
        <v>15664</v>
      </c>
      <c r="Y2245" t="s">
        <v>15665</v>
      </c>
      <c r="AA2245" t="s">
        <v>220</v>
      </c>
      <c r="AB2245" t="s">
        <v>172</v>
      </c>
      <c r="AC2245" s="3" t="str">
        <f>"94107"</f>
        <v>94107</v>
      </c>
      <c r="AD2245" t="s">
        <v>128</v>
      </c>
      <c r="AF2245" s="4">
        <v>12243069122</v>
      </c>
      <c r="AH2245" t="str">
        <f>"541511"</f>
        <v>541511</v>
      </c>
      <c r="AI2245" t="s">
        <v>167</v>
      </c>
      <c r="AX2245" t="s">
        <v>131</v>
      </c>
      <c r="AY2245" t="s">
        <v>131</v>
      </c>
      <c r="AZ2245" t="s">
        <v>131</v>
      </c>
      <c r="BA2245" t="s">
        <v>131</v>
      </c>
      <c r="BB2245" t="s">
        <v>131</v>
      </c>
      <c r="BC2245" t="s">
        <v>131</v>
      </c>
      <c r="BD2245" t="s">
        <v>131</v>
      </c>
      <c r="BE2245" t="s">
        <v>1948</v>
      </c>
      <c r="BH2245" t="s">
        <v>14237</v>
      </c>
      <c r="BI2245" t="s">
        <v>131</v>
      </c>
      <c r="BL2245" t="s">
        <v>133</v>
      </c>
      <c r="BN2245" t="s">
        <v>15666</v>
      </c>
      <c r="BO2245" t="s">
        <v>131</v>
      </c>
      <c r="BP2245" t="s">
        <v>134</v>
      </c>
      <c r="BQ2245" t="s">
        <v>131</v>
      </c>
      <c r="BS2245" t="str">
        <f t="shared" si="134"/>
        <v>N/A</v>
      </c>
      <c r="BT2245" t="s">
        <v>131</v>
      </c>
      <c r="BV2245" t="str">
        <f>""</f>
        <v/>
      </c>
      <c r="BW2245" t="s">
        <v>131</v>
      </c>
      <c r="BX2245" t="str">
        <f>""</f>
        <v/>
      </c>
      <c r="BY2245" t="str">
        <f>""</f>
        <v/>
      </c>
      <c r="BZ2245" t="str">
        <f>""</f>
        <v/>
      </c>
      <c r="CA2245" t="str">
        <f>""</f>
        <v/>
      </c>
      <c r="CB2245" t="s">
        <v>131</v>
      </c>
      <c r="CF2245" t="s">
        <v>131</v>
      </c>
      <c r="CH2245" t="str">
        <f>""</f>
        <v/>
      </c>
      <c r="CI2245" t="s">
        <v>131</v>
      </c>
      <c r="CK2245" t="s">
        <v>131</v>
      </c>
      <c r="CL2245" t="str">
        <f>""</f>
        <v/>
      </c>
      <c r="CM2245" t="str">
        <f>""</f>
        <v/>
      </c>
      <c r="CN2245" t="str">
        <f>""</f>
        <v/>
      </c>
      <c r="CO2245" t="str">
        <f>""</f>
        <v/>
      </c>
      <c r="CP2245" t="str">
        <f>"15-1132.00"</f>
        <v>15-1132.00</v>
      </c>
      <c r="CQ2245" t="s">
        <v>198</v>
      </c>
      <c r="CS2245" t="s">
        <v>131</v>
      </c>
      <c r="CU2245" t="s">
        <v>10834</v>
      </c>
      <c r="CV2245" t="s">
        <v>4559</v>
      </c>
      <c r="CW2245" t="s">
        <v>1500</v>
      </c>
      <c r="CX2245" t="s">
        <v>129</v>
      </c>
      <c r="CZ2245" s="3" t="str">
        <f>"11201"</f>
        <v>11201</v>
      </c>
      <c r="DA2245" t="s">
        <v>131</v>
      </c>
      <c r="DB2245" t="str">
        <f>""</f>
        <v/>
      </c>
      <c r="DF2245" t="str">
        <f>""</f>
        <v/>
      </c>
    </row>
    <row r="2246" spans="1:110" ht="15" customHeight="1" x14ac:dyDescent="0.35">
      <c r="A2246" t="s">
        <v>19897</v>
      </c>
      <c r="B2246" t="s">
        <v>138</v>
      </c>
      <c r="C2246" s="1">
        <v>44358</v>
      </c>
      <c r="G2246" s="1">
        <v>44358</v>
      </c>
      <c r="H2246" t="s">
        <v>4330</v>
      </c>
      <c r="I2246" t="s">
        <v>2741</v>
      </c>
      <c r="J2246" t="s">
        <v>2742</v>
      </c>
      <c r="K2246" t="s">
        <v>19898</v>
      </c>
      <c r="L2246" t="s">
        <v>5011</v>
      </c>
      <c r="M2246" t="s">
        <v>2743</v>
      </c>
      <c r="N2246" t="s">
        <v>2744</v>
      </c>
      <c r="O2246" t="s">
        <v>616</v>
      </c>
      <c r="P2246" t="s">
        <v>194</v>
      </c>
      <c r="Q2246" s="3">
        <v>33131</v>
      </c>
      <c r="R2246" t="s">
        <v>128</v>
      </c>
      <c r="T2246" s="4">
        <v>13055302908</v>
      </c>
      <c r="V2246" t="s">
        <v>2745</v>
      </c>
      <c r="W2246" t="s">
        <v>2746</v>
      </c>
      <c r="X2246" t="s">
        <v>19899</v>
      </c>
      <c r="Y2246" t="s">
        <v>2743</v>
      </c>
      <c r="Z2246" t="s">
        <v>2744</v>
      </c>
      <c r="AA2246" t="s">
        <v>616</v>
      </c>
      <c r="AB2246" t="s">
        <v>195</v>
      </c>
      <c r="AC2246" s="3" t="str">
        <f>"33131"</f>
        <v>33131</v>
      </c>
      <c r="AD2246" t="s">
        <v>128</v>
      </c>
      <c r="AF2246" s="4">
        <v>13055392908</v>
      </c>
      <c r="AH2246" t="str">
        <f>"522110"</f>
        <v>522110</v>
      </c>
      <c r="AI2246" t="s">
        <v>130</v>
      </c>
      <c r="AJ2246" t="s">
        <v>2747</v>
      </c>
      <c r="AK2246" t="s">
        <v>2748</v>
      </c>
      <c r="AM2246" t="s">
        <v>2749</v>
      </c>
      <c r="AN2246" t="s">
        <v>2750</v>
      </c>
      <c r="AO2246" t="s">
        <v>620</v>
      </c>
      <c r="AP2246" t="s">
        <v>195</v>
      </c>
      <c r="AQ2246" s="5">
        <v>33134</v>
      </c>
      <c r="AR2246" t="s">
        <v>128</v>
      </c>
      <c r="AT2246" s="4">
        <v>13057772677</v>
      </c>
      <c r="AV2246" t="s">
        <v>2751</v>
      </c>
      <c r="AW2246" t="s">
        <v>2752</v>
      </c>
      <c r="AX2246" t="s">
        <v>131</v>
      </c>
      <c r="AY2246" t="s">
        <v>131</v>
      </c>
      <c r="AZ2246" t="s">
        <v>131</v>
      </c>
      <c r="BA2246" t="s">
        <v>131</v>
      </c>
      <c r="BB2246" t="s">
        <v>131</v>
      </c>
      <c r="BC2246" t="s">
        <v>131</v>
      </c>
      <c r="BD2246" t="s">
        <v>131</v>
      </c>
      <c r="BE2246" t="s">
        <v>132</v>
      </c>
      <c r="BH2246" t="s">
        <v>5012</v>
      </c>
      <c r="BI2246" t="s">
        <v>135</v>
      </c>
      <c r="BJ2246" t="s">
        <v>5013</v>
      </c>
      <c r="BK2246" t="s">
        <v>586</v>
      </c>
      <c r="BL2246" t="s">
        <v>133</v>
      </c>
      <c r="BN2246" t="s">
        <v>5014</v>
      </c>
      <c r="BO2246" t="s">
        <v>131</v>
      </c>
      <c r="BP2246" t="s">
        <v>134</v>
      </c>
      <c r="BQ2246" t="s">
        <v>131</v>
      </c>
      <c r="BS2246" t="str">
        <f t="shared" si="134"/>
        <v>N/A</v>
      </c>
      <c r="BT2246" t="s">
        <v>135</v>
      </c>
      <c r="BU2246">
        <v>60</v>
      </c>
      <c r="BV2246" t="str">
        <f>"Experience leading and managing a large team of private bankers with combined assets under management of at least $1 Billion U.S. Dollars. "</f>
        <v xml:space="preserve">Experience leading and managing a large team of private bankers with combined assets under management of at least $1 Billion U.S. Dollars. </v>
      </c>
      <c r="BW2246" t="s">
        <v>131</v>
      </c>
      <c r="BX2246" t="str">
        <f>""</f>
        <v/>
      </c>
      <c r="BY2246" t="str">
        <f>""</f>
        <v/>
      </c>
      <c r="BZ2246" t="str">
        <f>""</f>
        <v/>
      </c>
      <c r="CA2246" t="str">
        <f>""</f>
        <v/>
      </c>
      <c r="CB2246" t="s">
        <v>131</v>
      </c>
      <c r="CF2246" t="s">
        <v>131</v>
      </c>
      <c r="CH2246" t="str">
        <f>""</f>
        <v/>
      </c>
      <c r="CI2246" t="s">
        <v>131</v>
      </c>
      <c r="CK2246" t="s">
        <v>131</v>
      </c>
      <c r="CL2246" t="str">
        <f>""</f>
        <v/>
      </c>
      <c r="CM2246" t="str">
        <f>""</f>
        <v/>
      </c>
      <c r="CN2246" t="str">
        <f>""</f>
        <v/>
      </c>
      <c r="CO2246" t="str">
        <f>""</f>
        <v/>
      </c>
      <c r="CP2246" t="str">
        <f>"11-3031.00"</f>
        <v>11-3031.00</v>
      </c>
      <c r="CQ2246" t="s">
        <v>810</v>
      </c>
      <c r="CR2246" t="s">
        <v>19900</v>
      </c>
      <c r="CS2246" t="s">
        <v>135</v>
      </c>
      <c r="CT2246" t="s">
        <v>19901</v>
      </c>
      <c r="CU2246" t="s">
        <v>2749</v>
      </c>
      <c r="CV2246" t="s">
        <v>2750</v>
      </c>
      <c r="CW2246" t="s">
        <v>620</v>
      </c>
      <c r="CX2246" t="s">
        <v>195</v>
      </c>
      <c r="CZ2246" s="3" t="str">
        <f>"33134"</f>
        <v>33134</v>
      </c>
      <c r="DA2246" t="s">
        <v>131</v>
      </c>
      <c r="DB2246" t="str">
        <f>""</f>
        <v/>
      </c>
      <c r="DF2246" t="str">
        <f>""</f>
        <v/>
      </c>
    </row>
    <row r="2247" spans="1:110" ht="15" customHeight="1" x14ac:dyDescent="0.35">
      <c r="A2247" t="s">
        <v>15082</v>
      </c>
      <c r="B2247" t="s">
        <v>138</v>
      </c>
      <c r="C2247" s="1">
        <v>44361</v>
      </c>
      <c r="G2247" s="1">
        <v>44361</v>
      </c>
      <c r="H2247" t="s">
        <v>4330</v>
      </c>
      <c r="I2247" t="s">
        <v>2473</v>
      </c>
      <c r="J2247" t="s">
        <v>6703</v>
      </c>
      <c r="L2247" t="s">
        <v>2479</v>
      </c>
      <c r="M2247" t="s">
        <v>12537</v>
      </c>
      <c r="N2247" t="s">
        <v>1779</v>
      </c>
      <c r="O2247" t="s">
        <v>1521</v>
      </c>
      <c r="P2247" t="s">
        <v>194</v>
      </c>
      <c r="Q2247" s="3">
        <v>33122</v>
      </c>
      <c r="R2247" t="s">
        <v>128</v>
      </c>
      <c r="T2247" s="4">
        <v>17815228900</v>
      </c>
      <c r="V2247" t="s">
        <v>12538</v>
      </c>
      <c r="W2247" t="s">
        <v>15083</v>
      </c>
      <c r="Y2247" t="s">
        <v>12537</v>
      </c>
      <c r="Z2247" t="s">
        <v>1779</v>
      </c>
      <c r="AA2247" t="s">
        <v>1521</v>
      </c>
      <c r="AB2247" t="s">
        <v>195</v>
      </c>
      <c r="AC2247" s="3" t="str">
        <f>"33122"</f>
        <v>33122</v>
      </c>
      <c r="AD2247" t="s">
        <v>128</v>
      </c>
      <c r="AF2247" s="4">
        <v>17815228900</v>
      </c>
      <c r="AH2247" t="str">
        <f>"511210"</f>
        <v>511210</v>
      </c>
      <c r="AI2247" t="s">
        <v>130</v>
      </c>
      <c r="AJ2247" t="s">
        <v>1622</v>
      </c>
      <c r="AK2247" t="s">
        <v>1623</v>
      </c>
      <c r="AL2247" t="s">
        <v>1624</v>
      </c>
      <c r="AM2247" t="s">
        <v>4386</v>
      </c>
      <c r="AN2247" t="s">
        <v>4387</v>
      </c>
      <c r="AO2247" t="s">
        <v>719</v>
      </c>
      <c r="AP2247" t="s">
        <v>377</v>
      </c>
      <c r="AQ2247" s="5">
        <v>1701</v>
      </c>
      <c r="AR2247" t="s">
        <v>128</v>
      </c>
      <c r="AT2247" s="4">
        <v>15085323527</v>
      </c>
      <c r="AV2247" t="s">
        <v>4388</v>
      </c>
      <c r="AW2247" t="s">
        <v>4389</v>
      </c>
      <c r="AX2247" t="s">
        <v>131</v>
      </c>
      <c r="AY2247" t="s">
        <v>131</v>
      </c>
      <c r="AZ2247" t="s">
        <v>131</v>
      </c>
      <c r="BA2247" t="s">
        <v>131</v>
      </c>
      <c r="BB2247" t="s">
        <v>131</v>
      </c>
      <c r="BC2247" t="s">
        <v>131</v>
      </c>
      <c r="BD2247" t="s">
        <v>131</v>
      </c>
      <c r="BE2247" t="s">
        <v>132</v>
      </c>
      <c r="BH2247" t="s">
        <v>12539</v>
      </c>
      <c r="BI2247" t="s">
        <v>131</v>
      </c>
      <c r="BL2247" t="s">
        <v>133</v>
      </c>
      <c r="BN2247" t="s">
        <v>12540</v>
      </c>
      <c r="BO2247" t="s">
        <v>131</v>
      </c>
      <c r="BP2247" t="s">
        <v>134</v>
      </c>
      <c r="BQ2247" t="s">
        <v>131</v>
      </c>
      <c r="BS2247" t="str">
        <f t="shared" si="134"/>
        <v>N/A</v>
      </c>
      <c r="BT2247" t="s">
        <v>135</v>
      </c>
      <c r="BU2247">
        <v>48</v>
      </c>
      <c r="BV2247" t="str">
        <f>"job offered or a related position"</f>
        <v>job offered or a related position</v>
      </c>
      <c r="BW2247" t="s">
        <v>135</v>
      </c>
      <c r="BX2247" t="str">
        <f>""</f>
        <v/>
      </c>
      <c r="BY2247" t="str">
        <f>""</f>
        <v/>
      </c>
      <c r="BZ2247" t="str">
        <f>""</f>
        <v/>
      </c>
      <c r="CA2247" t="s">
        <v>12541</v>
      </c>
      <c r="CB2247" t="s">
        <v>135</v>
      </c>
      <c r="CC2247" t="s">
        <v>658</v>
      </c>
      <c r="CD2247" t="s">
        <v>15084</v>
      </c>
      <c r="CE2247" t="s">
        <v>12540</v>
      </c>
      <c r="CF2247" t="s">
        <v>131</v>
      </c>
      <c r="CH2247" t="str">
        <f>"N/A"</f>
        <v>N/A</v>
      </c>
      <c r="CI2247" t="s">
        <v>135</v>
      </c>
      <c r="CJ2247">
        <v>60</v>
      </c>
      <c r="CK2247" t="s">
        <v>135</v>
      </c>
      <c r="CL2247" t="str">
        <f>""</f>
        <v/>
      </c>
      <c r="CM2247" t="str">
        <f>""</f>
        <v/>
      </c>
      <c r="CN2247" t="str">
        <f>""</f>
        <v/>
      </c>
      <c r="CO2247" t="s">
        <v>12541</v>
      </c>
      <c r="CP2247" t="str">
        <f>"15-1121.00"</f>
        <v>15-1121.00</v>
      </c>
      <c r="CQ2247" t="s">
        <v>283</v>
      </c>
      <c r="CR2247" t="s">
        <v>12543</v>
      </c>
      <c r="CS2247" t="s">
        <v>131</v>
      </c>
      <c r="CU2247" t="s">
        <v>12544</v>
      </c>
      <c r="CV2247" t="s">
        <v>2558</v>
      </c>
      <c r="CW2247" t="s">
        <v>1069</v>
      </c>
      <c r="CX2247" t="s">
        <v>400</v>
      </c>
      <c r="CZ2247" s="3" t="str">
        <f>"75062"</f>
        <v>75062</v>
      </c>
      <c r="DA2247" t="s">
        <v>131</v>
      </c>
      <c r="DB2247" t="str">
        <f>""</f>
        <v/>
      </c>
      <c r="DF2247" t="str">
        <f>""</f>
        <v/>
      </c>
    </row>
    <row r="2248" spans="1:110" ht="15" customHeight="1" x14ac:dyDescent="0.35">
      <c r="A2248" t="s">
        <v>6936</v>
      </c>
      <c r="B2248" t="s">
        <v>138</v>
      </c>
      <c r="C2248" s="1">
        <v>44365</v>
      </c>
      <c r="G2248" s="1">
        <v>44369</v>
      </c>
      <c r="H2248" t="s">
        <v>4330</v>
      </c>
      <c r="I2248" t="s">
        <v>2411</v>
      </c>
      <c r="J2248" t="s">
        <v>6937</v>
      </c>
      <c r="K2248" t="s">
        <v>5478</v>
      </c>
      <c r="L2248" t="s">
        <v>199</v>
      </c>
      <c r="M2248" t="s">
        <v>6938</v>
      </c>
      <c r="N2248" t="s">
        <v>788</v>
      </c>
      <c r="O2248" t="s">
        <v>6939</v>
      </c>
      <c r="P2248" t="s">
        <v>178</v>
      </c>
      <c r="Q2248" s="3">
        <v>94002</v>
      </c>
      <c r="R2248" t="s">
        <v>128</v>
      </c>
      <c r="T2248" s="4">
        <v>14152272256</v>
      </c>
      <c r="V2248" t="s">
        <v>6940</v>
      </c>
      <c r="W2248" t="s">
        <v>6941</v>
      </c>
      <c r="X2248" t="s">
        <v>6942</v>
      </c>
      <c r="Y2248" t="s">
        <v>6938</v>
      </c>
      <c r="Z2248" t="s">
        <v>788</v>
      </c>
      <c r="AA2248" t="s">
        <v>6939</v>
      </c>
      <c r="AB2248" t="s">
        <v>172</v>
      </c>
      <c r="AC2248" s="3" t="str">
        <f>"94002"</f>
        <v>94002</v>
      </c>
      <c r="AD2248" t="s">
        <v>128</v>
      </c>
      <c r="AF2248" s="4">
        <v>14152272256</v>
      </c>
      <c r="AH2248" t="str">
        <f>"523920"</f>
        <v>523920</v>
      </c>
      <c r="AI2248" t="s">
        <v>167</v>
      </c>
      <c r="AX2248" t="s">
        <v>131</v>
      </c>
      <c r="AY2248" t="s">
        <v>131</v>
      </c>
      <c r="AZ2248" t="s">
        <v>131</v>
      </c>
      <c r="BA2248" t="s">
        <v>131</v>
      </c>
      <c r="BB2248" t="s">
        <v>131</v>
      </c>
      <c r="BC2248" t="s">
        <v>131</v>
      </c>
      <c r="BD2248" t="s">
        <v>131</v>
      </c>
      <c r="BE2248" t="s">
        <v>132</v>
      </c>
      <c r="BH2248" t="s">
        <v>671</v>
      </c>
      <c r="BI2248" t="s">
        <v>131</v>
      </c>
      <c r="BL2248" t="s">
        <v>133</v>
      </c>
      <c r="BN2248" t="s">
        <v>6943</v>
      </c>
      <c r="BO2248" t="s">
        <v>131</v>
      </c>
      <c r="BP2248" t="s">
        <v>134</v>
      </c>
      <c r="BQ2248" t="s">
        <v>131</v>
      </c>
      <c r="BS2248" t="str">
        <f t="shared" si="134"/>
        <v>N/A</v>
      </c>
      <c r="BT2248" t="s">
        <v>135</v>
      </c>
      <c r="BU2248">
        <v>36</v>
      </c>
      <c r="BV2248" t="str">
        <f>"Financial accounting"</f>
        <v>Financial accounting</v>
      </c>
      <c r="BW2248" t="s">
        <v>131</v>
      </c>
      <c r="BX2248" t="str">
        <f>""</f>
        <v/>
      </c>
      <c r="BY2248" t="str">
        <f>""</f>
        <v/>
      </c>
      <c r="BZ2248" t="str">
        <f>""</f>
        <v/>
      </c>
      <c r="CA2248" t="str">
        <f>""</f>
        <v/>
      </c>
      <c r="CB2248" t="s">
        <v>131</v>
      </c>
      <c r="CF2248" t="s">
        <v>131</v>
      </c>
      <c r="CH2248" t="str">
        <f>""</f>
        <v/>
      </c>
      <c r="CI2248" t="s">
        <v>131</v>
      </c>
      <c r="CK2248" t="s">
        <v>131</v>
      </c>
      <c r="CL2248" t="str">
        <f>""</f>
        <v/>
      </c>
      <c r="CM2248" t="str">
        <f>""</f>
        <v/>
      </c>
      <c r="CN2248" t="str">
        <f>""</f>
        <v/>
      </c>
      <c r="CO2248" t="str">
        <f>""</f>
        <v/>
      </c>
      <c r="CP2248" t="str">
        <f>"13-2011.01"</f>
        <v>13-2011.01</v>
      </c>
      <c r="CQ2248" t="s">
        <v>1796</v>
      </c>
      <c r="CR2248" t="s">
        <v>671</v>
      </c>
      <c r="CS2248" t="s">
        <v>131</v>
      </c>
      <c r="CU2248" t="s">
        <v>6938</v>
      </c>
      <c r="CV2248" t="s">
        <v>788</v>
      </c>
      <c r="CW2248" t="s">
        <v>6939</v>
      </c>
      <c r="CX2248" t="s">
        <v>172</v>
      </c>
      <c r="CZ2248" s="3" t="str">
        <f>"94002"</f>
        <v>94002</v>
      </c>
      <c r="DA2248" t="s">
        <v>131</v>
      </c>
      <c r="DB2248" t="str">
        <f>""</f>
        <v/>
      </c>
      <c r="DF2248" t="str">
        <f>""</f>
        <v/>
      </c>
    </row>
    <row r="2249" spans="1:110" ht="15" customHeight="1" x14ac:dyDescent="0.35">
      <c r="A2249" t="s">
        <v>7355</v>
      </c>
      <c r="B2249" t="s">
        <v>138</v>
      </c>
      <c r="C2249" s="1">
        <v>44319</v>
      </c>
      <c r="G2249" s="1">
        <v>44319</v>
      </c>
      <c r="H2249" t="s">
        <v>319</v>
      </c>
      <c r="I2249" t="s">
        <v>7356</v>
      </c>
      <c r="J2249" t="s">
        <v>435</v>
      </c>
      <c r="L2249" t="s">
        <v>395</v>
      </c>
      <c r="M2249" t="s">
        <v>7357</v>
      </c>
      <c r="O2249" t="s">
        <v>7358</v>
      </c>
      <c r="P2249" t="s">
        <v>826</v>
      </c>
      <c r="Q2249" s="3">
        <v>21030</v>
      </c>
      <c r="R2249" t="s">
        <v>128</v>
      </c>
      <c r="T2249" s="4">
        <v>14107711970</v>
      </c>
      <c r="V2249" t="s">
        <v>134</v>
      </c>
      <c r="W2249" t="s">
        <v>7359</v>
      </c>
      <c r="Y2249" t="s">
        <v>7357</v>
      </c>
      <c r="AA2249" t="s">
        <v>7358</v>
      </c>
      <c r="AB2249" t="s">
        <v>382</v>
      </c>
      <c r="AC2249" s="3" t="str">
        <f>"21030"</f>
        <v>21030</v>
      </c>
      <c r="AD2249" t="s">
        <v>128</v>
      </c>
      <c r="AF2249" s="4">
        <v>14107711970</v>
      </c>
      <c r="AH2249" t="str">
        <f>"56173"</f>
        <v>56173</v>
      </c>
      <c r="AI2249" t="s">
        <v>287</v>
      </c>
      <c r="AJ2249" t="s">
        <v>414</v>
      </c>
      <c r="AK2249" t="s">
        <v>301</v>
      </c>
      <c r="AL2249" t="s">
        <v>415</v>
      </c>
      <c r="AM2249" t="s">
        <v>7360</v>
      </c>
      <c r="AN2249" t="s">
        <v>7361</v>
      </c>
      <c r="AO2249" t="s">
        <v>1513</v>
      </c>
      <c r="AP2249" t="s">
        <v>400</v>
      </c>
      <c r="AQ2249" s="5">
        <v>75231</v>
      </c>
      <c r="AR2249" t="s">
        <v>128</v>
      </c>
      <c r="AT2249" s="4">
        <v>12145265665</v>
      </c>
      <c r="AV2249" t="s">
        <v>7362</v>
      </c>
      <c r="AW2249" t="s">
        <v>7363</v>
      </c>
      <c r="AX2249" t="s">
        <v>131</v>
      </c>
      <c r="AY2249" t="s">
        <v>131</v>
      </c>
      <c r="AZ2249" t="s">
        <v>131</v>
      </c>
      <c r="BA2249" t="s">
        <v>131</v>
      </c>
      <c r="BB2249" t="s">
        <v>131</v>
      </c>
      <c r="BC2249" t="s">
        <v>131</v>
      </c>
      <c r="BD2249" t="s">
        <v>131</v>
      </c>
      <c r="BE2249" t="s">
        <v>132</v>
      </c>
      <c r="BH2249" t="s">
        <v>2215</v>
      </c>
      <c r="BI2249" t="s">
        <v>131</v>
      </c>
      <c r="BL2249" t="s">
        <v>167</v>
      </c>
      <c r="BO2249" t="s">
        <v>131</v>
      </c>
      <c r="BP2249" t="s">
        <v>134</v>
      </c>
      <c r="BQ2249" t="s">
        <v>131</v>
      </c>
      <c r="BS2249" t="str">
        <f t="shared" si="134"/>
        <v>N/A</v>
      </c>
      <c r="BT2249" t="s">
        <v>131</v>
      </c>
      <c r="BV2249" t="str">
        <f>""</f>
        <v/>
      </c>
      <c r="BW2249" t="s">
        <v>135</v>
      </c>
      <c r="BX2249" t="str">
        <f>""</f>
        <v/>
      </c>
      <c r="BY2249" t="str">
        <f>""</f>
        <v/>
      </c>
      <c r="BZ2249" t="str">
        <f>""</f>
        <v/>
      </c>
      <c r="CA2249" t="str">
        <f>"Must be able to lift 50 lbs, work in adverse weather conditions &amp; pass a post-employment drug test paid by employer. "</f>
        <v xml:space="preserve">Must be able to lift 50 lbs, work in adverse weather conditions &amp; pass a post-employment drug test paid by employer. </v>
      </c>
      <c r="CB2249" t="s">
        <v>131</v>
      </c>
      <c r="CF2249" t="s">
        <v>131</v>
      </c>
      <c r="CH2249" t="str">
        <f>""</f>
        <v/>
      </c>
      <c r="CI2249" t="s">
        <v>131</v>
      </c>
      <c r="CK2249" t="s">
        <v>131</v>
      </c>
      <c r="CL2249" t="str">
        <f>""</f>
        <v/>
      </c>
      <c r="CM2249" t="str">
        <f>""</f>
        <v/>
      </c>
      <c r="CN2249" t="str">
        <f>""</f>
        <v/>
      </c>
      <c r="CO2249" t="str">
        <f>""</f>
        <v/>
      </c>
      <c r="CP2249" t="str">
        <f>"37-3011.00"</f>
        <v>37-3011.00</v>
      </c>
      <c r="CQ2249" t="s">
        <v>920</v>
      </c>
      <c r="CR2249" t="s">
        <v>2215</v>
      </c>
      <c r="CS2249" t="s">
        <v>131</v>
      </c>
      <c r="CU2249" t="s">
        <v>7364</v>
      </c>
      <c r="CW2249" t="s">
        <v>7358</v>
      </c>
      <c r="CX2249" t="s">
        <v>382</v>
      </c>
      <c r="CZ2249" s="3" t="str">
        <f>"21030"</f>
        <v>21030</v>
      </c>
      <c r="DA2249" t="s">
        <v>135</v>
      </c>
      <c r="DB2249" t="str">
        <f>""</f>
        <v/>
      </c>
      <c r="DF2249" t="str">
        <f>""</f>
        <v/>
      </c>
    </row>
    <row r="2250" spans="1:110" ht="15" customHeight="1" x14ac:dyDescent="0.35">
      <c r="A2250" t="s">
        <v>16478</v>
      </c>
      <c r="B2250" t="s">
        <v>138</v>
      </c>
      <c r="C2250" s="1">
        <v>44319</v>
      </c>
      <c r="G2250" s="1">
        <v>44319</v>
      </c>
      <c r="H2250" t="s">
        <v>319</v>
      </c>
      <c r="I2250" t="s">
        <v>10125</v>
      </c>
      <c r="J2250" t="s">
        <v>6654</v>
      </c>
      <c r="L2250" t="s">
        <v>907</v>
      </c>
      <c r="M2250" t="s">
        <v>10126</v>
      </c>
      <c r="O2250" t="s">
        <v>7508</v>
      </c>
      <c r="P2250" t="s">
        <v>412</v>
      </c>
      <c r="Q2250" s="3">
        <v>79602</v>
      </c>
      <c r="R2250" t="s">
        <v>128</v>
      </c>
      <c r="T2250" s="4">
        <v>13256982410</v>
      </c>
      <c r="V2250" t="s">
        <v>134</v>
      </c>
      <c r="W2250" t="s">
        <v>10127</v>
      </c>
      <c r="Y2250" t="s">
        <v>10126</v>
      </c>
      <c r="AA2250" t="s">
        <v>7508</v>
      </c>
      <c r="AB2250" t="s">
        <v>400</v>
      </c>
      <c r="AC2250" s="3" t="str">
        <f>"79602"</f>
        <v>79602</v>
      </c>
      <c r="AD2250" t="s">
        <v>128</v>
      </c>
      <c r="AF2250" s="4">
        <v>13256982410</v>
      </c>
      <c r="AH2250" t="str">
        <f>"56173"</f>
        <v>56173</v>
      </c>
      <c r="AI2250" t="s">
        <v>287</v>
      </c>
      <c r="AJ2250" t="s">
        <v>414</v>
      </c>
      <c r="AK2250" t="s">
        <v>301</v>
      </c>
      <c r="AL2250" t="s">
        <v>415</v>
      </c>
      <c r="AM2250" t="s">
        <v>7360</v>
      </c>
      <c r="AN2250" t="s">
        <v>7361</v>
      </c>
      <c r="AO2250" t="s">
        <v>1513</v>
      </c>
      <c r="AP2250" t="s">
        <v>400</v>
      </c>
      <c r="AQ2250" s="5">
        <v>75231</v>
      </c>
      <c r="AR2250" t="s">
        <v>128</v>
      </c>
      <c r="AT2250" s="4">
        <v>12145265665</v>
      </c>
      <c r="AV2250" t="s">
        <v>7362</v>
      </c>
      <c r="AW2250" t="s">
        <v>7363</v>
      </c>
      <c r="AX2250" t="s">
        <v>131</v>
      </c>
      <c r="AY2250" t="s">
        <v>131</v>
      </c>
      <c r="AZ2250" t="s">
        <v>131</v>
      </c>
      <c r="BA2250" t="s">
        <v>131</v>
      </c>
      <c r="BB2250" t="s">
        <v>131</v>
      </c>
      <c r="BC2250" t="s">
        <v>131</v>
      </c>
      <c r="BD2250" t="s">
        <v>131</v>
      </c>
      <c r="BE2250" t="s">
        <v>132</v>
      </c>
      <c r="BH2250" t="s">
        <v>2215</v>
      </c>
      <c r="BI2250" t="s">
        <v>131</v>
      </c>
      <c r="BL2250" t="s">
        <v>167</v>
      </c>
      <c r="BO2250" t="s">
        <v>131</v>
      </c>
      <c r="BP2250" t="s">
        <v>134</v>
      </c>
      <c r="BQ2250" t="s">
        <v>131</v>
      </c>
      <c r="BS2250" t="str">
        <f t="shared" si="134"/>
        <v>N/A</v>
      </c>
      <c r="BT2250" t="s">
        <v>131</v>
      </c>
      <c r="BV2250" t="str">
        <f>""</f>
        <v/>
      </c>
      <c r="BW2250" t="s">
        <v>135</v>
      </c>
      <c r="BX2250" t="str">
        <f>""</f>
        <v/>
      </c>
      <c r="BY2250" t="str">
        <f>""</f>
        <v/>
      </c>
      <c r="BZ2250" t="str">
        <f>""</f>
        <v/>
      </c>
      <c r="CA2250" t="str">
        <f>"Must be able to lift 50 lbs, work in adverse weather conditions &amp; pass a pre &amp; post drug test paid by employer. "</f>
        <v xml:space="preserve">Must be able to lift 50 lbs, work in adverse weather conditions &amp; pass a pre &amp; post drug test paid by employer. </v>
      </c>
      <c r="CB2250" t="s">
        <v>131</v>
      </c>
      <c r="CF2250" t="s">
        <v>131</v>
      </c>
      <c r="CH2250" t="str">
        <f>""</f>
        <v/>
      </c>
      <c r="CI2250" t="s">
        <v>131</v>
      </c>
      <c r="CK2250" t="s">
        <v>131</v>
      </c>
      <c r="CL2250" t="str">
        <f>""</f>
        <v/>
      </c>
      <c r="CM2250" t="str">
        <f>""</f>
        <v/>
      </c>
      <c r="CN2250" t="str">
        <f>""</f>
        <v/>
      </c>
      <c r="CO2250" t="str">
        <f>""</f>
        <v/>
      </c>
      <c r="CP2250" t="str">
        <f>"37-3011.00"</f>
        <v>37-3011.00</v>
      </c>
      <c r="CQ2250" t="s">
        <v>920</v>
      </c>
      <c r="CR2250" t="s">
        <v>2215</v>
      </c>
      <c r="CS2250" t="s">
        <v>131</v>
      </c>
      <c r="CU2250" t="s">
        <v>10126</v>
      </c>
      <c r="CW2250" t="s">
        <v>7508</v>
      </c>
      <c r="CX2250" t="s">
        <v>400</v>
      </c>
      <c r="CZ2250" s="3" t="str">
        <f>"79602"</f>
        <v>79602</v>
      </c>
      <c r="DA2250" t="s">
        <v>135</v>
      </c>
      <c r="DB2250" t="str">
        <f>""</f>
        <v/>
      </c>
      <c r="DF2250" t="str">
        <f>""</f>
        <v/>
      </c>
    </row>
    <row r="2251" spans="1:110" ht="15" customHeight="1" x14ac:dyDescent="0.35">
      <c r="A2251" t="s">
        <v>16157</v>
      </c>
      <c r="B2251" t="s">
        <v>138</v>
      </c>
      <c r="C2251" s="1">
        <v>44319</v>
      </c>
      <c r="G2251" s="1">
        <v>44319</v>
      </c>
      <c r="H2251" t="s">
        <v>319</v>
      </c>
      <c r="I2251" t="s">
        <v>10125</v>
      </c>
      <c r="J2251" t="s">
        <v>6654</v>
      </c>
      <c r="L2251" t="s">
        <v>907</v>
      </c>
      <c r="M2251" t="s">
        <v>13187</v>
      </c>
      <c r="O2251" t="s">
        <v>801</v>
      </c>
      <c r="P2251" t="s">
        <v>412</v>
      </c>
      <c r="Q2251" s="3">
        <v>79701</v>
      </c>
      <c r="R2251" t="s">
        <v>128</v>
      </c>
      <c r="T2251" s="4">
        <v>13256982410</v>
      </c>
      <c r="V2251" t="s">
        <v>134</v>
      </c>
      <c r="W2251" t="s">
        <v>10127</v>
      </c>
      <c r="Y2251" t="s">
        <v>13187</v>
      </c>
      <c r="AA2251" t="s">
        <v>801</v>
      </c>
      <c r="AB2251" t="s">
        <v>400</v>
      </c>
      <c r="AC2251" s="3" t="str">
        <f>"79701"</f>
        <v>79701</v>
      </c>
      <c r="AD2251" t="s">
        <v>128</v>
      </c>
      <c r="AF2251" s="4">
        <v>13256982410</v>
      </c>
      <c r="AH2251" t="str">
        <f>"56173"</f>
        <v>56173</v>
      </c>
      <c r="AI2251" t="s">
        <v>287</v>
      </c>
      <c r="AJ2251" t="s">
        <v>414</v>
      </c>
      <c r="AK2251" t="s">
        <v>301</v>
      </c>
      <c r="AL2251" t="s">
        <v>415</v>
      </c>
      <c r="AM2251" t="s">
        <v>7360</v>
      </c>
      <c r="AN2251" t="s">
        <v>7361</v>
      </c>
      <c r="AO2251" t="s">
        <v>1513</v>
      </c>
      <c r="AP2251" t="s">
        <v>400</v>
      </c>
      <c r="AQ2251" s="5">
        <v>75231</v>
      </c>
      <c r="AR2251" t="s">
        <v>128</v>
      </c>
      <c r="AT2251" s="4">
        <v>12145265665</v>
      </c>
      <c r="AV2251" t="s">
        <v>7362</v>
      </c>
      <c r="AW2251" t="s">
        <v>7363</v>
      </c>
      <c r="AX2251" t="s">
        <v>131</v>
      </c>
      <c r="AY2251" t="s">
        <v>131</v>
      </c>
      <c r="AZ2251" t="s">
        <v>131</v>
      </c>
      <c r="BA2251" t="s">
        <v>131</v>
      </c>
      <c r="BB2251" t="s">
        <v>131</v>
      </c>
      <c r="BC2251" t="s">
        <v>131</v>
      </c>
      <c r="BD2251" t="s">
        <v>131</v>
      </c>
      <c r="BE2251" t="s">
        <v>132</v>
      </c>
      <c r="BH2251" t="s">
        <v>2215</v>
      </c>
      <c r="BI2251" t="s">
        <v>131</v>
      </c>
      <c r="BL2251" t="s">
        <v>167</v>
      </c>
      <c r="BO2251" t="s">
        <v>131</v>
      </c>
      <c r="BP2251" t="s">
        <v>134</v>
      </c>
      <c r="BQ2251" t="s">
        <v>131</v>
      </c>
      <c r="BS2251" t="str">
        <f t="shared" si="134"/>
        <v>N/A</v>
      </c>
      <c r="BT2251" t="s">
        <v>131</v>
      </c>
      <c r="BV2251" t="str">
        <f>""</f>
        <v/>
      </c>
      <c r="BW2251" t="s">
        <v>135</v>
      </c>
      <c r="BX2251" t="str">
        <f>""</f>
        <v/>
      </c>
      <c r="BY2251" t="str">
        <f>""</f>
        <v/>
      </c>
      <c r="BZ2251" t="str">
        <f>""</f>
        <v/>
      </c>
      <c r="CA2251" t="str">
        <f>"Must be able to lift 50 lbs, work in adverse weather conditions &amp; pass a pre &amp; post drug test paid by employer. "</f>
        <v xml:space="preserve">Must be able to lift 50 lbs, work in adverse weather conditions &amp; pass a pre &amp; post drug test paid by employer. </v>
      </c>
      <c r="CB2251" t="s">
        <v>131</v>
      </c>
      <c r="CF2251" t="s">
        <v>131</v>
      </c>
      <c r="CH2251" t="str">
        <f>""</f>
        <v/>
      </c>
      <c r="CI2251" t="s">
        <v>131</v>
      </c>
      <c r="CK2251" t="s">
        <v>131</v>
      </c>
      <c r="CL2251" t="str">
        <f>""</f>
        <v/>
      </c>
      <c r="CM2251" t="str">
        <f>""</f>
        <v/>
      </c>
      <c r="CN2251" t="str">
        <f>""</f>
        <v/>
      </c>
      <c r="CO2251" t="str">
        <f>""</f>
        <v/>
      </c>
      <c r="CP2251" t="str">
        <f>"37-3011.00"</f>
        <v>37-3011.00</v>
      </c>
      <c r="CQ2251" t="s">
        <v>920</v>
      </c>
      <c r="CR2251" t="s">
        <v>2215</v>
      </c>
      <c r="CS2251" t="s">
        <v>131</v>
      </c>
      <c r="CU2251" t="s">
        <v>13187</v>
      </c>
      <c r="CW2251" t="s">
        <v>801</v>
      </c>
      <c r="CX2251" t="s">
        <v>400</v>
      </c>
      <c r="CZ2251" s="3" t="str">
        <f>"79701"</f>
        <v>79701</v>
      </c>
      <c r="DA2251" t="s">
        <v>135</v>
      </c>
      <c r="DB2251" t="str">
        <f>""</f>
        <v/>
      </c>
      <c r="DF2251" t="str">
        <f>""</f>
        <v/>
      </c>
    </row>
    <row r="2252" spans="1:110" ht="15" customHeight="1" x14ac:dyDescent="0.35">
      <c r="A2252" t="s">
        <v>6624</v>
      </c>
      <c r="B2252" t="s">
        <v>138</v>
      </c>
      <c r="C2252" s="1">
        <v>44320</v>
      </c>
      <c r="G2252" s="1">
        <v>44320</v>
      </c>
      <c r="H2252" t="s">
        <v>319</v>
      </c>
      <c r="I2252" t="s">
        <v>3912</v>
      </c>
      <c r="J2252" t="s">
        <v>3913</v>
      </c>
      <c r="L2252" t="s">
        <v>1482</v>
      </c>
      <c r="M2252" t="s">
        <v>6625</v>
      </c>
      <c r="O2252" t="s">
        <v>1685</v>
      </c>
      <c r="P2252" t="s">
        <v>412</v>
      </c>
      <c r="Q2252" s="3">
        <v>76092</v>
      </c>
      <c r="R2252" t="s">
        <v>128</v>
      </c>
      <c r="T2252" s="4">
        <v>18176080660</v>
      </c>
      <c r="V2252" t="s">
        <v>134</v>
      </c>
      <c r="W2252" t="s">
        <v>6626</v>
      </c>
      <c r="Y2252" t="s">
        <v>6625</v>
      </c>
      <c r="AA2252" t="s">
        <v>1685</v>
      </c>
      <c r="AB2252" t="s">
        <v>400</v>
      </c>
      <c r="AC2252" s="3" t="str">
        <f>"76092"</f>
        <v>76092</v>
      </c>
      <c r="AD2252" t="s">
        <v>128</v>
      </c>
      <c r="AF2252" s="4">
        <v>18176080660</v>
      </c>
      <c r="AH2252" t="str">
        <f>"5617"</f>
        <v>5617</v>
      </c>
      <c r="AI2252" t="s">
        <v>287</v>
      </c>
      <c r="AJ2252" t="s">
        <v>3916</v>
      </c>
      <c r="AK2252" t="s">
        <v>1225</v>
      </c>
      <c r="AL2252" t="s">
        <v>589</v>
      </c>
      <c r="AM2252" t="s">
        <v>3917</v>
      </c>
      <c r="AO2252" t="s">
        <v>1513</v>
      </c>
      <c r="AP2252" t="s">
        <v>400</v>
      </c>
      <c r="AQ2252" s="5">
        <v>75231</v>
      </c>
      <c r="AR2252" t="s">
        <v>128</v>
      </c>
      <c r="AT2252" s="4">
        <v>12145265665</v>
      </c>
      <c r="AV2252" t="s">
        <v>3918</v>
      </c>
      <c r="AW2252" t="s">
        <v>3919</v>
      </c>
      <c r="AX2252" t="s">
        <v>131</v>
      </c>
      <c r="AY2252" t="s">
        <v>131</v>
      </c>
      <c r="AZ2252" t="s">
        <v>131</v>
      </c>
      <c r="BA2252" t="s">
        <v>131</v>
      </c>
      <c r="BB2252" t="s">
        <v>131</v>
      </c>
      <c r="BC2252" t="s">
        <v>131</v>
      </c>
      <c r="BD2252" t="s">
        <v>131</v>
      </c>
      <c r="BE2252" t="s">
        <v>132</v>
      </c>
      <c r="BH2252" t="s">
        <v>2215</v>
      </c>
      <c r="BI2252" t="s">
        <v>131</v>
      </c>
      <c r="BL2252" t="s">
        <v>167</v>
      </c>
      <c r="BO2252" t="s">
        <v>131</v>
      </c>
      <c r="BP2252" t="s">
        <v>134</v>
      </c>
      <c r="BQ2252" t="s">
        <v>131</v>
      </c>
      <c r="BS2252" t="str">
        <f t="shared" si="134"/>
        <v>N/A</v>
      </c>
      <c r="BT2252" t="s">
        <v>131</v>
      </c>
      <c r="BV2252" t="str">
        <f>""</f>
        <v/>
      </c>
      <c r="BW2252" t="s">
        <v>135</v>
      </c>
      <c r="BX2252" t="str">
        <f>""</f>
        <v/>
      </c>
      <c r="BY2252" t="str">
        <f>""</f>
        <v/>
      </c>
      <c r="BZ2252" t="str">
        <f>""</f>
        <v/>
      </c>
      <c r="CA2252" t="str">
        <f>"Must be able to lift 50 lbs &amp; work in adverse weather conditions."</f>
        <v>Must be able to lift 50 lbs &amp; work in adverse weather conditions.</v>
      </c>
      <c r="CB2252" t="s">
        <v>131</v>
      </c>
      <c r="CF2252" t="s">
        <v>131</v>
      </c>
      <c r="CH2252" t="str">
        <f>""</f>
        <v/>
      </c>
      <c r="CI2252" t="s">
        <v>131</v>
      </c>
      <c r="CK2252" t="s">
        <v>131</v>
      </c>
      <c r="CL2252" t="str">
        <f>""</f>
        <v/>
      </c>
      <c r="CM2252" t="str">
        <f>""</f>
        <v/>
      </c>
      <c r="CN2252" t="str">
        <f>""</f>
        <v/>
      </c>
      <c r="CO2252" t="str">
        <f>""</f>
        <v/>
      </c>
      <c r="CP2252" t="str">
        <f>"37-3011.00"</f>
        <v>37-3011.00</v>
      </c>
      <c r="CQ2252" t="s">
        <v>920</v>
      </c>
      <c r="CS2252" t="s">
        <v>131</v>
      </c>
      <c r="CU2252" t="s">
        <v>6625</v>
      </c>
      <c r="CW2252" t="s">
        <v>1685</v>
      </c>
      <c r="CX2252" t="s">
        <v>400</v>
      </c>
      <c r="CZ2252" s="3" t="str">
        <f>"76092"</f>
        <v>76092</v>
      </c>
      <c r="DA2252" t="s">
        <v>135</v>
      </c>
      <c r="DB2252" t="str">
        <f>""</f>
        <v/>
      </c>
      <c r="DF2252" t="str">
        <f>""</f>
        <v/>
      </c>
    </row>
    <row r="2253" spans="1:110" ht="15" customHeight="1" x14ac:dyDescent="0.35">
      <c r="A2253" t="s">
        <v>12042</v>
      </c>
      <c r="B2253" t="s">
        <v>138</v>
      </c>
      <c r="C2253" s="1">
        <v>44320</v>
      </c>
      <c r="G2253" s="1">
        <v>44320</v>
      </c>
      <c r="H2253" t="s">
        <v>319</v>
      </c>
      <c r="I2253" t="s">
        <v>12043</v>
      </c>
      <c r="J2253" t="s">
        <v>4483</v>
      </c>
      <c r="L2253" t="s">
        <v>5000</v>
      </c>
      <c r="M2253" t="s">
        <v>12044</v>
      </c>
      <c r="O2253" t="s">
        <v>12045</v>
      </c>
      <c r="P2253" t="s">
        <v>1760</v>
      </c>
      <c r="Q2253" s="3">
        <v>70516</v>
      </c>
      <c r="R2253" t="s">
        <v>128</v>
      </c>
      <c r="T2253" s="4">
        <v>13374580615</v>
      </c>
      <c r="V2253" t="s">
        <v>12046</v>
      </c>
      <c r="W2253" t="s">
        <v>12047</v>
      </c>
      <c r="X2253" t="s">
        <v>12048</v>
      </c>
      <c r="Y2253" t="s">
        <v>12049</v>
      </c>
      <c r="Z2253" t="s">
        <v>12050</v>
      </c>
      <c r="AA2253" t="s">
        <v>1638</v>
      </c>
      <c r="AB2253" t="s">
        <v>1763</v>
      </c>
      <c r="AC2253" s="3" t="str">
        <f>"71303"</f>
        <v>71303</v>
      </c>
      <c r="AD2253" t="s">
        <v>128</v>
      </c>
      <c r="AF2253" s="4">
        <v>13184456745</v>
      </c>
      <c r="AH2253" t="str">
        <f>"72251"</f>
        <v>72251</v>
      </c>
      <c r="AI2253" t="s">
        <v>287</v>
      </c>
      <c r="AJ2253" t="s">
        <v>2304</v>
      </c>
      <c r="AK2253" t="s">
        <v>5773</v>
      </c>
      <c r="AL2253" t="s">
        <v>589</v>
      </c>
      <c r="AM2253" t="s">
        <v>5774</v>
      </c>
      <c r="AN2253" t="s">
        <v>5775</v>
      </c>
      <c r="AO2253" t="s">
        <v>5776</v>
      </c>
      <c r="AP2253" t="s">
        <v>1763</v>
      </c>
      <c r="AQ2253" s="5">
        <v>70754</v>
      </c>
      <c r="AR2253" t="s">
        <v>128</v>
      </c>
      <c r="AS2253" t="s">
        <v>1763</v>
      </c>
      <c r="AT2253" s="4">
        <v>12256863033</v>
      </c>
      <c r="AV2253" t="s">
        <v>5777</v>
      </c>
      <c r="AW2253" t="s">
        <v>5778</v>
      </c>
      <c r="AX2253" t="s">
        <v>131</v>
      </c>
      <c r="AY2253" t="s">
        <v>131</v>
      </c>
      <c r="AZ2253" t="s">
        <v>131</v>
      </c>
      <c r="BA2253" t="s">
        <v>131</v>
      </c>
      <c r="BB2253" t="s">
        <v>131</v>
      </c>
      <c r="BC2253" t="s">
        <v>131</v>
      </c>
      <c r="BD2253" t="s">
        <v>131</v>
      </c>
      <c r="BE2253" t="s">
        <v>132</v>
      </c>
      <c r="BH2253" t="s">
        <v>12051</v>
      </c>
      <c r="BI2253" t="s">
        <v>131</v>
      </c>
      <c r="BL2253" t="s">
        <v>167</v>
      </c>
      <c r="BO2253" t="s">
        <v>131</v>
      </c>
      <c r="BP2253" t="s">
        <v>134</v>
      </c>
      <c r="BQ2253" t="s">
        <v>131</v>
      </c>
      <c r="BS2253" t="str">
        <f t="shared" si="134"/>
        <v>N/A</v>
      </c>
      <c r="BT2253" t="s">
        <v>131</v>
      </c>
      <c r="BV2253" t="str">
        <f>""</f>
        <v/>
      </c>
      <c r="BW2253" t="s">
        <v>131</v>
      </c>
      <c r="BX2253" t="str">
        <f>""</f>
        <v/>
      </c>
      <c r="BY2253" t="str">
        <f>""</f>
        <v/>
      </c>
      <c r="BZ2253" t="str">
        <f>""</f>
        <v/>
      </c>
      <c r="CA2253" t="str">
        <f>""</f>
        <v/>
      </c>
      <c r="CB2253" t="s">
        <v>131</v>
      </c>
      <c r="CF2253" t="s">
        <v>131</v>
      </c>
      <c r="CH2253" t="str">
        <f>""</f>
        <v/>
      </c>
      <c r="CI2253" t="s">
        <v>131</v>
      </c>
      <c r="CK2253" t="s">
        <v>131</v>
      </c>
      <c r="CL2253" t="str">
        <f>""</f>
        <v/>
      </c>
      <c r="CM2253" t="str">
        <f>""</f>
        <v/>
      </c>
      <c r="CN2253" t="str">
        <f>""</f>
        <v/>
      </c>
      <c r="CO2253" t="str">
        <f>""</f>
        <v/>
      </c>
      <c r="CP2253" t="str">
        <f>"35-2014.00"</f>
        <v>35-2014.00</v>
      </c>
      <c r="CQ2253" t="s">
        <v>581</v>
      </c>
      <c r="CS2253" t="s">
        <v>135</v>
      </c>
      <c r="CT2253" s="2" t="s">
        <v>12052</v>
      </c>
      <c r="CU2253" t="s">
        <v>12049</v>
      </c>
      <c r="CW2253" t="s">
        <v>12053</v>
      </c>
      <c r="CX2253" t="s">
        <v>1763</v>
      </c>
      <c r="CZ2253" s="3" t="str">
        <f>"71303"</f>
        <v>71303</v>
      </c>
      <c r="DA2253" t="s">
        <v>135</v>
      </c>
      <c r="DB2253" t="str">
        <f>""</f>
        <v/>
      </c>
      <c r="DF2253" t="str">
        <f>""</f>
        <v/>
      </c>
    </row>
    <row r="2254" spans="1:110" ht="15" customHeight="1" x14ac:dyDescent="0.35">
      <c r="A2254" t="s">
        <v>19395</v>
      </c>
      <c r="B2254" t="s">
        <v>138</v>
      </c>
      <c r="C2254" s="1">
        <v>44322</v>
      </c>
      <c r="G2254" s="1">
        <v>44322</v>
      </c>
      <c r="H2254" t="s">
        <v>319</v>
      </c>
      <c r="I2254" t="s">
        <v>7931</v>
      </c>
      <c r="J2254" t="s">
        <v>3626</v>
      </c>
      <c r="K2254" t="s">
        <v>134</v>
      </c>
      <c r="L2254" t="s">
        <v>10137</v>
      </c>
      <c r="M2254" t="s">
        <v>2048</v>
      </c>
      <c r="N2254" t="s">
        <v>2049</v>
      </c>
      <c r="O2254" t="s">
        <v>9947</v>
      </c>
      <c r="P2254" t="s">
        <v>3075</v>
      </c>
      <c r="Q2254" s="3">
        <v>83814</v>
      </c>
      <c r="R2254" t="s">
        <v>128</v>
      </c>
      <c r="T2254" s="4">
        <v>12087772654</v>
      </c>
      <c r="V2254" t="s">
        <v>19396</v>
      </c>
      <c r="W2254" t="s">
        <v>19397</v>
      </c>
      <c r="X2254" t="s">
        <v>19398</v>
      </c>
      <c r="Y2254" t="s">
        <v>19399</v>
      </c>
      <c r="AA2254" t="s">
        <v>19400</v>
      </c>
      <c r="AB2254" t="s">
        <v>1336</v>
      </c>
      <c r="AC2254" s="3" t="str">
        <f>"74728"</f>
        <v>74728</v>
      </c>
      <c r="AD2254" t="s">
        <v>128</v>
      </c>
      <c r="AF2254" s="4">
        <v>15805846936</v>
      </c>
      <c r="AH2254" t="str">
        <f>"11531"</f>
        <v>11531</v>
      </c>
      <c r="AI2254" t="s">
        <v>287</v>
      </c>
      <c r="AJ2254" t="s">
        <v>7931</v>
      </c>
      <c r="AK2254" t="s">
        <v>3626</v>
      </c>
      <c r="AL2254" t="s">
        <v>134</v>
      </c>
      <c r="AM2254" t="s">
        <v>7932</v>
      </c>
      <c r="AN2254" t="s">
        <v>2377</v>
      </c>
      <c r="AO2254" t="s">
        <v>4815</v>
      </c>
      <c r="AP2254" t="s">
        <v>1243</v>
      </c>
      <c r="AQ2254" s="5">
        <v>83814</v>
      </c>
      <c r="AR2254" t="s">
        <v>128</v>
      </c>
      <c r="AT2254" s="4">
        <v>12087772654</v>
      </c>
      <c r="AV2254" t="s">
        <v>7933</v>
      </c>
      <c r="AW2254" t="s">
        <v>4715</v>
      </c>
      <c r="AX2254" t="s">
        <v>131</v>
      </c>
      <c r="AY2254" t="s">
        <v>131</v>
      </c>
      <c r="AZ2254" t="s">
        <v>131</v>
      </c>
      <c r="BA2254" t="s">
        <v>131</v>
      </c>
      <c r="BB2254" t="s">
        <v>131</v>
      </c>
      <c r="BC2254" t="s">
        <v>131</v>
      </c>
      <c r="BD2254" t="s">
        <v>131</v>
      </c>
      <c r="BE2254" t="s">
        <v>132</v>
      </c>
      <c r="BH2254" t="s">
        <v>6431</v>
      </c>
      <c r="BI2254" t="s">
        <v>131</v>
      </c>
      <c r="BL2254" t="s">
        <v>167</v>
      </c>
      <c r="BO2254" t="s">
        <v>131</v>
      </c>
      <c r="BP2254" t="s">
        <v>134</v>
      </c>
      <c r="BQ2254" t="s">
        <v>131</v>
      </c>
      <c r="BS2254" t="str">
        <f t="shared" si="134"/>
        <v>N/A</v>
      </c>
      <c r="BT2254" t="s">
        <v>131</v>
      </c>
      <c r="BV2254" t="str">
        <f>""</f>
        <v/>
      </c>
      <c r="BW2254" t="s">
        <v>131</v>
      </c>
      <c r="BX2254" t="str">
        <f>""</f>
        <v/>
      </c>
      <c r="BY2254" t="str">
        <f>""</f>
        <v/>
      </c>
      <c r="BZ2254" t="str">
        <f>""</f>
        <v/>
      </c>
      <c r="CA2254" t="str">
        <f>""</f>
        <v/>
      </c>
      <c r="CB2254" t="s">
        <v>131</v>
      </c>
      <c r="CF2254" t="s">
        <v>131</v>
      </c>
      <c r="CH2254" t="str">
        <f>""</f>
        <v/>
      </c>
      <c r="CI2254" t="s">
        <v>131</v>
      </c>
      <c r="CK2254" t="s">
        <v>131</v>
      </c>
      <c r="CL2254" t="str">
        <f>""</f>
        <v/>
      </c>
      <c r="CM2254" t="str">
        <f>""</f>
        <v/>
      </c>
      <c r="CN2254" t="str">
        <f>""</f>
        <v/>
      </c>
      <c r="CO2254" t="str">
        <f>""</f>
        <v/>
      </c>
      <c r="CP2254" t="str">
        <f>"45-4011.00"</f>
        <v>45-4011.00</v>
      </c>
      <c r="CQ2254" t="s">
        <v>4310</v>
      </c>
      <c r="CS2254" t="s">
        <v>135</v>
      </c>
      <c r="CT2254" t="s">
        <v>19401</v>
      </c>
      <c r="CU2254" t="s">
        <v>19402</v>
      </c>
      <c r="CW2254" t="s">
        <v>19400</v>
      </c>
      <c r="CX2254" t="s">
        <v>1336</v>
      </c>
      <c r="CZ2254" s="3" t="str">
        <f>"74728"</f>
        <v>74728</v>
      </c>
      <c r="DA2254" t="s">
        <v>135</v>
      </c>
      <c r="DB2254" t="str">
        <f>""</f>
        <v/>
      </c>
      <c r="DF2254" t="str">
        <f>""</f>
        <v/>
      </c>
    </row>
    <row r="2255" spans="1:110" ht="15" customHeight="1" x14ac:dyDescent="0.35">
      <c r="A2255" t="s">
        <v>5524</v>
      </c>
      <c r="B2255" t="s">
        <v>138</v>
      </c>
      <c r="C2255" s="1">
        <v>44322</v>
      </c>
      <c r="G2255" s="1">
        <v>44323</v>
      </c>
      <c r="H2255" t="s">
        <v>319</v>
      </c>
      <c r="I2255" t="s">
        <v>5525</v>
      </c>
      <c r="J2255" t="s">
        <v>4643</v>
      </c>
      <c r="L2255" t="s">
        <v>395</v>
      </c>
      <c r="M2255" t="s">
        <v>5526</v>
      </c>
      <c r="N2255" t="s">
        <v>5527</v>
      </c>
      <c r="O2255" t="s">
        <v>3381</v>
      </c>
      <c r="P2255" t="s">
        <v>857</v>
      </c>
      <c r="Q2255" s="3">
        <v>85338</v>
      </c>
      <c r="R2255" t="s">
        <v>128</v>
      </c>
      <c r="T2255" s="4">
        <v>16232303668</v>
      </c>
      <c r="V2255" t="s">
        <v>5528</v>
      </c>
      <c r="W2255" t="s">
        <v>5529</v>
      </c>
      <c r="X2255" t="s">
        <v>5530</v>
      </c>
      <c r="Y2255" t="s">
        <v>5531</v>
      </c>
      <c r="Z2255" t="s">
        <v>5527</v>
      </c>
      <c r="AA2255" t="s">
        <v>3381</v>
      </c>
      <c r="AB2255" t="s">
        <v>808</v>
      </c>
      <c r="AC2255" s="3" t="str">
        <f>"85338"</f>
        <v>85338</v>
      </c>
      <c r="AD2255" t="s">
        <v>128</v>
      </c>
      <c r="AF2255" s="4">
        <v>16232303668</v>
      </c>
      <c r="AH2255" t="str">
        <f>"722513"</f>
        <v>722513</v>
      </c>
      <c r="AI2255" t="s">
        <v>130</v>
      </c>
      <c r="AJ2255" t="s">
        <v>5532</v>
      </c>
      <c r="AK2255" t="s">
        <v>1601</v>
      </c>
      <c r="AL2255" t="s">
        <v>302</v>
      </c>
      <c r="AM2255" t="s">
        <v>5533</v>
      </c>
      <c r="AN2255" t="s">
        <v>5534</v>
      </c>
      <c r="AO2255" t="s">
        <v>807</v>
      </c>
      <c r="AP2255" t="s">
        <v>808</v>
      </c>
      <c r="AQ2255" s="5">
        <v>85004</v>
      </c>
      <c r="AR2255" t="s">
        <v>128</v>
      </c>
      <c r="AT2255" s="4">
        <v>16026068848</v>
      </c>
      <c r="AV2255" t="s">
        <v>5535</v>
      </c>
      <c r="AW2255" t="s">
        <v>5536</v>
      </c>
      <c r="AX2255" t="s">
        <v>131</v>
      </c>
      <c r="AY2255" t="s">
        <v>131</v>
      </c>
      <c r="AZ2255" t="s">
        <v>131</v>
      </c>
      <c r="BA2255" t="s">
        <v>131</v>
      </c>
      <c r="BB2255" t="s">
        <v>131</v>
      </c>
      <c r="BC2255" t="s">
        <v>131</v>
      </c>
      <c r="BD2255" t="s">
        <v>131</v>
      </c>
      <c r="BE2255" t="s">
        <v>132</v>
      </c>
      <c r="BH2255" t="s">
        <v>5537</v>
      </c>
      <c r="BI2255" t="s">
        <v>131</v>
      </c>
      <c r="BL2255" t="s">
        <v>167</v>
      </c>
      <c r="BO2255" t="s">
        <v>131</v>
      </c>
      <c r="BP2255" t="s">
        <v>134</v>
      </c>
      <c r="BQ2255" t="s">
        <v>131</v>
      </c>
      <c r="BS2255" t="str">
        <f t="shared" si="134"/>
        <v>N/A</v>
      </c>
      <c r="BT2255" t="s">
        <v>131</v>
      </c>
      <c r="BV2255" t="str">
        <f>""</f>
        <v/>
      </c>
      <c r="BW2255" t="s">
        <v>131</v>
      </c>
      <c r="BX2255" t="str">
        <f>""</f>
        <v/>
      </c>
      <c r="BY2255" t="str">
        <f>""</f>
        <v/>
      </c>
      <c r="BZ2255" t="str">
        <f>""</f>
        <v/>
      </c>
      <c r="CA2255" t="str">
        <f>""</f>
        <v/>
      </c>
      <c r="CB2255" t="s">
        <v>131</v>
      </c>
      <c r="CF2255" t="s">
        <v>131</v>
      </c>
      <c r="CH2255" t="str">
        <f>""</f>
        <v/>
      </c>
      <c r="CI2255" t="s">
        <v>131</v>
      </c>
      <c r="CK2255" t="s">
        <v>131</v>
      </c>
      <c r="CL2255" t="str">
        <f>""</f>
        <v/>
      </c>
      <c r="CM2255" t="str">
        <f>""</f>
        <v/>
      </c>
      <c r="CN2255" t="str">
        <f>""</f>
        <v/>
      </c>
      <c r="CO2255" t="str">
        <f>""</f>
        <v/>
      </c>
      <c r="CP2255" t="str">
        <f>"35-2014.00"</f>
        <v>35-2014.00</v>
      </c>
      <c r="CQ2255" t="s">
        <v>581</v>
      </c>
      <c r="CS2255" t="s">
        <v>131</v>
      </c>
      <c r="CU2255" t="s">
        <v>5526</v>
      </c>
      <c r="CV2255" t="s">
        <v>5527</v>
      </c>
      <c r="CW2255" t="s">
        <v>3381</v>
      </c>
      <c r="CX2255" t="s">
        <v>808</v>
      </c>
      <c r="CZ2255" s="3" t="str">
        <f>"85338"</f>
        <v>85338</v>
      </c>
      <c r="DA2255" t="s">
        <v>131</v>
      </c>
      <c r="DB2255" t="str">
        <f>""</f>
        <v/>
      </c>
      <c r="DF2255" t="str">
        <f>""</f>
        <v/>
      </c>
    </row>
    <row r="2256" spans="1:110" ht="15" customHeight="1" x14ac:dyDescent="0.35">
      <c r="A2256" t="s">
        <v>15469</v>
      </c>
      <c r="B2256" t="s">
        <v>138</v>
      </c>
      <c r="C2256" s="1">
        <v>44323</v>
      </c>
      <c r="G2256" s="1">
        <v>44327</v>
      </c>
      <c r="H2256" t="s">
        <v>319</v>
      </c>
      <c r="I2256" t="s">
        <v>1755</v>
      </c>
      <c r="J2256" t="s">
        <v>1756</v>
      </c>
      <c r="L2256" t="s">
        <v>1757</v>
      </c>
      <c r="M2256" t="s">
        <v>1758</v>
      </c>
      <c r="O2256" t="s">
        <v>1759</v>
      </c>
      <c r="P2256" t="s">
        <v>1760</v>
      </c>
      <c r="Q2256" s="3">
        <v>70363</v>
      </c>
      <c r="R2256" t="s">
        <v>128</v>
      </c>
      <c r="T2256" s="4">
        <v>19858567465</v>
      </c>
      <c r="V2256" t="s">
        <v>1761</v>
      </c>
      <c r="W2256" t="s">
        <v>1762</v>
      </c>
      <c r="Y2256" t="s">
        <v>1758</v>
      </c>
      <c r="AA2256" t="s">
        <v>1759</v>
      </c>
      <c r="AB2256" t="s">
        <v>1763</v>
      </c>
      <c r="AC2256" s="3" t="str">
        <f>"70363"</f>
        <v>70363</v>
      </c>
      <c r="AD2256" t="s">
        <v>128</v>
      </c>
      <c r="AF2256" s="4">
        <v>19858567465</v>
      </c>
      <c r="AH2256" t="str">
        <f>"114112"</f>
        <v>114112</v>
      </c>
      <c r="AI2256" t="s">
        <v>130</v>
      </c>
      <c r="AJ2256" t="s">
        <v>1764</v>
      </c>
      <c r="AK2256" t="s">
        <v>1261</v>
      </c>
      <c r="AL2256" t="s">
        <v>655</v>
      </c>
      <c r="AM2256" t="s">
        <v>1765</v>
      </c>
      <c r="AO2256" t="s">
        <v>1766</v>
      </c>
      <c r="AP2256" t="s">
        <v>1763</v>
      </c>
      <c r="AQ2256" s="5">
        <v>70130</v>
      </c>
      <c r="AR2256" t="s">
        <v>128</v>
      </c>
      <c r="AT2256" s="4">
        <v>15045861922</v>
      </c>
      <c r="AV2256" t="s">
        <v>1767</v>
      </c>
      <c r="AW2256" t="s">
        <v>15470</v>
      </c>
      <c r="AX2256" t="s">
        <v>131</v>
      </c>
      <c r="AY2256" t="s">
        <v>131</v>
      </c>
      <c r="AZ2256" t="s">
        <v>131</v>
      </c>
      <c r="BA2256" t="s">
        <v>131</v>
      </c>
      <c r="BB2256" t="s">
        <v>131</v>
      </c>
      <c r="BC2256" t="s">
        <v>131</v>
      </c>
      <c r="BD2256" t="s">
        <v>131</v>
      </c>
      <c r="BE2256" t="s">
        <v>132</v>
      </c>
      <c r="BH2256" t="s">
        <v>1769</v>
      </c>
      <c r="BI2256" t="s">
        <v>131</v>
      </c>
      <c r="BL2256" t="s">
        <v>167</v>
      </c>
      <c r="BO2256" t="s">
        <v>131</v>
      </c>
      <c r="BP2256" t="s">
        <v>134</v>
      </c>
      <c r="BQ2256" t="s">
        <v>131</v>
      </c>
      <c r="BS2256" t="str">
        <f t="shared" si="134"/>
        <v>N/A</v>
      </c>
      <c r="BT2256" t="s">
        <v>131</v>
      </c>
      <c r="BV2256" t="str">
        <f>""</f>
        <v/>
      </c>
      <c r="BW2256" t="s">
        <v>131</v>
      </c>
      <c r="BX2256" t="str">
        <f>""</f>
        <v/>
      </c>
      <c r="BY2256" t="str">
        <f>""</f>
        <v/>
      </c>
      <c r="BZ2256" t="str">
        <f>""</f>
        <v/>
      </c>
      <c r="CA2256" t="str">
        <f>""</f>
        <v/>
      </c>
      <c r="CB2256" t="s">
        <v>131</v>
      </c>
      <c r="CF2256" t="s">
        <v>131</v>
      </c>
      <c r="CH2256" t="str">
        <f>""</f>
        <v/>
      </c>
      <c r="CI2256" t="s">
        <v>131</v>
      </c>
      <c r="CK2256" t="s">
        <v>131</v>
      </c>
      <c r="CL2256" t="str">
        <f>""</f>
        <v/>
      </c>
      <c r="CM2256" t="str">
        <f>""</f>
        <v/>
      </c>
      <c r="CN2256" t="str">
        <f>""</f>
        <v/>
      </c>
      <c r="CO2256" t="str">
        <f>""</f>
        <v/>
      </c>
      <c r="CP2256" t="str">
        <f>"45-3011.00"</f>
        <v>45-3011.00</v>
      </c>
      <c r="CQ2256" t="s">
        <v>1770</v>
      </c>
      <c r="CR2256" t="s">
        <v>1771</v>
      </c>
      <c r="CS2256" t="s">
        <v>131</v>
      </c>
      <c r="CU2256" t="s">
        <v>1772</v>
      </c>
      <c r="CW2256" t="s">
        <v>1773</v>
      </c>
      <c r="CX2256" t="s">
        <v>1763</v>
      </c>
      <c r="CZ2256" s="3" t="str">
        <f>"70344"</f>
        <v>70344</v>
      </c>
      <c r="DA2256" t="s">
        <v>135</v>
      </c>
      <c r="DB2256" t="str">
        <f>""</f>
        <v/>
      </c>
      <c r="DF2256" t="str">
        <f>""</f>
        <v/>
      </c>
    </row>
    <row r="2257" spans="1:110" ht="15" customHeight="1" x14ac:dyDescent="0.35">
      <c r="A2257" t="s">
        <v>9509</v>
      </c>
      <c r="B2257" t="s">
        <v>138</v>
      </c>
      <c r="C2257" s="1">
        <v>44324</v>
      </c>
      <c r="G2257" s="1">
        <v>44344</v>
      </c>
      <c r="H2257" t="s">
        <v>319</v>
      </c>
      <c r="I2257" t="s">
        <v>9510</v>
      </c>
      <c r="J2257" t="s">
        <v>9511</v>
      </c>
      <c r="L2257" t="s">
        <v>9512</v>
      </c>
      <c r="M2257" t="s">
        <v>9513</v>
      </c>
      <c r="O2257" t="s">
        <v>2666</v>
      </c>
      <c r="Q2257" s="3">
        <v>75011</v>
      </c>
      <c r="R2257" t="s">
        <v>9514</v>
      </c>
      <c r="T2257" s="4">
        <v>33671642667</v>
      </c>
      <c r="V2257" t="s">
        <v>9515</v>
      </c>
      <c r="W2257" t="s">
        <v>9516</v>
      </c>
      <c r="Y2257" t="s">
        <v>9517</v>
      </c>
      <c r="Z2257" t="s">
        <v>9058</v>
      </c>
      <c r="AA2257" t="s">
        <v>799</v>
      </c>
      <c r="AB2257" t="s">
        <v>595</v>
      </c>
      <c r="AC2257" s="3" t="str">
        <f>"20037"</f>
        <v>20037</v>
      </c>
      <c r="AD2257" t="s">
        <v>128</v>
      </c>
      <c r="AF2257" s="4">
        <v>12024550192</v>
      </c>
      <c r="AH2257" t="str">
        <f>"541511"</f>
        <v>541511</v>
      </c>
      <c r="AI2257" t="s">
        <v>167</v>
      </c>
      <c r="AX2257" t="s">
        <v>131</v>
      </c>
      <c r="AY2257" t="s">
        <v>131</v>
      </c>
      <c r="AZ2257" t="s">
        <v>131</v>
      </c>
      <c r="BA2257" t="s">
        <v>131</v>
      </c>
      <c r="BB2257" t="s">
        <v>131</v>
      </c>
      <c r="BC2257" t="s">
        <v>131</v>
      </c>
      <c r="BD2257" t="s">
        <v>131</v>
      </c>
      <c r="BE2257" t="s">
        <v>132</v>
      </c>
      <c r="BH2257" t="s">
        <v>9518</v>
      </c>
      <c r="BI2257" t="s">
        <v>131</v>
      </c>
      <c r="BL2257" t="s">
        <v>401</v>
      </c>
      <c r="BO2257" t="s">
        <v>131</v>
      </c>
      <c r="BP2257" t="s">
        <v>134</v>
      </c>
      <c r="BQ2257" t="s">
        <v>131</v>
      </c>
      <c r="BS2257" t="str">
        <f t="shared" si="134"/>
        <v>N/A</v>
      </c>
      <c r="BT2257" t="s">
        <v>135</v>
      </c>
      <c r="BU2257">
        <v>60</v>
      </c>
      <c r="BV2257" t="str">
        <f>"Nanny; experienced childcare"</f>
        <v>Nanny; experienced childcare</v>
      </c>
      <c r="BW2257" t="s">
        <v>135</v>
      </c>
      <c r="BX2257" t="str">
        <f>""</f>
        <v/>
      </c>
      <c r="BY2257" t="str">
        <f>"Tagalog
French"</f>
        <v>Tagalog
French</v>
      </c>
      <c r="BZ2257" t="str">
        <f>""</f>
        <v/>
      </c>
      <c r="CA2257" t="str">
        <f>""</f>
        <v/>
      </c>
      <c r="CB2257" t="s">
        <v>131</v>
      </c>
      <c r="CF2257" t="s">
        <v>131</v>
      </c>
      <c r="CH2257" t="str">
        <f>""</f>
        <v/>
      </c>
      <c r="CI2257" t="s">
        <v>131</v>
      </c>
      <c r="CK2257" t="s">
        <v>131</v>
      </c>
      <c r="CL2257" t="str">
        <f>""</f>
        <v/>
      </c>
      <c r="CM2257" t="str">
        <f>""</f>
        <v/>
      </c>
      <c r="CN2257" t="str">
        <f>""</f>
        <v/>
      </c>
      <c r="CO2257" t="str">
        <f>""</f>
        <v/>
      </c>
      <c r="CP2257" t="str">
        <f>"39-9011.01"</f>
        <v>39-9011.01</v>
      </c>
      <c r="CQ2257" t="s">
        <v>339</v>
      </c>
      <c r="CS2257" t="s">
        <v>135</v>
      </c>
      <c r="CT2257" t="s">
        <v>9519</v>
      </c>
      <c r="CU2257" t="s">
        <v>9520</v>
      </c>
      <c r="CW2257" t="s">
        <v>709</v>
      </c>
      <c r="CX2257" t="s">
        <v>172</v>
      </c>
      <c r="CZ2257" s="3" t="str">
        <f>"94043"</f>
        <v>94043</v>
      </c>
      <c r="DA2257" t="s">
        <v>131</v>
      </c>
      <c r="DB2257" t="str">
        <f>""</f>
        <v/>
      </c>
      <c r="DF2257" t="str">
        <f>""</f>
        <v/>
      </c>
    </row>
    <row r="2258" spans="1:110" ht="15" customHeight="1" x14ac:dyDescent="0.35">
      <c r="A2258" t="s">
        <v>19164</v>
      </c>
      <c r="B2258" t="s">
        <v>138</v>
      </c>
      <c r="C2258" s="1">
        <v>44325</v>
      </c>
      <c r="G2258" s="1">
        <v>44325</v>
      </c>
      <c r="H2258" t="s">
        <v>319</v>
      </c>
      <c r="I2258" t="s">
        <v>1894</v>
      </c>
      <c r="J2258" t="s">
        <v>301</v>
      </c>
      <c r="L2258" t="s">
        <v>395</v>
      </c>
      <c r="M2258" t="s">
        <v>4296</v>
      </c>
      <c r="O2258" t="s">
        <v>807</v>
      </c>
      <c r="P2258" t="s">
        <v>857</v>
      </c>
      <c r="Q2258" s="3">
        <v>85032</v>
      </c>
      <c r="R2258" t="s">
        <v>128</v>
      </c>
      <c r="T2258" s="4">
        <v>16238696757</v>
      </c>
      <c r="V2258" t="s">
        <v>1897</v>
      </c>
      <c r="W2258" t="s">
        <v>4297</v>
      </c>
      <c r="Y2258" t="s">
        <v>4296</v>
      </c>
      <c r="AA2258" t="s">
        <v>807</v>
      </c>
      <c r="AB2258" t="s">
        <v>808</v>
      </c>
      <c r="AC2258" s="3" t="str">
        <f>"85032"</f>
        <v>85032</v>
      </c>
      <c r="AD2258" t="s">
        <v>128</v>
      </c>
      <c r="AF2258" s="4">
        <v>16238696757</v>
      </c>
      <c r="AH2258" t="str">
        <f>"56173"</f>
        <v>56173</v>
      </c>
      <c r="AI2258" t="s">
        <v>130</v>
      </c>
      <c r="AJ2258" t="s">
        <v>1899</v>
      </c>
      <c r="AK2258" t="s">
        <v>1900</v>
      </c>
      <c r="AM2258" t="s">
        <v>1901</v>
      </c>
      <c r="AN2258" t="s">
        <v>1902</v>
      </c>
      <c r="AO2258" t="s">
        <v>494</v>
      </c>
      <c r="AP2258" t="s">
        <v>129</v>
      </c>
      <c r="AQ2258" s="5">
        <v>10165</v>
      </c>
      <c r="AR2258" t="s">
        <v>128</v>
      </c>
      <c r="AT2258" s="4">
        <v>12127604400</v>
      </c>
      <c r="AV2258" t="s">
        <v>1897</v>
      </c>
      <c r="AW2258" t="s">
        <v>1903</v>
      </c>
      <c r="AX2258" t="s">
        <v>131</v>
      </c>
      <c r="AY2258" t="s">
        <v>131</v>
      </c>
      <c r="AZ2258" t="s">
        <v>131</v>
      </c>
      <c r="BA2258" t="s">
        <v>131</v>
      </c>
      <c r="BB2258" t="s">
        <v>131</v>
      </c>
      <c r="BC2258" t="s">
        <v>131</v>
      </c>
      <c r="BD2258" t="s">
        <v>131</v>
      </c>
      <c r="BE2258" t="s">
        <v>132</v>
      </c>
      <c r="BH2258" t="s">
        <v>19165</v>
      </c>
      <c r="BI2258" t="s">
        <v>131</v>
      </c>
      <c r="BL2258" t="s">
        <v>167</v>
      </c>
      <c r="BO2258" t="s">
        <v>131</v>
      </c>
      <c r="BP2258" t="s">
        <v>134</v>
      </c>
      <c r="BQ2258" t="s">
        <v>131</v>
      </c>
      <c r="BS2258" t="str">
        <f t="shared" si="134"/>
        <v>N/A</v>
      </c>
      <c r="BT2258" t="s">
        <v>135</v>
      </c>
      <c r="BU2258">
        <v>1</v>
      </c>
      <c r="BV2258" t="str">
        <f>"Landscape Maintenance Worker"</f>
        <v>Landscape Maintenance Worker</v>
      </c>
      <c r="BW2258" t="s">
        <v>131</v>
      </c>
      <c r="BX2258" t="str">
        <f>""</f>
        <v/>
      </c>
      <c r="BY2258" t="str">
        <f>""</f>
        <v/>
      </c>
      <c r="BZ2258" t="str">
        <f>""</f>
        <v/>
      </c>
      <c r="CA2258" t="str">
        <f>""</f>
        <v/>
      </c>
      <c r="CB2258" t="s">
        <v>131</v>
      </c>
      <c r="CF2258" t="s">
        <v>131</v>
      </c>
      <c r="CH2258" t="str">
        <f>""</f>
        <v/>
      </c>
      <c r="CI2258" t="s">
        <v>131</v>
      </c>
      <c r="CK2258" t="s">
        <v>131</v>
      </c>
      <c r="CL2258" t="str">
        <f>""</f>
        <v/>
      </c>
      <c r="CM2258" t="str">
        <f>""</f>
        <v/>
      </c>
      <c r="CN2258" t="str">
        <f>""</f>
        <v/>
      </c>
      <c r="CO2258" t="str">
        <f>""</f>
        <v/>
      </c>
      <c r="CP2258" t="str">
        <f>"37-3019.00"</f>
        <v>37-3019.00</v>
      </c>
      <c r="CQ2258" t="s">
        <v>2096</v>
      </c>
      <c r="CR2258" t="s">
        <v>395</v>
      </c>
      <c r="CS2258" t="s">
        <v>131</v>
      </c>
      <c r="CU2258" t="s">
        <v>19166</v>
      </c>
      <c r="CV2258" t="s">
        <v>2377</v>
      </c>
      <c r="CW2258" t="s">
        <v>4301</v>
      </c>
      <c r="CX2258" t="s">
        <v>808</v>
      </c>
      <c r="CZ2258" s="3" t="str">
        <f>"85701"</f>
        <v>85701</v>
      </c>
      <c r="DA2258" t="s">
        <v>131</v>
      </c>
      <c r="DB2258" t="str">
        <f>""</f>
        <v/>
      </c>
      <c r="DF2258" t="str">
        <f>""</f>
        <v/>
      </c>
    </row>
    <row r="2259" spans="1:110" ht="15" customHeight="1" x14ac:dyDescent="0.35">
      <c r="A2259" t="s">
        <v>16133</v>
      </c>
      <c r="B2259" t="s">
        <v>138</v>
      </c>
      <c r="C2259" s="1">
        <v>44327</v>
      </c>
      <c r="G2259" s="1">
        <v>44327</v>
      </c>
      <c r="H2259" t="s">
        <v>319</v>
      </c>
      <c r="I2259" t="s">
        <v>3518</v>
      </c>
      <c r="J2259" t="s">
        <v>3519</v>
      </c>
      <c r="L2259" t="s">
        <v>3767</v>
      </c>
      <c r="M2259" t="s">
        <v>16134</v>
      </c>
      <c r="O2259" t="s">
        <v>3521</v>
      </c>
      <c r="P2259" t="s">
        <v>1760</v>
      </c>
      <c r="Q2259" s="3">
        <v>70001</v>
      </c>
      <c r="R2259" t="s">
        <v>128</v>
      </c>
      <c r="T2259" s="4">
        <v>19858763799</v>
      </c>
      <c r="V2259" t="s">
        <v>16135</v>
      </c>
      <c r="W2259" t="s">
        <v>16136</v>
      </c>
      <c r="Y2259" t="s">
        <v>16134</v>
      </c>
      <c r="AA2259" t="s">
        <v>3521</v>
      </c>
      <c r="AB2259" t="s">
        <v>1763</v>
      </c>
      <c r="AC2259" s="3" t="str">
        <f>"70001"</f>
        <v>70001</v>
      </c>
      <c r="AD2259" t="s">
        <v>128</v>
      </c>
      <c r="AF2259" s="4">
        <v>19858763799</v>
      </c>
      <c r="AH2259" t="str">
        <f>"114112"</f>
        <v>114112</v>
      </c>
      <c r="AI2259" t="s">
        <v>130</v>
      </c>
      <c r="AJ2259" t="s">
        <v>1764</v>
      </c>
      <c r="AK2259" t="s">
        <v>1261</v>
      </c>
      <c r="AL2259" t="s">
        <v>655</v>
      </c>
      <c r="AM2259" t="s">
        <v>1765</v>
      </c>
      <c r="AO2259" t="s">
        <v>1766</v>
      </c>
      <c r="AP2259" t="s">
        <v>1763</v>
      </c>
      <c r="AQ2259" s="5">
        <v>70130</v>
      </c>
      <c r="AR2259" t="s">
        <v>128</v>
      </c>
      <c r="AT2259" s="4">
        <v>15045861922</v>
      </c>
      <c r="AV2259" t="s">
        <v>1767</v>
      </c>
      <c r="AW2259" t="s">
        <v>1768</v>
      </c>
      <c r="AX2259" t="s">
        <v>131</v>
      </c>
      <c r="AY2259" t="s">
        <v>131</v>
      </c>
      <c r="AZ2259" t="s">
        <v>131</v>
      </c>
      <c r="BA2259" t="s">
        <v>131</v>
      </c>
      <c r="BB2259" t="s">
        <v>131</v>
      </c>
      <c r="BC2259" t="s">
        <v>131</v>
      </c>
      <c r="BD2259" t="s">
        <v>131</v>
      </c>
      <c r="BE2259" t="s">
        <v>132</v>
      </c>
      <c r="BH2259" t="s">
        <v>1769</v>
      </c>
      <c r="BI2259" t="s">
        <v>131</v>
      </c>
      <c r="BL2259" t="s">
        <v>167</v>
      </c>
      <c r="BO2259" t="s">
        <v>131</v>
      </c>
      <c r="BP2259" t="s">
        <v>134</v>
      </c>
      <c r="BQ2259" t="s">
        <v>131</v>
      </c>
      <c r="BS2259" t="str">
        <f t="shared" si="134"/>
        <v>N/A</v>
      </c>
      <c r="BT2259" t="s">
        <v>131</v>
      </c>
      <c r="BV2259" t="str">
        <f>""</f>
        <v/>
      </c>
      <c r="BW2259" t="s">
        <v>131</v>
      </c>
      <c r="BX2259" t="str">
        <f>""</f>
        <v/>
      </c>
      <c r="BY2259" t="str">
        <f>""</f>
        <v/>
      </c>
      <c r="BZ2259" t="str">
        <f>""</f>
        <v/>
      </c>
      <c r="CA2259" t="str">
        <f>""</f>
        <v/>
      </c>
      <c r="CB2259" t="s">
        <v>131</v>
      </c>
      <c r="CF2259" t="s">
        <v>131</v>
      </c>
      <c r="CH2259" t="str">
        <f>""</f>
        <v/>
      </c>
      <c r="CI2259" t="s">
        <v>131</v>
      </c>
      <c r="CK2259" t="s">
        <v>131</v>
      </c>
      <c r="CL2259" t="str">
        <f>""</f>
        <v/>
      </c>
      <c r="CM2259" t="str">
        <f>""</f>
        <v/>
      </c>
      <c r="CN2259" t="str">
        <f>""</f>
        <v/>
      </c>
      <c r="CO2259" t="str">
        <f>""</f>
        <v/>
      </c>
      <c r="CP2259" t="str">
        <f>"45-3011.00"</f>
        <v>45-3011.00</v>
      </c>
      <c r="CQ2259" t="s">
        <v>1770</v>
      </c>
      <c r="CR2259" t="s">
        <v>1771</v>
      </c>
      <c r="CS2259" t="s">
        <v>131</v>
      </c>
      <c r="CU2259" t="s">
        <v>7412</v>
      </c>
      <c r="CW2259" t="s">
        <v>7413</v>
      </c>
      <c r="CX2259" t="s">
        <v>400</v>
      </c>
      <c r="CZ2259" s="3" t="str">
        <f>"77983"</f>
        <v>77983</v>
      </c>
      <c r="DA2259" t="s">
        <v>135</v>
      </c>
      <c r="DB2259" t="str">
        <f>""</f>
        <v/>
      </c>
      <c r="DF2259" t="str">
        <f>""</f>
        <v/>
      </c>
    </row>
    <row r="2260" spans="1:110" ht="15" customHeight="1" x14ac:dyDescent="0.35">
      <c r="A2260" t="s">
        <v>19825</v>
      </c>
      <c r="B2260" t="s">
        <v>138</v>
      </c>
      <c r="C2260" s="1">
        <v>44327</v>
      </c>
      <c r="G2260" s="1">
        <v>44328</v>
      </c>
      <c r="H2260" t="s">
        <v>319</v>
      </c>
      <c r="I2260" t="s">
        <v>9134</v>
      </c>
      <c r="J2260" t="s">
        <v>9135</v>
      </c>
      <c r="L2260" t="s">
        <v>1502</v>
      </c>
      <c r="M2260" t="s">
        <v>9136</v>
      </c>
      <c r="N2260" t="s">
        <v>134</v>
      </c>
      <c r="O2260" t="s">
        <v>9137</v>
      </c>
      <c r="P2260" t="s">
        <v>811</v>
      </c>
      <c r="Q2260" s="3">
        <v>29945</v>
      </c>
      <c r="R2260" t="s">
        <v>128</v>
      </c>
      <c r="S2260" t="s">
        <v>134</v>
      </c>
      <c r="T2260" s="4">
        <v>18438447700</v>
      </c>
      <c r="V2260" t="s">
        <v>9138</v>
      </c>
      <c r="W2260" t="s">
        <v>9139</v>
      </c>
      <c r="X2260" t="s">
        <v>134</v>
      </c>
      <c r="Y2260" t="s">
        <v>9136</v>
      </c>
      <c r="Z2260" t="s">
        <v>134</v>
      </c>
      <c r="AA2260" t="s">
        <v>9137</v>
      </c>
      <c r="AB2260" t="s">
        <v>812</v>
      </c>
      <c r="AC2260" s="3" t="str">
        <f>"29945"</f>
        <v>29945</v>
      </c>
      <c r="AD2260" t="s">
        <v>128</v>
      </c>
      <c r="AE2260" t="s">
        <v>134</v>
      </c>
      <c r="AF2260" s="4">
        <v>18438448000</v>
      </c>
      <c r="AH2260" t="str">
        <f>"713910"</f>
        <v>713910</v>
      </c>
      <c r="AI2260" t="s">
        <v>130</v>
      </c>
      <c r="AJ2260" t="s">
        <v>1386</v>
      </c>
      <c r="AK2260" t="s">
        <v>1387</v>
      </c>
      <c r="AL2260" t="s">
        <v>1036</v>
      </c>
      <c r="AM2260" t="s">
        <v>1388</v>
      </c>
      <c r="AN2260" t="s">
        <v>997</v>
      </c>
      <c r="AO2260" t="s">
        <v>719</v>
      </c>
      <c r="AP2260" t="s">
        <v>377</v>
      </c>
      <c r="AQ2260" s="5">
        <v>1701</v>
      </c>
      <c r="AR2260" t="s">
        <v>128</v>
      </c>
      <c r="AS2260" t="s">
        <v>134</v>
      </c>
      <c r="AT2260" s="4">
        <v>16179399444</v>
      </c>
      <c r="AV2260" t="s">
        <v>1389</v>
      </c>
      <c r="AW2260" t="s">
        <v>1390</v>
      </c>
      <c r="AX2260" t="s">
        <v>131</v>
      </c>
      <c r="AY2260" t="s">
        <v>131</v>
      </c>
      <c r="AZ2260" t="s">
        <v>131</v>
      </c>
      <c r="BA2260" t="s">
        <v>131</v>
      </c>
      <c r="BB2260" t="s">
        <v>131</v>
      </c>
      <c r="BC2260" t="s">
        <v>131</v>
      </c>
      <c r="BD2260" t="s">
        <v>131</v>
      </c>
      <c r="BE2260" t="s">
        <v>132</v>
      </c>
      <c r="BH2260" t="s">
        <v>1639</v>
      </c>
      <c r="BI2260" t="s">
        <v>131</v>
      </c>
      <c r="BL2260" t="s">
        <v>167</v>
      </c>
      <c r="BO2260" t="s">
        <v>131</v>
      </c>
      <c r="BP2260" t="s">
        <v>134</v>
      </c>
      <c r="BQ2260" t="s">
        <v>131</v>
      </c>
      <c r="BS2260" t="str">
        <f t="shared" si="134"/>
        <v>N/A</v>
      </c>
      <c r="BT2260" t="s">
        <v>135</v>
      </c>
      <c r="BU2260">
        <v>3</v>
      </c>
      <c r="BV2260" t="str">
        <f>"Housekeeper"</f>
        <v>Housekeeper</v>
      </c>
      <c r="BW2260" t="s">
        <v>135</v>
      </c>
      <c r="BX2260" t="str">
        <f>""</f>
        <v/>
      </c>
      <c r="BY2260" t="str">
        <f>""</f>
        <v/>
      </c>
      <c r="BZ2260" t="str">
        <f>""</f>
        <v/>
      </c>
      <c r="CA2260" s="2" t="s">
        <v>19826</v>
      </c>
      <c r="CB2260" t="s">
        <v>131</v>
      </c>
      <c r="CF2260" t="s">
        <v>131</v>
      </c>
      <c r="CH2260" t="str">
        <f>""</f>
        <v/>
      </c>
      <c r="CI2260" t="s">
        <v>131</v>
      </c>
      <c r="CK2260" t="s">
        <v>131</v>
      </c>
      <c r="CL2260" t="str">
        <f>""</f>
        <v/>
      </c>
      <c r="CM2260" t="str">
        <f>""</f>
        <v/>
      </c>
      <c r="CN2260" t="str">
        <f>""</f>
        <v/>
      </c>
      <c r="CO2260" t="str">
        <f>""</f>
        <v/>
      </c>
      <c r="CP2260" t="str">
        <f>"37-2012.00"</f>
        <v>37-2012.00</v>
      </c>
      <c r="CQ2260" t="s">
        <v>479</v>
      </c>
      <c r="CR2260" t="s">
        <v>15139</v>
      </c>
      <c r="CS2260" t="s">
        <v>131</v>
      </c>
      <c r="CU2260" t="s">
        <v>9136</v>
      </c>
      <c r="CV2260" t="s">
        <v>134</v>
      </c>
      <c r="CW2260" t="s">
        <v>9137</v>
      </c>
      <c r="CX2260" t="s">
        <v>812</v>
      </c>
      <c r="CZ2260" s="3" t="str">
        <f>"29945"</f>
        <v>29945</v>
      </c>
      <c r="DA2260" t="s">
        <v>131</v>
      </c>
      <c r="DB2260" t="str">
        <f>""</f>
        <v/>
      </c>
      <c r="DF2260" t="str">
        <f>""</f>
        <v/>
      </c>
    </row>
    <row r="2261" spans="1:110" ht="15" customHeight="1" x14ac:dyDescent="0.35">
      <c r="A2261" t="s">
        <v>13824</v>
      </c>
      <c r="B2261" t="s">
        <v>138</v>
      </c>
      <c r="C2261" s="1">
        <v>44327</v>
      </c>
      <c r="G2261" s="1">
        <v>44328</v>
      </c>
      <c r="H2261" t="s">
        <v>319</v>
      </c>
      <c r="I2261" t="s">
        <v>9134</v>
      </c>
      <c r="J2261" t="s">
        <v>9135</v>
      </c>
      <c r="L2261" t="s">
        <v>1502</v>
      </c>
      <c r="M2261" t="s">
        <v>9136</v>
      </c>
      <c r="N2261" t="s">
        <v>134</v>
      </c>
      <c r="O2261" t="s">
        <v>9137</v>
      </c>
      <c r="P2261" t="s">
        <v>811</v>
      </c>
      <c r="Q2261" s="3">
        <v>29945</v>
      </c>
      <c r="R2261" t="s">
        <v>128</v>
      </c>
      <c r="S2261" t="s">
        <v>134</v>
      </c>
      <c r="T2261" s="4">
        <v>18438447700</v>
      </c>
      <c r="V2261" t="s">
        <v>9138</v>
      </c>
      <c r="W2261" t="s">
        <v>9139</v>
      </c>
      <c r="X2261" t="s">
        <v>134</v>
      </c>
      <c r="Y2261" t="s">
        <v>9136</v>
      </c>
      <c r="Z2261" t="s">
        <v>134</v>
      </c>
      <c r="AA2261" t="s">
        <v>9137</v>
      </c>
      <c r="AB2261" t="s">
        <v>812</v>
      </c>
      <c r="AC2261" s="3" t="str">
        <f>"29945"</f>
        <v>29945</v>
      </c>
      <c r="AD2261" t="s">
        <v>128</v>
      </c>
      <c r="AE2261" t="s">
        <v>134</v>
      </c>
      <c r="AF2261" s="4">
        <v>18438448000</v>
      </c>
      <c r="AH2261" t="str">
        <f>"713910"</f>
        <v>713910</v>
      </c>
      <c r="AI2261" t="s">
        <v>130</v>
      </c>
      <c r="AJ2261" t="s">
        <v>1386</v>
      </c>
      <c r="AK2261" t="s">
        <v>1387</v>
      </c>
      <c r="AL2261" t="s">
        <v>1036</v>
      </c>
      <c r="AM2261" t="s">
        <v>1388</v>
      </c>
      <c r="AN2261" t="s">
        <v>997</v>
      </c>
      <c r="AO2261" t="s">
        <v>719</v>
      </c>
      <c r="AP2261" t="s">
        <v>377</v>
      </c>
      <c r="AQ2261" s="5">
        <v>1701</v>
      </c>
      <c r="AR2261" t="s">
        <v>128</v>
      </c>
      <c r="AS2261" t="s">
        <v>134</v>
      </c>
      <c r="AT2261" s="4">
        <v>16179399444</v>
      </c>
      <c r="AV2261" t="s">
        <v>1389</v>
      </c>
      <c r="AW2261" t="s">
        <v>1390</v>
      </c>
      <c r="AX2261" t="s">
        <v>131</v>
      </c>
      <c r="AY2261" t="s">
        <v>131</v>
      </c>
      <c r="AZ2261" t="s">
        <v>131</v>
      </c>
      <c r="BA2261" t="s">
        <v>131</v>
      </c>
      <c r="BB2261" t="s">
        <v>131</v>
      </c>
      <c r="BC2261" t="s">
        <v>131</v>
      </c>
      <c r="BD2261" t="s">
        <v>131</v>
      </c>
      <c r="BE2261" t="s">
        <v>132</v>
      </c>
      <c r="BH2261" t="s">
        <v>7233</v>
      </c>
      <c r="BI2261" t="s">
        <v>131</v>
      </c>
      <c r="BL2261" t="s">
        <v>167</v>
      </c>
      <c r="BO2261" t="s">
        <v>131</v>
      </c>
      <c r="BP2261" t="s">
        <v>134</v>
      </c>
      <c r="BQ2261" t="s">
        <v>131</v>
      </c>
      <c r="BS2261" t="str">
        <f t="shared" si="134"/>
        <v>N/A</v>
      </c>
      <c r="BT2261" t="s">
        <v>135</v>
      </c>
      <c r="BU2261">
        <v>6</v>
      </c>
      <c r="BV2261" t="str">
        <f>"Sous Chef"</f>
        <v>Sous Chef</v>
      </c>
      <c r="BW2261" t="s">
        <v>135</v>
      </c>
      <c r="BX2261" t="str">
        <f>""</f>
        <v/>
      </c>
      <c r="BY2261" t="str">
        <f>""</f>
        <v/>
      </c>
      <c r="BZ2261" t="str">
        <f>""</f>
        <v/>
      </c>
      <c r="CA2261" s="2" t="s">
        <v>13825</v>
      </c>
      <c r="CB2261" t="s">
        <v>131</v>
      </c>
      <c r="CF2261" t="s">
        <v>131</v>
      </c>
      <c r="CH2261" t="str">
        <f>""</f>
        <v/>
      </c>
      <c r="CI2261" t="s">
        <v>131</v>
      </c>
      <c r="CK2261" t="s">
        <v>131</v>
      </c>
      <c r="CL2261" t="str">
        <f>""</f>
        <v/>
      </c>
      <c r="CM2261" t="str">
        <f>""</f>
        <v/>
      </c>
      <c r="CN2261" t="str">
        <f>""</f>
        <v/>
      </c>
      <c r="CO2261" t="str">
        <f>""</f>
        <v/>
      </c>
      <c r="CP2261" t="str">
        <f>"35-2014.00"</f>
        <v>35-2014.00</v>
      </c>
      <c r="CQ2261" t="s">
        <v>581</v>
      </c>
      <c r="CR2261" t="s">
        <v>1941</v>
      </c>
      <c r="CS2261" t="s">
        <v>131</v>
      </c>
      <c r="CU2261" t="s">
        <v>9136</v>
      </c>
      <c r="CV2261" t="s">
        <v>134</v>
      </c>
      <c r="CW2261" t="s">
        <v>9137</v>
      </c>
      <c r="CX2261" t="s">
        <v>812</v>
      </c>
      <c r="CZ2261" s="3" t="str">
        <f>"29945"</f>
        <v>29945</v>
      </c>
      <c r="DA2261" t="s">
        <v>131</v>
      </c>
      <c r="DB2261" t="str">
        <f>""</f>
        <v/>
      </c>
      <c r="DF2261" t="str">
        <f>""</f>
        <v/>
      </c>
    </row>
    <row r="2262" spans="1:110" ht="15" customHeight="1" x14ac:dyDescent="0.35">
      <c r="A2262" t="s">
        <v>19831</v>
      </c>
      <c r="B2262" t="s">
        <v>138</v>
      </c>
      <c r="C2262" s="1">
        <v>44327</v>
      </c>
      <c r="G2262" s="1">
        <v>44328</v>
      </c>
      <c r="H2262" t="s">
        <v>319</v>
      </c>
      <c r="I2262" t="s">
        <v>9134</v>
      </c>
      <c r="J2262" t="s">
        <v>9135</v>
      </c>
      <c r="L2262" t="s">
        <v>1502</v>
      </c>
      <c r="M2262" t="s">
        <v>9136</v>
      </c>
      <c r="N2262" t="s">
        <v>134</v>
      </c>
      <c r="O2262" t="s">
        <v>9137</v>
      </c>
      <c r="P2262" t="s">
        <v>811</v>
      </c>
      <c r="Q2262" s="3">
        <v>29945</v>
      </c>
      <c r="R2262" t="s">
        <v>128</v>
      </c>
      <c r="S2262" t="s">
        <v>134</v>
      </c>
      <c r="T2262" s="4">
        <v>18438447700</v>
      </c>
      <c r="V2262" t="s">
        <v>9138</v>
      </c>
      <c r="W2262" t="s">
        <v>9139</v>
      </c>
      <c r="X2262" t="s">
        <v>134</v>
      </c>
      <c r="Y2262" t="s">
        <v>9136</v>
      </c>
      <c r="Z2262" t="s">
        <v>134</v>
      </c>
      <c r="AA2262" t="s">
        <v>9137</v>
      </c>
      <c r="AB2262" t="s">
        <v>812</v>
      </c>
      <c r="AC2262" s="3" t="str">
        <f>"29945"</f>
        <v>29945</v>
      </c>
      <c r="AD2262" t="s">
        <v>128</v>
      </c>
      <c r="AE2262" t="s">
        <v>134</v>
      </c>
      <c r="AF2262" s="4">
        <v>18438448000</v>
      </c>
      <c r="AH2262" t="str">
        <f>"713910"</f>
        <v>713910</v>
      </c>
      <c r="AI2262" t="s">
        <v>130</v>
      </c>
      <c r="AJ2262" t="s">
        <v>1386</v>
      </c>
      <c r="AK2262" t="s">
        <v>1387</v>
      </c>
      <c r="AL2262" t="s">
        <v>1036</v>
      </c>
      <c r="AM2262" t="s">
        <v>1388</v>
      </c>
      <c r="AN2262" t="s">
        <v>997</v>
      </c>
      <c r="AO2262" t="s">
        <v>719</v>
      </c>
      <c r="AP2262" t="s">
        <v>377</v>
      </c>
      <c r="AQ2262" s="5">
        <v>1701</v>
      </c>
      <c r="AR2262" t="s">
        <v>128</v>
      </c>
      <c r="AS2262" t="s">
        <v>134</v>
      </c>
      <c r="AT2262" s="4">
        <v>16179399444</v>
      </c>
      <c r="AV2262" t="s">
        <v>1389</v>
      </c>
      <c r="AW2262" t="s">
        <v>1390</v>
      </c>
      <c r="AX2262" t="s">
        <v>131</v>
      </c>
      <c r="AY2262" t="s">
        <v>131</v>
      </c>
      <c r="AZ2262" t="s">
        <v>131</v>
      </c>
      <c r="BA2262" t="s">
        <v>131</v>
      </c>
      <c r="BB2262" t="s">
        <v>131</v>
      </c>
      <c r="BC2262" t="s">
        <v>131</v>
      </c>
      <c r="BD2262" t="s">
        <v>131</v>
      </c>
      <c r="BE2262" t="s">
        <v>132</v>
      </c>
      <c r="BH2262" t="s">
        <v>1213</v>
      </c>
      <c r="BI2262" t="s">
        <v>131</v>
      </c>
      <c r="BL2262" t="s">
        <v>167</v>
      </c>
      <c r="BO2262" t="s">
        <v>131</v>
      </c>
      <c r="BP2262" t="s">
        <v>134</v>
      </c>
      <c r="BQ2262" t="s">
        <v>131</v>
      </c>
      <c r="BS2262" t="str">
        <f t="shared" si="134"/>
        <v>N/A</v>
      </c>
      <c r="BT2262" t="s">
        <v>135</v>
      </c>
      <c r="BU2262">
        <v>3</v>
      </c>
      <c r="BV2262" t="str">
        <f>"Server"</f>
        <v>Server</v>
      </c>
      <c r="BW2262" t="s">
        <v>135</v>
      </c>
      <c r="BX2262" t="str">
        <f>""</f>
        <v/>
      </c>
      <c r="BY2262" t="str">
        <f>""</f>
        <v/>
      </c>
      <c r="BZ2262" t="str">
        <f>""</f>
        <v/>
      </c>
      <c r="CA2262" s="2" t="s">
        <v>15988</v>
      </c>
      <c r="CB2262" t="s">
        <v>131</v>
      </c>
      <c r="CF2262" t="s">
        <v>131</v>
      </c>
      <c r="CH2262" t="str">
        <f>""</f>
        <v/>
      </c>
      <c r="CI2262" t="s">
        <v>131</v>
      </c>
      <c r="CK2262" t="s">
        <v>131</v>
      </c>
      <c r="CL2262" t="str">
        <f>""</f>
        <v/>
      </c>
      <c r="CM2262" t="str">
        <f>""</f>
        <v/>
      </c>
      <c r="CN2262" t="str">
        <f>""</f>
        <v/>
      </c>
      <c r="CO2262" t="str">
        <f>""</f>
        <v/>
      </c>
      <c r="CP2262" t="str">
        <f>"35-3031.00"</f>
        <v>35-3031.00</v>
      </c>
      <c r="CQ2262" t="s">
        <v>1214</v>
      </c>
      <c r="CR2262" t="s">
        <v>7967</v>
      </c>
      <c r="CS2262" t="s">
        <v>131</v>
      </c>
      <c r="CU2262" t="s">
        <v>9136</v>
      </c>
      <c r="CV2262" t="s">
        <v>134</v>
      </c>
      <c r="CW2262" t="s">
        <v>9137</v>
      </c>
      <c r="CX2262" t="s">
        <v>812</v>
      </c>
      <c r="CZ2262" s="3" t="str">
        <f>"29945"</f>
        <v>29945</v>
      </c>
      <c r="DA2262" t="s">
        <v>131</v>
      </c>
      <c r="DB2262" t="str">
        <f>""</f>
        <v/>
      </c>
      <c r="DF2262" t="str">
        <f>""</f>
        <v/>
      </c>
    </row>
    <row r="2263" spans="1:110" ht="15" customHeight="1" x14ac:dyDescent="0.35">
      <c r="A2263" t="s">
        <v>9487</v>
      </c>
      <c r="B2263" t="s">
        <v>138</v>
      </c>
      <c r="C2263" s="1">
        <v>44329</v>
      </c>
      <c r="G2263" s="1">
        <v>44330</v>
      </c>
      <c r="H2263" t="s">
        <v>319</v>
      </c>
      <c r="I2263" t="s">
        <v>9488</v>
      </c>
      <c r="J2263" t="s">
        <v>5446</v>
      </c>
      <c r="K2263" t="s">
        <v>5710</v>
      </c>
      <c r="L2263" t="s">
        <v>395</v>
      </c>
      <c r="M2263" t="s">
        <v>9489</v>
      </c>
      <c r="O2263" t="s">
        <v>7573</v>
      </c>
      <c r="P2263" t="s">
        <v>539</v>
      </c>
      <c r="Q2263" s="3">
        <v>62231</v>
      </c>
      <c r="R2263" t="s">
        <v>128</v>
      </c>
      <c r="T2263" s="4">
        <v>16185948799</v>
      </c>
      <c r="V2263" t="s">
        <v>9490</v>
      </c>
      <c r="W2263" t="s">
        <v>9491</v>
      </c>
      <c r="Y2263" t="s">
        <v>9489</v>
      </c>
      <c r="AA2263" t="s">
        <v>7573</v>
      </c>
      <c r="AB2263" t="s">
        <v>263</v>
      </c>
      <c r="AC2263" s="3" t="str">
        <f>"62231"</f>
        <v>62231</v>
      </c>
      <c r="AD2263" t="s">
        <v>128</v>
      </c>
      <c r="AF2263" s="4">
        <v>16185948799</v>
      </c>
      <c r="AH2263" t="str">
        <f>"56173"</f>
        <v>56173</v>
      </c>
      <c r="AI2263" t="s">
        <v>287</v>
      </c>
      <c r="AJ2263" t="s">
        <v>1106</v>
      </c>
      <c r="AK2263" t="s">
        <v>1107</v>
      </c>
      <c r="AL2263" t="s">
        <v>1108</v>
      </c>
      <c r="AM2263" t="s">
        <v>1109</v>
      </c>
      <c r="AN2263" t="s">
        <v>8123</v>
      </c>
      <c r="AO2263" t="s">
        <v>1111</v>
      </c>
      <c r="AP2263" t="s">
        <v>306</v>
      </c>
      <c r="AQ2263" s="5">
        <v>24521</v>
      </c>
      <c r="AR2263" t="s">
        <v>128</v>
      </c>
      <c r="AS2263" t="s">
        <v>134</v>
      </c>
      <c r="AT2263" s="4">
        <v>14349460035</v>
      </c>
      <c r="AU2263">
        <v>11</v>
      </c>
      <c r="AV2263" t="s">
        <v>1112</v>
      </c>
      <c r="AW2263" t="s">
        <v>1113</v>
      </c>
      <c r="AX2263" t="s">
        <v>131</v>
      </c>
      <c r="AY2263" t="s">
        <v>131</v>
      </c>
      <c r="AZ2263" t="s">
        <v>131</v>
      </c>
      <c r="BA2263" t="s">
        <v>131</v>
      </c>
      <c r="BB2263" t="s">
        <v>131</v>
      </c>
      <c r="BC2263" t="s">
        <v>131</v>
      </c>
      <c r="BD2263" t="s">
        <v>131</v>
      </c>
      <c r="BE2263" t="s">
        <v>132</v>
      </c>
      <c r="BH2263" t="s">
        <v>9492</v>
      </c>
      <c r="BI2263" t="s">
        <v>131</v>
      </c>
      <c r="BL2263" t="s">
        <v>167</v>
      </c>
      <c r="BO2263" t="s">
        <v>131</v>
      </c>
      <c r="BP2263" t="s">
        <v>134</v>
      </c>
      <c r="BQ2263" t="s">
        <v>131</v>
      </c>
      <c r="BS2263" t="str">
        <f t="shared" si="134"/>
        <v>N/A</v>
      </c>
      <c r="BT2263" t="s">
        <v>131</v>
      </c>
      <c r="BV2263" t="str">
        <f>""</f>
        <v/>
      </c>
      <c r="BW2263" t="s">
        <v>135</v>
      </c>
      <c r="BX2263" t="str">
        <f>""</f>
        <v/>
      </c>
      <c r="BY2263" t="str">
        <f>""</f>
        <v/>
      </c>
      <c r="BZ2263" t="str">
        <f>""</f>
        <v/>
      </c>
      <c r="CA2263" t="str">
        <f>"Lift/carry up to 50 pounds."</f>
        <v>Lift/carry up to 50 pounds.</v>
      </c>
      <c r="CB2263" t="s">
        <v>131</v>
      </c>
      <c r="CF2263" t="s">
        <v>131</v>
      </c>
      <c r="CH2263" t="str">
        <f>""</f>
        <v/>
      </c>
      <c r="CI2263" t="s">
        <v>131</v>
      </c>
      <c r="CK2263" t="s">
        <v>131</v>
      </c>
      <c r="CL2263" t="str">
        <f>""</f>
        <v/>
      </c>
      <c r="CM2263" t="str">
        <f>""</f>
        <v/>
      </c>
      <c r="CN2263" t="str">
        <f>""</f>
        <v/>
      </c>
      <c r="CO2263" t="str">
        <f>""</f>
        <v/>
      </c>
      <c r="CP2263" t="str">
        <f>"37-3011.00"</f>
        <v>37-3011.00</v>
      </c>
      <c r="CQ2263" t="s">
        <v>920</v>
      </c>
      <c r="CR2263" t="s">
        <v>395</v>
      </c>
      <c r="CS2263" t="s">
        <v>135</v>
      </c>
      <c r="CT2263" t="s">
        <v>9493</v>
      </c>
      <c r="CU2263" t="s">
        <v>9494</v>
      </c>
      <c r="CW2263" t="s">
        <v>7573</v>
      </c>
      <c r="CX2263" t="s">
        <v>263</v>
      </c>
      <c r="CZ2263" s="3" t="str">
        <f>"62231"</f>
        <v>62231</v>
      </c>
      <c r="DA2263" t="s">
        <v>135</v>
      </c>
      <c r="DB2263" t="str">
        <f>""</f>
        <v/>
      </c>
      <c r="DF2263" t="str">
        <f>""</f>
        <v/>
      </c>
    </row>
    <row r="2264" spans="1:110" ht="15" customHeight="1" x14ac:dyDescent="0.35">
      <c r="A2264" t="s">
        <v>7965</v>
      </c>
      <c r="B2264" t="s">
        <v>138</v>
      </c>
      <c r="C2264" s="1">
        <v>44329</v>
      </c>
      <c r="G2264" s="1">
        <v>44329</v>
      </c>
      <c r="H2264" t="s">
        <v>319</v>
      </c>
      <c r="I2264" t="s">
        <v>5402</v>
      </c>
      <c r="J2264" t="s">
        <v>5403</v>
      </c>
      <c r="L2264" t="s">
        <v>3296</v>
      </c>
      <c r="M2264" t="s">
        <v>5404</v>
      </c>
      <c r="N2264" t="s">
        <v>134</v>
      </c>
      <c r="O2264" t="s">
        <v>4408</v>
      </c>
      <c r="P2264" t="s">
        <v>194</v>
      </c>
      <c r="Q2264" s="3">
        <v>34110</v>
      </c>
      <c r="R2264" t="s">
        <v>128</v>
      </c>
      <c r="S2264" t="s">
        <v>134</v>
      </c>
      <c r="T2264" s="4">
        <v>12395927710</v>
      </c>
      <c r="V2264" t="s">
        <v>5405</v>
      </c>
      <c r="W2264" t="s">
        <v>5406</v>
      </c>
      <c r="X2264" t="s">
        <v>5407</v>
      </c>
      <c r="Y2264" t="s">
        <v>5404</v>
      </c>
      <c r="Z2264" t="s">
        <v>134</v>
      </c>
      <c r="AA2264" t="s">
        <v>4408</v>
      </c>
      <c r="AB2264" t="s">
        <v>195</v>
      </c>
      <c r="AC2264" s="3" t="str">
        <f>"34110"</f>
        <v>34110</v>
      </c>
      <c r="AD2264" t="s">
        <v>128</v>
      </c>
      <c r="AE2264" t="s">
        <v>134</v>
      </c>
      <c r="AF2264" s="4">
        <v>12395927710</v>
      </c>
      <c r="AH2264" t="str">
        <f>"713910"</f>
        <v>713910</v>
      </c>
      <c r="AI2264" t="s">
        <v>130</v>
      </c>
      <c r="AJ2264" t="s">
        <v>1386</v>
      </c>
      <c r="AK2264" t="s">
        <v>1387</v>
      </c>
      <c r="AL2264" t="s">
        <v>1036</v>
      </c>
      <c r="AM2264" t="s">
        <v>1388</v>
      </c>
      <c r="AN2264" t="s">
        <v>997</v>
      </c>
      <c r="AO2264" t="s">
        <v>719</v>
      </c>
      <c r="AP2264" t="s">
        <v>377</v>
      </c>
      <c r="AQ2264" s="5">
        <v>1701</v>
      </c>
      <c r="AR2264" t="s">
        <v>128</v>
      </c>
      <c r="AS2264" t="s">
        <v>134</v>
      </c>
      <c r="AT2264" s="4">
        <v>16179399444</v>
      </c>
      <c r="AV2264" t="s">
        <v>1389</v>
      </c>
      <c r="AW2264" t="s">
        <v>1390</v>
      </c>
      <c r="AX2264" t="s">
        <v>131</v>
      </c>
      <c r="AY2264" t="s">
        <v>131</v>
      </c>
      <c r="AZ2264" t="s">
        <v>131</v>
      </c>
      <c r="BA2264" t="s">
        <v>131</v>
      </c>
      <c r="BB2264" t="s">
        <v>131</v>
      </c>
      <c r="BC2264" t="s">
        <v>131</v>
      </c>
      <c r="BD2264" t="s">
        <v>131</v>
      </c>
      <c r="BE2264" t="s">
        <v>132</v>
      </c>
      <c r="BH2264" t="s">
        <v>5408</v>
      </c>
      <c r="BI2264" t="s">
        <v>131</v>
      </c>
      <c r="BL2264" t="s">
        <v>167</v>
      </c>
      <c r="BO2264" t="s">
        <v>131</v>
      </c>
      <c r="BP2264" t="s">
        <v>134</v>
      </c>
      <c r="BQ2264" t="s">
        <v>131</v>
      </c>
      <c r="BS2264" t="str">
        <f t="shared" si="134"/>
        <v>N/A</v>
      </c>
      <c r="BT2264" t="s">
        <v>135</v>
      </c>
      <c r="BU2264">
        <v>3</v>
      </c>
      <c r="BV2264" t="str">
        <f>"Busser/Food Runner"</f>
        <v>Busser/Food Runner</v>
      </c>
      <c r="BW2264" t="s">
        <v>135</v>
      </c>
      <c r="BX2264" t="str">
        <f>""</f>
        <v/>
      </c>
      <c r="BY2264" t="str">
        <f>""</f>
        <v/>
      </c>
      <c r="BZ2264" t="str">
        <f>""</f>
        <v/>
      </c>
      <c r="CA2264" s="2" t="s">
        <v>7966</v>
      </c>
      <c r="CB2264" t="s">
        <v>131</v>
      </c>
      <c r="CF2264" t="s">
        <v>131</v>
      </c>
      <c r="CH2264" t="str">
        <f>""</f>
        <v/>
      </c>
      <c r="CI2264" t="s">
        <v>131</v>
      </c>
      <c r="CK2264" t="s">
        <v>131</v>
      </c>
      <c r="CL2264" t="str">
        <f>""</f>
        <v/>
      </c>
      <c r="CM2264" t="str">
        <f>""</f>
        <v/>
      </c>
      <c r="CN2264" t="str">
        <f>""</f>
        <v/>
      </c>
      <c r="CO2264" t="str">
        <f>""</f>
        <v/>
      </c>
      <c r="CP2264" t="str">
        <f>"35-9011.00"</f>
        <v>35-9011.00</v>
      </c>
      <c r="CQ2264" t="s">
        <v>1016</v>
      </c>
      <c r="CR2264" t="s">
        <v>7967</v>
      </c>
      <c r="CS2264" t="s">
        <v>131</v>
      </c>
      <c r="CU2264" t="s">
        <v>5404</v>
      </c>
      <c r="CV2264" t="s">
        <v>134</v>
      </c>
      <c r="CW2264" t="s">
        <v>4408</v>
      </c>
      <c r="CX2264" t="s">
        <v>195</v>
      </c>
      <c r="CZ2264" s="3" t="str">
        <f>"34110"</f>
        <v>34110</v>
      </c>
      <c r="DA2264" t="s">
        <v>131</v>
      </c>
      <c r="DB2264" t="str">
        <f>""</f>
        <v/>
      </c>
      <c r="DF2264" t="str">
        <f>""</f>
        <v/>
      </c>
    </row>
    <row r="2265" spans="1:110" ht="15" customHeight="1" x14ac:dyDescent="0.35">
      <c r="A2265" t="s">
        <v>15646</v>
      </c>
      <c r="B2265" t="s">
        <v>138</v>
      </c>
      <c r="C2265" s="1">
        <v>44329</v>
      </c>
      <c r="G2265" s="1">
        <v>44329</v>
      </c>
      <c r="H2265" t="s">
        <v>319</v>
      </c>
      <c r="I2265" t="s">
        <v>5402</v>
      </c>
      <c r="J2265" t="s">
        <v>5403</v>
      </c>
      <c r="L2265" t="s">
        <v>3296</v>
      </c>
      <c r="M2265" t="s">
        <v>5404</v>
      </c>
      <c r="N2265" t="s">
        <v>134</v>
      </c>
      <c r="O2265" t="s">
        <v>4408</v>
      </c>
      <c r="P2265" t="s">
        <v>194</v>
      </c>
      <c r="Q2265" s="3">
        <v>34110</v>
      </c>
      <c r="R2265" t="s">
        <v>128</v>
      </c>
      <c r="S2265" t="s">
        <v>134</v>
      </c>
      <c r="T2265" s="4">
        <v>12395927710</v>
      </c>
      <c r="V2265" t="s">
        <v>5405</v>
      </c>
      <c r="W2265" t="s">
        <v>5406</v>
      </c>
      <c r="X2265" t="s">
        <v>5407</v>
      </c>
      <c r="Y2265" t="s">
        <v>5404</v>
      </c>
      <c r="Z2265" t="s">
        <v>134</v>
      </c>
      <c r="AA2265" t="s">
        <v>4408</v>
      </c>
      <c r="AB2265" t="s">
        <v>195</v>
      </c>
      <c r="AC2265" s="3" t="str">
        <f>"34110"</f>
        <v>34110</v>
      </c>
      <c r="AD2265" t="s">
        <v>128</v>
      </c>
      <c r="AE2265" t="s">
        <v>134</v>
      </c>
      <c r="AF2265" s="4">
        <v>12395927710</v>
      </c>
      <c r="AH2265" t="str">
        <f>"713910"</f>
        <v>713910</v>
      </c>
      <c r="AI2265" t="s">
        <v>130</v>
      </c>
      <c r="AJ2265" t="s">
        <v>1386</v>
      </c>
      <c r="AK2265" t="s">
        <v>1387</v>
      </c>
      <c r="AL2265" t="s">
        <v>1036</v>
      </c>
      <c r="AM2265" t="s">
        <v>1388</v>
      </c>
      <c r="AN2265" t="s">
        <v>997</v>
      </c>
      <c r="AO2265" t="s">
        <v>719</v>
      </c>
      <c r="AP2265" t="s">
        <v>377</v>
      </c>
      <c r="AQ2265" s="5">
        <v>1701</v>
      </c>
      <c r="AR2265" t="s">
        <v>128</v>
      </c>
      <c r="AS2265" t="s">
        <v>134</v>
      </c>
      <c r="AT2265" s="4">
        <v>16179399444</v>
      </c>
      <c r="AV2265" t="s">
        <v>1389</v>
      </c>
      <c r="AW2265" t="s">
        <v>1390</v>
      </c>
      <c r="AX2265" t="s">
        <v>131</v>
      </c>
      <c r="AY2265" t="s">
        <v>131</v>
      </c>
      <c r="AZ2265" t="s">
        <v>131</v>
      </c>
      <c r="BA2265" t="s">
        <v>131</v>
      </c>
      <c r="BB2265" t="s">
        <v>131</v>
      </c>
      <c r="BC2265" t="s">
        <v>131</v>
      </c>
      <c r="BD2265" t="s">
        <v>131</v>
      </c>
      <c r="BE2265" t="s">
        <v>132</v>
      </c>
      <c r="BH2265" t="s">
        <v>1213</v>
      </c>
      <c r="BI2265" t="s">
        <v>131</v>
      </c>
      <c r="BL2265" t="s">
        <v>167</v>
      </c>
      <c r="BO2265" t="s">
        <v>131</v>
      </c>
      <c r="BP2265" t="s">
        <v>134</v>
      </c>
      <c r="BQ2265" t="s">
        <v>131</v>
      </c>
      <c r="BS2265" t="str">
        <f t="shared" si="134"/>
        <v>N/A</v>
      </c>
      <c r="BT2265" t="s">
        <v>135</v>
      </c>
      <c r="BU2265">
        <v>12</v>
      </c>
      <c r="BV2265" t="str">
        <f>"Server"</f>
        <v>Server</v>
      </c>
      <c r="BW2265" t="s">
        <v>135</v>
      </c>
      <c r="BX2265" t="str">
        <f>""</f>
        <v/>
      </c>
      <c r="BY2265" t="str">
        <f>""</f>
        <v/>
      </c>
      <c r="BZ2265" t="str">
        <f>""</f>
        <v/>
      </c>
      <c r="CA2265" s="2" t="s">
        <v>15647</v>
      </c>
      <c r="CB2265" t="s">
        <v>131</v>
      </c>
      <c r="CF2265" t="s">
        <v>131</v>
      </c>
      <c r="CH2265" t="str">
        <f>""</f>
        <v/>
      </c>
      <c r="CI2265" t="s">
        <v>131</v>
      </c>
      <c r="CK2265" t="s">
        <v>131</v>
      </c>
      <c r="CL2265" t="str">
        <f>""</f>
        <v/>
      </c>
      <c r="CM2265" t="str">
        <f>""</f>
        <v/>
      </c>
      <c r="CN2265" t="str">
        <f>""</f>
        <v/>
      </c>
      <c r="CO2265" t="str">
        <f>""</f>
        <v/>
      </c>
      <c r="CP2265" t="str">
        <f>"35-3031.00"</f>
        <v>35-3031.00</v>
      </c>
      <c r="CQ2265" t="s">
        <v>1214</v>
      </c>
      <c r="CR2265" t="s">
        <v>7967</v>
      </c>
      <c r="CS2265" t="s">
        <v>131</v>
      </c>
      <c r="CU2265" t="s">
        <v>5404</v>
      </c>
      <c r="CV2265" t="s">
        <v>134</v>
      </c>
      <c r="CW2265" t="s">
        <v>4408</v>
      </c>
      <c r="CX2265" t="s">
        <v>195</v>
      </c>
      <c r="CZ2265" s="3" t="str">
        <f>"34110"</f>
        <v>34110</v>
      </c>
      <c r="DA2265" t="s">
        <v>131</v>
      </c>
      <c r="DB2265" t="str">
        <f>""</f>
        <v/>
      </c>
      <c r="DF2265" t="str">
        <f>""</f>
        <v/>
      </c>
    </row>
    <row r="2266" spans="1:110" ht="15" customHeight="1" x14ac:dyDescent="0.35">
      <c r="A2266" t="s">
        <v>11305</v>
      </c>
      <c r="B2266" t="s">
        <v>138</v>
      </c>
      <c r="C2266" s="1">
        <v>44333</v>
      </c>
      <c r="G2266" s="1">
        <v>44333</v>
      </c>
      <c r="H2266" t="s">
        <v>319</v>
      </c>
      <c r="I2266" t="s">
        <v>11306</v>
      </c>
      <c r="J2266" t="s">
        <v>4765</v>
      </c>
      <c r="L2266" t="s">
        <v>392</v>
      </c>
      <c r="M2266" t="s">
        <v>11307</v>
      </c>
      <c r="N2266" t="s">
        <v>11308</v>
      </c>
      <c r="O2266" t="s">
        <v>11309</v>
      </c>
      <c r="P2266" t="s">
        <v>194</v>
      </c>
      <c r="Q2266" s="3">
        <v>33418</v>
      </c>
      <c r="R2266" t="s">
        <v>128</v>
      </c>
      <c r="S2266" t="s">
        <v>11310</v>
      </c>
      <c r="T2266" s="4">
        <v>15613793601</v>
      </c>
      <c r="V2266" t="s">
        <v>11311</v>
      </c>
      <c r="W2266" t="s">
        <v>11312</v>
      </c>
      <c r="X2266" t="s">
        <v>11312</v>
      </c>
      <c r="Y2266" t="s">
        <v>11308</v>
      </c>
      <c r="Z2266" t="s">
        <v>11313</v>
      </c>
      <c r="AA2266" t="s">
        <v>11314</v>
      </c>
      <c r="AB2266" t="s">
        <v>195</v>
      </c>
      <c r="AC2266" s="3" t="str">
        <f>"33418"</f>
        <v>33418</v>
      </c>
      <c r="AD2266" t="s">
        <v>128</v>
      </c>
      <c r="AE2266" t="s">
        <v>11315</v>
      </c>
      <c r="AF2266" s="4">
        <v>15613793601</v>
      </c>
      <c r="AH2266" t="str">
        <f>"721110"</f>
        <v>721110</v>
      </c>
      <c r="AI2266" t="s">
        <v>130</v>
      </c>
      <c r="AJ2266" t="s">
        <v>11316</v>
      </c>
      <c r="AK2266" t="s">
        <v>5506</v>
      </c>
      <c r="AL2266" t="s">
        <v>1568</v>
      </c>
      <c r="AM2266" t="s">
        <v>11307</v>
      </c>
      <c r="AN2266" t="s">
        <v>11317</v>
      </c>
      <c r="AO2266" t="s">
        <v>205</v>
      </c>
      <c r="AP2266" t="s">
        <v>195</v>
      </c>
      <c r="AQ2266" s="5">
        <v>33647</v>
      </c>
      <c r="AR2266" t="s">
        <v>128</v>
      </c>
      <c r="AT2266" s="4">
        <v>18135288934</v>
      </c>
      <c r="AV2266" t="s">
        <v>11311</v>
      </c>
      <c r="AW2266" t="s">
        <v>11307</v>
      </c>
      <c r="AX2266" t="s">
        <v>131</v>
      </c>
      <c r="AY2266" t="s">
        <v>131</v>
      </c>
      <c r="AZ2266" t="s">
        <v>131</v>
      </c>
      <c r="BA2266" t="s">
        <v>131</v>
      </c>
      <c r="BB2266" t="s">
        <v>131</v>
      </c>
      <c r="BC2266" t="s">
        <v>131</v>
      </c>
      <c r="BD2266" t="s">
        <v>131</v>
      </c>
      <c r="BE2266" t="s">
        <v>132</v>
      </c>
      <c r="BH2266" t="s">
        <v>4277</v>
      </c>
      <c r="BI2266" t="s">
        <v>131</v>
      </c>
      <c r="BL2266" t="s">
        <v>167</v>
      </c>
      <c r="BO2266" t="s">
        <v>131</v>
      </c>
      <c r="BP2266" t="s">
        <v>134</v>
      </c>
      <c r="BQ2266" t="s">
        <v>131</v>
      </c>
      <c r="BS2266" t="str">
        <f t="shared" si="134"/>
        <v>N/A</v>
      </c>
      <c r="BT2266" t="s">
        <v>135</v>
      </c>
      <c r="BU2266">
        <v>3</v>
      </c>
      <c r="BV2266" t="str">
        <f>"HOUSEKEEPING"</f>
        <v>HOUSEKEEPING</v>
      </c>
      <c r="BW2266" t="s">
        <v>131</v>
      </c>
      <c r="BX2266" t="str">
        <f>""</f>
        <v/>
      </c>
      <c r="BY2266" t="str">
        <f>""</f>
        <v/>
      </c>
      <c r="BZ2266" t="str">
        <f>""</f>
        <v/>
      </c>
      <c r="CA2266" t="str">
        <f>""</f>
        <v/>
      </c>
      <c r="CB2266" t="s">
        <v>131</v>
      </c>
      <c r="CF2266" t="s">
        <v>131</v>
      </c>
      <c r="CH2266" t="str">
        <f>""</f>
        <v/>
      </c>
      <c r="CI2266" t="s">
        <v>131</v>
      </c>
      <c r="CK2266" t="s">
        <v>131</v>
      </c>
      <c r="CL2266" t="str">
        <f>""</f>
        <v/>
      </c>
      <c r="CM2266" t="str">
        <f>""</f>
        <v/>
      </c>
      <c r="CN2266" t="str">
        <f>""</f>
        <v/>
      </c>
      <c r="CO2266" t="str">
        <f>""</f>
        <v/>
      </c>
      <c r="CP2266" t="str">
        <f>"37-2012.00"</f>
        <v>37-2012.00</v>
      </c>
      <c r="CQ2266" t="s">
        <v>479</v>
      </c>
      <c r="CR2266" t="s">
        <v>4277</v>
      </c>
      <c r="CS2266" t="s">
        <v>135</v>
      </c>
      <c r="CT2266" t="s">
        <v>11318</v>
      </c>
      <c r="CU2266" t="s">
        <v>11319</v>
      </c>
      <c r="CV2266" t="s">
        <v>11320</v>
      </c>
      <c r="CW2266" t="s">
        <v>8660</v>
      </c>
      <c r="CX2266" t="s">
        <v>1218</v>
      </c>
      <c r="CZ2266" s="3" t="str">
        <f>"36104"</f>
        <v>36104</v>
      </c>
      <c r="DA2266" t="s">
        <v>131</v>
      </c>
      <c r="DB2266" t="str">
        <f>""</f>
        <v/>
      </c>
      <c r="DF2266" t="str">
        <f>""</f>
        <v/>
      </c>
    </row>
    <row r="2267" spans="1:110" ht="15" customHeight="1" x14ac:dyDescent="0.35">
      <c r="A2267" t="s">
        <v>11873</v>
      </c>
      <c r="B2267" t="s">
        <v>138</v>
      </c>
      <c r="C2267" s="1">
        <v>44333</v>
      </c>
      <c r="G2267" s="1">
        <v>44343</v>
      </c>
      <c r="H2267" t="s">
        <v>319</v>
      </c>
      <c r="I2267" t="s">
        <v>11874</v>
      </c>
      <c r="J2267" t="s">
        <v>3527</v>
      </c>
      <c r="L2267" t="s">
        <v>11875</v>
      </c>
      <c r="M2267" t="s">
        <v>11876</v>
      </c>
      <c r="O2267" t="s">
        <v>1319</v>
      </c>
      <c r="P2267" t="s">
        <v>778</v>
      </c>
      <c r="Q2267" s="3">
        <v>38305</v>
      </c>
      <c r="R2267" t="s">
        <v>128</v>
      </c>
      <c r="T2267" s="4">
        <v>14046256123</v>
      </c>
      <c r="V2267" t="s">
        <v>11877</v>
      </c>
      <c r="W2267" t="s">
        <v>11878</v>
      </c>
      <c r="Y2267" t="s">
        <v>11876</v>
      </c>
      <c r="AA2267" t="s">
        <v>1319</v>
      </c>
      <c r="AB2267" t="s">
        <v>779</v>
      </c>
      <c r="AC2267" s="3" t="str">
        <f>"38305"</f>
        <v>38305</v>
      </c>
      <c r="AD2267" t="s">
        <v>128</v>
      </c>
      <c r="AF2267" s="4">
        <v>17316867428</v>
      </c>
      <c r="AH2267" t="str">
        <f>"4841"</f>
        <v>4841</v>
      </c>
      <c r="AI2267" t="s">
        <v>130</v>
      </c>
      <c r="AJ2267" t="s">
        <v>11879</v>
      </c>
      <c r="AK2267" t="s">
        <v>1275</v>
      </c>
      <c r="AL2267" t="s">
        <v>2981</v>
      </c>
      <c r="AM2267" t="s">
        <v>11880</v>
      </c>
      <c r="AN2267" t="s">
        <v>1462</v>
      </c>
      <c r="AO2267" t="s">
        <v>642</v>
      </c>
      <c r="AP2267" t="s">
        <v>643</v>
      </c>
      <c r="AQ2267" s="5">
        <v>30326</v>
      </c>
      <c r="AR2267" t="s">
        <v>128</v>
      </c>
      <c r="AT2267" s="4">
        <v>14048900372</v>
      </c>
      <c r="AV2267" t="s">
        <v>11881</v>
      </c>
      <c r="AW2267" t="s">
        <v>11882</v>
      </c>
      <c r="AX2267" t="s">
        <v>131</v>
      </c>
      <c r="AY2267" t="s">
        <v>131</v>
      </c>
      <c r="AZ2267" t="s">
        <v>131</v>
      </c>
      <c r="BA2267" t="s">
        <v>131</v>
      </c>
      <c r="BB2267" t="s">
        <v>131</v>
      </c>
      <c r="BC2267" t="s">
        <v>131</v>
      </c>
      <c r="BD2267" t="s">
        <v>131</v>
      </c>
      <c r="BE2267" t="s">
        <v>132</v>
      </c>
      <c r="BH2267" t="s">
        <v>11883</v>
      </c>
      <c r="BI2267" t="s">
        <v>131</v>
      </c>
      <c r="BL2267" t="s">
        <v>167</v>
      </c>
      <c r="BO2267" t="s">
        <v>131</v>
      </c>
      <c r="BP2267" t="s">
        <v>134</v>
      </c>
      <c r="BQ2267" t="s">
        <v>131</v>
      </c>
      <c r="BS2267" t="str">
        <f t="shared" si="134"/>
        <v>N/A</v>
      </c>
      <c r="BT2267" t="s">
        <v>135</v>
      </c>
      <c r="BU2267">
        <v>6</v>
      </c>
      <c r="BV2267" t="str">
        <f>"Over-the-road trucking "</f>
        <v xml:space="preserve">Over-the-road trucking </v>
      </c>
      <c r="BW2267" t="s">
        <v>135</v>
      </c>
      <c r="BX2267" t="str">
        <f>""</f>
        <v/>
      </c>
      <c r="BY2267" t="str">
        <f>""</f>
        <v/>
      </c>
      <c r="BZ2267" t="str">
        <f>""</f>
        <v/>
      </c>
      <c r="CA2267" s="2" t="s">
        <v>11884</v>
      </c>
      <c r="CB2267" t="s">
        <v>131</v>
      </c>
      <c r="CF2267" t="s">
        <v>131</v>
      </c>
      <c r="CH2267" t="str">
        <f>""</f>
        <v/>
      </c>
      <c r="CI2267" t="s">
        <v>131</v>
      </c>
      <c r="CK2267" t="s">
        <v>131</v>
      </c>
      <c r="CL2267" t="str">
        <f>""</f>
        <v/>
      </c>
      <c r="CM2267" t="str">
        <f>""</f>
        <v/>
      </c>
      <c r="CN2267" t="str">
        <f>""</f>
        <v/>
      </c>
      <c r="CO2267" t="str">
        <f>""</f>
        <v/>
      </c>
      <c r="CP2267" t="str">
        <f>"53-3032.00"</f>
        <v>53-3032.00</v>
      </c>
      <c r="CQ2267" t="s">
        <v>1238</v>
      </c>
      <c r="CR2267" t="s">
        <v>1400</v>
      </c>
      <c r="CS2267" t="s">
        <v>135</v>
      </c>
      <c r="CT2267" t="s">
        <v>11885</v>
      </c>
      <c r="CU2267" t="s">
        <v>11886</v>
      </c>
      <c r="CW2267" t="s">
        <v>1319</v>
      </c>
      <c r="CX2267" t="s">
        <v>779</v>
      </c>
      <c r="CZ2267" s="3" t="str">
        <f>"38305"</f>
        <v>38305</v>
      </c>
      <c r="DA2267" t="s">
        <v>131</v>
      </c>
      <c r="DB2267" t="str">
        <f>""</f>
        <v/>
      </c>
      <c r="DF2267" t="str">
        <f>""</f>
        <v/>
      </c>
    </row>
    <row r="2268" spans="1:110" ht="15" customHeight="1" x14ac:dyDescent="0.35">
      <c r="A2268" t="s">
        <v>8118</v>
      </c>
      <c r="B2268" t="s">
        <v>138</v>
      </c>
      <c r="C2268" s="1">
        <v>44333</v>
      </c>
      <c r="G2268" s="1">
        <v>44354</v>
      </c>
      <c r="H2268" t="s">
        <v>319</v>
      </c>
      <c r="I2268" t="s">
        <v>5174</v>
      </c>
      <c r="J2268" t="s">
        <v>1060</v>
      </c>
      <c r="K2268" t="s">
        <v>2930</v>
      </c>
      <c r="L2268" t="s">
        <v>395</v>
      </c>
      <c r="M2268" t="s">
        <v>8119</v>
      </c>
      <c r="O2268" t="s">
        <v>8120</v>
      </c>
      <c r="P2268" t="s">
        <v>588</v>
      </c>
      <c r="Q2268" s="3">
        <v>23669</v>
      </c>
      <c r="R2268" t="s">
        <v>128</v>
      </c>
      <c r="T2268" s="4">
        <v>17577233831</v>
      </c>
      <c r="V2268" t="s">
        <v>8121</v>
      </c>
      <c r="W2268" t="s">
        <v>8122</v>
      </c>
      <c r="Y2268" t="s">
        <v>8119</v>
      </c>
      <c r="AA2268" t="s">
        <v>8120</v>
      </c>
      <c r="AB2268" t="s">
        <v>306</v>
      </c>
      <c r="AC2268" s="3" t="str">
        <f>"23669"</f>
        <v>23669</v>
      </c>
      <c r="AD2268" t="s">
        <v>128</v>
      </c>
      <c r="AF2268" s="4">
        <v>17577233831</v>
      </c>
      <c r="AH2268" t="str">
        <f>"31171"</f>
        <v>31171</v>
      </c>
      <c r="AI2268" t="s">
        <v>287</v>
      </c>
      <c r="AJ2268" t="s">
        <v>1106</v>
      </c>
      <c r="AK2268" t="s">
        <v>1107</v>
      </c>
      <c r="AL2268" t="s">
        <v>1108</v>
      </c>
      <c r="AM2268" t="s">
        <v>1109</v>
      </c>
      <c r="AN2268" t="s">
        <v>8123</v>
      </c>
      <c r="AO2268" t="s">
        <v>1111</v>
      </c>
      <c r="AP2268" t="s">
        <v>306</v>
      </c>
      <c r="AQ2268" s="5">
        <v>24521</v>
      </c>
      <c r="AR2268" t="s">
        <v>128</v>
      </c>
      <c r="AS2268" t="s">
        <v>134</v>
      </c>
      <c r="AT2268" s="4">
        <v>14349460035</v>
      </c>
      <c r="AU2268">
        <v>11</v>
      </c>
      <c r="AV2268" t="s">
        <v>1112</v>
      </c>
      <c r="AW2268" t="s">
        <v>1113</v>
      </c>
      <c r="AX2268" t="s">
        <v>131</v>
      </c>
      <c r="AY2268" t="s">
        <v>131</v>
      </c>
      <c r="AZ2268" t="s">
        <v>131</v>
      </c>
      <c r="BA2268" t="s">
        <v>131</v>
      </c>
      <c r="BB2268" t="s">
        <v>131</v>
      </c>
      <c r="BC2268" t="s">
        <v>131</v>
      </c>
      <c r="BD2268" t="s">
        <v>131</v>
      </c>
      <c r="BE2268" t="s">
        <v>160</v>
      </c>
      <c r="BF2268" t="s">
        <v>5713</v>
      </c>
      <c r="BG2268" s="1">
        <v>44064</v>
      </c>
      <c r="BH2268" t="s">
        <v>8124</v>
      </c>
      <c r="BI2268" t="s">
        <v>131</v>
      </c>
      <c r="BL2268" t="s">
        <v>167</v>
      </c>
      <c r="BO2268" t="s">
        <v>131</v>
      </c>
      <c r="BP2268" t="s">
        <v>134</v>
      </c>
      <c r="BQ2268" t="s">
        <v>131</v>
      </c>
      <c r="BS2268" t="str">
        <f t="shared" si="134"/>
        <v>N/A</v>
      </c>
      <c r="BT2268" t="s">
        <v>131</v>
      </c>
      <c r="BV2268" t="str">
        <f>""</f>
        <v/>
      </c>
      <c r="BW2268" t="s">
        <v>135</v>
      </c>
      <c r="BX2268" t="str">
        <f>""</f>
        <v/>
      </c>
      <c r="BY2268" t="str">
        <f>""</f>
        <v/>
      </c>
      <c r="BZ2268" t="str">
        <f>""</f>
        <v/>
      </c>
      <c r="CA2268" t="str">
        <f>"Lift/cary up to 50 pounds."</f>
        <v>Lift/cary up to 50 pounds.</v>
      </c>
      <c r="CB2268" t="s">
        <v>131</v>
      </c>
      <c r="CF2268" t="s">
        <v>131</v>
      </c>
      <c r="CH2268" t="str">
        <f>""</f>
        <v/>
      </c>
      <c r="CI2268" t="s">
        <v>131</v>
      </c>
      <c r="CK2268" t="s">
        <v>131</v>
      </c>
      <c r="CL2268" t="str">
        <f>""</f>
        <v/>
      </c>
      <c r="CM2268" t="str">
        <f>""</f>
        <v/>
      </c>
      <c r="CN2268" t="str">
        <f>""</f>
        <v/>
      </c>
      <c r="CO2268" t="str">
        <f>""</f>
        <v/>
      </c>
      <c r="CP2268" t="str">
        <f>"51-3022.00"</f>
        <v>51-3022.00</v>
      </c>
      <c r="CQ2268" t="s">
        <v>1114</v>
      </c>
      <c r="CR2268" t="s">
        <v>918</v>
      </c>
      <c r="CS2268" t="s">
        <v>135</v>
      </c>
      <c r="CT2268" t="s">
        <v>8125</v>
      </c>
      <c r="CU2268" t="s">
        <v>8119</v>
      </c>
      <c r="CW2268" t="s">
        <v>8120</v>
      </c>
      <c r="CX2268" t="s">
        <v>306</v>
      </c>
      <c r="CZ2268" s="3" t="str">
        <f>"23669"</f>
        <v>23669</v>
      </c>
      <c r="DA2268" t="s">
        <v>135</v>
      </c>
      <c r="DB2268" t="str">
        <f>""</f>
        <v/>
      </c>
      <c r="DF2268" t="str">
        <f>""</f>
        <v/>
      </c>
    </row>
    <row r="2269" spans="1:110" ht="15" customHeight="1" x14ac:dyDescent="0.35">
      <c r="A2269" t="s">
        <v>19005</v>
      </c>
      <c r="B2269" t="s">
        <v>138</v>
      </c>
      <c r="C2269" s="1">
        <v>44333</v>
      </c>
      <c r="G2269" s="1">
        <v>44337</v>
      </c>
      <c r="H2269" t="s">
        <v>319</v>
      </c>
      <c r="I2269" t="s">
        <v>7973</v>
      </c>
      <c r="J2269" t="s">
        <v>957</v>
      </c>
      <c r="L2269" t="s">
        <v>1105</v>
      </c>
      <c r="M2269" t="s">
        <v>19006</v>
      </c>
      <c r="O2269" t="s">
        <v>3229</v>
      </c>
      <c r="P2269" t="s">
        <v>412</v>
      </c>
      <c r="Q2269" s="3">
        <v>76574</v>
      </c>
      <c r="R2269" t="s">
        <v>128</v>
      </c>
      <c r="T2269" s="4">
        <v>15128462535</v>
      </c>
      <c r="V2269" t="s">
        <v>19007</v>
      </c>
      <c r="W2269" t="s">
        <v>19008</v>
      </c>
      <c r="Y2269" t="s">
        <v>19006</v>
      </c>
      <c r="AA2269" t="s">
        <v>3229</v>
      </c>
      <c r="AB2269" t="s">
        <v>400</v>
      </c>
      <c r="AC2269" s="3" t="str">
        <f>"76574"</f>
        <v>76574</v>
      </c>
      <c r="AD2269" t="s">
        <v>128</v>
      </c>
      <c r="AF2269" s="4">
        <v>15128462535</v>
      </c>
      <c r="AH2269" t="str">
        <f>"56173"</f>
        <v>56173</v>
      </c>
      <c r="AI2269" t="s">
        <v>167</v>
      </c>
      <c r="AX2269" t="s">
        <v>131</v>
      </c>
      <c r="AY2269" t="s">
        <v>131</v>
      </c>
      <c r="AZ2269" t="s">
        <v>131</v>
      </c>
      <c r="BA2269" t="s">
        <v>131</v>
      </c>
      <c r="BB2269" t="s">
        <v>131</v>
      </c>
      <c r="BC2269" t="s">
        <v>131</v>
      </c>
      <c r="BD2269" t="s">
        <v>131</v>
      </c>
      <c r="BE2269" t="s">
        <v>132</v>
      </c>
      <c r="BH2269" t="s">
        <v>19009</v>
      </c>
      <c r="BI2269" t="s">
        <v>131</v>
      </c>
      <c r="BL2269" t="s">
        <v>401</v>
      </c>
      <c r="BO2269" t="s">
        <v>131</v>
      </c>
      <c r="BP2269" t="s">
        <v>134</v>
      </c>
      <c r="BQ2269" t="s">
        <v>131</v>
      </c>
      <c r="BS2269" t="str">
        <f t="shared" si="134"/>
        <v>N/A</v>
      </c>
      <c r="BT2269" t="s">
        <v>135</v>
      </c>
      <c r="BU2269">
        <v>3</v>
      </c>
      <c r="BV2269" t="str">
        <f>"Tree Pruning
"</f>
        <v xml:space="preserve">Tree Pruning
</v>
      </c>
      <c r="BW2269" t="s">
        <v>131</v>
      </c>
      <c r="BX2269" t="str">
        <f>""</f>
        <v/>
      </c>
      <c r="BY2269" t="str">
        <f>""</f>
        <v/>
      </c>
      <c r="BZ2269" t="str">
        <f>""</f>
        <v/>
      </c>
      <c r="CA2269" t="str">
        <f>""</f>
        <v/>
      </c>
      <c r="CB2269" t="s">
        <v>131</v>
      </c>
      <c r="CF2269" t="s">
        <v>131</v>
      </c>
      <c r="CH2269" t="str">
        <f>""</f>
        <v/>
      </c>
      <c r="CI2269" t="s">
        <v>131</v>
      </c>
      <c r="CK2269" t="s">
        <v>131</v>
      </c>
      <c r="CL2269" t="str">
        <f>""</f>
        <v/>
      </c>
      <c r="CM2269" t="str">
        <f>""</f>
        <v/>
      </c>
      <c r="CN2269" t="str">
        <f>""</f>
        <v/>
      </c>
      <c r="CO2269" t="str">
        <f>""</f>
        <v/>
      </c>
      <c r="CP2269" t="str">
        <f>"37-3013.00"</f>
        <v>37-3013.00</v>
      </c>
      <c r="CQ2269" t="s">
        <v>4299</v>
      </c>
      <c r="CR2269" t="s">
        <v>1226</v>
      </c>
      <c r="CS2269" t="s">
        <v>131</v>
      </c>
      <c r="CU2269" t="s">
        <v>19010</v>
      </c>
      <c r="CW2269" t="s">
        <v>3229</v>
      </c>
      <c r="CX2269" t="s">
        <v>400</v>
      </c>
      <c r="CZ2269" s="3" t="str">
        <f>"76574"</f>
        <v>76574</v>
      </c>
      <c r="DA2269" t="s">
        <v>131</v>
      </c>
      <c r="DB2269" t="str">
        <f>""</f>
        <v/>
      </c>
      <c r="DF2269" t="str">
        <f>""</f>
        <v/>
      </c>
    </row>
    <row r="2270" spans="1:110" ht="15" customHeight="1" x14ac:dyDescent="0.35">
      <c r="A2270" t="s">
        <v>14395</v>
      </c>
      <c r="B2270" t="s">
        <v>138</v>
      </c>
      <c r="C2270" s="1">
        <v>44334</v>
      </c>
      <c r="G2270" s="1">
        <v>44335</v>
      </c>
      <c r="H2270" t="s">
        <v>319</v>
      </c>
      <c r="I2270" t="s">
        <v>5026</v>
      </c>
      <c r="J2270" t="s">
        <v>1811</v>
      </c>
      <c r="K2270" t="s">
        <v>5710</v>
      </c>
      <c r="L2270" t="s">
        <v>1105</v>
      </c>
      <c r="M2270" t="s">
        <v>14396</v>
      </c>
      <c r="N2270" t="s">
        <v>14397</v>
      </c>
      <c r="O2270" t="s">
        <v>14398</v>
      </c>
      <c r="P2270" t="s">
        <v>588</v>
      </c>
      <c r="Q2270" s="3">
        <v>23066</v>
      </c>
      <c r="R2270" t="s">
        <v>128</v>
      </c>
      <c r="T2270" s="4">
        <v>18047254962</v>
      </c>
      <c r="V2270" t="s">
        <v>5712</v>
      </c>
      <c r="W2270" t="s">
        <v>14399</v>
      </c>
      <c r="Y2270" t="s">
        <v>14396</v>
      </c>
      <c r="Z2270" t="s">
        <v>14397</v>
      </c>
      <c r="AA2270" t="s">
        <v>14398</v>
      </c>
      <c r="AB2270" t="s">
        <v>306</v>
      </c>
      <c r="AC2270" s="3" t="str">
        <f>"23066"</f>
        <v>23066</v>
      </c>
      <c r="AD2270" t="s">
        <v>128</v>
      </c>
      <c r="AF2270" s="4">
        <v>18047254962</v>
      </c>
      <c r="AH2270" t="str">
        <f>"31171"</f>
        <v>31171</v>
      </c>
      <c r="AI2270" t="s">
        <v>287</v>
      </c>
      <c r="AJ2270" t="s">
        <v>1106</v>
      </c>
      <c r="AK2270" t="s">
        <v>1107</v>
      </c>
      <c r="AL2270" t="s">
        <v>1108</v>
      </c>
      <c r="AM2270" t="s">
        <v>1109</v>
      </c>
      <c r="AN2270" t="s">
        <v>8123</v>
      </c>
      <c r="AO2270" t="s">
        <v>1111</v>
      </c>
      <c r="AP2270" t="s">
        <v>306</v>
      </c>
      <c r="AQ2270" s="5">
        <v>24521</v>
      </c>
      <c r="AR2270" t="s">
        <v>128</v>
      </c>
      <c r="AS2270" t="s">
        <v>134</v>
      </c>
      <c r="AT2270" s="4">
        <v>14349460035</v>
      </c>
      <c r="AU2270">
        <v>11</v>
      </c>
      <c r="AV2270" t="s">
        <v>1112</v>
      </c>
      <c r="AW2270" t="s">
        <v>1113</v>
      </c>
      <c r="AX2270" t="s">
        <v>131</v>
      </c>
      <c r="AY2270" t="s">
        <v>131</v>
      </c>
      <c r="AZ2270" t="s">
        <v>131</v>
      </c>
      <c r="BA2270" t="s">
        <v>131</v>
      </c>
      <c r="BB2270" t="s">
        <v>131</v>
      </c>
      <c r="BC2270" t="s">
        <v>131</v>
      </c>
      <c r="BD2270" t="s">
        <v>131</v>
      </c>
      <c r="BE2270" t="s">
        <v>132</v>
      </c>
      <c r="BH2270" t="s">
        <v>5367</v>
      </c>
      <c r="BI2270" t="s">
        <v>131</v>
      </c>
      <c r="BL2270" t="s">
        <v>167</v>
      </c>
      <c r="BO2270" t="s">
        <v>131</v>
      </c>
      <c r="BP2270" t="s">
        <v>134</v>
      </c>
      <c r="BQ2270" t="s">
        <v>131</v>
      </c>
      <c r="BS2270" t="str">
        <f t="shared" si="134"/>
        <v>N/A</v>
      </c>
      <c r="BT2270" t="s">
        <v>131</v>
      </c>
      <c r="BV2270" t="str">
        <f>""</f>
        <v/>
      </c>
      <c r="BW2270" t="s">
        <v>135</v>
      </c>
      <c r="BX2270" t="str">
        <f>""</f>
        <v/>
      </c>
      <c r="BY2270" t="str">
        <f>""</f>
        <v/>
      </c>
      <c r="BZ2270" t="str">
        <f>""</f>
        <v/>
      </c>
      <c r="CA2270" t="str">
        <f>"Lift/carry up to 75 pounds."</f>
        <v>Lift/carry up to 75 pounds.</v>
      </c>
      <c r="CB2270" t="s">
        <v>131</v>
      </c>
      <c r="CF2270" t="s">
        <v>131</v>
      </c>
      <c r="CH2270" t="str">
        <f>""</f>
        <v/>
      </c>
      <c r="CI2270" t="s">
        <v>131</v>
      </c>
      <c r="CK2270" t="s">
        <v>131</v>
      </c>
      <c r="CL2270" t="str">
        <f>""</f>
        <v/>
      </c>
      <c r="CM2270" t="str">
        <f>""</f>
        <v/>
      </c>
      <c r="CN2270" t="str">
        <f>""</f>
        <v/>
      </c>
      <c r="CO2270" t="str">
        <f>""</f>
        <v/>
      </c>
      <c r="CP2270" t="str">
        <f>"51-3022.00"</f>
        <v>51-3022.00</v>
      </c>
      <c r="CQ2270" t="s">
        <v>1114</v>
      </c>
      <c r="CR2270" t="s">
        <v>1105</v>
      </c>
      <c r="CS2270" t="s">
        <v>135</v>
      </c>
      <c r="CT2270" t="s">
        <v>14400</v>
      </c>
      <c r="CU2270" t="s">
        <v>14401</v>
      </c>
      <c r="CW2270" t="s">
        <v>5711</v>
      </c>
      <c r="CX2270" t="s">
        <v>306</v>
      </c>
      <c r="CZ2270" s="3" t="str">
        <f>"23043"</f>
        <v>23043</v>
      </c>
      <c r="DA2270" t="s">
        <v>135</v>
      </c>
      <c r="DB2270" t="str">
        <f>""</f>
        <v/>
      </c>
      <c r="DF2270" t="str">
        <f>""</f>
        <v/>
      </c>
    </row>
    <row r="2271" spans="1:110" ht="15" customHeight="1" x14ac:dyDescent="0.35">
      <c r="A2271" t="s">
        <v>2450</v>
      </c>
      <c r="B2271" t="s">
        <v>138</v>
      </c>
      <c r="C2271" s="1">
        <v>44336</v>
      </c>
      <c r="G2271" s="1">
        <v>44337</v>
      </c>
      <c r="H2271" t="s">
        <v>319</v>
      </c>
      <c r="I2271" t="s">
        <v>2451</v>
      </c>
      <c r="J2271" t="s">
        <v>1157</v>
      </c>
      <c r="L2271" t="s">
        <v>395</v>
      </c>
      <c r="M2271" t="s">
        <v>2452</v>
      </c>
      <c r="N2271" t="s">
        <v>134</v>
      </c>
      <c r="O2271" t="s">
        <v>2453</v>
      </c>
      <c r="P2271" t="s">
        <v>194</v>
      </c>
      <c r="Q2271" s="3">
        <v>34285</v>
      </c>
      <c r="R2271" t="s">
        <v>128</v>
      </c>
      <c r="S2271" t="s">
        <v>134</v>
      </c>
      <c r="T2271" s="4">
        <v>19414085300</v>
      </c>
      <c r="V2271" t="s">
        <v>2454</v>
      </c>
      <c r="W2271" t="s">
        <v>2455</v>
      </c>
      <c r="X2271" t="s">
        <v>2456</v>
      </c>
      <c r="Y2271" t="s">
        <v>2452</v>
      </c>
      <c r="Z2271" t="s">
        <v>134</v>
      </c>
      <c r="AA2271" t="s">
        <v>2453</v>
      </c>
      <c r="AB2271" t="s">
        <v>195</v>
      </c>
      <c r="AC2271" s="3" t="str">
        <f>"34285"</f>
        <v>34285</v>
      </c>
      <c r="AD2271" t="s">
        <v>128</v>
      </c>
      <c r="AE2271" t="s">
        <v>134</v>
      </c>
      <c r="AF2271" s="4">
        <v>19414847362</v>
      </c>
      <c r="AH2271" t="str">
        <f>"722511"</f>
        <v>722511</v>
      </c>
      <c r="AI2271" t="s">
        <v>130</v>
      </c>
      <c r="AJ2271" t="s">
        <v>1386</v>
      </c>
      <c r="AK2271" t="s">
        <v>1387</v>
      </c>
      <c r="AL2271" t="s">
        <v>1036</v>
      </c>
      <c r="AM2271" t="s">
        <v>1388</v>
      </c>
      <c r="AN2271" t="s">
        <v>997</v>
      </c>
      <c r="AO2271" t="s">
        <v>719</v>
      </c>
      <c r="AP2271" t="s">
        <v>377</v>
      </c>
      <c r="AQ2271" s="5">
        <v>1701</v>
      </c>
      <c r="AR2271" t="s">
        <v>128</v>
      </c>
      <c r="AS2271" t="s">
        <v>134</v>
      </c>
      <c r="AT2271" s="4">
        <v>16179399444</v>
      </c>
      <c r="AV2271" t="s">
        <v>1389</v>
      </c>
      <c r="AW2271" t="s">
        <v>1390</v>
      </c>
      <c r="AX2271" t="s">
        <v>131</v>
      </c>
      <c r="AY2271" t="s">
        <v>131</v>
      </c>
      <c r="AZ2271" t="s">
        <v>131</v>
      </c>
      <c r="BA2271" t="s">
        <v>131</v>
      </c>
      <c r="BB2271" t="s">
        <v>131</v>
      </c>
      <c r="BC2271" t="s">
        <v>131</v>
      </c>
      <c r="BD2271" t="s">
        <v>131</v>
      </c>
      <c r="BE2271" t="s">
        <v>132</v>
      </c>
      <c r="BH2271" t="s">
        <v>2457</v>
      </c>
      <c r="BI2271" t="s">
        <v>131</v>
      </c>
      <c r="BL2271" t="s">
        <v>167</v>
      </c>
      <c r="BO2271" t="s">
        <v>131</v>
      </c>
      <c r="BP2271" t="s">
        <v>134</v>
      </c>
      <c r="BQ2271" t="s">
        <v>131</v>
      </c>
      <c r="BS2271" t="str">
        <f t="shared" si="134"/>
        <v>N/A</v>
      </c>
      <c r="BT2271" t="s">
        <v>135</v>
      </c>
      <c r="BU2271">
        <v>3</v>
      </c>
      <c r="BV2271" t="str">
        <f>"Service Assistant"</f>
        <v>Service Assistant</v>
      </c>
      <c r="BW2271" t="s">
        <v>135</v>
      </c>
      <c r="BX2271" t="str">
        <f>""</f>
        <v/>
      </c>
      <c r="BY2271" t="str">
        <f>""</f>
        <v/>
      </c>
      <c r="BZ2271" t="str">
        <f>""</f>
        <v/>
      </c>
      <c r="CA2271" t="s">
        <v>2458</v>
      </c>
      <c r="CB2271" t="s">
        <v>131</v>
      </c>
      <c r="CF2271" t="s">
        <v>131</v>
      </c>
      <c r="CH2271" t="str">
        <f>""</f>
        <v/>
      </c>
      <c r="CI2271" t="s">
        <v>131</v>
      </c>
      <c r="CK2271" t="s">
        <v>131</v>
      </c>
      <c r="CL2271" t="str">
        <f>""</f>
        <v/>
      </c>
      <c r="CM2271" t="str">
        <f>""</f>
        <v/>
      </c>
      <c r="CN2271" t="str">
        <f>""</f>
        <v/>
      </c>
      <c r="CO2271" t="str">
        <f>""</f>
        <v/>
      </c>
      <c r="CP2271" t="str">
        <f>"35-9011.00"</f>
        <v>35-9011.00</v>
      </c>
      <c r="CQ2271" t="s">
        <v>1016</v>
      </c>
      <c r="CR2271" t="s">
        <v>1205</v>
      </c>
      <c r="CS2271" t="s">
        <v>131</v>
      </c>
      <c r="CU2271" t="s">
        <v>2459</v>
      </c>
      <c r="CV2271" t="s">
        <v>134</v>
      </c>
      <c r="CW2271" t="s">
        <v>2453</v>
      </c>
      <c r="CX2271" t="s">
        <v>195</v>
      </c>
      <c r="CZ2271" s="3" t="str">
        <f>"34285"</f>
        <v>34285</v>
      </c>
      <c r="DA2271" t="s">
        <v>131</v>
      </c>
      <c r="DB2271" t="str">
        <f>""</f>
        <v/>
      </c>
      <c r="DF2271" t="str">
        <f>""</f>
        <v/>
      </c>
    </row>
    <row r="2272" spans="1:110" ht="15" customHeight="1" x14ac:dyDescent="0.35">
      <c r="A2272" t="s">
        <v>16268</v>
      </c>
      <c r="B2272" t="s">
        <v>138</v>
      </c>
      <c r="C2272" s="1">
        <v>44337</v>
      </c>
      <c r="G2272" s="1">
        <v>44337</v>
      </c>
      <c r="H2272" t="s">
        <v>319</v>
      </c>
      <c r="I2272" t="s">
        <v>16269</v>
      </c>
      <c r="J2272" t="s">
        <v>1036</v>
      </c>
      <c r="L2272" t="s">
        <v>303</v>
      </c>
      <c r="M2272" t="s">
        <v>16270</v>
      </c>
      <c r="O2272" t="s">
        <v>16271</v>
      </c>
      <c r="P2272" t="s">
        <v>629</v>
      </c>
      <c r="Q2272" s="3">
        <v>38930</v>
      </c>
      <c r="R2272" t="s">
        <v>128</v>
      </c>
      <c r="T2272" s="4">
        <v>16622547200</v>
      </c>
      <c r="V2272" t="s">
        <v>5734</v>
      </c>
      <c r="W2272" t="s">
        <v>16272</v>
      </c>
      <c r="Y2272" t="s">
        <v>16270</v>
      </c>
      <c r="AA2272" t="s">
        <v>16271</v>
      </c>
      <c r="AB2272" t="s">
        <v>630</v>
      </c>
      <c r="AC2272" s="3" t="str">
        <f>"38930"</f>
        <v>38930</v>
      </c>
      <c r="AD2272" t="s">
        <v>128</v>
      </c>
      <c r="AF2272" s="4">
        <v>16622547200</v>
      </c>
      <c r="AH2272" t="str">
        <f>"31171"</f>
        <v>31171</v>
      </c>
      <c r="AI2272" t="s">
        <v>130</v>
      </c>
      <c r="AJ2272" t="s">
        <v>860</v>
      </c>
      <c r="AK2272" t="s">
        <v>5730</v>
      </c>
      <c r="AL2272" t="s">
        <v>1978</v>
      </c>
      <c r="AM2272" t="s">
        <v>5732</v>
      </c>
      <c r="AN2272" t="s">
        <v>16273</v>
      </c>
      <c r="AO2272" t="s">
        <v>5733</v>
      </c>
      <c r="AP2272" t="s">
        <v>779</v>
      </c>
      <c r="AQ2272" s="5">
        <v>37122</v>
      </c>
      <c r="AR2272" t="s">
        <v>128</v>
      </c>
      <c r="AT2272" s="4">
        <v>19312428584</v>
      </c>
      <c r="AV2272" t="s">
        <v>5734</v>
      </c>
      <c r="AW2272" t="s">
        <v>5735</v>
      </c>
      <c r="AX2272" t="s">
        <v>131</v>
      </c>
      <c r="AY2272" t="s">
        <v>131</v>
      </c>
      <c r="AZ2272" t="s">
        <v>131</v>
      </c>
      <c r="BA2272" t="s">
        <v>131</v>
      </c>
      <c r="BB2272" t="s">
        <v>131</v>
      </c>
      <c r="BC2272" t="s">
        <v>131</v>
      </c>
      <c r="BD2272" t="s">
        <v>131</v>
      </c>
      <c r="BE2272" t="s">
        <v>132</v>
      </c>
      <c r="BH2272" t="s">
        <v>16274</v>
      </c>
      <c r="BI2272" t="s">
        <v>131</v>
      </c>
      <c r="BL2272" t="s">
        <v>167</v>
      </c>
      <c r="BO2272" t="s">
        <v>131</v>
      </c>
      <c r="BP2272" t="s">
        <v>134</v>
      </c>
      <c r="BQ2272" t="s">
        <v>135</v>
      </c>
      <c r="BR2272">
        <v>1</v>
      </c>
      <c r="BS2272" t="str">
        <f>"Less than 1 month needed for sanitation/safety training. "</f>
        <v xml:space="preserve">Less than 1 month needed for sanitation/safety training. </v>
      </c>
      <c r="BT2272" t="s">
        <v>135</v>
      </c>
      <c r="BU2272">
        <v>1</v>
      </c>
      <c r="BV2272" t="str">
        <f>"Employment in the seafood processing industry is preferred. "</f>
        <v xml:space="preserve">Employment in the seafood processing industry is preferred. </v>
      </c>
      <c r="BW2272" t="s">
        <v>131</v>
      </c>
      <c r="BX2272" t="str">
        <f>""</f>
        <v/>
      </c>
      <c r="BY2272" t="str">
        <f>""</f>
        <v/>
      </c>
      <c r="BZ2272" t="str">
        <f>""</f>
        <v/>
      </c>
      <c r="CA2272" t="str">
        <f>""</f>
        <v/>
      </c>
      <c r="CB2272" t="s">
        <v>131</v>
      </c>
      <c r="CF2272" t="s">
        <v>131</v>
      </c>
      <c r="CH2272" t="str">
        <f>""</f>
        <v/>
      </c>
      <c r="CI2272" t="s">
        <v>131</v>
      </c>
      <c r="CK2272" t="s">
        <v>131</v>
      </c>
      <c r="CL2272" t="str">
        <f>""</f>
        <v/>
      </c>
      <c r="CM2272" t="str">
        <f>""</f>
        <v/>
      </c>
      <c r="CN2272" t="str">
        <f>""</f>
        <v/>
      </c>
      <c r="CO2272" t="str">
        <f>""</f>
        <v/>
      </c>
      <c r="CP2272" t="str">
        <f>"51-3022.00"</f>
        <v>51-3022.00</v>
      </c>
      <c r="CQ2272" t="s">
        <v>1114</v>
      </c>
      <c r="CR2272" t="s">
        <v>16274</v>
      </c>
      <c r="CS2272" t="s">
        <v>131</v>
      </c>
      <c r="CU2272" t="s">
        <v>16270</v>
      </c>
      <c r="CW2272" t="s">
        <v>16271</v>
      </c>
      <c r="CX2272" t="s">
        <v>630</v>
      </c>
      <c r="CZ2272" s="3" t="str">
        <f>"38930"</f>
        <v>38930</v>
      </c>
      <c r="DA2272" t="s">
        <v>131</v>
      </c>
      <c r="DB2272" t="str">
        <f>""</f>
        <v/>
      </c>
      <c r="DF2272" t="str">
        <f>""</f>
        <v/>
      </c>
    </row>
    <row r="2273" spans="1:110" ht="15" customHeight="1" x14ac:dyDescent="0.35">
      <c r="A2273" t="s">
        <v>7143</v>
      </c>
      <c r="B2273" t="s">
        <v>138</v>
      </c>
      <c r="C2273" s="1">
        <v>44342</v>
      </c>
      <c r="G2273" s="1">
        <v>44342</v>
      </c>
      <c r="H2273" t="s">
        <v>319</v>
      </c>
      <c r="I2273" t="s">
        <v>7144</v>
      </c>
      <c r="J2273" t="s">
        <v>7145</v>
      </c>
      <c r="L2273" t="s">
        <v>7146</v>
      </c>
      <c r="M2273" t="s">
        <v>7147</v>
      </c>
      <c r="N2273" t="s">
        <v>2415</v>
      </c>
      <c r="O2273" t="s">
        <v>7148</v>
      </c>
      <c r="P2273" t="s">
        <v>818</v>
      </c>
      <c r="Q2273" s="3">
        <v>30097</v>
      </c>
      <c r="R2273" t="s">
        <v>128</v>
      </c>
      <c r="T2273" s="4">
        <v>14704266748</v>
      </c>
      <c r="V2273" t="s">
        <v>7149</v>
      </c>
      <c r="W2273" t="s">
        <v>7150</v>
      </c>
      <c r="X2273" t="s">
        <v>134</v>
      </c>
      <c r="Y2273" t="s">
        <v>7151</v>
      </c>
      <c r="AA2273" t="s">
        <v>607</v>
      </c>
      <c r="AB2273" t="s">
        <v>779</v>
      </c>
      <c r="AC2273" s="3" t="str">
        <f>"37323"</f>
        <v>37323</v>
      </c>
      <c r="AD2273" t="s">
        <v>128</v>
      </c>
      <c r="AF2273" s="4">
        <v>14234886591</v>
      </c>
      <c r="AH2273" t="str">
        <f>"337121"</f>
        <v>337121</v>
      </c>
      <c r="AI2273" t="s">
        <v>287</v>
      </c>
      <c r="AJ2273" t="s">
        <v>7144</v>
      </c>
      <c r="AK2273" t="s">
        <v>7145</v>
      </c>
      <c r="AM2273" t="s">
        <v>7147</v>
      </c>
      <c r="AN2273" t="s">
        <v>2415</v>
      </c>
      <c r="AO2273" t="s">
        <v>7148</v>
      </c>
      <c r="AP2273" t="s">
        <v>643</v>
      </c>
      <c r="AQ2273" s="5">
        <v>30097</v>
      </c>
      <c r="AR2273" t="s">
        <v>128</v>
      </c>
      <c r="AT2273" s="4">
        <v>14704266748</v>
      </c>
      <c r="AV2273" t="s">
        <v>7149</v>
      </c>
      <c r="AW2273" t="s">
        <v>7152</v>
      </c>
      <c r="AX2273" t="s">
        <v>131</v>
      </c>
      <c r="AY2273" t="s">
        <v>131</v>
      </c>
      <c r="AZ2273" t="s">
        <v>131</v>
      </c>
      <c r="BA2273" t="s">
        <v>131</v>
      </c>
      <c r="BB2273" t="s">
        <v>131</v>
      </c>
      <c r="BC2273" t="s">
        <v>131</v>
      </c>
      <c r="BD2273" t="s">
        <v>131</v>
      </c>
      <c r="BE2273" t="s">
        <v>132</v>
      </c>
      <c r="BH2273" t="s">
        <v>7153</v>
      </c>
      <c r="BI2273" t="s">
        <v>131</v>
      </c>
      <c r="BL2273" t="s">
        <v>167</v>
      </c>
      <c r="BO2273" t="s">
        <v>131</v>
      </c>
      <c r="BP2273" t="s">
        <v>134</v>
      </c>
      <c r="BQ2273" t="s">
        <v>131</v>
      </c>
      <c r="BS2273" t="str">
        <f t="shared" ref="BS2273:BS2315" si="135">"N/A"</f>
        <v>N/A</v>
      </c>
      <c r="BT2273" t="s">
        <v>131</v>
      </c>
      <c r="BV2273" t="str">
        <f>""</f>
        <v/>
      </c>
      <c r="BW2273" t="s">
        <v>131</v>
      </c>
      <c r="BX2273" t="str">
        <f>""</f>
        <v/>
      </c>
      <c r="BY2273" t="str">
        <f>""</f>
        <v/>
      </c>
      <c r="BZ2273" t="str">
        <f>""</f>
        <v/>
      </c>
      <c r="CA2273" t="str">
        <f>""</f>
        <v/>
      </c>
      <c r="CB2273" t="s">
        <v>131</v>
      </c>
      <c r="CF2273" t="s">
        <v>131</v>
      </c>
      <c r="CH2273" t="str">
        <f>""</f>
        <v/>
      </c>
      <c r="CI2273" t="s">
        <v>131</v>
      </c>
      <c r="CK2273" t="s">
        <v>131</v>
      </c>
      <c r="CL2273" t="str">
        <f>""</f>
        <v/>
      </c>
      <c r="CM2273" t="str">
        <f>""</f>
        <v/>
      </c>
      <c r="CN2273" t="str">
        <f>""</f>
        <v/>
      </c>
      <c r="CO2273" t="str">
        <f>""</f>
        <v/>
      </c>
      <c r="CP2273" t="str">
        <f>"51-2092.00"</f>
        <v>51-2092.00</v>
      </c>
      <c r="CQ2273" t="s">
        <v>3007</v>
      </c>
      <c r="CR2273" t="s">
        <v>7154</v>
      </c>
      <c r="CS2273" t="s">
        <v>131</v>
      </c>
      <c r="CU2273" t="s">
        <v>7155</v>
      </c>
      <c r="CW2273" t="s">
        <v>7156</v>
      </c>
      <c r="CX2273" t="s">
        <v>643</v>
      </c>
      <c r="CZ2273" s="3" t="str">
        <f>"30705"</f>
        <v>30705</v>
      </c>
      <c r="DA2273" t="s">
        <v>131</v>
      </c>
      <c r="DB2273" t="str">
        <f>""</f>
        <v/>
      </c>
      <c r="DF2273" t="str">
        <f>""</f>
        <v/>
      </c>
    </row>
    <row r="2274" spans="1:110" ht="15" customHeight="1" x14ac:dyDescent="0.35">
      <c r="A2274" t="s">
        <v>8843</v>
      </c>
      <c r="B2274" t="s">
        <v>138</v>
      </c>
      <c r="C2274" s="1">
        <v>44342</v>
      </c>
      <c r="G2274" s="1">
        <v>44342</v>
      </c>
      <c r="H2274" t="s">
        <v>319</v>
      </c>
      <c r="I2274" t="s">
        <v>7144</v>
      </c>
      <c r="J2274" t="s">
        <v>7145</v>
      </c>
      <c r="L2274" t="s">
        <v>7146</v>
      </c>
      <c r="M2274" t="s">
        <v>7147</v>
      </c>
      <c r="N2274" t="s">
        <v>2415</v>
      </c>
      <c r="O2274" t="s">
        <v>7148</v>
      </c>
      <c r="P2274" t="s">
        <v>818</v>
      </c>
      <c r="Q2274" s="3">
        <v>30097</v>
      </c>
      <c r="R2274" t="s">
        <v>128</v>
      </c>
      <c r="T2274" s="4">
        <v>14704266748</v>
      </c>
      <c r="V2274" t="s">
        <v>7149</v>
      </c>
      <c r="W2274" t="s">
        <v>8844</v>
      </c>
      <c r="X2274" t="s">
        <v>8845</v>
      </c>
      <c r="Y2274" t="s">
        <v>7273</v>
      </c>
      <c r="Z2274" t="s">
        <v>134</v>
      </c>
      <c r="AA2274" t="s">
        <v>7274</v>
      </c>
      <c r="AB2274" t="s">
        <v>643</v>
      </c>
      <c r="AC2274" s="3" t="str">
        <f>"30248"</f>
        <v>30248</v>
      </c>
      <c r="AD2274" t="s">
        <v>128</v>
      </c>
      <c r="AF2274" s="4">
        <v>17709573338</v>
      </c>
      <c r="AH2274" t="str">
        <f>"72251"</f>
        <v>72251</v>
      </c>
      <c r="AI2274" t="s">
        <v>287</v>
      </c>
      <c r="AJ2274" t="s">
        <v>8846</v>
      </c>
      <c r="AK2274" t="s">
        <v>7145</v>
      </c>
      <c r="AM2274" t="s">
        <v>7147</v>
      </c>
      <c r="AN2274" t="s">
        <v>2415</v>
      </c>
      <c r="AO2274" t="s">
        <v>7148</v>
      </c>
      <c r="AP2274" t="s">
        <v>643</v>
      </c>
      <c r="AQ2274" s="5">
        <v>30097</v>
      </c>
      <c r="AR2274" t="s">
        <v>128</v>
      </c>
      <c r="AT2274" s="4">
        <v>14704266748</v>
      </c>
      <c r="AV2274" t="s">
        <v>7149</v>
      </c>
      <c r="AW2274" t="s">
        <v>8847</v>
      </c>
      <c r="AX2274" t="s">
        <v>131</v>
      </c>
      <c r="AY2274" t="s">
        <v>131</v>
      </c>
      <c r="AZ2274" t="s">
        <v>131</v>
      </c>
      <c r="BA2274" t="s">
        <v>131</v>
      </c>
      <c r="BB2274" t="s">
        <v>131</v>
      </c>
      <c r="BC2274" t="s">
        <v>131</v>
      </c>
      <c r="BD2274" t="s">
        <v>131</v>
      </c>
      <c r="BE2274" t="s">
        <v>132</v>
      </c>
      <c r="BH2274" t="s">
        <v>8848</v>
      </c>
      <c r="BI2274" t="s">
        <v>131</v>
      </c>
      <c r="BL2274" t="s">
        <v>167</v>
      </c>
      <c r="BO2274" t="s">
        <v>131</v>
      </c>
      <c r="BP2274" t="s">
        <v>134</v>
      </c>
      <c r="BQ2274" t="s">
        <v>131</v>
      </c>
      <c r="BS2274" t="str">
        <f t="shared" si="135"/>
        <v>N/A</v>
      </c>
      <c r="BT2274" t="s">
        <v>131</v>
      </c>
      <c r="BV2274" t="str">
        <f>""</f>
        <v/>
      </c>
      <c r="BW2274" t="s">
        <v>131</v>
      </c>
      <c r="BX2274" t="str">
        <f>""</f>
        <v/>
      </c>
      <c r="BY2274" t="str">
        <f>""</f>
        <v/>
      </c>
      <c r="BZ2274" t="str">
        <f>""</f>
        <v/>
      </c>
      <c r="CA2274" t="str">
        <f>""</f>
        <v/>
      </c>
      <c r="CB2274" t="s">
        <v>131</v>
      </c>
      <c r="CF2274" t="s">
        <v>131</v>
      </c>
      <c r="CH2274" t="str">
        <f>""</f>
        <v/>
      </c>
      <c r="CI2274" t="s">
        <v>131</v>
      </c>
      <c r="CK2274" t="s">
        <v>131</v>
      </c>
      <c r="CL2274" t="str">
        <f>""</f>
        <v/>
      </c>
      <c r="CM2274" t="str">
        <f>""</f>
        <v/>
      </c>
      <c r="CN2274" t="str">
        <f>""</f>
        <v/>
      </c>
      <c r="CO2274" t="str">
        <f>""</f>
        <v/>
      </c>
      <c r="CP2274" t="str">
        <f>"35-9021.00"</f>
        <v>35-9021.00</v>
      </c>
      <c r="CQ2274" t="s">
        <v>2552</v>
      </c>
      <c r="CR2274" t="s">
        <v>233</v>
      </c>
      <c r="CS2274" t="s">
        <v>131</v>
      </c>
      <c r="CU2274" t="s">
        <v>7273</v>
      </c>
      <c r="CW2274" t="s">
        <v>7012</v>
      </c>
      <c r="CX2274" t="s">
        <v>643</v>
      </c>
      <c r="CZ2274" s="3" t="str">
        <f>"30248"</f>
        <v>30248</v>
      </c>
      <c r="DA2274" t="s">
        <v>131</v>
      </c>
      <c r="DB2274" t="str">
        <f>""</f>
        <v/>
      </c>
      <c r="DF2274" t="str">
        <f>""</f>
        <v/>
      </c>
    </row>
    <row r="2275" spans="1:110" ht="15" customHeight="1" x14ac:dyDescent="0.35">
      <c r="A2275" t="s">
        <v>12469</v>
      </c>
      <c r="B2275" t="s">
        <v>138</v>
      </c>
      <c r="C2275" s="1">
        <v>44343</v>
      </c>
      <c r="G2275" s="1">
        <v>44343</v>
      </c>
      <c r="H2275" t="s">
        <v>319</v>
      </c>
      <c r="I2275" t="s">
        <v>534</v>
      </c>
      <c r="J2275" t="s">
        <v>3932</v>
      </c>
      <c r="L2275" t="s">
        <v>6348</v>
      </c>
      <c r="M2275" t="s">
        <v>10103</v>
      </c>
      <c r="O2275" t="s">
        <v>687</v>
      </c>
      <c r="P2275" t="s">
        <v>441</v>
      </c>
      <c r="Q2275" s="3">
        <v>45202</v>
      </c>
      <c r="R2275" t="s">
        <v>128</v>
      </c>
      <c r="T2275" s="4">
        <v>15132503121</v>
      </c>
      <c r="V2275" t="s">
        <v>10104</v>
      </c>
      <c r="W2275" t="s">
        <v>10105</v>
      </c>
      <c r="Y2275" t="s">
        <v>10103</v>
      </c>
      <c r="AA2275" t="s">
        <v>687</v>
      </c>
      <c r="AB2275" t="s">
        <v>444</v>
      </c>
      <c r="AC2275" s="3" t="str">
        <f>"45202"</f>
        <v>45202</v>
      </c>
      <c r="AD2275" t="s">
        <v>128</v>
      </c>
      <c r="AF2275" s="4">
        <v>15132503121</v>
      </c>
      <c r="AH2275" t="str">
        <f>"71321"</f>
        <v>71321</v>
      </c>
      <c r="AI2275" t="s">
        <v>287</v>
      </c>
      <c r="AJ2275" t="s">
        <v>2209</v>
      </c>
      <c r="AK2275" t="s">
        <v>1459</v>
      </c>
      <c r="AL2275" t="s">
        <v>2210</v>
      </c>
      <c r="AM2275" t="s">
        <v>2211</v>
      </c>
      <c r="AN2275" t="s">
        <v>788</v>
      </c>
      <c r="AO2275" t="s">
        <v>2212</v>
      </c>
      <c r="AP2275" t="s">
        <v>400</v>
      </c>
      <c r="AQ2275" s="5">
        <v>75033</v>
      </c>
      <c r="AR2275" t="s">
        <v>128</v>
      </c>
      <c r="AT2275" s="4">
        <v>19727789690</v>
      </c>
      <c r="AV2275" t="s">
        <v>2213</v>
      </c>
      <c r="AW2275" t="s">
        <v>2214</v>
      </c>
      <c r="AX2275" t="s">
        <v>131</v>
      </c>
      <c r="AY2275" t="s">
        <v>131</v>
      </c>
      <c r="AZ2275" t="s">
        <v>131</v>
      </c>
      <c r="BA2275" t="s">
        <v>131</v>
      </c>
      <c r="BB2275" t="s">
        <v>131</v>
      </c>
      <c r="BC2275" t="s">
        <v>131</v>
      </c>
      <c r="BD2275" t="s">
        <v>135</v>
      </c>
      <c r="BE2275" t="s">
        <v>132</v>
      </c>
      <c r="BH2275" t="s">
        <v>1213</v>
      </c>
      <c r="BI2275" t="s">
        <v>131</v>
      </c>
      <c r="BL2275" t="s">
        <v>167</v>
      </c>
      <c r="BO2275" t="s">
        <v>131</v>
      </c>
      <c r="BP2275" t="s">
        <v>134</v>
      </c>
      <c r="BQ2275" t="s">
        <v>131</v>
      </c>
      <c r="BS2275" t="str">
        <f t="shared" si="135"/>
        <v>N/A</v>
      </c>
      <c r="BT2275" t="s">
        <v>135</v>
      </c>
      <c r="BU2275">
        <v>3</v>
      </c>
      <c r="BV2275" t="str">
        <f>"Server"</f>
        <v>Server</v>
      </c>
      <c r="BW2275" t="s">
        <v>135</v>
      </c>
      <c r="BX2275" t="str">
        <f>"Must obtain and maintain all licenses / certifications per Federal, State, and Gaming/Lottery regulations."</f>
        <v>Must obtain and maintain all licenses / certifications per Federal, State, and Gaming/Lottery regulations.</v>
      </c>
      <c r="BY2275" t="str">
        <f>""</f>
        <v/>
      </c>
      <c r="BZ2275" t="str">
        <f>""</f>
        <v/>
      </c>
      <c r="CA2275" t="str">
        <f>"Must be 21 years of age. Must complete employment application. Must be able to work weekends and holidays as required. Must "</f>
        <v xml:space="preserve">Must be 21 years of age. Must complete employment application. Must be able to work weekends and holidays as required. Must </v>
      </c>
      <c r="CB2275" t="s">
        <v>131</v>
      </c>
      <c r="CF2275" t="s">
        <v>131</v>
      </c>
      <c r="CH2275" t="str">
        <f>""</f>
        <v/>
      </c>
      <c r="CI2275" t="s">
        <v>131</v>
      </c>
      <c r="CK2275" t="s">
        <v>131</v>
      </c>
      <c r="CL2275" t="str">
        <f>""</f>
        <v/>
      </c>
      <c r="CM2275" t="str">
        <f>""</f>
        <v/>
      </c>
      <c r="CN2275" t="str">
        <f>""</f>
        <v/>
      </c>
      <c r="CO2275" t="str">
        <f>""</f>
        <v/>
      </c>
      <c r="CP2275" t="str">
        <f>"35-3031.00"</f>
        <v>35-3031.00</v>
      </c>
      <c r="CQ2275" t="s">
        <v>1214</v>
      </c>
      <c r="CS2275" t="s">
        <v>131</v>
      </c>
      <c r="CU2275" t="s">
        <v>10103</v>
      </c>
      <c r="CW2275" t="s">
        <v>687</v>
      </c>
      <c r="CX2275" t="s">
        <v>444</v>
      </c>
      <c r="CZ2275" s="3" t="str">
        <f>"45202"</f>
        <v>45202</v>
      </c>
      <c r="DA2275" t="s">
        <v>131</v>
      </c>
      <c r="DB2275" t="str">
        <f>""</f>
        <v/>
      </c>
      <c r="DF2275" t="str">
        <f>""</f>
        <v/>
      </c>
    </row>
    <row r="2276" spans="1:110" ht="15" customHeight="1" x14ac:dyDescent="0.35">
      <c r="A2276" t="s">
        <v>15205</v>
      </c>
      <c r="B2276" t="s">
        <v>138</v>
      </c>
      <c r="C2276" s="1">
        <v>44345</v>
      </c>
      <c r="G2276" s="1">
        <v>44345</v>
      </c>
      <c r="H2276" t="s">
        <v>319</v>
      </c>
      <c r="I2276" t="s">
        <v>6212</v>
      </c>
      <c r="J2276" t="s">
        <v>6213</v>
      </c>
      <c r="L2276" t="s">
        <v>1031</v>
      </c>
      <c r="M2276" t="s">
        <v>6214</v>
      </c>
      <c r="O2276" t="s">
        <v>15206</v>
      </c>
      <c r="P2276" t="s">
        <v>194</v>
      </c>
      <c r="Q2276" s="3">
        <v>34145</v>
      </c>
      <c r="R2276" t="s">
        <v>128</v>
      </c>
      <c r="T2276" s="4">
        <v>12393943313</v>
      </c>
      <c r="V2276" t="s">
        <v>1021</v>
      </c>
      <c r="W2276" t="s">
        <v>15207</v>
      </c>
      <c r="Y2276" t="s">
        <v>6214</v>
      </c>
      <c r="AA2276" t="s">
        <v>6215</v>
      </c>
      <c r="AB2276" t="s">
        <v>195</v>
      </c>
      <c r="AC2276" s="3" t="str">
        <f>"34145"</f>
        <v>34145</v>
      </c>
      <c r="AD2276" t="s">
        <v>128</v>
      </c>
      <c r="AF2276" s="4">
        <v>12393943313</v>
      </c>
      <c r="AH2276" t="str">
        <f>"72251"</f>
        <v>72251</v>
      </c>
      <c r="AI2276" t="s">
        <v>287</v>
      </c>
      <c r="AJ2276" t="s">
        <v>1024</v>
      </c>
      <c r="AK2276" t="s">
        <v>1025</v>
      </c>
      <c r="AM2276" t="s">
        <v>1026</v>
      </c>
      <c r="AO2276" t="s">
        <v>1027</v>
      </c>
      <c r="AP2276" t="s">
        <v>129</v>
      </c>
      <c r="AQ2276" s="5">
        <v>11590</v>
      </c>
      <c r="AR2276" t="s">
        <v>128</v>
      </c>
      <c r="AT2276" s="4">
        <v>15163307168</v>
      </c>
      <c r="AV2276" t="s">
        <v>1021</v>
      </c>
      <c r="AW2276" t="s">
        <v>1028</v>
      </c>
      <c r="AX2276" t="s">
        <v>131</v>
      </c>
      <c r="AY2276" t="s">
        <v>131</v>
      </c>
      <c r="AZ2276" t="s">
        <v>131</v>
      </c>
      <c r="BA2276" t="s">
        <v>131</v>
      </c>
      <c r="BB2276" t="s">
        <v>131</v>
      </c>
      <c r="BC2276" t="s">
        <v>131</v>
      </c>
      <c r="BD2276" t="s">
        <v>131</v>
      </c>
      <c r="BE2276" t="s">
        <v>132</v>
      </c>
      <c r="BH2276" t="s">
        <v>6218</v>
      </c>
      <c r="BI2276" t="s">
        <v>131</v>
      </c>
      <c r="BL2276" t="s">
        <v>167</v>
      </c>
      <c r="BO2276" t="s">
        <v>131</v>
      </c>
      <c r="BP2276" t="s">
        <v>134</v>
      </c>
      <c r="BQ2276" t="s">
        <v>131</v>
      </c>
      <c r="BS2276" t="str">
        <f t="shared" si="135"/>
        <v>N/A</v>
      </c>
      <c r="BT2276" t="s">
        <v>131</v>
      </c>
      <c r="BV2276" t="str">
        <f>""</f>
        <v/>
      </c>
      <c r="BW2276" t="s">
        <v>131</v>
      </c>
      <c r="BX2276" t="str">
        <f>""</f>
        <v/>
      </c>
      <c r="BY2276" t="str">
        <f>""</f>
        <v/>
      </c>
      <c r="BZ2276" t="str">
        <f>""</f>
        <v/>
      </c>
      <c r="CA2276" t="str">
        <f>""</f>
        <v/>
      </c>
      <c r="CB2276" t="s">
        <v>131</v>
      </c>
      <c r="CF2276" t="s">
        <v>131</v>
      </c>
      <c r="CH2276" t="str">
        <f>""</f>
        <v/>
      </c>
      <c r="CI2276" t="s">
        <v>131</v>
      </c>
      <c r="CK2276" t="s">
        <v>131</v>
      </c>
      <c r="CL2276" t="str">
        <f>""</f>
        <v/>
      </c>
      <c r="CM2276" t="str">
        <f>""</f>
        <v/>
      </c>
      <c r="CN2276" t="str">
        <f>""</f>
        <v/>
      </c>
      <c r="CO2276" t="str">
        <f>""</f>
        <v/>
      </c>
      <c r="CP2276" t="str">
        <f>"35-2014.00"</f>
        <v>35-2014.00</v>
      </c>
      <c r="CQ2276" t="s">
        <v>581</v>
      </c>
      <c r="CR2276" t="s">
        <v>6219</v>
      </c>
      <c r="CS2276" t="s">
        <v>131</v>
      </c>
      <c r="CU2276" t="s">
        <v>6214</v>
      </c>
      <c r="CW2276" t="s">
        <v>6215</v>
      </c>
      <c r="CX2276" t="s">
        <v>195</v>
      </c>
      <c r="CZ2276" s="3" t="str">
        <f>"34145"</f>
        <v>34145</v>
      </c>
      <c r="DA2276" t="s">
        <v>131</v>
      </c>
      <c r="DB2276" t="str">
        <f>""</f>
        <v/>
      </c>
      <c r="DF2276" t="str">
        <f>""</f>
        <v/>
      </c>
    </row>
    <row r="2277" spans="1:110" ht="15" customHeight="1" x14ac:dyDescent="0.35">
      <c r="A2277" t="s">
        <v>19567</v>
      </c>
      <c r="B2277" t="s">
        <v>138</v>
      </c>
      <c r="C2277" s="1">
        <v>44345</v>
      </c>
      <c r="G2277" s="1">
        <v>44346</v>
      </c>
      <c r="H2277" t="s">
        <v>319</v>
      </c>
      <c r="I2277" t="s">
        <v>6212</v>
      </c>
      <c r="J2277" t="s">
        <v>6213</v>
      </c>
      <c r="L2277" t="s">
        <v>1031</v>
      </c>
      <c r="M2277" t="s">
        <v>6214</v>
      </c>
      <c r="O2277" t="s">
        <v>6215</v>
      </c>
      <c r="P2277" t="s">
        <v>194</v>
      </c>
      <c r="Q2277" s="3">
        <v>34145</v>
      </c>
      <c r="R2277" t="s">
        <v>128</v>
      </c>
      <c r="T2277" s="4">
        <v>12393943313</v>
      </c>
      <c r="V2277" t="s">
        <v>1021</v>
      </c>
      <c r="W2277" t="s">
        <v>19568</v>
      </c>
      <c r="Y2277" t="s">
        <v>6214</v>
      </c>
      <c r="AA2277" t="s">
        <v>6215</v>
      </c>
      <c r="AB2277" t="s">
        <v>195</v>
      </c>
      <c r="AC2277" s="3" t="str">
        <f>"34145"</f>
        <v>34145</v>
      </c>
      <c r="AD2277" t="s">
        <v>128</v>
      </c>
      <c r="AF2277" s="4">
        <v>12393943313</v>
      </c>
      <c r="AH2277" t="str">
        <f>"72251"</f>
        <v>72251</v>
      </c>
      <c r="AI2277" t="s">
        <v>287</v>
      </c>
      <c r="AJ2277" t="s">
        <v>1024</v>
      </c>
      <c r="AK2277" t="s">
        <v>1025</v>
      </c>
      <c r="AM2277" t="s">
        <v>1026</v>
      </c>
      <c r="AO2277" t="s">
        <v>1027</v>
      </c>
      <c r="AP2277" t="s">
        <v>129</v>
      </c>
      <c r="AQ2277" s="5">
        <v>11590</v>
      </c>
      <c r="AR2277" t="s">
        <v>128</v>
      </c>
      <c r="AT2277" s="4">
        <v>15163307168</v>
      </c>
      <c r="AV2277" t="s">
        <v>1021</v>
      </c>
      <c r="AW2277" t="s">
        <v>1028</v>
      </c>
      <c r="AX2277" t="s">
        <v>131</v>
      </c>
      <c r="AY2277" t="s">
        <v>131</v>
      </c>
      <c r="AZ2277" t="s">
        <v>131</v>
      </c>
      <c r="BA2277" t="s">
        <v>131</v>
      </c>
      <c r="BB2277" t="s">
        <v>131</v>
      </c>
      <c r="BC2277" t="s">
        <v>131</v>
      </c>
      <c r="BD2277" t="s">
        <v>131</v>
      </c>
      <c r="BE2277" t="s">
        <v>132</v>
      </c>
      <c r="BH2277" t="s">
        <v>6218</v>
      </c>
      <c r="BI2277" t="s">
        <v>131</v>
      </c>
      <c r="BL2277" t="s">
        <v>167</v>
      </c>
      <c r="BO2277" t="s">
        <v>131</v>
      </c>
      <c r="BP2277" t="s">
        <v>134</v>
      </c>
      <c r="BQ2277" t="s">
        <v>131</v>
      </c>
      <c r="BS2277" t="str">
        <f t="shared" si="135"/>
        <v>N/A</v>
      </c>
      <c r="BT2277" t="s">
        <v>131</v>
      </c>
      <c r="BV2277" t="str">
        <f>""</f>
        <v/>
      </c>
      <c r="BW2277" t="s">
        <v>131</v>
      </c>
      <c r="BX2277" t="str">
        <f>""</f>
        <v/>
      </c>
      <c r="BY2277" t="str">
        <f>""</f>
        <v/>
      </c>
      <c r="BZ2277" t="str">
        <f>""</f>
        <v/>
      </c>
      <c r="CA2277" t="str">
        <f>""</f>
        <v/>
      </c>
      <c r="CB2277" t="s">
        <v>131</v>
      </c>
      <c r="CF2277" t="s">
        <v>131</v>
      </c>
      <c r="CH2277" t="str">
        <f>""</f>
        <v/>
      </c>
      <c r="CI2277" t="s">
        <v>131</v>
      </c>
      <c r="CK2277" t="s">
        <v>131</v>
      </c>
      <c r="CL2277" t="str">
        <f>""</f>
        <v/>
      </c>
      <c r="CM2277" t="str">
        <f>""</f>
        <v/>
      </c>
      <c r="CN2277" t="str">
        <f>""</f>
        <v/>
      </c>
      <c r="CO2277" t="str">
        <f>""</f>
        <v/>
      </c>
      <c r="CP2277" t="str">
        <f>"35-2014.00"</f>
        <v>35-2014.00</v>
      </c>
      <c r="CQ2277" t="s">
        <v>581</v>
      </c>
      <c r="CR2277" t="s">
        <v>6219</v>
      </c>
      <c r="CS2277" t="s">
        <v>131</v>
      </c>
      <c r="CU2277" t="s">
        <v>6214</v>
      </c>
      <c r="CW2277" t="s">
        <v>6215</v>
      </c>
      <c r="CX2277" t="s">
        <v>195</v>
      </c>
      <c r="CZ2277" s="3" t="str">
        <f>"34145"</f>
        <v>34145</v>
      </c>
      <c r="DA2277" t="s">
        <v>131</v>
      </c>
      <c r="DB2277" t="str">
        <f>""</f>
        <v/>
      </c>
      <c r="DF2277" t="str">
        <f>""</f>
        <v/>
      </c>
    </row>
    <row r="2278" spans="1:110" ht="15" customHeight="1" x14ac:dyDescent="0.35">
      <c r="A2278" t="s">
        <v>13582</v>
      </c>
      <c r="B2278" t="s">
        <v>138</v>
      </c>
      <c r="C2278" s="1">
        <v>44346</v>
      </c>
      <c r="G2278" s="1">
        <v>44375</v>
      </c>
      <c r="H2278" t="s">
        <v>319</v>
      </c>
      <c r="I2278" t="s">
        <v>13583</v>
      </c>
      <c r="J2278" t="s">
        <v>13584</v>
      </c>
      <c r="L2278" t="s">
        <v>583</v>
      </c>
      <c r="M2278" t="s">
        <v>13585</v>
      </c>
      <c r="O2278" t="s">
        <v>13586</v>
      </c>
      <c r="P2278" t="s">
        <v>127</v>
      </c>
      <c r="Q2278" s="3">
        <v>11787</v>
      </c>
      <c r="R2278" t="s">
        <v>128</v>
      </c>
      <c r="T2278" s="4">
        <v>16312929421</v>
      </c>
      <c r="V2278" t="s">
        <v>1021</v>
      </c>
      <c r="W2278" t="s">
        <v>13587</v>
      </c>
      <c r="Y2278" t="s">
        <v>13585</v>
      </c>
      <c r="AA2278" t="s">
        <v>13586</v>
      </c>
      <c r="AB2278" t="s">
        <v>129</v>
      </c>
      <c r="AC2278" s="3" t="str">
        <f>"11787"</f>
        <v>11787</v>
      </c>
      <c r="AD2278" t="s">
        <v>128</v>
      </c>
      <c r="AF2278" s="4">
        <v>16312929421</v>
      </c>
      <c r="AH2278" t="str">
        <f>"115115"</f>
        <v>115115</v>
      </c>
      <c r="AI2278" t="s">
        <v>287</v>
      </c>
      <c r="AJ2278" t="s">
        <v>1024</v>
      </c>
      <c r="AK2278" t="s">
        <v>1025</v>
      </c>
      <c r="AM2278" t="s">
        <v>1026</v>
      </c>
      <c r="AO2278" t="s">
        <v>1027</v>
      </c>
      <c r="AP2278" t="s">
        <v>129</v>
      </c>
      <c r="AQ2278" s="5">
        <v>11590</v>
      </c>
      <c r="AR2278" t="s">
        <v>128</v>
      </c>
      <c r="AT2278" s="4">
        <v>15163307168</v>
      </c>
      <c r="AV2278" t="s">
        <v>1021</v>
      </c>
      <c r="AW2278" t="s">
        <v>1028</v>
      </c>
      <c r="AX2278" t="s">
        <v>131</v>
      </c>
      <c r="AY2278" t="s">
        <v>131</v>
      </c>
      <c r="AZ2278" t="s">
        <v>131</v>
      </c>
      <c r="BA2278" t="s">
        <v>131</v>
      </c>
      <c r="BB2278" t="s">
        <v>131</v>
      </c>
      <c r="BC2278" t="s">
        <v>131</v>
      </c>
      <c r="BD2278" t="s">
        <v>131</v>
      </c>
      <c r="BE2278" t="s">
        <v>132</v>
      </c>
      <c r="BH2278" t="s">
        <v>1029</v>
      </c>
      <c r="BI2278" t="s">
        <v>131</v>
      </c>
      <c r="BL2278" t="s">
        <v>167</v>
      </c>
      <c r="BO2278" t="s">
        <v>131</v>
      </c>
      <c r="BP2278" t="s">
        <v>134</v>
      </c>
      <c r="BQ2278" t="s">
        <v>131</v>
      </c>
      <c r="BS2278" t="str">
        <f t="shared" si="135"/>
        <v>N/A</v>
      </c>
      <c r="BT2278" t="s">
        <v>131</v>
      </c>
      <c r="BV2278" t="str">
        <f>""</f>
        <v/>
      </c>
      <c r="BW2278" t="s">
        <v>131</v>
      </c>
      <c r="BX2278" t="str">
        <f>""</f>
        <v/>
      </c>
      <c r="BY2278" t="str">
        <f>""</f>
        <v/>
      </c>
      <c r="BZ2278" t="str">
        <f>""</f>
        <v/>
      </c>
      <c r="CA2278" t="str">
        <f>""</f>
        <v/>
      </c>
      <c r="CB2278" t="s">
        <v>131</v>
      </c>
      <c r="CF2278" t="s">
        <v>131</v>
      </c>
      <c r="CH2278" t="str">
        <f>""</f>
        <v/>
      </c>
      <c r="CI2278" t="s">
        <v>131</v>
      </c>
      <c r="CK2278" t="s">
        <v>131</v>
      </c>
      <c r="CL2278" t="str">
        <f>""</f>
        <v/>
      </c>
      <c r="CM2278" t="str">
        <f>""</f>
        <v/>
      </c>
      <c r="CN2278" t="str">
        <f>""</f>
        <v/>
      </c>
      <c r="CO2278" t="str">
        <f>""</f>
        <v/>
      </c>
      <c r="CP2278" t="str">
        <f>"53-7062.00"</f>
        <v>53-7062.00</v>
      </c>
      <c r="CQ2278" t="s">
        <v>1030</v>
      </c>
      <c r="CR2278" t="s">
        <v>5068</v>
      </c>
      <c r="CS2278" t="s">
        <v>135</v>
      </c>
      <c r="CT2278" t="s">
        <v>13588</v>
      </c>
      <c r="CU2278" t="s">
        <v>13585</v>
      </c>
      <c r="CW2278" t="s">
        <v>13586</v>
      </c>
      <c r="CX2278" t="s">
        <v>129</v>
      </c>
      <c r="CZ2278" s="3" t="str">
        <f>"11787"</f>
        <v>11787</v>
      </c>
      <c r="DA2278" t="s">
        <v>135</v>
      </c>
      <c r="DB2278" t="str">
        <f>""</f>
        <v/>
      </c>
      <c r="DF2278" t="str">
        <f>""</f>
        <v/>
      </c>
    </row>
    <row r="2279" spans="1:110" ht="15" customHeight="1" x14ac:dyDescent="0.35">
      <c r="A2279" t="s">
        <v>15989</v>
      </c>
      <c r="B2279" t="s">
        <v>138</v>
      </c>
      <c r="C2279" s="1">
        <v>44346</v>
      </c>
      <c r="G2279" s="1">
        <v>44375</v>
      </c>
      <c r="H2279" t="s">
        <v>319</v>
      </c>
      <c r="I2279" t="s">
        <v>15990</v>
      </c>
      <c r="J2279" t="s">
        <v>5317</v>
      </c>
      <c r="L2279" t="s">
        <v>1031</v>
      </c>
      <c r="M2279" t="s">
        <v>15991</v>
      </c>
      <c r="O2279" t="s">
        <v>9861</v>
      </c>
      <c r="P2279" t="s">
        <v>127</v>
      </c>
      <c r="Q2279" s="3">
        <v>11968</v>
      </c>
      <c r="R2279" t="s">
        <v>128</v>
      </c>
      <c r="T2279" s="4">
        <v>16312041013</v>
      </c>
      <c r="V2279" t="s">
        <v>1021</v>
      </c>
      <c r="W2279" t="s">
        <v>15992</v>
      </c>
      <c r="Y2279" t="s">
        <v>15993</v>
      </c>
      <c r="AA2279" t="s">
        <v>9861</v>
      </c>
      <c r="AB2279" t="s">
        <v>129</v>
      </c>
      <c r="AC2279" s="3" t="str">
        <f>"11968"</f>
        <v>11968</v>
      </c>
      <c r="AD2279" t="s">
        <v>128</v>
      </c>
      <c r="AF2279" s="4">
        <v>16312041013</v>
      </c>
      <c r="AH2279" t="str">
        <f>"56173"</f>
        <v>56173</v>
      </c>
      <c r="AI2279" t="s">
        <v>287</v>
      </c>
      <c r="AJ2279" t="s">
        <v>1024</v>
      </c>
      <c r="AK2279" t="s">
        <v>1025</v>
      </c>
      <c r="AM2279" t="s">
        <v>1026</v>
      </c>
      <c r="AO2279" t="s">
        <v>1027</v>
      </c>
      <c r="AP2279" t="s">
        <v>129</v>
      </c>
      <c r="AQ2279" s="5">
        <v>11590</v>
      </c>
      <c r="AR2279" t="s">
        <v>128</v>
      </c>
      <c r="AT2279" s="4">
        <v>15163307168</v>
      </c>
      <c r="AV2279" t="s">
        <v>1021</v>
      </c>
      <c r="AW2279" t="s">
        <v>1028</v>
      </c>
      <c r="AX2279" t="s">
        <v>131</v>
      </c>
      <c r="AY2279" t="s">
        <v>131</v>
      </c>
      <c r="AZ2279" t="s">
        <v>131</v>
      </c>
      <c r="BA2279" t="s">
        <v>131</v>
      </c>
      <c r="BB2279" t="s">
        <v>131</v>
      </c>
      <c r="BC2279" t="s">
        <v>131</v>
      </c>
      <c r="BD2279" t="s">
        <v>131</v>
      </c>
      <c r="BE2279" t="s">
        <v>132</v>
      </c>
      <c r="BH2279" t="s">
        <v>2215</v>
      </c>
      <c r="BI2279" t="s">
        <v>131</v>
      </c>
      <c r="BL2279" t="s">
        <v>167</v>
      </c>
      <c r="BO2279" t="s">
        <v>131</v>
      </c>
      <c r="BP2279" t="s">
        <v>134</v>
      </c>
      <c r="BQ2279" t="s">
        <v>131</v>
      </c>
      <c r="BS2279" t="str">
        <f t="shared" si="135"/>
        <v>N/A</v>
      </c>
      <c r="BT2279" t="s">
        <v>131</v>
      </c>
      <c r="BV2279" t="str">
        <f>""</f>
        <v/>
      </c>
      <c r="BW2279" t="s">
        <v>131</v>
      </c>
      <c r="BX2279" t="str">
        <f>""</f>
        <v/>
      </c>
      <c r="BY2279" t="str">
        <f>""</f>
        <v/>
      </c>
      <c r="BZ2279" t="str">
        <f>""</f>
        <v/>
      </c>
      <c r="CA2279" t="str">
        <f>""</f>
        <v/>
      </c>
      <c r="CB2279" t="s">
        <v>131</v>
      </c>
      <c r="CF2279" t="s">
        <v>131</v>
      </c>
      <c r="CH2279" t="str">
        <f>""</f>
        <v/>
      </c>
      <c r="CI2279" t="s">
        <v>131</v>
      </c>
      <c r="CK2279" t="s">
        <v>131</v>
      </c>
      <c r="CL2279" t="str">
        <f>""</f>
        <v/>
      </c>
      <c r="CM2279" t="str">
        <f>""</f>
        <v/>
      </c>
      <c r="CN2279" t="str">
        <f>""</f>
        <v/>
      </c>
      <c r="CO2279" t="str">
        <f>""</f>
        <v/>
      </c>
      <c r="CP2279" t="str">
        <f>"37-3011.00"</f>
        <v>37-3011.00</v>
      </c>
      <c r="CQ2279" t="s">
        <v>920</v>
      </c>
      <c r="CR2279" t="s">
        <v>5068</v>
      </c>
      <c r="CS2279" t="s">
        <v>135</v>
      </c>
      <c r="CT2279" t="s">
        <v>15994</v>
      </c>
      <c r="CU2279" t="s">
        <v>15993</v>
      </c>
      <c r="CW2279" t="s">
        <v>9861</v>
      </c>
      <c r="CX2279" t="s">
        <v>129</v>
      </c>
      <c r="CZ2279" s="3" t="str">
        <f>"11968"</f>
        <v>11968</v>
      </c>
      <c r="DA2279" t="s">
        <v>135</v>
      </c>
      <c r="DB2279" t="str">
        <f>""</f>
        <v/>
      </c>
      <c r="DF2279" t="str">
        <f>""</f>
        <v/>
      </c>
    </row>
    <row r="2280" spans="1:110" ht="15" customHeight="1" x14ac:dyDescent="0.35">
      <c r="A2280" t="s">
        <v>10611</v>
      </c>
      <c r="B2280" t="s">
        <v>138</v>
      </c>
      <c r="C2280" s="1">
        <v>44347</v>
      </c>
      <c r="G2280" s="1">
        <v>44347</v>
      </c>
      <c r="H2280" t="s">
        <v>319</v>
      </c>
      <c r="I2280" t="s">
        <v>10612</v>
      </c>
      <c r="J2280" t="s">
        <v>654</v>
      </c>
      <c r="L2280" t="s">
        <v>1105</v>
      </c>
      <c r="M2280" t="s">
        <v>10613</v>
      </c>
      <c r="O2280" t="s">
        <v>3874</v>
      </c>
      <c r="P2280" t="s">
        <v>1760</v>
      </c>
      <c r="Q2280" s="3">
        <v>70817</v>
      </c>
      <c r="R2280" t="s">
        <v>128</v>
      </c>
      <c r="T2280" s="4">
        <v>12257563905</v>
      </c>
      <c r="V2280" t="s">
        <v>10614</v>
      </c>
      <c r="W2280" t="s">
        <v>10615</v>
      </c>
      <c r="Y2280" t="s">
        <v>10613</v>
      </c>
      <c r="AA2280" t="s">
        <v>3874</v>
      </c>
      <c r="AB2280" t="s">
        <v>1763</v>
      </c>
      <c r="AC2280" s="3" t="str">
        <f>"70817"</f>
        <v>70817</v>
      </c>
      <c r="AD2280" t="s">
        <v>128</v>
      </c>
      <c r="AF2280" s="4">
        <v>12257563905</v>
      </c>
      <c r="AH2280" t="str">
        <f>"561730"</f>
        <v>561730</v>
      </c>
      <c r="AI2280" t="s">
        <v>287</v>
      </c>
      <c r="AJ2280" t="s">
        <v>6793</v>
      </c>
      <c r="AK2280" t="s">
        <v>6794</v>
      </c>
      <c r="AM2280" t="s">
        <v>6795</v>
      </c>
      <c r="AO2280" t="s">
        <v>6796</v>
      </c>
      <c r="AP2280" t="s">
        <v>400</v>
      </c>
      <c r="AQ2280" s="5">
        <v>75098</v>
      </c>
      <c r="AR2280" t="s">
        <v>128</v>
      </c>
      <c r="AT2280" s="4">
        <v>19724424244</v>
      </c>
      <c r="AV2280" t="s">
        <v>6797</v>
      </c>
      <c r="AW2280" t="s">
        <v>6798</v>
      </c>
      <c r="AX2280" t="s">
        <v>131</v>
      </c>
      <c r="AY2280" t="s">
        <v>131</v>
      </c>
      <c r="AZ2280" t="s">
        <v>131</v>
      </c>
      <c r="BA2280" t="s">
        <v>131</v>
      </c>
      <c r="BB2280" t="s">
        <v>131</v>
      </c>
      <c r="BC2280" t="s">
        <v>131</v>
      </c>
      <c r="BD2280" t="s">
        <v>131</v>
      </c>
      <c r="BE2280" t="s">
        <v>132</v>
      </c>
      <c r="BH2280" t="s">
        <v>6799</v>
      </c>
      <c r="BI2280" t="s">
        <v>131</v>
      </c>
      <c r="BL2280" t="s">
        <v>167</v>
      </c>
      <c r="BO2280" t="s">
        <v>131</v>
      </c>
      <c r="BP2280" t="s">
        <v>134</v>
      </c>
      <c r="BQ2280" t="s">
        <v>131</v>
      </c>
      <c r="BS2280" t="str">
        <f t="shared" si="135"/>
        <v>N/A</v>
      </c>
      <c r="BT2280" t="s">
        <v>131</v>
      </c>
      <c r="BV2280" t="str">
        <f>""</f>
        <v/>
      </c>
      <c r="BW2280" t="s">
        <v>131</v>
      </c>
      <c r="BX2280" t="str">
        <f>""</f>
        <v/>
      </c>
      <c r="BY2280" t="str">
        <f>""</f>
        <v/>
      </c>
      <c r="BZ2280" t="str">
        <f>""</f>
        <v/>
      </c>
      <c r="CA2280" t="str">
        <f>""</f>
        <v/>
      </c>
      <c r="CB2280" t="s">
        <v>131</v>
      </c>
      <c r="CF2280" t="s">
        <v>131</v>
      </c>
      <c r="CH2280" t="str">
        <f>""</f>
        <v/>
      </c>
      <c r="CI2280" t="s">
        <v>131</v>
      </c>
      <c r="CK2280" t="s">
        <v>131</v>
      </c>
      <c r="CL2280" t="str">
        <f>""</f>
        <v/>
      </c>
      <c r="CM2280" t="str">
        <f>""</f>
        <v/>
      </c>
      <c r="CN2280" t="str">
        <f>""</f>
        <v/>
      </c>
      <c r="CO2280" t="str">
        <f>""</f>
        <v/>
      </c>
      <c r="CP2280" t="str">
        <f>"37-3011.00"</f>
        <v>37-3011.00</v>
      </c>
      <c r="CQ2280" t="s">
        <v>920</v>
      </c>
      <c r="CR2280" t="s">
        <v>3086</v>
      </c>
      <c r="CS2280" t="s">
        <v>131</v>
      </c>
      <c r="CU2280" t="s">
        <v>10613</v>
      </c>
      <c r="CW2280" t="s">
        <v>3874</v>
      </c>
      <c r="CX2280" t="s">
        <v>1763</v>
      </c>
      <c r="CZ2280" s="3" t="str">
        <f>"70817"</f>
        <v>70817</v>
      </c>
      <c r="DA2280" t="s">
        <v>135</v>
      </c>
      <c r="DB2280" t="str">
        <f>""</f>
        <v/>
      </c>
      <c r="DF2280" t="str">
        <f>""</f>
        <v/>
      </c>
    </row>
    <row r="2281" spans="1:110" ht="15" customHeight="1" x14ac:dyDescent="0.35">
      <c r="A2281" t="s">
        <v>7821</v>
      </c>
      <c r="B2281" t="s">
        <v>138</v>
      </c>
      <c r="C2281" s="1">
        <v>44348</v>
      </c>
      <c r="G2281" s="1">
        <v>44350</v>
      </c>
      <c r="H2281" t="s">
        <v>319</v>
      </c>
      <c r="I2281" t="s">
        <v>4031</v>
      </c>
      <c r="J2281" t="s">
        <v>4032</v>
      </c>
      <c r="L2281" t="s">
        <v>4033</v>
      </c>
      <c r="M2281" t="s">
        <v>4034</v>
      </c>
      <c r="O2281" t="s">
        <v>4035</v>
      </c>
      <c r="P2281" t="s">
        <v>194</v>
      </c>
      <c r="Q2281" s="3">
        <v>34135</v>
      </c>
      <c r="R2281" t="s">
        <v>128</v>
      </c>
      <c r="S2281" t="s">
        <v>194</v>
      </c>
      <c r="T2281" s="4">
        <v>12393903400</v>
      </c>
      <c r="V2281" t="s">
        <v>4036</v>
      </c>
      <c r="W2281" t="s">
        <v>4037</v>
      </c>
      <c r="X2281" t="s">
        <v>7822</v>
      </c>
      <c r="Y2281" t="s">
        <v>4034</v>
      </c>
      <c r="AA2281" t="s">
        <v>7823</v>
      </c>
      <c r="AB2281" t="s">
        <v>195</v>
      </c>
      <c r="AC2281" s="3" t="str">
        <f>"34135"</f>
        <v>34135</v>
      </c>
      <c r="AD2281" t="s">
        <v>128</v>
      </c>
      <c r="AF2281" s="4">
        <v>12393903400</v>
      </c>
      <c r="AH2281" t="str">
        <f>"713910"</f>
        <v>713910</v>
      </c>
      <c r="AI2281" t="s">
        <v>167</v>
      </c>
      <c r="AX2281" t="s">
        <v>131</v>
      </c>
      <c r="AY2281" t="s">
        <v>131</v>
      </c>
      <c r="AZ2281" t="s">
        <v>131</v>
      </c>
      <c r="BA2281" t="s">
        <v>131</v>
      </c>
      <c r="BB2281" t="s">
        <v>131</v>
      </c>
      <c r="BC2281" t="s">
        <v>131</v>
      </c>
      <c r="BD2281" t="s">
        <v>131</v>
      </c>
      <c r="BE2281" t="s">
        <v>132</v>
      </c>
      <c r="BH2281" t="s">
        <v>7824</v>
      </c>
      <c r="BI2281" t="s">
        <v>131</v>
      </c>
      <c r="BL2281" t="s">
        <v>401</v>
      </c>
      <c r="BO2281" t="s">
        <v>131</v>
      </c>
      <c r="BP2281" t="s">
        <v>134</v>
      </c>
      <c r="BQ2281" t="s">
        <v>131</v>
      </c>
      <c r="BS2281" t="str">
        <f t="shared" si="135"/>
        <v>N/A</v>
      </c>
      <c r="BT2281" t="s">
        <v>135</v>
      </c>
      <c r="BU2281">
        <v>12</v>
      </c>
      <c r="BV2281" t="str">
        <f>"Food Service Industry"</f>
        <v>Food Service Industry</v>
      </c>
      <c r="BW2281" t="s">
        <v>131</v>
      </c>
      <c r="BX2281" t="str">
        <f>""</f>
        <v/>
      </c>
      <c r="BY2281" t="str">
        <f>""</f>
        <v/>
      </c>
      <c r="BZ2281" t="str">
        <f>""</f>
        <v/>
      </c>
      <c r="CA2281" t="str">
        <f>""</f>
        <v/>
      </c>
      <c r="CB2281" t="s">
        <v>131</v>
      </c>
      <c r="CF2281" t="s">
        <v>131</v>
      </c>
      <c r="CH2281" t="str">
        <f>""</f>
        <v/>
      </c>
      <c r="CI2281" t="s">
        <v>131</v>
      </c>
      <c r="CK2281" t="s">
        <v>131</v>
      </c>
      <c r="CL2281" t="str">
        <f>""</f>
        <v/>
      </c>
      <c r="CM2281" t="str">
        <f>""</f>
        <v/>
      </c>
      <c r="CN2281" t="str">
        <f>""</f>
        <v/>
      </c>
      <c r="CO2281" t="str">
        <f>""</f>
        <v/>
      </c>
      <c r="CP2281" t="str">
        <f>"35-9099.00"</f>
        <v>35-9099.00</v>
      </c>
      <c r="CQ2281" t="s">
        <v>6636</v>
      </c>
      <c r="CS2281" t="s">
        <v>131</v>
      </c>
      <c r="CU2281" t="s">
        <v>4034</v>
      </c>
      <c r="CW2281" t="s">
        <v>4035</v>
      </c>
      <c r="CX2281" t="s">
        <v>195</v>
      </c>
      <c r="CZ2281" s="3" t="str">
        <f>"34135-8137"</f>
        <v>34135-8137</v>
      </c>
      <c r="DA2281" t="s">
        <v>131</v>
      </c>
      <c r="DB2281" t="str">
        <f>""</f>
        <v/>
      </c>
      <c r="DF2281" t="str">
        <f>""</f>
        <v/>
      </c>
    </row>
    <row r="2282" spans="1:110" ht="15" customHeight="1" x14ac:dyDescent="0.35">
      <c r="A2282" t="s">
        <v>14602</v>
      </c>
      <c r="B2282" t="s">
        <v>138</v>
      </c>
      <c r="C2282" s="1">
        <v>44348</v>
      </c>
      <c r="G2282" s="1">
        <v>44374</v>
      </c>
      <c r="H2282" t="s">
        <v>319</v>
      </c>
      <c r="I2282" t="s">
        <v>14603</v>
      </c>
      <c r="J2282" t="s">
        <v>5399</v>
      </c>
      <c r="L2282" t="s">
        <v>1031</v>
      </c>
      <c r="M2282" t="s">
        <v>14604</v>
      </c>
      <c r="O2282" t="s">
        <v>13733</v>
      </c>
      <c r="P2282" t="s">
        <v>127</v>
      </c>
      <c r="Q2282" s="3">
        <v>11952</v>
      </c>
      <c r="R2282" t="s">
        <v>128</v>
      </c>
      <c r="T2282" s="4">
        <v>16312986571</v>
      </c>
      <c r="V2282" t="s">
        <v>1021</v>
      </c>
      <c r="W2282" t="s">
        <v>14605</v>
      </c>
      <c r="Y2282" t="s">
        <v>14604</v>
      </c>
      <c r="AA2282" t="s">
        <v>13733</v>
      </c>
      <c r="AB2282" t="s">
        <v>129</v>
      </c>
      <c r="AC2282" s="3" t="str">
        <f>"11952"</f>
        <v>11952</v>
      </c>
      <c r="AD2282" t="s">
        <v>128</v>
      </c>
      <c r="AF2282" s="4">
        <v>16312986571</v>
      </c>
      <c r="AH2282" t="str">
        <f>"56173"</f>
        <v>56173</v>
      </c>
      <c r="AI2282" t="s">
        <v>287</v>
      </c>
      <c r="AJ2282" t="s">
        <v>1024</v>
      </c>
      <c r="AK2282" t="s">
        <v>1025</v>
      </c>
      <c r="AM2282" t="s">
        <v>1026</v>
      </c>
      <c r="AO2282" t="s">
        <v>1027</v>
      </c>
      <c r="AP2282" t="s">
        <v>129</v>
      </c>
      <c r="AQ2282" s="5">
        <v>11590</v>
      </c>
      <c r="AR2282" t="s">
        <v>128</v>
      </c>
      <c r="AT2282" s="4">
        <v>15163307168</v>
      </c>
      <c r="AV2282" t="s">
        <v>1021</v>
      </c>
      <c r="AW2282" t="s">
        <v>1028</v>
      </c>
      <c r="AX2282" t="s">
        <v>131</v>
      </c>
      <c r="AY2282" t="s">
        <v>131</v>
      </c>
      <c r="AZ2282" t="s">
        <v>131</v>
      </c>
      <c r="BA2282" t="s">
        <v>131</v>
      </c>
      <c r="BB2282" t="s">
        <v>131</v>
      </c>
      <c r="BC2282" t="s">
        <v>131</v>
      </c>
      <c r="BD2282" t="s">
        <v>131</v>
      </c>
      <c r="BE2282" t="s">
        <v>132</v>
      </c>
      <c r="BH2282" t="s">
        <v>5067</v>
      </c>
      <c r="BI2282" t="s">
        <v>131</v>
      </c>
      <c r="BL2282" t="s">
        <v>167</v>
      </c>
      <c r="BO2282" t="s">
        <v>131</v>
      </c>
      <c r="BP2282" t="s">
        <v>134</v>
      </c>
      <c r="BQ2282" t="s">
        <v>131</v>
      </c>
      <c r="BS2282" t="str">
        <f t="shared" si="135"/>
        <v>N/A</v>
      </c>
      <c r="BT2282" t="s">
        <v>131</v>
      </c>
      <c r="BV2282" t="str">
        <f>""</f>
        <v/>
      </c>
      <c r="BW2282" t="s">
        <v>131</v>
      </c>
      <c r="BX2282" t="str">
        <f>""</f>
        <v/>
      </c>
      <c r="BY2282" t="str">
        <f>""</f>
        <v/>
      </c>
      <c r="BZ2282" t="str">
        <f>""</f>
        <v/>
      </c>
      <c r="CA2282" t="str">
        <f>""</f>
        <v/>
      </c>
      <c r="CB2282" t="s">
        <v>131</v>
      </c>
      <c r="CF2282" t="s">
        <v>131</v>
      </c>
      <c r="CH2282" t="str">
        <f>""</f>
        <v/>
      </c>
      <c r="CI2282" t="s">
        <v>131</v>
      </c>
      <c r="CK2282" t="s">
        <v>131</v>
      </c>
      <c r="CL2282" t="str">
        <f>""</f>
        <v/>
      </c>
      <c r="CM2282" t="str">
        <f>""</f>
        <v/>
      </c>
      <c r="CN2282" t="str">
        <f>""</f>
        <v/>
      </c>
      <c r="CO2282" t="str">
        <f>""</f>
        <v/>
      </c>
      <c r="CP2282" t="str">
        <f>"37-3011.00"</f>
        <v>37-3011.00</v>
      </c>
      <c r="CQ2282" t="s">
        <v>920</v>
      </c>
      <c r="CR2282" t="s">
        <v>5068</v>
      </c>
      <c r="CS2282" t="s">
        <v>135</v>
      </c>
      <c r="CT2282" t="s">
        <v>14606</v>
      </c>
      <c r="CU2282" t="s">
        <v>14607</v>
      </c>
      <c r="CW2282" t="s">
        <v>13733</v>
      </c>
      <c r="CX2282" t="s">
        <v>129</v>
      </c>
      <c r="CZ2282" s="3" t="str">
        <f>"11952"</f>
        <v>11952</v>
      </c>
      <c r="DA2282" t="s">
        <v>135</v>
      </c>
      <c r="DB2282" t="str">
        <f>""</f>
        <v/>
      </c>
      <c r="DF2282" t="str">
        <f>""</f>
        <v/>
      </c>
    </row>
    <row r="2283" spans="1:110" ht="15" customHeight="1" x14ac:dyDescent="0.35">
      <c r="A2283" t="s">
        <v>7969</v>
      </c>
      <c r="B2283" t="s">
        <v>138</v>
      </c>
      <c r="C2283" s="1">
        <v>44348</v>
      </c>
      <c r="G2283" s="1">
        <v>44375</v>
      </c>
      <c r="H2283" t="s">
        <v>319</v>
      </c>
      <c r="I2283" t="s">
        <v>6435</v>
      </c>
      <c r="J2283" t="s">
        <v>6436</v>
      </c>
      <c r="L2283" t="s">
        <v>1031</v>
      </c>
      <c r="M2283" t="s">
        <v>6437</v>
      </c>
      <c r="O2283" t="s">
        <v>6438</v>
      </c>
      <c r="P2283" t="s">
        <v>256</v>
      </c>
      <c r="Q2283" s="3">
        <v>64081</v>
      </c>
      <c r="R2283" t="s">
        <v>128</v>
      </c>
      <c r="T2283" s="4">
        <v>18165240010</v>
      </c>
      <c r="V2283" t="s">
        <v>1021</v>
      </c>
      <c r="W2283" t="s">
        <v>6439</v>
      </c>
      <c r="Y2283" t="s">
        <v>6440</v>
      </c>
      <c r="AA2283" t="s">
        <v>6438</v>
      </c>
      <c r="AB2283" t="s">
        <v>258</v>
      </c>
      <c r="AC2283" s="3" t="str">
        <f>"64081"</f>
        <v>64081</v>
      </c>
      <c r="AD2283" t="s">
        <v>128</v>
      </c>
      <c r="AF2283" s="4">
        <v>18165240010</v>
      </c>
      <c r="AH2283" t="str">
        <f>"56173"</f>
        <v>56173</v>
      </c>
      <c r="AI2283" t="s">
        <v>287</v>
      </c>
      <c r="AJ2283" t="s">
        <v>1024</v>
      </c>
      <c r="AK2283" t="s">
        <v>1025</v>
      </c>
      <c r="AM2283" t="s">
        <v>1026</v>
      </c>
      <c r="AO2283" t="s">
        <v>1027</v>
      </c>
      <c r="AP2283" t="s">
        <v>129</v>
      </c>
      <c r="AQ2283" s="5">
        <v>11590</v>
      </c>
      <c r="AR2283" t="s">
        <v>128</v>
      </c>
      <c r="AT2283" s="4">
        <v>15163307168</v>
      </c>
      <c r="AV2283" t="s">
        <v>1021</v>
      </c>
      <c r="AW2283" t="s">
        <v>1028</v>
      </c>
      <c r="AX2283" t="s">
        <v>131</v>
      </c>
      <c r="AY2283" t="s">
        <v>131</v>
      </c>
      <c r="AZ2283" t="s">
        <v>131</v>
      </c>
      <c r="BA2283" t="s">
        <v>131</v>
      </c>
      <c r="BB2283" t="s">
        <v>131</v>
      </c>
      <c r="BC2283" t="s">
        <v>131</v>
      </c>
      <c r="BD2283" t="s">
        <v>131</v>
      </c>
      <c r="BE2283" t="s">
        <v>132</v>
      </c>
      <c r="BH2283" t="s">
        <v>5067</v>
      </c>
      <c r="BI2283" t="s">
        <v>131</v>
      </c>
      <c r="BL2283" t="s">
        <v>167</v>
      </c>
      <c r="BO2283" t="s">
        <v>131</v>
      </c>
      <c r="BP2283" t="s">
        <v>134</v>
      </c>
      <c r="BQ2283" t="s">
        <v>131</v>
      </c>
      <c r="BS2283" t="str">
        <f t="shared" si="135"/>
        <v>N/A</v>
      </c>
      <c r="BT2283" t="s">
        <v>131</v>
      </c>
      <c r="BV2283" t="str">
        <f>""</f>
        <v/>
      </c>
      <c r="BW2283" t="s">
        <v>131</v>
      </c>
      <c r="BX2283" t="str">
        <f>""</f>
        <v/>
      </c>
      <c r="BY2283" t="str">
        <f>""</f>
        <v/>
      </c>
      <c r="BZ2283" t="str">
        <f>""</f>
        <v/>
      </c>
      <c r="CA2283" t="str">
        <f>""</f>
        <v/>
      </c>
      <c r="CB2283" t="s">
        <v>131</v>
      </c>
      <c r="CF2283" t="s">
        <v>131</v>
      </c>
      <c r="CH2283" t="str">
        <f>""</f>
        <v/>
      </c>
      <c r="CI2283" t="s">
        <v>131</v>
      </c>
      <c r="CK2283" t="s">
        <v>131</v>
      </c>
      <c r="CL2283" t="str">
        <f>""</f>
        <v/>
      </c>
      <c r="CM2283" t="str">
        <f>""</f>
        <v/>
      </c>
      <c r="CN2283" t="str">
        <f>""</f>
        <v/>
      </c>
      <c r="CO2283" t="str">
        <f>""</f>
        <v/>
      </c>
      <c r="CP2283" t="str">
        <f>"37-3011.00"</f>
        <v>37-3011.00</v>
      </c>
      <c r="CQ2283" t="s">
        <v>920</v>
      </c>
      <c r="CR2283" t="s">
        <v>1031</v>
      </c>
      <c r="CS2283" t="s">
        <v>135</v>
      </c>
      <c r="CT2283" t="s">
        <v>6441</v>
      </c>
      <c r="CU2283" t="s">
        <v>6437</v>
      </c>
      <c r="CW2283" t="s">
        <v>6442</v>
      </c>
      <c r="CX2283" t="s">
        <v>258</v>
      </c>
      <c r="CZ2283" s="3" t="str">
        <f>"64081"</f>
        <v>64081</v>
      </c>
      <c r="DA2283" t="s">
        <v>135</v>
      </c>
      <c r="DB2283" t="str">
        <f>""</f>
        <v/>
      </c>
      <c r="DF2283" t="str">
        <f>""</f>
        <v/>
      </c>
    </row>
    <row r="2284" spans="1:110" ht="15" customHeight="1" x14ac:dyDescent="0.35">
      <c r="A2284" t="s">
        <v>13349</v>
      </c>
      <c r="B2284" t="s">
        <v>138</v>
      </c>
      <c r="C2284" s="1">
        <v>44348</v>
      </c>
      <c r="G2284" s="1">
        <v>44375</v>
      </c>
      <c r="H2284" t="s">
        <v>319</v>
      </c>
      <c r="I2284" t="s">
        <v>13350</v>
      </c>
      <c r="J2284" t="s">
        <v>260</v>
      </c>
      <c r="L2284" t="s">
        <v>1031</v>
      </c>
      <c r="M2284" t="s">
        <v>13351</v>
      </c>
      <c r="O2284" t="s">
        <v>13352</v>
      </c>
      <c r="P2284" t="s">
        <v>127</v>
      </c>
      <c r="Q2284" s="3">
        <v>11978</v>
      </c>
      <c r="R2284" t="s">
        <v>128</v>
      </c>
      <c r="T2284" s="4">
        <v>16317261970</v>
      </c>
      <c r="V2284" t="s">
        <v>1021</v>
      </c>
      <c r="W2284" t="s">
        <v>13353</v>
      </c>
      <c r="Y2284" t="s">
        <v>9860</v>
      </c>
      <c r="AA2284" t="s">
        <v>13352</v>
      </c>
      <c r="AB2284" t="s">
        <v>129</v>
      </c>
      <c r="AC2284" s="3" t="str">
        <f>"11976"</f>
        <v>11976</v>
      </c>
      <c r="AD2284" t="s">
        <v>128</v>
      </c>
      <c r="AF2284" s="4">
        <v>16317261970</v>
      </c>
      <c r="AH2284" t="str">
        <f>"56173"</f>
        <v>56173</v>
      </c>
      <c r="AI2284" t="s">
        <v>287</v>
      </c>
      <c r="AJ2284" t="s">
        <v>1024</v>
      </c>
      <c r="AK2284" t="s">
        <v>1025</v>
      </c>
      <c r="AM2284" t="s">
        <v>1026</v>
      </c>
      <c r="AO2284" t="s">
        <v>1027</v>
      </c>
      <c r="AP2284" t="s">
        <v>129</v>
      </c>
      <c r="AQ2284" s="5">
        <v>11590</v>
      </c>
      <c r="AR2284" t="s">
        <v>128</v>
      </c>
      <c r="AT2284" s="4">
        <v>15163307168</v>
      </c>
      <c r="AV2284" t="s">
        <v>1021</v>
      </c>
      <c r="AW2284" t="s">
        <v>1028</v>
      </c>
      <c r="AX2284" t="s">
        <v>131</v>
      </c>
      <c r="AY2284" t="s">
        <v>131</v>
      </c>
      <c r="AZ2284" t="s">
        <v>131</v>
      </c>
      <c r="BA2284" t="s">
        <v>131</v>
      </c>
      <c r="BB2284" t="s">
        <v>131</v>
      </c>
      <c r="BC2284" t="s">
        <v>131</v>
      </c>
      <c r="BD2284" t="s">
        <v>131</v>
      </c>
      <c r="BE2284" t="s">
        <v>132</v>
      </c>
      <c r="BH2284" t="s">
        <v>2215</v>
      </c>
      <c r="BI2284" t="s">
        <v>131</v>
      </c>
      <c r="BL2284" t="s">
        <v>167</v>
      </c>
      <c r="BO2284" t="s">
        <v>131</v>
      </c>
      <c r="BP2284" t="s">
        <v>134</v>
      </c>
      <c r="BQ2284" t="s">
        <v>131</v>
      </c>
      <c r="BS2284" t="str">
        <f t="shared" si="135"/>
        <v>N/A</v>
      </c>
      <c r="BT2284" t="s">
        <v>135</v>
      </c>
      <c r="BU2284">
        <v>1</v>
      </c>
      <c r="BV2284" t="str">
        <f>"LANDSCAPE LABORER"</f>
        <v>LANDSCAPE LABORER</v>
      </c>
      <c r="BW2284" t="s">
        <v>131</v>
      </c>
      <c r="BX2284" t="str">
        <f>""</f>
        <v/>
      </c>
      <c r="BY2284" t="str">
        <f>""</f>
        <v/>
      </c>
      <c r="BZ2284" t="str">
        <f>""</f>
        <v/>
      </c>
      <c r="CA2284" t="str">
        <f>""</f>
        <v/>
      </c>
      <c r="CB2284" t="s">
        <v>131</v>
      </c>
      <c r="CF2284" t="s">
        <v>131</v>
      </c>
      <c r="CH2284" t="str">
        <f>""</f>
        <v/>
      </c>
      <c r="CI2284" t="s">
        <v>131</v>
      </c>
      <c r="CK2284" t="s">
        <v>131</v>
      </c>
      <c r="CL2284" t="str">
        <f>""</f>
        <v/>
      </c>
      <c r="CM2284" t="str">
        <f>""</f>
        <v/>
      </c>
      <c r="CN2284" t="str">
        <f>""</f>
        <v/>
      </c>
      <c r="CO2284" t="str">
        <f>""</f>
        <v/>
      </c>
      <c r="CP2284" t="str">
        <f>"37-3011.00"</f>
        <v>37-3011.00</v>
      </c>
      <c r="CQ2284" t="s">
        <v>920</v>
      </c>
      <c r="CR2284" t="s">
        <v>5068</v>
      </c>
      <c r="CS2284" t="s">
        <v>135</v>
      </c>
      <c r="CT2284" t="s">
        <v>13354</v>
      </c>
      <c r="CU2284" t="s">
        <v>13355</v>
      </c>
      <c r="CW2284" t="s">
        <v>13352</v>
      </c>
      <c r="CX2284" t="s">
        <v>129</v>
      </c>
      <c r="CZ2284" s="3" t="str">
        <f>"11976"</f>
        <v>11976</v>
      </c>
      <c r="DA2284" t="s">
        <v>135</v>
      </c>
      <c r="DB2284" t="str">
        <f>""</f>
        <v/>
      </c>
      <c r="DF2284" t="str">
        <f>""</f>
        <v/>
      </c>
    </row>
    <row r="2285" spans="1:110" ht="15" customHeight="1" x14ac:dyDescent="0.35">
      <c r="A2285" t="s">
        <v>19044</v>
      </c>
      <c r="B2285" t="s">
        <v>138</v>
      </c>
      <c r="C2285" s="1">
        <v>44348</v>
      </c>
      <c r="G2285" s="1">
        <v>44375</v>
      </c>
      <c r="H2285" t="s">
        <v>319</v>
      </c>
      <c r="I2285" t="s">
        <v>19045</v>
      </c>
      <c r="J2285" t="s">
        <v>12536</v>
      </c>
      <c r="L2285" t="s">
        <v>1031</v>
      </c>
      <c r="M2285" t="s">
        <v>19046</v>
      </c>
      <c r="O2285" t="s">
        <v>19047</v>
      </c>
      <c r="P2285" t="s">
        <v>127</v>
      </c>
      <c r="Q2285" s="3">
        <v>11955</v>
      </c>
      <c r="R2285" t="s">
        <v>128</v>
      </c>
      <c r="T2285" s="4">
        <v>16315049274</v>
      </c>
      <c r="V2285" t="s">
        <v>1021</v>
      </c>
      <c r="W2285" t="s">
        <v>19048</v>
      </c>
      <c r="Y2285" t="s">
        <v>19046</v>
      </c>
      <c r="AA2285" t="s">
        <v>19047</v>
      </c>
      <c r="AB2285" t="s">
        <v>129</v>
      </c>
      <c r="AC2285" s="3" t="str">
        <f>"11955"</f>
        <v>11955</v>
      </c>
      <c r="AD2285" t="s">
        <v>128</v>
      </c>
      <c r="AF2285" s="4">
        <v>16315049274</v>
      </c>
      <c r="AH2285" t="str">
        <f>"56173"</f>
        <v>56173</v>
      </c>
      <c r="AI2285" t="s">
        <v>287</v>
      </c>
      <c r="AJ2285" t="s">
        <v>1024</v>
      </c>
      <c r="AK2285" t="s">
        <v>1025</v>
      </c>
      <c r="AM2285" t="s">
        <v>1026</v>
      </c>
      <c r="AO2285" t="s">
        <v>1027</v>
      </c>
      <c r="AP2285" t="s">
        <v>129</v>
      </c>
      <c r="AQ2285" s="5">
        <v>11590</v>
      </c>
      <c r="AR2285" t="s">
        <v>128</v>
      </c>
      <c r="AT2285" s="4">
        <v>15163307168</v>
      </c>
      <c r="AV2285" t="s">
        <v>1021</v>
      </c>
      <c r="AW2285" t="s">
        <v>1028</v>
      </c>
      <c r="AX2285" t="s">
        <v>131</v>
      </c>
      <c r="AY2285" t="s">
        <v>131</v>
      </c>
      <c r="AZ2285" t="s">
        <v>131</v>
      </c>
      <c r="BA2285" t="s">
        <v>131</v>
      </c>
      <c r="BB2285" t="s">
        <v>131</v>
      </c>
      <c r="BC2285" t="s">
        <v>131</v>
      </c>
      <c r="BD2285" t="s">
        <v>131</v>
      </c>
      <c r="BE2285" t="s">
        <v>132</v>
      </c>
      <c r="BH2285" t="s">
        <v>5067</v>
      </c>
      <c r="BI2285" t="s">
        <v>131</v>
      </c>
      <c r="BL2285" t="s">
        <v>167</v>
      </c>
      <c r="BO2285" t="s">
        <v>131</v>
      </c>
      <c r="BP2285" t="s">
        <v>134</v>
      </c>
      <c r="BQ2285" t="s">
        <v>131</v>
      </c>
      <c r="BS2285" t="str">
        <f t="shared" si="135"/>
        <v>N/A</v>
      </c>
      <c r="BT2285" t="s">
        <v>131</v>
      </c>
      <c r="BV2285" t="str">
        <f>""</f>
        <v/>
      </c>
      <c r="BW2285" t="s">
        <v>131</v>
      </c>
      <c r="BX2285" t="str">
        <f>""</f>
        <v/>
      </c>
      <c r="BY2285" t="str">
        <f>""</f>
        <v/>
      </c>
      <c r="BZ2285" t="str">
        <f>""</f>
        <v/>
      </c>
      <c r="CA2285" t="str">
        <f>""</f>
        <v/>
      </c>
      <c r="CB2285" t="s">
        <v>131</v>
      </c>
      <c r="CF2285" t="s">
        <v>131</v>
      </c>
      <c r="CH2285" t="str">
        <f>""</f>
        <v/>
      </c>
      <c r="CI2285" t="s">
        <v>131</v>
      </c>
      <c r="CK2285" t="s">
        <v>131</v>
      </c>
      <c r="CL2285" t="str">
        <f>""</f>
        <v/>
      </c>
      <c r="CM2285" t="str">
        <f>""</f>
        <v/>
      </c>
      <c r="CN2285" t="str">
        <f>""</f>
        <v/>
      </c>
      <c r="CO2285" t="str">
        <f>""</f>
        <v/>
      </c>
      <c r="CP2285" t="str">
        <f>"37-3011.00"</f>
        <v>37-3011.00</v>
      </c>
      <c r="CQ2285" t="s">
        <v>920</v>
      </c>
      <c r="CR2285" t="s">
        <v>5068</v>
      </c>
      <c r="CS2285" t="s">
        <v>135</v>
      </c>
      <c r="CT2285" t="s">
        <v>10332</v>
      </c>
      <c r="CU2285" t="s">
        <v>19046</v>
      </c>
      <c r="CW2285" t="s">
        <v>19049</v>
      </c>
      <c r="CX2285" t="s">
        <v>129</v>
      </c>
      <c r="CZ2285" s="3" t="str">
        <f>"11934"</f>
        <v>11934</v>
      </c>
      <c r="DA2285" t="s">
        <v>135</v>
      </c>
      <c r="DB2285" t="str">
        <f>""</f>
        <v/>
      </c>
      <c r="DF2285" t="str">
        <f>""</f>
        <v/>
      </c>
    </row>
    <row r="2286" spans="1:110" ht="15" customHeight="1" x14ac:dyDescent="0.35">
      <c r="A2286" t="s">
        <v>16951</v>
      </c>
      <c r="B2286" t="s">
        <v>138</v>
      </c>
      <c r="C2286" s="1">
        <v>44349</v>
      </c>
      <c r="G2286" s="1">
        <v>44349</v>
      </c>
      <c r="H2286" t="s">
        <v>319</v>
      </c>
      <c r="I2286" t="s">
        <v>1378</v>
      </c>
      <c r="J2286" t="s">
        <v>1379</v>
      </c>
      <c r="L2286" t="s">
        <v>1380</v>
      </c>
      <c r="M2286" t="s">
        <v>1381</v>
      </c>
      <c r="N2286" t="s">
        <v>134</v>
      </c>
      <c r="O2286" t="s">
        <v>1382</v>
      </c>
      <c r="P2286" t="s">
        <v>467</v>
      </c>
      <c r="Q2286" s="3">
        <v>80482</v>
      </c>
      <c r="R2286" t="s">
        <v>128</v>
      </c>
      <c r="S2286" t="s">
        <v>134</v>
      </c>
      <c r="T2286" s="4">
        <v>19707261536</v>
      </c>
      <c r="V2286" t="s">
        <v>1383</v>
      </c>
      <c r="W2286" t="s">
        <v>1384</v>
      </c>
      <c r="X2286" t="s">
        <v>1385</v>
      </c>
      <c r="Y2286" t="s">
        <v>1381</v>
      </c>
      <c r="Z2286" t="s">
        <v>134</v>
      </c>
      <c r="AA2286" t="s">
        <v>1382</v>
      </c>
      <c r="AB2286" t="s">
        <v>471</v>
      </c>
      <c r="AC2286" s="3" t="str">
        <f>"80482"</f>
        <v>80482</v>
      </c>
      <c r="AD2286" t="s">
        <v>128</v>
      </c>
      <c r="AE2286" t="s">
        <v>134</v>
      </c>
      <c r="AF2286" s="4">
        <v>19707261512</v>
      </c>
      <c r="AH2286" t="str">
        <f>"721110"</f>
        <v>721110</v>
      </c>
      <c r="AI2286" t="s">
        <v>130</v>
      </c>
      <c r="AJ2286" t="s">
        <v>1386</v>
      </c>
      <c r="AK2286" t="s">
        <v>1387</v>
      </c>
      <c r="AL2286" t="s">
        <v>1036</v>
      </c>
      <c r="AM2286" t="s">
        <v>1388</v>
      </c>
      <c r="AN2286" t="s">
        <v>997</v>
      </c>
      <c r="AO2286" t="s">
        <v>719</v>
      </c>
      <c r="AP2286" t="s">
        <v>377</v>
      </c>
      <c r="AQ2286" s="5">
        <v>1701</v>
      </c>
      <c r="AR2286" t="s">
        <v>128</v>
      </c>
      <c r="AS2286" t="s">
        <v>134</v>
      </c>
      <c r="AT2286" s="4">
        <v>16179399444</v>
      </c>
      <c r="AV2286" t="s">
        <v>1389</v>
      </c>
      <c r="AW2286" t="s">
        <v>1390</v>
      </c>
      <c r="AX2286" t="s">
        <v>131</v>
      </c>
      <c r="AY2286" t="s">
        <v>131</v>
      </c>
      <c r="AZ2286" t="s">
        <v>131</v>
      </c>
      <c r="BA2286" t="s">
        <v>131</v>
      </c>
      <c r="BB2286" t="s">
        <v>131</v>
      </c>
      <c r="BC2286" t="s">
        <v>131</v>
      </c>
      <c r="BD2286" t="s">
        <v>131</v>
      </c>
      <c r="BE2286" t="s">
        <v>132</v>
      </c>
      <c r="BH2286" t="s">
        <v>8832</v>
      </c>
      <c r="BI2286" t="s">
        <v>131</v>
      </c>
      <c r="BL2286" t="s">
        <v>167</v>
      </c>
      <c r="BO2286" t="s">
        <v>131</v>
      </c>
      <c r="BP2286" t="s">
        <v>134</v>
      </c>
      <c r="BQ2286" t="s">
        <v>131</v>
      </c>
      <c r="BS2286" t="str">
        <f t="shared" si="135"/>
        <v>N/A</v>
      </c>
      <c r="BT2286" t="s">
        <v>135</v>
      </c>
      <c r="BU2286">
        <v>6</v>
      </c>
      <c r="BV2286" t="str">
        <f>"Cashier"</f>
        <v>Cashier</v>
      </c>
      <c r="BW2286" t="s">
        <v>135</v>
      </c>
      <c r="BX2286" t="str">
        <f>""</f>
        <v/>
      </c>
      <c r="BY2286" t="str">
        <f>""</f>
        <v/>
      </c>
      <c r="BZ2286" t="str">
        <f>""</f>
        <v/>
      </c>
      <c r="CA2286" t="s">
        <v>16952</v>
      </c>
      <c r="CB2286" t="s">
        <v>131</v>
      </c>
      <c r="CF2286" t="s">
        <v>131</v>
      </c>
      <c r="CH2286" t="str">
        <f>""</f>
        <v/>
      </c>
      <c r="CI2286" t="s">
        <v>131</v>
      </c>
      <c r="CK2286" t="s">
        <v>131</v>
      </c>
      <c r="CL2286" t="str">
        <f>""</f>
        <v/>
      </c>
      <c r="CM2286" t="str">
        <f>""</f>
        <v/>
      </c>
      <c r="CN2286" t="str">
        <f>""</f>
        <v/>
      </c>
      <c r="CO2286" t="str">
        <f>""</f>
        <v/>
      </c>
      <c r="CP2286" t="str">
        <f>"41-2011.00"</f>
        <v>41-2011.00</v>
      </c>
      <c r="CQ2286" t="s">
        <v>5621</v>
      </c>
      <c r="CR2286" t="s">
        <v>1391</v>
      </c>
      <c r="CS2286" t="s">
        <v>131</v>
      </c>
      <c r="CU2286" t="s">
        <v>1381</v>
      </c>
      <c r="CV2286" t="s">
        <v>134</v>
      </c>
      <c r="CW2286" t="s">
        <v>1382</v>
      </c>
      <c r="CX2286" t="s">
        <v>471</v>
      </c>
      <c r="CZ2286" s="3" t="str">
        <f>"80482"</f>
        <v>80482</v>
      </c>
      <c r="DA2286" t="s">
        <v>131</v>
      </c>
      <c r="DB2286" t="str">
        <f>""</f>
        <v/>
      </c>
      <c r="DF2286" t="str">
        <f>""</f>
        <v/>
      </c>
    </row>
    <row r="2287" spans="1:110" ht="15" customHeight="1" x14ac:dyDescent="0.35">
      <c r="A2287" t="s">
        <v>14300</v>
      </c>
      <c r="B2287" t="s">
        <v>138</v>
      </c>
      <c r="C2287" s="1">
        <v>44349</v>
      </c>
      <c r="G2287" s="1">
        <v>44375</v>
      </c>
      <c r="H2287" t="s">
        <v>319</v>
      </c>
      <c r="I2287" t="s">
        <v>14301</v>
      </c>
      <c r="J2287" t="s">
        <v>1571</v>
      </c>
      <c r="L2287" t="s">
        <v>1031</v>
      </c>
      <c r="M2287" t="s">
        <v>14302</v>
      </c>
      <c r="O2287" t="s">
        <v>5314</v>
      </c>
      <c r="P2287" t="s">
        <v>127</v>
      </c>
      <c r="Q2287" s="3">
        <v>11968</v>
      </c>
      <c r="R2287" t="s">
        <v>128</v>
      </c>
      <c r="T2287" s="4">
        <v>16313008034</v>
      </c>
      <c r="V2287" t="s">
        <v>1021</v>
      </c>
      <c r="W2287" t="s">
        <v>14303</v>
      </c>
      <c r="Y2287" t="s">
        <v>14302</v>
      </c>
      <c r="AA2287" t="s">
        <v>5314</v>
      </c>
      <c r="AB2287" t="s">
        <v>129</v>
      </c>
      <c r="AC2287" s="3" t="str">
        <f>"11968"</f>
        <v>11968</v>
      </c>
      <c r="AD2287" t="s">
        <v>128</v>
      </c>
      <c r="AF2287" s="4">
        <v>16313008034</v>
      </c>
      <c r="AH2287" t="str">
        <f>"56173"</f>
        <v>56173</v>
      </c>
      <c r="AI2287" t="s">
        <v>287</v>
      </c>
      <c r="AJ2287" t="s">
        <v>1024</v>
      </c>
      <c r="AK2287" t="s">
        <v>1025</v>
      </c>
      <c r="AM2287" t="s">
        <v>1026</v>
      </c>
      <c r="AO2287" t="s">
        <v>1027</v>
      </c>
      <c r="AP2287" t="s">
        <v>129</v>
      </c>
      <c r="AQ2287" s="5">
        <v>11590</v>
      </c>
      <c r="AR2287" t="s">
        <v>128</v>
      </c>
      <c r="AT2287" s="4">
        <v>15163307168</v>
      </c>
      <c r="AV2287" t="s">
        <v>1021</v>
      </c>
      <c r="AW2287" t="s">
        <v>1028</v>
      </c>
      <c r="AX2287" t="s">
        <v>131</v>
      </c>
      <c r="AY2287" t="s">
        <v>131</v>
      </c>
      <c r="AZ2287" t="s">
        <v>131</v>
      </c>
      <c r="BA2287" t="s">
        <v>131</v>
      </c>
      <c r="BB2287" t="s">
        <v>131</v>
      </c>
      <c r="BC2287" t="s">
        <v>131</v>
      </c>
      <c r="BD2287" t="s">
        <v>131</v>
      </c>
      <c r="BE2287" t="s">
        <v>132</v>
      </c>
      <c r="BH2287" t="s">
        <v>5067</v>
      </c>
      <c r="BI2287" t="s">
        <v>131</v>
      </c>
      <c r="BL2287" t="s">
        <v>167</v>
      </c>
      <c r="BO2287" t="s">
        <v>131</v>
      </c>
      <c r="BP2287" t="s">
        <v>134</v>
      </c>
      <c r="BQ2287" t="s">
        <v>131</v>
      </c>
      <c r="BS2287" t="str">
        <f t="shared" si="135"/>
        <v>N/A</v>
      </c>
      <c r="BT2287" t="s">
        <v>131</v>
      </c>
      <c r="BV2287" t="str">
        <f>""</f>
        <v/>
      </c>
      <c r="BW2287" t="s">
        <v>131</v>
      </c>
      <c r="BX2287" t="str">
        <f>""</f>
        <v/>
      </c>
      <c r="BY2287" t="str">
        <f>""</f>
        <v/>
      </c>
      <c r="BZ2287" t="str">
        <f>""</f>
        <v/>
      </c>
      <c r="CA2287" t="str">
        <f>""</f>
        <v/>
      </c>
      <c r="CB2287" t="s">
        <v>131</v>
      </c>
      <c r="CF2287" t="s">
        <v>131</v>
      </c>
      <c r="CH2287" t="str">
        <f>""</f>
        <v/>
      </c>
      <c r="CI2287" t="s">
        <v>131</v>
      </c>
      <c r="CK2287" t="s">
        <v>131</v>
      </c>
      <c r="CL2287" t="str">
        <f>""</f>
        <v/>
      </c>
      <c r="CM2287" t="str">
        <f>""</f>
        <v/>
      </c>
      <c r="CN2287" t="str">
        <f>""</f>
        <v/>
      </c>
      <c r="CO2287" t="str">
        <f>""</f>
        <v/>
      </c>
      <c r="CP2287" t="str">
        <f>"37-3011.00"</f>
        <v>37-3011.00</v>
      </c>
      <c r="CQ2287" t="s">
        <v>920</v>
      </c>
      <c r="CR2287" t="s">
        <v>1031</v>
      </c>
      <c r="CS2287" t="s">
        <v>135</v>
      </c>
      <c r="CT2287" t="s">
        <v>10332</v>
      </c>
      <c r="CU2287" t="s">
        <v>14302</v>
      </c>
      <c r="CW2287" t="s">
        <v>5314</v>
      </c>
      <c r="CX2287" t="s">
        <v>129</v>
      </c>
      <c r="CZ2287" s="3" t="str">
        <f>"11968"</f>
        <v>11968</v>
      </c>
      <c r="DA2287" t="s">
        <v>135</v>
      </c>
      <c r="DB2287" t="str">
        <f>""</f>
        <v/>
      </c>
      <c r="DF2287" t="str">
        <f>""</f>
        <v/>
      </c>
    </row>
    <row r="2288" spans="1:110" ht="15" customHeight="1" x14ac:dyDescent="0.35">
      <c r="A2288" t="s">
        <v>10549</v>
      </c>
      <c r="B2288" t="s">
        <v>138</v>
      </c>
      <c r="C2288" s="1">
        <v>44349</v>
      </c>
      <c r="G2288" s="1">
        <v>44375</v>
      </c>
      <c r="H2288" t="s">
        <v>319</v>
      </c>
      <c r="I2288" t="s">
        <v>10550</v>
      </c>
      <c r="J2288" t="s">
        <v>1153</v>
      </c>
      <c r="L2288" t="s">
        <v>1031</v>
      </c>
      <c r="M2288" t="s">
        <v>10551</v>
      </c>
      <c r="O2288" t="s">
        <v>10552</v>
      </c>
      <c r="P2288" t="s">
        <v>127</v>
      </c>
      <c r="Q2288" s="3">
        <v>10977</v>
      </c>
      <c r="R2288" t="s">
        <v>128</v>
      </c>
      <c r="T2288" s="4">
        <v>18453569393</v>
      </c>
      <c r="V2288" t="s">
        <v>1021</v>
      </c>
      <c r="W2288" t="s">
        <v>10553</v>
      </c>
      <c r="Y2288" t="s">
        <v>10554</v>
      </c>
      <c r="AA2288" t="s">
        <v>10555</v>
      </c>
      <c r="AB2288" t="s">
        <v>129</v>
      </c>
      <c r="AC2288" s="3" t="str">
        <f>"10977"</f>
        <v>10977</v>
      </c>
      <c r="AD2288" t="s">
        <v>128</v>
      </c>
      <c r="AF2288" s="4">
        <v>18453569393</v>
      </c>
      <c r="AH2288" t="str">
        <f>"56173"</f>
        <v>56173</v>
      </c>
      <c r="AI2288" t="s">
        <v>287</v>
      </c>
      <c r="AJ2288" t="s">
        <v>1024</v>
      </c>
      <c r="AK2288" t="s">
        <v>1025</v>
      </c>
      <c r="AM2288" t="s">
        <v>1026</v>
      </c>
      <c r="AO2288" t="s">
        <v>1027</v>
      </c>
      <c r="AP2288" t="s">
        <v>129</v>
      </c>
      <c r="AQ2288" s="5">
        <v>11590</v>
      </c>
      <c r="AR2288" t="s">
        <v>128</v>
      </c>
      <c r="AT2288" s="4">
        <v>15163307168</v>
      </c>
      <c r="AV2288" t="s">
        <v>1021</v>
      </c>
      <c r="AW2288" t="s">
        <v>1028</v>
      </c>
      <c r="AX2288" t="s">
        <v>131</v>
      </c>
      <c r="AY2288" t="s">
        <v>131</v>
      </c>
      <c r="AZ2288" t="s">
        <v>131</v>
      </c>
      <c r="BA2288" t="s">
        <v>131</v>
      </c>
      <c r="BB2288" t="s">
        <v>131</v>
      </c>
      <c r="BC2288" t="s">
        <v>131</v>
      </c>
      <c r="BD2288" t="s">
        <v>131</v>
      </c>
      <c r="BE2288" t="s">
        <v>132</v>
      </c>
      <c r="BH2288" t="s">
        <v>5067</v>
      </c>
      <c r="BI2288" t="s">
        <v>131</v>
      </c>
      <c r="BL2288" t="s">
        <v>167</v>
      </c>
      <c r="BO2288" t="s">
        <v>131</v>
      </c>
      <c r="BP2288" t="s">
        <v>134</v>
      </c>
      <c r="BQ2288" t="s">
        <v>131</v>
      </c>
      <c r="BS2288" t="str">
        <f t="shared" si="135"/>
        <v>N/A</v>
      </c>
      <c r="BT2288" t="s">
        <v>131</v>
      </c>
      <c r="BV2288" t="str">
        <f>""</f>
        <v/>
      </c>
      <c r="BW2288" t="s">
        <v>131</v>
      </c>
      <c r="BX2288" t="str">
        <f>""</f>
        <v/>
      </c>
      <c r="BY2288" t="str">
        <f>""</f>
        <v/>
      </c>
      <c r="BZ2288" t="str">
        <f>""</f>
        <v/>
      </c>
      <c r="CA2288" t="str">
        <f>""</f>
        <v/>
      </c>
      <c r="CB2288" t="s">
        <v>131</v>
      </c>
      <c r="CF2288" t="s">
        <v>131</v>
      </c>
      <c r="CH2288" t="str">
        <f>""</f>
        <v/>
      </c>
      <c r="CI2288" t="s">
        <v>131</v>
      </c>
      <c r="CK2288" t="s">
        <v>131</v>
      </c>
      <c r="CL2288" t="str">
        <f>""</f>
        <v/>
      </c>
      <c r="CM2288" t="str">
        <f>""</f>
        <v/>
      </c>
      <c r="CN2288" t="str">
        <f>""</f>
        <v/>
      </c>
      <c r="CO2288" t="str">
        <f>""</f>
        <v/>
      </c>
      <c r="CP2288" t="str">
        <f>"37-3011.00"</f>
        <v>37-3011.00</v>
      </c>
      <c r="CQ2288" t="s">
        <v>920</v>
      </c>
      <c r="CR2288" t="s">
        <v>1031</v>
      </c>
      <c r="CS2288" t="s">
        <v>135</v>
      </c>
      <c r="CT2288" t="s">
        <v>10556</v>
      </c>
      <c r="CU2288" t="s">
        <v>10551</v>
      </c>
      <c r="CW2288" t="s">
        <v>10552</v>
      </c>
      <c r="CX2288" t="s">
        <v>129</v>
      </c>
      <c r="CZ2288" s="3" t="str">
        <f>"10977"</f>
        <v>10977</v>
      </c>
      <c r="DA2288" t="s">
        <v>135</v>
      </c>
      <c r="DB2288" t="str">
        <f>""</f>
        <v/>
      </c>
      <c r="DF2288" t="str">
        <f>""</f>
        <v/>
      </c>
    </row>
    <row r="2289" spans="1:110" ht="15" customHeight="1" x14ac:dyDescent="0.35">
      <c r="A2289" t="s">
        <v>16524</v>
      </c>
      <c r="B2289" t="s">
        <v>138</v>
      </c>
      <c r="C2289" s="1">
        <v>44349</v>
      </c>
      <c r="G2289" s="1">
        <v>44349</v>
      </c>
      <c r="H2289" t="s">
        <v>319</v>
      </c>
      <c r="I2289" t="s">
        <v>12742</v>
      </c>
      <c r="J2289" t="s">
        <v>615</v>
      </c>
      <c r="K2289" t="s">
        <v>134</v>
      </c>
      <c r="L2289" t="s">
        <v>2579</v>
      </c>
      <c r="M2289" t="s">
        <v>16525</v>
      </c>
      <c r="O2289" t="s">
        <v>9220</v>
      </c>
      <c r="P2289" t="s">
        <v>256</v>
      </c>
      <c r="Q2289" s="3">
        <v>65199</v>
      </c>
      <c r="R2289" t="s">
        <v>128</v>
      </c>
      <c r="T2289" s="4">
        <v>15737611616</v>
      </c>
      <c r="V2289" t="s">
        <v>16526</v>
      </c>
      <c r="W2289" t="s">
        <v>16527</v>
      </c>
      <c r="Y2289" t="s">
        <v>16528</v>
      </c>
      <c r="AA2289" t="s">
        <v>9220</v>
      </c>
      <c r="AB2289" t="s">
        <v>258</v>
      </c>
      <c r="AC2289" s="3" t="str">
        <f>"65199"</f>
        <v>65199</v>
      </c>
      <c r="AD2289" t="s">
        <v>128</v>
      </c>
      <c r="AF2289" s="4">
        <v>15737611616</v>
      </c>
      <c r="AH2289" t="str">
        <f>"722511"</f>
        <v>722511</v>
      </c>
      <c r="AI2289" t="s">
        <v>130</v>
      </c>
      <c r="AJ2289" t="s">
        <v>8849</v>
      </c>
      <c r="AK2289" t="s">
        <v>5130</v>
      </c>
      <c r="AL2289" t="s">
        <v>684</v>
      </c>
      <c r="AM2289" t="s">
        <v>16529</v>
      </c>
      <c r="AN2289" t="s">
        <v>985</v>
      </c>
      <c r="AO2289" t="s">
        <v>712</v>
      </c>
      <c r="AP2289" t="s">
        <v>2436</v>
      </c>
      <c r="AQ2289" s="5">
        <v>40515</v>
      </c>
      <c r="AR2289" t="s">
        <v>128</v>
      </c>
      <c r="AT2289" s="4">
        <v>18595528804</v>
      </c>
      <c r="AV2289" t="s">
        <v>8851</v>
      </c>
      <c r="AW2289" t="s">
        <v>16530</v>
      </c>
      <c r="AX2289" t="s">
        <v>131</v>
      </c>
      <c r="AY2289" t="s">
        <v>131</v>
      </c>
      <c r="AZ2289" t="s">
        <v>131</v>
      </c>
      <c r="BA2289" t="s">
        <v>131</v>
      </c>
      <c r="BB2289" t="s">
        <v>131</v>
      </c>
      <c r="BC2289" t="s">
        <v>131</v>
      </c>
      <c r="BD2289" t="s">
        <v>131</v>
      </c>
      <c r="BE2289" t="s">
        <v>132</v>
      </c>
      <c r="BH2289" t="s">
        <v>1080</v>
      </c>
      <c r="BI2289" t="s">
        <v>131</v>
      </c>
      <c r="BL2289" t="s">
        <v>167</v>
      </c>
      <c r="BO2289" t="s">
        <v>131</v>
      </c>
      <c r="BP2289" t="s">
        <v>134</v>
      </c>
      <c r="BQ2289" t="s">
        <v>131</v>
      </c>
      <c r="BS2289" t="str">
        <f t="shared" si="135"/>
        <v>N/A</v>
      </c>
      <c r="BT2289" t="s">
        <v>131</v>
      </c>
      <c r="BV2289" t="str">
        <f>""</f>
        <v/>
      </c>
      <c r="BW2289" t="s">
        <v>135</v>
      </c>
      <c r="BX2289" t="str">
        <f>""</f>
        <v/>
      </c>
      <c r="BY2289" t="str">
        <f>""</f>
        <v/>
      </c>
      <c r="BZ2289" t="str">
        <f>""</f>
        <v/>
      </c>
      <c r="CA2289" t="str">
        <f>"Able and willing to follow instructions and work on feet for many hours."</f>
        <v>Able and willing to follow instructions and work on feet for many hours.</v>
      </c>
      <c r="CB2289" t="s">
        <v>131</v>
      </c>
      <c r="CF2289" t="s">
        <v>131</v>
      </c>
      <c r="CH2289" t="str">
        <f>""</f>
        <v/>
      </c>
      <c r="CI2289" t="s">
        <v>131</v>
      </c>
      <c r="CK2289" t="s">
        <v>131</v>
      </c>
      <c r="CL2289" t="str">
        <f>""</f>
        <v/>
      </c>
      <c r="CM2289" t="str">
        <f>""</f>
        <v/>
      </c>
      <c r="CN2289" t="str">
        <f>""</f>
        <v/>
      </c>
      <c r="CO2289" t="str">
        <f>""</f>
        <v/>
      </c>
      <c r="CP2289" t="str">
        <f>"35-2014.00"</f>
        <v>35-2014.00</v>
      </c>
      <c r="CQ2289" t="s">
        <v>581</v>
      </c>
      <c r="CR2289" t="s">
        <v>1080</v>
      </c>
      <c r="CS2289" t="s">
        <v>131</v>
      </c>
      <c r="CU2289" t="s">
        <v>16528</v>
      </c>
      <c r="CW2289" t="s">
        <v>9220</v>
      </c>
      <c r="CX2289" t="s">
        <v>258</v>
      </c>
      <c r="CZ2289" s="3" t="str">
        <f>"65199"</f>
        <v>65199</v>
      </c>
      <c r="DA2289" t="s">
        <v>131</v>
      </c>
      <c r="DB2289" t="str">
        <f>""</f>
        <v/>
      </c>
      <c r="DF2289" t="str">
        <f>""</f>
        <v/>
      </c>
    </row>
    <row r="2290" spans="1:110" ht="15" customHeight="1" x14ac:dyDescent="0.35">
      <c r="A2290" t="s">
        <v>19661</v>
      </c>
      <c r="B2290" t="s">
        <v>138</v>
      </c>
      <c r="C2290" s="1">
        <v>44349</v>
      </c>
      <c r="G2290" s="1">
        <v>44375</v>
      </c>
      <c r="H2290" t="s">
        <v>319</v>
      </c>
      <c r="I2290" t="s">
        <v>19662</v>
      </c>
      <c r="J2290" t="s">
        <v>6510</v>
      </c>
      <c r="L2290" t="s">
        <v>1031</v>
      </c>
      <c r="M2290" t="s">
        <v>19663</v>
      </c>
      <c r="O2290" t="s">
        <v>5314</v>
      </c>
      <c r="P2290" t="s">
        <v>127</v>
      </c>
      <c r="Q2290" s="3">
        <v>11946</v>
      </c>
      <c r="R2290" t="s">
        <v>128</v>
      </c>
      <c r="T2290" s="4">
        <v>16314049221</v>
      </c>
      <c r="V2290" t="s">
        <v>1021</v>
      </c>
      <c r="W2290" t="s">
        <v>19664</v>
      </c>
      <c r="Y2290" t="s">
        <v>19665</v>
      </c>
      <c r="AA2290" t="s">
        <v>5314</v>
      </c>
      <c r="AB2290" t="s">
        <v>129</v>
      </c>
      <c r="AC2290" s="3" t="str">
        <f>"11946"</f>
        <v>11946</v>
      </c>
      <c r="AD2290" t="s">
        <v>128</v>
      </c>
      <c r="AF2290" s="4">
        <v>16314049221</v>
      </c>
      <c r="AH2290" t="str">
        <f>"56173"</f>
        <v>56173</v>
      </c>
      <c r="AI2290" t="s">
        <v>287</v>
      </c>
      <c r="AJ2290" t="s">
        <v>1024</v>
      </c>
      <c r="AK2290" t="s">
        <v>1025</v>
      </c>
      <c r="AM2290" t="s">
        <v>1026</v>
      </c>
      <c r="AO2290" t="s">
        <v>1027</v>
      </c>
      <c r="AP2290" t="s">
        <v>129</v>
      </c>
      <c r="AQ2290" s="5">
        <v>11590</v>
      </c>
      <c r="AR2290" t="s">
        <v>128</v>
      </c>
      <c r="AT2290" s="4">
        <v>15163307168</v>
      </c>
      <c r="AV2290" t="s">
        <v>1021</v>
      </c>
      <c r="AW2290" t="s">
        <v>1028</v>
      </c>
      <c r="AX2290" t="s">
        <v>131</v>
      </c>
      <c r="AY2290" t="s">
        <v>131</v>
      </c>
      <c r="AZ2290" t="s">
        <v>131</v>
      </c>
      <c r="BA2290" t="s">
        <v>131</v>
      </c>
      <c r="BB2290" t="s">
        <v>131</v>
      </c>
      <c r="BC2290" t="s">
        <v>131</v>
      </c>
      <c r="BD2290" t="s">
        <v>131</v>
      </c>
      <c r="BE2290" t="s">
        <v>132</v>
      </c>
      <c r="BH2290" t="s">
        <v>5067</v>
      </c>
      <c r="BI2290" t="s">
        <v>131</v>
      </c>
      <c r="BL2290" t="s">
        <v>167</v>
      </c>
      <c r="BO2290" t="s">
        <v>131</v>
      </c>
      <c r="BP2290" t="s">
        <v>134</v>
      </c>
      <c r="BQ2290" t="s">
        <v>131</v>
      </c>
      <c r="BS2290" t="str">
        <f t="shared" si="135"/>
        <v>N/A</v>
      </c>
      <c r="BT2290" t="s">
        <v>131</v>
      </c>
      <c r="BV2290" t="str">
        <f>""</f>
        <v/>
      </c>
      <c r="BW2290" t="s">
        <v>131</v>
      </c>
      <c r="BX2290" t="str">
        <f>""</f>
        <v/>
      </c>
      <c r="BY2290" t="str">
        <f>""</f>
        <v/>
      </c>
      <c r="BZ2290" t="str">
        <f>""</f>
        <v/>
      </c>
      <c r="CA2290" t="str">
        <f>""</f>
        <v/>
      </c>
      <c r="CB2290" t="s">
        <v>131</v>
      </c>
      <c r="CF2290" t="s">
        <v>131</v>
      </c>
      <c r="CH2290" t="str">
        <f>""</f>
        <v/>
      </c>
      <c r="CI2290" t="s">
        <v>131</v>
      </c>
      <c r="CK2290" t="s">
        <v>131</v>
      </c>
      <c r="CL2290" t="str">
        <f>""</f>
        <v/>
      </c>
      <c r="CM2290" t="str">
        <f>""</f>
        <v/>
      </c>
      <c r="CN2290" t="str">
        <f>""</f>
        <v/>
      </c>
      <c r="CO2290" t="str">
        <f>""</f>
        <v/>
      </c>
      <c r="CP2290" t="str">
        <f>"37-3011.00"</f>
        <v>37-3011.00</v>
      </c>
      <c r="CQ2290" t="s">
        <v>920</v>
      </c>
      <c r="CR2290" t="s">
        <v>5068</v>
      </c>
      <c r="CS2290" t="s">
        <v>135</v>
      </c>
      <c r="CT2290" t="s">
        <v>10332</v>
      </c>
      <c r="CU2290" t="s">
        <v>19663</v>
      </c>
      <c r="CW2290" t="s">
        <v>5314</v>
      </c>
      <c r="CX2290" t="s">
        <v>129</v>
      </c>
      <c r="CZ2290" s="3" t="str">
        <f>"11946"</f>
        <v>11946</v>
      </c>
      <c r="DA2290" t="s">
        <v>135</v>
      </c>
      <c r="DB2290" t="str">
        <f>""</f>
        <v/>
      </c>
      <c r="DF2290" t="str">
        <f>""</f>
        <v/>
      </c>
    </row>
    <row r="2291" spans="1:110" ht="15" customHeight="1" x14ac:dyDescent="0.35">
      <c r="A2291" t="s">
        <v>18887</v>
      </c>
      <c r="B2291" t="s">
        <v>138</v>
      </c>
      <c r="C2291" s="1">
        <v>44349</v>
      </c>
      <c r="G2291" s="1">
        <v>44349</v>
      </c>
      <c r="H2291" t="s">
        <v>319</v>
      </c>
      <c r="I2291" t="s">
        <v>12742</v>
      </c>
      <c r="J2291" t="s">
        <v>615</v>
      </c>
      <c r="K2291" t="s">
        <v>134</v>
      </c>
      <c r="L2291" t="s">
        <v>2579</v>
      </c>
      <c r="M2291" t="s">
        <v>16528</v>
      </c>
      <c r="O2291" t="s">
        <v>9220</v>
      </c>
      <c r="P2291" t="s">
        <v>256</v>
      </c>
      <c r="Q2291" s="3">
        <v>65199</v>
      </c>
      <c r="R2291" t="s">
        <v>128</v>
      </c>
      <c r="T2291" s="4">
        <v>15737611616</v>
      </c>
      <c r="V2291" t="s">
        <v>16526</v>
      </c>
      <c r="W2291" t="s">
        <v>16527</v>
      </c>
      <c r="Y2291" t="s">
        <v>16528</v>
      </c>
      <c r="AA2291" t="s">
        <v>9220</v>
      </c>
      <c r="AB2291" t="s">
        <v>258</v>
      </c>
      <c r="AC2291" s="3" t="str">
        <f>"65199"</f>
        <v>65199</v>
      </c>
      <c r="AD2291" t="s">
        <v>128</v>
      </c>
      <c r="AF2291" s="4">
        <v>15737611616</v>
      </c>
      <c r="AH2291" t="str">
        <f>"722511"</f>
        <v>722511</v>
      </c>
      <c r="AI2291" t="s">
        <v>130</v>
      </c>
      <c r="AJ2291" t="s">
        <v>8849</v>
      </c>
      <c r="AK2291" t="s">
        <v>5130</v>
      </c>
      <c r="AL2291" t="s">
        <v>684</v>
      </c>
      <c r="AM2291" t="s">
        <v>16941</v>
      </c>
      <c r="AN2291" t="s">
        <v>15355</v>
      </c>
      <c r="AO2291" t="s">
        <v>712</v>
      </c>
      <c r="AP2291" t="s">
        <v>2436</v>
      </c>
      <c r="AQ2291" s="5">
        <v>40507</v>
      </c>
      <c r="AR2291" t="s">
        <v>128</v>
      </c>
      <c r="AT2291" s="4">
        <v>18595528804</v>
      </c>
      <c r="AV2291" t="s">
        <v>8851</v>
      </c>
      <c r="AW2291" t="s">
        <v>16530</v>
      </c>
      <c r="AX2291" t="s">
        <v>131</v>
      </c>
      <c r="AY2291" t="s">
        <v>131</v>
      </c>
      <c r="AZ2291" t="s">
        <v>131</v>
      </c>
      <c r="BA2291" t="s">
        <v>131</v>
      </c>
      <c r="BB2291" t="s">
        <v>131</v>
      </c>
      <c r="BC2291" t="s">
        <v>131</v>
      </c>
      <c r="BD2291" t="s">
        <v>131</v>
      </c>
      <c r="BE2291" t="s">
        <v>132</v>
      </c>
      <c r="BH2291" t="s">
        <v>1080</v>
      </c>
      <c r="BI2291" t="s">
        <v>131</v>
      </c>
      <c r="BL2291" t="s">
        <v>167</v>
      </c>
      <c r="BO2291" t="s">
        <v>131</v>
      </c>
      <c r="BP2291" t="s">
        <v>134</v>
      </c>
      <c r="BQ2291" t="s">
        <v>131</v>
      </c>
      <c r="BS2291" t="str">
        <f t="shared" si="135"/>
        <v>N/A</v>
      </c>
      <c r="BT2291" t="s">
        <v>131</v>
      </c>
      <c r="BV2291" t="str">
        <f>""</f>
        <v/>
      </c>
      <c r="BW2291" t="s">
        <v>135</v>
      </c>
      <c r="BX2291" t="str">
        <f>""</f>
        <v/>
      </c>
      <c r="BY2291" t="str">
        <f>""</f>
        <v/>
      </c>
      <c r="BZ2291" t="str">
        <f>""</f>
        <v/>
      </c>
      <c r="CA2291" t="str">
        <f>"Able and willing to follow instructions and work on feet for many hours."</f>
        <v>Able and willing to follow instructions and work on feet for many hours.</v>
      </c>
      <c r="CB2291" t="s">
        <v>131</v>
      </c>
      <c r="CF2291" t="s">
        <v>131</v>
      </c>
      <c r="CH2291" t="str">
        <f>""</f>
        <v/>
      </c>
      <c r="CI2291" t="s">
        <v>131</v>
      </c>
      <c r="CK2291" t="s">
        <v>131</v>
      </c>
      <c r="CL2291" t="str">
        <f>""</f>
        <v/>
      </c>
      <c r="CM2291" t="str">
        <f>""</f>
        <v/>
      </c>
      <c r="CN2291" t="str">
        <f>""</f>
        <v/>
      </c>
      <c r="CO2291" t="str">
        <f>""</f>
        <v/>
      </c>
      <c r="CP2291" t="str">
        <f>"35-2014.00"</f>
        <v>35-2014.00</v>
      </c>
      <c r="CQ2291" t="s">
        <v>581</v>
      </c>
      <c r="CR2291" t="s">
        <v>1080</v>
      </c>
      <c r="CS2291" t="s">
        <v>131</v>
      </c>
      <c r="CU2291" t="s">
        <v>16528</v>
      </c>
      <c r="CW2291" t="s">
        <v>9220</v>
      </c>
      <c r="CX2291" t="s">
        <v>258</v>
      </c>
      <c r="CZ2291" s="3" t="str">
        <f>"65199"</f>
        <v>65199</v>
      </c>
      <c r="DA2291" t="s">
        <v>131</v>
      </c>
      <c r="DB2291" t="str">
        <f>""</f>
        <v/>
      </c>
      <c r="DF2291" t="str">
        <f>""</f>
        <v/>
      </c>
    </row>
    <row r="2292" spans="1:110" ht="15" customHeight="1" x14ac:dyDescent="0.35">
      <c r="A2292" t="s">
        <v>18457</v>
      </c>
      <c r="B2292" t="s">
        <v>138</v>
      </c>
      <c r="C2292" s="1">
        <v>44349</v>
      </c>
      <c r="G2292" s="1">
        <v>44375</v>
      </c>
      <c r="H2292" t="s">
        <v>319</v>
      </c>
      <c r="I2292" t="s">
        <v>18458</v>
      </c>
      <c r="J2292" t="s">
        <v>18044</v>
      </c>
      <c r="L2292" t="s">
        <v>1031</v>
      </c>
      <c r="M2292" t="s">
        <v>18459</v>
      </c>
      <c r="O2292" t="s">
        <v>13598</v>
      </c>
      <c r="P2292" t="s">
        <v>256</v>
      </c>
      <c r="Q2292" s="3">
        <v>63385</v>
      </c>
      <c r="R2292" t="s">
        <v>128</v>
      </c>
      <c r="T2292" s="4">
        <v>16369461313</v>
      </c>
      <c r="V2292" t="s">
        <v>1021</v>
      </c>
      <c r="W2292" t="s">
        <v>18460</v>
      </c>
      <c r="Y2292" t="s">
        <v>18461</v>
      </c>
      <c r="AA2292" t="s">
        <v>11945</v>
      </c>
      <c r="AB2292" t="s">
        <v>258</v>
      </c>
      <c r="AC2292" s="3" t="str">
        <f>"63385"</f>
        <v>63385</v>
      </c>
      <c r="AD2292" t="s">
        <v>128</v>
      </c>
      <c r="AF2292" s="4">
        <v>16369461313</v>
      </c>
      <c r="AH2292" t="str">
        <f>"561730"</f>
        <v>561730</v>
      </c>
      <c r="AI2292" t="s">
        <v>287</v>
      </c>
      <c r="AJ2292" t="s">
        <v>1024</v>
      </c>
      <c r="AK2292" t="s">
        <v>1025</v>
      </c>
      <c r="AM2292" t="s">
        <v>1026</v>
      </c>
      <c r="AO2292" t="s">
        <v>1027</v>
      </c>
      <c r="AP2292" t="s">
        <v>129</v>
      </c>
      <c r="AQ2292" s="5">
        <v>11590</v>
      </c>
      <c r="AR2292" t="s">
        <v>128</v>
      </c>
      <c r="AT2292" s="4">
        <v>15163307168</v>
      </c>
      <c r="AV2292" t="s">
        <v>1021</v>
      </c>
      <c r="AW2292" t="s">
        <v>1028</v>
      </c>
      <c r="AX2292" t="s">
        <v>131</v>
      </c>
      <c r="AY2292" t="s">
        <v>131</v>
      </c>
      <c r="AZ2292" t="s">
        <v>131</v>
      </c>
      <c r="BA2292" t="s">
        <v>131</v>
      </c>
      <c r="BB2292" t="s">
        <v>131</v>
      </c>
      <c r="BC2292" t="s">
        <v>131</v>
      </c>
      <c r="BD2292" t="s">
        <v>131</v>
      </c>
      <c r="BE2292" t="s">
        <v>132</v>
      </c>
      <c r="BH2292" t="s">
        <v>2215</v>
      </c>
      <c r="BI2292" t="s">
        <v>131</v>
      </c>
      <c r="BL2292" t="s">
        <v>167</v>
      </c>
      <c r="BO2292" t="s">
        <v>131</v>
      </c>
      <c r="BP2292" t="s">
        <v>134</v>
      </c>
      <c r="BQ2292" t="s">
        <v>131</v>
      </c>
      <c r="BS2292" t="str">
        <f t="shared" si="135"/>
        <v>N/A</v>
      </c>
      <c r="BT2292" t="s">
        <v>131</v>
      </c>
      <c r="BV2292" t="str">
        <f>""</f>
        <v/>
      </c>
      <c r="BW2292" t="s">
        <v>131</v>
      </c>
      <c r="BX2292" t="str">
        <f>""</f>
        <v/>
      </c>
      <c r="BY2292" t="str">
        <f>""</f>
        <v/>
      </c>
      <c r="BZ2292" t="str">
        <f>""</f>
        <v/>
      </c>
      <c r="CA2292" t="str">
        <f>""</f>
        <v/>
      </c>
      <c r="CB2292" t="s">
        <v>131</v>
      </c>
      <c r="CF2292" t="s">
        <v>131</v>
      </c>
      <c r="CH2292" t="str">
        <f>""</f>
        <v/>
      </c>
      <c r="CI2292" t="s">
        <v>131</v>
      </c>
      <c r="CK2292" t="s">
        <v>131</v>
      </c>
      <c r="CL2292" t="str">
        <f>""</f>
        <v/>
      </c>
      <c r="CM2292" t="str">
        <f>""</f>
        <v/>
      </c>
      <c r="CN2292" t="str">
        <f>""</f>
        <v/>
      </c>
      <c r="CO2292" t="str">
        <f>""</f>
        <v/>
      </c>
      <c r="CP2292" t="str">
        <f>"37-3011.00"</f>
        <v>37-3011.00</v>
      </c>
      <c r="CQ2292" t="s">
        <v>920</v>
      </c>
      <c r="CR2292" t="s">
        <v>5068</v>
      </c>
      <c r="CS2292" t="s">
        <v>135</v>
      </c>
      <c r="CT2292" t="s">
        <v>18462</v>
      </c>
      <c r="CU2292" t="s">
        <v>18461</v>
      </c>
      <c r="CW2292" t="s">
        <v>11945</v>
      </c>
      <c r="CX2292" t="s">
        <v>258</v>
      </c>
      <c r="CZ2292" s="3" t="str">
        <f>"63385"</f>
        <v>63385</v>
      </c>
      <c r="DA2292" t="s">
        <v>135</v>
      </c>
      <c r="DB2292" t="str">
        <f>""</f>
        <v/>
      </c>
      <c r="DF2292" t="str">
        <f>""</f>
        <v/>
      </c>
    </row>
    <row r="2293" spans="1:110" ht="15" customHeight="1" x14ac:dyDescent="0.35">
      <c r="A2293" t="s">
        <v>17425</v>
      </c>
      <c r="B2293" t="s">
        <v>138</v>
      </c>
      <c r="C2293" s="1">
        <v>44349</v>
      </c>
      <c r="G2293" s="1">
        <v>44375</v>
      </c>
      <c r="H2293" t="s">
        <v>319</v>
      </c>
      <c r="I2293" t="s">
        <v>17426</v>
      </c>
      <c r="J2293" t="s">
        <v>17427</v>
      </c>
      <c r="L2293" t="s">
        <v>1031</v>
      </c>
      <c r="M2293" t="s">
        <v>17428</v>
      </c>
      <c r="O2293" t="s">
        <v>17429</v>
      </c>
      <c r="P2293" t="s">
        <v>256</v>
      </c>
      <c r="Q2293" s="3">
        <v>63302</v>
      </c>
      <c r="R2293" t="s">
        <v>128</v>
      </c>
      <c r="T2293" s="4">
        <v>16364935359</v>
      </c>
      <c r="V2293" t="s">
        <v>1021</v>
      </c>
      <c r="W2293" t="s">
        <v>17430</v>
      </c>
      <c r="Y2293" t="s">
        <v>17431</v>
      </c>
      <c r="AA2293" t="s">
        <v>17429</v>
      </c>
      <c r="AB2293" t="s">
        <v>258</v>
      </c>
      <c r="AC2293" s="3" t="str">
        <f>"63302"</f>
        <v>63302</v>
      </c>
      <c r="AD2293" t="s">
        <v>128</v>
      </c>
      <c r="AF2293" s="4">
        <v>16364935359</v>
      </c>
      <c r="AH2293" t="str">
        <f>"56173"</f>
        <v>56173</v>
      </c>
      <c r="AI2293" t="s">
        <v>287</v>
      </c>
      <c r="AJ2293" t="s">
        <v>1024</v>
      </c>
      <c r="AK2293" t="s">
        <v>1025</v>
      </c>
      <c r="AM2293" t="s">
        <v>1026</v>
      </c>
      <c r="AO2293" t="s">
        <v>1027</v>
      </c>
      <c r="AP2293" t="s">
        <v>129</v>
      </c>
      <c r="AQ2293" s="5">
        <v>11590</v>
      </c>
      <c r="AR2293" t="s">
        <v>128</v>
      </c>
      <c r="AT2293" s="4">
        <v>15163307168</v>
      </c>
      <c r="AV2293" t="s">
        <v>1021</v>
      </c>
      <c r="AW2293" t="s">
        <v>1028</v>
      </c>
      <c r="AX2293" t="s">
        <v>131</v>
      </c>
      <c r="AY2293" t="s">
        <v>131</v>
      </c>
      <c r="AZ2293" t="s">
        <v>131</v>
      </c>
      <c r="BA2293" t="s">
        <v>131</v>
      </c>
      <c r="BB2293" t="s">
        <v>131</v>
      </c>
      <c r="BC2293" t="s">
        <v>131</v>
      </c>
      <c r="BD2293" t="s">
        <v>131</v>
      </c>
      <c r="BE2293" t="s">
        <v>132</v>
      </c>
      <c r="BH2293" t="s">
        <v>5067</v>
      </c>
      <c r="BI2293" t="s">
        <v>131</v>
      </c>
      <c r="BL2293" t="s">
        <v>167</v>
      </c>
      <c r="BO2293" t="s">
        <v>131</v>
      </c>
      <c r="BP2293" t="s">
        <v>134</v>
      </c>
      <c r="BQ2293" t="s">
        <v>131</v>
      </c>
      <c r="BS2293" t="str">
        <f t="shared" si="135"/>
        <v>N/A</v>
      </c>
      <c r="BT2293" t="s">
        <v>131</v>
      </c>
      <c r="BV2293" t="str">
        <f>""</f>
        <v/>
      </c>
      <c r="BW2293" t="s">
        <v>131</v>
      </c>
      <c r="BX2293" t="str">
        <f>""</f>
        <v/>
      </c>
      <c r="BY2293" t="str">
        <f>""</f>
        <v/>
      </c>
      <c r="BZ2293" t="str">
        <f>""</f>
        <v/>
      </c>
      <c r="CA2293" t="str">
        <f>""</f>
        <v/>
      </c>
      <c r="CB2293" t="s">
        <v>131</v>
      </c>
      <c r="CF2293" t="s">
        <v>131</v>
      </c>
      <c r="CH2293" t="str">
        <f>""</f>
        <v/>
      </c>
      <c r="CI2293" t="s">
        <v>131</v>
      </c>
      <c r="CK2293" t="s">
        <v>131</v>
      </c>
      <c r="CL2293" t="str">
        <f>""</f>
        <v/>
      </c>
      <c r="CM2293" t="str">
        <f>""</f>
        <v/>
      </c>
      <c r="CN2293" t="str">
        <f>""</f>
        <v/>
      </c>
      <c r="CO2293" t="str">
        <f>""</f>
        <v/>
      </c>
      <c r="CP2293" t="str">
        <f>"37-3011.00"</f>
        <v>37-3011.00</v>
      </c>
      <c r="CQ2293" t="s">
        <v>920</v>
      </c>
      <c r="CR2293" t="s">
        <v>5068</v>
      </c>
      <c r="CS2293" t="s">
        <v>135</v>
      </c>
      <c r="CT2293" t="s">
        <v>17432</v>
      </c>
      <c r="CU2293" t="s">
        <v>17431</v>
      </c>
      <c r="CW2293" t="s">
        <v>17433</v>
      </c>
      <c r="CX2293" t="s">
        <v>258</v>
      </c>
      <c r="CZ2293" s="3" t="str">
        <f>"63302"</f>
        <v>63302</v>
      </c>
      <c r="DA2293" t="s">
        <v>135</v>
      </c>
      <c r="DB2293" t="str">
        <f>""</f>
        <v/>
      </c>
      <c r="DF2293" t="str">
        <f>""</f>
        <v/>
      </c>
    </row>
    <row r="2294" spans="1:110" ht="15" customHeight="1" x14ac:dyDescent="0.35">
      <c r="A2294" t="s">
        <v>14323</v>
      </c>
      <c r="B2294" t="s">
        <v>138</v>
      </c>
      <c r="C2294" s="1">
        <v>44350</v>
      </c>
      <c r="G2294" s="1">
        <v>44375</v>
      </c>
      <c r="H2294" t="s">
        <v>319</v>
      </c>
      <c r="I2294" t="s">
        <v>10326</v>
      </c>
      <c r="J2294" t="s">
        <v>2284</v>
      </c>
      <c r="L2294" t="s">
        <v>1031</v>
      </c>
      <c r="M2294" t="s">
        <v>10327</v>
      </c>
      <c r="O2294" t="s">
        <v>14324</v>
      </c>
      <c r="P2294" t="s">
        <v>127</v>
      </c>
      <c r="Q2294" s="3">
        <v>11976</v>
      </c>
      <c r="R2294" t="s">
        <v>128</v>
      </c>
      <c r="T2294" s="4">
        <v>16317264767</v>
      </c>
      <c r="V2294" t="s">
        <v>1021</v>
      </c>
      <c r="W2294" t="s">
        <v>14325</v>
      </c>
      <c r="Y2294" t="s">
        <v>10330</v>
      </c>
      <c r="AA2294" t="s">
        <v>10331</v>
      </c>
      <c r="AB2294" t="s">
        <v>129</v>
      </c>
      <c r="AC2294" s="3" t="str">
        <f>"11976"</f>
        <v>11976</v>
      </c>
      <c r="AD2294" t="s">
        <v>128</v>
      </c>
      <c r="AF2294" s="4">
        <v>16317264767</v>
      </c>
      <c r="AH2294" t="str">
        <f>"444220"</f>
        <v>444220</v>
      </c>
      <c r="AI2294" t="s">
        <v>287</v>
      </c>
      <c r="AJ2294" t="s">
        <v>1024</v>
      </c>
      <c r="AK2294" t="s">
        <v>1025</v>
      </c>
      <c r="AM2294" t="s">
        <v>1026</v>
      </c>
      <c r="AO2294" t="s">
        <v>1027</v>
      </c>
      <c r="AP2294" t="s">
        <v>129</v>
      </c>
      <c r="AQ2294" s="5">
        <v>11590</v>
      </c>
      <c r="AR2294" t="s">
        <v>128</v>
      </c>
      <c r="AT2294" s="4">
        <v>15163307168</v>
      </c>
      <c r="AV2294" t="s">
        <v>1021</v>
      </c>
      <c r="AW2294" t="s">
        <v>1028</v>
      </c>
      <c r="AX2294" t="s">
        <v>131</v>
      </c>
      <c r="AY2294" t="s">
        <v>131</v>
      </c>
      <c r="AZ2294" t="s">
        <v>131</v>
      </c>
      <c r="BA2294" t="s">
        <v>131</v>
      </c>
      <c r="BB2294" t="s">
        <v>131</v>
      </c>
      <c r="BC2294" t="s">
        <v>131</v>
      </c>
      <c r="BD2294" t="s">
        <v>131</v>
      </c>
      <c r="BE2294" t="s">
        <v>132</v>
      </c>
      <c r="BH2294" t="s">
        <v>14326</v>
      </c>
      <c r="BI2294" t="s">
        <v>131</v>
      </c>
      <c r="BL2294" t="s">
        <v>167</v>
      </c>
      <c r="BO2294" t="s">
        <v>131</v>
      </c>
      <c r="BP2294" t="s">
        <v>134</v>
      </c>
      <c r="BQ2294" t="s">
        <v>131</v>
      </c>
      <c r="BS2294" t="str">
        <f t="shared" si="135"/>
        <v>N/A</v>
      </c>
      <c r="BT2294" t="s">
        <v>131</v>
      </c>
      <c r="BV2294" t="str">
        <f>""</f>
        <v/>
      </c>
      <c r="BW2294" t="s">
        <v>131</v>
      </c>
      <c r="BX2294" t="str">
        <f>""</f>
        <v/>
      </c>
      <c r="BY2294" t="str">
        <f>""</f>
        <v/>
      </c>
      <c r="BZ2294" t="str">
        <f>""</f>
        <v/>
      </c>
      <c r="CA2294" t="str">
        <f>""</f>
        <v/>
      </c>
      <c r="CB2294" t="s">
        <v>131</v>
      </c>
      <c r="CF2294" t="s">
        <v>131</v>
      </c>
      <c r="CH2294" t="str">
        <f>""</f>
        <v/>
      </c>
      <c r="CI2294" t="s">
        <v>131</v>
      </c>
      <c r="CK2294" t="s">
        <v>131</v>
      </c>
      <c r="CL2294" t="str">
        <f>""</f>
        <v/>
      </c>
      <c r="CM2294" t="str">
        <f>""</f>
        <v/>
      </c>
      <c r="CN2294" t="str">
        <f>""</f>
        <v/>
      </c>
      <c r="CO2294" t="str">
        <f>""</f>
        <v/>
      </c>
      <c r="CP2294" t="str">
        <f>"45-2092.01"</f>
        <v>45-2092.01</v>
      </c>
      <c r="CQ2294" t="s">
        <v>3197</v>
      </c>
      <c r="CR2294" t="s">
        <v>392</v>
      </c>
      <c r="CS2294" t="s">
        <v>135</v>
      </c>
      <c r="CT2294" t="s">
        <v>10332</v>
      </c>
      <c r="CU2294" t="s">
        <v>10330</v>
      </c>
      <c r="CW2294" t="s">
        <v>10331</v>
      </c>
      <c r="CX2294" t="s">
        <v>129</v>
      </c>
      <c r="CZ2294" s="3" t="str">
        <f>"11976"</f>
        <v>11976</v>
      </c>
      <c r="DA2294" t="s">
        <v>135</v>
      </c>
      <c r="DB2294" t="str">
        <f>""</f>
        <v/>
      </c>
      <c r="DF2294" t="str">
        <f>""</f>
        <v/>
      </c>
    </row>
    <row r="2295" spans="1:110" ht="15" customHeight="1" x14ac:dyDescent="0.35">
      <c r="A2295" t="s">
        <v>10325</v>
      </c>
      <c r="B2295" t="s">
        <v>138</v>
      </c>
      <c r="C2295" s="1">
        <v>44350</v>
      </c>
      <c r="G2295" s="1">
        <v>44375</v>
      </c>
      <c r="H2295" t="s">
        <v>319</v>
      </c>
      <c r="I2295" t="s">
        <v>10326</v>
      </c>
      <c r="J2295" t="s">
        <v>2284</v>
      </c>
      <c r="L2295" t="s">
        <v>1031</v>
      </c>
      <c r="M2295" t="s">
        <v>10327</v>
      </c>
      <c r="O2295" t="s">
        <v>10328</v>
      </c>
      <c r="P2295" t="s">
        <v>127</v>
      </c>
      <c r="Q2295" s="3">
        <v>11976</v>
      </c>
      <c r="R2295" t="s">
        <v>128</v>
      </c>
      <c r="T2295" s="4">
        <v>16317264767</v>
      </c>
      <c r="V2295" t="s">
        <v>1021</v>
      </c>
      <c r="W2295" t="s">
        <v>10329</v>
      </c>
      <c r="Y2295" t="s">
        <v>10330</v>
      </c>
      <c r="AA2295" t="s">
        <v>10331</v>
      </c>
      <c r="AB2295" t="s">
        <v>129</v>
      </c>
      <c r="AC2295" s="3" t="str">
        <f>"11976"</f>
        <v>11976</v>
      </c>
      <c r="AD2295" t="s">
        <v>128</v>
      </c>
      <c r="AF2295" s="4">
        <v>16317264767</v>
      </c>
      <c r="AH2295" t="str">
        <f>"56173"</f>
        <v>56173</v>
      </c>
      <c r="AI2295" t="s">
        <v>287</v>
      </c>
      <c r="AJ2295" t="s">
        <v>1024</v>
      </c>
      <c r="AK2295" t="s">
        <v>1025</v>
      </c>
      <c r="AM2295" t="s">
        <v>1026</v>
      </c>
      <c r="AO2295" t="s">
        <v>1027</v>
      </c>
      <c r="AP2295" t="s">
        <v>129</v>
      </c>
      <c r="AQ2295" s="5">
        <v>11590</v>
      </c>
      <c r="AR2295" t="s">
        <v>128</v>
      </c>
      <c r="AT2295" s="4">
        <v>15163307168</v>
      </c>
      <c r="AV2295" t="s">
        <v>1021</v>
      </c>
      <c r="AW2295" t="s">
        <v>1028</v>
      </c>
      <c r="AX2295" t="s">
        <v>131</v>
      </c>
      <c r="AY2295" t="s">
        <v>131</v>
      </c>
      <c r="AZ2295" t="s">
        <v>131</v>
      </c>
      <c r="BA2295" t="s">
        <v>131</v>
      </c>
      <c r="BB2295" t="s">
        <v>131</v>
      </c>
      <c r="BC2295" t="s">
        <v>131</v>
      </c>
      <c r="BD2295" t="s">
        <v>131</v>
      </c>
      <c r="BE2295" t="s">
        <v>132</v>
      </c>
      <c r="BH2295" t="s">
        <v>5067</v>
      </c>
      <c r="BI2295" t="s">
        <v>131</v>
      </c>
      <c r="BL2295" t="s">
        <v>167</v>
      </c>
      <c r="BO2295" t="s">
        <v>131</v>
      </c>
      <c r="BP2295" t="s">
        <v>134</v>
      </c>
      <c r="BQ2295" t="s">
        <v>131</v>
      </c>
      <c r="BS2295" t="str">
        <f t="shared" si="135"/>
        <v>N/A</v>
      </c>
      <c r="BT2295" t="s">
        <v>135</v>
      </c>
      <c r="BU2295">
        <v>3</v>
      </c>
      <c r="BV2295" t="str">
        <f>"LANDSCAPE LABORER"</f>
        <v>LANDSCAPE LABORER</v>
      </c>
      <c r="BW2295" t="s">
        <v>131</v>
      </c>
      <c r="BX2295" t="str">
        <f>""</f>
        <v/>
      </c>
      <c r="BY2295" t="str">
        <f>""</f>
        <v/>
      </c>
      <c r="BZ2295" t="str">
        <f>""</f>
        <v/>
      </c>
      <c r="CA2295" t="str">
        <f>""</f>
        <v/>
      </c>
      <c r="CB2295" t="s">
        <v>131</v>
      </c>
      <c r="CF2295" t="s">
        <v>131</v>
      </c>
      <c r="CH2295" t="str">
        <f>""</f>
        <v/>
      </c>
      <c r="CI2295" t="s">
        <v>131</v>
      </c>
      <c r="CK2295" t="s">
        <v>131</v>
      </c>
      <c r="CL2295" t="str">
        <f>""</f>
        <v/>
      </c>
      <c r="CM2295" t="str">
        <f>""</f>
        <v/>
      </c>
      <c r="CN2295" t="str">
        <f>""</f>
        <v/>
      </c>
      <c r="CO2295" t="str">
        <f>""</f>
        <v/>
      </c>
      <c r="CP2295" t="str">
        <f>"37-3011.00"</f>
        <v>37-3011.00</v>
      </c>
      <c r="CQ2295" t="s">
        <v>920</v>
      </c>
      <c r="CR2295" t="s">
        <v>5068</v>
      </c>
      <c r="CS2295" t="s">
        <v>135</v>
      </c>
      <c r="CT2295" t="s">
        <v>10332</v>
      </c>
      <c r="CU2295" t="s">
        <v>10327</v>
      </c>
      <c r="CW2295" t="s">
        <v>10331</v>
      </c>
      <c r="CX2295" t="s">
        <v>129</v>
      </c>
      <c r="CZ2295" s="3" t="str">
        <f>"11976"</f>
        <v>11976</v>
      </c>
      <c r="DA2295" t="s">
        <v>135</v>
      </c>
      <c r="DB2295" t="str">
        <f>""</f>
        <v/>
      </c>
      <c r="DF2295" t="str">
        <f>""</f>
        <v/>
      </c>
    </row>
    <row r="2296" spans="1:110" ht="15" customHeight="1" x14ac:dyDescent="0.35">
      <c r="A2296" t="s">
        <v>18048</v>
      </c>
      <c r="B2296" t="s">
        <v>138</v>
      </c>
      <c r="C2296" s="1">
        <v>44350</v>
      </c>
      <c r="G2296" s="1">
        <v>44375</v>
      </c>
      <c r="H2296" t="s">
        <v>319</v>
      </c>
      <c r="I2296" t="s">
        <v>1018</v>
      </c>
      <c r="J2296" t="s">
        <v>839</v>
      </c>
      <c r="L2296" t="s">
        <v>1031</v>
      </c>
      <c r="M2296" t="s">
        <v>1023</v>
      </c>
      <c r="O2296" t="s">
        <v>18049</v>
      </c>
      <c r="P2296" t="s">
        <v>924</v>
      </c>
      <c r="Q2296" s="3">
        <v>3902</v>
      </c>
      <c r="R2296" t="s">
        <v>128</v>
      </c>
      <c r="T2296" s="4">
        <v>12073518007</v>
      </c>
      <c r="V2296" t="s">
        <v>1021</v>
      </c>
      <c r="W2296" t="s">
        <v>18050</v>
      </c>
      <c r="Y2296" t="s">
        <v>1023</v>
      </c>
      <c r="AA2296" t="s">
        <v>1020</v>
      </c>
      <c r="AB2296" t="s">
        <v>925</v>
      </c>
      <c r="AC2296" s="3" t="str">
        <f>"03902"</f>
        <v>03902</v>
      </c>
      <c r="AD2296" t="s">
        <v>128</v>
      </c>
      <c r="AF2296" s="4">
        <v>12073518007</v>
      </c>
      <c r="AH2296" t="str">
        <f>"56173"</f>
        <v>56173</v>
      </c>
      <c r="AI2296" t="s">
        <v>287</v>
      </c>
      <c r="AJ2296" t="s">
        <v>1024</v>
      </c>
      <c r="AK2296" t="s">
        <v>1025</v>
      </c>
      <c r="AM2296" t="s">
        <v>1026</v>
      </c>
      <c r="AO2296" t="s">
        <v>1027</v>
      </c>
      <c r="AP2296" t="s">
        <v>129</v>
      </c>
      <c r="AQ2296" s="5">
        <v>11590</v>
      </c>
      <c r="AR2296" t="s">
        <v>128</v>
      </c>
      <c r="AT2296" s="4">
        <v>15163307168</v>
      </c>
      <c r="AV2296" t="s">
        <v>1021</v>
      </c>
      <c r="AW2296" t="s">
        <v>1028</v>
      </c>
      <c r="AX2296" t="s">
        <v>131</v>
      </c>
      <c r="AY2296" t="s">
        <v>131</v>
      </c>
      <c r="AZ2296" t="s">
        <v>131</v>
      </c>
      <c r="BA2296" t="s">
        <v>131</v>
      </c>
      <c r="BB2296" t="s">
        <v>131</v>
      </c>
      <c r="BC2296" t="s">
        <v>131</v>
      </c>
      <c r="BD2296" t="s">
        <v>131</v>
      </c>
      <c r="BE2296" t="s">
        <v>132</v>
      </c>
      <c r="BH2296" t="s">
        <v>5067</v>
      </c>
      <c r="BI2296" t="s">
        <v>131</v>
      </c>
      <c r="BL2296" t="s">
        <v>167</v>
      </c>
      <c r="BO2296" t="s">
        <v>131</v>
      </c>
      <c r="BP2296" t="s">
        <v>134</v>
      </c>
      <c r="BQ2296" t="s">
        <v>131</v>
      </c>
      <c r="BS2296" t="str">
        <f t="shared" si="135"/>
        <v>N/A</v>
      </c>
      <c r="BT2296" t="s">
        <v>131</v>
      </c>
      <c r="BV2296" t="str">
        <f>""</f>
        <v/>
      </c>
      <c r="BW2296" t="s">
        <v>131</v>
      </c>
      <c r="BX2296" t="str">
        <f>""</f>
        <v/>
      </c>
      <c r="BY2296" t="str">
        <f>""</f>
        <v/>
      </c>
      <c r="BZ2296" t="str">
        <f>""</f>
        <v/>
      </c>
      <c r="CA2296" t="str">
        <f>""</f>
        <v/>
      </c>
      <c r="CB2296" t="s">
        <v>131</v>
      </c>
      <c r="CF2296" t="s">
        <v>131</v>
      </c>
      <c r="CH2296" t="str">
        <f>""</f>
        <v/>
      </c>
      <c r="CI2296" t="s">
        <v>131</v>
      </c>
      <c r="CK2296" t="s">
        <v>131</v>
      </c>
      <c r="CL2296" t="str">
        <f>""</f>
        <v/>
      </c>
      <c r="CM2296" t="str">
        <f>""</f>
        <v/>
      </c>
      <c r="CN2296" t="str">
        <f>""</f>
        <v/>
      </c>
      <c r="CO2296" t="str">
        <f>""</f>
        <v/>
      </c>
      <c r="CP2296" t="str">
        <f>"37-3011.00"</f>
        <v>37-3011.00</v>
      </c>
      <c r="CQ2296" t="s">
        <v>920</v>
      </c>
      <c r="CR2296" t="s">
        <v>1031</v>
      </c>
      <c r="CS2296" t="s">
        <v>135</v>
      </c>
      <c r="CT2296" t="s">
        <v>1032</v>
      </c>
      <c r="CU2296" t="s">
        <v>1019</v>
      </c>
      <c r="CW2296" t="s">
        <v>1020</v>
      </c>
      <c r="CX2296" t="s">
        <v>925</v>
      </c>
      <c r="CZ2296" s="3" t="str">
        <f>"03902"</f>
        <v>03902</v>
      </c>
      <c r="DA2296" t="s">
        <v>135</v>
      </c>
      <c r="DB2296" t="str">
        <f>""</f>
        <v/>
      </c>
      <c r="DF2296" t="str">
        <f>""</f>
        <v/>
      </c>
    </row>
    <row r="2297" spans="1:110" ht="15" customHeight="1" x14ac:dyDescent="0.35">
      <c r="A2297" t="s">
        <v>15052</v>
      </c>
      <c r="B2297" t="s">
        <v>138</v>
      </c>
      <c r="C2297" s="1">
        <v>44351</v>
      </c>
      <c r="G2297" s="1">
        <v>44351</v>
      </c>
      <c r="H2297" t="s">
        <v>319</v>
      </c>
      <c r="I2297" t="s">
        <v>5173</v>
      </c>
      <c r="J2297" t="s">
        <v>2689</v>
      </c>
      <c r="L2297" t="s">
        <v>2754</v>
      </c>
      <c r="M2297" t="s">
        <v>15053</v>
      </c>
      <c r="O2297" t="s">
        <v>9527</v>
      </c>
      <c r="P2297" t="s">
        <v>1760</v>
      </c>
      <c r="Q2297" s="3">
        <v>70508</v>
      </c>
      <c r="R2297" t="s">
        <v>128</v>
      </c>
      <c r="T2297" s="4">
        <v>13377891141</v>
      </c>
      <c r="V2297" t="s">
        <v>134</v>
      </c>
      <c r="W2297" t="s">
        <v>15054</v>
      </c>
      <c r="Y2297" t="s">
        <v>15053</v>
      </c>
      <c r="AA2297" t="s">
        <v>9527</v>
      </c>
      <c r="AB2297" t="s">
        <v>1763</v>
      </c>
      <c r="AC2297" s="3" t="str">
        <f>"70508"</f>
        <v>70508</v>
      </c>
      <c r="AD2297" t="s">
        <v>128</v>
      </c>
      <c r="AF2297" s="4">
        <v>13377891141</v>
      </c>
      <c r="AH2297" t="str">
        <f>"56173"</f>
        <v>56173</v>
      </c>
      <c r="AI2297" t="s">
        <v>287</v>
      </c>
      <c r="AJ2297" t="s">
        <v>414</v>
      </c>
      <c r="AK2297" t="s">
        <v>301</v>
      </c>
      <c r="AL2297" t="s">
        <v>415</v>
      </c>
      <c r="AM2297" t="s">
        <v>416</v>
      </c>
      <c r="AN2297" t="s">
        <v>417</v>
      </c>
      <c r="AO2297" t="s">
        <v>399</v>
      </c>
      <c r="AP2297" t="s">
        <v>400</v>
      </c>
      <c r="AQ2297" s="5">
        <v>75231</v>
      </c>
      <c r="AR2297" t="s">
        <v>128</v>
      </c>
      <c r="AT2297" s="4">
        <v>12145265665</v>
      </c>
      <c r="AV2297" t="s">
        <v>418</v>
      </c>
      <c r="AW2297" t="s">
        <v>419</v>
      </c>
      <c r="AX2297" t="s">
        <v>131</v>
      </c>
      <c r="AY2297" t="s">
        <v>131</v>
      </c>
      <c r="AZ2297" t="s">
        <v>131</v>
      </c>
      <c r="BA2297" t="s">
        <v>131</v>
      </c>
      <c r="BB2297" t="s">
        <v>131</v>
      </c>
      <c r="BC2297" t="s">
        <v>131</v>
      </c>
      <c r="BD2297" t="s">
        <v>131</v>
      </c>
      <c r="BE2297" t="s">
        <v>132</v>
      </c>
      <c r="BH2297" t="s">
        <v>2215</v>
      </c>
      <c r="BI2297" t="s">
        <v>131</v>
      </c>
      <c r="BL2297" t="s">
        <v>167</v>
      </c>
      <c r="BO2297" t="s">
        <v>131</v>
      </c>
      <c r="BP2297" t="s">
        <v>134</v>
      </c>
      <c r="BQ2297" t="s">
        <v>131</v>
      </c>
      <c r="BS2297" t="str">
        <f t="shared" si="135"/>
        <v>N/A</v>
      </c>
      <c r="BT2297" t="s">
        <v>131</v>
      </c>
      <c r="BV2297" t="str">
        <f>""</f>
        <v/>
      </c>
      <c r="BW2297" t="s">
        <v>135</v>
      </c>
      <c r="BX2297" t="str">
        <f>""</f>
        <v/>
      </c>
      <c r="BY2297" t="str">
        <f>""</f>
        <v/>
      </c>
      <c r="BZ2297" t="str">
        <f>""</f>
        <v/>
      </c>
      <c r="CA2297" t="str">
        <f>"Must be able to lift 50 lbs. and work in adverse weather conditions.
Must be able to pass a post-employment drug test paid by the employer."</f>
        <v>Must be able to lift 50 lbs. and work in adverse weather conditions.
Must be able to pass a post-employment drug test paid by the employer.</v>
      </c>
      <c r="CB2297" t="s">
        <v>131</v>
      </c>
      <c r="CF2297" t="s">
        <v>131</v>
      </c>
      <c r="CH2297" t="str">
        <f>""</f>
        <v/>
      </c>
      <c r="CI2297" t="s">
        <v>131</v>
      </c>
      <c r="CK2297" t="s">
        <v>131</v>
      </c>
      <c r="CL2297" t="str">
        <f>""</f>
        <v/>
      </c>
      <c r="CM2297" t="str">
        <f>""</f>
        <v/>
      </c>
      <c r="CN2297" t="str">
        <f>""</f>
        <v/>
      </c>
      <c r="CO2297" t="str">
        <f>""</f>
        <v/>
      </c>
      <c r="CP2297" t="str">
        <f>"37-3011.00"</f>
        <v>37-3011.00</v>
      </c>
      <c r="CQ2297" t="s">
        <v>920</v>
      </c>
      <c r="CS2297" t="s">
        <v>131</v>
      </c>
      <c r="CU2297" t="s">
        <v>15053</v>
      </c>
      <c r="CW2297" t="s">
        <v>9527</v>
      </c>
      <c r="CX2297" t="s">
        <v>1763</v>
      </c>
      <c r="CZ2297" s="3" t="str">
        <f>"70508"</f>
        <v>70508</v>
      </c>
      <c r="DA2297" t="s">
        <v>135</v>
      </c>
      <c r="DB2297" t="str">
        <f>""</f>
        <v/>
      </c>
      <c r="DF2297" t="str">
        <f>""</f>
        <v/>
      </c>
    </row>
    <row r="2298" spans="1:110" ht="15" customHeight="1" x14ac:dyDescent="0.35">
      <c r="A2298" t="s">
        <v>18256</v>
      </c>
      <c r="B2298" t="s">
        <v>138</v>
      </c>
      <c r="C2298" s="1">
        <v>44354</v>
      </c>
      <c r="G2298" s="1">
        <v>44354</v>
      </c>
      <c r="H2298" t="s">
        <v>319</v>
      </c>
      <c r="I2298" t="s">
        <v>18257</v>
      </c>
      <c r="J2298" t="s">
        <v>2070</v>
      </c>
      <c r="L2298" t="s">
        <v>583</v>
      </c>
      <c r="M2298" t="s">
        <v>18258</v>
      </c>
      <c r="O2298" t="s">
        <v>15561</v>
      </c>
      <c r="P2298" t="s">
        <v>3491</v>
      </c>
      <c r="Q2298" s="3">
        <v>2840</v>
      </c>
      <c r="R2298" t="s">
        <v>128</v>
      </c>
      <c r="T2298" s="4">
        <v>14019351269</v>
      </c>
      <c r="V2298" t="s">
        <v>18259</v>
      </c>
      <c r="W2298" t="s">
        <v>18260</v>
      </c>
      <c r="Y2298" t="s">
        <v>18258</v>
      </c>
      <c r="AA2298" t="s">
        <v>15561</v>
      </c>
      <c r="AB2298" t="s">
        <v>3492</v>
      </c>
      <c r="AC2298" s="3" t="str">
        <f>"02840"</f>
        <v>02840</v>
      </c>
      <c r="AD2298" t="s">
        <v>128</v>
      </c>
      <c r="AF2298" s="4">
        <v>14019351269</v>
      </c>
      <c r="AH2298" t="str">
        <f>"519130"</f>
        <v>519130</v>
      </c>
      <c r="AI2298" t="s">
        <v>167</v>
      </c>
      <c r="AX2298" t="s">
        <v>131</v>
      </c>
      <c r="AY2298" t="s">
        <v>131</v>
      </c>
      <c r="AZ2298" t="s">
        <v>131</v>
      </c>
      <c r="BA2298" t="s">
        <v>131</v>
      </c>
      <c r="BB2298" t="s">
        <v>131</v>
      </c>
      <c r="BC2298" t="s">
        <v>131</v>
      </c>
      <c r="BD2298" t="s">
        <v>131</v>
      </c>
      <c r="BE2298" t="s">
        <v>132</v>
      </c>
      <c r="BH2298" t="s">
        <v>18261</v>
      </c>
      <c r="BI2298" t="s">
        <v>131</v>
      </c>
      <c r="BL2298" t="s">
        <v>188</v>
      </c>
      <c r="BN2298" t="s">
        <v>18262</v>
      </c>
      <c r="BO2298" t="s">
        <v>131</v>
      </c>
      <c r="BP2298" t="s">
        <v>134</v>
      </c>
      <c r="BQ2298" t="s">
        <v>131</v>
      </c>
      <c r="BS2298" t="str">
        <f t="shared" si="135"/>
        <v>N/A</v>
      </c>
      <c r="BT2298" t="s">
        <v>131</v>
      </c>
      <c r="BV2298" t="str">
        <f>""</f>
        <v/>
      </c>
      <c r="BW2298" t="s">
        <v>131</v>
      </c>
      <c r="BX2298" t="str">
        <f>""</f>
        <v/>
      </c>
      <c r="BY2298" t="str">
        <f>""</f>
        <v/>
      </c>
      <c r="BZ2298" t="str">
        <f>""</f>
        <v/>
      </c>
      <c r="CA2298" t="str">
        <f>""</f>
        <v/>
      </c>
      <c r="CB2298" t="s">
        <v>131</v>
      </c>
      <c r="CF2298" t="s">
        <v>131</v>
      </c>
      <c r="CH2298" t="str">
        <f>""</f>
        <v/>
      </c>
      <c r="CI2298" t="s">
        <v>131</v>
      </c>
      <c r="CK2298" t="s">
        <v>131</v>
      </c>
      <c r="CL2298" t="str">
        <f>""</f>
        <v/>
      </c>
      <c r="CM2298" t="str">
        <f>""</f>
        <v/>
      </c>
      <c r="CN2298" t="str">
        <f>""</f>
        <v/>
      </c>
      <c r="CO2298" t="str">
        <f>""</f>
        <v/>
      </c>
      <c r="CP2298" t="str">
        <f>"27-3091.00"</f>
        <v>27-3091.00</v>
      </c>
      <c r="CQ2298" t="s">
        <v>7935</v>
      </c>
      <c r="CR2298" t="s">
        <v>583</v>
      </c>
      <c r="CS2298" t="s">
        <v>135</v>
      </c>
      <c r="CT2298" t="s">
        <v>18263</v>
      </c>
      <c r="CU2298" t="s">
        <v>18264</v>
      </c>
      <c r="CW2298" t="s">
        <v>2854</v>
      </c>
      <c r="CX2298" t="s">
        <v>377</v>
      </c>
      <c r="CZ2298" s="3" t="str">
        <f>"02135"</f>
        <v>02135</v>
      </c>
      <c r="DA2298" t="s">
        <v>131</v>
      </c>
      <c r="DB2298" t="str">
        <f>""</f>
        <v/>
      </c>
      <c r="DF2298" t="str">
        <f>""</f>
        <v/>
      </c>
    </row>
    <row r="2299" spans="1:110" ht="15" customHeight="1" x14ac:dyDescent="0.35">
      <c r="A2299" t="s">
        <v>11371</v>
      </c>
      <c r="B2299" t="s">
        <v>138</v>
      </c>
      <c r="C2299" s="1">
        <v>44355</v>
      </c>
      <c r="G2299" s="1">
        <v>44355</v>
      </c>
      <c r="H2299" t="s">
        <v>319</v>
      </c>
      <c r="I2299" t="s">
        <v>5109</v>
      </c>
      <c r="J2299" t="s">
        <v>4392</v>
      </c>
      <c r="L2299" t="s">
        <v>5110</v>
      </c>
      <c r="M2299" t="s">
        <v>5111</v>
      </c>
      <c r="O2299" t="s">
        <v>5112</v>
      </c>
      <c r="P2299" t="s">
        <v>676</v>
      </c>
      <c r="Q2299" s="3">
        <v>50006</v>
      </c>
      <c r="R2299" t="s">
        <v>128</v>
      </c>
      <c r="T2299" s="4">
        <v>16417322770</v>
      </c>
      <c r="V2299" t="s">
        <v>5113</v>
      </c>
      <c r="W2299" t="s">
        <v>5114</v>
      </c>
      <c r="Y2299" t="s">
        <v>5115</v>
      </c>
      <c r="AA2299" t="s">
        <v>5112</v>
      </c>
      <c r="AB2299" t="s">
        <v>605</v>
      </c>
      <c r="AC2299" s="3" t="str">
        <f>"50006"</f>
        <v>50006</v>
      </c>
      <c r="AD2299" t="s">
        <v>128</v>
      </c>
      <c r="AF2299" s="4">
        <v>15158593223</v>
      </c>
      <c r="AH2299" t="str">
        <f>"236220"</f>
        <v>236220</v>
      </c>
      <c r="AI2299" t="s">
        <v>130</v>
      </c>
      <c r="AJ2299" t="s">
        <v>4018</v>
      </c>
      <c r="AK2299" t="s">
        <v>2069</v>
      </c>
      <c r="AM2299" t="s">
        <v>4019</v>
      </c>
      <c r="AO2299" t="s">
        <v>1040</v>
      </c>
      <c r="AP2299" t="s">
        <v>400</v>
      </c>
      <c r="AQ2299" s="5">
        <v>78737</v>
      </c>
      <c r="AR2299" t="s">
        <v>128</v>
      </c>
      <c r="AT2299" s="4">
        <v>15128942128</v>
      </c>
      <c r="AV2299" t="s">
        <v>4020</v>
      </c>
      <c r="AW2299" t="s">
        <v>4021</v>
      </c>
      <c r="AX2299" t="s">
        <v>131</v>
      </c>
      <c r="AY2299" t="s">
        <v>131</v>
      </c>
      <c r="AZ2299" t="s">
        <v>131</v>
      </c>
      <c r="BA2299" t="s">
        <v>131</v>
      </c>
      <c r="BB2299" t="s">
        <v>131</v>
      </c>
      <c r="BC2299" t="s">
        <v>131</v>
      </c>
      <c r="BD2299" t="s">
        <v>131</v>
      </c>
      <c r="BE2299" t="s">
        <v>132</v>
      </c>
      <c r="BH2299" t="s">
        <v>4045</v>
      </c>
      <c r="BI2299" t="s">
        <v>131</v>
      </c>
      <c r="BL2299" t="s">
        <v>167</v>
      </c>
      <c r="BO2299" t="s">
        <v>131</v>
      </c>
      <c r="BP2299" t="s">
        <v>134</v>
      </c>
      <c r="BQ2299" t="s">
        <v>131</v>
      </c>
      <c r="BS2299" t="str">
        <f t="shared" si="135"/>
        <v>N/A</v>
      </c>
      <c r="BT2299" t="s">
        <v>135</v>
      </c>
      <c r="BU2299">
        <v>1</v>
      </c>
      <c r="BV2299" t="str">
        <f>"See F.b.5.a"</f>
        <v>See F.b.5.a</v>
      </c>
      <c r="BW2299" t="s">
        <v>135</v>
      </c>
      <c r="BX2299" t="str">
        <f>""</f>
        <v/>
      </c>
      <c r="BY2299" t="str">
        <f>""</f>
        <v/>
      </c>
      <c r="BZ2299" t="str">
        <f>""</f>
        <v/>
      </c>
      <c r="CA2299" t="s">
        <v>5116</v>
      </c>
      <c r="CB2299" t="s">
        <v>131</v>
      </c>
      <c r="CF2299" t="s">
        <v>131</v>
      </c>
      <c r="CH2299" t="str">
        <f>""</f>
        <v/>
      </c>
      <c r="CI2299" t="s">
        <v>131</v>
      </c>
      <c r="CK2299" t="s">
        <v>131</v>
      </c>
      <c r="CL2299" t="str">
        <f>""</f>
        <v/>
      </c>
      <c r="CM2299" t="str">
        <f>""</f>
        <v/>
      </c>
      <c r="CN2299" t="str">
        <f>""</f>
        <v/>
      </c>
      <c r="CO2299" t="str">
        <f>""</f>
        <v/>
      </c>
      <c r="CP2299" t="str">
        <f>"47-2061.00"</f>
        <v>47-2061.00</v>
      </c>
      <c r="CQ2299" t="s">
        <v>393</v>
      </c>
      <c r="CR2299" t="s">
        <v>5117</v>
      </c>
      <c r="CS2299" t="s">
        <v>135</v>
      </c>
      <c r="CT2299" t="s">
        <v>5118</v>
      </c>
      <c r="CU2299" t="s">
        <v>11372</v>
      </c>
      <c r="CW2299" t="s">
        <v>7602</v>
      </c>
      <c r="CX2299" t="s">
        <v>258</v>
      </c>
      <c r="CZ2299" s="3" t="str">
        <f>"65712"</f>
        <v>65712</v>
      </c>
      <c r="DA2299" t="s">
        <v>135</v>
      </c>
      <c r="DB2299" t="str">
        <f>""</f>
        <v/>
      </c>
      <c r="DF2299" t="str">
        <f>""</f>
        <v/>
      </c>
    </row>
    <row r="2300" spans="1:110" ht="15" customHeight="1" x14ac:dyDescent="0.35">
      <c r="A2300" t="s">
        <v>15786</v>
      </c>
      <c r="B2300" t="s">
        <v>138</v>
      </c>
      <c r="C2300" s="1">
        <v>44355</v>
      </c>
      <c r="G2300" s="1">
        <v>44356</v>
      </c>
      <c r="H2300" t="s">
        <v>319</v>
      </c>
      <c r="I2300" t="s">
        <v>13931</v>
      </c>
      <c r="J2300" t="s">
        <v>9299</v>
      </c>
      <c r="L2300" t="s">
        <v>1105</v>
      </c>
      <c r="M2300" t="s">
        <v>15787</v>
      </c>
      <c r="N2300" t="s">
        <v>15788</v>
      </c>
      <c r="O2300" t="s">
        <v>8448</v>
      </c>
      <c r="P2300" t="s">
        <v>588</v>
      </c>
      <c r="Q2300" s="3">
        <v>23072</v>
      </c>
      <c r="R2300" t="s">
        <v>128</v>
      </c>
      <c r="T2300" s="4">
        <v>18042041709</v>
      </c>
      <c r="V2300" t="s">
        <v>13934</v>
      </c>
      <c r="W2300" t="s">
        <v>13935</v>
      </c>
      <c r="Y2300" t="s">
        <v>15787</v>
      </c>
      <c r="AA2300" t="s">
        <v>8448</v>
      </c>
      <c r="AB2300" t="s">
        <v>306</v>
      </c>
      <c r="AC2300" s="3" t="str">
        <f>"23072"</f>
        <v>23072</v>
      </c>
      <c r="AD2300" t="s">
        <v>128</v>
      </c>
      <c r="AF2300" s="4">
        <v>18042041709</v>
      </c>
      <c r="AH2300" t="str">
        <f>"311710"</f>
        <v>311710</v>
      </c>
      <c r="AI2300" t="s">
        <v>287</v>
      </c>
      <c r="AJ2300" t="s">
        <v>1106</v>
      </c>
      <c r="AK2300" t="s">
        <v>1107</v>
      </c>
      <c r="AL2300" t="s">
        <v>1108</v>
      </c>
      <c r="AM2300" t="s">
        <v>15789</v>
      </c>
      <c r="AN2300" t="s">
        <v>788</v>
      </c>
      <c r="AO2300" t="s">
        <v>1111</v>
      </c>
      <c r="AP2300" t="s">
        <v>306</v>
      </c>
      <c r="AQ2300" s="5">
        <v>24521</v>
      </c>
      <c r="AR2300" t="s">
        <v>128</v>
      </c>
      <c r="AT2300" s="4">
        <v>14349460035</v>
      </c>
      <c r="AV2300" t="s">
        <v>10291</v>
      </c>
      <c r="AW2300" t="s">
        <v>15790</v>
      </c>
      <c r="AX2300" t="s">
        <v>131</v>
      </c>
      <c r="AY2300" t="s">
        <v>131</v>
      </c>
      <c r="AZ2300" t="s">
        <v>131</v>
      </c>
      <c r="BA2300" t="s">
        <v>131</v>
      </c>
      <c r="BB2300" t="s">
        <v>131</v>
      </c>
      <c r="BC2300" t="s">
        <v>131</v>
      </c>
      <c r="BD2300" t="s">
        <v>131</v>
      </c>
      <c r="BE2300" t="s">
        <v>132</v>
      </c>
      <c r="BH2300" t="s">
        <v>13936</v>
      </c>
      <c r="BI2300" t="s">
        <v>131</v>
      </c>
      <c r="BL2300" t="s">
        <v>167</v>
      </c>
      <c r="BO2300" t="s">
        <v>131</v>
      </c>
      <c r="BP2300" t="s">
        <v>134</v>
      </c>
      <c r="BQ2300" t="s">
        <v>131</v>
      </c>
      <c r="BS2300" t="str">
        <f t="shared" si="135"/>
        <v>N/A</v>
      </c>
      <c r="BT2300" t="s">
        <v>131</v>
      </c>
      <c r="BV2300" t="str">
        <f>""</f>
        <v/>
      </c>
      <c r="BW2300" t="s">
        <v>135</v>
      </c>
      <c r="BX2300" t="str">
        <f>""</f>
        <v/>
      </c>
      <c r="BY2300" t="str">
        <f>""</f>
        <v/>
      </c>
      <c r="BZ2300" t="str">
        <f>""</f>
        <v/>
      </c>
      <c r="CA2300" t="str">
        <f>"Lift/carry up to 50 pounds. 
Plants will be in two locations 9725 York Seafood Lane, Hayes, Virginia 23072 and 34256 Wright Road, Atlantic, Virginia 23337. "</f>
        <v xml:space="preserve">Lift/carry up to 50 pounds. 
Plants will be in two locations 9725 York Seafood Lane, Hayes, Virginia 23072 and 34256 Wright Road, Atlantic, Virginia 23337. </v>
      </c>
      <c r="CB2300" t="s">
        <v>131</v>
      </c>
      <c r="CF2300" t="s">
        <v>131</v>
      </c>
      <c r="CH2300" t="str">
        <f>""</f>
        <v/>
      </c>
      <c r="CI2300" t="s">
        <v>131</v>
      </c>
      <c r="CK2300" t="s">
        <v>131</v>
      </c>
      <c r="CL2300" t="str">
        <f>""</f>
        <v/>
      </c>
      <c r="CM2300" t="str">
        <f>""</f>
        <v/>
      </c>
      <c r="CN2300" t="str">
        <f>""</f>
        <v/>
      </c>
      <c r="CO2300" t="str">
        <f>""</f>
        <v/>
      </c>
      <c r="CP2300" t="str">
        <f>"51-3022.00"</f>
        <v>51-3022.00</v>
      </c>
      <c r="CQ2300" t="s">
        <v>1114</v>
      </c>
      <c r="CR2300" t="s">
        <v>1105</v>
      </c>
      <c r="CS2300" t="s">
        <v>135</v>
      </c>
      <c r="CT2300" t="s">
        <v>13937</v>
      </c>
      <c r="CU2300" t="s">
        <v>13938</v>
      </c>
      <c r="CW2300" t="s">
        <v>13939</v>
      </c>
      <c r="CX2300" t="s">
        <v>306</v>
      </c>
      <c r="CZ2300" s="3" t="str">
        <f>"23169"</f>
        <v>23169</v>
      </c>
      <c r="DA2300" t="s">
        <v>135</v>
      </c>
      <c r="DB2300" t="str">
        <f>""</f>
        <v/>
      </c>
      <c r="DF2300" t="str">
        <f>""</f>
        <v/>
      </c>
    </row>
    <row r="2301" spans="1:110" ht="15" customHeight="1" x14ac:dyDescent="0.35">
      <c r="A2301" t="s">
        <v>13930</v>
      </c>
      <c r="B2301" t="s">
        <v>138</v>
      </c>
      <c r="C2301" s="1">
        <v>44355</v>
      </c>
      <c r="G2301" s="1">
        <v>44356</v>
      </c>
      <c r="H2301" t="s">
        <v>319</v>
      </c>
      <c r="I2301" t="s">
        <v>13931</v>
      </c>
      <c r="J2301" t="s">
        <v>9299</v>
      </c>
      <c r="K2301" t="s">
        <v>415</v>
      </c>
      <c r="L2301" t="s">
        <v>1105</v>
      </c>
      <c r="M2301" t="s">
        <v>13932</v>
      </c>
      <c r="N2301" t="s">
        <v>13933</v>
      </c>
      <c r="O2301" t="s">
        <v>8448</v>
      </c>
      <c r="P2301" t="s">
        <v>588</v>
      </c>
      <c r="Q2301" s="3">
        <v>23072</v>
      </c>
      <c r="R2301" t="s">
        <v>128</v>
      </c>
      <c r="T2301" s="4">
        <v>18042041709</v>
      </c>
      <c r="V2301" t="s">
        <v>13934</v>
      </c>
      <c r="W2301" t="s">
        <v>13935</v>
      </c>
      <c r="Y2301" t="s">
        <v>13932</v>
      </c>
      <c r="Z2301" t="s">
        <v>13933</v>
      </c>
      <c r="AA2301" t="s">
        <v>8448</v>
      </c>
      <c r="AB2301" t="s">
        <v>306</v>
      </c>
      <c r="AC2301" s="3" t="str">
        <f>"23072"</f>
        <v>23072</v>
      </c>
      <c r="AD2301" t="s">
        <v>128</v>
      </c>
      <c r="AF2301" s="4">
        <v>18042041709</v>
      </c>
      <c r="AH2301" t="str">
        <f>"1125"</f>
        <v>1125</v>
      </c>
      <c r="AI2301" t="s">
        <v>287</v>
      </c>
      <c r="AJ2301" t="s">
        <v>1106</v>
      </c>
      <c r="AK2301" t="s">
        <v>1107</v>
      </c>
      <c r="AL2301" t="s">
        <v>1108</v>
      </c>
      <c r="AM2301" t="s">
        <v>1109</v>
      </c>
      <c r="AN2301" t="s">
        <v>1110</v>
      </c>
      <c r="AO2301" t="s">
        <v>1111</v>
      </c>
      <c r="AP2301" t="s">
        <v>306</v>
      </c>
      <c r="AQ2301" s="5">
        <v>24521</v>
      </c>
      <c r="AR2301" t="s">
        <v>128</v>
      </c>
      <c r="AS2301" t="s">
        <v>134</v>
      </c>
      <c r="AT2301" s="4">
        <v>14349460035</v>
      </c>
      <c r="AU2301">
        <v>11</v>
      </c>
      <c r="AV2301" t="s">
        <v>1112</v>
      </c>
      <c r="AW2301" t="s">
        <v>1113</v>
      </c>
      <c r="AX2301" t="s">
        <v>131</v>
      </c>
      <c r="AY2301" t="s">
        <v>131</v>
      </c>
      <c r="AZ2301" t="s">
        <v>131</v>
      </c>
      <c r="BA2301" t="s">
        <v>131</v>
      </c>
      <c r="BB2301" t="s">
        <v>131</v>
      </c>
      <c r="BC2301" t="s">
        <v>131</v>
      </c>
      <c r="BD2301" t="s">
        <v>131</v>
      </c>
      <c r="BE2301" t="s">
        <v>132</v>
      </c>
      <c r="BH2301" t="s">
        <v>13936</v>
      </c>
      <c r="BI2301" t="s">
        <v>131</v>
      </c>
      <c r="BL2301" t="s">
        <v>167</v>
      </c>
      <c r="BO2301" t="s">
        <v>131</v>
      </c>
      <c r="BP2301" t="s">
        <v>134</v>
      </c>
      <c r="BQ2301" t="s">
        <v>131</v>
      </c>
      <c r="BS2301" t="str">
        <f t="shared" si="135"/>
        <v>N/A</v>
      </c>
      <c r="BT2301" t="s">
        <v>131</v>
      </c>
      <c r="BV2301" t="str">
        <f>""</f>
        <v/>
      </c>
      <c r="BW2301" t="s">
        <v>135</v>
      </c>
      <c r="BX2301" t="str">
        <f>""</f>
        <v/>
      </c>
      <c r="BY2301" t="str">
        <f>""</f>
        <v/>
      </c>
      <c r="BZ2301" t="str">
        <f>""</f>
        <v/>
      </c>
      <c r="CA2301" t="str">
        <f>"Lift/ carry up to 50 pounds. Plants will be in two locations 9725 York Seafood Lane, Hayes, Virginia 23072 and 34256 Wright Road, Atlantic, Virginia 23337."</f>
        <v>Lift/ carry up to 50 pounds. Plants will be in two locations 9725 York Seafood Lane, Hayes, Virginia 23072 and 34256 Wright Road, Atlantic, Virginia 23337.</v>
      </c>
      <c r="CB2301" t="s">
        <v>131</v>
      </c>
      <c r="CF2301" t="s">
        <v>131</v>
      </c>
      <c r="CH2301" t="str">
        <f>""</f>
        <v/>
      </c>
      <c r="CI2301" t="s">
        <v>131</v>
      </c>
      <c r="CK2301" t="s">
        <v>131</v>
      </c>
      <c r="CL2301" t="str">
        <f>""</f>
        <v/>
      </c>
      <c r="CM2301" t="str">
        <f>""</f>
        <v/>
      </c>
      <c r="CN2301" t="str">
        <f>""</f>
        <v/>
      </c>
      <c r="CO2301" t="str">
        <f>""</f>
        <v/>
      </c>
      <c r="CP2301" t="str">
        <f>"45-2093.00"</f>
        <v>45-2093.00</v>
      </c>
      <c r="CQ2301" t="s">
        <v>5790</v>
      </c>
      <c r="CR2301" t="s">
        <v>13936</v>
      </c>
      <c r="CS2301" t="s">
        <v>135</v>
      </c>
      <c r="CT2301" t="s">
        <v>13937</v>
      </c>
      <c r="CU2301" t="s">
        <v>13938</v>
      </c>
      <c r="CW2301" t="s">
        <v>13939</v>
      </c>
      <c r="CX2301" t="s">
        <v>306</v>
      </c>
      <c r="CZ2301" s="3" t="str">
        <f>"23169"</f>
        <v>23169</v>
      </c>
      <c r="DA2301" t="s">
        <v>135</v>
      </c>
      <c r="DB2301" t="str">
        <f>""</f>
        <v/>
      </c>
      <c r="DF2301" t="str">
        <f>""</f>
        <v/>
      </c>
    </row>
    <row r="2302" spans="1:110" ht="15" customHeight="1" x14ac:dyDescent="0.35">
      <c r="A2302" t="s">
        <v>19276</v>
      </c>
      <c r="B2302" t="s">
        <v>138</v>
      </c>
      <c r="C2302" s="1">
        <v>44356</v>
      </c>
      <c r="G2302" s="1">
        <v>44357</v>
      </c>
      <c r="H2302" t="s">
        <v>319</v>
      </c>
      <c r="I2302" t="s">
        <v>19277</v>
      </c>
      <c r="J2302" t="s">
        <v>618</v>
      </c>
      <c r="L2302" t="s">
        <v>1941</v>
      </c>
      <c r="M2302" t="s">
        <v>12771</v>
      </c>
      <c r="O2302" t="s">
        <v>4408</v>
      </c>
      <c r="P2302" t="s">
        <v>194</v>
      </c>
      <c r="Q2302" s="3">
        <v>34108</v>
      </c>
      <c r="R2302" t="s">
        <v>128</v>
      </c>
      <c r="T2302" s="4">
        <v>15615230296</v>
      </c>
      <c r="V2302" t="s">
        <v>12772</v>
      </c>
      <c r="W2302" t="s">
        <v>12773</v>
      </c>
      <c r="Y2302" t="s">
        <v>12771</v>
      </c>
      <c r="AA2302" t="s">
        <v>4408</v>
      </c>
      <c r="AB2302" t="s">
        <v>195</v>
      </c>
      <c r="AC2302" s="3" t="str">
        <f>"34108"</f>
        <v>34108</v>
      </c>
      <c r="AD2302" t="s">
        <v>128</v>
      </c>
      <c r="AF2302" s="4">
        <v>12395964106</v>
      </c>
      <c r="AH2302" t="str">
        <f>"713910"</f>
        <v>713910</v>
      </c>
      <c r="AI2302" t="s">
        <v>287</v>
      </c>
      <c r="AJ2302" t="s">
        <v>12774</v>
      </c>
      <c r="AK2302" t="s">
        <v>1327</v>
      </c>
      <c r="AM2302" t="s">
        <v>12775</v>
      </c>
      <c r="AN2302" t="s">
        <v>12776</v>
      </c>
      <c r="AO2302" t="s">
        <v>200</v>
      </c>
      <c r="AP2302" t="s">
        <v>195</v>
      </c>
      <c r="AQ2302" s="5">
        <v>33411</v>
      </c>
      <c r="AR2302" t="s">
        <v>128</v>
      </c>
      <c r="AT2302" s="4">
        <v>15615230296</v>
      </c>
      <c r="AV2302" t="s">
        <v>12772</v>
      </c>
      <c r="AW2302" t="s">
        <v>12777</v>
      </c>
      <c r="AX2302" t="s">
        <v>131</v>
      </c>
      <c r="AY2302" t="s">
        <v>131</v>
      </c>
      <c r="AZ2302" t="s">
        <v>131</v>
      </c>
      <c r="BA2302" t="s">
        <v>131</v>
      </c>
      <c r="BB2302" t="s">
        <v>131</v>
      </c>
      <c r="BC2302" t="s">
        <v>131</v>
      </c>
      <c r="BD2302" t="s">
        <v>131</v>
      </c>
      <c r="BE2302" t="s">
        <v>132</v>
      </c>
      <c r="BH2302" t="s">
        <v>1080</v>
      </c>
      <c r="BI2302" t="s">
        <v>131</v>
      </c>
      <c r="BL2302" t="s">
        <v>167</v>
      </c>
      <c r="BO2302" t="s">
        <v>131</v>
      </c>
      <c r="BP2302" t="s">
        <v>134</v>
      </c>
      <c r="BQ2302" t="s">
        <v>131</v>
      </c>
      <c r="BS2302" t="str">
        <f t="shared" si="135"/>
        <v>N/A</v>
      </c>
      <c r="BT2302" t="s">
        <v>135</v>
      </c>
      <c r="BU2302">
        <v>6</v>
      </c>
      <c r="BV2302" t="str">
        <f>"Cook"</f>
        <v>Cook</v>
      </c>
      <c r="BW2302" t="s">
        <v>131</v>
      </c>
      <c r="BX2302" t="str">
        <f>""</f>
        <v/>
      </c>
      <c r="BY2302" t="str">
        <f>""</f>
        <v/>
      </c>
      <c r="BZ2302" t="str">
        <f>""</f>
        <v/>
      </c>
      <c r="CA2302" t="str">
        <f>""</f>
        <v/>
      </c>
      <c r="CB2302" t="s">
        <v>131</v>
      </c>
      <c r="CF2302" t="s">
        <v>131</v>
      </c>
      <c r="CH2302" t="str">
        <f>""</f>
        <v/>
      </c>
      <c r="CI2302" t="s">
        <v>131</v>
      </c>
      <c r="CK2302" t="s">
        <v>131</v>
      </c>
      <c r="CL2302" t="str">
        <f>""</f>
        <v/>
      </c>
      <c r="CM2302" t="str">
        <f>""</f>
        <v/>
      </c>
      <c r="CN2302" t="str">
        <f>""</f>
        <v/>
      </c>
      <c r="CO2302" t="str">
        <f>""</f>
        <v/>
      </c>
      <c r="CP2302" t="str">
        <f>"35-2014.00"</f>
        <v>35-2014.00</v>
      </c>
      <c r="CQ2302" t="s">
        <v>581</v>
      </c>
      <c r="CR2302" t="s">
        <v>4816</v>
      </c>
      <c r="CS2302" t="s">
        <v>131</v>
      </c>
      <c r="CU2302" t="s">
        <v>12771</v>
      </c>
      <c r="CW2302" t="s">
        <v>4408</v>
      </c>
      <c r="CX2302" t="s">
        <v>195</v>
      </c>
      <c r="CZ2302" s="3" t="str">
        <f>"34108"</f>
        <v>34108</v>
      </c>
      <c r="DA2302" t="s">
        <v>131</v>
      </c>
      <c r="DB2302" t="str">
        <f>""</f>
        <v/>
      </c>
      <c r="DF2302" t="str">
        <f>""</f>
        <v/>
      </c>
    </row>
    <row r="2303" spans="1:110" ht="15" customHeight="1" x14ac:dyDescent="0.35">
      <c r="A2303" t="s">
        <v>5692</v>
      </c>
      <c r="B2303" t="s">
        <v>138</v>
      </c>
      <c r="C2303" s="1">
        <v>44357</v>
      </c>
      <c r="G2303" s="1">
        <v>44357</v>
      </c>
      <c r="H2303" t="s">
        <v>319</v>
      </c>
      <c r="I2303" t="s">
        <v>5693</v>
      </c>
      <c r="J2303" t="s">
        <v>1571</v>
      </c>
      <c r="L2303" t="s">
        <v>2076</v>
      </c>
      <c r="M2303" t="s">
        <v>5694</v>
      </c>
      <c r="O2303" t="s">
        <v>5695</v>
      </c>
      <c r="P2303" t="s">
        <v>194</v>
      </c>
      <c r="Q2303" s="3">
        <v>49036</v>
      </c>
      <c r="R2303" t="s">
        <v>128</v>
      </c>
      <c r="T2303" s="4">
        <v>15172782500</v>
      </c>
      <c r="V2303" t="s">
        <v>5696</v>
      </c>
      <c r="W2303" t="s">
        <v>5697</v>
      </c>
      <c r="Y2303" t="s">
        <v>5698</v>
      </c>
      <c r="AA2303" t="s">
        <v>5699</v>
      </c>
      <c r="AB2303" t="s">
        <v>312</v>
      </c>
      <c r="AC2303" s="3" t="str">
        <f>"19440"</f>
        <v>19440</v>
      </c>
      <c r="AD2303" t="s">
        <v>128</v>
      </c>
      <c r="AF2303" s="4">
        <v>15172782500</v>
      </c>
      <c r="AH2303" t="str">
        <f>"311611"</f>
        <v>311611</v>
      </c>
      <c r="AI2303" t="s">
        <v>287</v>
      </c>
      <c r="AJ2303" t="s">
        <v>5700</v>
      </c>
      <c r="AK2303" t="s">
        <v>5701</v>
      </c>
      <c r="AM2303" t="s">
        <v>5702</v>
      </c>
      <c r="AO2303" t="s">
        <v>5415</v>
      </c>
      <c r="AP2303" t="s">
        <v>195</v>
      </c>
      <c r="AQ2303" s="5">
        <v>33178</v>
      </c>
      <c r="AR2303" t="s">
        <v>128</v>
      </c>
      <c r="AT2303" s="4">
        <v>13054568828</v>
      </c>
      <c r="AV2303" t="s">
        <v>5696</v>
      </c>
      <c r="AW2303" t="s">
        <v>5703</v>
      </c>
      <c r="AX2303" t="s">
        <v>131</v>
      </c>
      <c r="AY2303" t="s">
        <v>131</v>
      </c>
      <c r="AZ2303" t="s">
        <v>131</v>
      </c>
      <c r="BA2303" t="s">
        <v>131</v>
      </c>
      <c r="BB2303" t="s">
        <v>131</v>
      </c>
      <c r="BC2303" t="s">
        <v>131</v>
      </c>
      <c r="BD2303" t="s">
        <v>131</v>
      </c>
      <c r="BE2303" t="s">
        <v>132</v>
      </c>
      <c r="BH2303" t="s">
        <v>5704</v>
      </c>
      <c r="BI2303" t="s">
        <v>131</v>
      </c>
      <c r="BL2303" t="s">
        <v>167</v>
      </c>
      <c r="BO2303" t="s">
        <v>131</v>
      </c>
      <c r="BP2303" t="s">
        <v>134</v>
      </c>
      <c r="BQ2303" t="s">
        <v>131</v>
      </c>
      <c r="BS2303" t="str">
        <f t="shared" si="135"/>
        <v>N/A</v>
      </c>
      <c r="BT2303" t="s">
        <v>131</v>
      </c>
      <c r="BV2303" t="str">
        <f>""</f>
        <v/>
      </c>
      <c r="BW2303" t="s">
        <v>131</v>
      </c>
      <c r="BX2303" t="str">
        <f>""</f>
        <v/>
      </c>
      <c r="BY2303" t="str">
        <f>""</f>
        <v/>
      </c>
      <c r="BZ2303" t="str">
        <f>""</f>
        <v/>
      </c>
      <c r="CA2303" t="str">
        <f>""</f>
        <v/>
      </c>
      <c r="CB2303" t="s">
        <v>131</v>
      </c>
      <c r="CF2303" t="s">
        <v>131</v>
      </c>
      <c r="CH2303" t="str">
        <f>""</f>
        <v/>
      </c>
      <c r="CI2303" t="s">
        <v>131</v>
      </c>
      <c r="CK2303" t="s">
        <v>131</v>
      </c>
      <c r="CL2303" t="str">
        <f>""</f>
        <v/>
      </c>
      <c r="CM2303" t="str">
        <f>""</f>
        <v/>
      </c>
      <c r="CN2303" t="str">
        <f>""</f>
        <v/>
      </c>
      <c r="CO2303" t="str">
        <f>""</f>
        <v/>
      </c>
      <c r="CP2303" t="str">
        <f>"51-3023.00"</f>
        <v>51-3023.00</v>
      </c>
      <c r="CQ2303" t="s">
        <v>5705</v>
      </c>
      <c r="CS2303" t="s">
        <v>131</v>
      </c>
      <c r="CU2303" t="s">
        <v>5706</v>
      </c>
      <c r="CW2303" t="s">
        <v>5695</v>
      </c>
      <c r="CX2303" t="s">
        <v>511</v>
      </c>
      <c r="CZ2303" s="3" t="str">
        <f>"49036"</f>
        <v>49036</v>
      </c>
      <c r="DA2303" t="s">
        <v>131</v>
      </c>
      <c r="DB2303" t="str">
        <f>""</f>
        <v/>
      </c>
      <c r="DF2303" t="str">
        <f>""</f>
        <v/>
      </c>
    </row>
    <row r="2304" spans="1:110" ht="15" customHeight="1" x14ac:dyDescent="0.35">
      <c r="A2304" t="s">
        <v>10008</v>
      </c>
      <c r="B2304" t="s">
        <v>138</v>
      </c>
      <c r="C2304" s="1">
        <v>44359</v>
      </c>
      <c r="G2304" s="1">
        <v>44359</v>
      </c>
      <c r="H2304" t="s">
        <v>319</v>
      </c>
      <c r="I2304" t="s">
        <v>10009</v>
      </c>
      <c r="J2304" t="s">
        <v>10010</v>
      </c>
      <c r="L2304" t="s">
        <v>7755</v>
      </c>
      <c r="M2304" t="s">
        <v>10011</v>
      </c>
      <c r="N2304" t="s">
        <v>10012</v>
      </c>
      <c r="O2304" t="s">
        <v>220</v>
      </c>
      <c r="P2304" t="s">
        <v>178</v>
      </c>
      <c r="Q2304" s="3">
        <v>94114</v>
      </c>
      <c r="R2304" t="s">
        <v>128</v>
      </c>
      <c r="T2304" s="4">
        <v>16504443200</v>
      </c>
      <c r="V2304" t="s">
        <v>10013</v>
      </c>
      <c r="W2304" t="s">
        <v>10014</v>
      </c>
      <c r="Y2304" t="s">
        <v>10015</v>
      </c>
      <c r="AA2304" t="s">
        <v>10016</v>
      </c>
      <c r="AB2304" t="s">
        <v>172</v>
      </c>
      <c r="AC2304" s="3" t="str">
        <f>"94027"</f>
        <v>94027</v>
      </c>
      <c r="AD2304" t="s">
        <v>128</v>
      </c>
      <c r="AF2304" s="4">
        <v>16503250196</v>
      </c>
      <c r="AH2304" t="str">
        <f>"71121"</f>
        <v>71121</v>
      </c>
      <c r="AI2304" t="s">
        <v>130</v>
      </c>
      <c r="AJ2304" t="s">
        <v>5545</v>
      </c>
      <c r="AK2304" t="s">
        <v>348</v>
      </c>
      <c r="AL2304" t="s">
        <v>5546</v>
      </c>
      <c r="AM2304" t="s">
        <v>5547</v>
      </c>
      <c r="AN2304" t="s">
        <v>788</v>
      </c>
      <c r="AO2304" t="s">
        <v>5548</v>
      </c>
      <c r="AP2304" t="s">
        <v>172</v>
      </c>
      <c r="AQ2304" s="5">
        <v>92008</v>
      </c>
      <c r="AR2304" t="s">
        <v>128</v>
      </c>
      <c r="AT2304" s="4">
        <v>17609185584</v>
      </c>
      <c r="AV2304" t="s">
        <v>5549</v>
      </c>
      <c r="AW2304" t="s">
        <v>5550</v>
      </c>
      <c r="AX2304" t="s">
        <v>131</v>
      </c>
      <c r="AY2304" t="s">
        <v>131</v>
      </c>
      <c r="AZ2304" t="s">
        <v>131</v>
      </c>
      <c r="BA2304" t="s">
        <v>131</v>
      </c>
      <c r="BB2304" t="s">
        <v>131</v>
      </c>
      <c r="BC2304" t="s">
        <v>131</v>
      </c>
      <c r="BD2304" t="s">
        <v>131</v>
      </c>
      <c r="BE2304" t="s">
        <v>132</v>
      </c>
      <c r="BH2304" t="s">
        <v>5551</v>
      </c>
      <c r="BI2304" t="s">
        <v>131</v>
      </c>
      <c r="BL2304" t="s">
        <v>167</v>
      </c>
      <c r="BO2304" t="s">
        <v>131</v>
      </c>
      <c r="BP2304" t="s">
        <v>134</v>
      </c>
      <c r="BQ2304" t="s">
        <v>131</v>
      </c>
      <c r="BS2304" t="str">
        <f t="shared" si="135"/>
        <v>N/A</v>
      </c>
      <c r="BT2304" t="s">
        <v>135</v>
      </c>
      <c r="BU2304">
        <v>1</v>
      </c>
      <c r="BV2304" t="str">
        <f>"Horse Show Groom"</f>
        <v>Horse Show Groom</v>
      </c>
      <c r="BW2304" t="s">
        <v>135</v>
      </c>
      <c r="BX2304" t="str">
        <f>""</f>
        <v/>
      </c>
      <c r="BY2304" t="str">
        <f>""</f>
        <v/>
      </c>
      <c r="BZ2304" t="str">
        <f>""</f>
        <v/>
      </c>
      <c r="CA2304" t="str">
        <f>"Travel and transportation is a business necessity and requirement."</f>
        <v>Travel and transportation is a business necessity and requirement.</v>
      </c>
      <c r="CB2304" t="s">
        <v>131</v>
      </c>
      <c r="CF2304" t="s">
        <v>131</v>
      </c>
      <c r="CH2304" t="str">
        <f>""</f>
        <v/>
      </c>
      <c r="CI2304" t="s">
        <v>131</v>
      </c>
      <c r="CK2304" t="s">
        <v>131</v>
      </c>
      <c r="CL2304" t="str">
        <f>""</f>
        <v/>
      </c>
      <c r="CM2304" t="str">
        <f>""</f>
        <v/>
      </c>
      <c r="CN2304" t="str">
        <f>""</f>
        <v/>
      </c>
      <c r="CO2304" t="str">
        <f>""</f>
        <v/>
      </c>
      <c r="CP2304" t="str">
        <f>"39-2021.00"</f>
        <v>39-2021.00</v>
      </c>
      <c r="CQ2304" t="s">
        <v>4482</v>
      </c>
      <c r="CR2304" t="s">
        <v>5666</v>
      </c>
      <c r="CS2304" t="s">
        <v>135</v>
      </c>
      <c r="CT2304" t="s">
        <v>5667</v>
      </c>
      <c r="CU2304" t="s">
        <v>5668</v>
      </c>
      <c r="CW2304" t="s">
        <v>5669</v>
      </c>
      <c r="CX2304" t="s">
        <v>172</v>
      </c>
      <c r="CZ2304" s="3" t="str">
        <f>"95683"</f>
        <v>95683</v>
      </c>
      <c r="DA2304" t="s">
        <v>135</v>
      </c>
      <c r="DB2304" t="str">
        <f>""</f>
        <v/>
      </c>
      <c r="DF2304" t="str">
        <f>""</f>
        <v/>
      </c>
    </row>
    <row r="2305" spans="1:110" ht="15" customHeight="1" x14ac:dyDescent="0.35">
      <c r="A2305" t="s">
        <v>5969</v>
      </c>
      <c r="B2305" t="s">
        <v>138</v>
      </c>
      <c r="C2305" s="1">
        <v>44361</v>
      </c>
      <c r="G2305" s="1">
        <v>44361</v>
      </c>
      <c r="H2305" t="s">
        <v>319</v>
      </c>
      <c r="I2305" t="s">
        <v>5970</v>
      </c>
      <c r="J2305" t="s">
        <v>798</v>
      </c>
      <c r="L2305" t="s">
        <v>832</v>
      </c>
      <c r="M2305" t="s">
        <v>5971</v>
      </c>
      <c r="O2305" t="s">
        <v>5972</v>
      </c>
      <c r="P2305" t="s">
        <v>311</v>
      </c>
      <c r="Q2305" s="3">
        <v>15110</v>
      </c>
      <c r="R2305" t="s">
        <v>128</v>
      </c>
      <c r="T2305" s="4">
        <v>1412948037</v>
      </c>
      <c r="U2305">
        <v>177</v>
      </c>
      <c r="V2305" t="s">
        <v>5973</v>
      </c>
      <c r="W2305" t="s">
        <v>5974</v>
      </c>
      <c r="Y2305" t="s">
        <v>5971</v>
      </c>
      <c r="AA2305" t="s">
        <v>5975</v>
      </c>
      <c r="AB2305" t="s">
        <v>643</v>
      </c>
      <c r="AC2305" s="3" t="str">
        <f>"31794"</f>
        <v>31794</v>
      </c>
      <c r="AD2305" t="s">
        <v>128</v>
      </c>
      <c r="AF2305" s="4">
        <v>14129481037</v>
      </c>
      <c r="AG2305">
        <v>177</v>
      </c>
      <c r="AH2305" t="str">
        <f>"33999"</f>
        <v>33999</v>
      </c>
      <c r="AI2305" t="s">
        <v>130</v>
      </c>
      <c r="AJ2305" t="s">
        <v>5976</v>
      </c>
      <c r="AK2305" t="s">
        <v>5977</v>
      </c>
      <c r="AM2305" t="s">
        <v>5978</v>
      </c>
      <c r="AO2305" t="s">
        <v>5979</v>
      </c>
      <c r="AP2305" t="s">
        <v>400</v>
      </c>
      <c r="AQ2305" s="5">
        <v>79911</v>
      </c>
      <c r="AR2305" t="s">
        <v>128</v>
      </c>
      <c r="AT2305" s="4">
        <v>12403815229</v>
      </c>
      <c r="AV2305" t="s">
        <v>5980</v>
      </c>
      <c r="AW2305" t="s">
        <v>5981</v>
      </c>
      <c r="AX2305" t="s">
        <v>131</v>
      </c>
      <c r="AY2305" t="s">
        <v>131</v>
      </c>
      <c r="AZ2305" t="s">
        <v>131</v>
      </c>
      <c r="BA2305" t="s">
        <v>131</v>
      </c>
      <c r="BB2305" t="s">
        <v>131</v>
      </c>
      <c r="BC2305" t="s">
        <v>131</v>
      </c>
      <c r="BD2305" t="s">
        <v>131</v>
      </c>
      <c r="BE2305" t="s">
        <v>132</v>
      </c>
      <c r="BH2305" t="s">
        <v>5982</v>
      </c>
      <c r="BI2305" t="s">
        <v>131</v>
      </c>
      <c r="BL2305" t="s">
        <v>167</v>
      </c>
      <c r="BO2305" t="s">
        <v>131</v>
      </c>
      <c r="BP2305" t="s">
        <v>134</v>
      </c>
      <c r="BQ2305" t="s">
        <v>131</v>
      </c>
      <c r="BS2305" t="str">
        <f t="shared" si="135"/>
        <v>N/A</v>
      </c>
      <c r="BT2305" t="s">
        <v>131</v>
      </c>
      <c r="BV2305" t="str">
        <f>""</f>
        <v/>
      </c>
      <c r="BW2305" t="s">
        <v>135</v>
      </c>
      <c r="BX2305" t="str">
        <f>""</f>
        <v/>
      </c>
      <c r="BY2305" t="str">
        <f>""</f>
        <v/>
      </c>
      <c r="BZ2305" t="str">
        <f>""</f>
        <v/>
      </c>
      <c r="CA2305" t="str">
        <f>"Must be able to operate a pallet jack
Possess basic math skills 
Ability to occasionally carry, push or pull objects weighting up to and including 50 pounds.
Able to ambulate or stand for a full shift (12 hours)
"</f>
        <v xml:space="preserve">Must be able to operate a pallet jack
Possess basic math skills 
Ability to occasionally carry, push or pull objects weighting up to and including 50 pounds.
Able to ambulate or stand for a full shift (12 hours)
</v>
      </c>
      <c r="CB2305" t="s">
        <v>131</v>
      </c>
      <c r="CF2305" t="s">
        <v>131</v>
      </c>
      <c r="CH2305" t="str">
        <f>""</f>
        <v/>
      </c>
      <c r="CI2305" t="s">
        <v>131</v>
      </c>
      <c r="CK2305" t="s">
        <v>131</v>
      </c>
      <c r="CL2305" t="str">
        <f>""</f>
        <v/>
      </c>
      <c r="CM2305" t="str">
        <f>""</f>
        <v/>
      </c>
      <c r="CN2305" t="str">
        <f>""</f>
        <v/>
      </c>
      <c r="CO2305" t="str">
        <f>""</f>
        <v/>
      </c>
      <c r="CP2305" t="str">
        <f>"51-6031.00"</f>
        <v>51-6031.00</v>
      </c>
      <c r="CQ2305" t="s">
        <v>1339</v>
      </c>
      <c r="CR2305" t="s">
        <v>5983</v>
      </c>
      <c r="CS2305" t="s">
        <v>131</v>
      </c>
      <c r="CU2305" t="s">
        <v>5984</v>
      </c>
      <c r="CW2305" t="s">
        <v>5975</v>
      </c>
      <c r="CX2305" t="s">
        <v>643</v>
      </c>
      <c r="CZ2305" s="3" t="str">
        <f>"31794"</f>
        <v>31794</v>
      </c>
      <c r="DA2305" t="s">
        <v>131</v>
      </c>
      <c r="DB2305" t="str">
        <f>""</f>
        <v/>
      </c>
      <c r="DF2305" t="str">
        <f>""</f>
        <v/>
      </c>
    </row>
    <row r="2306" spans="1:110" ht="15" customHeight="1" x14ac:dyDescent="0.35">
      <c r="A2306" t="s">
        <v>18517</v>
      </c>
      <c r="B2306" t="s">
        <v>138</v>
      </c>
      <c r="C2306" s="1">
        <v>44363</v>
      </c>
      <c r="G2306" s="1">
        <v>44363</v>
      </c>
      <c r="H2306" t="s">
        <v>319</v>
      </c>
      <c r="I2306" t="s">
        <v>9627</v>
      </c>
      <c r="J2306" t="s">
        <v>9628</v>
      </c>
      <c r="L2306" t="s">
        <v>349</v>
      </c>
      <c r="M2306" t="s">
        <v>9632</v>
      </c>
      <c r="N2306" t="s">
        <v>619</v>
      </c>
      <c r="O2306" t="s">
        <v>2665</v>
      </c>
      <c r="P2306" t="s">
        <v>412</v>
      </c>
      <c r="Q2306" s="3">
        <v>75006</v>
      </c>
      <c r="R2306" t="s">
        <v>128</v>
      </c>
      <c r="T2306" s="4">
        <v>19724163660</v>
      </c>
      <c r="V2306" t="s">
        <v>134</v>
      </c>
      <c r="W2306" t="s">
        <v>9630</v>
      </c>
      <c r="X2306" t="s">
        <v>9631</v>
      </c>
      <c r="Y2306" t="s">
        <v>18518</v>
      </c>
      <c r="Z2306" t="s">
        <v>619</v>
      </c>
      <c r="AA2306" t="s">
        <v>2665</v>
      </c>
      <c r="AB2306" t="s">
        <v>400</v>
      </c>
      <c r="AC2306" s="3" t="str">
        <f>"75006"</f>
        <v>75006</v>
      </c>
      <c r="AD2306" t="s">
        <v>128</v>
      </c>
      <c r="AF2306" s="4">
        <v>19724163660</v>
      </c>
      <c r="AH2306" t="str">
        <f>"31181"</f>
        <v>31181</v>
      </c>
      <c r="AI2306" t="s">
        <v>287</v>
      </c>
      <c r="AJ2306" t="s">
        <v>414</v>
      </c>
      <c r="AK2306" t="s">
        <v>301</v>
      </c>
      <c r="AL2306" t="s">
        <v>415</v>
      </c>
      <c r="AM2306" t="s">
        <v>416</v>
      </c>
      <c r="AN2306" t="s">
        <v>417</v>
      </c>
      <c r="AO2306" t="s">
        <v>399</v>
      </c>
      <c r="AP2306" t="s">
        <v>400</v>
      </c>
      <c r="AQ2306" s="5">
        <v>75231</v>
      </c>
      <c r="AR2306" t="s">
        <v>128</v>
      </c>
      <c r="AT2306" s="4">
        <v>12145265665</v>
      </c>
      <c r="AV2306" t="s">
        <v>418</v>
      </c>
      <c r="AW2306" t="s">
        <v>419</v>
      </c>
      <c r="AX2306" t="s">
        <v>131</v>
      </c>
      <c r="AY2306" t="s">
        <v>131</v>
      </c>
      <c r="AZ2306" t="s">
        <v>131</v>
      </c>
      <c r="BA2306" t="s">
        <v>131</v>
      </c>
      <c r="BB2306" t="s">
        <v>131</v>
      </c>
      <c r="BC2306" t="s">
        <v>131</v>
      </c>
      <c r="BD2306" t="s">
        <v>131</v>
      </c>
      <c r="BE2306" t="s">
        <v>132</v>
      </c>
      <c r="BH2306" t="s">
        <v>14875</v>
      </c>
      <c r="BI2306" t="s">
        <v>131</v>
      </c>
      <c r="BL2306" t="s">
        <v>167</v>
      </c>
      <c r="BO2306" t="s">
        <v>131</v>
      </c>
      <c r="BP2306" t="s">
        <v>134</v>
      </c>
      <c r="BQ2306" t="s">
        <v>131</v>
      </c>
      <c r="BS2306" t="str">
        <f t="shared" si="135"/>
        <v>N/A</v>
      </c>
      <c r="BT2306" t="s">
        <v>131</v>
      </c>
      <c r="BV2306" t="str">
        <f>""</f>
        <v/>
      </c>
      <c r="BW2306" t="s">
        <v>135</v>
      </c>
      <c r="BX2306" t="str">
        <f>""</f>
        <v/>
      </c>
      <c r="BY2306" t="str">
        <f>""</f>
        <v/>
      </c>
      <c r="BZ2306" t="str">
        <f>""</f>
        <v/>
      </c>
      <c r="CA2306" s="2" t="s">
        <v>18519</v>
      </c>
      <c r="CB2306" t="s">
        <v>131</v>
      </c>
      <c r="CF2306" t="s">
        <v>131</v>
      </c>
      <c r="CH2306" t="str">
        <f>""</f>
        <v/>
      </c>
      <c r="CI2306" t="s">
        <v>131</v>
      </c>
      <c r="CK2306" t="s">
        <v>131</v>
      </c>
      <c r="CL2306" t="str">
        <f>""</f>
        <v/>
      </c>
      <c r="CM2306" t="str">
        <f>""</f>
        <v/>
      </c>
      <c r="CN2306" t="str">
        <f>""</f>
        <v/>
      </c>
      <c r="CO2306" t="str">
        <f>""</f>
        <v/>
      </c>
      <c r="CP2306" t="str">
        <f>"51-9198.00"</f>
        <v>51-9198.00</v>
      </c>
      <c r="CQ2306" t="s">
        <v>2685</v>
      </c>
      <c r="CS2306" t="s">
        <v>131</v>
      </c>
      <c r="CU2306" t="s">
        <v>18518</v>
      </c>
      <c r="CV2306" t="s">
        <v>619</v>
      </c>
      <c r="CW2306" t="s">
        <v>2665</v>
      </c>
      <c r="CX2306" t="s">
        <v>400</v>
      </c>
      <c r="CZ2306" s="3" t="str">
        <f>"75006"</f>
        <v>75006</v>
      </c>
      <c r="DA2306" t="s">
        <v>131</v>
      </c>
      <c r="DB2306" t="str">
        <f>""</f>
        <v/>
      </c>
      <c r="DF2306" t="str">
        <f>""</f>
        <v/>
      </c>
    </row>
    <row r="2307" spans="1:110" ht="15" customHeight="1" x14ac:dyDescent="0.35">
      <c r="A2307" t="s">
        <v>16109</v>
      </c>
      <c r="B2307" t="s">
        <v>138</v>
      </c>
      <c r="C2307" s="1">
        <v>44365</v>
      </c>
      <c r="G2307" s="1">
        <v>44365</v>
      </c>
      <c r="H2307" t="s">
        <v>319</v>
      </c>
      <c r="I2307" t="s">
        <v>11951</v>
      </c>
      <c r="J2307" t="s">
        <v>645</v>
      </c>
      <c r="L2307" t="s">
        <v>361</v>
      </c>
      <c r="M2307" t="s">
        <v>11952</v>
      </c>
      <c r="O2307" t="s">
        <v>5889</v>
      </c>
      <c r="P2307" t="s">
        <v>2545</v>
      </c>
      <c r="Q2307" s="3">
        <v>5672</v>
      </c>
      <c r="R2307" t="s">
        <v>128</v>
      </c>
      <c r="T2307" s="4">
        <v>18027604701</v>
      </c>
      <c r="V2307" t="s">
        <v>11953</v>
      </c>
      <c r="W2307" t="s">
        <v>11954</v>
      </c>
      <c r="X2307" t="s">
        <v>11955</v>
      </c>
      <c r="Y2307" t="s">
        <v>11952</v>
      </c>
      <c r="AA2307" t="s">
        <v>5889</v>
      </c>
      <c r="AB2307" t="s">
        <v>2549</v>
      </c>
      <c r="AC2307" s="3" t="str">
        <f>"05672"</f>
        <v>05672</v>
      </c>
      <c r="AD2307" t="s">
        <v>128</v>
      </c>
      <c r="AF2307" s="4">
        <v>18027604701</v>
      </c>
      <c r="AG2307">
        <v>0</v>
      </c>
      <c r="AH2307" t="str">
        <f>"72111"</f>
        <v>72111</v>
      </c>
      <c r="AI2307" t="s">
        <v>130</v>
      </c>
      <c r="AJ2307" t="s">
        <v>5341</v>
      </c>
      <c r="AK2307" t="s">
        <v>1274</v>
      </c>
      <c r="AL2307" t="s">
        <v>5342</v>
      </c>
      <c r="AM2307" t="s">
        <v>5343</v>
      </c>
      <c r="AN2307" t="s">
        <v>788</v>
      </c>
      <c r="AO2307" t="s">
        <v>1282</v>
      </c>
      <c r="AP2307" t="s">
        <v>172</v>
      </c>
      <c r="AQ2307" s="5">
        <v>91361</v>
      </c>
      <c r="AR2307" t="s">
        <v>128</v>
      </c>
      <c r="AS2307" t="s">
        <v>134</v>
      </c>
      <c r="AT2307" s="4">
        <v>18052611393</v>
      </c>
      <c r="AV2307" t="s">
        <v>5344</v>
      </c>
      <c r="AW2307" t="s">
        <v>5345</v>
      </c>
      <c r="AX2307" t="s">
        <v>131</v>
      </c>
      <c r="AY2307" t="s">
        <v>131</v>
      </c>
      <c r="AZ2307" t="s">
        <v>131</v>
      </c>
      <c r="BA2307" t="s">
        <v>131</v>
      </c>
      <c r="BB2307" t="s">
        <v>131</v>
      </c>
      <c r="BC2307" t="s">
        <v>131</v>
      </c>
      <c r="BD2307" t="s">
        <v>131</v>
      </c>
      <c r="BE2307" t="s">
        <v>132</v>
      </c>
      <c r="BH2307" t="s">
        <v>1213</v>
      </c>
      <c r="BI2307" t="s">
        <v>131</v>
      </c>
      <c r="BL2307" t="s">
        <v>167</v>
      </c>
      <c r="BO2307" t="s">
        <v>131</v>
      </c>
      <c r="BP2307" t="s">
        <v>134</v>
      </c>
      <c r="BQ2307" t="s">
        <v>131</v>
      </c>
      <c r="BS2307" t="str">
        <f t="shared" si="135"/>
        <v>N/A</v>
      </c>
      <c r="BT2307" t="s">
        <v>131</v>
      </c>
      <c r="BV2307" t="str">
        <f>""</f>
        <v/>
      </c>
      <c r="BW2307" t="s">
        <v>135</v>
      </c>
      <c r="BX2307" t="str">
        <f>""</f>
        <v/>
      </c>
      <c r="BY2307" t="str">
        <f>""</f>
        <v/>
      </c>
      <c r="BZ2307" t="str">
        <f>""</f>
        <v/>
      </c>
      <c r="CA2307" t="str">
        <f>"Will require pre-hire criminal background check."</f>
        <v>Will require pre-hire criminal background check.</v>
      </c>
      <c r="CB2307" t="s">
        <v>131</v>
      </c>
      <c r="CF2307" t="s">
        <v>131</v>
      </c>
      <c r="CH2307" t="str">
        <f>""</f>
        <v/>
      </c>
      <c r="CI2307" t="s">
        <v>131</v>
      </c>
      <c r="CK2307" t="s">
        <v>131</v>
      </c>
      <c r="CL2307" t="str">
        <f>""</f>
        <v/>
      </c>
      <c r="CM2307" t="str">
        <f>""</f>
        <v/>
      </c>
      <c r="CN2307" t="str">
        <f>""</f>
        <v/>
      </c>
      <c r="CO2307" t="str">
        <f>""</f>
        <v/>
      </c>
      <c r="CP2307" t="str">
        <f>"35-3031.00"</f>
        <v>35-3031.00</v>
      </c>
      <c r="CQ2307" t="s">
        <v>1214</v>
      </c>
      <c r="CR2307" t="s">
        <v>1213</v>
      </c>
      <c r="CS2307" t="s">
        <v>131</v>
      </c>
      <c r="CU2307" t="s">
        <v>11952</v>
      </c>
      <c r="CW2307" t="s">
        <v>5889</v>
      </c>
      <c r="CX2307" t="s">
        <v>2549</v>
      </c>
      <c r="CZ2307" s="3" t="str">
        <f>"05672"</f>
        <v>05672</v>
      </c>
      <c r="DA2307" t="s">
        <v>131</v>
      </c>
      <c r="DB2307" t="str">
        <f>""</f>
        <v/>
      </c>
      <c r="DF2307" t="str">
        <f>""</f>
        <v/>
      </c>
    </row>
    <row r="2308" spans="1:110" ht="15" customHeight="1" x14ac:dyDescent="0.35">
      <c r="A2308" t="s">
        <v>19581</v>
      </c>
      <c r="B2308" t="s">
        <v>138</v>
      </c>
      <c r="C2308" s="1">
        <v>44365</v>
      </c>
      <c r="G2308" s="1">
        <v>44368</v>
      </c>
      <c r="H2308" t="s">
        <v>319</v>
      </c>
      <c r="I2308" t="s">
        <v>19582</v>
      </c>
      <c r="J2308" t="s">
        <v>19217</v>
      </c>
      <c r="K2308" t="s">
        <v>134</v>
      </c>
      <c r="L2308" t="s">
        <v>223</v>
      </c>
      <c r="M2308" t="s">
        <v>19583</v>
      </c>
      <c r="O2308" t="s">
        <v>19584</v>
      </c>
      <c r="P2308" t="s">
        <v>818</v>
      </c>
      <c r="Q2308" s="3">
        <v>30736</v>
      </c>
      <c r="R2308" t="s">
        <v>128</v>
      </c>
      <c r="T2308" s="4">
        <v>14235670906</v>
      </c>
      <c r="V2308" t="s">
        <v>19585</v>
      </c>
      <c r="W2308" t="s">
        <v>19346</v>
      </c>
      <c r="Y2308" t="s">
        <v>19345</v>
      </c>
      <c r="AA2308" t="s">
        <v>11057</v>
      </c>
      <c r="AB2308" t="s">
        <v>643</v>
      </c>
      <c r="AC2308" s="3" t="str">
        <f>"30736"</f>
        <v>30736</v>
      </c>
      <c r="AD2308" t="s">
        <v>128</v>
      </c>
      <c r="AF2308" s="4">
        <v>14235670906</v>
      </c>
      <c r="AH2308" t="str">
        <f>"23816"</f>
        <v>23816</v>
      </c>
      <c r="AI2308" t="s">
        <v>287</v>
      </c>
      <c r="AJ2308" t="s">
        <v>9944</v>
      </c>
      <c r="AK2308" t="s">
        <v>9945</v>
      </c>
      <c r="AL2308" t="s">
        <v>355</v>
      </c>
      <c r="AM2308" t="s">
        <v>2048</v>
      </c>
      <c r="AN2308" t="s">
        <v>9946</v>
      </c>
      <c r="AO2308" t="s">
        <v>9947</v>
      </c>
      <c r="AP2308" t="s">
        <v>1243</v>
      </c>
      <c r="AQ2308" s="5">
        <v>83814</v>
      </c>
      <c r="AR2308" t="s">
        <v>128</v>
      </c>
      <c r="AT2308" s="4">
        <v>12087772654</v>
      </c>
      <c r="AV2308" t="s">
        <v>9942</v>
      </c>
      <c r="AW2308" t="s">
        <v>4715</v>
      </c>
      <c r="AX2308" t="s">
        <v>131</v>
      </c>
      <c r="AY2308" t="s">
        <v>131</v>
      </c>
      <c r="AZ2308" t="s">
        <v>131</v>
      </c>
      <c r="BA2308" t="s">
        <v>131</v>
      </c>
      <c r="BB2308" t="s">
        <v>131</v>
      </c>
      <c r="BC2308" t="s">
        <v>131</v>
      </c>
      <c r="BD2308" t="s">
        <v>131</v>
      </c>
      <c r="BE2308" t="s">
        <v>132</v>
      </c>
      <c r="BH2308" t="s">
        <v>14336</v>
      </c>
      <c r="BI2308" t="s">
        <v>131</v>
      </c>
      <c r="BL2308" t="s">
        <v>167</v>
      </c>
      <c r="BO2308" t="s">
        <v>131</v>
      </c>
      <c r="BP2308" t="s">
        <v>134</v>
      </c>
      <c r="BQ2308" t="s">
        <v>131</v>
      </c>
      <c r="BS2308" t="str">
        <f t="shared" si="135"/>
        <v>N/A</v>
      </c>
      <c r="BT2308" t="s">
        <v>131</v>
      </c>
      <c r="BV2308" t="str">
        <f>""</f>
        <v/>
      </c>
      <c r="BW2308" t="s">
        <v>135</v>
      </c>
      <c r="BX2308" t="str">
        <f>""</f>
        <v/>
      </c>
      <c r="BY2308" t="str">
        <f>""</f>
        <v/>
      </c>
      <c r="BZ2308" t="str">
        <f>""</f>
        <v/>
      </c>
      <c r="CA2308" t="s">
        <v>19347</v>
      </c>
      <c r="CB2308" t="s">
        <v>131</v>
      </c>
      <c r="CF2308" t="s">
        <v>131</v>
      </c>
      <c r="CH2308" t="str">
        <f>""</f>
        <v/>
      </c>
      <c r="CI2308" t="s">
        <v>131</v>
      </c>
      <c r="CK2308" t="s">
        <v>131</v>
      </c>
      <c r="CL2308" t="str">
        <f>""</f>
        <v/>
      </c>
      <c r="CM2308" t="str">
        <f>""</f>
        <v/>
      </c>
      <c r="CN2308" t="str">
        <f>""</f>
        <v/>
      </c>
      <c r="CO2308" t="str">
        <f>""</f>
        <v/>
      </c>
      <c r="CP2308" t="str">
        <f>"47-3016.00"</f>
        <v>47-3016.00</v>
      </c>
      <c r="CQ2308" t="s">
        <v>10369</v>
      </c>
      <c r="CR2308" t="s">
        <v>14336</v>
      </c>
      <c r="CS2308" t="s">
        <v>135</v>
      </c>
      <c r="CT2308" t="s">
        <v>19586</v>
      </c>
      <c r="CU2308" t="s">
        <v>19587</v>
      </c>
      <c r="CW2308" t="s">
        <v>12696</v>
      </c>
      <c r="CX2308" t="s">
        <v>195</v>
      </c>
      <c r="CZ2308" s="3" t="str">
        <f>"32446"</f>
        <v>32446</v>
      </c>
      <c r="DA2308" t="s">
        <v>135</v>
      </c>
      <c r="DB2308" t="str">
        <f>""</f>
        <v/>
      </c>
      <c r="DF2308" t="str">
        <f>""</f>
        <v/>
      </c>
    </row>
    <row r="2309" spans="1:110" ht="15" customHeight="1" x14ac:dyDescent="0.35">
      <c r="A2309" t="s">
        <v>18425</v>
      </c>
      <c r="B2309" t="s">
        <v>138</v>
      </c>
      <c r="C2309" s="1">
        <v>44372</v>
      </c>
      <c r="G2309" s="1">
        <v>44372</v>
      </c>
      <c r="H2309" t="s">
        <v>319</v>
      </c>
      <c r="I2309" t="s">
        <v>2161</v>
      </c>
      <c r="J2309" t="s">
        <v>1877</v>
      </c>
      <c r="L2309" t="s">
        <v>1105</v>
      </c>
      <c r="M2309" t="s">
        <v>2162</v>
      </c>
      <c r="O2309" t="s">
        <v>2163</v>
      </c>
      <c r="P2309" t="s">
        <v>1760</v>
      </c>
      <c r="Q2309" s="3">
        <v>71118</v>
      </c>
      <c r="R2309" t="s">
        <v>128</v>
      </c>
      <c r="T2309" s="4">
        <v>13186875015</v>
      </c>
      <c r="V2309" t="s">
        <v>2164</v>
      </c>
      <c r="W2309" t="s">
        <v>2165</v>
      </c>
      <c r="X2309" t="s">
        <v>2166</v>
      </c>
      <c r="Y2309" t="s">
        <v>2162</v>
      </c>
      <c r="AA2309" t="s">
        <v>2163</v>
      </c>
      <c r="AB2309" t="s">
        <v>1763</v>
      </c>
      <c r="AC2309" s="3" t="str">
        <f>"71118"</f>
        <v>71118</v>
      </c>
      <c r="AD2309" t="s">
        <v>128</v>
      </c>
      <c r="AF2309" s="4">
        <v>13186875015</v>
      </c>
      <c r="AH2309" t="str">
        <f>"72251"</f>
        <v>72251</v>
      </c>
      <c r="AI2309" t="s">
        <v>167</v>
      </c>
      <c r="AX2309" t="s">
        <v>131</v>
      </c>
      <c r="AY2309" t="s">
        <v>131</v>
      </c>
      <c r="AZ2309" t="s">
        <v>131</v>
      </c>
      <c r="BA2309" t="s">
        <v>131</v>
      </c>
      <c r="BB2309" t="s">
        <v>131</v>
      </c>
      <c r="BC2309" t="s">
        <v>131</v>
      </c>
      <c r="BD2309" t="s">
        <v>131</v>
      </c>
      <c r="BE2309" t="s">
        <v>132</v>
      </c>
      <c r="BH2309" t="s">
        <v>2168</v>
      </c>
      <c r="BI2309" t="s">
        <v>131</v>
      </c>
      <c r="BL2309" t="s">
        <v>167</v>
      </c>
      <c r="BO2309" t="s">
        <v>131</v>
      </c>
      <c r="BP2309" t="s">
        <v>134</v>
      </c>
      <c r="BQ2309" t="s">
        <v>131</v>
      </c>
      <c r="BS2309" t="str">
        <f t="shared" si="135"/>
        <v>N/A</v>
      </c>
      <c r="BT2309" t="s">
        <v>135</v>
      </c>
      <c r="BU2309">
        <v>3</v>
      </c>
      <c r="BV2309" t="str">
        <f>"Similar occupation"</f>
        <v>Similar occupation</v>
      </c>
      <c r="BW2309" t="s">
        <v>135</v>
      </c>
      <c r="BX2309" t="str">
        <f>""</f>
        <v/>
      </c>
      <c r="BY2309" t="str">
        <f>""</f>
        <v/>
      </c>
      <c r="BZ2309" t="str">
        <f>""</f>
        <v/>
      </c>
      <c r="CA2309" t="str">
        <f>"Must be able to lift 80lbs of crawfish sacks; random drug screening upon hire (paid for by
employer)."</f>
        <v>Must be able to lift 80lbs of crawfish sacks; random drug screening upon hire (paid for by
employer).</v>
      </c>
      <c r="CB2309" t="s">
        <v>131</v>
      </c>
      <c r="CF2309" t="s">
        <v>131</v>
      </c>
      <c r="CH2309" t="str">
        <f>""</f>
        <v/>
      </c>
      <c r="CI2309" t="s">
        <v>131</v>
      </c>
      <c r="CK2309" t="s">
        <v>131</v>
      </c>
      <c r="CL2309" t="str">
        <f>""</f>
        <v/>
      </c>
      <c r="CM2309" t="str">
        <f>""</f>
        <v/>
      </c>
      <c r="CN2309" t="str">
        <f>""</f>
        <v/>
      </c>
      <c r="CO2309" t="str">
        <f>""</f>
        <v/>
      </c>
      <c r="CP2309" t="str">
        <f>"35-2014.00"</f>
        <v>35-2014.00</v>
      </c>
      <c r="CQ2309" t="s">
        <v>581</v>
      </c>
      <c r="CR2309" t="s">
        <v>1205</v>
      </c>
      <c r="CS2309" t="s">
        <v>135</v>
      </c>
      <c r="CT2309" t="s">
        <v>18426</v>
      </c>
      <c r="CU2309" t="s">
        <v>2162</v>
      </c>
      <c r="CW2309" t="s">
        <v>2163</v>
      </c>
      <c r="CX2309" t="s">
        <v>1763</v>
      </c>
      <c r="CZ2309" s="3" t="str">
        <f>"71118"</f>
        <v>71118</v>
      </c>
      <c r="DA2309" t="s">
        <v>135</v>
      </c>
      <c r="DB2309" t="str">
        <f>""</f>
        <v/>
      </c>
      <c r="DF2309" t="str">
        <f>""</f>
        <v/>
      </c>
    </row>
    <row r="2310" spans="1:110" ht="15" customHeight="1" x14ac:dyDescent="0.35">
      <c r="A2310" t="s">
        <v>18910</v>
      </c>
      <c r="B2310" t="s">
        <v>138</v>
      </c>
      <c r="C2310" s="1">
        <v>44375</v>
      </c>
      <c r="G2310" s="1">
        <v>44376</v>
      </c>
      <c r="H2310" t="s">
        <v>319</v>
      </c>
      <c r="I2310" t="s">
        <v>6378</v>
      </c>
      <c r="J2310" t="s">
        <v>1060</v>
      </c>
      <c r="K2310" t="s">
        <v>913</v>
      </c>
      <c r="L2310" t="s">
        <v>395</v>
      </c>
      <c r="M2310" t="s">
        <v>6379</v>
      </c>
      <c r="O2310" t="s">
        <v>5032</v>
      </c>
      <c r="P2310" t="s">
        <v>194</v>
      </c>
      <c r="Q2310" s="3">
        <v>33812</v>
      </c>
      <c r="R2310" t="s">
        <v>128</v>
      </c>
      <c r="T2310" s="4">
        <v>16059402521</v>
      </c>
      <c r="V2310" t="s">
        <v>6377</v>
      </c>
      <c r="W2310" t="s">
        <v>10138</v>
      </c>
      <c r="X2310" t="s">
        <v>10139</v>
      </c>
      <c r="Y2310" t="s">
        <v>18911</v>
      </c>
      <c r="Z2310" t="s">
        <v>903</v>
      </c>
      <c r="AA2310" t="s">
        <v>6376</v>
      </c>
      <c r="AB2310" t="s">
        <v>603</v>
      </c>
      <c r="AC2310" s="3" t="str">
        <f t="shared" ref="AC2310:AC2315" si="136">"57401"</f>
        <v>57401</v>
      </c>
      <c r="AD2310" t="s">
        <v>128</v>
      </c>
      <c r="AF2310" s="4">
        <v>16052251712</v>
      </c>
      <c r="AH2310" t="str">
        <f>"72111"</f>
        <v>72111</v>
      </c>
      <c r="AI2310" t="s">
        <v>287</v>
      </c>
      <c r="AJ2310" t="s">
        <v>6378</v>
      </c>
      <c r="AK2310" t="s">
        <v>1060</v>
      </c>
      <c r="AM2310" t="s">
        <v>14627</v>
      </c>
      <c r="AO2310" t="s">
        <v>5032</v>
      </c>
      <c r="AP2310" t="s">
        <v>195</v>
      </c>
      <c r="AQ2310" s="5">
        <v>33812</v>
      </c>
      <c r="AR2310" t="s">
        <v>128</v>
      </c>
      <c r="AT2310" s="4">
        <v>1605940252</v>
      </c>
      <c r="AV2310" t="s">
        <v>6377</v>
      </c>
      <c r="AW2310" t="s">
        <v>6380</v>
      </c>
      <c r="AX2310" t="s">
        <v>131</v>
      </c>
      <c r="AY2310" t="s">
        <v>131</v>
      </c>
      <c r="AZ2310" t="s">
        <v>131</v>
      </c>
      <c r="BA2310" t="s">
        <v>131</v>
      </c>
      <c r="BB2310" t="s">
        <v>131</v>
      </c>
      <c r="BC2310" t="s">
        <v>131</v>
      </c>
      <c r="BD2310" t="s">
        <v>131</v>
      </c>
      <c r="BE2310" t="s">
        <v>132</v>
      </c>
      <c r="BH2310" t="s">
        <v>18912</v>
      </c>
      <c r="BI2310" t="s">
        <v>131</v>
      </c>
      <c r="BL2310" t="s">
        <v>167</v>
      </c>
      <c r="BO2310" t="s">
        <v>131</v>
      </c>
      <c r="BP2310" t="s">
        <v>134</v>
      </c>
      <c r="BQ2310" t="s">
        <v>131</v>
      </c>
      <c r="BS2310" t="str">
        <f t="shared" si="135"/>
        <v>N/A</v>
      </c>
      <c r="BT2310" t="s">
        <v>135</v>
      </c>
      <c r="BU2310">
        <v>3</v>
      </c>
      <c r="BV2310" t="str">
        <f>"Workers must have at least 3 months experience in commercial house keeping duties"</f>
        <v>Workers must have at least 3 months experience in commercial house keeping duties</v>
      </c>
      <c r="BW2310" t="s">
        <v>131</v>
      </c>
      <c r="BX2310" t="str">
        <f>""</f>
        <v/>
      </c>
      <c r="BY2310" t="str">
        <f>""</f>
        <v/>
      </c>
      <c r="BZ2310" t="str">
        <f>""</f>
        <v/>
      </c>
      <c r="CA2310" t="str">
        <f>""</f>
        <v/>
      </c>
      <c r="CB2310" t="s">
        <v>131</v>
      </c>
      <c r="CF2310" t="s">
        <v>131</v>
      </c>
      <c r="CH2310" t="str">
        <f>""</f>
        <v/>
      </c>
      <c r="CI2310" t="s">
        <v>131</v>
      </c>
      <c r="CK2310" t="s">
        <v>131</v>
      </c>
      <c r="CL2310" t="str">
        <f>""</f>
        <v/>
      </c>
      <c r="CM2310" t="str">
        <f>""</f>
        <v/>
      </c>
      <c r="CN2310" t="str">
        <f>""</f>
        <v/>
      </c>
      <c r="CO2310" t="str">
        <f>""</f>
        <v/>
      </c>
      <c r="CP2310" t="str">
        <f t="shared" ref="CP2310:CP2315" si="137">"37-2012.00"</f>
        <v>37-2012.00</v>
      </c>
      <c r="CQ2310" t="s">
        <v>479</v>
      </c>
      <c r="CS2310" t="s">
        <v>131</v>
      </c>
      <c r="CU2310" t="s">
        <v>18913</v>
      </c>
      <c r="CW2310" t="s">
        <v>10140</v>
      </c>
      <c r="CX2310" t="s">
        <v>2870</v>
      </c>
      <c r="CZ2310" s="3" t="str">
        <f>"58601"</f>
        <v>58601</v>
      </c>
      <c r="DA2310" t="s">
        <v>131</v>
      </c>
      <c r="DB2310" t="str">
        <f>""</f>
        <v/>
      </c>
      <c r="DF2310" t="str">
        <f>""</f>
        <v/>
      </c>
    </row>
    <row r="2311" spans="1:110" ht="15" customHeight="1" x14ac:dyDescent="0.35">
      <c r="A2311" t="s">
        <v>16454</v>
      </c>
      <c r="B2311" t="s">
        <v>138</v>
      </c>
      <c r="C2311" s="1">
        <v>44375</v>
      </c>
      <c r="G2311" s="1">
        <v>44376</v>
      </c>
      <c r="H2311" t="s">
        <v>319</v>
      </c>
      <c r="I2311" t="s">
        <v>6378</v>
      </c>
      <c r="J2311" t="s">
        <v>1060</v>
      </c>
      <c r="K2311" t="s">
        <v>913</v>
      </c>
      <c r="L2311" t="s">
        <v>395</v>
      </c>
      <c r="M2311" t="s">
        <v>6379</v>
      </c>
      <c r="O2311" t="s">
        <v>5032</v>
      </c>
      <c r="P2311" t="s">
        <v>194</v>
      </c>
      <c r="Q2311" s="3">
        <v>33812</v>
      </c>
      <c r="R2311" t="s">
        <v>128</v>
      </c>
      <c r="T2311" s="4">
        <v>16059402521</v>
      </c>
      <c r="V2311" t="s">
        <v>6377</v>
      </c>
      <c r="W2311" t="s">
        <v>16455</v>
      </c>
      <c r="Y2311" t="s">
        <v>16456</v>
      </c>
      <c r="Z2311" t="s">
        <v>903</v>
      </c>
      <c r="AA2311" t="s">
        <v>6376</v>
      </c>
      <c r="AB2311" t="s">
        <v>603</v>
      </c>
      <c r="AC2311" s="3" t="str">
        <f t="shared" si="136"/>
        <v>57401</v>
      </c>
      <c r="AD2311" t="s">
        <v>128</v>
      </c>
      <c r="AF2311" s="4">
        <v>16052251712</v>
      </c>
      <c r="AH2311" t="str">
        <f>"721110"</f>
        <v>721110</v>
      </c>
      <c r="AI2311" t="s">
        <v>287</v>
      </c>
      <c r="AJ2311" t="s">
        <v>6378</v>
      </c>
      <c r="AK2311" t="s">
        <v>1060</v>
      </c>
      <c r="AL2311" t="s">
        <v>913</v>
      </c>
      <c r="AM2311" t="s">
        <v>6379</v>
      </c>
      <c r="AO2311" t="s">
        <v>4758</v>
      </c>
      <c r="AP2311" t="s">
        <v>195</v>
      </c>
      <c r="AQ2311" s="5">
        <v>33812</v>
      </c>
      <c r="AR2311" t="s">
        <v>128</v>
      </c>
      <c r="AT2311" s="4">
        <v>16059402521</v>
      </c>
      <c r="AV2311" t="s">
        <v>6377</v>
      </c>
      <c r="AW2311" t="s">
        <v>6380</v>
      </c>
      <c r="AX2311" t="s">
        <v>131</v>
      </c>
      <c r="AY2311" t="s">
        <v>131</v>
      </c>
      <c r="AZ2311" t="s">
        <v>131</v>
      </c>
      <c r="BA2311" t="s">
        <v>131</v>
      </c>
      <c r="BB2311" t="s">
        <v>131</v>
      </c>
      <c r="BC2311" t="s">
        <v>131</v>
      </c>
      <c r="BD2311" t="s">
        <v>131</v>
      </c>
      <c r="BE2311" t="s">
        <v>132</v>
      </c>
      <c r="BH2311" t="s">
        <v>8090</v>
      </c>
      <c r="BI2311" t="s">
        <v>131</v>
      </c>
      <c r="BL2311" t="s">
        <v>167</v>
      </c>
      <c r="BO2311" t="s">
        <v>131</v>
      </c>
      <c r="BP2311" t="s">
        <v>134</v>
      </c>
      <c r="BQ2311" t="s">
        <v>131</v>
      </c>
      <c r="BS2311" t="str">
        <f t="shared" si="135"/>
        <v>N/A</v>
      </c>
      <c r="BT2311" t="s">
        <v>135</v>
      </c>
      <c r="BU2311">
        <v>3</v>
      </c>
      <c r="BV2311" t="str">
        <f>"Workers must have at least 3 months experience with commerical house keeping duties"</f>
        <v>Workers must have at least 3 months experience with commerical house keeping duties</v>
      </c>
      <c r="BW2311" t="s">
        <v>131</v>
      </c>
      <c r="BX2311" t="str">
        <f>""</f>
        <v/>
      </c>
      <c r="BY2311" t="str">
        <f>""</f>
        <v/>
      </c>
      <c r="BZ2311" t="str">
        <f>""</f>
        <v/>
      </c>
      <c r="CA2311" t="str">
        <f>""</f>
        <v/>
      </c>
      <c r="CB2311" t="s">
        <v>131</v>
      </c>
      <c r="CF2311" t="s">
        <v>131</v>
      </c>
      <c r="CH2311" t="str">
        <f>""</f>
        <v/>
      </c>
      <c r="CI2311" t="s">
        <v>131</v>
      </c>
      <c r="CK2311" t="s">
        <v>131</v>
      </c>
      <c r="CL2311" t="str">
        <f>""</f>
        <v/>
      </c>
      <c r="CM2311" t="str">
        <f>""</f>
        <v/>
      </c>
      <c r="CN2311" t="str">
        <f>""</f>
        <v/>
      </c>
      <c r="CO2311" t="str">
        <f>""</f>
        <v/>
      </c>
      <c r="CP2311" t="str">
        <f t="shared" si="137"/>
        <v>37-2012.00</v>
      </c>
      <c r="CQ2311" t="s">
        <v>479</v>
      </c>
      <c r="CS2311" t="s">
        <v>131</v>
      </c>
      <c r="CU2311" t="s">
        <v>16457</v>
      </c>
      <c r="CW2311" t="s">
        <v>10140</v>
      </c>
      <c r="CX2311" t="s">
        <v>2870</v>
      </c>
      <c r="CZ2311" s="3" t="str">
        <f>"58601"</f>
        <v>58601</v>
      </c>
      <c r="DA2311" t="s">
        <v>131</v>
      </c>
      <c r="DB2311" t="str">
        <f>""</f>
        <v/>
      </c>
      <c r="DF2311" t="str">
        <f>""</f>
        <v/>
      </c>
    </row>
    <row r="2312" spans="1:110" ht="15" customHeight="1" x14ac:dyDescent="0.35">
      <c r="A2312" t="s">
        <v>18729</v>
      </c>
      <c r="B2312" t="s">
        <v>138</v>
      </c>
      <c r="C2312" s="1">
        <v>44375</v>
      </c>
      <c r="G2312" s="1">
        <v>44376</v>
      </c>
      <c r="H2312" t="s">
        <v>319</v>
      </c>
      <c r="I2312" t="s">
        <v>6378</v>
      </c>
      <c r="J2312" t="s">
        <v>1060</v>
      </c>
      <c r="L2312" t="s">
        <v>395</v>
      </c>
      <c r="M2312" t="s">
        <v>6379</v>
      </c>
      <c r="O2312" t="s">
        <v>4758</v>
      </c>
      <c r="P2312" t="s">
        <v>194</v>
      </c>
      <c r="Q2312" s="3">
        <v>33812</v>
      </c>
      <c r="R2312" t="s">
        <v>128</v>
      </c>
      <c r="T2312" s="4">
        <v>16059402521</v>
      </c>
      <c r="V2312" t="s">
        <v>6377</v>
      </c>
      <c r="W2312" t="s">
        <v>18730</v>
      </c>
      <c r="X2312" t="s">
        <v>17330</v>
      </c>
      <c r="Y2312" t="s">
        <v>6375</v>
      </c>
      <c r="Z2312" t="s">
        <v>611</v>
      </c>
      <c r="AA2312" t="s">
        <v>6376</v>
      </c>
      <c r="AB2312" t="s">
        <v>603</v>
      </c>
      <c r="AC2312" s="3" t="str">
        <f t="shared" si="136"/>
        <v>57401</v>
      </c>
      <c r="AD2312" t="s">
        <v>128</v>
      </c>
      <c r="AF2312" s="4">
        <v>16052251712</v>
      </c>
      <c r="AH2312" t="str">
        <f>"72111"</f>
        <v>72111</v>
      </c>
      <c r="AI2312" t="s">
        <v>287</v>
      </c>
      <c r="AJ2312" t="s">
        <v>6378</v>
      </c>
      <c r="AK2312" t="s">
        <v>1060</v>
      </c>
      <c r="AL2312" t="s">
        <v>913</v>
      </c>
      <c r="AM2312" t="s">
        <v>6379</v>
      </c>
      <c r="AO2312" t="s">
        <v>5032</v>
      </c>
      <c r="AP2312" t="s">
        <v>195</v>
      </c>
      <c r="AQ2312" s="5">
        <v>33812</v>
      </c>
      <c r="AR2312" t="s">
        <v>128</v>
      </c>
      <c r="AT2312" s="4">
        <v>16059402521</v>
      </c>
      <c r="AV2312" t="s">
        <v>6377</v>
      </c>
      <c r="AW2312" t="s">
        <v>6380</v>
      </c>
      <c r="AX2312" t="s">
        <v>131</v>
      </c>
      <c r="AY2312" t="s">
        <v>131</v>
      </c>
      <c r="AZ2312" t="s">
        <v>131</v>
      </c>
      <c r="BA2312" t="s">
        <v>131</v>
      </c>
      <c r="BB2312" t="s">
        <v>131</v>
      </c>
      <c r="BC2312" t="s">
        <v>131</v>
      </c>
      <c r="BD2312" t="s">
        <v>131</v>
      </c>
      <c r="BE2312" t="s">
        <v>132</v>
      </c>
      <c r="BH2312" t="s">
        <v>8090</v>
      </c>
      <c r="BI2312" t="s">
        <v>131</v>
      </c>
      <c r="BL2312" t="s">
        <v>167</v>
      </c>
      <c r="BO2312" t="s">
        <v>131</v>
      </c>
      <c r="BP2312" t="s">
        <v>134</v>
      </c>
      <c r="BQ2312" t="s">
        <v>131</v>
      </c>
      <c r="BS2312" t="str">
        <f t="shared" si="135"/>
        <v>N/A</v>
      </c>
      <c r="BT2312" t="s">
        <v>135</v>
      </c>
      <c r="BU2312">
        <v>3</v>
      </c>
      <c r="BV2312" t="str">
        <f>"3 months experience on basic commercial housekeeping duties"</f>
        <v>3 months experience on basic commercial housekeeping duties</v>
      </c>
      <c r="BW2312" t="s">
        <v>131</v>
      </c>
      <c r="BX2312" t="str">
        <f>""</f>
        <v/>
      </c>
      <c r="BY2312" t="str">
        <f>""</f>
        <v/>
      </c>
      <c r="BZ2312" t="str">
        <f>""</f>
        <v/>
      </c>
      <c r="CA2312" t="str">
        <f>""</f>
        <v/>
      </c>
      <c r="CB2312" t="s">
        <v>131</v>
      </c>
      <c r="CF2312" t="s">
        <v>131</v>
      </c>
      <c r="CH2312" t="str">
        <f>""</f>
        <v/>
      </c>
      <c r="CI2312" t="s">
        <v>131</v>
      </c>
      <c r="CK2312" t="s">
        <v>131</v>
      </c>
      <c r="CL2312" t="str">
        <f>""</f>
        <v/>
      </c>
      <c r="CM2312" t="str">
        <f>""</f>
        <v/>
      </c>
      <c r="CN2312" t="str">
        <f>""</f>
        <v/>
      </c>
      <c r="CO2312" t="str">
        <f>""</f>
        <v/>
      </c>
      <c r="CP2312" t="str">
        <f t="shared" si="137"/>
        <v>37-2012.00</v>
      </c>
      <c r="CQ2312" t="s">
        <v>479</v>
      </c>
      <c r="CS2312" t="s">
        <v>131</v>
      </c>
      <c r="CU2312" t="s">
        <v>18731</v>
      </c>
      <c r="CW2312" t="s">
        <v>10140</v>
      </c>
      <c r="CX2312" t="s">
        <v>2870</v>
      </c>
      <c r="CZ2312" s="3" t="str">
        <f>"58601"</f>
        <v>58601</v>
      </c>
      <c r="DA2312" t="s">
        <v>131</v>
      </c>
      <c r="DB2312" t="str">
        <f>""</f>
        <v/>
      </c>
      <c r="DF2312" t="str">
        <f>""</f>
        <v/>
      </c>
    </row>
    <row r="2313" spans="1:110" ht="15" customHeight="1" x14ac:dyDescent="0.35">
      <c r="A2313" t="s">
        <v>10457</v>
      </c>
      <c r="B2313" t="s">
        <v>138</v>
      </c>
      <c r="C2313" s="1">
        <v>44375</v>
      </c>
      <c r="G2313" s="1">
        <v>44376</v>
      </c>
      <c r="H2313" t="s">
        <v>319</v>
      </c>
      <c r="I2313" t="s">
        <v>6378</v>
      </c>
      <c r="J2313" t="s">
        <v>1060</v>
      </c>
      <c r="K2313" t="s">
        <v>913</v>
      </c>
      <c r="L2313" t="s">
        <v>395</v>
      </c>
      <c r="M2313" t="s">
        <v>6379</v>
      </c>
      <c r="O2313" t="s">
        <v>4758</v>
      </c>
      <c r="P2313" t="s">
        <v>194</v>
      </c>
      <c r="Q2313" s="3">
        <v>33812</v>
      </c>
      <c r="R2313" t="s">
        <v>128</v>
      </c>
      <c r="T2313" s="4">
        <v>16059402521</v>
      </c>
      <c r="V2313" t="s">
        <v>6377</v>
      </c>
      <c r="W2313" t="s">
        <v>10458</v>
      </c>
      <c r="X2313" t="s">
        <v>10459</v>
      </c>
      <c r="Y2313" t="s">
        <v>6375</v>
      </c>
      <c r="Z2313" t="s">
        <v>611</v>
      </c>
      <c r="AA2313" t="s">
        <v>6376</v>
      </c>
      <c r="AB2313" t="s">
        <v>603</v>
      </c>
      <c r="AC2313" s="3" t="str">
        <f t="shared" si="136"/>
        <v>57401</v>
      </c>
      <c r="AD2313" t="s">
        <v>128</v>
      </c>
      <c r="AF2313" s="4">
        <v>16052251712</v>
      </c>
      <c r="AH2313" t="str">
        <f>"721110"</f>
        <v>721110</v>
      </c>
      <c r="AI2313" t="s">
        <v>287</v>
      </c>
      <c r="AJ2313" t="s">
        <v>6378</v>
      </c>
      <c r="AK2313" t="s">
        <v>1060</v>
      </c>
      <c r="AM2313" t="s">
        <v>6379</v>
      </c>
      <c r="AO2313" t="s">
        <v>5032</v>
      </c>
      <c r="AP2313" t="s">
        <v>195</v>
      </c>
      <c r="AQ2313" s="5">
        <v>33812</v>
      </c>
      <c r="AR2313" t="s">
        <v>128</v>
      </c>
      <c r="AT2313" s="4">
        <v>16059402521</v>
      </c>
      <c r="AV2313" t="s">
        <v>6377</v>
      </c>
      <c r="AW2313" t="s">
        <v>6380</v>
      </c>
      <c r="AX2313" t="s">
        <v>131</v>
      </c>
      <c r="AY2313" t="s">
        <v>131</v>
      </c>
      <c r="AZ2313" t="s">
        <v>131</v>
      </c>
      <c r="BA2313" t="s">
        <v>131</v>
      </c>
      <c r="BB2313" t="s">
        <v>131</v>
      </c>
      <c r="BC2313" t="s">
        <v>131</v>
      </c>
      <c r="BD2313" t="s">
        <v>131</v>
      </c>
      <c r="BE2313" t="s">
        <v>132</v>
      </c>
      <c r="BH2313" t="s">
        <v>6381</v>
      </c>
      <c r="BI2313" t="s">
        <v>131</v>
      </c>
      <c r="BL2313" t="s">
        <v>167</v>
      </c>
      <c r="BO2313" t="s">
        <v>131</v>
      </c>
      <c r="BP2313" t="s">
        <v>134</v>
      </c>
      <c r="BQ2313" t="s">
        <v>131</v>
      </c>
      <c r="BS2313" t="str">
        <f t="shared" si="135"/>
        <v>N/A</v>
      </c>
      <c r="BT2313" t="s">
        <v>135</v>
      </c>
      <c r="BU2313">
        <v>3</v>
      </c>
      <c r="BV2313" t="str">
        <f>"Must have at least 3 months commercial housekeeping experience"</f>
        <v>Must have at least 3 months commercial housekeeping experience</v>
      </c>
      <c r="BW2313" t="s">
        <v>131</v>
      </c>
      <c r="BX2313" t="str">
        <f>""</f>
        <v/>
      </c>
      <c r="BY2313" t="str">
        <f>""</f>
        <v/>
      </c>
      <c r="BZ2313" t="str">
        <f>""</f>
        <v/>
      </c>
      <c r="CA2313" t="str">
        <f>""</f>
        <v/>
      </c>
      <c r="CB2313" t="s">
        <v>131</v>
      </c>
      <c r="CF2313" t="s">
        <v>131</v>
      </c>
      <c r="CH2313" t="str">
        <f>""</f>
        <v/>
      </c>
      <c r="CI2313" t="s">
        <v>131</v>
      </c>
      <c r="CK2313" t="s">
        <v>131</v>
      </c>
      <c r="CL2313" t="str">
        <f>""</f>
        <v/>
      </c>
      <c r="CM2313" t="str">
        <f>""</f>
        <v/>
      </c>
      <c r="CN2313" t="str">
        <f>""</f>
        <v/>
      </c>
      <c r="CO2313" t="str">
        <f>""</f>
        <v/>
      </c>
      <c r="CP2313" t="str">
        <f t="shared" si="137"/>
        <v>37-2012.00</v>
      </c>
      <c r="CQ2313" t="s">
        <v>479</v>
      </c>
      <c r="CS2313" t="s">
        <v>131</v>
      </c>
      <c r="CU2313" t="s">
        <v>10460</v>
      </c>
      <c r="CW2313" t="s">
        <v>6376</v>
      </c>
      <c r="CX2313" t="s">
        <v>603</v>
      </c>
      <c r="CZ2313" s="3" t="str">
        <f>"57401"</f>
        <v>57401</v>
      </c>
      <c r="DA2313" t="s">
        <v>131</v>
      </c>
      <c r="DB2313" t="str">
        <f>""</f>
        <v/>
      </c>
      <c r="DF2313" t="str">
        <f>""</f>
        <v/>
      </c>
    </row>
    <row r="2314" spans="1:110" ht="15" customHeight="1" x14ac:dyDescent="0.35">
      <c r="A2314" t="s">
        <v>20023</v>
      </c>
      <c r="B2314" t="s">
        <v>138</v>
      </c>
      <c r="C2314" s="1">
        <v>44375</v>
      </c>
      <c r="G2314" s="1">
        <v>44376</v>
      </c>
      <c r="H2314" t="s">
        <v>319</v>
      </c>
      <c r="I2314" t="s">
        <v>6378</v>
      </c>
      <c r="J2314" t="s">
        <v>1060</v>
      </c>
      <c r="L2314" t="s">
        <v>395</v>
      </c>
      <c r="M2314" t="s">
        <v>6379</v>
      </c>
      <c r="O2314" t="s">
        <v>5032</v>
      </c>
      <c r="P2314" t="s">
        <v>194</v>
      </c>
      <c r="Q2314" s="3">
        <v>33812</v>
      </c>
      <c r="R2314" t="s">
        <v>128</v>
      </c>
      <c r="T2314" s="4">
        <v>16059402521</v>
      </c>
      <c r="V2314" t="s">
        <v>6377</v>
      </c>
      <c r="W2314" t="s">
        <v>18139</v>
      </c>
      <c r="X2314" t="s">
        <v>20024</v>
      </c>
      <c r="Y2314" t="s">
        <v>6375</v>
      </c>
      <c r="Z2314" t="s">
        <v>611</v>
      </c>
      <c r="AA2314" t="s">
        <v>6376</v>
      </c>
      <c r="AB2314" t="s">
        <v>603</v>
      </c>
      <c r="AC2314" s="3" t="str">
        <f t="shared" si="136"/>
        <v>57401</v>
      </c>
      <c r="AD2314" t="s">
        <v>128</v>
      </c>
      <c r="AF2314" s="4">
        <v>16052251712</v>
      </c>
      <c r="AH2314" t="str">
        <f>"72111"</f>
        <v>72111</v>
      </c>
      <c r="AI2314" t="s">
        <v>287</v>
      </c>
      <c r="AJ2314" t="s">
        <v>6378</v>
      </c>
      <c r="AK2314" t="s">
        <v>1060</v>
      </c>
      <c r="AL2314" t="s">
        <v>913</v>
      </c>
      <c r="AM2314" t="s">
        <v>6379</v>
      </c>
      <c r="AO2314" t="s">
        <v>5032</v>
      </c>
      <c r="AP2314" t="s">
        <v>195</v>
      </c>
      <c r="AQ2314" s="5">
        <v>33812</v>
      </c>
      <c r="AR2314" t="s">
        <v>128</v>
      </c>
      <c r="AT2314" s="4">
        <v>16059402521</v>
      </c>
      <c r="AV2314" t="s">
        <v>6377</v>
      </c>
      <c r="AW2314" t="s">
        <v>6380</v>
      </c>
      <c r="AX2314" t="s">
        <v>131</v>
      </c>
      <c r="AY2314" t="s">
        <v>131</v>
      </c>
      <c r="AZ2314" t="s">
        <v>131</v>
      </c>
      <c r="BA2314" t="s">
        <v>131</v>
      </c>
      <c r="BB2314" t="s">
        <v>131</v>
      </c>
      <c r="BC2314" t="s">
        <v>131</v>
      </c>
      <c r="BD2314" t="s">
        <v>131</v>
      </c>
      <c r="BE2314" t="s">
        <v>132</v>
      </c>
      <c r="BH2314" t="s">
        <v>8090</v>
      </c>
      <c r="BI2314" t="s">
        <v>131</v>
      </c>
      <c r="BL2314" t="s">
        <v>167</v>
      </c>
      <c r="BO2314" t="s">
        <v>131</v>
      </c>
      <c r="BP2314" t="s">
        <v>134</v>
      </c>
      <c r="BQ2314" t="s">
        <v>131</v>
      </c>
      <c r="BS2314" t="str">
        <f t="shared" si="135"/>
        <v>N/A</v>
      </c>
      <c r="BT2314" t="s">
        <v>135</v>
      </c>
      <c r="BU2314">
        <v>3</v>
      </c>
      <c r="BV2314" t="str">
        <f>"Must have basic commerical housekeeping experience"</f>
        <v>Must have basic commerical housekeeping experience</v>
      </c>
      <c r="BW2314" t="s">
        <v>131</v>
      </c>
      <c r="BX2314" t="str">
        <f>""</f>
        <v/>
      </c>
      <c r="BY2314" t="str">
        <f>""</f>
        <v/>
      </c>
      <c r="BZ2314" t="str">
        <f>""</f>
        <v/>
      </c>
      <c r="CA2314" t="str">
        <f>""</f>
        <v/>
      </c>
      <c r="CB2314" t="s">
        <v>131</v>
      </c>
      <c r="CF2314" t="s">
        <v>131</v>
      </c>
      <c r="CH2314" t="str">
        <f>""</f>
        <v/>
      </c>
      <c r="CI2314" t="s">
        <v>131</v>
      </c>
      <c r="CK2314" t="s">
        <v>131</v>
      </c>
      <c r="CL2314" t="str">
        <f>""</f>
        <v/>
      </c>
      <c r="CM2314" t="str">
        <f>""</f>
        <v/>
      </c>
      <c r="CN2314" t="str">
        <f>""</f>
        <v/>
      </c>
      <c r="CO2314" t="str">
        <f>""</f>
        <v/>
      </c>
      <c r="CP2314" t="str">
        <f t="shared" si="137"/>
        <v>37-2012.00</v>
      </c>
      <c r="CQ2314" t="s">
        <v>479</v>
      </c>
      <c r="CS2314" t="s">
        <v>131</v>
      </c>
      <c r="CU2314" t="s">
        <v>18140</v>
      </c>
      <c r="CW2314" t="s">
        <v>20025</v>
      </c>
      <c r="CX2314" t="s">
        <v>471</v>
      </c>
      <c r="CZ2314" s="3" t="str">
        <f>"81301"</f>
        <v>81301</v>
      </c>
      <c r="DA2314" t="s">
        <v>131</v>
      </c>
      <c r="DB2314" t="str">
        <f>""</f>
        <v/>
      </c>
      <c r="DF2314" t="str">
        <f>""</f>
        <v/>
      </c>
    </row>
    <row r="2315" spans="1:110" ht="15" customHeight="1" x14ac:dyDescent="0.35">
      <c r="A2315" t="s">
        <v>18644</v>
      </c>
      <c r="B2315" t="s">
        <v>138</v>
      </c>
      <c r="C2315" s="1">
        <v>44375</v>
      </c>
      <c r="G2315" s="1">
        <v>44375</v>
      </c>
      <c r="H2315" t="s">
        <v>319</v>
      </c>
      <c r="I2315" t="s">
        <v>6373</v>
      </c>
      <c r="J2315" t="s">
        <v>6151</v>
      </c>
      <c r="L2315" t="s">
        <v>6374</v>
      </c>
      <c r="M2315" t="s">
        <v>6375</v>
      </c>
      <c r="N2315" t="s">
        <v>611</v>
      </c>
      <c r="O2315" t="s">
        <v>6376</v>
      </c>
      <c r="P2315" t="s">
        <v>602</v>
      </c>
      <c r="Q2315" s="3">
        <v>57401</v>
      </c>
      <c r="R2315" t="s">
        <v>128</v>
      </c>
      <c r="T2315" s="4">
        <v>16052251712</v>
      </c>
      <c r="V2315" t="s">
        <v>6377</v>
      </c>
      <c r="W2315" t="s">
        <v>18645</v>
      </c>
      <c r="Y2315" t="s">
        <v>6375</v>
      </c>
      <c r="Z2315" t="s">
        <v>611</v>
      </c>
      <c r="AA2315" t="s">
        <v>6376</v>
      </c>
      <c r="AB2315" t="s">
        <v>603</v>
      </c>
      <c r="AC2315" s="3" t="str">
        <f t="shared" si="136"/>
        <v>57401</v>
      </c>
      <c r="AD2315" t="s">
        <v>128</v>
      </c>
      <c r="AF2315" s="4">
        <v>16052251712</v>
      </c>
      <c r="AH2315" t="str">
        <f>"72111"</f>
        <v>72111</v>
      </c>
      <c r="AI2315" t="s">
        <v>287</v>
      </c>
      <c r="AJ2315" t="s">
        <v>6378</v>
      </c>
      <c r="AK2315" t="s">
        <v>1060</v>
      </c>
      <c r="AM2315" t="s">
        <v>6379</v>
      </c>
      <c r="AO2315" t="s">
        <v>5032</v>
      </c>
      <c r="AP2315" t="s">
        <v>195</v>
      </c>
      <c r="AQ2315" s="5">
        <v>57401</v>
      </c>
      <c r="AR2315" t="s">
        <v>128</v>
      </c>
      <c r="AT2315" s="4">
        <v>16059402521</v>
      </c>
      <c r="AV2315" t="s">
        <v>6377</v>
      </c>
      <c r="AW2315" t="s">
        <v>6380</v>
      </c>
      <c r="AX2315" t="s">
        <v>131</v>
      </c>
      <c r="AY2315" t="s">
        <v>131</v>
      </c>
      <c r="AZ2315" t="s">
        <v>131</v>
      </c>
      <c r="BA2315" t="s">
        <v>131</v>
      </c>
      <c r="BB2315" t="s">
        <v>131</v>
      </c>
      <c r="BC2315" t="s">
        <v>131</v>
      </c>
      <c r="BD2315" t="s">
        <v>131</v>
      </c>
      <c r="BE2315" t="s">
        <v>132</v>
      </c>
      <c r="BH2315" t="s">
        <v>6381</v>
      </c>
      <c r="BI2315" t="s">
        <v>131</v>
      </c>
      <c r="BL2315" t="s">
        <v>167</v>
      </c>
      <c r="BO2315" t="s">
        <v>131</v>
      </c>
      <c r="BP2315" t="s">
        <v>134</v>
      </c>
      <c r="BQ2315" t="s">
        <v>131</v>
      </c>
      <c r="BS2315" t="str">
        <f t="shared" si="135"/>
        <v>N/A</v>
      </c>
      <c r="BT2315" t="s">
        <v>135</v>
      </c>
      <c r="BU2315">
        <v>3</v>
      </c>
      <c r="BV2315" t="str">
        <f>"Experience in commericial housekeeping"</f>
        <v>Experience in commericial housekeeping</v>
      </c>
      <c r="BW2315" t="s">
        <v>131</v>
      </c>
      <c r="BX2315" t="str">
        <f>""</f>
        <v/>
      </c>
      <c r="BY2315" t="str">
        <f>""</f>
        <v/>
      </c>
      <c r="BZ2315" t="str">
        <f>""</f>
        <v/>
      </c>
      <c r="CA2315" t="str">
        <f>""</f>
        <v/>
      </c>
      <c r="CB2315" t="s">
        <v>131</v>
      </c>
      <c r="CF2315" t="s">
        <v>131</v>
      </c>
      <c r="CH2315" t="str">
        <f>""</f>
        <v/>
      </c>
      <c r="CI2315" t="s">
        <v>131</v>
      </c>
      <c r="CK2315" t="s">
        <v>131</v>
      </c>
      <c r="CL2315" t="str">
        <f>""</f>
        <v/>
      </c>
      <c r="CM2315" t="str">
        <f>""</f>
        <v/>
      </c>
      <c r="CN2315" t="str">
        <f>""</f>
        <v/>
      </c>
      <c r="CO2315" t="str">
        <f>""</f>
        <v/>
      </c>
      <c r="CP2315" t="str">
        <f t="shared" si="137"/>
        <v>37-2012.00</v>
      </c>
      <c r="CQ2315" t="s">
        <v>479</v>
      </c>
      <c r="CS2315" t="s">
        <v>131</v>
      </c>
      <c r="CU2315" t="s">
        <v>8813</v>
      </c>
      <c r="CW2315" t="s">
        <v>2688</v>
      </c>
      <c r="CX2315" t="s">
        <v>603</v>
      </c>
      <c r="CZ2315" s="3" t="str">
        <f>"57201"</f>
        <v>57201</v>
      </c>
      <c r="DA2315" t="s">
        <v>131</v>
      </c>
      <c r="DB2315" t="str">
        <f>""</f>
        <v/>
      </c>
      <c r="DF2315" t="str">
        <f>""</f>
        <v/>
      </c>
    </row>
  </sheetData>
  <autoFilter ref="A1:DV2315"/>
  <sortState ref="A2:DX26734">
    <sortCondition ref="B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PW_New_Form_FY2021_Q3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Jordan, Rob - ETA</dc:creator>
  <cp:lastModifiedBy>Goodwin, William J - ETA CTR</cp:lastModifiedBy>
  <dcterms:created xsi:type="dcterms:W3CDTF">2021-07-06T16:21:19Z</dcterms:created>
  <dcterms:modified xsi:type="dcterms:W3CDTF">2021-07-06T19:33:08Z</dcterms:modified>
</cp:coreProperties>
</file>